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C:\Users\Roger.Winter\Downloads\"/>
    </mc:Choice>
  </mc:AlternateContent>
  <xr:revisionPtr revIDLastSave="0" documentId="13_ncr:1_{8B7CD290-ACCD-4054-B265-AB0C2D8A00DF}" xr6:coauthVersionLast="36" xr6:coauthVersionMax="36" xr10:uidLastSave="{00000000-0000-0000-0000-000000000000}"/>
  <bookViews>
    <workbookView xWindow="0" yWindow="0" windowWidth="28800" windowHeight="12225" tabRatio="702" firstSheet="83" activeTab="90" xr2:uid="{00000000-000D-0000-FFFF-FFFF00000000}"/>
  </bookViews>
  <sheets>
    <sheet name="REGIONS" sheetId="2" r:id="rId1"/>
    <sheet name="CONSTITUENCIES" sheetId="3" r:id="rId2"/>
    <sheet name="BARKING" sheetId="4" r:id="rId3"/>
    <sheet name="BARNET" sheetId="5" r:id="rId4"/>
    <sheet name="BATH &amp; NE SOMERSET" sheetId="6" r:id="rId5"/>
    <sheet name="BEDFORDSHIRE" sheetId="7" r:id="rId6"/>
    <sheet name="BERKSHIRE" sheetId="9" r:id="rId7"/>
    <sheet name="BEXLEY" sheetId="10" r:id="rId8"/>
    <sheet name="BRENT" sheetId="12" r:id="rId9"/>
    <sheet name="BRISTOL" sheetId="17" r:id="rId10"/>
    <sheet name="BROMLEY" sheetId="15" r:id="rId11"/>
    <sheet name="BUCKINGHAMSHIRE" sheetId="18" r:id="rId12"/>
    <sheet name="CAMBRIDGESHIRE" sheetId="13" r:id="rId13"/>
    <sheet name="CAMDEN" sheetId="14" r:id="rId14"/>
    <sheet name="CHESHIRE" sheetId="19" r:id="rId15"/>
    <sheet name="CITY OF LONDON" sheetId="20" r:id="rId16"/>
    <sheet name="CORNWALL" sheetId="23" r:id="rId17"/>
    <sheet name="CROYDON" sheetId="24" r:id="rId18"/>
    <sheet name="CUMBRIA" sheetId="25" r:id="rId19"/>
    <sheet name="DERBYSHIRE" sheetId="26" r:id="rId20"/>
    <sheet name="DEVON" sheetId="27" r:id="rId21"/>
    <sheet name="DORSET" sheetId="33" r:id="rId22"/>
    <sheet name="DURHAM" sheetId="34" r:id="rId23"/>
    <sheet name="EALING" sheetId="35" r:id="rId24"/>
    <sheet name="EAST SUSSEX" sheetId="37" r:id="rId25"/>
    <sheet name="ENFIELD" sheetId="36" r:id="rId26"/>
    <sheet name="ESSEX" sheetId="38" r:id="rId27"/>
    <sheet name="GLOUCESTERSHIRE" sheetId="28" r:id="rId28"/>
    <sheet name="GREATER MANCHESTER" sheetId="39" r:id="rId29"/>
    <sheet name="GREENWICH" sheetId="11" r:id="rId30"/>
    <sheet name="HACKNEY" sheetId="40" r:id="rId31"/>
    <sheet name="HAMMERSMITH" sheetId="41" r:id="rId32"/>
    <sheet name="HAMPSHIRE" sheetId="43" r:id="rId33"/>
    <sheet name="HARINGEY" sheetId="44" r:id="rId34"/>
    <sheet name="HARROW" sheetId="45" r:id="rId35"/>
    <sheet name="HARTLEPOOL" sheetId="48" r:id="rId36"/>
    <sheet name="HAVERING" sheetId="8" r:id="rId37"/>
    <sheet name="HEREFORDSHIRE" sheetId="47" r:id="rId38"/>
    <sheet name="HERTFORDSHIRE" sheetId="49" r:id="rId39"/>
    <sheet name="HILLINGDON" sheetId="46" r:id="rId40"/>
    <sheet name="HOUNSLOW" sheetId="51" r:id="rId41"/>
    <sheet name="&quot;HUMBERSIDE&quot;" sheetId="52" r:id="rId42"/>
    <sheet name="ISLE OF WIGHT" sheetId="53" r:id="rId43"/>
    <sheet name="ISLINGTON" sheetId="54" r:id="rId44"/>
    <sheet name="KENSINGTON" sheetId="42" r:id="rId45"/>
    <sheet name="KENT" sheetId="57" r:id="rId46"/>
    <sheet name="KINGSTON" sheetId="55" r:id="rId47"/>
    <sheet name="LAMBETH" sheetId="58" r:id="rId48"/>
    <sheet name="LANCASHIRE" sheetId="31" r:id="rId49"/>
    <sheet name="LEICESTER" sheetId="62" r:id="rId50"/>
    <sheet name="LEICESTERSHIRE" sheetId="63" r:id="rId51"/>
    <sheet name="LEWISHAM" sheetId="16" r:id="rId52"/>
    <sheet name="LINCOLNSHIRE" sheetId="64" r:id="rId53"/>
    <sheet name="MERSEYSIDE" sheetId="66" r:id="rId54"/>
    <sheet name="MERTON" sheetId="67" r:id="rId55"/>
    <sheet name="MIDD &amp; R &amp; C" sheetId="68" r:id="rId56"/>
    <sheet name="MILTON KEYNES" sheetId="69" r:id="rId57"/>
    <sheet name="NEWHAM" sheetId="72" r:id="rId58"/>
    <sheet name="NORFOLK" sheetId="29" r:id="rId59"/>
    <sheet name="NORTHAMPTONSHIRE" sheetId="30" r:id="rId60"/>
    <sheet name="NORTHUMBERLAND" sheetId="65" r:id="rId61"/>
    <sheet name="NORTH SOMERSET" sheetId="92" r:id="rId62"/>
    <sheet name="NORTH YORKSHIRE" sheetId="71" r:id="rId63"/>
    <sheet name="NOTTINGHAM" sheetId="73" r:id="rId64"/>
    <sheet name="NOTTINGHAMSHIRE" sheetId="74" r:id="rId65"/>
    <sheet name="OXFORDSHIRE" sheetId="75" r:id="rId66"/>
    <sheet name="PORTSMOUTH" sheetId="76" r:id="rId67"/>
    <sheet name="REDBRIDGE" sheetId="78" r:id="rId68"/>
    <sheet name="RICHMOND" sheetId="56" r:id="rId69"/>
    <sheet name="SHROPSHIRE &amp; TELFORD &amp; WREKIN " sheetId="60" r:id="rId70"/>
    <sheet name="SOMERSET" sheetId="70" r:id="rId71"/>
    <sheet name="SOUTH GLOUCESTERSHIRE" sheetId="80" r:id="rId72"/>
    <sheet name="SOUTH YORKSHIRE" sheetId="81" r:id="rId73"/>
    <sheet name="SOUTHWARK" sheetId="59" r:id="rId74"/>
    <sheet name="STAFFORDSHIRE" sheetId="82" r:id="rId75"/>
    <sheet name="STOCKTON" sheetId="83" r:id="rId76"/>
    <sheet name="SUFFOLK" sheetId="84" r:id="rId77"/>
    <sheet name="SURREY" sheetId="87" r:id="rId78"/>
    <sheet name="SUTTON" sheetId="85" r:id="rId79"/>
    <sheet name="SWINDON" sheetId="86" r:id="rId80"/>
    <sheet name="TOWER HAMLETS" sheetId="88" r:id="rId81"/>
    <sheet name="TYNE &amp; WEAR" sheetId="89" r:id="rId82"/>
    <sheet name="WALTHAM FOREST" sheetId="79" r:id="rId83"/>
    <sheet name="WANDSWORTH" sheetId="90" r:id="rId84"/>
    <sheet name="WARRINGTON" sheetId="91" r:id="rId85"/>
    <sheet name="WARWICKSHIRE" sheetId="32" r:id="rId86"/>
    <sheet name="WESTMINSTER" sheetId="21" r:id="rId87"/>
    <sheet name="WEST MIDLANDS" sheetId="93" r:id="rId88"/>
    <sheet name="WEST SUSSEX" sheetId="94" r:id="rId89"/>
    <sheet name="WEST YORKSHIRE" sheetId="95" r:id="rId90"/>
    <sheet name="WILTSHIRE" sheetId="61" r:id="rId91"/>
    <sheet name="WORCESTERSHIRE" sheetId="96" r:id="rId92"/>
    <sheet name="YORK" sheetId="97" r:id="rId93"/>
  </sheets>
  <definedNames>
    <definedName name="_xlnm._FilterDatabase" localSheetId="4" hidden="1">'BATH &amp; NE SOMERSET'!$A$17:$Q$51</definedName>
    <definedName name="_xlnm._FilterDatabase" localSheetId="11" hidden="1">BUCKINGHAMSHIRE!$Q$26:$Q$89</definedName>
    <definedName name="_xlnm._FilterDatabase" localSheetId="12" hidden="1">CAMBRIDGESHIRE!#REF!</definedName>
    <definedName name="_xlnm._FilterDatabase" localSheetId="14" hidden="1">CHESHIRE!$Q$118:$Q$189</definedName>
    <definedName name="_xlnm._FilterDatabase" localSheetId="1" hidden="1">CONSTITUENCIES!$A$3:$AE$536</definedName>
    <definedName name="_xlnm._FilterDatabase" localSheetId="21" hidden="1">DORSET!$Q$109:$Q$179</definedName>
    <definedName name="_xlnm._FilterDatabase" localSheetId="23" hidden="1">EALING!$R$19:$V$48</definedName>
    <definedName name="_xlnm._FilterDatabase" localSheetId="24" hidden="1">'EAST SUSSEX'!#REF!</definedName>
    <definedName name="_xlnm._FilterDatabase" localSheetId="34" hidden="1">HARROW!#REF!</definedName>
    <definedName name="_xlnm._FilterDatabase" localSheetId="64" hidden="1">NOTTINGHAMSHIRE!#REF!</definedName>
    <definedName name="_xlnm._FilterDatabase" localSheetId="71" hidden="1">'SOUTH GLOUCESTERSHIRE'!$Q$18:$Q$61</definedName>
    <definedName name="_xlnm._FilterDatabase" localSheetId="76" hidden="1">SUFFOLK!$Q$190:$Q$241</definedName>
    <definedName name="_xlnm._FilterDatabase" localSheetId="87" hidden="1">'WEST MIDLANDS'!$Q$85:$Q$196</definedName>
    <definedName name="_xlnm._FilterDatabase" localSheetId="89" hidden="1">'WEST YORKSHIRE'!$Q$180:$Q$240</definedName>
    <definedName name="_Regression_Int" localSheetId="41" hidden="1">1</definedName>
    <definedName name="_Regression_Int" localSheetId="2" hidden="1">1</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1" hidden="1">1</definedName>
    <definedName name="_Regression_Int" localSheetId="22" hidden="1">1</definedName>
    <definedName name="_Regression_Int" localSheetId="23" hidden="1">1</definedName>
    <definedName name="_Regression_Int" localSheetId="24" hidden="1">1</definedName>
    <definedName name="_Regression_Int" localSheetId="25"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2" hidden="1">1</definedName>
    <definedName name="_Regression_Int" localSheetId="43" hidden="1">1</definedName>
    <definedName name="_Regression_Int" localSheetId="44" hidden="1">1</definedName>
    <definedName name="_Regression_Int" localSheetId="45" hidden="1">1</definedName>
    <definedName name="_Regression_Int" localSheetId="46" hidden="1">1</definedName>
    <definedName name="_Regression_Int" localSheetId="47" hidden="1">1</definedName>
    <definedName name="_Regression_Int" localSheetId="48" hidden="1">1</definedName>
    <definedName name="_Regression_Int" localSheetId="49" hidden="1">1</definedName>
    <definedName name="_Regression_Int" localSheetId="50" hidden="1">1</definedName>
    <definedName name="_Regression_Int" localSheetId="51" hidden="1">1</definedName>
    <definedName name="_Regression_Int" localSheetId="52" hidden="1">1</definedName>
    <definedName name="_Regression_Int" localSheetId="53" hidden="1">1</definedName>
    <definedName name="_Regression_Int" localSheetId="54" hidden="1">1</definedName>
    <definedName name="_Regression_Int" localSheetId="55" hidden="1">1</definedName>
    <definedName name="_Regression_Int" localSheetId="56" hidden="1">1</definedName>
    <definedName name="_Regression_Int" localSheetId="57" hidden="1">1</definedName>
    <definedName name="_Regression_Int" localSheetId="58" hidden="1">1</definedName>
    <definedName name="_Regression_Int" localSheetId="61" hidden="1">1</definedName>
    <definedName name="_Regression_Int" localSheetId="62" hidden="1">1</definedName>
    <definedName name="_Regression_Int" localSheetId="59" hidden="1">1</definedName>
    <definedName name="_Regression_Int" localSheetId="60" hidden="1">1</definedName>
    <definedName name="_Regression_Int" localSheetId="63" hidden="1">1</definedName>
    <definedName name="_Regression_Int" localSheetId="64" hidden="1">1</definedName>
    <definedName name="_Regression_Int" localSheetId="65" hidden="1">1</definedName>
    <definedName name="_Regression_Int" localSheetId="66" hidden="1">1</definedName>
    <definedName name="_Regression_Int" localSheetId="67" hidden="1">1</definedName>
    <definedName name="_Regression_Int" localSheetId="0" hidden="1">1</definedName>
    <definedName name="_Regression_Int" localSheetId="68" hidden="1">1</definedName>
    <definedName name="_Regression_Int" localSheetId="69" hidden="1">1</definedName>
    <definedName name="_Regression_Int" localSheetId="70" hidden="1">1</definedName>
    <definedName name="_Regression_Int" localSheetId="71" hidden="1">1</definedName>
    <definedName name="_Regression_Int" localSheetId="72" hidden="1">1</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8" hidden="1">1</definedName>
    <definedName name="_Regression_Int" localSheetId="79" hidden="1">1</definedName>
    <definedName name="_Regression_Int" localSheetId="80" hidden="1">1</definedName>
    <definedName name="_Regression_Int" localSheetId="81" hidden="1">1</definedName>
    <definedName name="_Regression_Int" localSheetId="82" hidden="1">1</definedName>
    <definedName name="_Regression_Int" localSheetId="83" hidden="1">1</definedName>
    <definedName name="_Regression_Int" localSheetId="84" hidden="1">1</definedName>
    <definedName name="_Regression_Int" localSheetId="85" hidden="1">1</definedName>
    <definedName name="_Regression_Int" localSheetId="87" hidden="1">1</definedName>
    <definedName name="_Regression_Int" localSheetId="88" hidden="1">1</definedName>
    <definedName name="_Regression_Int" localSheetId="89" hidden="1">1</definedName>
    <definedName name="_Regression_Int" localSheetId="86" hidden="1">1</definedName>
    <definedName name="_Regression_Int" localSheetId="90" hidden="1">1</definedName>
    <definedName name="_Regression_Int" localSheetId="91" hidden="1">1</definedName>
    <definedName name="_Regression_Int" localSheetId="92" hidden="1">1</definedName>
    <definedName name="_xlnm.Print_Area" localSheetId="41">'"HUMBERSIDE"'!$A$1:$Q$47,'"HUMBERSIDE"'!$A$50:$Q$86,'"HUMBERSIDE"'!$A$89:$Q$126,'"HUMBERSIDE"'!$A$129:$Q$151,'"HUMBERSIDE"'!$A$154:$Q$179</definedName>
    <definedName name="_xlnm.Print_Area" localSheetId="2">BARKING!$A$1:$Q$42</definedName>
    <definedName name="_xlnm.Print_Area" localSheetId="3">BARNET!$A$1:$Q$51</definedName>
    <definedName name="_xlnm.Print_Area" localSheetId="4">'BATH &amp; NE SOMERSET'!$A$1:$Q$53,'BATH &amp; NE SOMERSET'!#REF!,'BATH &amp; NE SOMERSET'!#REF!,'BATH &amp; NE SOMERSET'!#REF!</definedName>
    <definedName name="_xlnm.Print_Area" localSheetId="5">BEDFORDSHIRE!$A$1:$Q$38,BEDFORDSHIRE!$A$41:$Q$87,BEDFORDSHIRE!$A$90:$Q$167</definedName>
    <definedName name="_xlnm.Print_Area" localSheetId="6">BERKSHIRE!$A$1:$Q$54,BERKSHIRE!$A$57:$Q$82,BERKSHIRE!$A$85:$Q$108,BERKSHIRE!$A$111:$Q$133,BERKSHIRE!$A$136:$Q$172,BERKSHIRE!$A$175:$Q$201,BERKSHIRE!$A$204:$Q$238</definedName>
    <definedName name="_xlnm.Print_Area" localSheetId="7">BEXLEY!$A$1:$Q$59</definedName>
    <definedName name="_xlnm.Print_Area" localSheetId="8">BRENT!$A$1:$Q$60</definedName>
    <definedName name="_xlnm.Print_Area" localSheetId="9">BRISTOL!$A$1:$Q$20,BRISTOL!#REF!,BRISTOL!$A$21:$Q$62,BRISTOL!#REF!,BRISTOL!#REF!</definedName>
    <definedName name="_xlnm.Print_Area" localSheetId="10">BROMLEY!$A$1:$Q$51</definedName>
    <definedName name="_xlnm.Print_Area" localSheetId="11">BUCKINGHAMSHIRE!$A$1:$Q$25</definedName>
    <definedName name="_xlnm.Print_Area" localSheetId="12">CAMBRIDGESHIRE!$A$1:$Q$45,CAMBRIDGESHIRE!$A$48:$Q$81,CAMBRIDGESHIRE!$A$84:$Q$109,CAMBRIDGESHIRE!$A$114:$Q$141,CAMBRIDGESHIRE!$A$144:$Q$174,CAMBRIDGESHIRE!$A$177:$Q$220,CAMBRIDGESHIRE!$A$223:$Q$259</definedName>
    <definedName name="_xlnm.Print_Area" localSheetId="13">CAMDEN!$A$1:$Q$22</definedName>
    <definedName name="_xlnm.Print_Area" localSheetId="14">CHESHIRE!$A$1:$Q$231</definedName>
    <definedName name="_xlnm.Print_Area" localSheetId="15">'CITY OF LONDON'!$A$1:$Q$35</definedName>
    <definedName name="_xlnm.Print_Area" localSheetId="1">CONSTITUENCIES!$A$4:$V$554</definedName>
    <definedName name="_xlnm.Print_Area" localSheetId="16">CORNWALL!$A$1:$Q$28,CORNWALL!$A$33:$Q$155,CORNWALL!#REF!,CORNWALL!$A$157:$Q$166,CORNWALL!#REF!,CORNWALL!#REF!,CORNWALL!#REF!,CORNWALL!#REF!</definedName>
    <definedName name="_xlnm.Print_Area" localSheetId="17">CROYDON!$A$1:$Q$45</definedName>
    <definedName name="_xlnm.Print_Area" localSheetId="18">CUMBRIA!$A$1:$Q$37,CUMBRIA!$A$40:$Q$77,CUMBRIA!$A$80:$Q$99,CUMBRIA!$A$102:$Q$128,CUMBRIA!$A$131:$Q$154,CUMBRIA!$A$157:$Q$193,CUMBRIA!#REF!</definedName>
    <definedName name="_xlnm.Print_Area" localSheetId="19">DERBYSHIRE!$A$1:$Q$57,DERBYSHIRE!$A$60:$Q$85,DERBYSHIRE!$A$88:$Q$122,DERBYSHIRE!$A$125:$Q$149,DERBYSHIRE!$A$152:$Q$178,DERBYSHIRE!$A$181:$Q$212,DERBYSHIRE!$A$215:$Q$241,DERBYSHIRE!$A$244:$Q$278,DERBYSHIRE!$A$281:$Q$316,DERBYSHIRE!$A$319:$Q$340</definedName>
    <definedName name="_xlnm.Print_Area" localSheetId="20">DEVON!$A$1:$Q$67,DEVON!$A$70:$Q$98,DEVON!$A$101:$Q$132,DEVON!$A$135:$Q$177,DEVON!$A$180:$Q$206,DEVON!$A$209:$Q$241,DEVON!$A$245:$Q$276,DEVON!$A$279:$Q$308,DEVON!$A$311:$Q$345,DEVON!$A$349:$Q$371,DEVON!$A$374:$Q$401</definedName>
    <definedName name="_xlnm.Print_Area" localSheetId="21">DORSET!$A$1:$Q$37,DORSET!#REF!,DORSET!#REF!,DORSET!#REF!,DORSET!#REF!,DORSET!#REF!,DORSET!#REF!,DORSET!#REF!,DORSET!#REF!</definedName>
    <definedName name="_xlnm.Print_Area" localSheetId="22">DURHAM!$A$1:$Q$33,DURHAM!$A$37:$Q$68,DURHAM!$A$71:$Q$91,DURHAM!$A$94:$Q$115,DURHAM!$A$116:$Q$137,DURHAM!$A$138:$Q$149,DURHAM!#REF!,DURHAM!#REF!,DURHAM!$A$150:$Q$156</definedName>
    <definedName name="_xlnm.Print_Area" localSheetId="23">EALING!$A$1:$Q$52</definedName>
    <definedName name="_xlnm.Print_Area" localSheetId="24">'EAST SUSSEX'!$A$1:$Q$49,'EAST SUSSEX'!$A$52:$Q$81,'EAST SUSSEX'!$A$84:$Q$99,'EAST SUSSEX'!$A$102:$Q$124,'EAST SUSSEX'!$A$127:$Q$155,'EAST SUSSEX'!$A$158:$Q$190,'EAST SUSSEX'!$A$193:$Q$251</definedName>
    <definedName name="_xlnm.Print_Area" localSheetId="25">ENFIELD!$A$1:$Q$18</definedName>
    <definedName name="_xlnm.Print_Area" localSheetId="26">ESSEX!$A$1:$Q$88,ESSEX!$A$91:$Q$115,ESSEX!$A$118:$Q$145,ESSEX!$A$148:$Q$173,ESSEX!$A$176:$Q$215,ESSEX!$A$218:$Q$239,ESSEX!$A$242:$Q$262,ESSEX!$A$265:$Q$298,ESSEX!$A$301:$Q$332,ESSEX!$A$335:$Q$378,ESSEX!$A$381:$Q$398,ESSEX!$A$401:$Q$425,ESSEX!$A$428:$Q$450,ESSEX!$A$453:$Q$494,ESSEX!$A$496:$Q$525</definedName>
    <definedName name="_xlnm.Print_Area" localSheetId="27">GLOUCESTERSHIRE!$A$1:$Q$37,GLOUCESTERSHIRE!$A$40:$Q$67,GLOUCESTERSHIRE!$A$70:$Q$108,GLOUCESTERSHIRE!$A$111:$Q$138,GLOUCESTERSHIRE!$A$141:$Q$166,GLOUCESTERSHIRE!$A$169:$Q$207,GLOUCESTERSHIRE!$A$211:$Q$239</definedName>
    <definedName name="_xlnm.Print_Area" localSheetId="28">'GREATER MANCHESTER'!$A$1:$Q$87,'GREATER MANCHESTER'!$A$90:$Q$118,'GREATER MANCHESTER'!$A$121:$Q$145,'GREATER MANCHESTER'!$A$148:$Q$208,'GREATER MANCHESTER'!$A$211:$Q$239,'GREATER MANCHESTER'!$A$242:$Q$269,'GREATER MANCHESTER'!$A$272:$Q$302,'GREATER MANCHESTER'!$A$305:$Q$335,'GREATER MANCHESTER'!$A$338:$Q$365,'GREATER MANCHESTER'!$A$368:$Q$397,'GREATER MANCHESTER'!$A$400:$Q$434</definedName>
    <definedName name="_xlnm.Print_Area" localSheetId="29">GREENWICH!$A$1:$Q$44</definedName>
    <definedName name="_xlnm.Print_Area" localSheetId="30">HACKNEY!$A$1:$Q$35</definedName>
    <definedName name="_xlnm.Print_Area" localSheetId="31">HAMMERSMITH!$A$1:$Q$51</definedName>
    <definedName name="_xlnm.Print_Area" localSheetId="32">HAMPSHIRE!$A$1:$Q$436</definedName>
    <definedName name="_xlnm.Print_Area" localSheetId="33">HARINGEY!$A$1:$Q$47</definedName>
    <definedName name="_xlnm.Print_Area" localSheetId="34">HARROW!$A$1:$Q$60</definedName>
    <definedName name="_xlnm.Print_Area" localSheetId="35">HARTLEPOOL!$A$1:$Q$8,HARTLEPOOL!$A$9:$Q$23,HARTLEPOOL!#REF!,HARTLEPOOL!#REF!,HARTLEPOOL!#REF!</definedName>
    <definedName name="_xlnm.Print_Area" localSheetId="36">HAVERING!$A$1:$Q$43</definedName>
    <definedName name="_xlnm.Print_Area" localSheetId="37">HEREFORDSHIRE!$A$1:$Q$75</definedName>
    <definedName name="_xlnm.Print_Area" localSheetId="38">HERTFORDSHIRE!$A$1:$Q$62,HERTFORDSHIRE!$A$65:$Q$81,HERTFORDSHIRE!$A$84:$Q$157,HERTFORDSHIRE!$A$161:$Q$183,HERTFORDSHIRE!$A$186:$Q$218,HERTFORDSHIRE!$A$221:$Q$253,HERTFORDSHIRE!$A$256:$Q$278,HERTFORDSHIRE!$A$282:$Q$311,HERTFORDSHIRE!$A$314:$Q$332,HERTFORDSHIRE!$A$335:$Q$361</definedName>
    <definedName name="_xlnm.Print_Area" localSheetId="39">HILLINGDON!$A$1:$Q$63</definedName>
    <definedName name="_xlnm.Print_Area" localSheetId="40">HOUNSLOW!$A$1:$Q$40</definedName>
    <definedName name="_xlnm.Print_Area" localSheetId="42">'ISLE OF WIGHT'!$A$1:$Q$50</definedName>
    <definedName name="_xlnm.Print_Area" localSheetId="43">ISLINGTON!$A$1:$Q$35</definedName>
    <definedName name="_xlnm.Print_Area" localSheetId="44">KENSINGTON!$A$1:$Q$42</definedName>
    <definedName name="_xlnm.Print_Area" localSheetId="45">KENT!$A$1:$Q$80,KENT!$A$83:$Q$114,KENT!$A$116:$Q$163,KENT!$A$165:$Q$197,KENT!$A$200:$Q$227,KENT!$A$229:$Q$256,KENT!$A$280:$Q$305,KENT!$A$307:$Q$341,KENT!$A$344:$Q$378,KENT!$A$258:$Q$277,KENT!$A$382:$Q$413,KENT!$A$416:$Q$446,KENT!$A$449:$Q$480,KENT!$A$483:$Q$511</definedName>
    <definedName name="_xlnm.Print_Area" localSheetId="46">KINGSTON!$A$1:$Q$39</definedName>
    <definedName name="_xlnm.Print_Area" localSheetId="47">LAMBETH!$A$1:$Q$48</definedName>
    <definedName name="_xlnm.Print_Area" localSheetId="48">LANCASHIRE!$A$1:$Q$82,LANCASHIRE!$A$85:$Q$113,LANCASHIRE!$A$116:$Q$144,LANCASHIRE!$A$147:$Q$168,LANCASHIRE!$A$171:$Q$196,LANCASHIRE!$A$202:$Q$229,LANCASHIRE!$A$232:$Q$254,LANCASHIRE!$A$257:$Q$291,LANCASHIRE!$A$294:$Q$313,LANCASHIRE!$A$319:$Q$354,LANCASHIRE!$A$357:$Q$389,LANCASHIRE!$A$392:$Q$413,LANCASHIRE!$A$416:$Q$450,LANCASHIRE!$A$453:$Q$487,LANCASHIRE!$A$490:$Q$527</definedName>
    <definedName name="_xlnm.Print_Area" localSheetId="49">LEICESTER!$A$1:$Q$41,LEICESTER!#REF!,LEICESTER!#REF!,LEICESTER!#REF!,LEICESTER!#REF!,LEICESTER!#REF!</definedName>
    <definedName name="_xlnm.Print_Area" localSheetId="50">LEICESTERSHIRE!$A$1:$Q$296</definedName>
    <definedName name="_xlnm.Print_Area" localSheetId="51">LEWISHAM!$A$1:$Q$56</definedName>
    <definedName name="_xlnm.Print_Area" localSheetId="52">LINCOLNSHIRE!$A$1:$Q$43,LINCOLNSHIRE!$A$46:$Q$67,LINCOLNSHIRE!$A$70:$Q$117,LINCOLNSHIRE!$A$120:$Q$137,LINCOLNSHIRE!$A$140:$Q$173,LINCOLNSHIRE!$A$176:$Q$200,LINCOLNSHIRE!$A$203:$Q$247,LINCOLNSHIRE!$A$250:$Q$277</definedName>
    <definedName name="_xlnm.Print_Area" localSheetId="53">MERSEYSIDE!$A$1:$Q$51,MERSEYSIDE!$A$54:$Q$81,MERSEYSIDE!$A$84:$Q$124,MERSEYSIDE!$A$127:$Q$150,MERSEYSIDE!$A$153:$Q$183,MERSEYSIDE!$A$186:$Q$217</definedName>
    <definedName name="_xlnm.Print_Area" localSheetId="54">MERTON!$A$1:$Q$41</definedName>
    <definedName name="_xlnm.Print_Area" localSheetId="55">'MIDD &amp; R &amp; C'!$A$1:$Q$24,'MIDD &amp; R &amp; C'!#REF!,'MIDD &amp; R &amp; C'!$A$26:$Q$59,'MIDD &amp; R &amp; C'!$A$62:$Q$95,'MIDD &amp; R &amp; C'!$A$98:$Q$101</definedName>
    <definedName name="_xlnm.Print_Area" localSheetId="56">'MILTON KEYNES'!$A$1:$Q$16,'MILTON KEYNES'!$A$17:$Q$39,'MILTON KEYNES'!#REF!,'MILTON KEYNES'!#REF!,'MILTON KEYNES'!#REF!,'MILTON KEYNES'!#REF!</definedName>
    <definedName name="_xlnm.Print_Area" localSheetId="57">NEWHAM!$A$1:$Q$38</definedName>
    <definedName name="_xlnm.Print_Area" localSheetId="58">NORFOLK!$A$1:$Q$47,NORFOLK!$A$50:$Q$92,NORFOLK!$A$95:$Q$129,NORFOLK!$A$132:$Q$155,NORFOLK!$A$158:$Q$206,NORFOLK!$A$209:$Q$253,NORFOLK!$A$256:$Q$278,NORFOLK!$A$281:$Q$320</definedName>
    <definedName name="_xlnm.Print_Area" localSheetId="61">'NORTH SOMERSET'!$A$1:$Q$54</definedName>
    <definedName name="_xlnm.Print_Area" localSheetId="62">'NORTH YORKSHIRE'!$A$1:$Q$274</definedName>
    <definedName name="_xlnm.Print_Area" localSheetId="59">NORTHAMPTONSHIRE!$A$1:$Q$43,NORTHAMPTONSHIRE!$A$45:$Q$63,NORTHAMPTONSHIRE!$A$66:$Q$91,NORTHAMPTONSHIRE!$A$94:$Q$124,NORTHAMPTONSHIRE!$A$127:$Q$140,NORTHAMPTONSHIRE!#REF!,NORTHAMPTONSHIRE!#REF!,NORTHAMPTONSHIRE!#REF!</definedName>
    <definedName name="_xlnm.Print_Area" localSheetId="60">NORTHUMBERLAND!$A$1:$Q$23,NORTHUMBERLAND!$A$26:$Q$106</definedName>
    <definedName name="_xlnm.Print_Area" localSheetId="63">NOTTINGHAM!$A$1:$Q$45</definedName>
    <definedName name="_xlnm.Print_Area" localSheetId="64">NOTTINGHAMSHIRE!$A$1:$Q$301</definedName>
    <definedName name="_xlnm.Print_Area" localSheetId="65">OXFORDSHIRE!$A$1:$Q$36,OXFORDSHIRE!$A$39:$Q$69,OXFORDSHIRE!$A$71:$Q$106,OXFORDSHIRE!$A$110:$Q$144,OXFORDSHIRE!$A$147:$Q$180,OXFORDSHIRE!$A$183:$Q$217</definedName>
    <definedName name="_xlnm.Print_Area" localSheetId="66">PORTSMOUTH!$A$1:$Q$32</definedName>
    <definedName name="_xlnm.Print_Area" localSheetId="67">REDBRIDGE!$A$1:$Q$71</definedName>
    <definedName name="_xlnm.Print_Area" localSheetId="0">REGIONS!$A$3:$P$451</definedName>
    <definedName name="_xlnm.Print_Area" localSheetId="68">RICHMOND!$A$1:$Q$42</definedName>
    <definedName name="_xlnm.Print_Area" localSheetId="69">'SHROPSHIRE &amp; TELFORD &amp; WREKIN '!$A$1:$Q$30,'SHROPSHIRE &amp; TELFORD &amp; WREKIN '!$A$109:$Q$148,'SHROPSHIRE &amp; TELFORD &amp; WREKIN '!$A$33:$Q$105</definedName>
    <definedName name="_xlnm.Print_Area" localSheetId="70">SOMERSET!$A$1:$Q$33,SOMERSET!$A$35:$Q$77,SOMERSET!$A$79:$Q$113,SOMERSET!$A$165:$Q$211,SOMERSET!#REF!,SOMERSET!#REF!</definedName>
    <definedName name="_xlnm.Print_Area" localSheetId="71">'SOUTH GLOUCESTERSHIRE'!$A$1:$Q$18,'SOUTH GLOUCESTERSHIRE'!#REF!,'SOUTH GLOUCESTERSHIRE'!#REF!,'SOUTH GLOUCESTERSHIRE'!#REF!,'SOUTH GLOUCESTERSHIRE'!$A$19:$Q$63</definedName>
    <definedName name="_xlnm.Print_Area" localSheetId="72">'SOUTH YORKSHIRE'!$A$1:$Q$48,'SOUTH YORKSHIRE'!$A$51:$Q$81,'SOUTH YORKSHIRE'!$A$84:$Q$119,'SOUTH YORKSHIRE'!$A$122:$Q$166,'SOUTH YORKSHIRE'!$A$172:$Q$229</definedName>
    <definedName name="_xlnm.Print_Area" localSheetId="73">SOUTHWARK!$A$1:$Q$70</definedName>
    <definedName name="_xlnm.Print_Area" localSheetId="74">STAFFORDSHIRE!$A$1:$Q$63,STAFFORDSHIRE!$A$66:$Q$123,STAFFORDSHIRE!$A$126:$Q$147,STAFFORDSHIRE!$A$150:$Q$178,STAFFORDSHIRE!$A$181:$Q$214,STAFFORDSHIRE!$A$217:$Q$251,STAFFORDSHIRE!$A$254:$Q$286,STAFFORDSHIRE!$A$289:$Q$323,STAFFORDSHIRE!$A$326:$Q$360,STAFFORDSHIRE!$A$363:$Q$379</definedName>
    <definedName name="_xlnm.Print_Area" localSheetId="75">STOCKTON!$A$1:$Q$16,STOCKTON!#REF!,STOCKTON!#REF!,STOCKTON!#REF!,STOCKTON!$A$17:$Q$48</definedName>
    <definedName name="_xlnm.Print_Area" localSheetId="76">SUFFOLK!$A$1:$Q$38,SUFFOLK!$A$41:$Q$72,SUFFOLK!#REF!,SUFFOLK!$A$118:$Q$141,SUFFOLK!$A$144:$Q$185,SUFFOLK!#REF!,SUFFOLK!#REF!,SUFFOLK!#REF!</definedName>
    <definedName name="_xlnm.Print_Area" localSheetId="77">SURREY!$A$1:$Q$60,SURREY!$A$63:$Q$92,SURREY!$A$95:$Q$114,SURREY!$A$117:$Q$148,SURREY!$A$151:$Q$179,SURREY!$A$182:$Q$211,SURREY!$A$214:$Q$234,SURREY!$A$237:$Q$256,SURREY!$A$259:$Q$279,SURREY!$A$282:$Q$309,SURREY!$A$312:$Q$348,SURREY!$A$351:$Q$367</definedName>
    <definedName name="_xlnm.Print_Area" localSheetId="78">SUTTON!$A$1:$Q$48</definedName>
    <definedName name="_xlnm.Print_Area" localSheetId="79">SWINDON!$A$1:$Q$43</definedName>
    <definedName name="_xlnm.Print_Area" localSheetId="80">'TOWER HAMLETS'!$A$1:$Q$42</definedName>
    <definedName name="_xlnm.Print_Area" localSheetId="81">'TYNE &amp; WEAR'!$A$1:$Q$48,'TYNE &amp; WEAR'!$A$51:$Q$84,'TYNE &amp; WEAR'!$A$88:$Q$132,'TYNE &amp; WEAR'!$A$135:$Q$162,'TYNE &amp; WEAR'!$A$165:$Q$190,'TYNE &amp; WEAR'!$A$193:$Q$226</definedName>
    <definedName name="_xlnm.Print_Area" localSheetId="82">'WALTHAM FOREST'!$A$1:$Q$49</definedName>
    <definedName name="_xlnm.Print_Area" localSheetId="83">WANDSWORTH!$A$1:$Q$40</definedName>
    <definedName name="_xlnm.Print_Area" localSheetId="84">WARRINGTON!$A$1:$Q$42</definedName>
    <definedName name="_xlnm.Print_Area" localSheetId="85">WARWICKSHIRE!$A$1:$Q$39,WARWICKSHIRE!$A$42:$Q$66,WARWICKSHIRE!$A$69:$Q$94,WARWICKSHIRE!$A$97:$Q$124,WARWICKSHIRE!$A$128:$Q$179,WARWICKSHIRE!$A$182:$Q$212</definedName>
    <definedName name="_xlnm.Print_Area" localSheetId="87">'WEST MIDLANDS'!$A$1:$Q$79,'WEST MIDLANDS'!$A$83:$Q$209,'WEST MIDLANDS'!$A$212:$Q$238,'WEST MIDLANDS'!$A$241:$Q$275,'WEST MIDLANDS'!$A$278:$Q$311,'WEST MIDLANDS'!$A$314:$Q$338,'WEST MIDLANDS'!$A$341:$Q$370,'WEST MIDLANDS'!$A$372:$Q$401</definedName>
    <definedName name="_xlnm.Print_Area" localSheetId="88">'WEST SUSSEX'!$A$1:$Q$45,'WEST SUSSEX'!$A$48:$Q$68,'WEST SUSSEX'!$A$71:$Q$104,'WEST SUSSEX'!$A$107:$Q$137,'WEST SUSSEX'!$A$140:$Q$159,'WEST SUSSEX'!$A$162:$Q$191,'WEST SUSSEX'!$A$195:$Q$229,'WEST SUSSEX'!$A$232:$Q$252</definedName>
    <definedName name="_xlnm.Print_Area" localSheetId="89">'WEST YORKSHIRE'!$A$1:$Q$63,'WEST YORKSHIRE'!$A$66:$Q$109,'WEST YORKSHIRE'!$A$112:$Q$136,'WEST YORKSHIRE'!$A$139:$Q$175,'WEST YORKSHIRE'!$A$178:$Q$251,'WEST YORKSHIRE'!$A$254:$Q$284</definedName>
    <definedName name="_xlnm.Print_Area" localSheetId="86">WESTMINSTER!$A$1:$Q$43</definedName>
    <definedName name="_xlnm.Print_Area" localSheetId="90">WILTSHIRE!$A$1:$Q$23,WILTSHIRE!$A$26:$Q$166</definedName>
    <definedName name="_xlnm.Print_Area" localSheetId="91">WORCESTERSHIRE!$A$1:$Q$216</definedName>
    <definedName name="_xlnm.Print_Area" localSheetId="92">YORK!$A$1:$Q$47</definedName>
    <definedName name="Print_Area_MI" localSheetId="41">'"HUMBERSIDE"'!$A$1:$Q$47</definedName>
    <definedName name="Print_Area_MI" localSheetId="2">BARKING!$A$1:$Q$39</definedName>
    <definedName name="Print_Area_MI" localSheetId="3">BARNET!$A$1:$Q$43</definedName>
    <definedName name="Print_Area_MI" localSheetId="4">'BATH &amp; NE SOMERSET'!$A$1:$Q$15</definedName>
    <definedName name="Print_Area_MI" localSheetId="5">BEDFORDSHIRE!$A$1:$Q$37</definedName>
    <definedName name="Print_Area_MI" localSheetId="6">BERKSHIRE!$A$1:$Q$52</definedName>
    <definedName name="Print_Area_MI" localSheetId="7">BEXLEY!$A$1:$Q$23</definedName>
    <definedName name="Print_Area_MI" localSheetId="8">BRENT!$A$1:$Q$65</definedName>
    <definedName name="Print_Area_MI" localSheetId="9">BRISTOL!$A$1:$Q$19</definedName>
    <definedName name="Print_Area_MI" localSheetId="10">BROMLEY!$A$1:$Q$48</definedName>
    <definedName name="Print_Area_MI" localSheetId="11">BUCKINGHAMSHIRE!$A$1:$Q$21</definedName>
    <definedName name="Print_Area_MI" localSheetId="12">CAMBRIDGESHIRE!$A$1:$Q$43</definedName>
    <definedName name="Print_Area_MI" localSheetId="13">CAMDEN!$A$1:$Q$22</definedName>
    <definedName name="Print_Area_MI" localSheetId="14">CHESHIRE!$A$1:$Q$41</definedName>
    <definedName name="Print_Area_MI" localSheetId="15">'CITY OF LONDON'!$A$1:$R$7</definedName>
    <definedName name="Print_Area_MI" localSheetId="1">CONSTITUENCIES!$A$523:$Q$532</definedName>
    <definedName name="Print_Area_MI" localSheetId="16">CORNWALL!$A$1:$Q$28</definedName>
    <definedName name="Print_Area_MI" localSheetId="17">CROYDON!$A$1:$Q$44</definedName>
    <definedName name="Print_Area_MI" localSheetId="18">CUMBRIA!$A$1:$Q$37</definedName>
    <definedName name="Print_Area_MI" localSheetId="19">DERBYSHIRE!$A$1:$Q$59</definedName>
    <definedName name="Print_Area_MI" localSheetId="20">DEVON!$A$1:$Q$65</definedName>
    <definedName name="Print_Area_MI" localSheetId="21">DORSET!$A$1:$Q$37</definedName>
    <definedName name="Print_Area_MI" localSheetId="22">DURHAM!$A$1:$Q$33</definedName>
    <definedName name="Print_Area_MI" localSheetId="23">EALING!$A$1:$Q$17</definedName>
    <definedName name="Print_Area_MI" localSheetId="24">'EAST SUSSEX'!$A$1:$Q$49</definedName>
    <definedName name="Print_Area_MI" localSheetId="25">ENFIELD!$A$1:$Q$29</definedName>
    <definedName name="Print_Area_MI" localSheetId="26">ESSEX!$A$1:$Q$67</definedName>
    <definedName name="Print_Area_MI" localSheetId="27">GLOUCESTERSHIRE!$A$1:$Q$37</definedName>
    <definedName name="Print_Area_MI" localSheetId="28">'GREATER MANCHESTER'!$A$1:$Q$61</definedName>
    <definedName name="Print_Area_MI" localSheetId="29">GREENWICH!$A$1:$Q$23</definedName>
    <definedName name="Print_Area_MI" localSheetId="30">HACKNEY!$A$1:$Q$33</definedName>
    <definedName name="Print_Area_MI" localSheetId="31">HAMMERSMITH!$A$1:$Q$19</definedName>
    <definedName name="Print_Area_MI" localSheetId="32">HAMPSHIRE!$A$1:$Q$60</definedName>
    <definedName name="Print_Area_MI" localSheetId="33">HARINGEY!$A$1:$Q$45</definedName>
    <definedName name="Print_Area_MI" localSheetId="34">HARROW!$A$1:$Q$53</definedName>
    <definedName name="Print_Area_MI" localSheetId="35">HARTLEPOOL!$A$1:$Q$8</definedName>
    <definedName name="Print_Area_MI" localSheetId="36">HAVERING!$A$1:$Q$40</definedName>
    <definedName name="Print_Area_MI" localSheetId="37">HEREFORDSHIRE!$A$1:$Q$15</definedName>
    <definedName name="Print_Area_MI" localSheetId="38">HERTFORDSHIRE!$A$1:$Q$62</definedName>
    <definedName name="Print_Area_MI" localSheetId="39">HILLINGDON!$A$1:$Q$57</definedName>
    <definedName name="Print_Area_MI" localSheetId="40">HOUNSLOW!$A$17:$M$38</definedName>
    <definedName name="Print_Area_MI" localSheetId="42">'ISLE OF WIGHT'!$A$1:$Q$50</definedName>
    <definedName name="Print_Area_MI" localSheetId="43">ISLINGTON!$A$1:$Q$32</definedName>
    <definedName name="Print_Area_MI" localSheetId="44">KENSINGTON!$A$1:$Q$19</definedName>
    <definedName name="Print_Area_MI" localSheetId="45">KENT!$A$1:$Q$70</definedName>
    <definedName name="Print_Area_MI" localSheetId="46">KINGSTON!$A$1:$Q$19</definedName>
    <definedName name="Print_Area_MI" localSheetId="47">LAMBETH!$A$1:$Q$23</definedName>
    <definedName name="Print_Area_MI" localSheetId="48">LANCASHIRE!$A$1:$Q$68</definedName>
    <definedName name="Print_Area_MI" localSheetId="49">LEICESTER!$A$1:$Q$18</definedName>
    <definedName name="Print_Area_MI" localSheetId="50">LEICESTERSHIRE!$A$1:$Q$51</definedName>
    <definedName name="Print_Area_MI" localSheetId="51">LEWISHAM!$A$1:$Q$44</definedName>
    <definedName name="Print_Area_MI" localSheetId="52">LINCOLNSHIRE!$A$1:$Q$43</definedName>
    <definedName name="Print_Area_MI" localSheetId="53">MERSEYSIDE!$A$1:$Q$51</definedName>
    <definedName name="Print_Area_MI" localSheetId="54">MERTON!$A$1:$Q$40</definedName>
    <definedName name="Print_Area_MI" localSheetId="55">'MIDD &amp; R &amp; C'!$A$1:$Q$24</definedName>
    <definedName name="Print_Area_MI" localSheetId="56">'MILTON KEYNES'!$A$1:$Q$15</definedName>
    <definedName name="Print_Area_MI" localSheetId="57">NEWHAM!$A$1:$Q$15</definedName>
    <definedName name="Print_Area_MI" localSheetId="58">NORFOLK!$A$1:$Q$47</definedName>
    <definedName name="Print_Area_MI" localSheetId="61">'NORTH SOMERSET'!$A$1:$Q$15</definedName>
    <definedName name="Print_Area_MI" localSheetId="62">'NORTH YORKSHIRE'!$A$1:$Q$42</definedName>
    <definedName name="Print_Area_MI" localSheetId="59">NORTHAMPTONSHIRE!$A$1:$Q$42</definedName>
    <definedName name="Print_Area_MI" localSheetId="60">NORTHUMBERLAND!$A$1:$Q$21</definedName>
    <definedName name="Print_Area_MI" localSheetId="63">NOTTINGHAM!$A$1:$Q$17</definedName>
    <definedName name="Print_Area_MI" localSheetId="64">NOTTINGHAMSHIRE!$A$1:$Q$43</definedName>
    <definedName name="Print_Area_MI" localSheetId="65">OXFORDSHIRE!$A$1:$Q$36</definedName>
    <definedName name="Print_Area_MI" localSheetId="66">PORTSMOUTH!$A$1:$Q$10</definedName>
    <definedName name="Print_Area_MI" localSheetId="67">REDBRIDGE!$A$1:$Q$25</definedName>
    <definedName name="Print_Area_MI" localSheetId="0">REGIONS!$A$3:$A$446</definedName>
    <definedName name="Print_Area_MI" localSheetId="68">RICHMOND!$A$1:$Q$19</definedName>
    <definedName name="Print_Area_MI" localSheetId="69">'SHROPSHIRE &amp; TELFORD &amp; WREKIN '!$A$1:$Q$27</definedName>
    <definedName name="Print_Area_MI" localSheetId="70">SOMERSET!$A$1:$Q$32</definedName>
    <definedName name="Print_Area_MI" localSheetId="71">'SOUTH GLOUCESTERSHIRE'!$A$1:$Q$17</definedName>
    <definedName name="Print_Area_MI" localSheetId="72">'SOUTH YORKSHIRE'!$A$1:$Q$48</definedName>
    <definedName name="Print_Area_MI" localSheetId="73">SOUTHWARK!$A$1:$Q$23</definedName>
    <definedName name="Print_Area_MI" localSheetId="74">STAFFORDSHIRE!$A$1:$Q$65</definedName>
    <definedName name="Print_Area_MI" localSheetId="75">STOCKTON!$A$1:$Q$16</definedName>
    <definedName name="Print_Area_MI" localSheetId="76">SUFFOLK!$A$1:$Q$38</definedName>
    <definedName name="Print_Area_MI" localSheetId="77">SURREY!$A$1:$Q$54</definedName>
    <definedName name="Print_Area_MI" localSheetId="78">SUTTON!$A$1:$Q$46</definedName>
    <definedName name="Print_Area_MI" localSheetId="79">SWINDON!$A$1:$Q$16</definedName>
    <definedName name="Print_Area_MI" localSheetId="80">'TOWER HAMLETS'!$A$1:$Q$15</definedName>
    <definedName name="Print_Area_MI" localSheetId="81">'TYNE &amp; WEAR'!$A$1:$Q$48</definedName>
    <definedName name="Print_Area_MI" localSheetId="82">'WALTHAM FOREST'!$A$1:$Q$25</definedName>
    <definedName name="Print_Area_MI" localSheetId="83">WANDSWORTH!$A$1:$Q$38</definedName>
    <definedName name="Print_Area_MI" localSheetId="84">WARRINGTON!$A$1:$Q$15</definedName>
    <definedName name="Print_Area_MI" localSheetId="85">WARWICKSHIRE!$A$1:$Q$39</definedName>
    <definedName name="Print_Area_MI" localSheetId="87">'WEST MIDLANDS'!$A$1:$Q$63</definedName>
    <definedName name="Print_Area_MI" localSheetId="88">'WEST SUSSEX'!$A$1:$Q$45</definedName>
    <definedName name="Print_Area_MI" localSheetId="89">'WEST YORKSHIRE'!$A$1:$Q$63</definedName>
    <definedName name="Print_Area_MI" localSheetId="86">WESTMINSTER!$A$1:$Q$17</definedName>
    <definedName name="Print_Area_MI" localSheetId="90">WILTSHIRE!$A$1:$Q$23</definedName>
    <definedName name="Print_Area_MI" localSheetId="91">WORCESTERSHIRE!$A$1:$Q$34</definedName>
    <definedName name="Print_Area_MI" localSheetId="92">YORK!$A$1:$Q$16</definedName>
    <definedName name="_xlnm.Print_Titles" localSheetId="1">CONSTITUENCIES!$1:$3</definedName>
    <definedName name="_xlnm.Print_Titles" localSheetId="0">REGIONS!$1:$2</definedName>
    <definedName name="Print_Titles_MI" localSheetId="1">CONSTITUENCIES!$1:$2</definedName>
    <definedName name="Print_Titles_MI" localSheetId="0">REGIONS!$1:$2</definedName>
  </definedNames>
  <calcPr calcId="191029"/>
</workbook>
</file>

<file path=xl/calcChain.xml><?xml version="1.0" encoding="utf-8"?>
<calcChain xmlns="http://schemas.openxmlformats.org/spreadsheetml/2006/main">
  <c r="O3" i="41" l="1"/>
  <c r="O3" i="85"/>
  <c r="D3" i="85"/>
  <c r="E3" i="85"/>
  <c r="E5" i="85" s="1"/>
  <c r="F3" i="85"/>
  <c r="F5" i="85" s="1"/>
  <c r="G3" i="85"/>
  <c r="G5" i="85" s="1"/>
  <c r="H3" i="85"/>
  <c r="I3" i="85"/>
  <c r="I5" i="85" s="1"/>
  <c r="J3" i="85"/>
  <c r="J5" i="85" s="1"/>
  <c r="K3" i="85"/>
  <c r="K5" i="85" s="1"/>
  <c r="L3" i="85"/>
  <c r="M3" i="85"/>
  <c r="M5" i="85" s="1"/>
  <c r="N3" i="85"/>
  <c r="N5" i="85" s="1"/>
  <c r="D5" i="85"/>
  <c r="H5" i="85"/>
  <c r="L5" i="85"/>
  <c r="D7" i="85"/>
  <c r="E7" i="85"/>
  <c r="F7" i="85"/>
  <c r="G7" i="85"/>
  <c r="H7" i="85"/>
  <c r="I7" i="85"/>
  <c r="J7" i="85"/>
  <c r="K7" i="85"/>
  <c r="L7" i="85"/>
  <c r="M7" i="85"/>
  <c r="N7" i="85"/>
  <c r="D9" i="85"/>
  <c r="E9" i="85"/>
  <c r="F9" i="85"/>
  <c r="G9" i="85"/>
  <c r="H9" i="85"/>
  <c r="I9" i="85"/>
  <c r="J9" i="85"/>
  <c r="K9" i="85"/>
  <c r="L9" i="85"/>
  <c r="M9" i="85"/>
  <c r="N9" i="85"/>
  <c r="O22" i="85"/>
  <c r="N22" i="85"/>
  <c r="M22" i="85"/>
  <c r="L22" i="85"/>
  <c r="K22" i="85"/>
  <c r="J22" i="85"/>
  <c r="I22" i="85"/>
  <c r="H22" i="85"/>
  <c r="G22" i="85"/>
  <c r="F22" i="85"/>
  <c r="E22" i="85"/>
  <c r="D22" i="85"/>
  <c r="O32" i="85"/>
  <c r="N32" i="85"/>
  <c r="M32" i="85"/>
  <c r="L32" i="85"/>
  <c r="K32" i="85"/>
  <c r="J32" i="85"/>
  <c r="I32" i="85"/>
  <c r="H32" i="85"/>
  <c r="G32" i="85"/>
  <c r="F32" i="85"/>
  <c r="E32" i="85"/>
  <c r="D32" i="85"/>
  <c r="O35" i="85"/>
  <c r="N35" i="85"/>
  <c r="M35" i="85"/>
  <c r="L35" i="85"/>
  <c r="K35" i="85"/>
  <c r="J35" i="85"/>
  <c r="I35" i="85"/>
  <c r="H35" i="85"/>
  <c r="G35" i="85"/>
  <c r="F35" i="85"/>
  <c r="E35" i="85"/>
  <c r="D35" i="85"/>
  <c r="O40" i="85"/>
  <c r="N40" i="85"/>
  <c r="M40" i="85"/>
  <c r="L40" i="85"/>
  <c r="K40" i="85"/>
  <c r="J40" i="85"/>
  <c r="I40" i="85"/>
  <c r="H40" i="85"/>
  <c r="G40" i="85"/>
  <c r="F40" i="85"/>
  <c r="E40" i="85"/>
  <c r="D40" i="85"/>
  <c r="O11" i="45"/>
  <c r="O9" i="45"/>
  <c r="O7" i="45"/>
  <c r="D3" i="44"/>
  <c r="E3" i="44"/>
  <c r="F3" i="44"/>
  <c r="F5" i="44" s="1"/>
  <c r="G3" i="44"/>
  <c r="G5" i="44" s="1"/>
  <c r="H3" i="44"/>
  <c r="I3" i="44"/>
  <c r="J3" i="44"/>
  <c r="J5" i="44" s="1"/>
  <c r="K3" i="44"/>
  <c r="K5" i="44" s="1"/>
  <c r="L3" i="44"/>
  <c r="M3" i="44"/>
  <c r="N3" i="44"/>
  <c r="N5" i="44" s="1"/>
  <c r="D5" i="44"/>
  <c r="E5" i="44"/>
  <c r="H5" i="44"/>
  <c r="I5" i="44"/>
  <c r="L5" i="44"/>
  <c r="M5" i="44"/>
  <c r="D7" i="44"/>
  <c r="E7" i="44"/>
  <c r="F7" i="44"/>
  <c r="G7" i="44"/>
  <c r="H7" i="44"/>
  <c r="I7" i="44"/>
  <c r="J7" i="44"/>
  <c r="K7" i="44"/>
  <c r="L7" i="44"/>
  <c r="M7" i="44"/>
  <c r="N7" i="44"/>
  <c r="D9" i="44"/>
  <c r="E9" i="44"/>
  <c r="F9" i="44"/>
  <c r="G9" i="44"/>
  <c r="H9" i="44"/>
  <c r="I9" i="44"/>
  <c r="J9" i="44"/>
  <c r="K9" i="44"/>
  <c r="L9" i="44"/>
  <c r="M9" i="44"/>
  <c r="N9" i="44"/>
  <c r="O3" i="44"/>
  <c r="O9" i="44"/>
  <c r="O7" i="44"/>
  <c r="O41" i="44"/>
  <c r="N41" i="44"/>
  <c r="M41" i="44"/>
  <c r="L41" i="44"/>
  <c r="K41" i="44"/>
  <c r="J41" i="44"/>
  <c r="I41" i="44"/>
  <c r="H41" i="44"/>
  <c r="G41" i="44"/>
  <c r="F41" i="44"/>
  <c r="E41" i="44"/>
  <c r="D41" i="44"/>
  <c r="O34" i="44"/>
  <c r="N34" i="44"/>
  <c r="M34" i="44"/>
  <c r="L34" i="44"/>
  <c r="K34" i="44"/>
  <c r="J34" i="44"/>
  <c r="I34" i="44"/>
  <c r="H34" i="44"/>
  <c r="G34" i="44"/>
  <c r="F34" i="44"/>
  <c r="E34" i="44"/>
  <c r="D34" i="44"/>
  <c r="O55" i="23" l="1"/>
  <c r="D3" i="12" l="1"/>
  <c r="E3" i="12"/>
  <c r="F3" i="12"/>
  <c r="G3" i="12"/>
  <c r="G6" i="12" s="1"/>
  <c r="H3" i="12"/>
  <c r="I3" i="12"/>
  <c r="J3" i="12"/>
  <c r="K3" i="12"/>
  <c r="K6" i="12" s="1"/>
  <c r="L3" i="12"/>
  <c r="M3" i="12"/>
  <c r="N3" i="12"/>
  <c r="D5" i="12"/>
  <c r="E5" i="12"/>
  <c r="F5" i="12"/>
  <c r="H5" i="12"/>
  <c r="I5" i="12"/>
  <c r="J5" i="12"/>
  <c r="L5" i="12"/>
  <c r="M5" i="12"/>
  <c r="N5" i="12"/>
  <c r="D6" i="12"/>
  <c r="E6" i="12"/>
  <c r="F6" i="12"/>
  <c r="H6" i="12"/>
  <c r="I6" i="12"/>
  <c r="J6" i="12"/>
  <c r="L6" i="12"/>
  <c r="M6" i="12"/>
  <c r="N6" i="12"/>
  <c r="D8" i="12"/>
  <c r="E8" i="12"/>
  <c r="F8" i="12"/>
  <c r="G8" i="12"/>
  <c r="H8" i="12"/>
  <c r="I8" i="12"/>
  <c r="J8" i="12"/>
  <c r="K8" i="12"/>
  <c r="L8" i="12"/>
  <c r="M8" i="12"/>
  <c r="N8" i="12"/>
  <c r="D10" i="12"/>
  <c r="E10" i="12"/>
  <c r="F10" i="12"/>
  <c r="G10" i="12"/>
  <c r="H10" i="12"/>
  <c r="I10" i="12"/>
  <c r="J10" i="12"/>
  <c r="K10" i="12"/>
  <c r="L10" i="12"/>
  <c r="M10" i="12"/>
  <c r="N10" i="12"/>
  <c r="D12" i="12"/>
  <c r="E12" i="12"/>
  <c r="F12" i="12"/>
  <c r="G12" i="12"/>
  <c r="H12" i="12"/>
  <c r="I12" i="12"/>
  <c r="J12" i="12"/>
  <c r="K12" i="12"/>
  <c r="L12" i="12"/>
  <c r="M12" i="12"/>
  <c r="N12" i="12"/>
  <c r="D18" i="12"/>
  <c r="E18" i="12"/>
  <c r="H18" i="12"/>
  <c r="I18" i="12"/>
  <c r="L18" i="12"/>
  <c r="M18" i="12"/>
  <c r="O7" i="14"/>
  <c r="O9" i="14" s="1"/>
  <c r="O13" i="14"/>
  <c r="O15" i="14"/>
  <c r="K18" i="12" l="1"/>
  <c r="G18" i="12"/>
  <c r="K5" i="12"/>
  <c r="G5" i="12"/>
  <c r="N18" i="12"/>
  <c r="J18" i="12"/>
  <c r="F18" i="12"/>
  <c r="O12" i="12"/>
  <c r="O10" i="12"/>
  <c r="O8" i="12"/>
  <c r="O3" i="12"/>
  <c r="O51" i="12"/>
  <c r="N51" i="12"/>
  <c r="M51" i="12"/>
  <c r="L51" i="12"/>
  <c r="K51" i="12"/>
  <c r="J51" i="12"/>
  <c r="I51" i="12"/>
  <c r="H51" i="12"/>
  <c r="G51" i="12"/>
  <c r="F51" i="12"/>
  <c r="E51" i="12"/>
  <c r="D51" i="12"/>
  <c r="D7" i="51" l="1"/>
  <c r="E7" i="51"/>
  <c r="F7" i="51"/>
  <c r="G7" i="51"/>
  <c r="H7" i="51"/>
  <c r="I7" i="51"/>
  <c r="J7" i="51"/>
  <c r="K7" i="51"/>
  <c r="L7" i="51"/>
  <c r="M7" i="51"/>
  <c r="N7" i="51"/>
  <c r="D9" i="51"/>
  <c r="E9" i="51"/>
  <c r="F9" i="51"/>
  <c r="G9" i="51"/>
  <c r="H9" i="51"/>
  <c r="I9" i="51"/>
  <c r="J9" i="51"/>
  <c r="K9" i="51"/>
  <c r="L9" i="51"/>
  <c r="M9" i="51"/>
  <c r="N9" i="51"/>
  <c r="O9" i="51"/>
  <c r="O7" i="51"/>
  <c r="D3" i="21" l="1"/>
  <c r="E3" i="21"/>
  <c r="F3" i="21"/>
  <c r="F5" i="21" s="1"/>
  <c r="G3" i="21"/>
  <c r="G5" i="21" s="1"/>
  <c r="H3" i="21"/>
  <c r="I3" i="21"/>
  <c r="J3" i="21"/>
  <c r="J5" i="21" s="1"/>
  <c r="K3" i="21"/>
  <c r="K5" i="21" s="1"/>
  <c r="L3" i="21"/>
  <c r="M3" i="21"/>
  <c r="N3" i="21"/>
  <c r="N5" i="21" s="1"/>
  <c r="D5" i="21"/>
  <c r="E5" i="21"/>
  <c r="H5" i="21"/>
  <c r="I5" i="21"/>
  <c r="L5" i="21"/>
  <c r="M5" i="21"/>
  <c r="D8" i="21"/>
  <c r="E8" i="21"/>
  <c r="F8" i="21"/>
  <c r="G8" i="21"/>
  <c r="H8" i="21"/>
  <c r="I8" i="21"/>
  <c r="J8" i="21"/>
  <c r="K8" i="21"/>
  <c r="L8" i="21"/>
  <c r="M8" i="21"/>
  <c r="N8" i="21"/>
  <c r="D11" i="21"/>
  <c r="E11" i="21"/>
  <c r="F11" i="21"/>
  <c r="G11" i="21"/>
  <c r="H11" i="21"/>
  <c r="I11" i="21"/>
  <c r="J11" i="21"/>
  <c r="K11" i="21"/>
  <c r="L11" i="21"/>
  <c r="M11" i="21"/>
  <c r="N11" i="21"/>
  <c r="O8" i="21"/>
  <c r="O11" i="21"/>
  <c r="O3" i="21"/>
  <c r="O36" i="21"/>
  <c r="N36" i="21"/>
  <c r="M36" i="21"/>
  <c r="L36" i="21"/>
  <c r="K36" i="21"/>
  <c r="J36" i="21"/>
  <c r="I36" i="21"/>
  <c r="H36" i="21"/>
  <c r="G36" i="21"/>
  <c r="F36" i="21"/>
  <c r="E36" i="21"/>
  <c r="D36" i="21"/>
  <c r="O27" i="21"/>
  <c r="N27" i="21"/>
  <c r="M27" i="21"/>
  <c r="L27" i="21"/>
  <c r="K27" i="21"/>
  <c r="J27" i="21"/>
  <c r="I27" i="21"/>
  <c r="H27" i="21"/>
  <c r="G27" i="21"/>
  <c r="F27" i="21"/>
  <c r="E27" i="21"/>
  <c r="D27" i="21"/>
  <c r="O160" i="61" l="1"/>
  <c r="O28" i="61"/>
  <c r="D3" i="67" l="1"/>
  <c r="E3" i="67"/>
  <c r="E5" i="67" s="1"/>
  <c r="F3" i="67"/>
  <c r="F5" i="67" s="1"/>
  <c r="G3" i="67"/>
  <c r="G5" i="67" s="1"/>
  <c r="H3" i="67"/>
  <c r="I3" i="67"/>
  <c r="I5" i="67" s="1"/>
  <c r="J3" i="67"/>
  <c r="J5" i="67" s="1"/>
  <c r="K3" i="67"/>
  <c r="K5" i="67" s="1"/>
  <c r="L3" i="67"/>
  <c r="M3" i="67"/>
  <c r="M5" i="67" s="1"/>
  <c r="N3" i="67"/>
  <c r="N5" i="67" s="1"/>
  <c r="D5" i="67"/>
  <c r="H5" i="67"/>
  <c r="L5" i="67"/>
  <c r="D7" i="67"/>
  <c r="E7" i="67"/>
  <c r="F7" i="67"/>
  <c r="G7" i="67"/>
  <c r="H7" i="67"/>
  <c r="I7" i="67"/>
  <c r="J7" i="67"/>
  <c r="K7" i="67"/>
  <c r="L7" i="67"/>
  <c r="M7" i="67"/>
  <c r="N7" i="67"/>
  <c r="D9" i="67"/>
  <c r="E9" i="67"/>
  <c r="F9" i="67"/>
  <c r="G9" i="67"/>
  <c r="H9" i="67"/>
  <c r="I9" i="67"/>
  <c r="J9" i="67"/>
  <c r="K9" i="67"/>
  <c r="L9" i="67"/>
  <c r="M9" i="67"/>
  <c r="N9" i="67"/>
  <c r="O9" i="67"/>
  <c r="O7" i="67"/>
  <c r="O3" i="67"/>
  <c r="O20" i="67"/>
  <c r="N20" i="67"/>
  <c r="M20" i="67"/>
  <c r="L20" i="67"/>
  <c r="K20" i="67"/>
  <c r="J20" i="67"/>
  <c r="I20" i="67"/>
  <c r="H20" i="67"/>
  <c r="G20" i="67"/>
  <c r="F20" i="67"/>
  <c r="E20" i="67"/>
  <c r="D20" i="67"/>
  <c r="D3" i="45"/>
  <c r="D5" i="45" s="1"/>
  <c r="E3" i="45"/>
  <c r="E5" i="45" s="1"/>
  <c r="F3" i="45"/>
  <c r="G3" i="45"/>
  <c r="G5" i="45" s="1"/>
  <c r="H3" i="45"/>
  <c r="H5" i="45" s="1"/>
  <c r="I3" i="45"/>
  <c r="I5" i="45" s="1"/>
  <c r="J3" i="45"/>
  <c r="K3" i="45"/>
  <c r="K5" i="45" s="1"/>
  <c r="L3" i="45"/>
  <c r="L5" i="45" s="1"/>
  <c r="M3" i="45"/>
  <c r="M5" i="45" s="1"/>
  <c r="N3" i="45"/>
  <c r="F5" i="45"/>
  <c r="J5" i="45"/>
  <c r="N5" i="45"/>
  <c r="D7" i="45"/>
  <c r="E7" i="45"/>
  <c r="F7" i="45"/>
  <c r="G7" i="45"/>
  <c r="H7" i="45"/>
  <c r="I7" i="45"/>
  <c r="J7" i="45"/>
  <c r="K7" i="45"/>
  <c r="L7" i="45"/>
  <c r="M7" i="45"/>
  <c r="N7" i="45"/>
  <c r="D9" i="45"/>
  <c r="E9" i="45"/>
  <c r="F9" i="45"/>
  <c r="G9" i="45"/>
  <c r="H9" i="45"/>
  <c r="I9" i="45"/>
  <c r="J9" i="45"/>
  <c r="K9" i="45"/>
  <c r="L9" i="45"/>
  <c r="M9" i="45"/>
  <c r="N9" i="45"/>
  <c r="D11" i="45"/>
  <c r="E11" i="45"/>
  <c r="F11" i="45"/>
  <c r="G11" i="45"/>
  <c r="H11" i="45"/>
  <c r="I11" i="45"/>
  <c r="J11" i="45"/>
  <c r="K11" i="45"/>
  <c r="L11" i="45"/>
  <c r="M11" i="45"/>
  <c r="N11" i="45"/>
  <c r="D11" i="41"/>
  <c r="E11" i="41"/>
  <c r="F11" i="41"/>
  <c r="G11" i="41"/>
  <c r="H11" i="41"/>
  <c r="I11" i="41"/>
  <c r="J11" i="41"/>
  <c r="K11" i="41"/>
  <c r="L11" i="41"/>
  <c r="M11" i="41"/>
  <c r="N11" i="41"/>
  <c r="D7" i="41"/>
  <c r="E7" i="41"/>
  <c r="F7" i="41"/>
  <c r="G7" i="41"/>
  <c r="H7" i="41"/>
  <c r="I7" i="41"/>
  <c r="J7" i="41"/>
  <c r="K7" i="41"/>
  <c r="L7" i="41"/>
  <c r="M7" i="41"/>
  <c r="N7" i="41"/>
  <c r="D3" i="41"/>
  <c r="E3" i="41"/>
  <c r="F3" i="41"/>
  <c r="G3" i="41"/>
  <c r="H3" i="41"/>
  <c r="I3" i="41"/>
  <c r="J3" i="41"/>
  <c r="K3" i="41"/>
  <c r="L3" i="41"/>
  <c r="M3" i="41"/>
  <c r="N3" i="41"/>
  <c r="O38" i="41"/>
  <c r="N38" i="41"/>
  <c r="M38" i="41"/>
  <c r="L38" i="41"/>
  <c r="K38" i="41"/>
  <c r="J38" i="41"/>
  <c r="I38" i="41"/>
  <c r="H38" i="41"/>
  <c r="G38" i="41"/>
  <c r="F38" i="41"/>
  <c r="E38" i="41"/>
  <c r="D38" i="41"/>
  <c r="O35" i="41"/>
  <c r="N35" i="41"/>
  <c r="M35" i="41"/>
  <c r="L35" i="41"/>
  <c r="K35" i="41"/>
  <c r="J35" i="41"/>
  <c r="I35" i="41"/>
  <c r="H35" i="41"/>
  <c r="G35" i="41"/>
  <c r="F35" i="41"/>
  <c r="E35" i="41"/>
  <c r="D35" i="41"/>
  <c r="O28" i="41"/>
  <c r="N28" i="41"/>
  <c r="M28" i="41"/>
  <c r="L28" i="41"/>
  <c r="K28" i="41"/>
  <c r="J28" i="41"/>
  <c r="I28" i="41"/>
  <c r="H28" i="41"/>
  <c r="G28" i="41"/>
  <c r="F28" i="41"/>
  <c r="E28" i="41"/>
  <c r="D28" i="41"/>
  <c r="L19" i="45" l="1"/>
  <c r="H19" i="45"/>
  <c r="D19" i="45"/>
  <c r="M19" i="45"/>
  <c r="I19" i="45"/>
  <c r="E19" i="45"/>
  <c r="K19" i="45"/>
  <c r="G19" i="45"/>
  <c r="N19" i="45"/>
  <c r="J19" i="45"/>
  <c r="F19" i="45"/>
  <c r="E49" i="5"/>
  <c r="F49" i="5"/>
  <c r="G49" i="5"/>
  <c r="H49" i="5"/>
  <c r="I49" i="5"/>
  <c r="J49" i="5"/>
  <c r="K49" i="5"/>
  <c r="L49" i="5"/>
  <c r="M49" i="5"/>
  <c r="N49" i="5"/>
  <c r="O49" i="5"/>
  <c r="E42" i="5"/>
  <c r="F42" i="5"/>
  <c r="G42" i="5"/>
  <c r="H42" i="5"/>
  <c r="I42" i="5"/>
  <c r="J42" i="5"/>
  <c r="K42" i="5"/>
  <c r="L42" i="5"/>
  <c r="M42" i="5"/>
  <c r="N42" i="5"/>
  <c r="O42" i="5"/>
  <c r="D42" i="5"/>
  <c r="D49" i="5"/>
  <c r="E33" i="5"/>
  <c r="F33" i="5"/>
  <c r="G33" i="5"/>
  <c r="H33" i="5"/>
  <c r="I33" i="5"/>
  <c r="J33" i="5"/>
  <c r="K33" i="5"/>
  <c r="L33" i="5"/>
  <c r="M33" i="5"/>
  <c r="N33" i="5"/>
  <c r="O33" i="5"/>
  <c r="D33" i="5"/>
  <c r="D3" i="5"/>
  <c r="D5" i="5" s="1"/>
  <c r="E3" i="5"/>
  <c r="F3" i="5"/>
  <c r="F5" i="5" s="1"/>
  <c r="G3" i="5"/>
  <c r="G5" i="5" s="1"/>
  <c r="H3" i="5"/>
  <c r="H5" i="5" s="1"/>
  <c r="I3" i="5"/>
  <c r="J3" i="5"/>
  <c r="J5" i="5" s="1"/>
  <c r="K3" i="5"/>
  <c r="K5" i="5" s="1"/>
  <c r="L3" i="5"/>
  <c r="L5" i="5" s="1"/>
  <c r="M3" i="5"/>
  <c r="N3" i="5"/>
  <c r="N5" i="5" s="1"/>
  <c r="E5" i="5"/>
  <c r="I5" i="5"/>
  <c r="M5" i="5"/>
  <c r="D7" i="5"/>
  <c r="E7" i="5"/>
  <c r="F7" i="5"/>
  <c r="G7" i="5"/>
  <c r="H7" i="5"/>
  <c r="I7" i="5"/>
  <c r="J7" i="5"/>
  <c r="K7" i="5"/>
  <c r="L7" i="5"/>
  <c r="M7" i="5"/>
  <c r="N7" i="5"/>
  <c r="D9" i="5"/>
  <c r="E9" i="5"/>
  <c r="F9" i="5"/>
  <c r="G9" i="5"/>
  <c r="H9" i="5"/>
  <c r="I9" i="5"/>
  <c r="J9" i="5"/>
  <c r="K9" i="5"/>
  <c r="L9" i="5"/>
  <c r="M9" i="5"/>
  <c r="N9" i="5"/>
  <c r="D11" i="5"/>
  <c r="E11" i="5"/>
  <c r="F11" i="5"/>
  <c r="G11" i="5"/>
  <c r="H11" i="5"/>
  <c r="I11" i="5"/>
  <c r="J11" i="5"/>
  <c r="K11" i="5"/>
  <c r="L11" i="5"/>
  <c r="M11" i="5"/>
  <c r="N11" i="5"/>
  <c r="O3" i="5"/>
  <c r="O11" i="5"/>
  <c r="O9" i="5"/>
  <c r="O7" i="5"/>
  <c r="D11" i="36" l="1"/>
  <c r="E11" i="36"/>
  <c r="F11" i="36"/>
  <c r="G11" i="36"/>
  <c r="H11" i="36"/>
  <c r="I11" i="36"/>
  <c r="J11" i="36"/>
  <c r="K11" i="36"/>
  <c r="L11" i="36"/>
  <c r="M11" i="36"/>
  <c r="N11" i="36"/>
  <c r="O11" i="36"/>
  <c r="O7" i="36"/>
  <c r="O9" i="36"/>
  <c r="O3" i="36"/>
  <c r="O32" i="36"/>
  <c r="N32" i="36"/>
  <c r="M32" i="36"/>
  <c r="L32" i="36"/>
  <c r="K32" i="36"/>
  <c r="J32" i="36"/>
  <c r="I32" i="36"/>
  <c r="H32" i="36"/>
  <c r="G32" i="36"/>
  <c r="F32" i="36"/>
  <c r="E32" i="36"/>
  <c r="D32" i="36"/>
  <c r="O13" i="36" l="1"/>
  <c r="D7" i="54"/>
  <c r="E7" i="54"/>
  <c r="F7" i="54"/>
  <c r="G7" i="54"/>
  <c r="H7" i="54"/>
  <c r="I7" i="54"/>
  <c r="J7" i="54"/>
  <c r="K7" i="54"/>
  <c r="L7" i="54"/>
  <c r="M7" i="54"/>
  <c r="N7" i="54"/>
  <c r="D9" i="54"/>
  <c r="E9" i="54"/>
  <c r="F9" i="54"/>
  <c r="G9" i="54"/>
  <c r="H9" i="54"/>
  <c r="I9" i="54"/>
  <c r="J9" i="54"/>
  <c r="K9" i="54"/>
  <c r="L9" i="54"/>
  <c r="M9" i="54"/>
  <c r="N9" i="54"/>
  <c r="O9" i="54"/>
  <c r="O7" i="54"/>
  <c r="D3" i="54"/>
  <c r="E3" i="54"/>
  <c r="F3" i="54"/>
  <c r="G3" i="54"/>
  <c r="H3" i="54"/>
  <c r="I3" i="54"/>
  <c r="J3" i="54"/>
  <c r="K3" i="54"/>
  <c r="L3" i="54"/>
  <c r="M3" i="54"/>
  <c r="N3" i="54"/>
  <c r="O3" i="54"/>
  <c r="O122" i="7" l="1"/>
  <c r="N122" i="7"/>
  <c r="M122" i="7"/>
  <c r="L122" i="7"/>
  <c r="K122" i="7"/>
  <c r="J122" i="7"/>
  <c r="I122" i="7"/>
  <c r="H122" i="7"/>
  <c r="G122" i="7"/>
  <c r="F122" i="7"/>
  <c r="E122" i="7"/>
  <c r="D122" i="7"/>
  <c r="O109" i="7"/>
  <c r="N109" i="7"/>
  <c r="M109" i="7"/>
  <c r="L109" i="7"/>
  <c r="K109" i="7"/>
  <c r="J109" i="7"/>
  <c r="I109" i="7"/>
  <c r="H109" i="7"/>
  <c r="G109" i="7"/>
  <c r="F109" i="7"/>
  <c r="E109" i="7"/>
  <c r="D109" i="7"/>
  <c r="O103" i="7"/>
  <c r="N103" i="7"/>
  <c r="M103" i="7"/>
  <c r="L103" i="7"/>
  <c r="K103" i="7"/>
  <c r="J103" i="7"/>
  <c r="I103" i="7"/>
  <c r="H103" i="7"/>
  <c r="G103" i="7"/>
  <c r="F103" i="7"/>
  <c r="E103" i="7"/>
  <c r="D103" i="7"/>
  <c r="O96" i="7"/>
  <c r="N96" i="7"/>
  <c r="M96" i="7"/>
  <c r="L96" i="7"/>
  <c r="K96" i="7"/>
  <c r="J96" i="7"/>
  <c r="I96" i="7"/>
  <c r="H96" i="7"/>
  <c r="G96" i="7"/>
  <c r="F96" i="7"/>
  <c r="E96" i="7"/>
  <c r="D96" i="7"/>
  <c r="AD296" i="3" l="1"/>
  <c r="AD329" i="3"/>
  <c r="AD281" i="3"/>
  <c r="AD403" i="3"/>
  <c r="AD356" i="3"/>
  <c r="AD27" i="3"/>
  <c r="AD489" i="3"/>
  <c r="AD295" i="3"/>
  <c r="AD416" i="3"/>
  <c r="AD251" i="3"/>
  <c r="AD13" i="3"/>
  <c r="AD315" i="3"/>
  <c r="AD10" i="3"/>
  <c r="AD393" i="3"/>
  <c r="AD29" i="3"/>
  <c r="AD287" i="3"/>
  <c r="AD89" i="3"/>
  <c r="AD178" i="3"/>
  <c r="AD129" i="3"/>
  <c r="AD153" i="3"/>
  <c r="AD87" i="3"/>
  <c r="AD408" i="3"/>
  <c r="AD462" i="3"/>
  <c r="AD411" i="3"/>
  <c r="AD227" i="3"/>
  <c r="AD152" i="3"/>
  <c r="AD67" i="3"/>
  <c r="AD384" i="3"/>
  <c r="AD492" i="3"/>
  <c r="AD415" i="3"/>
  <c r="AD224" i="3"/>
  <c r="AD194" i="3"/>
  <c r="AD107" i="3"/>
  <c r="AD12" i="3"/>
  <c r="AD122" i="3"/>
  <c r="AD406" i="3"/>
  <c r="AD69" i="3"/>
  <c r="AD291" i="3"/>
  <c r="AD231" i="3"/>
  <c r="AD234" i="3"/>
  <c r="AD119" i="3"/>
  <c r="AD310" i="3"/>
  <c r="AD454" i="3"/>
  <c r="AD75" i="3"/>
  <c r="AD286" i="3"/>
  <c r="AD249" i="3"/>
  <c r="AD159" i="3"/>
  <c r="AD482" i="3"/>
  <c r="AD500" i="3"/>
  <c r="AD130" i="3"/>
  <c r="AD404" i="3"/>
  <c r="AD226" i="3"/>
  <c r="AD316" i="3"/>
  <c r="AD495" i="3"/>
  <c r="AD401" i="3"/>
  <c r="AD464" i="3"/>
  <c r="AD155" i="3"/>
  <c r="AD195" i="3"/>
  <c r="AD304" i="3"/>
  <c r="AD497" i="3"/>
  <c r="AD66" i="3"/>
  <c r="AD520" i="3"/>
  <c r="AD65" i="3"/>
  <c r="AD323" i="3"/>
  <c r="AD512" i="3"/>
  <c r="AD331" i="3"/>
  <c r="AD479" i="3"/>
  <c r="AD118" i="3"/>
  <c r="AD201" i="3"/>
  <c r="AD133" i="3"/>
  <c r="AD470" i="3"/>
  <c r="AD522" i="3"/>
  <c r="AD385" i="3"/>
  <c r="AD31" i="3"/>
  <c r="AD19" i="3"/>
  <c r="AD400" i="3"/>
  <c r="AD325" i="3"/>
  <c r="AD82" i="3"/>
  <c r="AD372" i="3"/>
  <c r="AD534" i="3"/>
  <c r="AD218" i="3"/>
  <c r="AD57" i="3"/>
  <c r="AD290" i="3"/>
  <c r="AD465" i="3"/>
  <c r="AD244" i="3"/>
  <c r="AD369" i="3"/>
  <c r="AD140" i="3"/>
  <c r="AD175" i="3"/>
  <c r="AD8" i="3"/>
  <c r="AD188" i="3"/>
  <c r="AD171" i="3"/>
  <c r="AD370" i="3"/>
  <c r="AD457" i="3"/>
  <c r="AD186" i="3"/>
  <c r="AD128" i="3"/>
  <c r="AD163" i="3"/>
  <c r="AD505" i="3"/>
  <c r="AD496" i="3"/>
  <c r="AD467" i="3"/>
  <c r="AD215" i="3"/>
  <c r="AD414" i="3"/>
  <c r="AD120" i="3"/>
  <c r="AD221" i="3"/>
  <c r="AD324" i="3"/>
  <c r="AD225" i="3"/>
  <c r="AD425" i="3"/>
  <c r="AD102" i="3"/>
  <c r="AD383" i="3"/>
  <c r="AD157" i="3"/>
  <c r="AD172" i="3"/>
  <c r="AD202" i="3"/>
  <c r="AD474" i="3"/>
  <c r="AD452" i="3"/>
  <c r="AD409" i="3"/>
  <c r="AD435" i="3"/>
  <c r="AD455" i="3"/>
  <c r="AD469" i="3"/>
  <c r="AD168" i="3"/>
  <c r="AD471" i="3"/>
  <c r="AD368" i="3"/>
  <c r="AD99" i="3"/>
  <c r="AD127" i="3"/>
  <c r="AD499" i="3"/>
  <c r="AD22" i="3"/>
  <c r="AD271" i="3"/>
  <c r="AD93" i="3"/>
  <c r="AD423" i="3"/>
  <c r="AD104" i="3"/>
  <c r="AD267" i="3"/>
  <c r="AD192" i="3"/>
  <c r="AD371" i="3"/>
  <c r="AD341" i="3"/>
  <c r="AD158" i="3"/>
  <c r="AD147" i="3"/>
  <c r="AD30" i="3"/>
  <c r="AD332" i="3"/>
  <c r="AD437" i="3"/>
  <c r="AD272" i="3"/>
  <c r="AD508" i="3"/>
  <c r="AD60" i="3"/>
  <c r="AD300" i="3"/>
  <c r="AD23" i="3"/>
  <c r="AD427" i="3"/>
  <c r="AD402" i="3"/>
  <c r="AD209" i="3"/>
  <c r="AD20" i="3"/>
  <c r="AD362" i="3"/>
  <c r="AD347" i="3"/>
  <c r="AD327" i="3"/>
  <c r="AD36" i="3"/>
  <c r="AD88" i="3"/>
  <c r="AD173" i="3"/>
  <c r="AD98" i="3"/>
  <c r="AD292" i="3"/>
  <c r="AD529" i="3"/>
  <c r="AD256" i="3"/>
  <c r="AD530" i="3"/>
  <c r="AD14" i="3"/>
  <c r="AD391" i="3"/>
  <c r="AD263" i="3"/>
  <c r="AD24" i="3"/>
  <c r="AD91" i="3"/>
  <c r="AD9" i="3"/>
  <c r="AD110" i="3"/>
  <c r="AD204" i="3"/>
  <c r="AD428" i="3"/>
  <c r="AD77" i="3"/>
  <c r="AD405" i="3"/>
  <c r="AD134" i="3"/>
  <c r="AD111" i="3"/>
  <c r="AD426" i="3"/>
  <c r="AD193" i="3"/>
  <c r="AD398" i="3"/>
  <c r="AD50" i="3"/>
  <c r="AD277" i="3"/>
  <c r="AD354" i="3"/>
  <c r="AD37" i="3"/>
  <c r="AD109" i="3"/>
  <c r="AD348" i="3"/>
  <c r="AD259" i="3"/>
  <c r="AD284" i="3"/>
  <c r="AD480" i="3"/>
  <c r="AD476" i="3"/>
  <c r="AD382" i="3"/>
  <c r="AD41" i="3"/>
  <c r="AD282" i="3"/>
  <c r="AD216" i="3"/>
  <c r="AD477" i="3"/>
  <c r="AD532" i="3"/>
  <c r="AD257" i="3"/>
  <c r="AD445" i="3"/>
  <c r="AD283" i="3"/>
  <c r="AD472" i="3"/>
  <c r="AD533" i="3"/>
  <c r="AD154" i="3"/>
  <c r="AD265" i="3"/>
  <c r="AD72" i="3"/>
  <c r="AD319" i="3"/>
  <c r="AD74" i="3"/>
  <c r="AD181" i="3"/>
  <c r="AD381" i="3"/>
  <c r="AD363" i="3"/>
  <c r="AD509" i="3"/>
  <c r="AD318" i="3"/>
  <c r="AD223" i="3"/>
  <c r="AD312" i="3"/>
  <c r="AD182" i="3"/>
  <c r="AD313" i="3"/>
  <c r="AD521" i="3"/>
  <c r="AD413" i="3"/>
  <c r="AD493" i="3"/>
  <c r="AD436" i="3"/>
  <c r="AD516" i="3"/>
  <c r="AD276" i="3"/>
  <c r="AD278" i="3"/>
  <c r="AD417" i="3"/>
  <c r="AD303" i="3"/>
  <c r="AD513" i="3"/>
  <c r="AD177" i="3"/>
  <c r="AD285" i="3"/>
  <c r="AD92" i="3"/>
  <c r="AD377" i="3"/>
  <c r="AD156" i="3"/>
  <c r="AD84" i="3"/>
  <c r="AD141" i="3"/>
  <c r="AD373" i="3"/>
  <c r="AD79" i="3"/>
  <c r="AD97" i="3"/>
  <c r="AD123" i="3"/>
  <c r="AD144" i="3"/>
  <c r="AD478" i="3"/>
  <c r="AD55" i="3"/>
  <c r="AD114" i="3"/>
  <c r="AD235" i="3"/>
  <c r="AD68" i="3"/>
  <c r="AD531" i="3"/>
  <c r="AD502" i="3"/>
  <c r="AD501" i="3"/>
  <c r="AD298" i="3"/>
  <c r="AD386" i="3"/>
  <c r="AD364" i="3"/>
  <c r="AD64" i="3"/>
  <c r="AD473" i="3"/>
  <c r="AD407" i="3"/>
  <c r="AD515" i="3"/>
  <c r="AD148" i="3"/>
  <c r="AD367" i="3"/>
  <c r="AD459" i="3"/>
  <c r="AD167" i="3"/>
  <c r="AD51" i="3"/>
  <c r="AD86" i="3"/>
  <c r="AD213" i="3"/>
  <c r="AD420" i="3"/>
  <c r="AD126" i="3"/>
  <c r="AD528" i="3"/>
  <c r="AD279" i="3"/>
  <c r="AD149" i="3"/>
  <c r="AD73" i="3"/>
  <c r="AD176" i="3"/>
  <c r="AD358" i="3"/>
  <c r="AD355" i="3"/>
  <c r="AD345" i="3"/>
  <c r="AD160" i="3"/>
  <c r="AD536" i="3"/>
  <c r="AD266" i="3"/>
  <c r="AD219" i="3"/>
  <c r="AD451" i="3"/>
  <c r="AD399" i="3"/>
  <c r="AD81" i="3"/>
  <c r="AD208" i="3"/>
  <c r="AD434" i="3"/>
  <c r="AD262" i="3"/>
  <c r="AD237" i="3"/>
  <c r="AD222" i="3"/>
  <c r="AD185" i="3"/>
  <c r="AD6" i="3"/>
  <c r="AD320" i="3"/>
  <c r="AD526" i="3"/>
  <c r="AD419" i="3"/>
  <c r="AD387" i="3"/>
  <c r="AD301" i="3"/>
  <c r="AD101" i="3"/>
  <c r="AD187" i="3"/>
  <c r="AD139" i="3"/>
  <c r="AD229" i="3"/>
  <c r="AD61" i="3"/>
  <c r="AD214" i="3"/>
  <c r="AD360" i="3"/>
  <c r="AD334" i="3"/>
  <c r="AD507" i="3"/>
  <c r="AD439" i="3"/>
  <c r="AD200" i="3"/>
  <c r="AD338" i="3"/>
  <c r="AD174" i="3"/>
  <c r="AD45" i="3"/>
  <c r="AD535" i="3"/>
  <c r="AD124" i="3"/>
  <c r="AD117" i="3"/>
  <c r="AD42" i="3"/>
  <c r="AD326" i="3"/>
  <c r="AD396" i="3"/>
  <c r="AD352" i="3"/>
  <c r="AD453" i="3"/>
  <c r="AD54" i="3"/>
  <c r="AD376" i="3"/>
  <c r="AD309" i="3"/>
  <c r="AD58" i="3"/>
  <c r="AD410" i="3"/>
  <c r="AD380" i="3"/>
  <c r="AD294" i="3"/>
  <c r="AD233" i="3"/>
  <c r="AD80" i="3"/>
  <c r="AD441" i="3"/>
  <c r="AD105" i="3"/>
  <c r="AD344" i="3"/>
  <c r="AD421" i="3"/>
  <c r="AD240" i="3"/>
  <c r="AD38" i="3"/>
  <c r="AD433" i="3"/>
  <c r="AD211" i="3"/>
  <c r="AD189" i="3"/>
  <c r="AD59" i="3"/>
  <c r="AD243" i="3"/>
  <c r="AD210" i="3"/>
  <c r="AD456" i="3"/>
  <c r="AD422" i="3"/>
  <c r="AD424" i="3"/>
  <c r="AD199" i="3"/>
  <c r="AD95" i="3"/>
  <c r="AD491" i="3"/>
  <c r="AD317" i="3"/>
  <c r="AD280" i="3"/>
  <c r="AD330" i="3"/>
  <c r="AD143" i="3"/>
  <c r="AD379" i="3"/>
  <c r="AD39" i="3"/>
  <c r="AD100" i="3"/>
  <c r="AD374" i="3"/>
  <c r="AD412" i="3"/>
  <c r="AD392" i="3"/>
  <c r="AD429" i="3"/>
  <c r="AD206" i="3"/>
  <c r="AD137" i="3"/>
  <c r="AD44" i="3"/>
  <c r="AD4" i="3"/>
  <c r="AD169" i="3"/>
  <c r="AD217" i="3"/>
  <c r="AD136" i="3"/>
  <c r="AD357" i="3"/>
  <c r="AD260" i="3"/>
  <c r="AD205" i="3"/>
  <c r="AD197" i="3"/>
  <c r="AD333" i="3"/>
  <c r="AD460" i="3"/>
  <c r="AD179" i="3"/>
  <c r="AD458" i="3"/>
  <c r="AD115" i="3"/>
  <c r="AD112" i="3"/>
  <c r="AD131" i="3"/>
  <c r="AD350" i="3"/>
  <c r="AD63" i="3"/>
  <c r="AD142" i="3"/>
  <c r="AD207" i="3"/>
  <c r="AD498" i="3"/>
  <c r="AD232" i="3"/>
  <c r="AD466" i="3"/>
  <c r="AD432" i="3"/>
  <c r="AD253" i="3"/>
  <c r="AD302" i="3"/>
  <c r="AD40" i="3"/>
  <c r="AD184" i="3"/>
  <c r="AD487" i="3"/>
  <c r="AD198" i="3"/>
  <c r="AD106" i="3"/>
  <c r="AD90" i="3"/>
  <c r="AD519" i="3"/>
  <c r="AD481" i="3"/>
  <c r="AD7" i="3"/>
  <c r="AD26" i="3"/>
  <c r="AD261" i="3"/>
  <c r="AD483" i="3"/>
  <c r="AD116" i="3"/>
  <c r="AD442" i="3"/>
  <c r="AD342" i="3"/>
  <c r="AD311" i="3"/>
  <c r="AD328" i="3"/>
  <c r="AD395" i="3"/>
  <c r="AD18" i="3"/>
  <c r="AD56" i="3"/>
  <c r="AD390" i="3"/>
  <c r="AD191" i="3"/>
  <c r="AD321" i="3"/>
  <c r="AD297" i="3"/>
  <c r="AD162" i="3"/>
  <c r="AD430" i="3"/>
  <c r="AD449" i="3"/>
  <c r="AD250" i="3"/>
  <c r="AD16" i="3"/>
  <c r="AD468" i="3"/>
  <c r="AD322" i="3"/>
  <c r="AD170" i="3"/>
  <c r="AD273" i="3"/>
  <c r="AD475" i="3"/>
  <c r="AD238" i="3"/>
  <c r="AD275" i="3"/>
  <c r="AD353" i="3"/>
  <c r="AD450" i="3"/>
  <c r="AD241" i="3"/>
  <c r="AD463" i="3"/>
  <c r="AD62" i="3"/>
  <c r="AD96" i="3"/>
  <c r="AD125" i="3"/>
  <c r="AD346" i="3"/>
  <c r="AD248" i="3"/>
  <c r="AD307" i="3"/>
  <c r="AD53" i="3"/>
  <c r="AD228" i="3"/>
  <c r="AD25" i="3"/>
  <c r="AD486" i="3"/>
  <c r="AD431" i="3"/>
  <c r="AD71" i="3"/>
  <c r="AD17" i="3"/>
  <c r="AD394" i="3"/>
  <c r="AD11" i="3"/>
  <c r="AD43" i="3"/>
  <c r="AD461" i="3"/>
  <c r="AD375" i="3"/>
  <c r="AD85" i="3"/>
  <c r="AD203" i="3"/>
  <c r="AD514" i="3"/>
  <c r="AD196" i="3"/>
  <c r="AD255" i="3"/>
  <c r="AD274" i="3"/>
  <c r="AD180" i="3"/>
  <c r="AD252" i="3"/>
  <c r="AD165" i="3"/>
  <c r="AD254" i="3"/>
  <c r="AD48" i="3"/>
  <c r="AD485" i="3"/>
  <c r="AD397" i="3"/>
  <c r="AD299" i="3"/>
  <c r="AD438" i="3"/>
  <c r="AD21" i="3"/>
  <c r="AD447" i="3"/>
  <c r="AD52" i="3"/>
  <c r="AD34" i="3"/>
  <c r="AD288" i="3"/>
  <c r="AD314" i="3"/>
  <c r="AD511" i="3"/>
  <c r="AD340" i="3"/>
  <c r="AD78" i="3"/>
  <c r="AD484" i="3"/>
  <c r="AD444" i="3"/>
  <c r="AD132" i="3"/>
  <c r="AD308" i="3"/>
  <c r="AD351" i="3"/>
  <c r="AD135" i="3"/>
  <c r="AD365" i="3"/>
  <c r="AD343" i="3"/>
  <c r="AD494" i="3"/>
  <c r="AD337" i="3"/>
  <c r="AD339" i="3"/>
  <c r="AD70" i="3"/>
  <c r="AD230" i="3"/>
  <c r="AD270" i="3"/>
  <c r="AD32" i="3"/>
  <c r="AD349" i="3"/>
  <c r="AD108" i="3"/>
  <c r="AD361" i="3"/>
  <c r="AD366" i="3"/>
  <c r="AD161" i="3"/>
  <c r="AD15" i="3"/>
  <c r="AD289" i="3"/>
  <c r="AD245" i="3"/>
  <c r="AD138" i="3"/>
  <c r="AD239" i="3"/>
  <c r="AD264" i="3"/>
  <c r="AD103" i="3"/>
  <c r="AD83" i="3"/>
  <c r="AD246" i="3"/>
  <c r="AD35" i="3"/>
  <c r="AD504" i="3"/>
  <c r="AD166" i="3"/>
  <c r="AD49" i="3"/>
  <c r="AD389" i="3"/>
  <c r="AD258" i="3"/>
  <c r="AD510" i="3"/>
  <c r="AD94" i="3"/>
  <c r="AD33" i="3"/>
  <c r="AD443" i="3"/>
  <c r="AD150" i="3"/>
  <c r="AD164" i="3"/>
  <c r="AD448" i="3"/>
  <c r="AD183" i="3"/>
  <c r="AD306" i="3"/>
  <c r="AD269" i="3"/>
  <c r="AD488" i="3"/>
  <c r="AD440" i="3"/>
  <c r="AD46" i="3"/>
  <c r="AD268" i="3"/>
  <c r="AD418" i="3"/>
  <c r="AD490" i="3"/>
  <c r="AD113" i="3"/>
  <c r="AD336" i="3"/>
  <c r="AD388" i="3"/>
  <c r="AD212" i="3"/>
  <c r="AD503" i="3"/>
  <c r="AD378" i="3"/>
  <c r="AD524" i="3"/>
  <c r="AD242" i="3"/>
  <c r="AD121" i="3"/>
  <c r="AD293" i="3"/>
  <c r="AD220" i="3"/>
  <c r="AD527" i="3"/>
  <c r="AD151" i="3"/>
  <c r="AD145" i="3"/>
  <c r="AD190" i="3"/>
  <c r="AD523" i="3"/>
  <c r="AD5" i="3"/>
  <c r="AD146" i="3"/>
  <c r="AD247" i="3"/>
  <c r="AD28" i="3"/>
  <c r="AD525" i="3"/>
  <c r="AD335" i="3"/>
  <c r="AD359" i="3"/>
  <c r="AD305" i="3"/>
  <c r="AD517" i="3"/>
  <c r="AD47" i="3"/>
  <c r="AD518" i="3"/>
  <c r="AD446" i="3"/>
  <c r="AD76" i="3"/>
  <c r="AD506" i="3"/>
  <c r="AD236" i="3"/>
  <c r="D161" i="81" l="1"/>
  <c r="E161" i="81"/>
  <c r="F161" i="81"/>
  <c r="G161" i="81"/>
  <c r="H161" i="81"/>
  <c r="I161" i="81"/>
  <c r="J161" i="81"/>
  <c r="K161" i="81"/>
  <c r="L161" i="81"/>
  <c r="M161" i="81"/>
  <c r="N161" i="81"/>
  <c r="D162" i="81"/>
  <c r="E162" i="81"/>
  <c r="F162" i="81"/>
  <c r="G162" i="81"/>
  <c r="H162" i="81"/>
  <c r="I162" i="81"/>
  <c r="J162" i="81"/>
  <c r="K162" i="81"/>
  <c r="L162" i="81"/>
  <c r="M162" i="81"/>
  <c r="N162" i="81"/>
  <c r="D163" i="81"/>
  <c r="E163" i="81"/>
  <c r="F163" i="81"/>
  <c r="G163" i="81"/>
  <c r="H163" i="81"/>
  <c r="I163" i="81"/>
  <c r="J163" i="81"/>
  <c r="K163" i="81"/>
  <c r="L163" i="81"/>
  <c r="M163" i="81"/>
  <c r="N163" i="81"/>
  <c r="O163" i="81"/>
  <c r="O162" i="81"/>
  <c r="O22" i="36" l="1"/>
  <c r="N22" i="36"/>
  <c r="M22" i="36"/>
  <c r="L22" i="36"/>
  <c r="K22" i="36"/>
  <c r="J22" i="36"/>
  <c r="I22" i="36"/>
  <c r="H22" i="36"/>
  <c r="G22" i="36"/>
  <c r="F22" i="36"/>
  <c r="E22" i="36"/>
  <c r="D22" i="36"/>
  <c r="D115" i="81" l="1"/>
  <c r="E115" i="81"/>
  <c r="F115" i="81"/>
  <c r="G115" i="81"/>
  <c r="H115" i="81"/>
  <c r="I115" i="81"/>
  <c r="J115" i="81"/>
  <c r="K115" i="81"/>
  <c r="L115" i="81"/>
  <c r="M115" i="81"/>
  <c r="N115" i="81"/>
  <c r="D116" i="81"/>
  <c r="E116" i="81"/>
  <c r="F116" i="81"/>
  <c r="G116" i="81"/>
  <c r="H116" i="81"/>
  <c r="I116" i="81"/>
  <c r="J116" i="81"/>
  <c r="K116" i="81"/>
  <c r="L116" i="81"/>
  <c r="M116" i="81"/>
  <c r="N116" i="81"/>
  <c r="D117" i="81"/>
  <c r="E117" i="81"/>
  <c r="F117" i="81"/>
  <c r="G117" i="81"/>
  <c r="H117" i="81"/>
  <c r="I117" i="81"/>
  <c r="J117" i="81"/>
  <c r="K117" i="81"/>
  <c r="L117" i="81"/>
  <c r="M117" i="81"/>
  <c r="N117" i="81"/>
  <c r="O117" i="81"/>
  <c r="O116" i="81"/>
  <c r="O115" i="81"/>
  <c r="D8" i="14" l="1"/>
  <c r="D13" i="12" s="1"/>
  <c r="D14" i="12" s="1"/>
  <c r="E8" i="14"/>
  <c r="E13" i="12" s="1"/>
  <c r="E14" i="12" s="1"/>
  <c r="F8" i="14"/>
  <c r="F13" i="12" s="1"/>
  <c r="F14" i="12" s="1"/>
  <c r="G8" i="14"/>
  <c r="G13" i="12" s="1"/>
  <c r="G14" i="12" s="1"/>
  <c r="H8" i="14"/>
  <c r="H13" i="12" s="1"/>
  <c r="H14" i="12" s="1"/>
  <c r="I8" i="14"/>
  <c r="I13" i="12" s="1"/>
  <c r="I14" i="12" s="1"/>
  <c r="J8" i="14"/>
  <c r="J13" i="12" s="1"/>
  <c r="J14" i="12" s="1"/>
  <c r="K8" i="14"/>
  <c r="K13" i="12" s="1"/>
  <c r="K14" i="12" s="1"/>
  <c r="L8" i="14"/>
  <c r="L13" i="12" s="1"/>
  <c r="L14" i="12" s="1"/>
  <c r="M8" i="14"/>
  <c r="M13" i="12" s="1"/>
  <c r="M14" i="12" s="1"/>
  <c r="N8" i="14"/>
  <c r="N13" i="12" s="1"/>
  <c r="N14" i="12" s="1"/>
  <c r="D11" i="14"/>
  <c r="D16" i="12" s="1"/>
  <c r="E11" i="14"/>
  <c r="E16" i="12" s="1"/>
  <c r="F11" i="14"/>
  <c r="F16" i="12" s="1"/>
  <c r="G11" i="14"/>
  <c r="G16" i="12" s="1"/>
  <c r="H11" i="14"/>
  <c r="H16" i="12" s="1"/>
  <c r="I11" i="14"/>
  <c r="I16" i="12" s="1"/>
  <c r="J11" i="14"/>
  <c r="J16" i="12" s="1"/>
  <c r="K11" i="14"/>
  <c r="K16" i="12" s="1"/>
  <c r="L11" i="14"/>
  <c r="L16" i="12" s="1"/>
  <c r="M11" i="14"/>
  <c r="M16" i="12" s="1"/>
  <c r="N11" i="14"/>
  <c r="N16" i="12" s="1"/>
  <c r="D3" i="14"/>
  <c r="E3" i="14"/>
  <c r="F3" i="14"/>
  <c r="G3" i="14"/>
  <c r="H3" i="14"/>
  <c r="I3" i="14"/>
  <c r="J3" i="14"/>
  <c r="K3" i="14"/>
  <c r="L3" i="14"/>
  <c r="M3" i="14"/>
  <c r="N3" i="14"/>
  <c r="O3" i="14"/>
  <c r="O44" i="14"/>
  <c r="N44" i="14"/>
  <c r="M44" i="14"/>
  <c r="L44" i="14"/>
  <c r="K44" i="14"/>
  <c r="J44" i="14"/>
  <c r="I44" i="14"/>
  <c r="H44" i="14"/>
  <c r="G44" i="14"/>
  <c r="F44" i="14"/>
  <c r="E44" i="14"/>
  <c r="D44" i="14"/>
  <c r="O35" i="14"/>
  <c r="N35" i="14"/>
  <c r="M35" i="14"/>
  <c r="L35" i="14"/>
  <c r="K35" i="14"/>
  <c r="J35" i="14"/>
  <c r="I35" i="14"/>
  <c r="H35" i="14"/>
  <c r="G35" i="14"/>
  <c r="F35" i="14"/>
  <c r="E35" i="14"/>
  <c r="D35" i="14"/>
  <c r="O31" i="14"/>
  <c r="N31" i="14"/>
  <c r="M31" i="14"/>
  <c r="L31" i="14"/>
  <c r="K31" i="14"/>
  <c r="J31" i="14"/>
  <c r="I31" i="14"/>
  <c r="H31" i="14"/>
  <c r="G31" i="14"/>
  <c r="F31" i="14"/>
  <c r="E31" i="14"/>
  <c r="D31" i="14"/>
  <c r="G22" i="12" l="1"/>
  <c r="G20" i="12"/>
  <c r="N22" i="12"/>
  <c r="N20" i="12"/>
  <c r="J22" i="12"/>
  <c r="J20" i="12"/>
  <c r="F22" i="12"/>
  <c r="F20" i="12"/>
  <c r="M22" i="12"/>
  <c r="M20" i="12"/>
  <c r="I20" i="12"/>
  <c r="I22" i="12"/>
  <c r="E20" i="12"/>
  <c r="E22" i="12"/>
  <c r="K20" i="12"/>
  <c r="K22" i="12"/>
  <c r="L20" i="12"/>
  <c r="L22" i="12"/>
  <c r="H20" i="12"/>
  <c r="H22" i="12"/>
  <c r="D22" i="12"/>
  <c r="D20" i="12"/>
  <c r="O28" i="65"/>
  <c r="D115" i="64" l="1"/>
  <c r="E115" i="64"/>
  <c r="F115" i="64"/>
  <c r="G115" i="64"/>
  <c r="H115" i="64"/>
  <c r="I115" i="64"/>
  <c r="J115" i="64"/>
  <c r="K115" i="64"/>
  <c r="L115" i="64"/>
  <c r="M115" i="64"/>
  <c r="N115" i="64"/>
  <c r="O115" i="64"/>
  <c r="O337" i="49" l="1"/>
  <c r="D179" i="13" l="1"/>
  <c r="E179" i="13"/>
  <c r="F179" i="13"/>
  <c r="G179" i="13"/>
  <c r="H179" i="13"/>
  <c r="I179" i="13"/>
  <c r="J179" i="13"/>
  <c r="K179" i="13"/>
  <c r="L179" i="13"/>
  <c r="M179" i="13"/>
  <c r="N179" i="13"/>
  <c r="O179" i="13"/>
  <c r="D9" i="36" l="1"/>
  <c r="E9" i="36"/>
  <c r="F9" i="36"/>
  <c r="G9" i="36"/>
  <c r="H9" i="36"/>
  <c r="I9" i="36"/>
  <c r="J9" i="36"/>
  <c r="K9" i="36"/>
  <c r="L9" i="36"/>
  <c r="M9" i="36"/>
  <c r="N9" i="36"/>
  <c r="D7" i="36"/>
  <c r="E7" i="36"/>
  <c r="F7" i="36"/>
  <c r="G7" i="36"/>
  <c r="H7" i="36"/>
  <c r="I7" i="36"/>
  <c r="J7" i="36"/>
  <c r="K7" i="36"/>
  <c r="L7" i="36"/>
  <c r="M7" i="36"/>
  <c r="N7" i="36"/>
  <c r="O59" i="36"/>
  <c r="N59" i="36"/>
  <c r="M59" i="36"/>
  <c r="L59" i="36"/>
  <c r="K59" i="36"/>
  <c r="J59" i="36"/>
  <c r="I59" i="36"/>
  <c r="H59" i="36"/>
  <c r="G59" i="36"/>
  <c r="F59" i="36"/>
  <c r="E59" i="36"/>
  <c r="D59" i="36"/>
  <c r="D39" i="36"/>
  <c r="E39" i="36"/>
  <c r="F39" i="36"/>
  <c r="G39" i="36"/>
  <c r="H39" i="36"/>
  <c r="I39" i="36"/>
  <c r="J39" i="36"/>
  <c r="K39" i="36"/>
  <c r="L39" i="36"/>
  <c r="M39" i="36"/>
  <c r="N39" i="36"/>
  <c r="O39" i="36"/>
  <c r="O68" i="36"/>
  <c r="N68" i="36"/>
  <c r="M68" i="36"/>
  <c r="L68" i="36"/>
  <c r="K68" i="36"/>
  <c r="J68" i="36"/>
  <c r="I68" i="36"/>
  <c r="H68" i="36"/>
  <c r="G68" i="36"/>
  <c r="F68" i="36"/>
  <c r="E68" i="36"/>
  <c r="D68" i="36"/>
  <c r="O63" i="36"/>
  <c r="N63" i="36"/>
  <c r="M63" i="36"/>
  <c r="L63" i="36"/>
  <c r="K63" i="36"/>
  <c r="J63" i="36"/>
  <c r="I63" i="36"/>
  <c r="H63" i="36"/>
  <c r="G63" i="36"/>
  <c r="F63" i="36"/>
  <c r="E63" i="36"/>
  <c r="D63" i="36"/>
  <c r="O56" i="36"/>
  <c r="N56" i="36"/>
  <c r="M56" i="36"/>
  <c r="L56" i="36"/>
  <c r="K56" i="36"/>
  <c r="J56" i="36"/>
  <c r="I56" i="36"/>
  <c r="H56" i="36"/>
  <c r="G56" i="36"/>
  <c r="F56" i="36"/>
  <c r="E56" i="36"/>
  <c r="D56" i="36"/>
  <c r="O53" i="36"/>
  <c r="N53" i="36"/>
  <c r="M53" i="36"/>
  <c r="L53" i="36"/>
  <c r="K53" i="36"/>
  <c r="J53" i="36"/>
  <c r="I53" i="36"/>
  <c r="H53" i="36"/>
  <c r="G53" i="36"/>
  <c r="F53" i="36"/>
  <c r="E53" i="36"/>
  <c r="D53" i="36"/>
  <c r="O49" i="36"/>
  <c r="N49" i="36"/>
  <c r="M49" i="36"/>
  <c r="L49" i="36"/>
  <c r="K49" i="36"/>
  <c r="J49" i="36"/>
  <c r="I49" i="36"/>
  <c r="H49" i="36"/>
  <c r="G49" i="36"/>
  <c r="F49" i="36"/>
  <c r="E49" i="36"/>
  <c r="D49" i="36"/>
  <c r="O43" i="36"/>
  <c r="N43" i="36"/>
  <c r="M43" i="36"/>
  <c r="L43" i="36"/>
  <c r="K43" i="36"/>
  <c r="J43" i="36"/>
  <c r="I43" i="36"/>
  <c r="H43" i="36"/>
  <c r="G43" i="36"/>
  <c r="F43" i="36"/>
  <c r="E43" i="36"/>
  <c r="D43" i="36"/>
  <c r="N3" i="36"/>
  <c r="M3" i="36"/>
  <c r="L3" i="36"/>
  <c r="K3" i="36"/>
  <c r="J3" i="36"/>
  <c r="I3" i="36"/>
  <c r="H3" i="36"/>
  <c r="G3" i="36"/>
  <c r="F3" i="36"/>
  <c r="E3" i="36"/>
  <c r="D3" i="36"/>
  <c r="O29" i="36"/>
  <c r="N29" i="36"/>
  <c r="M29" i="36"/>
  <c r="L29" i="36"/>
  <c r="K29" i="36"/>
  <c r="J29" i="36"/>
  <c r="I29" i="36"/>
  <c r="H29" i="36"/>
  <c r="G29" i="36"/>
  <c r="F29" i="36"/>
  <c r="E29" i="36"/>
  <c r="D29" i="36"/>
  <c r="O25" i="36"/>
  <c r="N25" i="36"/>
  <c r="M25" i="36"/>
  <c r="L25" i="36"/>
  <c r="K25" i="36"/>
  <c r="J25" i="36"/>
  <c r="I25" i="36"/>
  <c r="H25" i="36"/>
  <c r="G25" i="36"/>
  <c r="F25" i="36"/>
  <c r="E25" i="36"/>
  <c r="D25" i="36"/>
  <c r="D7" i="16" l="1"/>
  <c r="E7" i="16"/>
  <c r="F7" i="16"/>
  <c r="G7" i="16"/>
  <c r="H7" i="16"/>
  <c r="I7" i="16"/>
  <c r="J7" i="16"/>
  <c r="K7" i="16"/>
  <c r="L7" i="16"/>
  <c r="M7" i="16"/>
  <c r="N7" i="16"/>
  <c r="O7" i="16"/>
  <c r="D3" i="16" l="1"/>
  <c r="E3" i="16"/>
  <c r="F3" i="16"/>
  <c r="G3" i="16"/>
  <c r="H3" i="16"/>
  <c r="I3" i="16"/>
  <c r="J3" i="16"/>
  <c r="K3" i="16"/>
  <c r="L3" i="16"/>
  <c r="M3" i="16"/>
  <c r="N3" i="16"/>
  <c r="O3" i="16"/>
  <c r="D12" i="16"/>
  <c r="E12" i="16"/>
  <c r="F12" i="16"/>
  <c r="G12" i="16"/>
  <c r="H12" i="16"/>
  <c r="I12" i="16"/>
  <c r="J12" i="16"/>
  <c r="K12" i="16"/>
  <c r="L12" i="16"/>
  <c r="M12" i="16"/>
  <c r="N12" i="16"/>
  <c r="O12" i="16"/>
  <c r="D9" i="16"/>
  <c r="E9" i="16"/>
  <c r="F9" i="16"/>
  <c r="G9" i="16"/>
  <c r="H9" i="16"/>
  <c r="I9" i="16"/>
  <c r="J9" i="16"/>
  <c r="K9" i="16"/>
  <c r="L9" i="16"/>
  <c r="M9" i="16"/>
  <c r="N9" i="16"/>
  <c r="O9" i="16"/>
  <c r="O30" i="16"/>
  <c r="N30" i="16"/>
  <c r="M30" i="16"/>
  <c r="L30" i="16"/>
  <c r="K30" i="16"/>
  <c r="J30" i="16"/>
  <c r="I30" i="16"/>
  <c r="H30" i="16"/>
  <c r="G30" i="16"/>
  <c r="F30" i="16"/>
  <c r="E30" i="16"/>
  <c r="D30" i="16"/>
  <c r="O51" i="16"/>
  <c r="N51" i="16"/>
  <c r="M51" i="16"/>
  <c r="L51" i="16"/>
  <c r="K51" i="16"/>
  <c r="J51" i="16"/>
  <c r="I51" i="16"/>
  <c r="H51" i="16"/>
  <c r="G51" i="16"/>
  <c r="F51" i="16"/>
  <c r="E51" i="16"/>
  <c r="D51" i="16"/>
  <c r="O46" i="16"/>
  <c r="N46" i="16"/>
  <c r="M46" i="16"/>
  <c r="L46" i="16"/>
  <c r="K46" i="16"/>
  <c r="J46" i="16"/>
  <c r="I46" i="16"/>
  <c r="H46" i="16"/>
  <c r="G46" i="16"/>
  <c r="F46" i="16"/>
  <c r="E46" i="16"/>
  <c r="D46" i="16"/>
  <c r="O41" i="16"/>
  <c r="N41" i="16"/>
  <c r="M41" i="16"/>
  <c r="L41" i="16"/>
  <c r="K41" i="16"/>
  <c r="J41" i="16"/>
  <c r="I41" i="16"/>
  <c r="H41" i="16"/>
  <c r="G41" i="16"/>
  <c r="F41" i="16"/>
  <c r="E41" i="16"/>
  <c r="D41" i="16"/>
  <c r="D124" i="81" l="1"/>
  <c r="E124" i="81"/>
  <c r="F124" i="81"/>
  <c r="G124" i="81"/>
  <c r="H124" i="81"/>
  <c r="I124" i="81"/>
  <c r="J124" i="81"/>
  <c r="K124" i="81"/>
  <c r="L124" i="81"/>
  <c r="M124" i="81"/>
  <c r="N124" i="81"/>
  <c r="O124" i="81"/>
  <c r="O161" i="81"/>
  <c r="O83" i="33" l="1"/>
  <c r="O204" i="25" l="1"/>
  <c r="D217" i="13" l="1"/>
  <c r="E217" i="13"/>
  <c r="F217" i="13"/>
  <c r="G217" i="13"/>
  <c r="H217" i="13"/>
  <c r="I217" i="13"/>
  <c r="J217" i="13"/>
  <c r="K217" i="13"/>
  <c r="L217" i="13"/>
  <c r="M217" i="13"/>
  <c r="N217" i="13"/>
  <c r="O217" i="13"/>
  <c r="D218" i="13"/>
  <c r="E218" i="13"/>
  <c r="F218" i="13"/>
  <c r="G218" i="13"/>
  <c r="H218" i="13"/>
  <c r="I218" i="13"/>
  <c r="J218" i="13"/>
  <c r="K218" i="13"/>
  <c r="L218" i="13"/>
  <c r="M218" i="13"/>
  <c r="N218" i="13"/>
  <c r="O218" i="13"/>
  <c r="D138" i="13"/>
  <c r="E138" i="13"/>
  <c r="F138" i="13"/>
  <c r="G138" i="13"/>
  <c r="H138" i="13"/>
  <c r="I138" i="13"/>
  <c r="J138" i="13"/>
  <c r="K138" i="13"/>
  <c r="L138" i="13"/>
  <c r="M138" i="13"/>
  <c r="N138" i="13"/>
  <c r="D139" i="13"/>
  <c r="E139" i="13"/>
  <c r="F139" i="13"/>
  <c r="G139" i="13"/>
  <c r="H139" i="13"/>
  <c r="I139" i="13"/>
  <c r="J139" i="13"/>
  <c r="K139" i="13"/>
  <c r="L139" i="13"/>
  <c r="M139" i="13"/>
  <c r="N139" i="13"/>
  <c r="O139" i="13"/>
  <c r="O138" i="13"/>
  <c r="D116" i="13"/>
  <c r="E116" i="13"/>
  <c r="F116" i="13"/>
  <c r="G116" i="13"/>
  <c r="H116" i="13"/>
  <c r="I116" i="13"/>
  <c r="J116" i="13"/>
  <c r="K116" i="13"/>
  <c r="L116" i="13"/>
  <c r="M116" i="13"/>
  <c r="N116" i="13"/>
  <c r="O116" i="13"/>
  <c r="O128" i="13"/>
  <c r="N128" i="13"/>
  <c r="M128" i="13"/>
  <c r="L128" i="13"/>
  <c r="K128" i="13"/>
  <c r="J128" i="13"/>
  <c r="I128" i="13"/>
  <c r="H128" i="13"/>
  <c r="G128" i="13"/>
  <c r="F128" i="13"/>
  <c r="E128" i="13"/>
  <c r="D128" i="13"/>
  <c r="O124" i="13"/>
  <c r="N124" i="13"/>
  <c r="M124" i="13"/>
  <c r="L124" i="13"/>
  <c r="K124" i="13"/>
  <c r="J124" i="13"/>
  <c r="I124" i="13"/>
  <c r="H124" i="13"/>
  <c r="G124" i="13"/>
  <c r="F124" i="13"/>
  <c r="E124" i="13"/>
  <c r="D124" i="13"/>
  <c r="D13" i="46" l="1"/>
  <c r="D17" i="45" s="1"/>
  <c r="E13" i="46"/>
  <c r="E17" i="45" s="1"/>
  <c r="F13" i="46"/>
  <c r="F17" i="45" s="1"/>
  <c r="G13" i="46"/>
  <c r="G17" i="45" s="1"/>
  <c r="H13" i="46"/>
  <c r="H17" i="45" s="1"/>
  <c r="I13" i="46"/>
  <c r="I17" i="45" s="1"/>
  <c r="J13" i="46"/>
  <c r="J17" i="45" s="1"/>
  <c r="K13" i="46"/>
  <c r="K17" i="45" s="1"/>
  <c r="L13" i="46"/>
  <c r="L17" i="45" s="1"/>
  <c r="M13" i="46"/>
  <c r="M17" i="45" s="1"/>
  <c r="N13" i="46"/>
  <c r="N17" i="45" s="1"/>
  <c r="O13" i="46"/>
  <c r="D10" i="46"/>
  <c r="D12" i="45" s="1"/>
  <c r="D13" i="45" s="1"/>
  <c r="E10" i="46"/>
  <c r="E12" i="45" s="1"/>
  <c r="E13" i="45" s="1"/>
  <c r="F10" i="46"/>
  <c r="F12" i="45" s="1"/>
  <c r="F13" i="45" s="1"/>
  <c r="G10" i="46"/>
  <c r="G12" i="45" s="1"/>
  <c r="G13" i="45" s="1"/>
  <c r="H10" i="46"/>
  <c r="H12" i="45" s="1"/>
  <c r="H13" i="45" s="1"/>
  <c r="I10" i="46"/>
  <c r="I12" i="45" s="1"/>
  <c r="I13" i="45" s="1"/>
  <c r="J10" i="46"/>
  <c r="J12" i="45" s="1"/>
  <c r="J13" i="45" s="1"/>
  <c r="K10" i="46"/>
  <c r="K12" i="45" s="1"/>
  <c r="K13" i="45" s="1"/>
  <c r="L10" i="46"/>
  <c r="L12" i="45" s="1"/>
  <c r="L13" i="45" s="1"/>
  <c r="M10" i="46"/>
  <c r="M12" i="45" s="1"/>
  <c r="M13" i="45" s="1"/>
  <c r="N10" i="46"/>
  <c r="N12" i="45" s="1"/>
  <c r="N13" i="45" s="1"/>
  <c r="O10" i="46"/>
  <c r="D7" i="46"/>
  <c r="D15" i="45" s="1"/>
  <c r="E7" i="46"/>
  <c r="E15" i="45" s="1"/>
  <c r="F7" i="46"/>
  <c r="F15" i="45" s="1"/>
  <c r="G7" i="46"/>
  <c r="G15" i="45" s="1"/>
  <c r="H7" i="46"/>
  <c r="H15" i="45" s="1"/>
  <c r="I7" i="46"/>
  <c r="I15" i="45" s="1"/>
  <c r="J7" i="46"/>
  <c r="J15" i="45" s="1"/>
  <c r="K7" i="46"/>
  <c r="K15" i="45" s="1"/>
  <c r="L7" i="46"/>
  <c r="L15" i="45" s="1"/>
  <c r="M7" i="46"/>
  <c r="M15" i="45" s="1"/>
  <c r="N7" i="46"/>
  <c r="N15" i="45" s="1"/>
  <c r="O7" i="46"/>
  <c r="D3" i="46"/>
  <c r="E3" i="46"/>
  <c r="F3" i="46"/>
  <c r="G3" i="46"/>
  <c r="H3" i="46"/>
  <c r="I3" i="46"/>
  <c r="J3" i="46"/>
  <c r="K3" i="46"/>
  <c r="L3" i="46"/>
  <c r="M3" i="46"/>
  <c r="N3" i="46"/>
  <c r="O3" i="46"/>
  <c r="O59" i="46"/>
  <c r="N59" i="46"/>
  <c r="M59" i="46"/>
  <c r="L59" i="46"/>
  <c r="K59" i="46"/>
  <c r="J59" i="46"/>
  <c r="I59" i="46"/>
  <c r="H59" i="46"/>
  <c r="G59" i="46"/>
  <c r="F59" i="46"/>
  <c r="E59" i="46"/>
  <c r="D59" i="46"/>
  <c r="O51" i="46"/>
  <c r="N51" i="46"/>
  <c r="M51" i="46"/>
  <c r="L51" i="46"/>
  <c r="K51" i="46"/>
  <c r="J51" i="46"/>
  <c r="I51" i="46"/>
  <c r="H51" i="46"/>
  <c r="G51" i="46"/>
  <c r="F51" i="46"/>
  <c r="E51" i="46"/>
  <c r="D51" i="46"/>
  <c r="O48" i="46"/>
  <c r="N48" i="46"/>
  <c r="M48" i="46"/>
  <c r="L48" i="46"/>
  <c r="K48" i="46"/>
  <c r="J48" i="46"/>
  <c r="I48" i="46"/>
  <c r="H48" i="46"/>
  <c r="G48" i="46"/>
  <c r="F48" i="46"/>
  <c r="E48" i="46"/>
  <c r="D48" i="46"/>
  <c r="O42" i="46"/>
  <c r="N42" i="46"/>
  <c r="M42" i="46"/>
  <c r="L42" i="46"/>
  <c r="K42" i="46"/>
  <c r="J42" i="46"/>
  <c r="I42" i="46"/>
  <c r="H42" i="46"/>
  <c r="G42" i="46"/>
  <c r="F42" i="46"/>
  <c r="E42" i="46"/>
  <c r="D42" i="46"/>
  <c r="O34" i="46"/>
  <c r="N34" i="46"/>
  <c r="M34" i="46"/>
  <c r="L34" i="46"/>
  <c r="K34" i="46"/>
  <c r="J34" i="46"/>
  <c r="I34" i="46"/>
  <c r="H34" i="46"/>
  <c r="G34" i="46"/>
  <c r="F34" i="46"/>
  <c r="E34" i="46"/>
  <c r="D34" i="46"/>
  <c r="O31" i="46"/>
  <c r="N31" i="46"/>
  <c r="M31" i="46"/>
  <c r="L31" i="46"/>
  <c r="K31" i="46"/>
  <c r="J31" i="46"/>
  <c r="I31" i="46"/>
  <c r="H31" i="46"/>
  <c r="G31" i="46"/>
  <c r="F31" i="46"/>
  <c r="E31" i="46"/>
  <c r="D31" i="46"/>
  <c r="O28" i="46"/>
  <c r="N28" i="46"/>
  <c r="M28" i="46"/>
  <c r="L28" i="46"/>
  <c r="K28" i="46"/>
  <c r="J28" i="46"/>
  <c r="I28" i="46"/>
  <c r="H28" i="46"/>
  <c r="G28" i="46"/>
  <c r="F28" i="46"/>
  <c r="E28" i="46"/>
  <c r="D28" i="46"/>
  <c r="K21" i="45" l="1"/>
  <c r="K23" i="45"/>
  <c r="N23" i="45"/>
  <c r="N21" i="45"/>
  <c r="J23" i="45"/>
  <c r="J21" i="45"/>
  <c r="F21" i="45"/>
  <c r="F23" i="45"/>
  <c r="G21" i="45"/>
  <c r="G23" i="45"/>
  <c r="M21" i="45"/>
  <c r="M23" i="45"/>
  <c r="I21" i="45"/>
  <c r="I23" i="45"/>
  <c r="E21" i="45"/>
  <c r="E23" i="45"/>
  <c r="L23" i="45"/>
  <c r="L21" i="45"/>
  <c r="H23" i="45"/>
  <c r="H21" i="45"/>
  <c r="D21" i="45"/>
  <c r="D23" i="45"/>
  <c r="O3" i="45"/>
  <c r="O55" i="45"/>
  <c r="N55" i="45"/>
  <c r="M55" i="45"/>
  <c r="L55" i="45"/>
  <c r="K55" i="45"/>
  <c r="J55" i="45"/>
  <c r="I55" i="45"/>
  <c r="H55" i="45"/>
  <c r="G55" i="45"/>
  <c r="F55" i="45"/>
  <c r="E55" i="45"/>
  <c r="D55" i="45"/>
  <c r="O47" i="45"/>
  <c r="N47" i="45"/>
  <c r="M47" i="45"/>
  <c r="L47" i="45"/>
  <c r="K47" i="45"/>
  <c r="J47" i="45"/>
  <c r="I47" i="45"/>
  <c r="H47" i="45"/>
  <c r="G47" i="45"/>
  <c r="F47" i="45"/>
  <c r="E47" i="45"/>
  <c r="D47" i="45"/>
  <c r="O44" i="45"/>
  <c r="N44" i="45"/>
  <c r="M44" i="45"/>
  <c r="L44" i="45"/>
  <c r="K44" i="45"/>
  <c r="J44" i="45"/>
  <c r="I44" i="45"/>
  <c r="H44" i="45"/>
  <c r="G44" i="45"/>
  <c r="F44" i="45"/>
  <c r="E44" i="45"/>
  <c r="D44" i="45"/>
  <c r="O35" i="45"/>
  <c r="N35" i="45"/>
  <c r="M35" i="45"/>
  <c r="L35" i="45"/>
  <c r="K35" i="45"/>
  <c r="J35" i="45"/>
  <c r="I35" i="45"/>
  <c r="H35" i="45"/>
  <c r="G35" i="45"/>
  <c r="F35" i="45"/>
  <c r="E35" i="45"/>
  <c r="D35" i="45"/>
  <c r="O27" i="45"/>
  <c r="N27" i="45"/>
  <c r="M27" i="45"/>
  <c r="L27" i="45"/>
  <c r="K27" i="45"/>
  <c r="J27" i="45"/>
  <c r="I27" i="45"/>
  <c r="H27" i="45"/>
  <c r="G27" i="45"/>
  <c r="F27" i="45"/>
  <c r="E27" i="45"/>
  <c r="D27" i="45"/>
  <c r="D3" i="35"/>
  <c r="D5" i="35" s="1"/>
  <c r="E3" i="35"/>
  <c r="E5" i="35" s="1"/>
  <c r="F3" i="35"/>
  <c r="G3" i="35"/>
  <c r="G5" i="35" s="1"/>
  <c r="H3" i="35"/>
  <c r="H5" i="35" s="1"/>
  <c r="I3" i="35"/>
  <c r="J3" i="35"/>
  <c r="K3" i="35"/>
  <c r="K5" i="35" s="1"/>
  <c r="L3" i="35"/>
  <c r="L5" i="35" s="1"/>
  <c r="M3" i="35"/>
  <c r="M5" i="35" s="1"/>
  <c r="N3" i="35"/>
  <c r="F5" i="35"/>
  <c r="I5" i="35"/>
  <c r="J5" i="35"/>
  <c r="N5" i="35"/>
  <c r="D7" i="35"/>
  <c r="E7" i="35"/>
  <c r="F7" i="35"/>
  <c r="G7" i="35"/>
  <c r="H7" i="35"/>
  <c r="I7" i="35"/>
  <c r="J7" i="35"/>
  <c r="K7" i="35"/>
  <c r="L7" i="35"/>
  <c r="M7" i="35"/>
  <c r="N7" i="35"/>
  <c r="D9" i="35"/>
  <c r="E9" i="35"/>
  <c r="F9" i="35"/>
  <c r="G9" i="35"/>
  <c r="H9" i="35"/>
  <c r="I9" i="35"/>
  <c r="J9" i="35"/>
  <c r="K9" i="35"/>
  <c r="L9" i="35"/>
  <c r="M9" i="35"/>
  <c r="N9" i="35"/>
  <c r="D11" i="35"/>
  <c r="E11" i="35"/>
  <c r="F11" i="35"/>
  <c r="G11" i="35"/>
  <c r="H11" i="35"/>
  <c r="I11" i="35"/>
  <c r="J11" i="35"/>
  <c r="K11" i="35"/>
  <c r="L11" i="35"/>
  <c r="M11" i="35"/>
  <c r="N11" i="35"/>
  <c r="O11" i="35"/>
  <c r="O9" i="35"/>
  <c r="O7" i="35"/>
  <c r="O3" i="35"/>
  <c r="O50" i="35"/>
  <c r="N50" i="35"/>
  <c r="M50" i="35"/>
  <c r="L50" i="35"/>
  <c r="K50" i="35"/>
  <c r="J50" i="35"/>
  <c r="I50" i="35"/>
  <c r="H50" i="35"/>
  <c r="G50" i="35"/>
  <c r="F50" i="35"/>
  <c r="E50" i="35"/>
  <c r="D50" i="35"/>
  <c r="O33" i="35"/>
  <c r="N33" i="35"/>
  <c r="M33" i="35"/>
  <c r="L33" i="35"/>
  <c r="K33" i="35"/>
  <c r="J33" i="35"/>
  <c r="I33" i="35"/>
  <c r="H33" i="35"/>
  <c r="G33" i="35"/>
  <c r="F33" i="35"/>
  <c r="E33" i="35"/>
  <c r="D33" i="35"/>
  <c r="O29" i="35"/>
  <c r="N29" i="35"/>
  <c r="M29" i="35"/>
  <c r="L29" i="35"/>
  <c r="K29" i="35"/>
  <c r="J29" i="35"/>
  <c r="I29" i="35"/>
  <c r="H29" i="35"/>
  <c r="G29" i="35"/>
  <c r="F29" i="35"/>
  <c r="E29" i="35"/>
  <c r="D29" i="35"/>
  <c r="O23" i="35"/>
  <c r="N23" i="35"/>
  <c r="M23" i="35"/>
  <c r="L23" i="35"/>
  <c r="K23" i="35"/>
  <c r="J23" i="35"/>
  <c r="I23" i="35"/>
  <c r="H23" i="35"/>
  <c r="G23" i="35"/>
  <c r="F23" i="35"/>
  <c r="E23" i="35"/>
  <c r="D23" i="35"/>
  <c r="O55" i="12"/>
  <c r="N55" i="12"/>
  <c r="M55" i="12"/>
  <c r="L55" i="12"/>
  <c r="K55" i="12"/>
  <c r="J55" i="12"/>
  <c r="I55" i="12"/>
  <c r="H55" i="12"/>
  <c r="G55" i="12"/>
  <c r="F55" i="12"/>
  <c r="E55" i="12"/>
  <c r="D55" i="12"/>
  <c r="O48" i="12"/>
  <c r="N48" i="12"/>
  <c r="M48" i="12"/>
  <c r="L48" i="12"/>
  <c r="K48" i="12"/>
  <c r="J48" i="12"/>
  <c r="I48" i="12"/>
  <c r="H48" i="12"/>
  <c r="G48" i="12"/>
  <c r="F48" i="12"/>
  <c r="E48" i="12"/>
  <c r="D48" i="12"/>
  <c r="O41" i="12"/>
  <c r="N41" i="12"/>
  <c r="M41" i="12"/>
  <c r="L41" i="12"/>
  <c r="K41" i="12"/>
  <c r="J41" i="12"/>
  <c r="I41" i="12"/>
  <c r="H41" i="12"/>
  <c r="G41" i="12"/>
  <c r="F41" i="12"/>
  <c r="E41" i="12"/>
  <c r="D41" i="12"/>
  <c r="O30" i="12"/>
  <c r="N30" i="12"/>
  <c r="M30" i="12"/>
  <c r="L30" i="12"/>
  <c r="K30" i="12"/>
  <c r="J30" i="12"/>
  <c r="I30" i="12"/>
  <c r="H30" i="12"/>
  <c r="G30" i="12"/>
  <c r="F30" i="12"/>
  <c r="E30" i="12"/>
  <c r="D30" i="12"/>
  <c r="O26" i="12"/>
  <c r="N26" i="12"/>
  <c r="M26" i="12"/>
  <c r="L26" i="12"/>
  <c r="K26" i="12"/>
  <c r="J26" i="12"/>
  <c r="I26" i="12"/>
  <c r="H26" i="12"/>
  <c r="G26" i="12"/>
  <c r="F26" i="12"/>
  <c r="E26" i="12"/>
  <c r="D26" i="12"/>
  <c r="D160" i="61"/>
  <c r="D7" i="61" s="1"/>
  <c r="E160" i="61"/>
  <c r="E7" i="61" s="1"/>
  <c r="F160" i="61"/>
  <c r="F7" i="61" s="1"/>
  <c r="G160" i="61"/>
  <c r="G7" i="61" s="1"/>
  <c r="H160" i="61"/>
  <c r="H7" i="61" s="1"/>
  <c r="I160" i="61"/>
  <c r="I7" i="61" s="1"/>
  <c r="J160" i="61"/>
  <c r="J7" i="61" s="1"/>
  <c r="K160" i="61"/>
  <c r="K7" i="61" s="1"/>
  <c r="L160" i="61"/>
  <c r="L7" i="61" s="1"/>
  <c r="M160" i="61"/>
  <c r="M7" i="61" s="1"/>
  <c r="N160" i="61"/>
  <c r="N7" i="61" s="1"/>
  <c r="D161" i="61"/>
  <c r="D9" i="61" s="1"/>
  <c r="E161" i="61"/>
  <c r="E9" i="61" s="1"/>
  <c r="F161" i="61"/>
  <c r="F9" i="61" s="1"/>
  <c r="G161" i="61"/>
  <c r="G9" i="61" s="1"/>
  <c r="H161" i="61"/>
  <c r="H9" i="61" s="1"/>
  <c r="I161" i="61"/>
  <c r="I9" i="61" s="1"/>
  <c r="J161" i="61"/>
  <c r="J9" i="61" s="1"/>
  <c r="K161" i="61"/>
  <c r="K9" i="61" s="1"/>
  <c r="L161" i="61"/>
  <c r="L9" i="61" s="1"/>
  <c r="M161" i="61"/>
  <c r="M9" i="61" s="1"/>
  <c r="N161" i="61"/>
  <c r="N9" i="61" s="1"/>
  <c r="D162" i="61"/>
  <c r="D11" i="61" s="1"/>
  <c r="E162" i="61"/>
  <c r="E11" i="61" s="1"/>
  <c r="F162" i="61"/>
  <c r="F11" i="61" s="1"/>
  <c r="G162" i="61"/>
  <c r="G11" i="61" s="1"/>
  <c r="H162" i="61"/>
  <c r="H11" i="61" s="1"/>
  <c r="I162" i="61"/>
  <c r="I11" i="61" s="1"/>
  <c r="J162" i="61"/>
  <c r="J11" i="61" s="1"/>
  <c r="K162" i="61"/>
  <c r="K11" i="61" s="1"/>
  <c r="L162" i="61"/>
  <c r="L11" i="61" s="1"/>
  <c r="M162" i="61"/>
  <c r="M11" i="61" s="1"/>
  <c r="N162" i="61"/>
  <c r="N11" i="61" s="1"/>
  <c r="D163" i="61"/>
  <c r="D13" i="61" s="1"/>
  <c r="E163" i="61"/>
  <c r="E13" i="61" s="1"/>
  <c r="F163" i="61"/>
  <c r="F13" i="61" s="1"/>
  <c r="G163" i="61"/>
  <c r="G13" i="61" s="1"/>
  <c r="H163" i="61"/>
  <c r="H13" i="61" s="1"/>
  <c r="I163" i="61"/>
  <c r="I13" i="61" s="1"/>
  <c r="J163" i="61"/>
  <c r="J13" i="61" s="1"/>
  <c r="K163" i="61"/>
  <c r="K13" i="61" s="1"/>
  <c r="L163" i="61"/>
  <c r="L13" i="61" s="1"/>
  <c r="M163" i="61"/>
  <c r="M13" i="61" s="1"/>
  <c r="N163" i="61"/>
  <c r="N13" i="61" s="1"/>
  <c r="D164" i="61"/>
  <c r="D15" i="61" s="1"/>
  <c r="E164" i="61"/>
  <c r="E15" i="61" s="1"/>
  <c r="F164" i="61"/>
  <c r="F15" i="61" s="1"/>
  <c r="G164" i="61"/>
  <c r="G15" i="61" s="1"/>
  <c r="H164" i="61"/>
  <c r="H15" i="61" s="1"/>
  <c r="I164" i="61"/>
  <c r="I15" i="61" s="1"/>
  <c r="J164" i="61"/>
  <c r="J15" i="61" s="1"/>
  <c r="K164" i="61"/>
  <c r="K15" i="61" s="1"/>
  <c r="L164" i="61"/>
  <c r="L15" i="61" s="1"/>
  <c r="M164" i="61"/>
  <c r="M15" i="61" s="1"/>
  <c r="N164" i="61"/>
  <c r="N15" i="61" s="1"/>
  <c r="O164" i="61"/>
  <c r="O163" i="61"/>
  <c r="O162" i="61"/>
  <c r="O161" i="61"/>
  <c r="D28" i="61"/>
  <c r="D3" i="61" s="1"/>
  <c r="D5" i="61" s="1"/>
  <c r="E28" i="61"/>
  <c r="E3" i="61" s="1"/>
  <c r="E5" i="61" s="1"/>
  <c r="F28" i="61"/>
  <c r="F3" i="61" s="1"/>
  <c r="F5" i="61" s="1"/>
  <c r="G28" i="61"/>
  <c r="G3" i="61" s="1"/>
  <c r="G5" i="61" s="1"/>
  <c r="H28" i="61"/>
  <c r="H3" i="61" s="1"/>
  <c r="H5" i="61" s="1"/>
  <c r="I28" i="61"/>
  <c r="I3" i="61" s="1"/>
  <c r="I5" i="61" s="1"/>
  <c r="J28" i="61"/>
  <c r="J3" i="61" s="1"/>
  <c r="J5" i="61" s="1"/>
  <c r="K28" i="61"/>
  <c r="K3" i="61" s="1"/>
  <c r="K5" i="61" s="1"/>
  <c r="L28" i="61"/>
  <c r="L3" i="61" s="1"/>
  <c r="L5" i="61" s="1"/>
  <c r="M28" i="61"/>
  <c r="M3" i="61" s="1"/>
  <c r="M5" i="61" s="1"/>
  <c r="N28" i="61"/>
  <c r="N3" i="61" s="1"/>
  <c r="N5" i="61" s="1"/>
  <c r="O156" i="61"/>
  <c r="N156" i="61"/>
  <c r="M156" i="61"/>
  <c r="L156" i="61"/>
  <c r="K156" i="61"/>
  <c r="J156" i="61"/>
  <c r="I156" i="61"/>
  <c r="H156" i="61"/>
  <c r="G156" i="61"/>
  <c r="F156" i="61"/>
  <c r="E156" i="61"/>
  <c r="D156" i="61"/>
  <c r="O144" i="61"/>
  <c r="N144" i="61"/>
  <c r="M144" i="61"/>
  <c r="L144" i="61"/>
  <c r="K144" i="61"/>
  <c r="J144" i="61"/>
  <c r="I144" i="61"/>
  <c r="H144" i="61"/>
  <c r="G144" i="61"/>
  <c r="F144" i="61"/>
  <c r="E144" i="61"/>
  <c r="D144" i="61"/>
  <c r="O111" i="61" l="1"/>
  <c r="N111" i="61"/>
  <c r="M111" i="61"/>
  <c r="L111" i="61"/>
  <c r="K111" i="61"/>
  <c r="J111" i="61"/>
  <c r="I111" i="61"/>
  <c r="H111" i="61"/>
  <c r="G111" i="61"/>
  <c r="F111" i="61"/>
  <c r="E111" i="61"/>
  <c r="D111" i="61"/>
  <c r="O106" i="61"/>
  <c r="N106" i="61"/>
  <c r="M106" i="61"/>
  <c r="L106" i="61"/>
  <c r="K106" i="61"/>
  <c r="J106" i="61"/>
  <c r="I106" i="61"/>
  <c r="H106" i="61"/>
  <c r="G106" i="61"/>
  <c r="F106" i="61"/>
  <c r="E106" i="61"/>
  <c r="D106" i="61"/>
  <c r="O96" i="61"/>
  <c r="N96" i="61"/>
  <c r="M96" i="61"/>
  <c r="L96" i="61"/>
  <c r="K96" i="61"/>
  <c r="J96" i="61"/>
  <c r="I96" i="61"/>
  <c r="H96" i="61"/>
  <c r="G96" i="61"/>
  <c r="F96" i="61"/>
  <c r="E96" i="61"/>
  <c r="D96" i="61"/>
  <c r="O91" i="61"/>
  <c r="N91" i="61"/>
  <c r="M91" i="61"/>
  <c r="L91" i="61"/>
  <c r="K91" i="61"/>
  <c r="J91" i="61"/>
  <c r="I91" i="61"/>
  <c r="H91" i="61"/>
  <c r="G91" i="61"/>
  <c r="F91" i="61"/>
  <c r="E91" i="61"/>
  <c r="D91" i="61"/>
  <c r="O86" i="61"/>
  <c r="N86" i="61"/>
  <c r="M86" i="61"/>
  <c r="L86" i="61"/>
  <c r="K86" i="61"/>
  <c r="J86" i="61"/>
  <c r="I86" i="61"/>
  <c r="H86" i="61"/>
  <c r="G86" i="61"/>
  <c r="F86" i="61"/>
  <c r="E86" i="61"/>
  <c r="D86" i="61"/>
  <c r="O79" i="61"/>
  <c r="N79" i="61"/>
  <c r="M79" i="61"/>
  <c r="L79" i="61"/>
  <c r="K79" i="61"/>
  <c r="J79" i="61"/>
  <c r="I79" i="61"/>
  <c r="H79" i="61"/>
  <c r="G79" i="61"/>
  <c r="F79" i="61"/>
  <c r="E79" i="61"/>
  <c r="D79" i="61"/>
  <c r="O73" i="61"/>
  <c r="N73" i="61"/>
  <c r="M73" i="61"/>
  <c r="L73" i="61"/>
  <c r="K73" i="61"/>
  <c r="J73" i="61"/>
  <c r="I73" i="61"/>
  <c r="H73" i="61"/>
  <c r="G73" i="61"/>
  <c r="F73" i="61"/>
  <c r="E73" i="61"/>
  <c r="D73" i="61"/>
  <c r="O70" i="61"/>
  <c r="N70" i="61"/>
  <c r="M70" i="61"/>
  <c r="L70" i="61"/>
  <c r="K70" i="61"/>
  <c r="J70" i="61"/>
  <c r="I70" i="61"/>
  <c r="H70" i="61"/>
  <c r="G70" i="61"/>
  <c r="F70" i="61"/>
  <c r="E70" i="61"/>
  <c r="D70" i="61"/>
  <c r="O65" i="61"/>
  <c r="N65" i="61"/>
  <c r="M65" i="61"/>
  <c r="L65" i="61"/>
  <c r="K65" i="61"/>
  <c r="J65" i="61"/>
  <c r="I65" i="61"/>
  <c r="H65" i="61"/>
  <c r="G65" i="61"/>
  <c r="F65" i="61"/>
  <c r="E65" i="61"/>
  <c r="D65" i="61"/>
  <c r="O62" i="61"/>
  <c r="N62" i="61"/>
  <c r="M62" i="61"/>
  <c r="L62" i="61"/>
  <c r="K62" i="61"/>
  <c r="J62" i="61"/>
  <c r="I62" i="61"/>
  <c r="H62" i="61"/>
  <c r="G62" i="61"/>
  <c r="F62" i="61"/>
  <c r="E62" i="61"/>
  <c r="D62" i="61"/>
  <c r="O58" i="61"/>
  <c r="N58" i="61"/>
  <c r="M58" i="61"/>
  <c r="L58" i="61"/>
  <c r="K58" i="61"/>
  <c r="J58" i="61"/>
  <c r="I58" i="61"/>
  <c r="H58" i="61"/>
  <c r="G58" i="61"/>
  <c r="F58" i="61"/>
  <c r="E58" i="61"/>
  <c r="D58" i="61"/>
  <c r="O55" i="61"/>
  <c r="N55" i="61"/>
  <c r="M55" i="61"/>
  <c r="L55" i="61"/>
  <c r="K55" i="61"/>
  <c r="J55" i="61"/>
  <c r="I55" i="61"/>
  <c r="H55" i="61"/>
  <c r="G55" i="61"/>
  <c r="F55" i="61"/>
  <c r="E55" i="61"/>
  <c r="D55" i="61"/>
  <c r="O51" i="61"/>
  <c r="N51" i="61"/>
  <c r="M51" i="61"/>
  <c r="L51" i="61"/>
  <c r="K51" i="61"/>
  <c r="J51" i="61"/>
  <c r="I51" i="61"/>
  <c r="H51" i="61"/>
  <c r="G51" i="61"/>
  <c r="F51" i="61"/>
  <c r="E51" i="61"/>
  <c r="D51" i="61"/>
  <c r="O33" i="61"/>
  <c r="N33" i="61"/>
  <c r="M33" i="61"/>
  <c r="L33" i="61"/>
  <c r="K33" i="61"/>
  <c r="J33" i="61"/>
  <c r="I33" i="61"/>
  <c r="H33" i="61"/>
  <c r="G33" i="61"/>
  <c r="F33" i="61"/>
  <c r="E33" i="61"/>
  <c r="D33" i="61"/>
  <c r="D149" i="23"/>
  <c r="E149" i="23"/>
  <c r="F149" i="23"/>
  <c r="G149" i="23"/>
  <c r="H149" i="23"/>
  <c r="I149" i="23"/>
  <c r="J149" i="23"/>
  <c r="K149" i="23"/>
  <c r="L149" i="23"/>
  <c r="M149" i="23"/>
  <c r="N149" i="23"/>
  <c r="O149" i="23"/>
  <c r="D35" i="23"/>
  <c r="E35" i="23"/>
  <c r="F35" i="23"/>
  <c r="G35" i="23"/>
  <c r="H35" i="23"/>
  <c r="I35" i="23"/>
  <c r="J35" i="23"/>
  <c r="K35" i="23"/>
  <c r="L35" i="23"/>
  <c r="M35" i="23"/>
  <c r="N35" i="23"/>
  <c r="D144" i="23"/>
  <c r="E144" i="23"/>
  <c r="F144" i="23"/>
  <c r="G144" i="23"/>
  <c r="H144" i="23"/>
  <c r="I144" i="23"/>
  <c r="J144" i="23"/>
  <c r="K144" i="23"/>
  <c r="L144" i="23"/>
  <c r="M144" i="23"/>
  <c r="N144" i="23"/>
  <c r="D145" i="23"/>
  <c r="E145" i="23"/>
  <c r="F145" i="23"/>
  <c r="G145" i="23"/>
  <c r="H145" i="23"/>
  <c r="I145" i="23"/>
  <c r="J145" i="23"/>
  <c r="K145" i="23"/>
  <c r="L145" i="23"/>
  <c r="M145" i="23"/>
  <c r="N145" i="23"/>
  <c r="D146" i="23"/>
  <c r="E146" i="23"/>
  <c r="F146" i="23"/>
  <c r="G146" i="23"/>
  <c r="H146" i="23"/>
  <c r="I146" i="23"/>
  <c r="J146" i="23"/>
  <c r="K146" i="23"/>
  <c r="L146" i="23"/>
  <c r="M146" i="23"/>
  <c r="N146" i="23"/>
  <c r="D147" i="23"/>
  <c r="E147" i="23"/>
  <c r="F147" i="23"/>
  <c r="G147" i="23"/>
  <c r="H147" i="23"/>
  <c r="I147" i="23"/>
  <c r="J147" i="23"/>
  <c r="K147" i="23"/>
  <c r="L147" i="23"/>
  <c r="M147" i="23"/>
  <c r="N147" i="23"/>
  <c r="D148" i="23"/>
  <c r="E148" i="23"/>
  <c r="F148" i="23"/>
  <c r="G148" i="23"/>
  <c r="H148" i="23"/>
  <c r="I148" i="23"/>
  <c r="J148" i="23"/>
  <c r="K148" i="23"/>
  <c r="L148" i="23"/>
  <c r="M148" i="23"/>
  <c r="N148" i="23"/>
  <c r="O148" i="23"/>
  <c r="O147" i="23"/>
  <c r="O146" i="23"/>
  <c r="O145" i="23"/>
  <c r="O144" i="23"/>
  <c r="O35" i="23"/>
  <c r="O41" i="97" l="1"/>
  <c r="N41" i="97"/>
  <c r="M41" i="97"/>
  <c r="L41" i="97"/>
  <c r="K41" i="97"/>
  <c r="J41" i="97"/>
  <c r="I41" i="97"/>
  <c r="H41" i="97"/>
  <c r="G41" i="97"/>
  <c r="F41" i="97"/>
  <c r="E41" i="97"/>
  <c r="D41" i="97"/>
  <c r="O35" i="97"/>
  <c r="N35" i="97"/>
  <c r="M35" i="97"/>
  <c r="L35" i="97"/>
  <c r="K35" i="97"/>
  <c r="J35" i="97"/>
  <c r="I35" i="97"/>
  <c r="H35" i="97"/>
  <c r="G35" i="97"/>
  <c r="F35" i="97"/>
  <c r="E35" i="97"/>
  <c r="D35" i="97"/>
  <c r="O31" i="97"/>
  <c r="N31" i="97"/>
  <c r="M31" i="97"/>
  <c r="L31" i="97"/>
  <c r="K31" i="97"/>
  <c r="J31" i="97"/>
  <c r="I31" i="97"/>
  <c r="H31" i="97"/>
  <c r="G31" i="97"/>
  <c r="F31" i="97"/>
  <c r="E31" i="97"/>
  <c r="D31" i="97"/>
  <c r="O25" i="97"/>
  <c r="N25" i="97"/>
  <c r="M25" i="97"/>
  <c r="L25" i="97"/>
  <c r="K25" i="97"/>
  <c r="J25" i="97"/>
  <c r="I25" i="97"/>
  <c r="H25" i="97"/>
  <c r="G25" i="97"/>
  <c r="F25" i="97"/>
  <c r="E25" i="97"/>
  <c r="D25" i="97"/>
  <c r="O9" i="97"/>
  <c r="N9" i="97"/>
  <c r="M9" i="97"/>
  <c r="L9" i="97"/>
  <c r="K9" i="97"/>
  <c r="J9" i="97"/>
  <c r="I9" i="97"/>
  <c r="H9" i="97"/>
  <c r="G9" i="97"/>
  <c r="F9" i="97"/>
  <c r="E9" i="97"/>
  <c r="D9" i="97"/>
  <c r="O7" i="97"/>
  <c r="O15" i="97" s="1"/>
  <c r="N7" i="97"/>
  <c r="M7" i="97"/>
  <c r="M13" i="97" s="1"/>
  <c r="L7" i="97"/>
  <c r="L11" i="97" s="1"/>
  <c r="K7" i="97"/>
  <c r="K11" i="97" s="1"/>
  <c r="J7" i="97"/>
  <c r="I7" i="97"/>
  <c r="I13" i="97" s="1"/>
  <c r="H7" i="97"/>
  <c r="H11" i="97" s="1"/>
  <c r="G7" i="97"/>
  <c r="G11" i="97" s="1"/>
  <c r="F7" i="97"/>
  <c r="E7" i="97"/>
  <c r="E13" i="97" s="1"/>
  <c r="D7" i="97"/>
  <c r="D11" i="97" s="1"/>
  <c r="O3" i="97"/>
  <c r="O5" i="97" s="1"/>
  <c r="N3" i="97"/>
  <c r="N5" i="97" s="1"/>
  <c r="M3" i="97"/>
  <c r="M5" i="97" s="1"/>
  <c r="L3" i="97"/>
  <c r="J429" i="2" s="1"/>
  <c r="W429" i="2" s="1"/>
  <c r="K3" i="97"/>
  <c r="K5" i="97" s="1"/>
  <c r="J3" i="97"/>
  <c r="J5" i="97" s="1"/>
  <c r="I3" i="97"/>
  <c r="I5" i="97" s="1"/>
  <c r="H3" i="97"/>
  <c r="H5" i="97" s="1"/>
  <c r="G3" i="97"/>
  <c r="G5" i="97" s="1"/>
  <c r="F3" i="97"/>
  <c r="F5" i="97" s="1"/>
  <c r="E3" i="97"/>
  <c r="E5" i="97" s="1"/>
  <c r="D3" i="97"/>
  <c r="B429" i="2" s="1"/>
  <c r="O429" i="2" s="1"/>
  <c r="O213" i="96"/>
  <c r="N213" i="96"/>
  <c r="M213" i="96"/>
  <c r="M28" i="96" s="1"/>
  <c r="K532" i="3" s="1"/>
  <c r="L213" i="96"/>
  <c r="K213" i="96"/>
  <c r="J213" i="96"/>
  <c r="J28" i="96" s="1"/>
  <c r="H532" i="3" s="1"/>
  <c r="I213" i="96"/>
  <c r="I28" i="96" s="1"/>
  <c r="G532" i="3" s="1"/>
  <c r="H213" i="96"/>
  <c r="G213" i="96"/>
  <c r="F213" i="96"/>
  <c r="F28" i="96" s="1"/>
  <c r="D532" i="3" s="1"/>
  <c r="E213" i="96"/>
  <c r="E28" i="96" s="1"/>
  <c r="C532" i="3" s="1"/>
  <c r="D213" i="96"/>
  <c r="O199" i="96"/>
  <c r="N199" i="96"/>
  <c r="N10" i="96" s="1"/>
  <c r="L408" i="2" s="1"/>
  <c r="Y408" i="2" s="1"/>
  <c r="M199" i="96"/>
  <c r="L199" i="96"/>
  <c r="K199" i="96"/>
  <c r="J199" i="96"/>
  <c r="J10" i="96" s="1"/>
  <c r="H408" i="2" s="1"/>
  <c r="U408" i="2" s="1"/>
  <c r="I199" i="96"/>
  <c r="H199" i="96"/>
  <c r="G199" i="96"/>
  <c r="F199" i="96"/>
  <c r="F10" i="96" s="1"/>
  <c r="D408" i="2" s="1"/>
  <c r="Q408" i="2" s="1"/>
  <c r="E199" i="96"/>
  <c r="D199" i="96"/>
  <c r="O192" i="96"/>
  <c r="N192" i="96"/>
  <c r="N23" i="96" s="1"/>
  <c r="M192" i="96"/>
  <c r="M23" i="96" s="1"/>
  <c r="L192" i="96"/>
  <c r="K192" i="96"/>
  <c r="J192" i="96"/>
  <c r="J23" i="96" s="1"/>
  <c r="I192" i="96"/>
  <c r="I23" i="96" s="1"/>
  <c r="H192" i="96"/>
  <c r="G192" i="96"/>
  <c r="F192" i="96"/>
  <c r="F23" i="96" s="1"/>
  <c r="E192" i="96"/>
  <c r="E23" i="96" s="1"/>
  <c r="D192" i="96"/>
  <c r="O191" i="96"/>
  <c r="N191" i="96"/>
  <c r="N19" i="96" s="1"/>
  <c r="M191" i="96"/>
  <c r="M19" i="96" s="1"/>
  <c r="L191" i="96"/>
  <c r="K191" i="96"/>
  <c r="J191" i="96"/>
  <c r="J19" i="96" s="1"/>
  <c r="I191" i="96"/>
  <c r="I19" i="96" s="1"/>
  <c r="H191" i="96"/>
  <c r="G191" i="96"/>
  <c r="F191" i="96"/>
  <c r="F19" i="96" s="1"/>
  <c r="E191" i="96"/>
  <c r="E19" i="96" s="1"/>
  <c r="D191" i="96"/>
  <c r="O190" i="96"/>
  <c r="O16" i="96" s="1"/>
  <c r="M292" i="3" s="1"/>
  <c r="N190" i="96"/>
  <c r="N16" i="96" s="1"/>
  <c r="L292" i="3" s="1"/>
  <c r="M190" i="96"/>
  <c r="M16" i="96" s="1"/>
  <c r="K292" i="3" s="1"/>
  <c r="L190" i="96"/>
  <c r="K190" i="96"/>
  <c r="J190" i="96"/>
  <c r="J16" i="96" s="1"/>
  <c r="H292" i="3" s="1"/>
  <c r="I190" i="96"/>
  <c r="I16" i="96" s="1"/>
  <c r="G292" i="3" s="1"/>
  <c r="H190" i="96"/>
  <c r="G190" i="96"/>
  <c r="F190" i="96"/>
  <c r="F16" i="96" s="1"/>
  <c r="D292" i="3" s="1"/>
  <c r="E190" i="96"/>
  <c r="E16" i="96" s="1"/>
  <c r="C292" i="3" s="1"/>
  <c r="D190" i="96"/>
  <c r="O156" i="96"/>
  <c r="N156" i="96"/>
  <c r="N9" i="96" s="1"/>
  <c r="M156" i="96"/>
  <c r="L156" i="96"/>
  <c r="K156" i="96"/>
  <c r="J156" i="96"/>
  <c r="J9" i="96" s="1"/>
  <c r="I156" i="96"/>
  <c r="H156" i="96"/>
  <c r="G156" i="96"/>
  <c r="F156" i="96"/>
  <c r="F9" i="96" s="1"/>
  <c r="E156" i="96"/>
  <c r="D156" i="96"/>
  <c r="O149" i="96"/>
  <c r="O26" i="96" s="1"/>
  <c r="M526" i="3" s="1"/>
  <c r="N149" i="96"/>
  <c r="N26" i="96" s="1"/>
  <c r="L526" i="3" s="1"/>
  <c r="M149" i="96"/>
  <c r="M26" i="96" s="1"/>
  <c r="K526" i="3" s="1"/>
  <c r="L149" i="96"/>
  <c r="K149" i="96"/>
  <c r="J149" i="96"/>
  <c r="I149" i="96"/>
  <c r="I26" i="96" s="1"/>
  <c r="G526" i="3" s="1"/>
  <c r="H149" i="96"/>
  <c r="G149" i="96"/>
  <c r="F149" i="96"/>
  <c r="F26" i="96" s="1"/>
  <c r="D526" i="3" s="1"/>
  <c r="E149" i="96"/>
  <c r="E26" i="96" s="1"/>
  <c r="C526" i="3" s="1"/>
  <c r="D149" i="96"/>
  <c r="O132" i="96"/>
  <c r="N132" i="96"/>
  <c r="N8" i="96" s="1"/>
  <c r="M132" i="96"/>
  <c r="L132" i="96"/>
  <c r="K132" i="96"/>
  <c r="J132" i="96"/>
  <c r="J8" i="96" s="1"/>
  <c r="I132" i="96"/>
  <c r="H132" i="96"/>
  <c r="G132" i="96"/>
  <c r="F132" i="96"/>
  <c r="F8" i="96" s="1"/>
  <c r="E132" i="96"/>
  <c r="D132" i="96"/>
  <c r="O125" i="96"/>
  <c r="N125" i="96"/>
  <c r="N18" i="96" s="1"/>
  <c r="N20" i="96" s="1"/>
  <c r="L366" i="3" s="1"/>
  <c r="M125" i="96"/>
  <c r="M18" i="96" s="1"/>
  <c r="M20" i="96" s="1"/>
  <c r="K366" i="3" s="1"/>
  <c r="L125" i="96"/>
  <c r="K125" i="96"/>
  <c r="J125" i="96"/>
  <c r="J18" i="96" s="1"/>
  <c r="I125" i="96"/>
  <c r="I18" i="96" s="1"/>
  <c r="I20" i="96" s="1"/>
  <c r="G366" i="3" s="1"/>
  <c r="H125" i="96"/>
  <c r="G125" i="96"/>
  <c r="F125" i="96"/>
  <c r="F18" i="96" s="1"/>
  <c r="F20" i="96" s="1"/>
  <c r="D366" i="3" s="1"/>
  <c r="E125" i="96"/>
  <c r="E18" i="96" s="1"/>
  <c r="E20" i="96" s="1"/>
  <c r="C366" i="3" s="1"/>
  <c r="D125" i="96"/>
  <c r="O111" i="96"/>
  <c r="N111" i="96"/>
  <c r="N7" i="96" s="1"/>
  <c r="M111" i="96"/>
  <c r="L111" i="96"/>
  <c r="K111" i="96"/>
  <c r="J111" i="96"/>
  <c r="J7" i="96" s="1"/>
  <c r="I111" i="96"/>
  <c r="H111" i="96"/>
  <c r="G111" i="96"/>
  <c r="F111" i="96"/>
  <c r="F7" i="96" s="1"/>
  <c r="E111" i="96"/>
  <c r="D111" i="96"/>
  <c r="O104" i="96"/>
  <c r="N104" i="96"/>
  <c r="N22" i="96" s="1"/>
  <c r="N24" i="96" s="1"/>
  <c r="L509" i="3" s="1"/>
  <c r="M104" i="96"/>
  <c r="M22" i="96" s="1"/>
  <c r="M24" i="96" s="1"/>
  <c r="K509" i="3" s="1"/>
  <c r="L104" i="96"/>
  <c r="K104" i="96"/>
  <c r="J104" i="96"/>
  <c r="J22" i="96" s="1"/>
  <c r="I104" i="96"/>
  <c r="I22" i="96" s="1"/>
  <c r="I24" i="96" s="1"/>
  <c r="G509" i="3" s="1"/>
  <c r="H104" i="96"/>
  <c r="H22" i="96" s="1"/>
  <c r="G104" i="96"/>
  <c r="F104" i="96"/>
  <c r="F22" i="96" s="1"/>
  <c r="F24" i="96" s="1"/>
  <c r="D509" i="3" s="1"/>
  <c r="E104" i="96"/>
  <c r="E22" i="96" s="1"/>
  <c r="E24" i="96" s="1"/>
  <c r="D104" i="96"/>
  <c r="O80" i="96"/>
  <c r="N80" i="96"/>
  <c r="N6" i="96" s="1"/>
  <c r="L404" i="2" s="1"/>
  <c r="Y404" i="2" s="1"/>
  <c r="M80" i="96"/>
  <c r="L80" i="96"/>
  <c r="K80" i="96"/>
  <c r="J80" i="96"/>
  <c r="J6" i="96" s="1"/>
  <c r="H404" i="2" s="1"/>
  <c r="U404" i="2" s="1"/>
  <c r="I80" i="96"/>
  <c r="H80" i="96"/>
  <c r="G80" i="96"/>
  <c r="F80" i="96"/>
  <c r="F6" i="96" s="1"/>
  <c r="D404" i="2" s="1"/>
  <c r="Q404" i="2" s="1"/>
  <c r="E80" i="96"/>
  <c r="D80" i="96"/>
  <c r="O73" i="96"/>
  <c r="N73" i="96"/>
  <c r="N14" i="96" s="1"/>
  <c r="M73" i="96"/>
  <c r="M14" i="96" s="1"/>
  <c r="L73" i="96"/>
  <c r="K73" i="96"/>
  <c r="J73" i="96"/>
  <c r="J14" i="96" s="1"/>
  <c r="I73" i="96"/>
  <c r="I14" i="96" s="1"/>
  <c r="H73" i="96"/>
  <c r="H14" i="96" s="1"/>
  <c r="F79" i="3" s="1"/>
  <c r="G73" i="96"/>
  <c r="F73" i="96"/>
  <c r="F14" i="96" s="1"/>
  <c r="E73" i="96"/>
  <c r="E14" i="96" s="1"/>
  <c r="D73" i="96"/>
  <c r="O41" i="96"/>
  <c r="N41" i="96"/>
  <c r="N5" i="96" s="1"/>
  <c r="N3" i="96" s="1"/>
  <c r="N12" i="96" s="1"/>
  <c r="M41" i="96"/>
  <c r="L41" i="96"/>
  <c r="K41" i="96"/>
  <c r="J41" i="96"/>
  <c r="J5" i="96" s="1"/>
  <c r="I41" i="96"/>
  <c r="H41" i="96"/>
  <c r="G41" i="96"/>
  <c r="F41" i="96"/>
  <c r="F5" i="96" s="1"/>
  <c r="E41" i="96"/>
  <c r="D41" i="96"/>
  <c r="O28" i="96"/>
  <c r="M532" i="3" s="1"/>
  <c r="N28" i="96"/>
  <c r="L532" i="3" s="1"/>
  <c r="L28" i="96"/>
  <c r="J532" i="3" s="1"/>
  <c r="K28" i="96"/>
  <c r="H28" i="96"/>
  <c r="G28" i="96"/>
  <c r="D28" i="96"/>
  <c r="L26" i="96"/>
  <c r="K26" i="96"/>
  <c r="J26" i="96"/>
  <c r="H526" i="3" s="1"/>
  <c r="H26" i="96"/>
  <c r="F526" i="3" s="1"/>
  <c r="G26" i="96"/>
  <c r="D26" i="96"/>
  <c r="B526" i="3" s="1"/>
  <c r="O23" i="96"/>
  <c r="L23" i="96"/>
  <c r="K23" i="96"/>
  <c r="H23" i="96"/>
  <c r="G23" i="96"/>
  <c r="D23" i="96"/>
  <c r="O22" i="96"/>
  <c r="L22" i="96"/>
  <c r="L24" i="96" s="1"/>
  <c r="J509" i="3" s="1"/>
  <c r="K22" i="96"/>
  <c r="K24" i="96" s="1"/>
  <c r="I509" i="3" s="1"/>
  <c r="G22" i="96"/>
  <c r="D22" i="96"/>
  <c r="O19" i="96"/>
  <c r="L19" i="96"/>
  <c r="K19" i="96"/>
  <c r="H19" i="96"/>
  <c r="G19" i="96"/>
  <c r="D19" i="96"/>
  <c r="O18" i="96"/>
  <c r="L18" i="96"/>
  <c r="K18" i="96"/>
  <c r="H18" i="96"/>
  <c r="H20" i="96" s="1"/>
  <c r="G18" i="96"/>
  <c r="D18" i="96"/>
  <c r="L16" i="96"/>
  <c r="K16" i="96"/>
  <c r="H16" i="96"/>
  <c r="F292" i="3" s="1"/>
  <c r="G16" i="96"/>
  <c r="D16" i="96"/>
  <c r="O14" i="96"/>
  <c r="L14" i="96"/>
  <c r="K14" i="96"/>
  <c r="G14" i="96"/>
  <c r="D14" i="96"/>
  <c r="O10" i="96"/>
  <c r="M408" i="2" s="1"/>
  <c r="Z408" i="2" s="1"/>
  <c r="M10" i="96"/>
  <c r="K408" i="2" s="1"/>
  <c r="X408" i="2" s="1"/>
  <c r="L10" i="96"/>
  <c r="K10" i="96"/>
  <c r="I10" i="96"/>
  <c r="G408" i="2" s="1"/>
  <c r="T408" i="2" s="1"/>
  <c r="H10" i="96"/>
  <c r="G10" i="96"/>
  <c r="E10" i="96"/>
  <c r="C408" i="2" s="1"/>
  <c r="P408" i="2" s="1"/>
  <c r="D10" i="96"/>
  <c r="O9" i="96"/>
  <c r="M9" i="96"/>
  <c r="K407" i="2" s="1"/>
  <c r="X407" i="2" s="1"/>
  <c r="L9" i="96"/>
  <c r="K9" i="96"/>
  <c r="I9" i="96"/>
  <c r="G407" i="2" s="1"/>
  <c r="T407" i="2" s="1"/>
  <c r="H9" i="96"/>
  <c r="G9" i="96"/>
  <c r="E9" i="96"/>
  <c r="C407" i="2" s="1"/>
  <c r="P407" i="2" s="1"/>
  <c r="D9" i="96"/>
  <c r="O8" i="96"/>
  <c r="M406" i="2" s="1"/>
  <c r="Z406" i="2" s="1"/>
  <c r="M8" i="96"/>
  <c r="K406" i="2" s="1"/>
  <c r="X406" i="2" s="1"/>
  <c r="L8" i="96"/>
  <c r="K8" i="96"/>
  <c r="I8" i="96"/>
  <c r="G406" i="2" s="1"/>
  <c r="T406" i="2" s="1"/>
  <c r="H8" i="96"/>
  <c r="G8" i="96"/>
  <c r="E8" i="96"/>
  <c r="C406" i="2" s="1"/>
  <c r="P406" i="2" s="1"/>
  <c r="D8" i="96"/>
  <c r="O7" i="96"/>
  <c r="M405" i="2" s="1"/>
  <c r="Z405" i="2" s="1"/>
  <c r="M7" i="96"/>
  <c r="K405" i="2" s="1"/>
  <c r="X405" i="2" s="1"/>
  <c r="L7" i="96"/>
  <c r="K7" i="96"/>
  <c r="I7" i="96"/>
  <c r="G405" i="2" s="1"/>
  <c r="T405" i="2" s="1"/>
  <c r="H7" i="96"/>
  <c r="G7" i="96"/>
  <c r="E7" i="96"/>
  <c r="C405" i="2" s="1"/>
  <c r="P405" i="2" s="1"/>
  <c r="D7" i="96"/>
  <c r="O6" i="96"/>
  <c r="M6" i="96"/>
  <c r="K404" i="2" s="1"/>
  <c r="X404" i="2" s="1"/>
  <c r="L6" i="96"/>
  <c r="K6" i="96"/>
  <c r="I6" i="96"/>
  <c r="G404" i="2" s="1"/>
  <c r="H6" i="96"/>
  <c r="G6" i="96"/>
  <c r="E6" i="96"/>
  <c r="D6" i="96"/>
  <c r="O5" i="96"/>
  <c r="M403" i="2" s="1"/>
  <c r="M5" i="96"/>
  <c r="K403" i="2" s="1"/>
  <c r="X403" i="2" s="1"/>
  <c r="L5" i="96"/>
  <c r="K5" i="96"/>
  <c r="I5" i="96"/>
  <c r="G403" i="2" s="1"/>
  <c r="T403" i="2" s="1"/>
  <c r="H5" i="96"/>
  <c r="G5" i="96"/>
  <c r="E5" i="96"/>
  <c r="C403" i="2" s="1"/>
  <c r="P403" i="2" s="1"/>
  <c r="D5" i="96"/>
  <c r="O3" i="96"/>
  <c r="O12" i="96" s="1"/>
  <c r="M3" i="96"/>
  <c r="M12" i="96" s="1"/>
  <c r="L3" i="96"/>
  <c r="L12" i="96" s="1"/>
  <c r="K3" i="96"/>
  <c r="K12" i="96" s="1"/>
  <c r="H3" i="96"/>
  <c r="H12" i="96" s="1"/>
  <c r="G3" i="96"/>
  <c r="G12" i="96" s="1"/>
  <c r="D3" i="96"/>
  <c r="D12" i="96" s="1"/>
  <c r="F362" i="2"/>
  <c r="B362" i="2"/>
  <c r="O15" i="61"/>
  <c r="M428" i="3" s="1"/>
  <c r="J428" i="3"/>
  <c r="H428" i="3"/>
  <c r="G428" i="3"/>
  <c r="F428" i="3"/>
  <c r="D428" i="3"/>
  <c r="C428" i="3"/>
  <c r="B428" i="3"/>
  <c r="O13" i="61"/>
  <c r="K386" i="3"/>
  <c r="J386" i="3"/>
  <c r="H386" i="3"/>
  <c r="G386" i="3"/>
  <c r="F386" i="3"/>
  <c r="C386" i="3"/>
  <c r="B386" i="3"/>
  <c r="O11" i="61"/>
  <c r="M334" i="3" s="1"/>
  <c r="K334" i="3"/>
  <c r="J334" i="3"/>
  <c r="F334" i="3"/>
  <c r="D334" i="3"/>
  <c r="C334" i="3"/>
  <c r="B334" i="3"/>
  <c r="O9" i="61"/>
  <c r="M139" i="3" s="1"/>
  <c r="L139" i="3"/>
  <c r="K139" i="3"/>
  <c r="H139" i="3"/>
  <c r="G139" i="3"/>
  <c r="D139" i="3"/>
  <c r="C139" i="3"/>
  <c r="O7" i="61"/>
  <c r="N21" i="61"/>
  <c r="M21" i="61"/>
  <c r="J109" i="3"/>
  <c r="K21" i="61"/>
  <c r="J21" i="61"/>
  <c r="I21" i="61"/>
  <c r="F109" i="3"/>
  <c r="G21" i="61"/>
  <c r="F21" i="61"/>
  <c r="E21" i="61"/>
  <c r="B109" i="3"/>
  <c r="O3" i="61"/>
  <c r="O5" i="61" s="1"/>
  <c r="J362" i="2"/>
  <c r="O282" i="95"/>
  <c r="N282" i="95"/>
  <c r="M282" i="95"/>
  <c r="L282" i="95"/>
  <c r="L57" i="95" s="1"/>
  <c r="J483" i="3" s="1"/>
  <c r="K282" i="95"/>
  <c r="J282" i="95"/>
  <c r="I282" i="95"/>
  <c r="I57" i="95" s="1"/>
  <c r="G483" i="3" s="1"/>
  <c r="H282" i="95"/>
  <c r="H57" i="95" s="1"/>
  <c r="F483" i="3" s="1"/>
  <c r="G282" i="95"/>
  <c r="G57" i="95" s="1"/>
  <c r="E483" i="3" s="1"/>
  <c r="F282" i="95"/>
  <c r="E282" i="95"/>
  <c r="E57" i="95" s="1"/>
  <c r="C483" i="3" s="1"/>
  <c r="D282" i="95"/>
  <c r="D57" i="95" s="1"/>
  <c r="B483" i="3" s="1"/>
  <c r="O281" i="95"/>
  <c r="O51" i="95" s="1"/>
  <c r="M310" i="3" s="1"/>
  <c r="N281" i="95"/>
  <c r="M281" i="95"/>
  <c r="M51" i="95" s="1"/>
  <c r="K310" i="3" s="1"/>
  <c r="L281" i="95"/>
  <c r="L51" i="95" s="1"/>
  <c r="J310" i="3" s="1"/>
  <c r="K281" i="95"/>
  <c r="K51" i="95" s="1"/>
  <c r="J281" i="95"/>
  <c r="I281" i="95"/>
  <c r="I51" i="95" s="1"/>
  <c r="G310" i="3" s="1"/>
  <c r="H281" i="95"/>
  <c r="H51" i="95" s="1"/>
  <c r="F310" i="3" s="1"/>
  <c r="G281" i="95"/>
  <c r="F281" i="95"/>
  <c r="E281" i="95"/>
  <c r="D281" i="95"/>
  <c r="D51" i="95" s="1"/>
  <c r="B310" i="3" s="1"/>
  <c r="O280" i="95"/>
  <c r="N280" i="95"/>
  <c r="M280" i="95"/>
  <c r="M48" i="95" s="1"/>
  <c r="L280" i="95"/>
  <c r="L48" i="95" s="1"/>
  <c r="K280" i="95"/>
  <c r="K48" i="95" s="1"/>
  <c r="J280" i="95"/>
  <c r="I280" i="95"/>
  <c r="I48" i="95" s="1"/>
  <c r="H280" i="95"/>
  <c r="H48" i="95" s="1"/>
  <c r="G280" i="95"/>
  <c r="G48" i="95" s="1"/>
  <c r="F280" i="95"/>
  <c r="E280" i="95"/>
  <c r="E48" i="95" s="1"/>
  <c r="D280" i="95"/>
  <c r="D48" i="95" s="1"/>
  <c r="O279" i="95"/>
  <c r="O31" i="95" s="1"/>
  <c r="N279" i="95"/>
  <c r="M279" i="95"/>
  <c r="M31" i="95" s="1"/>
  <c r="K214" i="3" s="1"/>
  <c r="L279" i="95"/>
  <c r="L31" i="95" s="1"/>
  <c r="J214" i="3" s="1"/>
  <c r="K279" i="95"/>
  <c r="K31" i="95" s="1"/>
  <c r="J279" i="95"/>
  <c r="I279" i="95"/>
  <c r="H279" i="95"/>
  <c r="H31" i="95" s="1"/>
  <c r="F214" i="3" s="1"/>
  <c r="G279" i="95"/>
  <c r="G31" i="95" s="1"/>
  <c r="E214" i="3" s="1"/>
  <c r="F279" i="95"/>
  <c r="E279" i="95"/>
  <c r="E31" i="95" s="1"/>
  <c r="C214" i="3" s="1"/>
  <c r="D279" i="95"/>
  <c r="D31" i="95" s="1"/>
  <c r="B214" i="3" s="1"/>
  <c r="O256" i="95"/>
  <c r="O9" i="95" s="1"/>
  <c r="M442" i="2" s="1"/>
  <c r="Z442" i="2" s="1"/>
  <c r="N256" i="95"/>
  <c r="M256" i="95"/>
  <c r="M9" i="95" s="1"/>
  <c r="K442" i="2" s="1"/>
  <c r="X442" i="2" s="1"/>
  <c r="L256" i="95"/>
  <c r="L9" i="95" s="1"/>
  <c r="J442" i="2" s="1"/>
  <c r="W442" i="2" s="1"/>
  <c r="K256" i="95"/>
  <c r="K9" i="95" s="1"/>
  <c r="I442" i="2" s="1"/>
  <c r="V442" i="2" s="1"/>
  <c r="J256" i="95"/>
  <c r="I256" i="95"/>
  <c r="H256" i="95"/>
  <c r="H9" i="95" s="1"/>
  <c r="F442" i="2" s="1"/>
  <c r="S442" i="2" s="1"/>
  <c r="G256" i="95"/>
  <c r="G9" i="95" s="1"/>
  <c r="E442" i="2" s="1"/>
  <c r="R442" i="2" s="1"/>
  <c r="F256" i="95"/>
  <c r="E256" i="95"/>
  <c r="E9" i="95" s="1"/>
  <c r="C442" i="2" s="1"/>
  <c r="P442" i="2" s="1"/>
  <c r="D256" i="95"/>
  <c r="D9" i="95" s="1"/>
  <c r="B442" i="2" s="1"/>
  <c r="O442" i="2" s="1"/>
  <c r="O249" i="95"/>
  <c r="O53" i="95" s="1"/>
  <c r="M360" i="3" s="1"/>
  <c r="N249" i="95"/>
  <c r="M249" i="95"/>
  <c r="M53" i="95" s="1"/>
  <c r="K360" i="3" s="1"/>
  <c r="L249" i="95"/>
  <c r="L53" i="95" s="1"/>
  <c r="J360" i="3" s="1"/>
  <c r="K249" i="95"/>
  <c r="K53" i="95" s="1"/>
  <c r="J249" i="95"/>
  <c r="I249" i="95"/>
  <c r="H249" i="95"/>
  <c r="H53" i="95" s="1"/>
  <c r="F360" i="3" s="1"/>
  <c r="G249" i="95"/>
  <c r="G53" i="95" s="1"/>
  <c r="F249" i="95"/>
  <c r="E249" i="95"/>
  <c r="E53" i="95" s="1"/>
  <c r="C360" i="3" s="1"/>
  <c r="D249" i="95"/>
  <c r="D53" i="95" s="1"/>
  <c r="B360" i="3" s="1"/>
  <c r="O248" i="95"/>
  <c r="O47" i="95" s="1"/>
  <c r="N248" i="95"/>
  <c r="M248" i="95"/>
  <c r="L248" i="95"/>
  <c r="L47" i="95" s="1"/>
  <c r="L49" i="95" s="1"/>
  <c r="K248" i="95"/>
  <c r="K47" i="95" s="1"/>
  <c r="J248" i="95"/>
  <c r="I248" i="95"/>
  <c r="I47" i="95" s="1"/>
  <c r="I49" i="95" s="1"/>
  <c r="G300" i="3" s="1"/>
  <c r="H248" i="95"/>
  <c r="H47" i="95" s="1"/>
  <c r="H49" i="95" s="1"/>
  <c r="G248" i="95"/>
  <c r="G47" i="95" s="1"/>
  <c r="F248" i="95"/>
  <c r="E248" i="95"/>
  <c r="E47" i="95" s="1"/>
  <c r="E49" i="95" s="1"/>
  <c r="C300" i="3" s="1"/>
  <c r="D248" i="95"/>
  <c r="D47" i="95" s="1"/>
  <c r="D49" i="95" s="1"/>
  <c r="B300" i="3" s="1"/>
  <c r="O247" i="95"/>
  <c r="O45" i="95" s="1"/>
  <c r="M255" i="3" s="1"/>
  <c r="N247" i="95"/>
  <c r="M247" i="95"/>
  <c r="M45" i="95" s="1"/>
  <c r="K255" i="3" s="1"/>
  <c r="L247" i="95"/>
  <c r="L45" i="95" s="1"/>
  <c r="J255" i="3" s="1"/>
  <c r="K247" i="95"/>
  <c r="K45" i="95" s="1"/>
  <c r="I255" i="3" s="1"/>
  <c r="J247" i="95"/>
  <c r="I247" i="95"/>
  <c r="H247" i="95"/>
  <c r="H45" i="95" s="1"/>
  <c r="F255" i="3" s="1"/>
  <c r="G247" i="95"/>
  <c r="G45" i="95" s="1"/>
  <c r="F247" i="95"/>
  <c r="E247" i="95"/>
  <c r="E45" i="95" s="1"/>
  <c r="C255" i="3" s="1"/>
  <c r="D247" i="95"/>
  <c r="D45" i="95" s="1"/>
  <c r="B255" i="3" s="1"/>
  <c r="O246" i="95"/>
  <c r="O43" i="95" s="1"/>
  <c r="M254" i="3" s="1"/>
  <c r="N246" i="95"/>
  <c r="M246" i="95"/>
  <c r="M43" i="95" s="1"/>
  <c r="K254" i="3" s="1"/>
  <c r="L246" i="95"/>
  <c r="L43" i="95" s="1"/>
  <c r="J254" i="3" s="1"/>
  <c r="K246" i="95"/>
  <c r="J246" i="95"/>
  <c r="I246" i="95"/>
  <c r="H246" i="95"/>
  <c r="H43" i="95" s="1"/>
  <c r="F254" i="3" s="1"/>
  <c r="G246" i="95"/>
  <c r="G43" i="95" s="1"/>
  <c r="E254" i="3" s="1"/>
  <c r="F246" i="95"/>
  <c r="E246" i="95"/>
  <c r="E43" i="95" s="1"/>
  <c r="C254" i="3" s="1"/>
  <c r="D246" i="95"/>
  <c r="D43" i="95" s="1"/>
  <c r="O245" i="95"/>
  <c r="O41" i="95" s="1"/>
  <c r="M253" i="3" s="1"/>
  <c r="N245" i="95"/>
  <c r="M245" i="95"/>
  <c r="M41" i="95" s="1"/>
  <c r="K253" i="3" s="1"/>
  <c r="L245" i="95"/>
  <c r="L41" i="95" s="1"/>
  <c r="J253" i="3" s="1"/>
  <c r="K245" i="95"/>
  <c r="K41" i="95" s="1"/>
  <c r="J245" i="95"/>
  <c r="I245" i="95"/>
  <c r="H245" i="95"/>
  <c r="H41" i="95" s="1"/>
  <c r="F253" i="3" s="1"/>
  <c r="G245" i="95"/>
  <c r="G41" i="95" s="1"/>
  <c r="E253" i="3" s="1"/>
  <c r="F245" i="95"/>
  <c r="E245" i="95"/>
  <c r="E41" i="95" s="1"/>
  <c r="C253" i="3" s="1"/>
  <c r="D245" i="95"/>
  <c r="D41" i="95" s="1"/>
  <c r="B253" i="3" s="1"/>
  <c r="O244" i="95"/>
  <c r="O39" i="95" s="1"/>
  <c r="M252" i="3" s="1"/>
  <c r="N244" i="95"/>
  <c r="M244" i="95"/>
  <c r="M39" i="95" s="1"/>
  <c r="K252" i="3" s="1"/>
  <c r="L244" i="95"/>
  <c r="L39" i="95" s="1"/>
  <c r="J252" i="3" s="1"/>
  <c r="K244" i="95"/>
  <c r="K39" i="95" s="1"/>
  <c r="J244" i="95"/>
  <c r="I244" i="95"/>
  <c r="H244" i="95"/>
  <c r="H39" i="95" s="1"/>
  <c r="F252" i="3" s="1"/>
  <c r="G244" i="95"/>
  <c r="G39" i="95" s="1"/>
  <c r="E252" i="3" s="1"/>
  <c r="F244" i="95"/>
  <c r="E244" i="95"/>
  <c r="E39" i="95" s="1"/>
  <c r="C252" i="3" s="1"/>
  <c r="D244" i="95"/>
  <c r="D39" i="95" s="1"/>
  <c r="B252" i="3" s="1"/>
  <c r="O243" i="95"/>
  <c r="O37" i="95" s="1"/>
  <c r="M251" i="3" s="1"/>
  <c r="N243" i="95"/>
  <c r="M243" i="95"/>
  <c r="M37" i="95" s="1"/>
  <c r="K251" i="3" s="1"/>
  <c r="L243" i="95"/>
  <c r="L37" i="95" s="1"/>
  <c r="J251" i="3" s="1"/>
  <c r="K243" i="95"/>
  <c r="J243" i="95"/>
  <c r="I243" i="95"/>
  <c r="I37" i="95" s="1"/>
  <c r="G251" i="3" s="1"/>
  <c r="H243" i="95"/>
  <c r="H37" i="95" s="1"/>
  <c r="F251" i="3" s="1"/>
  <c r="G243" i="95"/>
  <c r="G37" i="95" s="1"/>
  <c r="F243" i="95"/>
  <c r="E243" i="95"/>
  <c r="D243" i="95"/>
  <c r="D37" i="95" s="1"/>
  <c r="B251" i="3" s="1"/>
  <c r="O242" i="95"/>
  <c r="O27" i="95" s="1"/>
  <c r="M163" i="3" s="1"/>
  <c r="N242" i="95"/>
  <c r="M242" i="95"/>
  <c r="M27" i="95" s="1"/>
  <c r="K163" i="3" s="1"/>
  <c r="L242" i="95"/>
  <c r="L27" i="95" s="1"/>
  <c r="J163" i="3" s="1"/>
  <c r="K242" i="95"/>
  <c r="K27" i="95" s="1"/>
  <c r="J242" i="95"/>
  <c r="I242" i="95"/>
  <c r="I27" i="95" s="1"/>
  <c r="G163" i="3" s="1"/>
  <c r="H242" i="95"/>
  <c r="H27" i="95" s="1"/>
  <c r="F163" i="3" s="1"/>
  <c r="G242" i="95"/>
  <c r="G27" i="95" s="1"/>
  <c r="F242" i="95"/>
  <c r="E242" i="95"/>
  <c r="D242" i="95"/>
  <c r="D27" i="95" s="1"/>
  <c r="B163" i="3" s="1"/>
  <c r="O239" i="95"/>
  <c r="N239" i="95"/>
  <c r="M239" i="95"/>
  <c r="L239" i="95"/>
  <c r="K239" i="95"/>
  <c r="J239" i="95"/>
  <c r="I239" i="95"/>
  <c r="H239" i="95"/>
  <c r="G239" i="95"/>
  <c r="F239" i="95"/>
  <c r="E239" i="95"/>
  <c r="D239" i="95"/>
  <c r="O236" i="95"/>
  <c r="N236" i="95"/>
  <c r="M236" i="95"/>
  <c r="L236" i="95"/>
  <c r="K236" i="95"/>
  <c r="J236" i="95"/>
  <c r="I236" i="95"/>
  <c r="H236" i="95"/>
  <c r="G236" i="95"/>
  <c r="F236" i="95"/>
  <c r="E236" i="95"/>
  <c r="D236" i="95"/>
  <c r="O232" i="95"/>
  <c r="N232" i="95"/>
  <c r="M232" i="95"/>
  <c r="L232" i="95"/>
  <c r="K232" i="95"/>
  <c r="J232" i="95"/>
  <c r="I232" i="95"/>
  <c r="H232" i="95"/>
  <c r="G232" i="95"/>
  <c r="F232" i="95"/>
  <c r="E232" i="95"/>
  <c r="D232" i="95"/>
  <c r="O228" i="95"/>
  <c r="N228" i="95"/>
  <c r="M228" i="95"/>
  <c r="L228" i="95"/>
  <c r="K228" i="95"/>
  <c r="J228" i="95"/>
  <c r="I228" i="95"/>
  <c r="H228" i="95"/>
  <c r="G228" i="95"/>
  <c r="F228" i="95"/>
  <c r="E228" i="95"/>
  <c r="D228" i="95"/>
  <c r="O224" i="95"/>
  <c r="N224" i="95"/>
  <c r="M224" i="95"/>
  <c r="L224" i="95"/>
  <c r="K224" i="95"/>
  <c r="J224" i="95"/>
  <c r="I224" i="95"/>
  <c r="H224" i="95"/>
  <c r="G224" i="95"/>
  <c r="F224" i="95"/>
  <c r="E224" i="95"/>
  <c r="D224" i="95"/>
  <c r="O220" i="95"/>
  <c r="N220" i="95"/>
  <c r="M220" i="95"/>
  <c r="L220" i="95"/>
  <c r="K220" i="95"/>
  <c r="J220" i="95"/>
  <c r="I220" i="95"/>
  <c r="H220" i="95"/>
  <c r="G220" i="95"/>
  <c r="F220" i="95"/>
  <c r="E220" i="95"/>
  <c r="D220" i="95"/>
  <c r="O211" i="95"/>
  <c r="N211" i="95"/>
  <c r="M211" i="95"/>
  <c r="L211" i="95"/>
  <c r="K211" i="95"/>
  <c r="J211" i="95"/>
  <c r="I211" i="95"/>
  <c r="H211" i="95"/>
  <c r="G211" i="95"/>
  <c r="F211" i="95"/>
  <c r="E211" i="95"/>
  <c r="D211" i="95"/>
  <c r="O208" i="95"/>
  <c r="N208" i="95"/>
  <c r="M208" i="95"/>
  <c r="L208" i="95"/>
  <c r="K208" i="95"/>
  <c r="J208" i="95"/>
  <c r="I208" i="95"/>
  <c r="H208" i="95"/>
  <c r="G208" i="95"/>
  <c r="F208" i="95"/>
  <c r="E208" i="95"/>
  <c r="D208" i="95"/>
  <c r="O202" i="95"/>
  <c r="N202" i="95"/>
  <c r="M202" i="95"/>
  <c r="L202" i="95"/>
  <c r="K202" i="95"/>
  <c r="J202" i="95"/>
  <c r="I202" i="95"/>
  <c r="H202" i="95"/>
  <c r="G202" i="95"/>
  <c r="F202" i="95"/>
  <c r="E202" i="95"/>
  <c r="D202" i="95"/>
  <c r="O197" i="95"/>
  <c r="N197" i="95"/>
  <c r="M197" i="95"/>
  <c r="L197" i="95"/>
  <c r="K197" i="95"/>
  <c r="J197" i="95"/>
  <c r="I197" i="95"/>
  <c r="H197" i="95"/>
  <c r="G197" i="95"/>
  <c r="F197" i="95"/>
  <c r="E197" i="95"/>
  <c r="D197" i="95"/>
  <c r="O191" i="95"/>
  <c r="N191" i="95"/>
  <c r="M191" i="95"/>
  <c r="L191" i="95"/>
  <c r="K191" i="95"/>
  <c r="J191" i="95"/>
  <c r="I191" i="95"/>
  <c r="H191" i="95"/>
  <c r="G191" i="95"/>
  <c r="F191" i="95"/>
  <c r="E191" i="95"/>
  <c r="D191" i="95"/>
  <c r="O188" i="95"/>
  <c r="N188" i="95"/>
  <c r="M188" i="95"/>
  <c r="L188" i="95"/>
  <c r="K188" i="95"/>
  <c r="J188" i="95"/>
  <c r="I188" i="95"/>
  <c r="H188" i="95"/>
  <c r="G188" i="95"/>
  <c r="F188" i="95"/>
  <c r="E188" i="95"/>
  <c r="D188" i="95"/>
  <c r="O183" i="95"/>
  <c r="N183" i="95"/>
  <c r="M183" i="95"/>
  <c r="L183" i="95"/>
  <c r="K183" i="95"/>
  <c r="J183" i="95"/>
  <c r="I183" i="95"/>
  <c r="H183" i="95"/>
  <c r="G183" i="95"/>
  <c r="F183" i="95"/>
  <c r="E183" i="95"/>
  <c r="D183" i="95"/>
  <c r="O180" i="95"/>
  <c r="O8" i="95" s="1"/>
  <c r="M441" i="2" s="1"/>
  <c r="Z441" i="2" s="1"/>
  <c r="N180" i="95"/>
  <c r="M180" i="95"/>
  <c r="M8" i="95" s="1"/>
  <c r="K441" i="2" s="1"/>
  <c r="X441" i="2" s="1"/>
  <c r="L180" i="95"/>
  <c r="L8" i="95" s="1"/>
  <c r="J441" i="2" s="1"/>
  <c r="W441" i="2" s="1"/>
  <c r="K180" i="95"/>
  <c r="J180" i="95"/>
  <c r="I180" i="95"/>
  <c r="H180" i="95"/>
  <c r="H8" i="95" s="1"/>
  <c r="F441" i="2" s="1"/>
  <c r="S441" i="2" s="1"/>
  <c r="G180" i="95"/>
  <c r="G8" i="95" s="1"/>
  <c r="E441" i="2" s="1"/>
  <c r="R441" i="2" s="1"/>
  <c r="F180" i="95"/>
  <c r="E180" i="95"/>
  <c r="E8" i="95" s="1"/>
  <c r="C441" i="2" s="1"/>
  <c r="P441" i="2" s="1"/>
  <c r="D180" i="95"/>
  <c r="D8" i="95" s="1"/>
  <c r="B441" i="2" s="1"/>
  <c r="O441" i="2" s="1"/>
  <c r="O172" i="95"/>
  <c r="O33" i="95" s="1"/>
  <c r="M230" i="3" s="1"/>
  <c r="N172" i="95"/>
  <c r="M172" i="95"/>
  <c r="L172" i="95"/>
  <c r="L33" i="95" s="1"/>
  <c r="J230" i="3" s="1"/>
  <c r="K172" i="95"/>
  <c r="K33" i="95" s="1"/>
  <c r="I230" i="3" s="1"/>
  <c r="J172" i="95"/>
  <c r="I172" i="95"/>
  <c r="I33" i="95" s="1"/>
  <c r="G230" i="3" s="1"/>
  <c r="H172" i="95"/>
  <c r="H33" i="95" s="1"/>
  <c r="G172" i="95"/>
  <c r="G33" i="95" s="1"/>
  <c r="E230" i="3" s="1"/>
  <c r="F172" i="95"/>
  <c r="E172" i="95"/>
  <c r="E33" i="95" s="1"/>
  <c r="C230" i="3" s="1"/>
  <c r="D172" i="95"/>
  <c r="D33" i="95" s="1"/>
  <c r="B230" i="3" s="1"/>
  <c r="O171" i="95"/>
  <c r="O25" i="95" s="1"/>
  <c r="M140" i="3" s="1"/>
  <c r="N171" i="95"/>
  <c r="M171" i="95"/>
  <c r="M25" i="95" s="1"/>
  <c r="K140" i="3" s="1"/>
  <c r="L171" i="95"/>
  <c r="L25" i="95" s="1"/>
  <c r="J140" i="3" s="1"/>
  <c r="K171" i="95"/>
  <c r="K25" i="95" s="1"/>
  <c r="I140" i="3" s="1"/>
  <c r="J171" i="95"/>
  <c r="I171" i="95"/>
  <c r="I25" i="95" s="1"/>
  <c r="G140" i="3" s="1"/>
  <c r="H171" i="95"/>
  <c r="H25" i="95" s="1"/>
  <c r="F140" i="3" s="1"/>
  <c r="G171" i="95"/>
  <c r="G25" i="95" s="1"/>
  <c r="E140" i="3" s="1"/>
  <c r="F171" i="95"/>
  <c r="E171" i="95"/>
  <c r="E25" i="95" s="1"/>
  <c r="C140" i="3" s="1"/>
  <c r="D171" i="95"/>
  <c r="D25" i="95" s="1"/>
  <c r="B140" i="3" s="1"/>
  <c r="O170" i="95"/>
  <c r="O23" i="95" s="1"/>
  <c r="M119" i="3" s="1"/>
  <c r="N170" i="95"/>
  <c r="M170" i="95"/>
  <c r="L170" i="95"/>
  <c r="L23" i="95" s="1"/>
  <c r="J119" i="3" s="1"/>
  <c r="K170" i="95"/>
  <c r="K23" i="95" s="1"/>
  <c r="J170" i="95"/>
  <c r="I170" i="95"/>
  <c r="I23" i="95" s="1"/>
  <c r="G119" i="3" s="1"/>
  <c r="H170" i="95"/>
  <c r="H23" i="95" s="1"/>
  <c r="F119" i="3" s="1"/>
  <c r="G170" i="95"/>
  <c r="G23" i="95" s="1"/>
  <c r="F170" i="95"/>
  <c r="E170" i="95"/>
  <c r="E23" i="95" s="1"/>
  <c r="C119" i="3" s="1"/>
  <c r="D170" i="95"/>
  <c r="D23" i="95" s="1"/>
  <c r="B119" i="3" s="1"/>
  <c r="O169" i="95"/>
  <c r="O13" i="95" s="1"/>
  <c r="N169" i="95"/>
  <c r="M169" i="95"/>
  <c r="L169" i="95"/>
  <c r="L13" i="95" s="1"/>
  <c r="K169" i="95"/>
  <c r="K13" i="95" s="1"/>
  <c r="J169" i="95"/>
  <c r="I169" i="95"/>
  <c r="I13" i="95" s="1"/>
  <c r="H169" i="95"/>
  <c r="H13" i="95" s="1"/>
  <c r="G169" i="95"/>
  <c r="G13" i="95" s="1"/>
  <c r="E22" i="3" s="1"/>
  <c r="F169" i="95"/>
  <c r="E169" i="95"/>
  <c r="E13" i="95" s="1"/>
  <c r="C22" i="3" s="1"/>
  <c r="D169" i="95"/>
  <c r="D13" i="95" s="1"/>
  <c r="O163" i="95"/>
  <c r="N163" i="95"/>
  <c r="M163" i="95"/>
  <c r="L163" i="95"/>
  <c r="K163" i="95"/>
  <c r="J163" i="95"/>
  <c r="I163" i="95"/>
  <c r="H163" i="95"/>
  <c r="G163" i="95"/>
  <c r="F163" i="95"/>
  <c r="E163" i="95"/>
  <c r="D163" i="95"/>
  <c r="O141" i="95"/>
  <c r="N141" i="95"/>
  <c r="M141" i="95"/>
  <c r="M7" i="95" s="1"/>
  <c r="K440" i="2" s="1"/>
  <c r="X440" i="2" s="1"/>
  <c r="L141" i="95"/>
  <c r="L7" i="95" s="1"/>
  <c r="J440" i="2" s="1"/>
  <c r="W440" i="2" s="1"/>
  <c r="K141" i="95"/>
  <c r="K7" i="95" s="1"/>
  <c r="J141" i="95"/>
  <c r="I141" i="95"/>
  <c r="I7" i="95" s="1"/>
  <c r="G440" i="2" s="1"/>
  <c r="T440" i="2" s="1"/>
  <c r="H141" i="95"/>
  <c r="H7" i="95" s="1"/>
  <c r="F440" i="2" s="1"/>
  <c r="S440" i="2" s="1"/>
  <c r="G141" i="95"/>
  <c r="G7" i="95" s="1"/>
  <c r="F141" i="95"/>
  <c r="E141" i="95"/>
  <c r="D141" i="95"/>
  <c r="D7" i="95" s="1"/>
  <c r="B440" i="2" s="1"/>
  <c r="O440" i="2" s="1"/>
  <c r="O134" i="95"/>
  <c r="O29" i="95" s="1"/>
  <c r="M197" i="3" s="1"/>
  <c r="N134" i="95"/>
  <c r="M134" i="95"/>
  <c r="M29" i="95" s="1"/>
  <c r="K197" i="3" s="1"/>
  <c r="L134" i="95"/>
  <c r="L29" i="95" s="1"/>
  <c r="J197" i="3" s="1"/>
  <c r="K134" i="95"/>
  <c r="K29" i="95" s="1"/>
  <c r="I197" i="3" s="1"/>
  <c r="J134" i="95"/>
  <c r="I134" i="95"/>
  <c r="I29" i="95" s="1"/>
  <c r="G197" i="3" s="1"/>
  <c r="H134" i="95"/>
  <c r="H29" i="95" s="1"/>
  <c r="G134" i="95"/>
  <c r="G29" i="95" s="1"/>
  <c r="E197" i="3" s="1"/>
  <c r="F134" i="95"/>
  <c r="E134" i="95"/>
  <c r="D134" i="95"/>
  <c r="D29" i="95" s="1"/>
  <c r="B197" i="3" s="1"/>
  <c r="O133" i="95"/>
  <c r="O21" i="95" s="1"/>
  <c r="M88" i="3" s="1"/>
  <c r="N133" i="95"/>
  <c r="M133" i="95"/>
  <c r="M21" i="95" s="1"/>
  <c r="K88" i="3" s="1"/>
  <c r="L133" i="95"/>
  <c r="L21" i="95" s="1"/>
  <c r="J88" i="3" s="1"/>
  <c r="K133" i="95"/>
  <c r="K21" i="95" s="1"/>
  <c r="I88" i="3" s="1"/>
  <c r="J133" i="95"/>
  <c r="I133" i="95"/>
  <c r="H133" i="95"/>
  <c r="H21" i="95" s="1"/>
  <c r="F88" i="3" s="1"/>
  <c r="G133" i="95"/>
  <c r="F133" i="95"/>
  <c r="E133" i="95"/>
  <c r="E21" i="95" s="1"/>
  <c r="C88" i="3" s="1"/>
  <c r="D133" i="95"/>
  <c r="D21" i="95" s="1"/>
  <c r="B88" i="3" s="1"/>
  <c r="O114" i="95"/>
  <c r="O6" i="95" s="1"/>
  <c r="N114" i="95"/>
  <c r="M114" i="95"/>
  <c r="M6" i="95" s="1"/>
  <c r="K439" i="2" s="1"/>
  <c r="X439" i="2" s="1"/>
  <c r="L114" i="95"/>
  <c r="L6" i="95" s="1"/>
  <c r="J439" i="2" s="1"/>
  <c r="W439" i="2" s="1"/>
  <c r="K114" i="95"/>
  <c r="K6" i="95" s="1"/>
  <c r="J114" i="95"/>
  <c r="I114" i="95"/>
  <c r="I6" i="95" s="1"/>
  <c r="G439" i="2" s="1"/>
  <c r="T439" i="2" s="1"/>
  <c r="H114" i="95"/>
  <c r="H6" i="95" s="1"/>
  <c r="F439" i="2" s="1"/>
  <c r="S439" i="2" s="1"/>
  <c r="G114" i="95"/>
  <c r="G6" i="95" s="1"/>
  <c r="F114" i="95"/>
  <c r="E114" i="95"/>
  <c r="E6" i="95" s="1"/>
  <c r="C439" i="2" s="1"/>
  <c r="P439" i="2" s="1"/>
  <c r="D114" i="95"/>
  <c r="D6" i="95" s="1"/>
  <c r="B439" i="2" s="1"/>
  <c r="O439" i="2" s="1"/>
  <c r="O106" i="95"/>
  <c r="O55" i="95" s="1"/>
  <c r="M399" i="3" s="1"/>
  <c r="N106" i="95"/>
  <c r="M106" i="95"/>
  <c r="M55" i="95" s="1"/>
  <c r="K399" i="3" s="1"/>
  <c r="L106" i="95"/>
  <c r="L55" i="95" s="1"/>
  <c r="J399" i="3" s="1"/>
  <c r="K106" i="95"/>
  <c r="K55" i="95" s="1"/>
  <c r="I399" i="3" s="1"/>
  <c r="J106" i="95"/>
  <c r="I106" i="95"/>
  <c r="H106" i="95"/>
  <c r="H55" i="95" s="1"/>
  <c r="F399" i="3" s="1"/>
  <c r="G106" i="95"/>
  <c r="G55" i="95" s="1"/>
  <c r="E399" i="3" s="1"/>
  <c r="F106" i="95"/>
  <c r="E106" i="95"/>
  <c r="E55" i="95" s="1"/>
  <c r="C399" i="3" s="1"/>
  <c r="D106" i="95"/>
  <c r="D55" i="95" s="1"/>
  <c r="B399" i="3" s="1"/>
  <c r="O105" i="95"/>
  <c r="N105" i="95"/>
  <c r="M105" i="95"/>
  <c r="M35" i="95" s="1"/>
  <c r="K240" i="3" s="1"/>
  <c r="L105" i="95"/>
  <c r="L35" i="95" s="1"/>
  <c r="J240" i="3" s="1"/>
  <c r="K105" i="95"/>
  <c r="K35" i="95" s="1"/>
  <c r="I240" i="3" s="1"/>
  <c r="J105" i="95"/>
  <c r="I105" i="95"/>
  <c r="I35" i="95" s="1"/>
  <c r="G240" i="3" s="1"/>
  <c r="H105" i="95"/>
  <c r="H35" i="95" s="1"/>
  <c r="F240" i="3" s="1"/>
  <c r="G105" i="95"/>
  <c r="G35" i="95" s="1"/>
  <c r="E240" i="3" s="1"/>
  <c r="F105" i="95"/>
  <c r="E105" i="95"/>
  <c r="E35" i="95" s="1"/>
  <c r="C240" i="3" s="1"/>
  <c r="D105" i="95"/>
  <c r="D35" i="95" s="1"/>
  <c r="B240" i="3" s="1"/>
  <c r="O104" i="95"/>
  <c r="O19" i="95" s="1"/>
  <c r="M63" i="3" s="1"/>
  <c r="N104" i="95"/>
  <c r="M104" i="95"/>
  <c r="M19" i="95" s="1"/>
  <c r="K63" i="3" s="1"/>
  <c r="L104" i="95"/>
  <c r="L19" i="95" s="1"/>
  <c r="J63" i="3" s="1"/>
  <c r="K104" i="95"/>
  <c r="K19" i="95" s="1"/>
  <c r="I63" i="3" s="1"/>
  <c r="J104" i="95"/>
  <c r="I104" i="95"/>
  <c r="I19" i="95" s="1"/>
  <c r="G63" i="3" s="1"/>
  <c r="H104" i="95"/>
  <c r="H19" i="95" s="1"/>
  <c r="F63" i="3" s="1"/>
  <c r="G104" i="95"/>
  <c r="G19" i="95" s="1"/>
  <c r="E63" i="3" s="1"/>
  <c r="F104" i="95"/>
  <c r="E104" i="95"/>
  <c r="D104" i="95"/>
  <c r="D19" i="95" s="1"/>
  <c r="O103" i="95"/>
  <c r="O17" i="95" s="1"/>
  <c r="M62" i="3" s="1"/>
  <c r="N103" i="95"/>
  <c r="M103" i="95"/>
  <c r="M17" i="95" s="1"/>
  <c r="K62" i="3" s="1"/>
  <c r="L103" i="95"/>
  <c r="L17" i="95" s="1"/>
  <c r="J62" i="3" s="1"/>
  <c r="K103" i="95"/>
  <c r="K17" i="95" s="1"/>
  <c r="I62" i="3" s="1"/>
  <c r="J103" i="95"/>
  <c r="I103" i="95"/>
  <c r="I17" i="95" s="1"/>
  <c r="G62" i="3" s="1"/>
  <c r="H103" i="95"/>
  <c r="H17" i="95" s="1"/>
  <c r="F62" i="3" s="1"/>
  <c r="G103" i="95"/>
  <c r="G17" i="95" s="1"/>
  <c r="E62" i="3" s="1"/>
  <c r="F103" i="95"/>
  <c r="E103" i="95"/>
  <c r="E17" i="95" s="1"/>
  <c r="C62" i="3" s="1"/>
  <c r="D103" i="95"/>
  <c r="D17" i="95" s="1"/>
  <c r="B62" i="3" s="1"/>
  <c r="O102" i="95"/>
  <c r="O15" i="95" s="1"/>
  <c r="M61" i="3" s="1"/>
  <c r="N102" i="95"/>
  <c r="M102" i="95"/>
  <c r="L102" i="95"/>
  <c r="L15" i="95" s="1"/>
  <c r="J61" i="3" s="1"/>
  <c r="K102" i="95"/>
  <c r="K15" i="95" s="1"/>
  <c r="J102" i="95"/>
  <c r="I102" i="95"/>
  <c r="I15" i="95" s="1"/>
  <c r="G61" i="3" s="1"/>
  <c r="H102" i="95"/>
  <c r="H15" i="95" s="1"/>
  <c r="F61" i="3" s="1"/>
  <c r="G102" i="95"/>
  <c r="G15" i="95" s="1"/>
  <c r="E61" i="3" s="1"/>
  <c r="F102" i="95"/>
  <c r="E102" i="95"/>
  <c r="E15" i="95" s="1"/>
  <c r="C61" i="3" s="1"/>
  <c r="D102" i="95"/>
  <c r="D15" i="95" s="1"/>
  <c r="B61" i="3" s="1"/>
  <c r="O99" i="95"/>
  <c r="N99" i="95"/>
  <c r="M99" i="95"/>
  <c r="L99" i="95"/>
  <c r="K99" i="95"/>
  <c r="J99" i="95"/>
  <c r="I99" i="95"/>
  <c r="H99" i="95"/>
  <c r="G99" i="95"/>
  <c r="F99" i="95"/>
  <c r="E99" i="95"/>
  <c r="D99" i="95"/>
  <c r="O68" i="95"/>
  <c r="O5" i="95" s="1"/>
  <c r="N68" i="95"/>
  <c r="M68" i="95"/>
  <c r="L68" i="95"/>
  <c r="L5" i="95" s="1"/>
  <c r="L3" i="95" s="1"/>
  <c r="L11" i="95" s="1"/>
  <c r="K68" i="95"/>
  <c r="K5" i="95" s="1"/>
  <c r="J68" i="95"/>
  <c r="I68" i="95"/>
  <c r="I5" i="95" s="1"/>
  <c r="H68" i="95"/>
  <c r="H5" i="95" s="1"/>
  <c r="H3" i="95" s="1"/>
  <c r="H11" i="95" s="1"/>
  <c r="G68" i="95"/>
  <c r="G5" i="95" s="1"/>
  <c r="F68" i="95"/>
  <c r="E68" i="95"/>
  <c r="E5" i="95" s="1"/>
  <c r="C438" i="2" s="1"/>
  <c r="D68" i="95"/>
  <c r="D5" i="95" s="1"/>
  <c r="D3" i="95" s="1"/>
  <c r="D11" i="95" s="1"/>
  <c r="O57" i="95"/>
  <c r="M483" i="3" s="1"/>
  <c r="N57" i="95"/>
  <c r="M57" i="95"/>
  <c r="K57" i="95"/>
  <c r="I483" i="3" s="1"/>
  <c r="J57" i="95"/>
  <c r="F57" i="95"/>
  <c r="N55" i="95"/>
  <c r="L399" i="3" s="1"/>
  <c r="J55" i="95"/>
  <c r="I55" i="95"/>
  <c r="G399" i="3" s="1"/>
  <c r="F55" i="95"/>
  <c r="N53" i="95"/>
  <c r="L360" i="3" s="1"/>
  <c r="J53" i="95"/>
  <c r="I53" i="95"/>
  <c r="G360" i="3" s="1"/>
  <c r="F53" i="95"/>
  <c r="N51" i="95"/>
  <c r="J51" i="95"/>
  <c r="H310" i="3" s="1"/>
  <c r="G51" i="95"/>
  <c r="F51" i="95"/>
  <c r="E51" i="95"/>
  <c r="C310" i="3" s="1"/>
  <c r="O48" i="95"/>
  <c r="N48" i="95"/>
  <c r="J48" i="95"/>
  <c r="F48" i="95"/>
  <c r="N47" i="95"/>
  <c r="M47" i="95"/>
  <c r="J47" i="95"/>
  <c r="F47" i="95"/>
  <c r="N45" i="95"/>
  <c r="L255" i="3" s="1"/>
  <c r="J45" i="95"/>
  <c r="I45" i="95"/>
  <c r="G255" i="3" s="1"/>
  <c r="F45" i="95"/>
  <c r="N43" i="95"/>
  <c r="L254" i="3" s="1"/>
  <c r="K43" i="95"/>
  <c r="I254" i="3" s="1"/>
  <c r="J43" i="95"/>
  <c r="I43" i="95"/>
  <c r="F43" i="95"/>
  <c r="N41" i="95"/>
  <c r="J41" i="95"/>
  <c r="I41" i="95"/>
  <c r="F41" i="95"/>
  <c r="D253" i="3" s="1"/>
  <c r="N39" i="95"/>
  <c r="L252" i="3" s="1"/>
  <c r="J39" i="95"/>
  <c r="I39" i="95"/>
  <c r="F39" i="95"/>
  <c r="N37" i="95"/>
  <c r="L251" i="3" s="1"/>
  <c r="K37" i="95"/>
  <c r="J37" i="95"/>
  <c r="F37" i="95"/>
  <c r="E37" i="95"/>
  <c r="C251" i="3" s="1"/>
  <c r="O35" i="95"/>
  <c r="M240" i="3" s="1"/>
  <c r="N35" i="95"/>
  <c r="J35" i="95"/>
  <c r="H240" i="3" s="1"/>
  <c r="F35" i="95"/>
  <c r="D240" i="3" s="1"/>
  <c r="N33" i="95"/>
  <c r="M33" i="95"/>
  <c r="K230" i="3" s="1"/>
  <c r="J33" i="95"/>
  <c r="F33" i="95"/>
  <c r="D230" i="3" s="1"/>
  <c r="N31" i="95"/>
  <c r="J31" i="95"/>
  <c r="I31" i="95"/>
  <c r="G214" i="3" s="1"/>
  <c r="F31" i="95"/>
  <c r="N29" i="95"/>
  <c r="J29" i="95"/>
  <c r="H197" i="3" s="1"/>
  <c r="F29" i="95"/>
  <c r="E29" i="95"/>
  <c r="N27" i="95"/>
  <c r="J27" i="95"/>
  <c r="H163" i="3" s="1"/>
  <c r="F27" i="95"/>
  <c r="E27" i="95"/>
  <c r="C163" i="3" s="1"/>
  <c r="N25" i="95"/>
  <c r="J25" i="95"/>
  <c r="F25" i="95"/>
  <c r="D140" i="3" s="1"/>
  <c r="N23" i="95"/>
  <c r="M23" i="95"/>
  <c r="J23" i="95"/>
  <c r="F23" i="95"/>
  <c r="N21" i="95"/>
  <c r="L88" i="3" s="1"/>
  <c r="J21" i="95"/>
  <c r="I21" i="95"/>
  <c r="G88" i="3" s="1"/>
  <c r="G21" i="95"/>
  <c r="F21" i="95"/>
  <c r="N19" i="95"/>
  <c r="J19" i="95"/>
  <c r="F19" i="95"/>
  <c r="E19" i="95"/>
  <c r="C63" i="3" s="1"/>
  <c r="N17" i="95"/>
  <c r="J17" i="95"/>
  <c r="F17" i="95"/>
  <c r="D62" i="3" s="1"/>
  <c r="N15" i="95"/>
  <c r="M15" i="95"/>
  <c r="K61" i="3" s="1"/>
  <c r="J15" i="95"/>
  <c r="F15" i="95"/>
  <c r="N13" i="95"/>
  <c r="M13" i="95"/>
  <c r="J13" i="95"/>
  <c r="F13" i="95"/>
  <c r="N9" i="95"/>
  <c r="L442" i="2" s="1"/>
  <c r="Y442" i="2" s="1"/>
  <c r="J9" i="95"/>
  <c r="I9" i="95"/>
  <c r="G442" i="2" s="1"/>
  <c r="T442" i="2" s="1"/>
  <c r="F9" i="95"/>
  <c r="N8" i="95"/>
  <c r="L441" i="2" s="1"/>
  <c r="Y441" i="2" s="1"/>
  <c r="K8" i="95"/>
  <c r="I441" i="2" s="1"/>
  <c r="V441" i="2" s="1"/>
  <c r="J8" i="95"/>
  <c r="I8" i="95"/>
  <c r="G441" i="2" s="1"/>
  <c r="T441" i="2" s="1"/>
  <c r="F8" i="95"/>
  <c r="O7" i="95"/>
  <c r="M440" i="2" s="1"/>
  <c r="Z440" i="2" s="1"/>
  <c r="N7" i="95"/>
  <c r="J7" i="95"/>
  <c r="H440" i="2" s="1"/>
  <c r="U440" i="2" s="1"/>
  <c r="F7" i="95"/>
  <c r="E7" i="95"/>
  <c r="C440" i="2" s="1"/>
  <c r="P440" i="2" s="1"/>
  <c r="N6" i="95"/>
  <c r="L439" i="2" s="1"/>
  <c r="Y439" i="2" s="1"/>
  <c r="J6" i="95"/>
  <c r="F6" i="95"/>
  <c r="N5" i="95"/>
  <c r="M5" i="95"/>
  <c r="J5" i="95"/>
  <c r="F5" i="95"/>
  <c r="O250" i="94"/>
  <c r="N250" i="94"/>
  <c r="M250" i="94"/>
  <c r="L250" i="94"/>
  <c r="L38" i="94" s="1"/>
  <c r="K250" i="94"/>
  <c r="K38" i="94" s="1"/>
  <c r="J250" i="94"/>
  <c r="I250" i="94"/>
  <c r="H250" i="94"/>
  <c r="H38" i="94" s="1"/>
  <c r="G250" i="94"/>
  <c r="G38" i="94" s="1"/>
  <c r="F250" i="94"/>
  <c r="E250" i="94"/>
  <c r="D250" i="94"/>
  <c r="D38" i="94" s="1"/>
  <c r="O249" i="94"/>
  <c r="O28" i="94" s="1"/>
  <c r="N249" i="94"/>
  <c r="M249" i="94"/>
  <c r="M28" i="94" s="1"/>
  <c r="L249" i="94"/>
  <c r="K249" i="94"/>
  <c r="J249" i="94"/>
  <c r="I249" i="94"/>
  <c r="I28" i="94" s="1"/>
  <c r="H249" i="94"/>
  <c r="H28" i="94" s="1"/>
  <c r="G249" i="94"/>
  <c r="G28" i="94" s="1"/>
  <c r="F249" i="94"/>
  <c r="E249" i="94"/>
  <c r="E28" i="94" s="1"/>
  <c r="D249" i="94"/>
  <c r="D28" i="94" s="1"/>
  <c r="O234" i="94"/>
  <c r="O11" i="94" s="1"/>
  <c r="M313" i="2" s="1"/>
  <c r="Z313" i="2" s="1"/>
  <c r="N234" i="94"/>
  <c r="M234" i="94"/>
  <c r="M11" i="94" s="1"/>
  <c r="K313" i="2" s="1"/>
  <c r="X313" i="2" s="1"/>
  <c r="L234" i="94"/>
  <c r="K234" i="94"/>
  <c r="J234" i="94"/>
  <c r="I234" i="94"/>
  <c r="I11" i="94" s="1"/>
  <c r="G313" i="2" s="1"/>
  <c r="T313" i="2" s="1"/>
  <c r="H234" i="94"/>
  <c r="H11" i="94" s="1"/>
  <c r="G234" i="94"/>
  <c r="G11" i="94" s="1"/>
  <c r="E313" i="2" s="1"/>
  <c r="R313" i="2" s="1"/>
  <c r="F234" i="94"/>
  <c r="E234" i="94"/>
  <c r="E11" i="94" s="1"/>
  <c r="C313" i="2" s="1"/>
  <c r="P313" i="2" s="1"/>
  <c r="D234" i="94"/>
  <c r="D11" i="94" s="1"/>
  <c r="O227" i="94"/>
  <c r="N227" i="94"/>
  <c r="M227" i="94"/>
  <c r="M35" i="94" s="1"/>
  <c r="L227" i="94"/>
  <c r="L35" i="94" s="1"/>
  <c r="K227" i="94"/>
  <c r="K35" i="94" s="1"/>
  <c r="J227" i="94"/>
  <c r="I227" i="94"/>
  <c r="I35" i="94" s="1"/>
  <c r="H227" i="94"/>
  <c r="H35" i="94" s="1"/>
  <c r="G227" i="94"/>
  <c r="F227" i="94"/>
  <c r="E227" i="94"/>
  <c r="E35" i="94" s="1"/>
  <c r="D227" i="94"/>
  <c r="D35" i="94" s="1"/>
  <c r="O226" i="94"/>
  <c r="O32" i="94" s="1"/>
  <c r="N226" i="94"/>
  <c r="M226" i="94"/>
  <c r="M32" i="94" s="1"/>
  <c r="L226" i="94"/>
  <c r="L32" i="94" s="1"/>
  <c r="K226" i="94"/>
  <c r="K32" i="94" s="1"/>
  <c r="J226" i="94"/>
  <c r="I226" i="94"/>
  <c r="I32" i="94" s="1"/>
  <c r="H226" i="94"/>
  <c r="H32" i="94" s="1"/>
  <c r="G226" i="94"/>
  <c r="G32" i="94" s="1"/>
  <c r="F226" i="94"/>
  <c r="E226" i="94"/>
  <c r="E32" i="94" s="1"/>
  <c r="D226" i="94"/>
  <c r="O225" i="94"/>
  <c r="O18" i="94" s="1"/>
  <c r="N225" i="94"/>
  <c r="M225" i="94"/>
  <c r="M18" i="94" s="1"/>
  <c r="L225" i="94"/>
  <c r="K225" i="94"/>
  <c r="K18" i="94" s="1"/>
  <c r="J225" i="94"/>
  <c r="I225" i="94"/>
  <c r="I18" i="94" s="1"/>
  <c r="H225" i="94"/>
  <c r="H18" i="94" s="1"/>
  <c r="G225" i="94"/>
  <c r="F225" i="94"/>
  <c r="E225" i="94"/>
  <c r="E18" i="94" s="1"/>
  <c r="D225" i="94"/>
  <c r="D18" i="94" s="1"/>
  <c r="O197" i="94"/>
  <c r="O10" i="94" s="1"/>
  <c r="M312" i="2" s="1"/>
  <c r="Z312" i="2" s="1"/>
  <c r="N197" i="94"/>
  <c r="M197" i="94"/>
  <c r="M10" i="94" s="1"/>
  <c r="K312" i="2" s="1"/>
  <c r="X312" i="2" s="1"/>
  <c r="L197" i="94"/>
  <c r="L10" i="94" s="1"/>
  <c r="K197" i="94"/>
  <c r="K10" i="94" s="1"/>
  <c r="I312" i="2" s="1"/>
  <c r="V312" i="2" s="1"/>
  <c r="J197" i="94"/>
  <c r="I197" i="94"/>
  <c r="I10" i="94" s="1"/>
  <c r="G312" i="2" s="1"/>
  <c r="T312" i="2" s="1"/>
  <c r="H197" i="94"/>
  <c r="G197" i="94"/>
  <c r="F197" i="94"/>
  <c r="E197" i="94"/>
  <c r="E10" i="94" s="1"/>
  <c r="C312" i="2" s="1"/>
  <c r="P312" i="2" s="1"/>
  <c r="D197" i="94"/>
  <c r="D10" i="94" s="1"/>
  <c r="O189" i="94"/>
  <c r="N189" i="94"/>
  <c r="M189" i="94"/>
  <c r="M31" i="94" s="1"/>
  <c r="M33" i="94" s="1"/>
  <c r="K227" i="3" s="1"/>
  <c r="L189" i="94"/>
  <c r="L31" i="94" s="1"/>
  <c r="L33" i="94" s="1"/>
  <c r="J227" i="3" s="1"/>
  <c r="K189" i="94"/>
  <c r="K31" i="94" s="1"/>
  <c r="K33" i="94" s="1"/>
  <c r="I227" i="3" s="1"/>
  <c r="J189" i="94"/>
  <c r="I189" i="94"/>
  <c r="I31" i="94" s="1"/>
  <c r="H189" i="94"/>
  <c r="H31" i="94" s="1"/>
  <c r="H33" i="94" s="1"/>
  <c r="F227" i="3" s="1"/>
  <c r="G189" i="94"/>
  <c r="G31" i="94" s="1"/>
  <c r="G33" i="94" s="1"/>
  <c r="E227" i="3" s="1"/>
  <c r="F189" i="94"/>
  <c r="E189" i="94"/>
  <c r="E31" i="94" s="1"/>
  <c r="E33" i="94" s="1"/>
  <c r="C227" i="3" s="1"/>
  <c r="D189" i="94"/>
  <c r="D31" i="94" s="1"/>
  <c r="O188" i="94"/>
  <c r="O17" i="94" s="1"/>
  <c r="N188" i="94"/>
  <c r="M188" i="94"/>
  <c r="M17" i="94" s="1"/>
  <c r="L188" i="94"/>
  <c r="L17" i="94" s="1"/>
  <c r="K188" i="94"/>
  <c r="K17" i="94" s="1"/>
  <c r="J188" i="94"/>
  <c r="I188" i="94"/>
  <c r="I17" i="94" s="1"/>
  <c r="H188" i="94"/>
  <c r="G188" i="94"/>
  <c r="G17" i="94" s="1"/>
  <c r="F188" i="94"/>
  <c r="E188" i="94"/>
  <c r="E17" i="94" s="1"/>
  <c r="D188" i="94"/>
  <c r="D17" i="94" s="1"/>
  <c r="O164" i="94"/>
  <c r="O9" i="94" s="1"/>
  <c r="M311" i="2" s="1"/>
  <c r="Z311" i="2" s="1"/>
  <c r="N164" i="94"/>
  <c r="M164" i="94"/>
  <c r="M9" i="94" s="1"/>
  <c r="K311" i="2" s="1"/>
  <c r="X311" i="2" s="1"/>
  <c r="L164" i="94"/>
  <c r="K164" i="94"/>
  <c r="K9" i="94" s="1"/>
  <c r="J164" i="94"/>
  <c r="I164" i="94"/>
  <c r="I9" i="94" s="1"/>
  <c r="G311" i="2" s="1"/>
  <c r="T311" i="2" s="1"/>
  <c r="H164" i="94"/>
  <c r="H9" i="94" s="1"/>
  <c r="G164" i="94"/>
  <c r="G9" i="94" s="1"/>
  <c r="F164" i="94"/>
  <c r="E164" i="94"/>
  <c r="E9" i="94" s="1"/>
  <c r="C311" i="2" s="1"/>
  <c r="P311" i="2" s="1"/>
  <c r="D164" i="94"/>
  <c r="D9" i="94" s="1"/>
  <c r="O157" i="94"/>
  <c r="O25" i="94" s="1"/>
  <c r="M126" i="3" s="1"/>
  <c r="N157" i="94"/>
  <c r="M157" i="94"/>
  <c r="M25" i="94" s="1"/>
  <c r="K126" i="3" s="1"/>
  <c r="L157" i="94"/>
  <c r="L25" i="94" s="1"/>
  <c r="K157" i="94"/>
  <c r="K25" i="94" s="1"/>
  <c r="J157" i="94"/>
  <c r="I157" i="94"/>
  <c r="I25" i="94" s="1"/>
  <c r="G126" i="3" s="1"/>
  <c r="H157" i="94"/>
  <c r="H25" i="94" s="1"/>
  <c r="G157" i="94"/>
  <c r="G25" i="94" s="1"/>
  <c r="F157" i="94"/>
  <c r="E157" i="94"/>
  <c r="E25" i="94" s="1"/>
  <c r="C126" i="3" s="1"/>
  <c r="D157" i="94"/>
  <c r="D25" i="94" s="1"/>
  <c r="O142" i="94"/>
  <c r="N142" i="94"/>
  <c r="M142" i="94"/>
  <c r="M8" i="94" s="1"/>
  <c r="K310" i="2" s="1"/>
  <c r="X310" i="2" s="1"/>
  <c r="L142" i="94"/>
  <c r="L8" i="94" s="1"/>
  <c r="K142" i="94"/>
  <c r="K8" i="94" s="1"/>
  <c r="J142" i="94"/>
  <c r="I142" i="94"/>
  <c r="I8" i="94" s="1"/>
  <c r="G310" i="2" s="1"/>
  <c r="T310" i="2" s="1"/>
  <c r="H142" i="94"/>
  <c r="G142" i="94"/>
  <c r="G8" i="94" s="1"/>
  <c r="F142" i="94"/>
  <c r="E142" i="94"/>
  <c r="E8" i="94" s="1"/>
  <c r="C310" i="2" s="1"/>
  <c r="P310" i="2" s="1"/>
  <c r="D142" i="94"/>
  <c r="D8" i="94" s="1"/>
  <c r="O135" i="94"/>
  <c r="O23" i="94" s="1"/>
  <c r="M107" i="3" s="1"/>
  <c r="N135" i="94"/>
  <c r="M135" i="94"/>
  <c r="L135" i="94"/>
  <c r="L23" i="94" s="1"/>
  <c r="K135" i="94"/>
  <c r="K23" i="94" s="1"/>
  <c r="J135" i="94"/>
  <c r="I135" i="94"/>
  <c r="H135" i="94"/>
  <c r="H23" i="94" s="1"/>
  <c r="G135" i="94"/>
  <c r="G23" i="94" s="1"/>
  <c r="F135" i="94"/>
  <c r="E135" i="94"/>
  <c r="O134" i="94"/>
  <c r="N134" i="94"/>
  <c r="M134" i="94"/>
  <c r="M16" i="94" s="1"/>
  <c r="L134" i="94"/>
  <c r="L16" i="94" s="1"/>
  <c r="K134" i="94"/>
  <c r="K16" i="94" s="1"/>
  <c r="J134" i="94"/>
  <c r="J16" i="94" s="1"/>
  <c r="I134" i="94"/>
  <c r="I16" i="94" s="1"/>
  <c r="H134" i="94"/>
  <c r="G134" i="94"/>
  <c r="G16" i="94" s="1"/>
  <c r="F134" i="94"/>
  <c r="F16" i="94" s="1"/>
  <c r="E134" i="94"/>
  <c r="E16" i="94" s="1"/>
  <c r="D134" i="94"/>
  <c r="O124" i="94"/>
  <c r="N124" i="94"/>
  <c r="M124" i="94"/>
  <c r="L124" i="94"/>
  <c r="K124" i="94"/>
  <c r="J124" i="94"/>
  <c r="I124" i="94"/>
  <c r="H124" i="94"/>
  <c r="G124" i="94"/>
  <c r="F124" i="94"/>
  <c r="E124" i="94"/>
  <c r="D124" i="94"/>
  <c r="D135" i="94" s="1"/>
  <c r="D23" i="94" s="1"/>
  <c r="B107" i="3" s="1"/>
  <c r="O109" i="94"/>
  <c r="O7" i="94" s="1"/>
  <c r="N109" i="94"/>
  <c r="N7" i="94" s="1"/>
  <c r="L309" i="2" s="1"/>
  <c r="Y309" i="2" s="1"/>
  <c r="M109" i="94"/>
  <c r="M7" i="94" s="1"/>
  <c r="K309" i="2" s="1"/>
  <c r="X309" i="2" s="1"/>
  <c r="L109" i="94"/>
  <c r="K109" i="94"/>
  <c r="K7" i="94" s="1"/>
  <c r="J109" i="94"/>
  <c r="J7" i="94" s="1"/>
  <c r="H309" i="2" s="1"/>
  <c r="U309" i="2" s="1"/>
  <c r="I109" i="94"/>
  <c r="I7" i="94" s="1"/>
  <c r="G309" i="2" s="1"/>
  <c r="T309" i="2" s="1"/>
  <c r="H109" i="94"/>
  <c r="H7" i="94" s="1"/>
  <c r="G109" i="94"/>
  <c r="G7" i="94" s="1"/>
  <c r="F109" i="94"/>
  <c r="F7" i="94" s="1"/>
  <c r="D309" i="2" s="1"/>
  <c r="Q309" i="2" s="1"/>
  <c r="E109" i="94"/>
  <c r="E7" i="94" s="1"/>
  <c r="C309" i="2" s="1"/>
  <c r="P309" i="2" s="1"/>
  <c r="D109" i="94"/>
  <c r="O102" i="94"/>
  <c r="O37" i="94" s="1"/>
  <c r="O39" i="94" s="1"/>
  <c r="M529" i="3" s="1"/>
  <c r="N102" i="94"/>
  <c r="N37" i="94" s="1"/>
  <c r="M102" i="94"/>
  <c r="L102" i="94"/>
  <c r="K102" i="94"/>
  <c r="J102" i="94"/>
  <c r="J37" i="94" s="1"/>
  <c r="I102" i="94"/>
  <c r="H102" i="94"/>
  <c r="G102" i="94"/>
  <c r="G37" i="94" s="1"/>
  <c r="G39" i="94" s="1"/>
  <c r="E529" i="3" s="1"/>
  <c r="F102" i="94"/>
  <c r="F37" i="94" s="1"/>
  <c r="F39" i="94" s="1"/>
  <c r="D529" i="3" s="1"/>
  <c r="E102" i="94"/>
  <c r="D102" i="94"/>
  <c r="O101" i="94"/>
  <c r="O21" i="94" s="1"/>
  <c r="N101" i="94"/>
  <c r="N21" i="94" s="1"/>
  <c r="M101" i="94"/>
  <c r="L101" i="94"/>
  <c r="K101" i="94"/>
  <c r="K21" i="94" s="1"/>
  <c r="J101" i="94"/>
  <c r="J21" i="94" s="1"/>
  <c r="I101" i="94"/>
  <c r="H101" i="94"/>
  <c r="G101" i="94"/>
  <c r="G21" i="94" s="1"/>
  <c r="F101" i="94"/>
  <c r="F21" i="94" s="1"/>
  <c r="E101" i="94"/>
  <c r="D101" i="94"/>
  <c r="O100" i="94"/>
  <c r="N100" i="94"/>
  <c r="N15" i="94" s="1"/>
  <c r="M100" i="94"/>
  <c r="M15" i="94" s="1"/>
  <c r="L100" i="94"/>
  <c r="K100" i="94"/>
  <c r="K15" i="94" s="1"/>
  <c r="K19" i="94" s="1"/>
  <c r="J100" i="94"/>
  <c r="I100" i="94"/>
  <c r="I15" i="94" s="1"/>
  <c r="H100" i="94"/>
  <c r="H15" i="94" s="1"/>
  <c r="G100" i="94"/>
  <c r="G15" i="94" s="1"/>
  <c r="F100" i="94"/>
  <c r="E100" i="94"/>
  <c r="E15" i="94" s="1"/>
  <c r="D100" i="94"/>
  <c r="O85" i="94"/>
  <c r="N85" i="94"/>
  <c r="M85" i="94"/>
  <c r="L85" i="94"/>
  <c r="K85" i="94"/>
  <c r="J85" i="94"/>
  <c r="I85" i="94"/>
  <c r="H85" i="94"/>
  <c r="G85" i="94"/>
  <c r="F85" i="94"/>
  <c r="E85" i="94"/>
  <c r="D85" i="94"/>
  <c r="O73" i="94"/>
  <c r="O6" i="94" s="1"/>
  <c r="N73" i="94"/>
  <c r="N6" i="94" s="1"/>
  <c r="M73" i="94"/>
  <c r="L73" i="94"/>
  <c r="K73" i="94"/>
  <c r="K6" i="94" s="1"/>
  <c r="J73" i="94"/>
  <c r="J6" i="94" s="1"/>
  <c r="I73" i="94"/>
  <c r="H73" i="94"/>
  <c r="G73" i="94"/>
  <c r="G6" i="94" s="1"/>
  <c r="F73" i="94"/>
  <c r="F6" i="94" s="1"/>
  <c r="E73" i="94"/>
  <c r="D73" i="94"/>
  <c r="O66" i="94"/>
  <c r="O27" i="94" s="1"/>
  <c r="N66" i="94"/>
  <c r="M66" i="94"/>
  <c r="M27" i="94" s="1"/>
  <c r="L66" i="94"/>
  <c r="K66" i="94"/>
  <c r="K27" i="94" s="1"/>
  <c r="K29" i="94" s="1"/>
  <c r="I156" i="3" s="1"/>
  <c r="J66" i="94"/>
  <c r="J27" i="94" s="1"/>
  <c r="J29" i="94" s="1"/>
  <c r="H156" i="3" s="1"/>
  <c r="I66" i="94"/>
  <c r="I27" i="94" s="1"/>
  <c r="H66" i="94"/>
  <c r="G66" i="94"/>
  <c r="G27" i="94" s="1"/>
  <c r="G29" i="94" s="1"/>
  <c r="E156" i="3" s="1"/>
  <c r="F66" i="94"/>
  <c r="F27" i="94" s="1"/>
  <c r="E66" i="94"/>
  <c r="E27" i="94" s="1"/>
  <c r="D66" i="94"/>
  <c r="O50" i="94"/>
  <c r="O5" i="94" s="1"/>
  <c r="N50" i="94"/>
  <c r="N5" i="94" s="1"/>
  <c r="M50" i="94"/>
  <c r="L50" i="94"/>
  <c r="K50" i="94"/>
  <c r="J50" i="94"/>
  <c r="J5" i="94" s="1"/>
  <c r="I50" i="94"/>
  <c r="H50" i="94"/>
  <c r="G50" i="94"/>
  <c r="G5" i="94" s="1"/>
  <c r="G3" i="94" s="1"/>
  <c r="G13" i="94" s="1"/>
  <c r="F50" i="94"/>
  <c r="F5" i="94" s="1"/>
  <c r="E50" i="94"/>
  <c r="D50" i="94"/>
  <c r="O38" i="94"/>
  <c r="N38" i="94"/>
  <c r="M38" i="94"/>
  <c r="J38" i="94"/>
  <c r="I38" i="94"/>
  <c r="F38" i="94"/>
  <c r="E38" i="94"/>
  <c r="M37" i="94"/>
  <c r="M39" i="94" s="1"/>
  <c r="K529" i="3" s="1"/>
  <c r="L37" i="94"/>
  <c r="K37" i="94"/>
  <c r="K39" i="94" s="1"/>
  <c r="I529" i="3" s="1"/>
  <c r="I37" i="94"/>
  <c r="I39" i="94" s="1"/>
  <c r="G529" i="3" s="1"/>
  <c r="H37" i="94"/>
  <c r="E37" i="94"/>
  <c r="E39" i="94" s="1"/>
  <c r="C529" i="3" s="1"/>
  <c r="D37" i="94"/>
  <c r="O35" i="94"/>
  <c r="N35" i="94"/>
  <c r="J35" i="94"/>
  <c r="G35" i="94"/>
  <c r="F35" i="94"/>
  <c r="N32" i="94"/>
  <c r="J32" i="94"/>
  <c r="F32" i="94"/>
  <c r="D32" i="94"/>
  <c r="O31" i="94"/>
  <c r="O33" i="94" s="1"/>
  <c r="M227" i="3" s="1"/>
  <c r="N31" i="94"/>
  <c r="J31" i="94"/>
  <c r="F31" i="94"/>
  <c r="F33" i="94" s="1"/>
  <c r="D227" i="3" s="1"/>
  <c r="N28" i="94"/>
  <c r="L28" i="94"/>
  <c r="K28" i="94"/>
  <c r="J28" i="94"/>
  <c r="F28" i="94"/>
  <c r="N27" i="94"/>
  <c r="N29" i="94" s="1"/>
  <c r="L156" i="3" s="1"/>
  <c r="L27" i="94"/>
  <c r="H27" i="94"/>
  <c r="D27" i="94"/>
  <c r="N25" i="94"/>
  <c r="J25" i="94"/>
  <c r="F25" i="94"/>
  <c r="N23" i="94"/>
  <c r="M23" i="94"/>
  <c r="K107" i="3" s="1"/>
  <c r="J23" i="94"/>
  <c r="I23" i="94"/>
  <c r="G107" i="3" s="1"/>
  <c r="F23" i="94"/>
  <c r="E23" i="94"/>
  <c r="C107" i="3" s="1"/>
  <c r="M21" i="94"/>
  <c r="K50" i="3" s="1"/>
  <c r="L21" i="94"/>
  <c r="I21" i="94"/>
  <c r="G50" i="3" s="1"/>
  <c r="H21" i="94"/>
  <c r="E21" i="94"/>
  <c r="C50" i="3" s="1"/>
  <c r="D21" i="94"/>
  <c r="N18" i="94"/>
  <c r="L18" i="94"/>
  <c r="J18" i="94"/>
  <c r="G18" i="94"/>
  <c r="F18" i="94"/>
  <c r="N17" i="94"/>
  <c r="J17" i="94"/>
  <c r="H17" i="94"/>
  <c r="F17" i="94"/>
  <c r="O16" i="94"/>
  <c r="N16" i="94"/>
  <c r="H16" i="94"/>
  <c r="D16" i="94"/>
  <c r="O15" i="94"/>
  <c r="L15" i="94"/>
  <c r="J15" i="94"/>
  <c r="J19" i="94" s="1"/>
  <c r="F15" i="94"/>
  <c r="F19" i="94" s="1"/>
  <c r="D15" i="94"/>
  <c r="N11" i="94"/>
  <c r="L11" i="94"/>
  <c r="J313" i="2" s="1"/>
  <c r="W313" i="2" s="1"/>
  <c r="K11" i="94"/>
  <c r="I313" i="2" s="1"/>
  <c r="V313" i="2" s="1"/>
  <c r="J11" i="94"/>
  <c r="F11" i="94"/>
  <c r="N10" i="94"/>
  <c r="L312" i="2" s="1"/>
  <c r="Y312" i="2" s="1"/>
  <c r="J10" i="94"/>
  <c r="H10" i="94"/>
  <c r="G10" i="94"/>
  <c r="E312" i="2" s="1"/>
  <c r="R312" i="2" s="1"/>
  <c r="F10" i="94"/>
  <c r="N9" i="94"/>
  <c r="L311" i="2" s="1"/>
  <c r="Y311" i="2" s="1"/>
  <c r="L9" i="94"/>
  <c r="J9" i="94"/>
  <c r="H311" i="2" s="1"/>
  <c r="U311" i="2" s="1"/>
  <c r="F9" i="94"/>
  <c r="D311" i="2" s="1"/>
  <c r="Q311" i="2" s="1"/>
  <c r="O8" i="94"/>
  <c r="N8" i="94"/>
  <c r="L310" i="2" s="1"/>
  <c r="Y310" i="2" s="1"/>
  <c r="J8" i="94"/>
  <c r="H310" i="2" s="1"/>
  <c r="U310" i="2" s="1"/>
  <c r="H8" i="94"/>
  <c r="F310" i="2" s="1"/>
  <c r="S310" i="2" s="1"/>
  <c r="F8" i="94"/>
  <c r="D310" i="2" s="1"/>
  <c r="Q310" i="2" s="1"/>
  <c r="L7" i="94"/>
  <c r="D7" i="94"/>
  <c r="M6" i="94"/>
  <c r="K308" i="2" s="1"/>
  <c r="L6" i="94"/>
  <c r="I6" i="94"/>
  <c r="G308" i="2" s="1"/>
  <c r="T308" i="2" s="1"/>
  <c r="H6" i="94"/>
  <c r="E6" i="94"/>
  <c r="C308" i="2" s="1"/>
  <c r="D6" i="94"/>
  <c r="M5" i="94"/>
  <c r="K307" i="2" s="1"/>
  <c r="X307" i="2" s="1"/>
  <c r="L5" i="94"/>
  <c r="K5" i="94"/>
  <c r="I5" i="94"/>
  <c r="G307" i="2" s="1"/>
  <c r="T307" i="2" s="1"/>
  <c r="H5" i="94"/>
  <c r="E5" i="94"/>
  <c r="C307" i="2" s="1"/>
  <c r="P307" i="2" s="1"/>
  <c r="D5" i="94"/>
  <c r="O398" i="93"/>
  <c r="N398" i="93"/>
  <c r="N73" i="93" s="1"/>
  <c r="M398" i="93"/>
  <c r="L398" i="93"/>
  <c r="L73" i="93" s="1"/>
  <c r="J525" i="3" s="1"/>
  <c r="K398" i="93"/>
  <c r="J398" i="93"/>
  <c r="J73" i="93" s="1"/>
  <c r="I398" i="93"/>
  <c r="H398" i="93"/>
  <c r="H73" i="93" s="1"/>
  <c r="F525" i="3" s="1"/>
  <c r="G398" i="93"/>
  <c r="F398" i="93"/>
  <c r="F73" i="93" s="1"/>
  <c r="E398" i="93"/>
  <c r="D398" i="93"/>
  <c r="D73" i="93" s="1"/>
  <c r="B525" i="3" s="1"/>
  <c r="O397" i="93"/>
  <c r="O70" i="93" s="1"/>
  <c r="N397" i="93"/>
  <c r="N70" i="93" s="1"/>
  <c r="M397" i="93"/>
  <c r="L397" i="93"/>
  <c r="K397" i="93"/>
  <c r="K70" i="93" s="1"/>
  <c r="J397" i="93"/>
  <c r="J70" i="93" s="1"/>
  <c r="I397" i="93"/>
  <c r="H397" i="93"/>
  <c r="G397" i="93"/>
  <c r="G70" i="93" s="1"/>
  <c r="F397" i="93"/>
  <c r="F70" i="93" s="1"/>
  <c r="E397" i="93"/>
  <c r="D397" i="93"/>
  <c r="O396" i="93"/>
  <c r="O67" i="93" s="1"/>
  <c r="N396" i="93"/>
  <c r="N67" i="93" s="1"/>
  <c r="M396" i="93"/>
  <c r="L396" i="93"/>
  <c r="K396" i="93"/>
  <c r="K67" i="93" s="1"/>
  <c r="J396" i="93"/>
  <c r="J67" i="93" s="1"/>
  <c r="I396" i="93"/>
  <c r="H396" i="93"/>
  <c r="G396" i="93"/>
  <c r="G67" i="93" s="1"/>
  <c r="F396" i="93"/>
  <c r="F67" i="93" s="1"/>
  <c r="E396" i="93"/>
  <c r="D396" i="93"/>
  <c r="O374" i="93"/>
  <c r="N374" i="93"/>
  <c r="N11" i="93" s="1"/>
  <c r="M374" i="93"/>
  <c r="L374" i="93"/>
  <c r="L11" i="93" s="1"/>
  <c r="J400" i="2" s="1"/>
  <c r="W400" i="2" s="1"/>
  <c r="K374" i="93"/>
  <c r="J374" i="93"/>
  <c r="J11" i="93" s="1"/>
  <c r="I374" i="93"/>
  <c r="H374" i="93"/>
  <c r="H11" i="93" s="1"/>
  <c r="F400" i="2" s="1"/>
  <c r="S400" i="2" s="1"/>
  <c r="G374" i="93"/>
  <c r="F374" i="93"/>
  <c r="F11" i="93" s="1"/>
  <c r="E374" i="93"/>
  <c r="D374" i="93"/>
  <c r="D11" i="93" s="1"/>
  <c r="B400" i="2" s="1"/>
  <c r="O400" i="2" s="1"/>
  <c r="O367" i="93"/>
  <c r="O59" i="93" s="1"/>
  <c r="N367" i="93"/>
  <c r="N59" i="93" s="1"/>
  <c r="M367" i="93"/>
  <c r="L367" i="93"/>
  <c r="K367" i="93"/>
  <c r="K59" i="93" s="1"/>
  <c r="J367" i="93"/>
  <c r="I367" i="93"/>
  <c r="H367" i="93"/>
  <c r="G367" i="93"/>
  <c r="G59" i="93" s="1"/>
  <c r="F367" i="93"/>
  <c r="F59" i="93" s="1"/>
  <c r="E367" i="93"/>
  <c r="D367" i="93"/>
  <c r="O366" i="93"/>
  <c r="N366" i="93"/>
  <c r="N57" i="93" s="1"/>
  <c r="M366" i="93"/>
  <c r="L366" i="93"/>
  <c r="K366" i="93"/>
  <c r="J366" i="93"/>
  <c r="J57" i="93" s="1"/>
  <c r="I366" i="93"/>
  <c r="H366" i="93"/>
  <c r="G366" i="93"/>
  <c r="F366" i="93"/>
  <c r="F57" i="93" s="1"/>
  <c r="E366" i="93"/>
  <c r="D366" i="93"/>
  <c r="O365" i="93"/>
  <c r="N365" i="93"/>
  <c r="M365" i="93"/>
  <c r="L365" i="93"/>
  <c r="L15" i="93" s="1"/>
  <c r="K365" i="93"/>
  <c r="J365" i="93"/>
  <c r="J15" i="93" s="1"/>
  <c r="I365" i="93"/>
  <c r="H365" i="93"/>
  <c r="H15" i="93" s="1"/>
  <c r="G365" i="93"/>
  <c r="F365" i="93"/>
  <c r="F15" i="93" s="1"/>
  <c r="E365" i="93"/>
  <c r="D365" i="93"/>
  <c r="D15" i="93" s="1"/>
  <c r="O343" i="93"/>
  <c r="N343" i="93"/>
  <c r="N10" i="93" s="1"/>
  <c r="M343" i="93"/>
  <c r="L343" i="93"/>
  <c r="L10" i="93" s="1"/>
  <c r="J399" i="2" s="1"/>
  <c r="W399" i="2" s="1"/>
  <c r="K343" i="93"/>
  <c r="J343" i="93"/>
  <c r="J10" i="93" s="1"/>
  <c r="I343" i="93"/>
  <c r="H343" i="93"/>
  <c r="H10" i="93" s="1"/>
  <c r="F399" i="2" s="1"/>
  <c r="S399" i="2" s="1"/>
  <c r="G343" i="93"/>
  <c r="F343" i="93"/>
  <c r="F10" i="93" s="1"/>
  <c r="E343" i="93"/>
  <c r="D343" i="93"/>
  <c r="D10" i="93" s="1"/>
  <c r="B399" i="2" s="1"/>
  <c r="O399" i="2" s="1"/>
  <c r="O336" i="93"/>
  <c r="N336" i="93"/>
  <c r="N51" i="93" s="1"/>
  <c r="M336" i="93"/>
  <c r="L336" i="93"/>
  <c r="L51" i="93" s="1"/>
  <c r="J405" i="3" s="1"/>
  <c r="K336" i="93"/>
  <c r="J336" i="93"/>
  <c r="J51" i="93" s="1"/>
  <c r="I336" i="93"/>
  <c r="H336" i="93"/>
  <c r="H51" i="93" s="1"/>
  <c r="F405" i="3" s="1"/>
  <c r="G336" i="93"/>
  <c r="F336" i="93"/>
  <c r="F51" i="93" s="1"/>
  <c r="E336" i="93"/>
  <c r="D336" i="93"/>
  <c r="D51" i="93" s="1"/>
  <c r="B405" i="3" s="1"/>
  <c r="O335" i="93"/>
  <c r="N335" i="93"/>
  <c r="N49" i="93" s="1"/>
  <c r="M335" i="93"/>
  <c r="L335" i="93"/>
  <c r="L49" i="93" s="1"/>
  <c r="J286" i="3" s="1"/>
  <c r="K335" i="93"/>
  <c r="J335" i="93"/>
  <c r="J49" i="93" s="1"/>
  <c r="I335" i="93"/>
  <c r="H335" i="93"/>
  <c r="H49" i="93" s="1"/>
  <c r="F286" i="3" s="1"/>
  <c r="G335" i="93"/>
  <c r="F335" i="93"/>
  <c r="F49" i="93" s="1"/>
  <c r="E335" i="93"/>
  <c r="D335" i="93"/>
  <c r="D49" i="93" s="1"/>
  <c r="B286" i="3" s="1"/>
  <c r="O316" i="93"/>
  <c r="N316" i="93"/>
  <c r="N9" i="93" s="1"/>
  <c r="M316" i="93"/>
  <c r="L316" i="93"/>
  <c r="L9" i="93" s="1"/>
  <c r="J398" i="2" s="1"/>
  <c r="W398" i="2" s="1"/>
  <c r="K316" i="93"/>
  <c r="J316" i="93"/>
  <c r="J9" i="93" s="1"/>
  <c r="I316" i="93"/>
  <c r="H316" i="93"/>
  <c r="H9" i="93" s="1"/>
  <c r="F398" i="2" s="1"/>
  <c r="S398" i="2" s="1"/>
  <c r="G316" i="93"/>
  <c r="F316" i="93"/>
  <c r="F9" i="93" s="1"/>
  <c r="E316" i="93"/>
  <c r="D316" i="93"/>
  <c r="D9" i="93" s="1"/>
  <c r="B398" i="2" s="1"/>
  <c r="O398" i="2" s="1"/>
  <c r="O309" i="93"/>
  <c r="O65" i="93" s="1"/>
  <c r="N309" i="93"/>
  <c r="N65" i="93" s="1"/>
  <c r="M309" i="93"/>
  <c r="L309" i="93"/>
  <c r="K309" i="93"/>
  <c r="K65" i="93" s="1"/>
  <c r="J309" i="93"/>
  <c r="J65" i="93" s="1"/>
  <c r="I309" i="93"/>
  <c r="H309" i="93"/>
  <c r="G309" i="93"/>
  <c r="G65" i="93" s="1"/>
  <c r="F309" i="93"/>
  <c r="E309" i="93"/>
  <c r="D309" i="93"/>
  <c r="O308" i="93"/>
  <c r="O63" i="93" s="1"/>
  <c r="N308" i="93"/>
  <c r="N63" i="93" s="1"/>
  <c r="M308" i="93"/>
  <c r="L308" i="93"/>
  <c r="K308" i="93"/>
  <c r="K63" i="93" s="1"/>
  <c r="J308" i="93"/>
  <c r="J63" i="93" s="1"/>
  <c r="I308" i="93"/>
  <c r="H308" i="93"/>
  <c r="G308" i="93"/>
  <c r="G63" i="93" s="1"/>
  <c r="F308" i="93"/>
  <c r="F63" i="93" s="1"/>
  <c r="E308" i="93"/>
  <c r="D308" i="93"/>
  <c r="O307" i="93"/>
  <c r="O61" i="93" s="1"/>
  <c r="N307" i="93"/>
  <c r="N61" i="93" s="1"/>
  <c r="M307" i="93"/>
  <c r="L307" i="93"/>
  <c r="K307" i="93"/>
  <c r="K61" i="93" s="1"/>
  <c r="J307" i="93"/>
  <c r="J61" i="93" s="1"/>
  <c r="I307" i="93"/>
  <c r="H307" i="93"/>
  <c r="G307" i="93"/>
  <c r="G61" i="93" s="1"/>
  <c r="F307" i="93"/>
  <c r="F61" i="93" s="1"/>
  <c r="E307" i="93"/>
  <c r="D307" i="93"/>
  <c r="O306" i="93"/>
  <c r="O46" i="93" s="1"/>
  <c r="N306" i="93"/>
  <c r="N46" i="93" s="1"/>
  <c r="M306" i="93"/>
  <c r="L306" i="93"/>
  <c r="L46" i="93" s="1"/>
  <c r="K306" i="93"/>
  <c r="J306" i="93"/>
  <c r="J46" i="93" s="1"/>
  <c r="I306" i="93"/>
  <c r="H306" i="93"/>
  <c r="H46" i="93" s="1"/>
  <c r="G306" i="93"/>
  <c r="F306" i="93"/>
  <c r="F46" i="93" s="1"/>
  <c r="E306" i="93"/>
  <c r="D306" i="93"/>
  <c r="D46" i="93" s="1"/>
  <c r="O280" i="93"/>
  <c r="O8" i="93" s="1"/>
  <c r="M397" i="2" s="1"/>
  <c r="Z397" i="2" s="1"/>
  <c r="N280" i="93"/>
  <c r="N8" i="93" s="1"/>
  <c r="M280" i="93"/>
  <c r="L280" i="93"/>
  <c r="L8" i="93" s="1"/>
  <c r="J397" i="2" s="1"/>
  <c r="W397" i="2" s="1"/>
  <c r="K280" i="93"/>
  <c r="J280" i="93"/>
  <c r="J8" i="93" s="1"/>
  <c r="I280" i="93"/>
  <c r="H280" i="93"/>
  <c r="H8" i="93" s="1"/>
  <c r="F397" i="2" s="1"/>
  <c r="S397" i="2" s="1"/>
  <c r="G280" i="93"/>
  <c r="F280" i="93"/>
  <c r="F8" i="93" s="1"/>
  <c r="E280" i="93"/>
  <c r="D280" i="93"/>
  <c r="D8" i="93" s="1"/>
  <c r="B397" i="2" s="1"/>
  <c r="O397" i="2" s="1"/>
  <c r="O273" i="93"/>
  <c r="O69" i="93" s="1"/>
  <c r="O71" i="93" s="1"/>
  <c r="M524" i="3" s="1"/>
  <c r="N273" i="93"/>
  <c r="N69" i="93" s="1"/>
  <c r="N71" i="93" s="1"/>
  <c r="M273" i="93"/>
  <c r="L273" i="93"/>
  <c r="K273" i="93"/>
  <c r="K69" i="93" s="1"/>
  <c r="K71" i="93" s="1"/>
  <c r="J273" i="93"/>
  <c r="J69" i="93" s="1"/>
  <c r="J71" i="93" s="1"/>
  <c r="I273" i="93"/>
  <c r="H273" i="93"/>
  <c r="G273" i="93"/>
  <c r="G69" i="93" s="1"/>
  <c r="G71" i="93" s="1"/>
  <c r="F273" i="93"/>
  <c r="F69" i="93" s="1"/>
  <c r="F71" i="93" s="1"/>
  <c r="E273" i="93"/>
  <c r="D273" i="93"/>
  <c r="O272" i="93"/>
  <c r="N272" i="93"/>
  <c r="N53" i="93" s="1"/>
  <c r="M272" i="93"/>
  <c r="L272" i="93"/>
  <c r="L53" i="93" s="1"/>
  <c r="J450" i="3" s="1"/>
  <c r="K272" i="93"/>
  <c r="J272" i="93"/>
  <c r="J53" i="93" s="1"/>
  <c r="I272" i="93"/>
  <c r="H272" i="93"/>
  <c r="H53" i="93" s="1"/>
  <c r="F450" i="3" s="1"/>
  <c r="G272" i="93"/>
  <c r="F272" i="93"/>
  <c r="F53" i="93" s="1"/>
  <c r="E272" i="93"/>
  <c r="D272" i="93"/>
  <c r="D53" i="93" s="1"/>
  <c r="B450" i="3" s="1"/>
  <c r="O271" i="93"/>
  <c r="N271" i="93"/>
  <c r="N45" i="93" s="1"/>
  <c r="M271" i="93"/>
  <c r="L271" i="93"/>
  <c r="L45" i="93" s="1"/>
  <c r="L47" i="93" s="1"/>
  <c r="J196" i="3" s="1"/>
  <c r="K271" i="93"/>
  <c r="J271" i="93"/>
  <c r="J45" i="93" s="1"/>
  <c r="J47" i="93" s="1"/>
  <c r="H196" i="3" s="1"/>
  <c r="I271" i="93"/>
  <c r="H271" i="93"/>
  <c r="H45" i="93" s="1"/>
  <c r="H47" i="93" s="1"/>
  <c r="F196" i="3" s="1"/>
  <c r="G271" i="93"/>
  <c r="F271" i="93"/>
  <c r="F45" i="93" s="1"/>
  <c r="F47" i="93" s="1"/>
  <c r="D196" i="3" s="1"/>
  <c r="E271" i="93"/>
  <c r="D271" i="93"/>
  <c r="D45" i="93" s="1"/>
  <c r="D47" i="93" s="1"/>
  <c r="O270" i="93"/>
  <c r="N270" i="93"/>
  <c r="N43" i="93" s="1"/>
  <c r="M270" i="93"/>
  <c r="L270" i="93"/>
  <c r="L43" i="93" s="1"/>
  <c r="J146" i="3" s="1"/>
  <c r="K270" i="93"/>
  <c r="J270" i="93"/>
  <c r="J43" i="93" s="1"/>
  <c r="I270" i="93"/>
  <c r="H270" i="93"/>
  <c r="H43" i="93" s="1"/>
  <c r="F146" i="3" s="1"/>
  <c r="G270" i="93"/>
  <c r="F270" i="93"/>
  <c r="E270" i="93"/>
  <c r="D270" i="93"/>
  <c r="D43" i="93" s="1"/>
  <c r="O269" i="93"/>
  <c r="N269" i="93"/>
  <c r="N41" i="93" s="1"/>
  <c r="M269" i="93"/>
  <c r="L269" i="93"/>
  <c r="L41" i="93" s="1"/>
  <c r="K269" i="93"/>
  <c r="J269" i="93"/>
  <c r="J41" i="93" s="1"/>
  <c r="I269" i="93"/>
  <c r="H269" i="93"/>
  <c r="H41" i="93" s="1"/>
  <c r="F145" i="3" s="1"/>
  <c r="G269" i="93"/>
  <c r="F269" i="93"/>
  <c r="F41" i="93" s="1"/>
  <c r="E269" i="93"/>
  <c r="D269" i="93"/>
  <c r="D41" i="93" s="1"/>
  <c r="B145" i="3" s="1"/>
  <c r="O243" i="93"/>
  <c r="N243" i="93"/>
  <c r="M243" i="93"/>
  <c r="L243" i="93"/>
  <c r="L7" i="93" s="1"/>
  <c r="K243" i="93"/>
  <c r="J243" i="93"/>
  <c r="J7" i="93" s="1"/>
  <c r="I243" i="93"/>
  <c r="H243" i="93"/>
  <c r="H7" i="93" s="1"/>
  <c r="G243" i="93"/>
  <c r="F243" i="93"/>
  <c r="F7" i="93" s="1"/>
  <c r="E243" i="93"/>
  <c r="D243" i="93"/>
  <c r="D7" i="93" s="1"/>
  <c r="O236" i="93"/>
  <c r="N236" i="93"/>
  <c r="N39" i="93" s="1"/>
  <c r="M236" i="93"/>
  <c r="L236" i="93"/>
  <c r="L39" i="93" s="1"/>
  <c r="J125" i="3" s="1"/>
  <c r="K236" i="93"/>
  <c r="J236" i="93"/>
  <c r="J39" i="93" s="1"/>
  <c r="I236" i="93"/>
  <c r="H236" i="93"/>
  <c r="H39" i="93" s="1"/>
  <c r="F125" i="3" s="1"/>
  <c r="G236" i="93"/>
  <c r="F236" i="93"/>
  <c r="F39" i="93" s="1"/>
  <c r="E236" i="93"/>
  <c r="D236" i="93"/>
  <c r="D39" i="93" s="1"/>
  <c r="B125" i="3" s="1"/>
  <c r="O235" i="93"/>
  <c r="N235" i="93"/>
  <c r="N37" i="93" s="1"/>
  <c r="M235" i="93"/>
  <c r="L235" i="93"/>
  <c r="L37" i="93" s="1"/>
  <c r="J124" i="3" s="1"/>
  <c r="K235" i="93"/>
  <c r="J235" i="93"/>
  <c r="I235" i="93"/>
  <c r="H235" i="93"/>
  <c r="H37" i="93" s="1"/>
  <c r="F124" i="3" s="1"/>
  <c r="G235" i="93"/>
  <c r="F235" i="93"/>
  <c r="F37" i="93" s="1"/>
  <c r="E235" i="93"/>
  <c r="D235" i="93"/>
  <c r="D37" i="93" s="1"/>
  <c r="B124" i="3" s="1"/>
  <c r="O234" i="93"/>
  <c r="N234" i="93"/>
  <c r="N35" i="93" s="1"/>
  <c r="M234" i="93"/>
  <c r="L234" i="93"/>
  <c r="L35" i="93" s="1"/>
  <c r="J123" i="3" s="1"/>
  <c r="K234" i="93"/>
  <c r="J234" i="93"/>
  <c r="J35" i="93" s="1"/>
  <c r="I234" i="93"/>
  <c r="H234" i="93"/>
  <c r="H35" i="93" s="1"/>
  <c r="F123" i="3" s="1"/>
  <c r="G234" i="93"/>
  <c r="F234" i="93"/>
  <c r="F35" i="93" s="1"/>
  <c r="E234" i="93"/>
  <c r="D234" i="93"/>
  <c r="D35" i="93" s="1"/>
  <c r="B123" i="3" s="1"/>
  <c r="O214" i="93"/>
  <c r="O6" i="93" s="1"/>
  <c r="M395" i="2" s="1"/>
  <c r="Z395" i="2" s="1"/>
  <c r="N214" i="93"/>
  <c r="N6" i="93" s="1"/>
  <c r="M214" i="93"/>
  <c r="L214" i="93"/>
  <c r="L6" i="93" s="1"/>
  <c r="J395" i="2" s="1"/>
  <c r="W395" i="2" s="1"/>
  <c r="K214" i="93"/>
  <c r="J214" i="93"/>
  <c r="J6" i="93" s="1"/>
  <c r="H395" i="2" s="1"/>
  <c r="U395" i="2" s="1"/>
  <c r="I214" i="93"/>
  <c r="H214" i="93"/>
  <c r="H6" i="93" s="1"/>
  <c r="F395" i="2" s="1"/>
  <c r="S395" i="2" s="1"/>
  <c r="G214" i="93"/>
  <c r="F214" i="93"/>
  <c r="F6" i="93" s="1"/>
  <c r="E214" i="93"/>
  <c r="D214" i="93"/>
  <c r="D6" i="93" s="1"/>
  <c r="B395" i="2" s="1"/>
  <c r="O395" i="2" s="1"/>
  <c r="O207" i="93"/>
  <c r="O55" i="93" s="1"/>
  <c r="M459" i="3" s="1"/>
  <c r="N207" i="93"/>
  <c r="N55" i="93" s="1"/>
  <c r="M207" i="93"/>
  <c r="L207" i="93"/>
  <c r="L55" i="93" s="1"/>
  <c r="J459" i="3" s="1"/>
  <c r="K207" i="93"/>
  <c r="J207" i="93"/>
  <c r="J55" i="93" s="1"/>
  <c r="I207" i="93"/>
  <c r="H207" i="93"/>
  <c r="H55" i="93" s="1"/>
  <c r="F459" i="3" s="1"/>
  <c r="G207" i="93"/>
  <c r="F207" i="93"/>
  <c r="F55" i="93" s="1"/>
  <c r="E207" i="93"/>
  <c r="D207" i="93"/>
  <c r="D55" i="93" s="1"/>
  <c r="B459" i="3" s="1"/>
  <c r="O206" i="93"/>
  <c r="O33" i="93" s="1"/>
  <c r="M42" i="3" s="1"/>
  <c r="N206" i="93"/>
  <c r="N33" i="93" s="1"/>
  <c r="M206" i="93"/>
  <c r="L206" i="93"/>
  <c r="L33" i="93" s="1"/>
  <c r="J42" i="3" s="1"/>
  <c r="K206" i="93"/>
  <c r="J206" i="93"/>
  <c r="J33" i="93" s="1"/>
  <c r="I206" i="93"/>
  <c r="H206" i="93"/>
  <c r="H33" i="93" s="1"/>
  <c r="F42" i="3" s="1"/>
  <c r="G206" i="93"/>
  <c r="F206" i="93"/>
  <c r="F33" i="93" s="1"/>
  <c r="E206" i="93"/>
  <c r="D206" i="93"/>
  <c r="D33" i="93" s="1"/>
  <c r="B42" i="3" s="1"/>
  <c r="O205" i="93"/>
  <c r="O31" i="93" s="1"/>
  <c r="M41" i="3" s="1"/>
  <c r="N205" i="93"/>
  <c r="N31" i="93" s="1"/>
  <c r="M205" i="93"/>
  <c r="L205" i="93"/>
  <c r="L31" i="93" s="1"/>
  <c r="J41" i="3" s="1"/>
  <c r="K205" i="93"/>
  <c r="J205" i="93"/>
  <c r="J31" i="93" s="1"/>
  <c r="I205" i="93"/>
  <c r="H205" i="93"/>
  <c r="H31" i="93" s="1"/>
  <c r="F41" i="3" s="1"/>
  <c r="G205" i="93"/>
  <c r="F205" i="93"/>
  <c r="F31" i="93" s="1"/>
  <c r="E205" i="93"/>
  <c r="D205" i="93"/>
  <c r="D31" i="93" s="1"/>
  <c r="B41" i="3" s="1"/>
  <c r="O204" i="93"/>
  <c r="O29" i="93" s="1"/>
  <c r="M40" i="3" s="1"/>
  <c r="N204" i="93"/>
  <c r="N29" i="93" s="1"/>
  <c r="L40" i="3" s="1"/>
  <c r="M204" i="93"/>
  <c r="L204" i="93"/>
  <c r="L29" i="93" s="1"/>
  <c r="J40" i="3" s="1"/>
  <c r="K204" i="93"/>
  <c r="J204" i="93"/>
  <c r="J29" i="93" s="1"/>
  <c r="H40" i="3" s="1"/>
  <c r="I204" i="93"/>
  <c r="H204" i="93"/>
  <c r="H29" i="93" s="1"/>
  <c r="F40" i="3" s="1"/>
  <c r="G204" i="93"/>
  <c r="F204" i="93"/>
  <c r="E204" i="93"/>
  <c r="D204" i="93"/>
  <c r="D29" i="93" s="1"/>
  <c r="O203" i="93"/>
  <c r="O27" i="93" s="1"/>
  <c r="M39" i="3" s="1"/>
  <c r="N203" i="93"/>
  <c r="N27" i="93" s="1"/>
  <c r="M203" i="93"/>
  <c r="L203" i="93"/>
  <c r="L27" i="93" s="1"/>
  <c r="K203" i="93"/>
  <c r="J203" i="93"/>
  <c r="J27" i="93" s="1"/>
  <c r="I203" i="93"/>
  <c r="H203" i="93"/>
  <c r="H27" i="93" s="1"/>
  <c r="F39" i="3" s="1"/>
  <c r="G203" i="93"/>
  <c r="F203" i="93"/>
  <c r="F27" i="93" s="1"/>
  <c r="E203" i="93"/>
  <c r="D203" i="93"/>
  <c r="D27" i="93" s="1"/>
  <c r="B39" i="3" s="1"/>
  <c r="O202" i="93"/>
  <c r="O25" i="93" s="1"/>
  <c r="M38" i="3" s="1"/>
  <c r="N202" i="93"/>
  <c r="N25" i="93" s="1"/>
  <c r="M202" i="93"/>
  <c r="L202" i="93"/>
  <c r="L25" i="93" s="1"/>
  <c r="J38" i="3" s="1"/>
  <c r="K202" i="93"/>
  <c r="J202" i="93"/>
  <c r="J25" i="93" s="1"/>
  <c r="I202" i="93"/>
  <c r="H202" i="93"/>
  <c r="H25" i="93" s="1"/>
  <c r="F38" i="3" s="1"/>
  <c r="G202" i="93"/>
  <c r="F202" i="93"/>
  <c r="E202" i="93"/>
  <c r="D202" i="93"/>
  <c r="D25" i="93" s="1"/>
  <c r="B38" i="3" s="1"/>
  <c r="O201" i="93"/>
  <c r="O23" i="93" s="1"/>
  <c r="M37" i="3" s="1"/>
  <c r="N201" i="93"/>
  <c r="N23" i="93" s="1"/>
  <c r="M201" i="93"/>
  <c r="L201" i="93"/>
  <c r="L23" i="93" s="1"/>
  <c r="J37" i="3" s="1"/>
  <c r="K201" i="93"/>
  <c r="J201" i="93"/>
  <c r="J23" i="93" s="1"/>
  <c r="I201" i="93"/>
  <c r="H201" i="93"/>
  <c r="H23" i="93" s="1"/>
  <c r="F37" i="3" s="1"/>
  <c r="G201" i="93"/>
  <c r="F201" i="93"/>
  <c r="F23" i="93" s="1"/>
  <c r="E201" i="93"/>
  <c r="D201" i="93"/>
  <c r="D23" i="93" s="1"/>
  <c r="B37" i="3" s="1"/>
  <c r="O200" i="93"/>
  <c r="O21" i="93" s="1"/>
  <c r="M36" i="3" s="1"/>
  <c r="N200" i="93"/>
  <c r="N21" i="93" s="1"/>
  <c r="M200" i="93"/>
  <c r="L200" i="93"/>
  <c r="L21" i="93" s="1"/>
  <c r="J36" i="3" s="1"/>
  <c r="K200" i="93"/>
  <c r="J200" i="93"/>
  <c r="J21" i="93" s="1"/>
  <c r="I200" i="93"/>
  <c r="H200" i="93"/>
  <c r="H21" i="93" s="1"/>
  <c r="F36" i="3" s="1"/>
  <c r="G200" i="93"/>
  <c r="F200" i="93"/>
  <c r="E200" i="93"/>
  <c r="D200" i="93"/>
  <c r="D21" i="93" s="1"/>
  <c r="B36" i="3" s="1"/>
  <c r="O199" i="93"/>
  <c r="N199" i="93"/>
  <c r="N19" i="93" s="1"/>
  <c r="M199" i="93"/>
  <c r="L199" i="93"/>
  <c r="L19" i="93" s="1"/>
  <c r="J35" i="3" s="1"/>
  <c r="K199" i="93"/>
  <c r="J199" i="93"/>
  <c r="J19" i="93" s="1"/>
  <c r="I199" i="93"/>
  <c r="H199" i="93"/>
  <c r="H19" i="93" s="1"/>
  <c r="F35" i="3" s="1"/>
  <c r="G199" i="93"/>
  <c r="F199" i="93"/>
  <c r="F19" i="93" s="1"/>
  <c r="E199" i="93"/>
  <c r="D199" i="93"/>
  <c r="D19" i="93" s="1"/>
  <c r="B35" i="3" s="1"/>
  <c r="O198" i="93"/>
  <c r="O17" i="93" s="1"/>
  <c r="M34" i="3" s="1"/>
  <c r="N198" i="93"/>
  <c r="N17" i="93" s="1"/>
  <c r="M198" i="93"/>
  <c r="L198" i="93"/>
  <c r="L17" i="93" s="1"/>
  <c r="J34" i="3" s="1"/>
  <c r="K198" i="93"/>
  <c r="J198" i="93"/>
  <c r="J17" i="93" s="1"/>
  <c r="I198" i="93"/>
  <c r="H198" i="93"/>
  <c r="H17" i="93" s="1"/>
  <c r="F34" i="3" s="1"/>
  <c r="G198" i="93"/>
  <c r="F198" i="93"/>
  <c r="F17" i="93" s="1"/>
  <c r="E198" i="93"/>
  <c r="D198" i="93"/>
  <c r="D17" i="93" s="1"/>
  <c r="O194" i="93"/>
  <c r="N194" i="93"/>
  <c r="M194" i="93"/>
  <c r="L194" i="93"/>
  <c r="K194" i="93"/>
  <c r="J194" i="93"/>
  <c r="I194" i="93"/>
  <c r="H194" i="93"/>
  <c r="G194" i="93"/>
  <c r="F194" i="93"/>
  <c r="E194" i="93"/>
  <c r="D194" i="93"/>
  <c r="O189" i="93"/>
  <c r="N189" i="93"/>
  <c r="M189" i="93"/>
  <c r="L189" i="93"/>
  <c r="K189" i="93"/>
  <c r="J189" i="93"/>
  <c r="I189" i="93"/>
  <c r="H189" i="93"/>
  <c r="G189" i="93"/>
  <c r="F189" i="93"/>
  <c r="E189" i="93"/>
  <c r="D189" i="93"/>
  <c r="O177" i="93"/>
  <c r="N177" i="93"/>
  <c r="M177" i="93"/>
  <c r="L177" i="93"/>
  <c r="K177" i="93"/>
  <c r="J177" i="93"/>
  <c r="I177" i="93"/>
  <c r="H177" i="93"/>
  <c r="G177" i="93"/>
  <c r="F177" i="93"/>
  <c r="E177" i="93"/>
  <c r="D177" i="93"/>
  <c r="O173" i="93"/>
  <c r="N173" i="93"/>
  <c r="M173" i="93"/>
  <c r="L173" i="93"/>
  <c r="K173" i="93"/>
  <c r="J173" i="93"/>
  <c r="I173" i="93"/>
  <c r="H173" i="93"/>
  <c r="G173" i="93"/>
  <c r="F173" i="93"/>
  <c r="E173" i="93"/>
  <c r="D173" i="93"/>
  <c r="O168" i="93"/>
  <c r="N168" i="93"/>
  <c r="M168" i="93"/>
  <c r="L168" i="93"/>
  <c r="K168" i="93"/>
  <c r="J168" i="93"/>
  <c r="I168" i="93"/>
  <c r="H168" i="93"/>
  <c r="G168" i="93"/>
  <c r="F168" i="93"/>
  <c r="E168" i="93"/>
  <c r="D168" i="93"/>
  <c r="O156" i="93"/>
  <c r="N156" i="93"/>
  <c r="M156" i="93"/>
  <c r="L156" i="93"/>
  <c r="K156" i="93"/>
  <c r="J156" i="93"/>
  <c r="I156" i="93"/>
  <c r="H156" i="93"/>
  <c r="G156" i="93"/>
  <c r="F156" i="93"/>
  <c r="E156" i="93"/>
  <c r="D156" i="93"/>
  <c r="O153" i="93"/>
  <c r="N153" i="93"/>
  <c r="M153" i="93"/>
  <c r="L153" i="93"/>
  <c r="K153" i="93"/>
  <c r="J153" i="93"/>
  <c r="I153" i="93"/>
  <c r="H153" i="93"/>
  <c r="G153" i="93"/>
  <c r="F153" i="93"/>
  <c r="E153" i="93"/>
  <c r="D153" i="93"/>
  <c r="O148" i="93"/>
  <c r="N148" i="93"/>
  <c r="M148" i="93"/>
  <c r="L148" i="93"/>
  <c r="K148" i="93"/>
  <c r="J148" i="93"/>
  <c r="I148" i="93"/>
  <c r="H148" i="93"/>
  <c r="G148" i="93"/>
  <c r="F148" i="93"/>
  <c r="E148" i="93"/>
  <c r="D148" i="93"/>
  <c r="O143" i="93"/>
  <c r="N143" i="93"/>
  <c r="M143" i="93"/>
  <c r="L143" i="93"/>
  <c r="K143" i="93"/>
  <c r="J143" i="93"/>
  <c r="I143" i="93"/>
  <c r="H143" i="93"/>
  <c r="G143" i="93"/>
  <c r="F143" i="93"/>
  <c r="E143" i="93"/>
  <c r="D143" i="93"/>
  <c r="O139" i="93"/>
  <c r="N139" i="93"/>
  <c r="M139" i="93"/>
  <c r="L139" i="93"/>
  <c r="K139" i="93"/>
  <c r="J139" i="93"/>
  <c r="I139" i="93"/>
  <c r="H139" i="93"/>
  <c r="G139" i="93"/>
  <c r="F139" i="93"/>
  <c r="E139" i="93"/>
  <c r="D139" i="93"/>
  <c r="O136" i="93"/>
  <c r="N136" i="93"/>
  <c r="M136" i="93"/>
  <c r="L136" i="93"/>
  <c r="K136" i="93"/>
  <c r="J136" i="93"/>
  <c r="I136" i="93"/>
  <c r="H136" i="93"/>
  <c r="G136" i="93"/>
  <c r="F136" i="93"/>
  <c r="E136" i="93"/>
  <c r="D136" i="93"/>
  <c r="O127" i="93"/>
  <c r="N127" i="93"/>
  <c r="M127" i="93"/>
  <c r="L127" i="93"/>
  <c r="K127" i="93"/>
  <c r="J127" i="93"/>
  <c r="I127" i="93"/>
  <c r="H127" i="93"/>
  <c r="G127" i="93"/>
  <c r="F127" i="93"/>
  <c r="E127" i="93"/>
  <c r="D127" i="93"/>
  <c r="O123" i="93"/>
  <c r="N123" i="93"/>
  <c r="M123" i="93"/>
  <c r="L123" i="93"/>
  <c r="K123" i="93"/>
  <c r="J123" i="93"/>
  <c r="I123" i="93"/>
  <c r="H123" i="93"/>
  <c r="G123" i="93"/>
  <c r="F123" i="93"/>
  <c r="E123" i="93"/>
  <c r="D123" i="93"/>
  <c r="O113" i="93"/>
  <c r="N113" i="93"/>
  <c r="M113" i="93"/>
  <c r="L113" i="93"/>
  <c r="K113" i="93"/>
  <c r="J113" i="93"/>
  <c r="I113" i="93"/>
  <c r="H113" i="93"/>
  <c r="G113" i="93"/>
  <c r="F113" i="93"/>
  <c r="E113" i="93"/>
  <c r="D113" i="93"/>
  <c r="O110" i="93"/>
  <c r="N110" i="93"/>
  <c r="M110" i="93"/>
  <c r="L110" i="93"/>
  <c r="K110" i="93"/>
  <c r="J110" i="93"/>
  <c r="I110" i="93"/>
  <c r="H110" i="93"/>
  <c r="G110" i="93"/>
  <c r="F110" i="93"/>
  <c r="E110" i="93"/>
  <c r="D110" i="93"/>
  <c r="O106" i="93"/>
  <c r="N106" i="93"/>
  <c r="M106" i="93"/>
  <c r="L106" i="93"/>
  <c r="K106" i="93"/>
  <c r="J106" i="93"/>
  <c r="I106" i="93"/>
  <c r="H106" i="93"/>
  <c r="G106" i="93"/>
  <c r="F106" i="93"/>
  <c r="E106" i="93"/>
  <c r="D106" i="93"/>
  <c r="O102" i="93"/>
  <c r="N102" i="93"/>
  <c r="M102" i="93"/>
  <c r="L102" i="93"/>
  <c r="K102" i="93"/>
  <c r="J102" i="93"/>
  <c r="I102" i="93"/>
  <c r="H102" i="93"/>
  <c r="G102" i="93"/>
  <c r="F102" i="93"/>
  <c r="E102" i="93"/>
  <c r="D102" i="93"/>
  <c r="O98" i="93"/>
  <c r="N98" i="93"/>
  <c r="M98" i="93"/>
  <c r="L98" i="93"/>
  <c r="K98" i="93"/>
  <c r="J98" i="93"/>
  <c r="I98" i="93"/>
  <c r="H98" i="93"/>
  <c r="G98" i="93"/>
  <c r="F98" i="93"/>
  <c r="E98" i="93"/>
  <c r="D98" i="93"/>
  <c r="O94" i="93"/>
  <c r="N94" i="93"/>
  <c r="M94" i="93"/>
  <c r="L94" i="93"/>
  <c r="K94" i="93"/>
  <c r="J94" i="93"/>
  <c r="I94" i="93"/>
  <c r="H94" i="93"/>
  <c r="G94" i="93"/>
  <c r="F94" i="93"/>
  <c r="E94" i="93"/>
  <c r="D94" i="93"/>
  <c r="O91" i="93"/>
  <c r="N91" i="93"/>
  <c r="M91" i="93"/>
  <c r="L91" i="93"/>
  <c r="K91" i="93"/>
  <c r="J91" i="93"/>
  <c r="I91" i="93"/>
  <c r="H91" i="93"/>
  <c r="G91" i="93"/>
  <c r="F91" i="93"/>
  <c r="E91" i="93"/>
  <c r="D91" i="93"/>
  <c r="O85" i="93"/>
  <c r="O5" i="93" s="1"/>
  <c r="N85" i="93"/>
  <c r="N5" i="93" s="1"/>
  <c r="M85" i="93"/>
  <c r="L85" i="93"/>
  <c r="L5" i="93" s="1"/>
  <c r="L3" i="93" s="1"/>
  <c r="L13" i="93" s="1"/>
  <c r="K85" i="93"/>
  <c r="J85" i="93"/>
  <c r="J5" i="93" s="1"/>
  <c r="J3" i="93" s="1"/>
  <c r="J13" i="93" s="1"/>
  <c r="I85" i="93"/>
  <c r="H85" i="93"/>
  <c r="H5" i="93" s="1"/>
  <c r="H3" i="93" s="1"/>
  <c r="H13" i="93" s="1"/>
  <c r="G85" i="93"/>
  <c r="F85" i="93"/>
  <c r="F5" i="93" s="1"/>
  <c r="E85" i="93"/>
  <c r="D85" i="93"/>
  <c r="D5" i="93" s="1"/>
  <c r="B394" i="2" s="1"/>
  <c r="O73" i="93"/>
  <c r="M73" i="93"/>
  <c r="K525" i="3" s="1"/>
  <c r="K73" i="93"/>
  <c r="I73" i="93"/>
  <c r="G525" i="3" s="1"/>
  <c r="G73" i="93"/>
  <c r="E73" i="93"/>
  <c r="C525" i="3" s="1"/>
  <c r="M70" i="93"/>
  <c r="L70" i="93"/>
  <c r="I70" i="93"/>
  <c r="H70" i="93"/>
  <c r="E70" i="93"/>
  <c r="D70" i="93"/>
  <c r="M69" i="93"/>
  <c r="L69" i="93"/>
  <c r="I69" i="93"/>
  <c r="I71" i="93" s="1"/>
  <c r="G524" i="3" s="1"/>
  <c r="H69" i="93"/>
  <c r="E69" i="93"/>
  <c r="E71" i="93" s="1"/>
  <c r="C524" i="3" s="1"/>
  <c r="D69" i="93"/>
  <c r="D71" i="93" s="1"/>
  <c r="M67" i="93"/>
  <c r="L67" i="93"/>
  <c r="J523" i="3" s="1"/>
  <c r="I67" i="93"/>
  <c r="H67" i="93"/>
  <c r="F523" i="3" s="1"/>
  <c r="E67" i="93"/>
  <c r="D67" i="93"/>
  <c r="B523" i="3" s="1"/>
  <c r="M65" i="93"/>
  <c r="L65" i="93"/>
  <c r="J504" i="3" s="1"/>
  <c r="I65" i="93"/>
  <c r="H65" i="93"/>
  <c r="F504" i="3" s="1"/>
  <c r="F65" i="93"/>
  <c r="E65" i="93"/>
  <c r="D65" i="93"/>
  <c r="B504" i="3" s="1"/>
  <c r="M63" i="93"/>
  <c r="L63" i="93"/>
  <c r="J503" i="3" s="1"/>
  <c r="I63" i="93"/>
  <c r="H63" i="93"/>
  <c r="F503" i="3" s="1"/>
  <c r="E63" i="93"/>
  <c r="D63" i="93"/>
  <c r="B503" i="3" s="1"/>
  <c r="M61" i="93"/>
  <c r="L61" i="93"/>
  <c r="J490" i="3" s="1"/>
  <c r="I61" i="93"/>
  <c r="H61" i="93"/>
  <c r="F490" i="3" s="1"/>
  <c r="E61" i="93"/>
  <c r="D61" i="93"/>
  <c r="B490" i="3" s="1"/>
  <c r="M59" i="93"/>
  <c r="L59" i="93"/>
  <c r="J486" i="3" s="1"/>
  <c r="J59" i="93"/>
  <c r="I59" i="93"/>
  <c r="H59" i="93"/>
  <c r="F486" i="3" s="1"/>
  <c r="E59" i="93"/>
  <c r="D59" i="93"/>
  <c r="B486" i="3" s="1"/>
  <c r="O57" i="93"/>
  <c r="M57" i="93"/>
  <c r="L57" i="93"/>
  <c r="J485" i="3" s="1"/>
  <c r="K57" i="93"/>
  <c r="I57" i="93"/>
  <c r="H57" i="93"/>
  <c r="F485" i="3" s="1"/>
  <c r="G57" i="93"/>
  <c r="E57" i="93"/>
  <c r="D57" i="93"/>
  <c r="B485" i="3" s="1"/>
  <c r="M55" i="93"/>
  <c r="K55" i="93"/>
  <c r="I459" i="3" s="1"/>
  <c r="I55" i="93"/>
  <c r="G55" i="93"/>
  <c r="E459" i="3" s="1"/>
  <c r="E55" i="93"/>
  <c r="O53" i="93"/>
  <c r="M450" i="3" s="1"/>
  <c r="M53" i="93"/>
  <c r="K53" i="93"/>
  <c r="I450" i="3" s="1"/>
  <c r="I53" i="93"/>
  <c r="G53" i="93"/>
  <c r="E450" i="3" s="1"/>
  <c r="E53" i="93"/>
  <c r="O51" i="93"/>
  <c r="M51" i="93"/>
  <c r="K51" i="93"/>
  <c r="I51" i="93"/>
  <c r="G51" i="93"/>
  <c r="E51" i="93"/>
  <c r="O49" i="93"/>
  <c r="M286" i="3" s="1"/>
  <c r="M49" i="93"/>
  <c r="K49" i="93"/>
  <c r="I49" i="93"/>
  <c r="G49" i="93"/>
  <c r="E49" i="93"/>
  <c r="M46" i="93"/>
  <c r="K46" i="93"/>
  <c r="I46" i="93"/>
  <c r="G46" i="93"/>
  <c r="E46" i="93"/>
  <c r="O45" i="93"/>
  <c r="M45" i="93"/>
  <c r="K45" i="93"/>
  <c r="K47" i="93" s="1"/>
  <c r="I196" i="3" s="1"/>
  <c r="I45" i="93"/>
  <c r="G45" i="93"/>
  <c r="E45" i="93"/>
  <c r="E47" i="93" s="1"/>
  <c r="C196" i="3" s="1"/>
  <c r="O43" i="93"/>
  <c r="M43" i="93"/>
  <c r="K146" i="3" s="1"/>
  <c r="K43" i="93"/>
  <c r="I43" i="93"/>
  <c r="G146" i="3" s="1"/>
  <c r="G43" i="93"/>
  <c r="F43" i="93"/>
  <c r="E43" i="93"/>
  <c r="C146" i="3" s="1"/>
  <c r="O41" i="93"/>
  <c r="M41" i="93"/>
  <c r="K145" i="3" s="1"/>
  <c r="K41" i="93"/>
  <c r="I41" i="93"/>
  <c r="G145" i="3" s="1"/>
  <c r="G41" i="93"/>
  <c r="E41" i="93"/>
  <c r="C145" i="3" s="1"/>
  <c r="O39" i="93"/>
  <c r="M39" i="93"/>
  <c r="K125" i="3" s="1"/>
  <c r="K39" i="93"/>
  <c r="I39" i="93"/>
  <c r="G125" i="3" s="1"/>
  <c r="G39" i="93"/>
  <c r="E39" i="93"/>
  <c r="C125" i="3" s="1"/>
  <c r="O37" i="93"/>
  <c r="M124" i="3" s="1"/>
  <c r="M37" i="93"/>
  <c r="K37" i="93"/>
  <c r="J37" i="93"/>
  <c r="H124" i="3" s="1"/>
  <c r="I37" i="93"/>
  <c r="G124" i="3" s="1"/>
  <c r="G37" i="93"/>
  <c r="E37" i="93"/>
  <c r="O35" i="93"/>
  <c r="M123" i="3" s="1"/>
  <c r="M35" i="93"/>
  <c r="K123" i="3" s="1"/>
  <c r="K35" i="93"/>
  <c r="I35" i="93"/>
  <c r="G35" i="93"/>
  <c r="E35" i="93"/>
  <c r="M33" i="93"/>
  <c r="K33" i="93"/>
  <c r="I33" i="93"/>
  <c r="G33" i="93"/>
  <c r="E33" i="93"/>
  <c r="M31" i="93"/>
  <c r="K31" i="93"/>
  <c r="I31" i="93"/>
  <c r="G31" i="93"/>
  <c r="E31" i="93"/>
  <c r="M29" i="93"/>
  <c r="K40" i="3" s="1"/>
  <c r="K29" i="93"/>
  <c r="I29" i="93"/>
  <c r="G29" i="93"/>
  <c r="F29" i="93"/>
  <c r="D40" i="3" s="1"/>
  <c r="E29" i="93"/>
  <c r="M27" i="93"/>
  <c r="K39" i="3" s="1"/>
  <c r="K27" i="93"/>
  <c r="I27" i="93"/>
  <c r="G39" i="3" s="1"/>
  <c r="G27" i="93"/>
  <c r="E27" i="93"/>
  <c r="C39" i="3" s="1"/>
  <c r="M25" i="93"/>
  <c r="K25" i="93"/>
  <c r="I25" i="93"/>
  <c r="G25" i="93"/>
  <c r="F25" i="93"/>
  <c r="E25" i="93"/>
  <c r="M23" i="93"/>
  <c r="K23" i="93"/>
  <c r="I23" i="93"/>
  <c r="G23" i="93"/>
  <c r="E23" i="93"/>
  <c r="M21" i="93"/>
  <c r="K21" i="93"/>
  <c r="I21" i="93"/>
  <c r="G21" i="93"/>
  <c r="F21" i="93"/>
  <c r="E21" i="93"/>
  <c r="O19" i="93"/>
  <c r="M35" i="3" s="1"/>
  <c r="M19" i="93"/>
  <c r="K19" i="93"/>
  <c r="I19" i="93"/>
  <c r="G19" i="93"/>
  <c r="E19" i="93"/>
  <c r="M17" i="93"/>
  <c r="K34" i="3" s="1"/>
  <c r="K17" i="93"/>
  <c r="I17" i="93"/>
  <c r="G34" i="3" s="1"/>
  <c r="G17" i="93"/>
  <c r="E17" i="93"/>
  <c r="C34" i="3" s="1"/>
  <c r="O15" i="93"/>
  <c r="M5" i="3" s="1"/>
  <c r="N15" i="93"/>
  <c r="L5" i="3" s="1"/>
  <c r="M15" i="93"/>
  <c r="K15" i="93"/>
  <c r="I15" i="93"/>
  <c r="G15" i="93"/>
  <c r="E15" i="93"/>
  <c r="O11" i="93"/>
  <c r="M11" i="93"/>
  <c r="K11" i="93"/>
  <c r="I11" i="93"/>
  <c r="G11" i="93"/>
  <c r="E11" i="93"/>
  <c r="O10" i="93"/>
  <c r="M10" i="93"/>
  <c r="K10" i="93"/>
  <c r="I10" i="93"/>
  <c r="G10" i="93"/>
  <c r="E10" i="93"/>
  <c r="O9" i="93"/>
  <c r="M9" i="93"/>
  <c r="K9" i="93"/>
  <c r="I9" i="93"/>
  <c r="G9" i="93"/>
  <c r="E9" i="93"/>
  <c r="M8" i="93"/>
  <c r="K8" i="93"/>
  <c r="I8" i="93"/>
  <c r="G8" i="93"/>
  <c r="E8" i="93"/>
  <c r="O7" i="93"/>
  <c r="M396" i="2" s="1"/>
  <c r="Z396" i="2" s="1"/>
  <c r="N7" i="93"/>
  <c r="M7" i="93"/>
  <c r="K7" i="93"/>
  <c r="I7" i="93"/>
  <c r="G7" i="93"/>
  <c r="E7" i="93"/>
  <c r="M6" i="93"/>
  <c r="K6" i="93"/>
  <c r="I6" i="93"/>
  <c r="G6" i="93"/>
  <c r="E6" i="93"/>
  <c r="M5" i="93"/>
  <c r="K5" i="93"/>
  <c r="I5" i="93"/>
  <c r="G5" i="93"/>
  <c r="E5" i="93"/>
  <c r="E3" i="93" s="1"/>
  <c r="E13" i="93" s="1"/>
  <c r="M510" i="3"/>
  <c r="L510" i="3"/>
  <c r="J510" i="3"/>
  <c r="I510" i="3"/>
  <c r="H510" i="3"/>
  <c r="F510" i="3"/>
  <c r="E510" i="3"/>
  <c r="D510" i="3"/>
  <c r="B510" i="3"/>
  <c r="N13" i="21"/>
  <c r="M13" i="21"/>
  <c r="L13" i="21"/>
  <c r="K6" i="20"/>
  <c r="J13" i="21"/>
  <c r="I13" i="21"/>
  <c r="H13" i="21"/>
  <c r="G6" i="20"/>
  <c r="F13" i="21"/>
  <c r="E13" i="21"/>
  <c r="D13" i="21"/>
  <c r="O5" i="21"/>
  <c r="J150" i="2"/>
  <c r="W150" i="2" s="1"/>
  <c r="O210" i="32"/>
  <c r="O33" i="32" s="1"/>
  <c r="M493" i="3" s="1"/>
  <c r="N210" i="32"/>
  <c r="N33" i="32" s="1"/>
  <c r="M210" i="32"/>
  <c r="M33" i="32" s="1"/>
  <c r="L210" i="32"/>
  <c r="K210" i="32"/>
  <c r="J210" i="32"/>
  <c r="J33" i="32" s="1"/>
  <c r="I210" i="32"/>
  <c r="H210" i="32"/>
  <c r="G210" i="32"/>
  <c r="F210" i="32"/>
  <c r="F33" i="32" s="1"/>
  <c r="E210" i="32"/>
  <c r="D210" i="32"/>
  <c r="O209" i="32"/>
  <c r="O16" i="32" s="1"/>
  <c r="N209" i="32"/>
  <c r="N16" i="32" s="1"/>
  <c r="M209" i="32"/>
  <c r="L209" i="32"/>
  <c r="K209" i="32"/>
  <c r="J209" i="32"/>
  <c r="J16" i="32" s="1"/>
  <c r="I209" i="32"/>
  <c r="H209" i="32"/>
  <c r="G209" i="32"/>
  <c r="F209" i="32"/>
  <c r="F16" i="32" s="1"/>
  <c r="E209" i="32"/>
  <c r="D209" i="32"/>
  <c r="O200" i="32"/>
  <c r="N200" i="32"/>
  <c r="M200" i="32"/>
  <c r="L200" i="32"/>
  <c r="K200" i="32"/>
  <c r="J200" i="32"/>
  <c r="I200" i="32"/>
  <c r="H200" i="32"/>
  <c r="G200" i="32"/>
  <c r="F200" i="32"/>
  <c r="E200" i="32"/>
  <c r="D200" i="32"/>
  <c r="O197" i="32"/>
  <c r="N197" i="32"/>
  <c r="M197" i="32"/>
  <c r="L197" i="32"/>
  <c r="K197" i="32"/>
  <c r="J197" i="32"/>
  <c r="I197" i="32"/>
  <c r="H197" i="32"/>
  <c r="G197" i="32"/>
  <c r="F197" i="32"/>
  <c r="E197" i="32"/>
  <c r="D197" i="32"/>
  <c r="O189" i="32"/>
  <c r="N189" i="32"/>
  <c r="M189" i="32"/>
  <c r="L189" i="32"/>
  <c r="K189" i="32"/>
  <c r="J189" i="32"/>
  <c r="I189" i="32"/>
  <c r="H189" i="32"/>
  <c r="G189" i="32"/>
  <c r="F189" i="32"/>
  <c r="E189" i="32"/>
  <c r="D189" i="32"/>
  <c r="O184" i="32"/>
  <c r="O9" i="32" s="1"/>
  <c r="M391" i="2" s="1"/>
  <c r="Z391" i="2" s="1"/>
  <c r="N184" i="32"/>
  <c r="N9" i="32" s="1"/>
  <c r="L391" i="2" s="1"/>
  <c r="Y391" i="2" s="1"/>
  <c r="M184" i="32"/>
  <c r="M9" i="32" s="1"/>
  <c r="L184" i="32"/>
  <c r="K184" i="32"/>
  <c r="K9" i="32" s="1"/>
  <c r="I391" i="2" s="1"/>
  <c r="V391" i="2" s="1"/>
  <c r="J184" i="32"/>
  <c r="J9" i="32" s="1"/>
  <c r="H391" i="2" s="1"/>
  <c r="U391" i="2" s="1"/>
  <c r="I184" i="32"/>
  <c r="H184" i="32"/>
  <c r="G184" i="32"/>
  <c r="G9" i="32" s="1"/>
  <c r="E391" i="2" s="1"/>
  <c r="R391" i="2" s="1"/>
  <c r="F184" i="32"/>
  <c r="E184" i="32"/>
  <c r="D184" i="32"/>
  <c r="O177" i="32"/>
  <c r="O31" i="32" s="1"/>
  <c r="M451" i="3" s="1"/>
  <c r="N177" i="32"/>
  <c r="N31" i="32" s="1"/>
  <c r="L451" i="3" s="1"/>
  <c r="M177" i="32"/>
  <c r="M31" i="32" s="1"/>
  <c r="L177" i="32"/>
  <c r="K177" i="32"/>
  <c r="K31" i="32" s="1"/>
  <c r="I451" i="3" s="1"/>
  <c r="J177" i="32"/>
  <c r="J31" i="32" s="1"/>
  <c r="H451" i="3" s="1"/>
  <c r="I177" i="32"/>
  <c r="H177" i="32"/>
  <c r="G177" i="32"/>
  <c r="G31" i="32" s="1"/>
  <c r="E451" i="3" s="1"/>
  <c r="F177" i="32"/>
  <c r="F31" i="32" s="1"/>
  <c r="D451" i="3" s="1"/>
  <c r="E177" i="32"/>
  <c r="D177" i="32"/>
  <c r="O176" i="32"/>
  <c r="O15" i="32" s="1"/>
  <c r="N176" i="32"/>
  <c r="M176" i="32"/>
  <c r="L176" i="32"/>
  <c r="K176" i="32"/>
  <c r="K15" i="32" s="1"/>
  <c r="J176" i="32"/>
  <c r="J15" i="32" s="1"/>
  <c r="I176" i="32"/>
  <c r="H176" i="32"/>
  <c r="G176" i="32"/>
  <c r="G15" i="32" s="1"/>
  <c r="F176" i="32"/>
  <c r="F15" i="32" s="1"/>
  <c r="E176" i="32"/>
  <c r="E15" i="32" s="1"/>
  <c r="D176" i="32"/>
  <c r="O172" i="32"/>
  <c r="N172" i="32"/>
  <c r="M172" i="32"/>
  <c r="L172" i="32"/>
  <c r="K172" i="32"/>
  <c r="J172" i="32"/>
  <c r="I172" i="32"/>
  <c r="H172" i="32"/>
  <c r="G172" i="32"/>
  <c r="F172" i="32"/>
  <c r="E172" i="32"/>
  <c r="D172" i="32"/>
  <c r="O161" i="32"/>
  <c r="N161" i="32"/>
  <c r="M161" i="32"/>
  <c r="L161" i="32"/>
  <c r="K161" i="32"/>
  <c r="J161" i="32"/>
  <c r="I161" i="32"/>
  <c r="H161" i="32"/>
  <c r="G161" i="32"/>
  <c r="F161" i="32"/>
  <c r="E161" i="32"/>
  <c r="D161" i="32"/>
  <c r="O155" i="32"/>
  <c r="N155" i="32"/>
  <c r="M155" i="32"/>
  <c r="L155" i="32"/>
  <c r="K155" i="32"/>
  <c r="J155" i="32"/>
  <c r="I155" i="32"/>
  <c r="H155" i="32"/>
  <c r="G155" i="32"/>
  <c r="F155" i="32"/>
  <c r="E155" i="32"/>
  <c r="D155" i="32"/>
  <c r="O148" i="32"/>
  <c r="N148" i="32"/>
  <c r="M148" i="32"/>
  <c r="L148" i="32"/>
  <c r="K148" i="32"/>
  <c r="J148" i="32"/>
  <c r="I148" i="32"/>
  <c r="H148" i="32"/>
  <c r="G148" i="32"/>
  <c r="F148" i="32"/>
  <c r="E148" i="32"/>
  <c r="D148" i="32"/>
  <c r="O130" i="32"/>
  <c r="O8" i="32" s="1"/>
  <c r="M390" i="2" s="1"/>
  <c r="Z390" i="2" s="1"/>
  <c r="N130" i="32"/>
  <c r="N8" i="32" s="1"/>
  <c r="M130" i="32"/>
  <c r="L130" i="32"/>
  <c r="K130" i="32"/>
  <c r="K8" i="32" s="1"/>
  <c r="I390" i="2" s="1"/>
  <c r="V390" i="2" s="1"/>
  <c r="J130" i="32"/>
  <c r="J8" i="32" s="1"/>
  <c r="I130" i="32"/>
  <c r="I8" i="32" s="1"/>
  <c r="H130" i="32"/>
  <c r="G130" i="32"/>
  <c r="G8" i="32" s="1"/>
  <c r="E390" i="2" s="1"/>
  <c r="R390" i="2" s="1"/>
  <c r="F130" i="32"/>
  <c r="F8" i="32" s="1"/>
  <c r="E130" i="32"/>
  <c r="D130" i="32"/>
  <c r="O122" i="32"/>
  <c r="O28" i="32" s="1"/>
  <c r="N122" i="32"/>
  <c r="N28" i="32" s="1"/>
  <c r="M122" i="32"/>
  <c r="L122" i="32"/>
  <c r="K122" i="32"/>
  <c r="K28" i="32" s="1"/>
  <c r="J122" i="32"/>
  <c r="I122" i="32"/>
  <c r="I28" i="32" s="1"/>
  <c r="H122" i="32"/>
  <c r="G122" i="32"/>
  <c r="G28" i="32" s="1"/>
  <c r="F122" i="32"/>
  <c r="F28" i="32" s="1"/>
  <c r="E122" i="32"/>
  <c r="E28" i="32" s="1"/>
  <c r="E29" i="32" s="1"/>
  <c r="C379" i="3" s="1"/>
  <c r="D122" i="32"/>
  <c r="O121" i="32"/>
  <c r="O14" i="32" s="1"/>
  <c r="N121" i="32"/>
  <c r="N14" i="32" s="1"/>
  <c r="M121" i="32"/>
  <c r="L121" i="32"/>
  <c r="K121" i="32"/>
  <c r="K14" i="32" s="1"/>
  <c r="J121" i="32"/>
  <c r="I121" i="32"/>
  <c r="H121" i="32"/>
  <c r="G121" i="32"/>
  <c r="G14" i="32" s="1"/>
  <c r="F121" i="32"/>
  <c r="F14" i="32" s="1"/>
  <c r="F17" i="32" s="1"/>
  <c r="E121" i="32"/>
  <c r="D121" i="32"/>
  <c r="O109" i="32"/>
  <c r="N109" i="32"/>
  <c r="M109" i="32"/>
  <c r="L109" i="32"/>
  <c r="K109" i="32"/>
  <c r="J109" i="32"/>
  <c r="I109" i="32"/>
  <c r="H109" i="32"/>
  <c r="G109" i="32"/>
  <c r="F109" i="32"/>
  <c r="E109" i="32"/>
  <c r="D109" i="32"/>
  <c r="O102" i="32"/>
  <c r="N102" i="32"/>
  <c r="M102" i="32"/>
  <c r="L102" i="32"/>
  <c r="K102" i="32"/>
  <c r="J102" i="32"/>
  <c r="I102" i="32"/>
  <c r="H102" i="32"/>
  <c r="G102" i="32"/>
  <c r="F102" i="32"/>
  <c r="E102" i="32"/>
  <c r="D102" i="32"/>
  <c r="O99" i="32"/>
  <c r="O7" i="32" s="1"/>
  <c r="M389" i="2" s="1"/>
  <c r="Z389" i="2" s="1"/>
  <c r="N99" i="32"/>
  <c r="M99" i="32"/>
  <c r="L99" i="32"/>
  <c r="K99" i="32"/>
  <c r="K7" i="32" s="1"/>
  <c r="I389" i="2" s="1"/>
  <c r="V389" i="2" s="1"/>
  <c r="J99" i="32"/>
  <c r="J7" i="32" s="1"/>
  <c r="I99" i="32"/>
  <c r="H99" i="32"/>
  <c r="G99" i="32"/>
  <c r="G7" i="32" s="1"/>
  <c r="E389" i="2" s="1"/>
  <c r="R389" i="2" s="1"/>
  <c r="F99" i="32"/>
  <c r="F7" i="32" s="1"/>
  <c r="E99" i="32"/>
  <c r="E7" i="32" s="1"/>
  <c r="D99" i="32"/>
  <c r="O92" i="32"/>
  <c r="O27" i="32" s="1"/>
  <c r="N92" i="32"/>
  <c r="N27" i="32" s="1"/>
  <c r="N29" i="32" s="1"/>
  <c r="L379" i="3" s="1"/>
  <c r="M92" i="32"/>
  <c r="L92" i="32"/>
  <c r="K92" i="32"/>
  <c r="K27" i="32" s="1"/>
  <c r="K29" i="32" s="1"/>
  <c r="I379" i="3" s="1"/>
  <c r="J92" i="32"/>
  <c r="J27" i="32" s="1"/>
  <c r="I92" i="32"/>
  <c r="H92" i="32"/>
  <c r="G92" i="32"/>
  <c r="G27" i="32" s="1"/>
  <c r="G29" i="32" s="1"/>
  <c r="E379" i="3" s="1"/>
  <c r="F92" i="32"/>
  <c r="F27" i="32" s="1"/>
  <c r="F29" i="32" s="1"/>
  <c r="D379" i="3" s="1"/>
  <c r="E92" i="32"/>
  <c r="E27" i="32" s="1"/>
  <c r="D92" i="32"/>
  <c r="O91" i="32"/>
  <c r="N91" i="32"/>
  <c r="N24" i="32" s="1"/>
  <c r="M91" i="32"/>
  <c r="M24" i="32" s="1"/>
  <c r="L91" i="32"/>
  <c r="K91" i="32"/>
  <c r="J91" i="32"/>
  <c r="I91" i="32"/>
  <c r="I24" i="32" s="1"/>
  <c r="H91" i="32"/>
  <c r="G91" i="32"/>
  <c r="F91" i="32"/>
  <c r="F24" i="32" s="1"/>
  <c r="E91" i="32"/>
  <c r="E24" i="32" s="1"/>
  <c r="D91" i="32"/>
  <c r="O90" i="32"/>
  <c r="O20" i="32" s="1"/>
  <c r="N90" i="32"/>
  <c r="M90" i="32"/>
  <c r="L90" i="32"/>
  <c r="K90" i="32"/>
  <c r="K20" i="32" s="1"/>
  <c r="J90" i="32"/>
  <c r="J20" i="32" s="1"/>
  <c r="I90" i="32"/>
  <c r="H90" i="32"/>
  <c r="G90" i="32"/>
  <c r="G20" i="32" s="1"/>
  <c r="F90" i="32"/>
  <c r="F20" i="32" s="1"/>
  <c r="E90" i="32"/>
  <c r="E20" i="32" s="1"/>
  <c r="D90" i="32"/>
  <c r="O71" i="32"/>
  <c r="O6" i="32" s="1"/>
  <c r="N71" i="32"/>
  <c r="N6" i="32" s="1"/>
  <c r="M71" i="32"/>
  <c r="L71" i="32"/>
  <c r="K71" i="32"/>
  <c r="J71" i="32"/>
  <c r="J6" i="32" s="1"/>
  <c r="I71" i="32"/>
  <c r="H71" i="32"/>
  <c r="G71" i="32"/>
  <c r="F71" i="32"/>
  <c r="F6" i="32" s="1"/>
  <c r="E71" i="32"/>
  <c r="D71" i="32"/>
  <c r="O64" i="32"/>
  <c r="N64" i="32"/>
  <c r="N23" i="32" s="1"/>
  <c r="N25" i="32" s="1"/>
  <c r="L342" i="3" s="1"/>
  <c r="M64" i="32"/>
  <c r="M23" i="32" s="1"/>
  <c r="M25" i="32" s="1"/>
  <c r="K342" i="3" s="1"/>
  <c r="L64" i="32"/>
  <c r="K64" i="32"/>
  <c r="J64" i="32"/>
  <c r="J23" i="32" s="1"/>
  <c r="I64" i="32"/>
  <c r="I23" i="32" s="1"/>
  <c r="I25" i="32" s="1"/>
  <c r="G342" i="3" s="1"/>
  <c r="H64" i="32"/>
  <c r="G64" i="32"/>
  <c r="F64" i="32"/>
  <c r="E64" i="32"/>
  <c r="E23" i="32" s="1"/>
  <c r="E25" i="32" s="1"/>
  <c r="C342" i="3" s="1"/>
  <c r="D64" i="32"/>
  <c r="O63" i="32"/>
  <c r="O19" i="32" s="1"/>
  <c r="N63" i="32"/>
  <c r="N19" i="32" s="1"/>
  <c r="M63" i="32"/>
  <c r="L63" i="32"/>
  <c r="K63" i="32"/>
  <c r="K19" i="32" s="1"/>
  <c r="K21" i="32" s="1"/>
  <c r="I328" i="3" s="1"/>
  <c r="J63" i="32"/>
  <c r="I63" i="32"/>
  <c r="H63" i="32"/>
  <c r="G63" i="32"/>
  <c r="G19" i="32" s="1"/>
  <c r="G21" i="32" s="1"/>
  <c r="E328" i="3" s="1"/>
  <c r="F63" i="32"/>
  <c r="F19" i="32" s="1"/>
  <c r="F21" i="32" s="1"/>
  <c r="D328" i="3" s="1"/>
  <c r="E63" i="32"/>
  <c r="D63" i="32"/>
  <c r="O44" i="32"/>
  <c r="N44" i="32"/>
  <c r="N5" i="32" s="1"/>
  <c r="M44" i="32"/>
  <c r="L44" i="32"/>
  <c r="K44" i="32"/>
  <c r="J44" i="32"/>
  <c r="J5" i="32" s="1"/>
  <c r="J3" i="32" s="1"/>
  <c r="J11" i="32" s="1"/>
  <c r="I44" i="32"/>
  <c r="H44" i="32"/>
  <c r="G44" i="32"/>
  <c r="F44" i="32"/>
  <c r="F5" i="32" s="1"/>
  <c r="E44" i="32"/>
  <c r="D44" i="32"/>
  <c r="L33" i="32"/>
  <c r="K33" i="32"/>
  <c r="I493" i="3" s="1"/>
  <c r="I33" i="32"/>
  <c r="H33" i="32"/>
  <c r="G33" i="32"/>
  <c r="E493" i="3" s="1"/>
  <c r="E33" i="32"/>
  <c r="D33" i="32"/>
  <c r="L31" i="32"/>
  <c r="I31" i="32"/>
  <c r="H31" i="32"/>
  <c r="E31" i="32"/>
  <c r="D31" i="32"/>
  <c r="M28" i="32"/>
  <c r="L28" i="32"/>
  <c r="J28" i="32"/>
  <c r="H28" i="32"/>
  <c r="D28" i="32"/>
  <c r="M27" i="32"/>
  <c r="L27" i="32"/>
  <c r="L29" i="32" s="1"/>
  <c r="J379" i="3" s="1"/>
  <c r="I27" i="32"/>
  <c r="H27" i="32"/>
  <c r="H29" i="32" s="1"/>
  <c r="F379" i="3" s="1"/>
  <c r="D27" i="32"/>
  <c r="D29" i="32" s="1"/>
  <c r="B379" i="3" s="1"/>
  <c r="O24" i="32"/>
  <c r="L24" i="32"/>
  <c r="K24" i="32"/>
  <c r="J24" i="32"/>
  <c r="H24" i="32"/>
  <c r="G24" i="32"/>
  <c r="D24" i="32"/>
  <c r="O23" i="32"/>
  <c r="L23" i="32"/>
  <c r="K23" i="32"/>
  <c r="K25" i="32" s="1"/>
  <c r="I342" i="3" s="1"/>
  <c r="H23" i="32"/>
  <c r="H25" i="32" s="1"/>
  <c r="F342" i="3" s="1"/>
  <c r="G23" i="32"/>
  <c r="F23" i="32"/>
  <c r="F25" i="32" s="1"/>
  <c r="D342" i="3" s="1"/>
  <c r="D23" i="32"/>
  <c r="N20" i="32"/>
  <c r="M20" i="32"/>
  <c r="L20" i="32"/>
  <c r="I20" i="32"/>
  <c r="H20" i="32"/>
  <c r="D20" i="32"/>
  <c r="M19" i="32"/>
  <c r="M21" i="32" s="1"/>
  <c r="K328" i="3" s="1"/>
  <c r="L19" i="32"/>
  <c r="J19" i="32"/>
  <c r="J21" i="32" s="1"/>
  <c r="H328" i="3" s="1"/>
  <c r="I19" i="32"/>
  <c r="H19" i="32"/>
  <c r="H21" i="32" s="1"/>
  <c r="F328" i="3" s="1"/>
  <c r="E19" i="32"/>
  <c r="D19" i="32"/>
  <c r="D17" i="32"/>
  <c r="M16" i="32"/>
  <c r="L16" i="32"/>
  <c r="K16" i="32"/>
  <c r="I16" i="32"/>
  <c r="H16" i="32"/>
  <c r="G16" i="32"/>
  <c r="E16" i="32"/>
  <c r="D16" i="32"/>
  <c r="N15" i="32"/>
  <c r="M15" i="32"/>
  <c r="L15" i="32"/>
  <c r="L17" i="32" s="1"/>
  <c r="I15" i="32"/>
  <c r="H15" i="32"/>
  <c r="D15" i="32"/>
  <c r="M14" i="32"/>
  <c r="M17" i="32" s="1"/>
  <c r="L14" i="32"/>
  <c r="J14" i="32"/>
  <c r="J17" i="32" s="1"/>
  <c r="I14" i="32"/>
  <c r="H14" i="32"/>
  <c r="H17" i="32" s="1"/>
  <c r="H37" i="32" s="1"/>
  <c r="E14" i="32"/>
  <c r="E17" i="32" s="1"/>
  <c r="D14" i="32"/>
  <c r="L9" i="32"/>
  <c r="I9" i="32"/>
  <c r="H9" i="32"/>
  <c r="F9" i="32"/>
  <c r="D391" i="2" s="1"/>
  <c r="Q391" i="2" s="1"/>
  <c r="E9" i="32"/>
  <c r="D9" i="32"/>
  <c r="M8" i="32"/>
  <c r="M3" i="32" s="1"/>
  <c r="L8" i="32"/>
  <c r="H8" i="32"/>
  <c r="E8" i="32"/>
  <c r="D8" i="32"/>
  <c r="N7" i="32"/>
  <c r="N3" i="32" s="1"/>
  <c r="N11" i="32" s="1"/>
  <c r="M7" i="32"/>
  <c r="L7" i="32"/>
  <c r="I7" i="32"/>
  <c r="H7" i="32"/>
  <c r="D7" i="32"/>
  <c r="D3" i="32" s="1"/>
  <c r="M6" i="32"/>
  <c r="L6" i="32"/>
  <c r="K6" i="32"/>
  <c r="I388" i="2" s="1"/>
  <c r="V388" i="2" s="1"/>
  <c r="I6" i="32"/>
  <c r="H6" i="32"/>
  <c r="G6" i="32"/>
  <c r="E388" i="2" s="1"/>
  <c r="R388" i="2" s="1"/>
  <c r="E6" i="32"/>
  <c r="D6" i="32"/>
  <c r="O5" i="32"/>
  <c r="M387" i="2" s="1"/>
  <c r="M5" i="32"/>
  <c r="L5" i="32"/>
  <c r="K5" i="32"/>
  <c r="I387" i="2" s="1"/>
  <c r="V387" i="2" s="1"/>
  <c r="I5" i="32"/>
  <c r="H5" i="32"/>
  <c r="G5" i="32"/>
  <c r="E387" i="2" s="1"/>
  <c r="E5" i="32"/>
  <c r="D5" i="32"/>
  <c r="O23" i="91"/>
  <c r="N23" i="91"/>
  <c r="M23" i="91"/>
  <c r="L23" i="91"/>
  <c r="K23" i="91"/>
  <c r="J23" i="91"/>
  <c r="I23" i="91"/>
  <c r="H23" i="91"/>
  <c r="G23" i="91"/>
  <c r="F23" i="91"/>
  <c r="E23" i="91"/>
  <c r="D23" i="91"/>
  <c r="J15" i="91"/>
  <c r="M13" i="91"/>
  <c r="E13" i="91"/>
  <c r="O9" i="91"/>
  <c r="N9" i="91"/>
  <c r="M9" i="91"/>
  <c r="L9" i="91"/>
  <c r="J492" i="3" s="1"/>
  <c r="K9" i="91"/>
  <c r="J9" i="91"/>
  <c r="I9" i="91"/>
  <c r="H9" i="91"/>
  <c r="F492" i="3" s="1"/>
  <c r="G9" i="91"/>
  <c r="F9" i="91"/>
  <c r="E9" i="91"/>
  <c r="D9" i="91"/>
  <c r="B492" i="3" s="1"/>
  <c r="O7" i="91"/>
  <c r="O15" i="91" s="1"/>
  <c r="N7" i="91"/>
  <c r="N11" i="91" s="1"/>
  <c r="M7" i="91"/>
  <c r="M15" i="91" s="1"/>
  <c r="L7" i="91"/>
  <c r="L13" i="91" s="1"/>
  <c r="K7" i="91"/>
  <c r="K11" i="91" s="1"/>
  <c r="J7" i="91"/>
  <c r="J11" i="91" s="1"/>
  <c r="I7" i="91"/>
  <c r="I15" i="91" s="1"/>
  <c r="H7" i="91"/>
  <c r="H13" i="91" s="1"/>
  <c r="G7" i="91"/>
  <c r="G11" i="91" s="1"/>
  <c r="F7" i="91"/>
  <c r="F11" i="91" s="1"/>
  <c r="E7" i="91"/>
  <c r="E15" i="91" s="1"/>
  <c r="D7" i="91"/>
  <c r="D13" i="91" s="1"/>
  <c r="O3" i="91"/>
  <c r="M181" i="2" s="1"/>
  <c r="Z181" i="2" s="1"/>
  <c r="N3" i="91"/>
  <c r="N5" i="91" s="1"/>
  <c r="M3" i="91"/>
  <c r="M5" i="91" s="1"/>
  <c r="L3" i="91"/>
  <c r="L5" i="91" s="1"/>
  <c r="K3" i="91"/>
  <c r="K5" i="91" s="1"/>
  <c r="J3" i="91"/>
  <c r="J5" i="91" s="1"/>
  <c r="I3" i="91"/>
  <c r="I5" i="91" s="1"/>
  <c r="H3" i="91"/>
  <c r="H5" i="91" s="1"/>
  <c r="G3" i="91"/>
  <c r="E181" i="2" s="1"/>
  <c r="R181" i="2" s="1"/>
  <c r="F3" i="91"/>
  <c r="F5" i="91" s="1"/>
  <c r="E3" i="91"/>
  <c r="E5" i="91" s="1"/>
  <c r="D3" i="91"/>
  <c r="D5" i="91" s="1"/>
  <c r="H17" i="90"/>
  <c r="K15" i="90"/>
  <c r="O11" i="90"/>
  <c r="M472" i="3" s="1"/>
  <c r="N11" i="90"/>
  <c r="L472" i="3" s="1"/>
  <c r="M11" i="90"/>
  <c r="L11" i="90"/>
  <c r="K11" i="90"/>
  <c r="J11" i="90"/>
  <c r="H472" i="3" s="1"/>
  <c r="I11" i="90"/>
  <c r="H11" i="90"/>
  <c r="G11" i="90"/>
  <c r="F11" i="90"/>
  <c r="D472" i="3" s="1"/>
  <c r="E11" i="90"/>
  <c r="D11" i="90"/>
  <c r="O9" i="90"/>
  <c r="N9" i="90"/>
  <c r="L361" i="3" s="1"/>
  <c r="M9" i="90"/>
  <c r="L9" i="90"/>
  <c r="K9" i="90"/>
  <c r="J9" i="90"/>
  <c r="H361" i="3" s="1"/>
  <c r="I9" i="90"/>
  <c r="H9" i="90"/>
  <c r="G9" i="90"/>
  <c r="F9" i="90"/>
  <c r="D361" i="3" s="1"/>
  <c r="E9" i="90"/>
  <c r="D9" i="90"/>
  <c r="O7" i="90"/>
  <c r="M23" i="3" s="1"/>
  <c r="N7" i="90"/>
  <c r="N15" i="90" s="1"/>
  <c r="M7" i="90"/>
  <c r="M13" i="90" s="1"/>
  <c r="L7" i="90"/>
  <c r="L13" i="90" s="1"/>
  <c r="K7" i="90"/>
  <c r="K17" i="90" s="1"/>
  <c r="J7" i="90"/>
  <c r="J15" i="90" s="1"/>
  <c r="I7" i="90"/>
  <c r="I13" i="90" s="1"/>
  <c r="H7" i="90"/>
  <c r="H13" i="90" s="1"/>
  <c r="G7" i="90"/>
  <c r="F7" i="90"/>
  <c r="F15" i="90" s="1"/>
  <c r="E7" i="90"/>
  <c r="E13" i="90" s="1"/>
  <c r="D7" i="90"/>
  <c r="D13" i="90" s="1"/>
  <c r="O3" i="90"/>
  <c r="M149" i="2" s="1"/>
  <c r="Z149" i="2" s="1"/>
  <c r="N3" i="90"/>
  <c r="N5" i="90" s="1"/>
  <c r="M3" i="90"/>
  <c r="K149" i="2" s="1"/>
  <c r="X149" i="2" s="1"/>
  <c r="L3" i="90"/>
  <c r="L5" i="90" s="1"/>
  <c r="K3" i="90"/>
  <c r="K5" i="90" s="1"/>
  <c r="J3" i="90"/>
  <c r="J5" i="90" s="1"/>
  <c r="I3" i="90"/>
  <c r="G149" i="2" s="1"/>
  <c r="T149" i="2" s="1"/>
  <c r="H3" i="90"/>
  <c r="H5" i="90" s="1"/>
  <c r="G3" i="90"/>
  <c r="G5" i="90" s="1"/>
  <c r="F3" i="90"/>
  <c r="F5" i="90" s="1"/>
  <c r="E3" i="90"/>
  <c r="C149" i="2" s="1"/>
  <c r="P149" i="2" s="1"/>
  <c r="D3" i="90"/>
  <c r="D5" i="90" s="1"/>
  <c r="O15" i="79"/>
  <c r="O19" i="78" s="1"/>
  <c r="N15" i="79"/>
  <c r="N19" i="78" s="1"/>
  <c r="M15" i="79"/>
  <c r="L15" i="79"/>
  <c r="K15" i="79"/>
  <c r="J15" i="79"/>
  <c r="J19" i="78" s="1"/>
  <c r="I15" i="79"/>
  <c r="H15" i="79"/>
  <c r="G15" i="79"/>
  <c r="F15" i="79"/>
  <c r="F19" i="78" s="1"/>
  <c r="E15" i="79"/>
  <c r="D15" i="79"/>
  <c r="O12" i="79"/>
  <c r="O16" i="78" s="1"/>
  <c r="N12" i="79"/>
  <c r="M12" i="79"/>
  <c r="L12" i="79"/>
  <c r="K12" i="79"/>
  <c r="J12" i="79"/>
  <c r="I12" i="79"/>
  <c r="H12" i="79"/>
  <c r="G12" i="79"/>
  <c r="F12" i="79"/>
  <c r="E12" i="79"/>
  <c r="D12" i="79"/>
  <c r="J11" i="79"/>
  <c r="J13" i="79" s="1"/>
  <c r="H264" i="3" s="1"/>
  <c r="O8" i="79"/>
  <c r="O21" i="79" s="1"/>
  <c r="N8" i="79"/>
  <c r="M8" i="79"/>
  <c r="M8" i="78" s="1"/>
  <c r="L8" i="79"/>
  <c r="K8" i="79"/>
  <c r="K21" i="79" s="1"/>
  <c r="J8" i="79"/>
  <c r="I8" i="79"/>
  <c r="I8" i="78" s="1"/>
  <c r="H8" i="79"/>
  <c r="G8" i="79"/>
  <c r="G21" i="79" s="1"/>
  <c r="F8" i="79"/>
  <c r="E8" i="79"/>
  <c r="E8" i="78" s="1"/>
  <c r="D8" i="79"/>
  <c r="O3" i="79"/>
  <c r="O5" i="79" s="1"/>
  <c r="N3" i="79"/>
  <c r="N5" i="79" s="1"/>
  <c r="M3" i="79"/>
  <c r="M5" i="79" s="1"/>
  <c r="L3" i="79"/>
  <c r="L5" i="79" s="1"/>
  <c r="K3" i="79"/>
  <c r="I148" i="2" s="1"/>
  <c r="V148" i="2" s="1"/>
  <c r="J3" i="79"/>
  <c r="J5" i="79" s="1"/>
  <c r="I3" i="79"/>
  <c r="I5" i="79" s="1"/>
  <c r="H3" i="79"/>
  <c r="H5" i="79" s="1"/>
  <c r="G3" i="79"/>
  <c r="E148" i="2" s="1"/>
  <c r="R148" i="2" s="1"/>
  <c r="F3" i="79"/>
  <c r="F5" i="79" s="1"/>
  <c r="E3" i="79"/>
  <c r="E5" i="79" s="1"/>
  <c r="D3" i="79"/>
  <c r="D5" i="79" s="1"/>
  <c r="O224" i="89"/>
  <c r="N224" i="89"/>
  <c r="N42" i="89" s="1"/>
  <c r="L494" i="3" s="1"/>
  <c r="M224" i="89"/>
  <c r="M42" i="89" s="1"/>
  <c r="K494" i="3" s="1"/>
  <c r="L224" i="89"/>
  <c r="L42" i="89" s="1"/>
  <c r="K224" i="89"/>
  <c r="J224" i="89"/>
  <c r="I224" i="89"/>
  <c r="I42" i="89" s="1"/>
  <c r="G494" i="3" s="1"/>
  <c r="H224" i="89"/>
  <c r="H42" i="89" s="1"/>
  <c r="G224" i="89"/>
  <c r="F224" i="89"/>
  <c r="F42" i="89" s="1"/>
  <c r="D494" i="3" s="1"/>
  <c r="E224" i="89"/>
  <c r="E42" i="89" s="1"/>
  <c r="C494" i="3" s="1"/>
  <c r="D224" i="89"/>
  <c r="O223" i="89"/>
  <c r="N223" i="89"/>
  <c r="N38" i="89" s="1"/>
  <c r="M223" i="89"/>
  <c r="M38" i="89" s="1"/>
  <c r="K456" i="3" s="1"/>
  <c r="L223" i="89"/>
  <c r="K223" i="89"/>
  <c r="J223" i="89"/>
  <c r="J38" i="89" s="1"/>
  <c r="I223" i="89"/>
  <c r="I38" i="89" s="1"/>
  <c r="G456" i="3" s="1"/>
  <c r="H223" i="89"/>
  <c r="G223" i="89"/>
  <c r="F223" i="89"/>
  <c r="F38" i="89" s="1"/>
  <c r="E223" i="89"/>
  <c r="E38" i="89" s="1"/>
  <c r="C456" i="3" s="1"/>
  <c r="D223" i="89"/>
  <c r="O222" i="89"/>
  <c r="N222" i="89"/>
  <c r="N22" i="89" s="1"/>
  <c r="L228" i="3" s="1"/>
  <c r="M222" i="89"/>
  <c r="M22" i="89" s="1"/>
  <c r="K228" i="3" s="1"/>
  <c r="L222" i="89"/>
  <c r="L22" i="89" s="1"/>
  <c r="K222" i="89"/>
  <c r="J222" i="89"/>
  <c r="J22" i="89" s="1"/>
  <c r="H228" i="3" s="1"/>
  <c r="I222" i="89"/>
  <c r="I22" i="89" s="1"/>
  <c r="G228" i="3" s="1"/>
  <c r="H222" i="89"/>
  <c r="H22" i="89" s="1"/>
  <c r="G222" i="89"/>
  <c r="F222" i="89"/>
  <c r="E222" i="89"/>
  <c r="E22" i="89" s="1"/>
  <c r="C228" i="3" s="1"/>
  <c r="D222" i="89"/>
  <c r="O195" i="89"/>
  <c r="O9" i="89" s="1"/>
  <c r="N195" i="89"/>
  <c r="N9" i="89" s="1"/>
  <c r="M195" i="89"/>
  <c r="M9" i="89" s="1"/>
  <c r="K171" i="2" s="1"/>
  <c r="X171" i="2" s="1"/>
  <c r="L195" i="89"/>
  <c r="K195" i="89"/>
  <c r="J195" i="89"/>
  <c r="J9" i="89" s="1"/>
  <c r="I195" i="89"/>
  <c r="I9" i="89" s="1"/>
  <c r="H195" i="89"/>
  <c r="G195" i="89"/>
  <c r="F195" i="89"/>
  <c r="F9" i="89" s="1"/>
  <c r="D171" i="2" s="1"/>
  <c r="Q171" i="2" s="1"/>
  <c r="E195" i="89"/>
  <c r="E9" i="89" s="1"/>
  <c r="D195" i="89"/>
  <c r="D9" i="89" s="1"/>
  <c r="O188" i="89"/>
  <c r="O36" i="89" s="1"/>
  <c r="N188" i="89"/>
  <c r="N36" i="89" s="1"/>
  <c r="M188" i="89"/>
  <c r="M36" i="89" s="1"/>
  <c r="K418" i="3" s="1"/>
  <c r="L188" i="89"/>
  <c r="L36" i="89" s="1"/>
  <c r="K188" i="89"/>
  <c r="J188" i="89"/>
  <c r="J36" i="89" s="1"/>
  <c r="H418" i="3" s="1"/>
  <c r="I188" i="89"/>
  <c r="I36" i="89" s="1"/>
  <c r="G418" i="3" s="1"/>
  <c r="H188" i="89"/>
  <c r="H36" i="89" s="1"/>
  <c r="G188" i="89"/>
  <c r="G36" i="89" s="1"/>
  <c r="F188" i="89"/>
  <c r="F36" i="89" s="1"/>
  <c r="D418" i="3" s="1"/>
  <c r="E188" i="89"/>
  <c r="E36" i="89" s="1"/>
  <c r="C418" i="3" s="1"/>
  <c r="D188" i="89"/>
  <c r="O187" i="89"/>
  <c r="O25" i="89" s="1"/>
  <c r="N187" i="89"/>
  <c r="M187" i="89"/>
  <c r="M25" i="89" s="1"/>
  <c r="L187" i="89"/>
  <c r="L25" i="89" s="1"/>
  <c r="K187" i="89"/>
  <c r="K25" i="89" s="1"/>
  <c r="J187" i="89"/>
  <c r="J25" i="89" s="1"/>
  <c r="I187" i="89"/>
  <c r="I25" i="89" s="1"/>
  <c r="H187" i="89"/>
  <c r="G187" i="89"/>
  <c r="G25" i="89" s="1"/>
  <c r="F187" i="89"/>
  <c r="F25" i="89" s="1"/>
  <c r="E187" i="89"/>
  <c r="E25" i="89" s="1"/>
  <c r="D187" i="89"/>
  <c r="D25" i="89" s="1"/>
  <c r="O167" i="89"/>
  <c r="O8" i="89" s="1"/>
  <c r="M170" i="2" s="1"/>
  <c r="Z170" i="2" s="1"/>
  <c r="N167" i="89"/>
  <c r="N8" i="89" s="1"/>
  <c r="M167" i="89"/>
  <c r="M8" i="89" s="1"/>
  <c r="K170" i="2" s="1"/>
  <c r="X170" i="2" s="1"/>
  <c r="L167" i="89"/>
  <c r="K167" i="89"/>
  <c r="J167" i="89"/>
  <c r="J8" i="89" s="1"/>
  <c r="I167" i="89"/>
  <c r="I8" i="89" s="1"/>
  <c r="G170" i="2" s="1"/>
  <c r="T170" i="2" s="1"/>
  <c r="H167" i="89"/>
  <c r="G167" i="89"/>
  <c r="G8" i="89" s="1"/>
  <c r="F167" i="89"/>
  <c r="E167" i="89"/>
  <c r="E8" i="89" s="1"/>
  <c r="C170" i="2" s="1"/>
  <c r="P170" i="2" s="1"/>
  <c r="D167" i="89"/>
  <c r="D8" i="89" s="1"/>
  <c r="O160" i="89"/>
  <c r="O40" i="89" s="1"/>
  <c r="N160" i="89"/>
  <c r="N40" i="89" s="1"/>
  <c r="L480" i="3" s="1"/>
  <c r="M160" i="89"/>
  <c r="M40" i="89" s="1"/>
  <c r="K480" i="3" s="1"/>
  <c r="L160" i="89"/>
  <c r="K160" i="89"/>
  <c r="K40" i="89" s="1"/>
  <c r="J160" i="89"/>
  <c r="J40" i="89" s="1"/>
  <c r="H480" i="3" s="1"/>
  <c r="I160" i="89"/>
  <c r="I40" i="89" s="1"/>
  <c r="G480" i="3" s="1"/>
  <c r="H160" i="89"/>
  <c r="G160" i="89"/>
  <c r="F160" i="89"/>
  <c r="F40" i="89" s="1"/>
  <c r="D480" i="3" s="1"/>
  <c r="E160" i="89"/>
  <c r="E40" i="89" s="1"/>
  <c r="C480" i="3" s="1"/>
  <c r="D160" i="89"/>
  <c r="D40" i="89" s="1"/>
  <c r="O159" i="89"/>
  <c r="N159" i="89"/>
  <c r="N34" i="89" s="1"/>
  <c r="L327" i="3" s="1"/>
  <c r="M159" i="89"/>
  <c r="M34" i="89" s="1"/>
  <c r="K327" i="3" s="1"/>
  <c r="L159" i="89"/>
  <c r="L34" i="89" s="1"/>
  <c r="K159" i="89"/>
  <c r="K34" i="89" s="1"/>
  <c r="J159" i="89"/>
  <c r="I159" i="89"/>
  <c r="I34" i="89" s="1"/>
  <c r="G327" i="3" s="1"/>
  <c r="H159" i="89"/>
  <c r="H34" i="89" s="1"/>
  <c r="G159" i="89"/>
  <c r="G34" i="89" s="1"/>
  <c r="F159" i="89"/>
  <c r="F34" i="89" s="1"/>
  <c r="D327" i="3" s="1"/>
  <c r="E159" i="89"/>
  <c r="E34" i="89" s="1"/>
  <c r="C327" i="3" s="1"/>
  <c r="D159" i="89"/>
  <c r="O137" i="89"/>
  <c r="O7" i="89" s="1"/>
  <c r="M169" i="2" s="1"/>
  <c r="Z169" i="2" s="1"/>
  <c r="N137" i="89"/>
  <c r="N7" i="89" s="1"/>
  <c r="M137" i="89"/>
  <c r="M7" i="89" s="1"/>
  <c r="K169" i="2" s="1"/>
  <c r="X169" i="2" s="1"/>
  <c r="L137" i="89"/>
  <c r="K137" i="89"/>
  <c r="J137" i="89"/>
  <c r="J7" i="89" s="1"/>
  <c r="I137" i="89"/>
  <c r="I7" i="89" s="1"/>
  <c r="G169" i="2" s="1"/>
  <c r="T169" i="2" s="1"/>
  <c r="H137" i="89"/>
  <c r="G137" i="89"/>
  <c r="F137" i="89"/>
  <c r="E137" i="89"/>
  <c r="E7" i="89" s="1"/>
  <c r="C169" i="2" s="1"/>
  <c r="P169" i="2" s="1"/>
  <c r="D137" i="89"/>
  <c r="D7" i="89" s="1"/>
  <c r="O130" i="89"/>
  <c r="O32" i="89" s="1"/>
  <c r="M307" i="3" s="1"/>
  <c r="N130" i="89"/>
  <c r="N32" i="89" s="1"/>
  <c r="M130" i="89"/>
  <c r="L130" i="89"/>
  <c r="K130" i="89"/>
  <c r="K32" i="89" s="1"/>
  <c r="J130" i="89"/>
  <c r="J32" i="89" s="1"/>
  <c r="I130" i="89"/>
  <c r="H130" i="89"/>
  <c r="G130" i="89"/>
  <c r="F130" i="89"/>
  <c r="F32" i="89" s="1"/>
  <c r="E130" i="89"/>
  <c r="D130" i="89"/>
  <c r="O129" i="89"/>
  <c r="O30" i="89" s="1"/>
  <c r="M306" i="3" s="1"/>
  <c r="N129" i="89"/>
  <c r="M129" i="89"/>
  <c r="M30" i="89" s="1"/>
  <c r="K306" i="3" s="1"/>
  <c r="L129" i="89"/>
  <c r="L30" i="89" s="1"/>
  <c r="J306" i="3" s="1"/>
  <c r="K129" i="89"/>
  <c r="J129" i="89"/>
  <c r="J30" i="89" s="1"/>
  <c r="I129" i="89"/>
  <c r="I30" i="89" s="1"/>
  <c r="G306" i="3" s="1"/>
  <c r="H129" i="89"/>
  <c r="G129" i="89"/>
  <c r="G30" i="89" s="1"/>
  <c r="F129" i="89"/>
  <c r="F30" i="89" s="1"/>
  <c r="D306" i="3" s="1"/>
  <c r="E129" i="89"/>
  <c r="E30" i="89" s="1"/>
  <c r="C306" i="3" s="1"/>
  <c r="D129" i="89"/>
  <c r="O128" i="89"/>
  <c r="O28" i="89" s="1"/>
  <c r="M305" i="3" s="1"/>
  <c r="N128" i="89"/>
  <c r="N28" i="89" s="1"/>
  <c r="M128" i="89"/>
  <c r="M28" i="89" s="1"/>
  <c r="K305" i="3" s="1"/>
  <c r="L128" i="89"/>
  <c r="L28" i="89" s="1"/>
  <c r="K128" i="89"/>
  <c r="K28" i="89" s="1"/>
  <c r="I305" i="3" s="1"/>
  <c r="J128" i="89"/>
  <c r="I128" i="89"/>
  <c r="I28" i="89" s="1"/>
  <c r="G305" i="3" s="1"/>
  <c r="H128" i="89"/>
  <c r="G128" i="89"/>
  <c r="G28" i="89" s="1"/>
  <c r="F128" i="89"/>
  <c r="F28" i="89" s="1"/>
  <c r="E128" i="89"/>
  <c r="E28" i="89" s="1"/>
  <c r="C305" i="3" s="1"/>
  <c r="D128" i="89"/>
  <c r="O118" i="89"/>
  <c r="N118" i="89"/>
  <c r="M118" i="89"/>
  <c r="L118" i="89"/>
  <c r="K118" i="89"/>
  <c r="J118" i="89"/>
  <c r="I118" i="89"/>
  <c r="H118" i="89"/>
  <c r="G118" i="89"/>
  <c r="F118" i="89"/>
  <c r="E118" i="89"/>
  <c r="D118" i="89"/>
  <c r="O112" i="89"/>
  <c r="N112" i="89"/>
  <c r="M112" i="89"/>
  <c r="L112" i="89"/>
  <c r="K112" i="89"/>
  <c r="J112" i="89"/>
  <c r="I112" i="89"/>
  <c r="H112" i="89"/>
  <c r="G112" i="89"/>
  <c r="F112" i="89"/>
  <c r="E112" i="89"/>
  <c r="D112" i="89"/>
  <c r="O108" i="89"/>
  <c r="N108" i="89"/>
  <c r="M108" i="89"/>
  <c r="L108" i="89"/>
  <c r="K108" i="89"/>
  <c r="J108" i="89"/>
  <c r="I108" i="89"/>
  <c r="H108" i="89"/>
  <c r="G108" i="89"/>
  <c r="F108" i="89"/>
  <c r="E108" i="89"/>
  <c r="D108" i="89"/>
  <c r="O105" i="89"/>
  <c r="N105" i="89"/>
  <c r="M105" i="89"/>
  <c r="L105" i="89"/>
  <c r="K105" i="89"/>
  <c r="J105" i="89"/>
  <c r="I105" i="89"/>
  <c r="H105" i="89"/>
  <c r="G105" i="89"/>
  <c r="F105" i="89"/>
  <c r="E105" i="89"/>
  <c r="D105" i="89"/>
  <c r="O100" i="89"/>
  <c r="N100" i="89"/>
  <c r="M100" i="89"/>
  <c r="L100" i="89"/>
  <c r="K100" i="89"/>
  <c r="J100" i="89"/>
  <c r="I100" i="89"/>
  <c r="H100" i="89"/>
  <c r="G100" i="89"/>
  <c r="F100" i="89"/>
  <c r="E100" i="89"/>
  <c r="D100" i="89"/>
  <c r="O90" i="89"/>
  <c r="O6" i="89" s="1"/>
  <c r="N90" i="89"/>
  <c r="N6" i="89" s="1"/>
  <c r="M90" i="89"/>
  <c r="M6" i="89" s="1"/>
  <c r="K168" i="2" s="1"/>
  <c r="X168" i="2" s="1"/>
  <c r="L90" i="89"/>
  <c r="K90" i="89"/>
  <c r="K6" i="89" s="1"/>
  <c r="J90" i="89"/>
  <c r="J6" i="89" s="1"/>
  <c r="I90" i="89"/>
  <c r="I6" i="89" s="1"/>
  <c r="G168" i="2" s="1"/>
  <c r="T168" i="2" s="1"/>
  <c r="H90" i="89"/>
  <c r="G90" i="89"/>
  <c r="F90" i="89"/>
  <c r="E90" i="89"/>
  <c r="E6" i="89" s="1"/>
  <c r="C168" i="2" s="1"/>
  <c r="P168" i="2" s="1"/>
  <c r="D90" i="89"/>
  <c r="D6" i="89" s="1"/>
  <c r="D3" i="89" s="1"/>
  <c r="O82" i="89"/>
  <c r="O24" i="89" s="1"/>
  <c r="O26" i="89" s="1"/>
  <c r="M239" i="3" s="1"/>
  <c r="N82" i="89"/>
  <c r="M82" i="89"/>
  <c r="M24" i="89" s="1"/>
  <c r="M26" i="89" s="1"/>
  <c r="K239" i="3" s="1"/>
  <c r="L82" i="89"/>
  <c r="K82" i="89"/>
  <c r="K24" i="89" s="1"/>
  <c r="K26" i="89" s="1"/>
  <c r="I239" i="3" s="1"/>
  <c r="J82" i="89"/>
  <c r="J24" i="89" s="1"/>
  <c r="I82" i="89"/>
  <c r="I24" i="89" s="1"/>
  <c r="I26" i="89" s="1"/>
  <c r="G239" i="3" s="1"/>
  <c r="H82" i="89"/>
  <c r="G82" i="89"/>
  <c r="G24" i="89" s="1"/>
  <c r="G26" i="89" s="1"/>
  <c r="E239" i="3" s="1"/>
  <c r="F82" i="89"/>
  <c r="F24" i="89" s="1"/>
  <c r="E82" i="89"/>
  <c r="E24" i="89" s="1"/>
  <c r="E26" i="89" s="1"/>
  <c r="D82" i="89"/>
  <c r="O81" i="89"/>
  <c r="O18" i="89" s="1"/>
  <c r="N81" i="89"/>
  <c r="N18" i="89" s="1"/>
  <c r="N11" i="65" s="1"/>
  <c r="M81" i="89"/>
  <c r="M18" i="89" s="1"/>
  <c r="M11" i="65" s="1"/>
  <c r="L81" i="89"/>
  <c r="K81" i="89"/>
  <c r="J81" i="89"/>
  <c r="J18" i="89" s="1"/>
  <c r="J11" i="65" s="1"/>
  <c r="I81" i="89"/>
  <c r="I18" i="89" s="1"/>
  <c r="I11" i="65" s="1"/>
  <c r="H81" i="89"/>
  <c r="G81" i="89"/>
  <c r="F81" i="89"/>
  <c r="F18" i="89" s="1"/>
  <c r="F11" i="65" s="1"/>
  <c r="F13" i="65" s="1"/>
  <c r="D220" i="3" s="1"/>
  <c r="E81" i="89"/>
  <c r="E18" i="89" s="1"/>
  <c r="E11" i="65" s="1"/>
  <c r="D81" i="89"/>
  <c r="D18" i="89" s="1"/>
  <c r="D11" i="65" s="1"/>
  <c r="O80" i="89"/>
  <c r="O16" i="89" s="1"/>
  <c r="N80" i="89"/>
  <c r="M80" i="89"/>
  <c r="M16" i="89" s="1"/>
  <c r="K183" i="3" s="1"/>
  <c r="L80" i="89"/>
  <c r="K80" i="89"/>
  <c r="K16" i="89" s="1"/>
  <c r="J80" i="89"/>
  <c r="J16" i="89" s="1"/>
  <c r="H183" i="3" s="1"/>
  <c r="I80" i="89"/>
  <c r="I16" i="89" s="1"/>
  <c r="G183" i="3" s="1"/>
  <c r="H80" i="89"/>
  <c r="G80" i="89"/>
  <c r="G16" i="89" s="1"/>
  <c r="F80" i="89"/>
  <c r="F16" i="89" s="1"/>
  <c r="D183" i="3" s="1"/>
  <c r="E80" i="89"/>
  <c r="E16" i="89" s="1"/>
  <c r="C183" i="3" s="1"/>
  <c r="D80" i="89"/>
  <c r="O79" i="89"/>
  <c r="N79" i="89"/>
  <c r="M79" i="89"/>
  <c r="M14" i="89" s="1"/>
  <c r="L79" i="89"/>
  <c r="L14" i="89" s="1"/>
  <c r="K79" i="89"/>
  <c r="K14" i="89" s="1"/>
  <c r="J79" i="89"/>
  <c r="J14" i="89" s="1"/>
  <c r="I79" i="89"/>
  <c r="I14" i="89" s="1"/>
  <c r="H79" i="89"/>
  <c r="G79" i="89"/>
  <c r="G14" i="89" s="1"/>
  <c r="F79" i="89"/>
  <c r="F14" i="89" s="1"/>
  <c r="E79" i="89"/>
  <c r="E14" i="89" s="1"/>
  <c r="D79" i="89"/>
  <c r="O59" i="89"/>
  <c r="N59" i="89"/>
  <c r="M59" i="89"/>
  <c r="L59" i="89"/>
  <c r="K59" i="89"/>
  <c r="J59" i="89"/>
  <c r="I59" i="89"/>
  <c r="H59" i="89"/>
  <c r="G59" i="89"/>
  <c r="F59" i="89"/>
  <c r="E59" i="89"/>
  <c r="D59" i="89"/>
  <c r="O53" i="89"/>
  <c r="O5" i="89" s="1"/>
  <c r="M167" i="2" s="1"/>
  <c r="N53" i="89"/>
  <c r="N5" i="89" s="1"/>
  <c r="M53" i="89"/>
  <c r="M5" i="89" s="1"/>
  <c r="L53" i="89"/>
  <c r="K53" i="89"/>
  <c r="K5" i="89" s="1"/>
  <c r="J53" i="89"/>
  <c r="J5" i="89" s="1"/>
  <c r="J3" i="89" s="1"/>
  <c r="I53" i="89"/>
  <c r="I5" i="89" s="1"/>
  <c r="H53" i="89"/>
  <c r="G53" i="89"/>
  <c r="F53" i="89"/>
  <c r="F5" i="89" s="1"/>
  <c r="E53" i="89"/>
  <c r="E5" i="89" s="1"/>
  <c r="D53" i="89"/>
  <c r="O42" i="89"/>
  <c r="K42" i="89"/>
  <c r="J42" i="89"/>
  <c r="H494" i="3" s="1"/>
  <c r="G42" i="89"/>
  <c r="D42" i="89"/>
  <c r="L40" i="89"/>
  <c r="J480" i="3" s="1"/>
  <c r="H40" i="89"/>
  <c r="G40" i="89"/>
  <c r="O38" i="89"/>
  <c r="L38" i="89"/>
  <c r="K38" i="89"/>
  <c r="H38" i="89"/>
  <c r="G38" i="89"/>
  <c r="D38" i="89"/>
  <c r="K36" i="89"/>
  <c r="D36" i="89"/>
  <c r="O34" i="89"/>
  <c r="J34" i="89"/>
  <c r="H327" i="3" s="1"/>
  <c r="D34" i="89"/>
  <c r="M32" i="89"/>
  <c r="K307" i="3" s="1"/>
  <c r="L32" i="89"/>
  <c r="I32" i="89"/>
  <c r="G307" i="3" s="1"/>
  <c r="H32" i="89"/>
  <c r="G32" i="89"/>
  <c r="E32" i="89"/>
  <c r="C307" i="3" s="1"/>
  <c r="D32" i="89"/>
  <c r="N30" i="89"/>
  <c r="K30" i="89"/>
  <c r="H30" i="89"/>
  <c r="F306" i="3" s="1"/>
  <c r="D30" i="89"/>
  <c r="B306" i="3" s="1"/>
  <c r="J28" i="89"/>
  <c r="H28" i="89"/>
  <c r="D28" i="89"/>
  <c r="J26" i="89"/>
  <c r="H239" i="3" s="1"/>
  <c r="N25" i="89"/>
  <c r="H25" i="89"/>
  <c r="N24" i="89"/>
  <c r="N26" i="89" s="1"/>
  <c r="L239" i="3" s="1"/>
  <c r="L24" i="89"/>
  <c r="H24" i="89"/>
  <c r="D24" i="89"/>
  <c r="D26" i="89" s="1"/>
  <c r="B239" i="3" s="1"/>
  <c r="O22" i="89"/>
  <c r="K22" i="89"/>
  <c r="G22" i="89"/>
  <c r="F22" i="89"/>
  <c r="D22" i="89"/>
  <c r="L18" i="89"/>
  <c r="K18" i="89"/>
  <c r="H18" i="89"/>
  <c r="G18" i="89"/>
  <c r="N16" i="89"/>
  <c r="L183" i="3" s="1"/>
  <c r="L16" i="89"/>
  <c r="H16" i="89"/>
  <c r="D16" i="89"/>
  <c r="O14" i="89"/>
  <c r="N14" i="89"/>
  <c r="H14" i="89"/>
  <c r="D14" i="89"/>
  <c r="L9" i="89"/>
  <c r="J171" i="2" s="1"/>
  <c r="W171" i="2" s="1"/>
  <c r="K9" i="89"/>
  <c r="H9" i="89"/>
  <c r="G9" i="89"/>
  <c r="L8" i="89"/>
  <c r="J170" i="2" s="1"/>
  <c r="W170" i="2" s="1"/>
  <c r="K8" i="89"/>
  <c r="I170" i="2" s="1"/>
  <c r="V170" i="2" s="1"/>
  <c r="H8" i="89"/>
  <c r="F8" i="89"/>
  <c r="L7" i="89"/>
  <c r="K7" i="89"/>
  <c r="H7" i="89"/>
  <c r="G7" i="89"/>
  <c r="G3" i="89" s="1"/>
  <c r="F7" i="89"/>
  <c r="D169" i="2" s="1"/>
  <c r="Q169" i="2" s="1"/>
  <c r="L6" i="89"/>
  <c r="H6" i="89"/>
  <c r="G6" i="89"/>
  <c r="F6" i="89"/>
  <c r="L5" i="89"/>
  <c r="H5" i="89"/>
  <c r="G5" i="89"/>
  <c r="D5" i="89"/>
  <c r="H3" i="89"/>
  <c r="H12" i="89" s="1"/>
  <c r="O38" i="88"/>
  <c r="N38" i="88"/>
  <c r="M38" i="88"/>
  <c r="L38" i="88"/>
  <c r="K38" i="88"/>
  <c r="J38" i="88"/>
  <c r="I38" i="88"/>
  <c r="H38" i="88"/>
  <c r="G38" i="88"/>
  <c r="F38" i="88"/>
  <c r="E38" i="88"/>
  <c r="D38" i="88"/>
  <c r="I15" i="88"/>
  <c r="E15" i="88"/>
  <c r="L13" i="88"/>
  <c r="O9" i="88"/>
  <c r="M356" i="3" s="1"/>
  <c r="N9" i="88"/>
  <c r="M9" i="88"/>
  <c r="L9" i="88"/>
  <c r="K9" i="88"/>
  <c r="I356" i="3" s="1"/>
  <c r="J9" i="88"/>
  <c r="I9" i="88"/>
  <c r="H9" i="88"/>
  <c r="G9" i="88"/>
  <c r="E356" i="3" s="1"/>
  <c r="F9" i="88"/>
  <c r="E9" i="88"/>
  <c r="D9" i="88"/>
  <c r="O7" i="88"/>
  <c r="O13" i="88" s="1"/>
  <c r="N7" i="88"/>
  <c r="N11" i="88" s="1"/>
  <c r="M7" i="88"/>
  <c r="M11" i="88" s="1"/>
  <c r="L7" i="88"/>
  <c r="L15" i="88" s="1"/>
  <c r="K7" i="88"/>
  <c r="K13" i="88" s="1"/>
  <c r="J7" i="88"/>
  <c r="J11" i="88" s="1"/>
  <c r="I7" i="88"/>
  <c r="I11" i="88" s="1"/>
  <c r="H7" i="88"/>
  <c r="H15" i="88" s="1"/>
  <c r="G7" i="88"/>
  <c r="G13" i="88" s="1"/>
  <c r="F7" i="88"/>
  <c r="F11" i="88" s="1"/>
  <c r="E7" i="88"/>
  <c r="E11" i="88" s="1"/>
  <c r="D7" i="88"/>
  <c r="D15" i="88" s="1"/>
  <c r="O3" i="88"/>
  <c r="O5" i="88" s="1"/>
  <c r="N3" i="88"/>
  <c r="L147" i="2" s="1"/>
  <c r="Y147" i="2" s="1"/>
  <c r="M3" i="88"/>
  <c r="M5" i="88" s="1"/>
  <c r="L3" i="88"/>
  <c r="L5" i="88" s="1"/>
  <c r="K3" i="88"/>
  <c r="K5" i="88" s="1"/>
  <c r="J3" i="88"/>
  <c r="H147" i="2" s="1"/>
  <c r="U147" i="2" s="1"/>
  <c r="I3" i="88"/>
  <c r="I5" i="88" s="1"/>
  <c r="H3" i="88"/>
  <c r="H5" i="88" s="1"/>
  <c r="G3" i="88"/>
  <c r="G5" i="88" s="1"/>
  <c r="F3" i="88"/>
  <c r="D147" i="2" s="1"/>
  <c r="Q147" i="2" s="1"/>
  <c r="E3" i="88"/>
  <c r="E5" i="88" s="1"/>
  <c r="D3" i="88"/>
  <c r="D5" i="88" s="1"/>
  <c r="O30" i="86"/>
  <c r="N30" i="86"/>
  <c r="M30" i="86"/>
  <c r="L30" i="86"/>
  <c r="K30" i="86"/>
  <c r="J30" i="86"/>
  <c r="I30" i="86"/>
  <c r="H30" i="86"/>
  <c r="G30" i="86"/>
  <c r="F30" i="86"/>
  <c r="E30" i="86"/>
  <c r="D30" i="86"/>
  <c r="O22" i="86"/>
  <c r="N22" i="86"/>
  <c r="M22" i="86"/>
  <c r="L22" i="86"/>
  <c r="K22" i="86"/>
  <c r="J22" i="86"/>
  <c r="I22" i="86"/>
  <c r="H22" i="86"/>
  <c r="G22" i="86"/>
  <c r="F22" i="86"/>
  <c r="E22" i="86"/>
  <c r="D22" i="86"/>
  <c r="N15" i="86"/>
  <c r="M15" i="86"/>
  <c r="J15" i="86"/>
  <c r="I15" i="86"/>
  <c r="F15" i="86"/>
  <c r="E15" i="86"/>
  <c r="N13" i="86"/>
  <c r="M13" i="86"/>
  <c r="J13" i="86"/>
  <c r="I13" i="86"/>
  <c r="F13" i="86"/>
  <c r="E13" i="86"/>
  <c r="L11" i="86"/>
  <c r="O9" i="86"/>
  <c r="N9" i="86"/>
  <c r="M9" i="86"/>
  <c r="L9" i="86"/>
  <c r="K9" i="86"/>
  <c r="J9" i="86"/>
  <c r="I9" i="86"/>
  <c r="H9" i="86"/>
  <c r="G9" i="86"/>
  <c r="F9" i="86"/>
  <c r="E9" i="86"/>
  <c r="D9" i="86"/>
  <c r="O7" i="86"/>
  <c r="O15" i="86" s="1"/>
  <c r="N7" i="86"/>
  <c r="N11" i="86" s="1"/>
  <c r="M7" i="86"/>
  <c r="M11" i="86" s="1"/>
  <c r="L7" i="86"/>
  <c r="K7" i="86"/>
  <c r="J7" i="86"/>
  <c r="J11" i="86" s="1"/>
  <c r="I7" i="86"/>
  <c r="I11" i="86" s="1"/>
  <c r="H7" i="86"/>
  <c r="G7" i="86"/>
  <c r="G11" i="86" s="1"/>
  <c r="F7" i="86"/>
  <c r="F11" i="86" s="1"/>
  <c r="E7" i="86"/>
  <c r="E11" i="86" s="1"/>
  <c r="D7" i="86"/>
  <c r="N5" i="86"/>
  <c r="G5" i="86"/>
  <c r="F5" i="86"/>
  <c r="O3" i="86"/>
  <c r="O5" i="86" s="1"/>
  <c r="N3" i="86"/>
  <c r="M3" i="86"/>
  <c r="M5" i="86" s="1"/>
  <c r="L3" i="86"/>
  <c r="L5" i="86" s="1"/>
  <c r="K3" i="86"/>
  <c r="K5" i="86" s="1"/>
  <c r="J3" i="86"/>
  <c r="J5" i="86" s="1"/>
  <c r="I3" i="86"/>
  <c r="I5" i="86" s="1"/>
  <c r="H3" i="86"/>
  <c r="H5" i="86" s="1"/>
  <c r="G3" i="86"/>
  <c r="F3" i="86"/>
  <c r="E3" i="86"/>
  <c r="E5" i="86" s="1"/>
  <c r="D3" i="86"/>
  <c r="D5" i="86" s="1"/>
  <c r="L458" i="3"/>
  <c r="H458" i="3"/>
  <c r="F458" i="3"/>
  <c r="D458" i="3"/>
  <c r="B458" i="3"/>
  <c r="O15" i="85"/>
  <c r="N11" i="85"/>
  <c r="M11" i="85"/>
  <c r="L15" i="85"/>
  <c r="K13" i="85"/>
  <c r="J11" i="85"/>
  <c r="I11" i="85"/>
  <c r="H15" i="85"/>
  <c r="G13" i="85"/>
  <c r="F11" i="85"/>
  <c r="E11" i="85"/>
  <c r="D15" i="85"/>
  <c r="O5" i="85"/>
  <c r="O365" i="87"/>
  <c r="N365" i="87"/>
  <c r="N53" i="87" s="1"/>
  <c r="M365" i="87"/>
  <c r="M53" i="87" s="1"/>
  <c r="L365" i="87"/>
  <c r="K365" i="87"/>
  <c r="J365" i="87"/>
  <c r="J53" i="87" s="1"/>
  <c r="I365" i="87"/>
  <c r="I53" i="87" s="1"/>
  <c r="H365" i="87"/>
  <c r="H53" i="87" s="1"/>
  <c r="G365" i="87"/>
  <c r="G53" i="87" s="1"/>
  <c r="F365" i="87"/>
  <c r="F53" i="87" s="1"/>
  <c r="E365" i="87"/>
  <c r="E53" i="87" s="1"/>
  <c r="D365" i="87"/>
  <c r="O353" i="87"/>
  <c r="O15" i="87" s="1"/>
  <c r="M304" i="2" s="1"/>
  <c r="Z304" i="2" s="1"/>
  <c r="N353" i="87"/>
  <c r="N15" i="87" s="1"/>
  <c r="L304" i="2" s="1"/>
  <c r="Y304" i="2" s="1"/>
  <c r="M353" i="87"/>
  <c r="L353" i="87"/>
  <c r="K353" i="87"/>
  <c r="J353" i="87"/>
  <c r="J15" i="87" s="1"/>
  <c r="H304" i="2" s="1"/>
  <c r="U304" i="2" s="1"/>
  <c r="I353" i="87"/>
  <c r="I15" i="87" s="1"/>
  <c r="H353" i="87"/>
  <c r="G353" i="87"/>
  <c r="F353" i="87"/>
  <c r="F15" i="87" s="1"/>
  <c r="D304" i="2" s="1"/>
  <c r="Q304" i="2" s="1"/>
  <c r="E353" i="87"/>
  <c r="E15" i="87" s="1"/>
  <c r="D353" i="87"/>
  <c r="D15" i="87" s="1"/>
  <c r="B304" i="2" s="1"/>
  <c r="O304" i="2" s="1"/>
  <c r="O346" i="87"/>
  <c r="O44" i="87" s="1"/>
  <c r="M427" i="3" s="1"/>
  <c r="N346" i="87"/>
  <c r="N44" i="87" s="1"/>
  <c r="L427" i="3" s="1"/>
  <c r="M346" i="87"/>
  <c r="M44" i="87" s="1"/>
  <c r="K427" i="3" s="1"/>
  <c r="L346" i="87"/>
  <c r="L44" i="87" s="1"/>
  <c r="J427" i="3" s="1"/>
  <c r="K346" i="87"/>
  <c r="K44" i="87" s="1"/>
  <c r="I427" i="3" s="1"/>
  <c r="J346" i="87"/>
  <c r="J44" i="87" s="1"/>
  <c r="H427" i="3" s="1"/>
  <c r="I346" i="87"/>
  <c r="H346" i="87"/>
  <c r="G346" i="87"/>
  <c r="F346" i="87"/>
  <c r="F44" i="87" s="1"/>
  <c r="D427" i="3" s="1"/>
  <c r="E346" i="87"/>
  <c r="E44" i="87" s="1"/>
  <c r="D346" i="87"/>
  <c r="O345" i="87"/>
  <c r="O31" i="87" s="1"/>
  <c r="N345" i="87"/>
  <c r="N31" i="87" s="1"/>
  <c r="M345" i="87"/>
  <c r="M31" i="87" s="1"/>
  <c r="L345" i="87"/>
  <c r="L31" i="87" s="1"/>
  <c r="K345" i="87"/>
  <c r="K31" i="87" s="1"/>
  <c r="J345" i="87"/>
  <c r="J31" i="87" s="1"/>
  <c r="I345" i="87"/>
  <c r="H345" i="87"/>
  <c r="G345" i="87"/>
  <c r="F345" i="87"/>
  <c r="F31" i="87" s="1"/>
  <c r="E345" i="87"/>
  <c r="E31" i="87" s="1"/>
  <c r="D345" i="87"/>
  <c r="O314" i="87"/>
  <c r="O14" i="87" s="1"/>
  <c r="M303" i="2" s="1"/>
  <c r="Z303" i="2" s="1"/>
  <c r="N314" i="87"/>
  <c r="N14" i="87" s="1"/>
  <c r="L303" i="2" s="1"/>
  <c r="Y303" i="2" s="1"/>
  <c r="M314" i="87"/>
  <c r="M14" i="87" s="1"/>
  <c r="L314" i="87"/>
  <c r="K314" i="87"/>
  <c r="K14" i="87" s="1"/>
  <c r="I303" i="2" s="1"/>
  <c r="V303" i="2" s="1"/>
  <c r="J314" i="87"/>
  <c r="J14" i="87" s="1"/>
  <c r="H303" i="2" s="1"/>
  <c r="U303" i="2" s="1"/>
  <c r="I314" i="87"/>
  <c r="H314" i="87"/>
  <c r="H14" i="87" s="1"/>
  <c r="F303" i="2" s="1"/>
  <c r="S303" i="2" s="1"/>
  <c r="G314" i="87"/>
  <c r="G14" i="87" s="1"/>
  <c r="E303" i="2" s="1"/>
  <c r="R303" i="2" s="1"/>
  <c r="F314" i="87"/>
  <c r="F14" i="87" s="1"/>
  <c r="D303" i="2" s="1"/>
  <c r="Q303" i="2" s="1"/>
  <c r="E314" i="87"/>
  <c r="E14" i="87" s="1"/>
  <c r="D314" i="87"/>
  <c r="D14" i="87" s="1"/>
  <c r="B303" i="2" s="1"/>
  <c r="O303" i="2" s="1"/>
  <c r="O306" i="87"/>
  <c r="O20" i="87" s="1"/>
  <c r="N306" i="87"/>
  <c r="N20" i="87" s="1"/>
  <c r="M306" i="87"/>
  <c r="M20" i="87" s="1"/>
  <c r="L306" i="87"/>
  <c r="L20" i="87" s="1"/>
  <c r="K306" i="87"/>
  <c r="K20" i="87" s="1"/>
  <c r="J306" i="87"/>
  <c r="J20" i="87" s="1"/>
  <c r="I306" i="87"/>
  <c r="H306" i="87"/>
  <c r="H20" i="87" s="1"/>
  <c r="G306" i="87"/>
  <c r="G20" i="87" s="1"/>
  <c r="F306" i="87"/>
  <c r="F20" i="87" s="1"/>
  <c r="E306" i="87"/>
  <c r="E20" i="87" s="1"/>
  <c r="D306" i="87"/>
  <c r="D20" i="87" s="1"/>
  <c r="O284" i="87"/>
  <c r="O13" i="87" s="1"/>
  <c r="M302" i="2" s="1"/>
  <c r="Z302" i="2" s="1"/>
  <c r="N284" i="87"/>
  <c r="N13" i="87" s="1"/>
  <c r="L302" i="2" s="1"/>
  <c r="Y302" i="2" s="1"/>
  <c r="M284" i="87"/>
  <c r="L284" i="87"/>
  <c r="L13" i="87" s="1"/>
  <c r="K284" i="87"/>
  <c r="K13" i="87" s="1"/>
  <c r="I302" i="2" s="1"/>
  <c r="V302" i="2" s="1"/>
  <c r="J284" i="87"/>
  <c r="J13" i="87" s="1"/>
  <c r="H302" i="2" s="1"/>
  <c r="U302" i="2" s="1"/>
  <c r="I284" i="87"/>
  <c r="I13" i="87" s="1"/>
  <c r="H284" i="87"/>
  <c r="H13" i="87" s="1"/>
  <c r="G284" i="87"/>
  <c r="G13" i="87" s="1"/>
  <c r="F284" i="87"/>
  <c r="F13" i="87" s="1"/>
  <c r="D302" i="2" s="1"/>
  <c r="Q302" i="2" s="1"/>
  <c r="E284" i="87"/>
  <c r="E13" i="87" s="1"/>
  <c r="C302" i="2" s="1"/>
  <c r="P302" i="2" s="1"/>
  <c r="D284" i="87"/>
  <c r="D13" i="87" s="1"/>
  <c r="O277" i="87"/>
  <c r="O49" i="87" s="1"/>
  <c r="N277" i="87"/>
  <c r="N49" i="87" s="1"/>
  <c r="M277" i="87"/>
  <c r="M49" i="87" s="1"/>
  <c r="L277" i="87"/>
  <c r="L49" i="87" s="1"/>
  <c r="K277" i="87"/>
  <c r="K49" i="87" s="1"/>
  <c r="J277" i="87"/>
  <c r="J49" i="87" s="1"/>
  <c r="I277" i="87"/>
  <c r="H277" i="87"/>
  <c r="H49" i="87" s="1"/>
  <c r="G277" i="87"/>
  <c r="G49" i="87" s="1"/>
  <c r="F277" i="87"/>
  <c r="F49" i="87" s="1"/>
  <c r="E277" i="87"/>
  <c r="E49" i="87" s="1"/>
  <c r="D277" i="87"/>
  <c r="O261" i="87"/>
  <c r="O12" i="87" s="1"/>
  <c r="M301" i="2" s="1"/>
  <c r="Z301" i="2" s="1"/>
  <c r="N261" i="87"/>
  <c r="N12" i="87" s="1"/>
  <c r="L301" i="2" s="1"/>
  <c r="Y301" i="2" s="1"/>
  <c r="M261" i="87"/>
  <c r="M12" i="87" s="1"/>
  <c r="K301" i="2" s="1"/>
  <c r="X301" i="2" s="1"/>
  <c r="L261" i="87"/>
  <c r="L12" i="87" s="1"/>
  <c r="J301" i="2" s="1"/>
  <c r="W301" i="2" s="1"/>
  <c r="K261" i="87"/>
  <c r="K12" i="87" s="1"/>
  <c r="I301" i="2" s="1"/>
  <c r="V301" i="2" s="1"/>
  <c r="J261" i="87"/>
  <c r="J12" i="87" s="1"/>
  <c r="H301" i="2" s="1"/>
  <c r="U301" i="2" s="1"/>
  <c r="I261" i="87"/>
  <c r="H261" i="87"/>
  <c r="G261" i="87"/>
  <c r="G12" i="87" s="1"/>
  <c r="E301" i="2" s="1"/>
  <c r="R301" i="2" s="1"/>
  <c r="F261" i="87"/>
  <c r="F12" i="87" s="1"/>
  <c r="D301" i="2" s="1"/>
  <c r="Q301" i="2" s="1"/>
  <c r="E261" i="87"/>
  <c r="E12" i="87" s="1"/>
  <c r="D261" i="87"/>
  <c r="O254" i="87"/>
  <c r="O46" i="87" s="1"/>
  <c r="M433" i="3" s="1"/>
  <c r="N254" i="87"/>
  <c r="N46" i="87" s="1"/>
  <c r="L433" i="3" s="1"/>
  <c r="M254" i="87"/>
  <c r="M46" i="87" s="1"/>
  <c r="K433" i="3" s="1"/>
  <c r="L254" i="87"/>
  <c r="L46" i="87" s="1"/>
  <c r="J433" i="3" s="1"/>
  <c r="K254" i="87"/>
  <c r="K46" i="87" s="1"/>
  <c r="I433" i="3" s="1"/>
  <c r="J254" i="87"/>
  <c r="J46" i="87" s="1"/>
  <c r="H433" i="3" s="1"/>
  <c r="I254" i="87"/>
  <c r="I46" i="87" s="1"/>
  <c r="G433" i="3" s="1"/>
  <c r="H254" i="87"/>
  <c r="G254" i="87"/>
  <c r="G46" i="87" s="1"/>
  <c r="E433" i="3" s="1"/>
  <c r="F254" i="87"/>
  <c r="F46" i="87" s="1"/>
  <c r="D433" i="3" s="1"/>
  <c r="E254" i="87"/>
  <c r="D254" i="87"/>
  <c r="D46" i="87" s="1"/>
  <c r="B433" i="3" s="1"/>
  <c r="O239" i="87"/>
  <c r="O11" i="87" s="1"/>
  <c r="M300" i="2" s="1"/>
  <c r="Z300" i="2" s="1"/>
  <c r="N239" i="87"/>
  <c r="N11" i="87" s="1"/>
  <c r="L300" i="2" s="1"/>
  <c r="Y300" i="2" s="1"/>
  <c r="M239" i="87"/>
  <c r="M11" i="87" s="1"/>
  <c r="K300" i="2" s="1"/>
  <c r="X300" i="2" s="1"/>
  <c r="L239" i="87"/>
  <c r="L11" i="87" s="1"/>
  <c r="J300" i="2" s="1"/>
  <c r="W300" i="2" s="1"/>
  <c r="K239" i="87"/>
  <c r="K11" i="87" s="1"/>
  <c r="I300" i="2" s="1"/>
  <c r="V300" i="2" s="1"/>
  <c r="J239" i="87"/>
  <c r="J11" i="87" s="1"/>
  <c r="H300" i="2" s="1"/>
  <c r="U300" i="2" s="1"/>
  <c r="I239" i="87"/>
  <c r="I11" i="87" s="1"/>
  <c r="H239" i="87"/>
  <c r="G239" i="87"/>
  <c r="G11" i="87" s="1"/>
  <c r="E300" i="2" s="1"/>
  <c r="R300" i="2" s="1"/>
  <c r="F239" i="87"/>
  <c r="F11" i="87" s="1"/>
  <c r="D300" i="2" s="1"/>
  <c r="Q300" i="2" s="1"/>
  <c r="E239" i="87"/>
  <c r="D239" i="87"/>
  <c r="D11" i="87" s="1"/>
  <c r="B300" i="2" s="1"/>
  <c r="O300" i="2" s="1"/>
  <c r="O232" i="87"/>
  <c r="O41" i="87" s="1"/>
  <c r="N232" i="87"/>
  <c r="N41" i="87" s="1"/>
  <c r="M232" i="87"/>
  <c r="M41" i="87" s="1"/>
  <c r="L232" i="87"/>
  <c r="L41" i="87" s="1"/>
  <c r="K232" i="87"/>
  <c r="K41" i="87" s="1"/>
  <c r="J232" i="87"/>
  <c r="J41" i="87" s="1"/>
  <c r="I232" i="87"/>
  <c r="H232" i="87"/>
  <c r="H41" i="87" s="1"/>
  <c r="G232" i="87"/>
  <c r="G41" i="87" s="1"/>
  <c r="F232" i="87"/>
  <c r="F41" i="87" s="1"/>
  <c r="E232" i="87"/>
  <c r="D232" i="87"/>
  <c r="D41" i="87" s="1"/>
  <c r="O216" i="87"/>
  <c r="O10" i="87" s="1"/>
  <c r="M299" i="2" s="1"/>
  <c r="Z299" i="2" s="1"/>
  <c r="N216" i="87"/>
  <c r="N10" i="87" s="1"/>
  <c r="L299" i="2" s="1"/>
  <c r="Y299" i="2" s="1"/>
  <c r="M216" i="87"/>
  <c r="M10" i="87" s="1"/>
  <c r="K299" i="2" s="1"/>
  <c r="X299" i="2" s="1"/>
  <c r="L216" i="87"/>
  <c r="K216" i="87"/>
  <c r="K10" i="87" s="1"/>
  <c r="I299" i="2" s="1"/>
  <c r="V299" i="2" s="1"/>
  <c r="J216" i="87"/>
  <c r="J10" i="87" s="1"/>
  <c r="H299" i="2" s="1"/>
  <c r="U299" i="2" s="1"/>
  <c r="I216" i="87"/>
  <c r="I10" i="87" s="1"/>
  <c r="H216" i="87"/>
  <c r="H10" i="87" s="1"/>
  <c r="F299" i="2" s="1"/>
  <c r="S299" i="2" s="1"/>
  <c r="G216" i="87"/>
  <c r="G10" i="87" s="1"/>
  <c r="E299" i="2" s="1"/>
  <c r="R299" i="2" s="1"/>
  <c r="F216" i="87"/>
  <c r="F10" i="87" s="1"/>
  <c r="D299" i="2" s="1"/>
  <c r="Q299" i="2" s="1"/>
  <c r="E216" i="87"/>
  <c r="E10" i="87" s="1"/>
  <c r="D216" i="87"/>
  <c r="O209" i="87"/>
  <c r="O38" i="87" s="1"/>
  <c r="M367" i="3" s="1"/>
  <c r="N209" i="87"/>
  <c r="N38" i="87" s="1"/>
  <c r="L367" i="3" s="1"/>
  <c r="M209" i="87"/>
  <c r="M38" i="87" s="1"/>
  <c r="K367" i="3" s="1"/>
  <c r="L209" i="87"/>
  <c r="L38" i="87" s="1"/>
  <c r="J367" i="3" s="1"/>
  <c r="K209" i="87"/>
  <c r="K38" i="87" s="1"/>
  <c r="J209" i="87"/>
  <c r="J38" i="87" s="1"/>
  <c r="H367" i="3" s="1"/>
  <c r="I209" i="87"/>
  <c r="I38" i="87" s="1"/>
  <c r="G367" i="3" s="1"/>
  <c r="H209" i="87"/>
  <c r="G209" i="87"/>
  <c r="G38" i="87" s="1"/>
  <c r="E367" i="3" s="1"/>
  <c r="F209" i="87"/>
  <c r="F38" i="87" s="1"/>
  <c r="D367" i="3" s="1"/>
  <c r="E209" i="87"/>
  <c r="D209" i="87"/>
  <c r="D38" i="87" s="1"/>
  <c r="B367" i="3" s="1"/>
  <c r="O208" i="87"/>
  <c r="O25" i="87" s="1"/>
  <c r="N208" i="87"/>
  <c r="N25" i="87" s="1"/>
  <c r="M208" i="87"/>
  <c r="M25" i="87" s="1"/>
  <c r="L208" i="87"/>
  <c r="L25" i="87" s="1"/>
  <c r="K208" i="87"/>
  <c r="K25" i="87" s="1"/>
  <c r="J208" i="87"/>
  <c r="J25" i="87" s="1"/>
  <c r="I208" i="87"/>
  <c r="H208" i="87"/>
  <c r="G208" i="87"/>
  <c r="G25" i="87" s="1"/>
  <c r="F208" i="87"/>
  <c r="F25" i="87" s="1"/>
  <c r="E208" i="87"/>
  <c r="E25" i="87" s="1"/>
  <c r="D208" i="87"/>
  <c r="D25" i="87" s="1"/>
  <c r="O207" i="87"/>
  <c r="O19" i="87" s="1"/>
  <c r="N207" i="87"/>
  <c r="N19" i="87" s="1"/>
  <c r="N21" i="87" s="1"/>
  <c r="M207" i="87"/>
  <c r="L207" i="87"/>
  <c r="L19" i="87" s="1"/>
  <c r="K207" i="87"/>
  <c r="J207" i="87"/>
  <c r="J19" i="87" s="1"/>
  <c r="J21" i="87" s="1"/>
  <c r="I207" i="87"/>
  <c r="I19" i="87" s="1"/>
  <c r="H207" i="87"/>
  <c r="H19" i="87" s="1"/>
  <c r="G207" i="87"/>
  <c r="G19" i="87" s="1"/>
  <c r="G21" i="87" s="1"/>
  <c r="F207" i="87"/>
  <c r="F19" i="87" s="1"/>
  <c r="F21" i="87" s="1"/>
  <c r="E207" i="87"/>
  <c r="E19" i="87" s="1"/>
  <c r="D207" i="87"/>
  <c r="D19" i="87" s="1"/>
  <c r="O205" i="87"/>
  <c r="N205" i="87"/>
  <c r="M205" i="87"/>
  <c r="L205" i="87"/>
  <c r="K205" i="87"/>
  <c r="J205" i="87"/>
  <c r="I205" i="87"/>
  <c r="H205" i="87"/>
  <c r="G205" i="87"/>
  <c r="F205" i="87"/>
  <c r="E205" i="87"/>
  <c r="D205" i="87"/>
  <c r="O195" i="87"/>
  <c r="N195" i="87"/>
  <c r="M195" i="87"/>
  <c r="L195" i="87"/>
  <c r="K195" i="87"/>
  <c r="J195" i="87"/>
  <c r="I195" i="87"/>
  <c r="H195" i="87"/>
  <c r="G195" i="87"/>
  <c r="F195" i="87"/>
  <c r="E195" i="87"/>
  <c r="D195" i="87"/>
  <c r="O192" i="87"/>
  <c r="N192" i="87"/>
  <c r="M192" i="87"/>
  <c r="L192" i="87"/>
  <c r="K192" i="87"/>
  <c r="J192" i="87"/>
  <c r="I192" i="87"/>
  <c r="H192" i="87"/>
  <c r="G192" i="87"/>
  <c r="F192" i="87"/>
  <c r="E192" i="87"/>
  <c r="D192" i="87"/>
  <c r="O184" i="87"/>
  <c r="O9" i="87" s="1"/>
  <c r="M298" i="2" s="1"/>
  <c r="Z298" i="2" s="1"/>
  <c r="N184" i="87"/>
  <c r="N9" i="87" s="1"/>
  <c r="L298" i="2" s="1"/>
  <c r="Y298" i="2" s="1"/>
  <c r="M184" i="87"/>
  <c r="L184" i="87"/>
  <c r="L9" i="87" s="1"/>
  <c r="J298" i="2" s="1"/>
  <c r="W298" i="2" s="1"/>
  <c r="K184" i="87"/>
  <c r="K9" i="87" s="1"/>
  <c r="I298" i="2" s="1"/>
  <c r="V298" i="2" s="1"/>
  <c r="J184" i="87"/>
  <c r="J9" i="87" s="1"/>
  <c r="H298" i="2" s="1"/>
  <c r="U298" i="2" s="1"/>
  <c r="I184" i="87"/>
  <c r="I9" i="87" s="1"/>
  <c r="H184" i="87"/>
  <c r="H9" i="87" s="1"/>
  <c r="G184" i="87"/>
  <c r="G9" i="87" s="1"/>
  <c r="E298" i="2" s="1"/>
  <c r="R298" i="2" s="1"/>
  <c r="F184" i="87"/>
  <c r="F9" i="87" s="1"/>
  <c r="D298" i="2" s="1"/>
  <c r="Q298" i="2" s="1"/>
  <c r="E184" i="87"/>
  <c r="D184" i="87"/>
  <c r="O177" i="87"/>
  <c r="O35" i="87" s="1"/>
  <c r="N177" i="87"/>
  <c r="N35" i="87" s="1"/>
  <c r="M177" i="87"/>
  <c r="M35" i="87" s="1"/>
  <c r="L177" i="87"/>
  <c r="L35" i="87" s="1"/>
  <c r="K177" i="87"/>
  <c r="J177" i="87"/>
  <c r="J35" i="87" s="1"/>
  <c r="I177" i="87"/>
  <c r="H177" i="87"/>
  <c r="H35" i="87" s="1"/>
  <c r="G177" i="87"/>
  <c r="G35" i="87" s="1"/>
  <c r="F177" i="87"/>
  <c r="F35" i="87" s="1"/>
  <c r="E177" i="87"/>
  <c r="E35" i="87" s="1"/>
  <c r="D177" i="87"/>
  <c r="D35" i="87" s="1"/>
  <c r="O176" i="87"/>
  <c r="O24" i="87" s="1"/>
  <c r="N176" i="87"/>
  <c r="N24" i="87" s="1"/>
  <c r="M176" i="87"/>
  <c r="L176" i="87"/>
  <c r="K176" i="87"/>
  <c r="K24" i="87" s="1"/>
  <c r="J176" i="87"/>
  <c r="J24" i="87" s="1"/>
  <c r="I176" i="87"/>
  <c r="I24" i="87" s="1"/>
  <c r="H176" i="87"/>
  <c r="H24" i="87" s="1"/>
  <c r="G176" i="87"/>
  <c r="G24" i="87" s="1"/>
  <c r="F176" i="87"/>
  <c r="F24" i="87" s="1"/>
  <c r="E176" i="87"/>
  <c r="D176" i="87"/>
  <c r="O153" i="87"/>
  <c r="O8" i="87" s="1"/>
  <c r="M297" i="2" s="1"/>
  <c r="Z297" i="2" s="1"/>
  <c r="N153" i="87"/>
  <c r="N8" i="87" s="1"/>
  <c r="L297" i="2" s="1"/>
  <c r="Y297" i="2" s="1"/>
  <c r="M153" i="87"/>
  <c r="M8" i="87" s="1"/>
  <c r="L153" i="87"/>
  <c r="L8" i="87" s="1"/>
  <c r="K153" i="87"/>
  <c r="J153" i="87"/>
  <c r="J8" i="87" s="1"/>
  <c r="H297" i="2" s="1"/>
  <c r="U297" i="2" s="1"/>
  <c r="I153" i="87"/>
  <c r="I8" i="87" s="1"/>
  <c r="H153" i="87"/>
  <c r="H8" i="87" s="1"/>
  <c r="G153" i="87"/>
  <c r="G8" i="87" s="1"/>
  <c r="E297" i="2" s="1"/>
  <c r="R297" i="2" s="1"/>
  <c r="F153" i="87"/>
  <c r="F8" i="87" s="1"/>
  <c r="D297" i="2" s="1"/>
  <c r="Q297" i="2" s="1"/>
  <c r="E153" i="87"/>
  <c r="D153" i="87"/>
  <c r="D8" i="87" s="1"/>
  <c r="O146" i="87"/>
  <c r="O52" i="87" s="1"/>
  <c r="N146" i="87"/>
  <c r="N52" i="87" s="1"/>
  <c r="N54" i="87" s="1"/>
  <c r="L521" i="3" s="1"/>
  <c r="M146" i="87"/>
  <c r="L146" i="87"/>
  <c r="L52" i="87" s="1"/>
  <c r="K146" i="87"/>
  <c r="J146" i="87"/>
  <c r="J52" i="87" s="1"/>
  <c r="J54" i="87" s="1"/>
  <c r="H521" i="3" s="1"/>
  <c r="I146" i="87"/>
  <c r="H146" i="87"/>
  <c r="G146" i="87"/>
  <c r="F146" i="87"/>
  <c r="F52" i="87" s="1"/>
  <c r="F54" i="87" s="1"/>
  <c r="D521" i="3" s="1"/>
  <c r="E146" i="87"/>
  <c r="E52" i="87" s="1"/>
  <c r="E54" i="87" s="1"/>
  <c r="D146" i="87"/>
  <c r="D52" i="87" s="1"/>
  <c r="O145" i="87"/>
  <c r="O48" i="87" s="1"/>
  <c r="N145" i="87"/>
  <c r="N48" i="87" s="1"/>
  <c r="M145" i="87"/>
  <c r="L145" i="87"/>
  <c r="L48" i="87" s="1"/>
  <c r="K145" i="87"/>
  <c r="K48" i="87" s="1"/>
  <c r="K50" i="87" s="1"/>
  <c r="J145" i="87"/>
  <c r="J48" i="87" s="1"/>
  <c r="I145" i="87"/>
  <c r="I48" i="87" s="1"/>
  <c r="H145" i="87"/>
  <c r="G145" i="87"/>
  <c r="G48" i="87" s="1"/>
  <c r="G50" i="87" s="1"/>
  <c r="E457" i="3" s="1"/>
  <c r="F145" i="87"/>
  <c r="F48" i="87" s="1"/>
  <c r="F50" i="87" s="1"/>
  <c r="D457" i="3" s="1"/>
  <c r="E145" i="87"/>
  <c r="D145" i="87"/>
  <c r="D48" i="87" s="1"/>
  <c r="O144" i="87"/>
  <c r="O34" i="87" s="1"/>
  <c r="O36" i="87" s="1"/>
  <c r="M298" i="3" s="1"/>
  <c r="N144" i="87"/>
  <c r="N34" i="87" s="1"/>
  <c r="N36" i="87" s="1"/>
  <c r="L298" i="3" s="1"/>
  <c r="M144" i="87"/>
  <c r="M34" i="87" s="1"/>
  <c r="M36" i="87" s="1"/>
  <c r="K298" i="3" s="1"/>
  <c r="L144" i="87"/>
  <c r="K144" i="87"/>
  <c r="K34" i="87" s="1"/>
  <c r="J144" i="87"/>
  <c r="J34" i="87" s="1"/>
  <c r="J36" i="87" s="1"/>
  <c r="H298" i="3" s="1"/>
  <c r="I144" i="87"/>
  <c r="I34" i="87" s="1"/>
  <c r="H144" i="87"/>
  <c r="H34" i="87" s="1"/>
  <c r="G144" i="87"/>
  <c r="G34" i="87" s="1"/>
  <c r="F144" i="87"/>
  <c r="F34" i="87" s="1"/>
  <c r="F36" i="87" s="1"/>
  <c r="D298" i="3" s="1"/>
  <c r="E144" i="87"/>
  <c r="E34" i="87" s="1"/>
  <c r="D144" i="87"/>
  <c r="O143" i="87"/>
  <c r="N143" i="87"/>
  <c r="N30" i="87" s="1"/>
  <c r="N32" i="87" s="1"/>
  <c r="L193" i="3" s="1"/>
  <c r="M143" i="87"/>
  <c r="M30" i="87" s="1"/>
  <c r="M32" i="87" s="1"/>
  <c r="K193" i="3" s="1"/>
  <c r="L143" i="87"/>
  <c r="L30" i="87" s="1"/>
  <c r="L32" i="87" s="1"/>
  <c r="J193" i="3" s="1"/>
  <c r="K143" i="87"/>
  <c r="K30" i="87" s="1"/>
  <c r="K32" i="87" s="1"/>
  <c r="I193" i="3" s="1"/>
  <c r="J143" i="87"/>
  <c r="J30" i="87" s="1"/>
  <c r="J32" i="87" s="1"/>
  <c r="H193" i="3" s="1"/>
  <c r="I143" i="87"/>
  <c r="I30" i="87" s="1"/>
  <c r="I32" i="87" s="1"/>
  <c r="H143" i="87"/>
  <c r="G143" i="87"/>
  <c r="G30" i="87" s="1"/>
  <c r="F143" i="87"/>
  <c r="F30" i="87" s="1"/>
  <c r="F32" i="87" s="1"/>
  <c r="D193" i="3" s="1"/>
  <c r="E143" i="87"/>
  <c r="E30" i="87" s="1"/>
  <c r="E32" i="87" s="1"/>
  <c r="C193" i="3" s="1"/>
  <c r="D143" i="87"/>
  <c r="D30" i="87" s="1"/>
  <c r="O119" i="87"/>
  <c r="O7" i="87" s="1"/>
  <c r="M296" i="2" s="1"/>
  <c r="Z296" i="2" s="1"/>
  <c r="N119" i="87"/>
  <c r="N7" i="87" s="1"/>
  <c r="L296" i="2" s="1"/>
  <c r="Y296" i="2" s="1"/>
  <c r="M119" i="87"/>
  <c r="M7" i="87" s="1"/>
  <c r="L119" i="87"/>
  <c r="L7" i="87" s="1"/>
  <c r="J296" i="2" s="1"/>
  <c r="W296" i="2" s="1"/>
  <c r="K119" i="87"/>
  <c r="K7" i="87" s="1"/>
  <c r="I296" i="2" s="1"/>
  <c r="V296" i="2" s="1"/>
  <c r="J119" i="87"/>
  <c r="J7" i="87" s="1"/>
  <c r="H296" i="2" s="1"/>
  <c r="U296" i="2" s="1"/>
  <c r="I119" i="87"/>
  <c r="I7" i="87" s="1"/>
  <c r="H119" i="87"/>
  <c r="H7" i="87" s="1"/>
  <c r="F296" i="2" s="1"/>
  <c r="S296" i="2" s="1"/>
  <c r="G119" i="87"/>
  <c r="F119" i="87"/>
  <c r="F7" i="87" s="1"/>
  <c r="D296" i="2" s="1"/>
  <c r="Q296" i="2" s="1"/>
  <c r="E119" i="87"/>
  <c r="E7" i="87" s="1"/>
  <c r="D119" i="87"/>
  <c r="D7" i="87" s="1"/>
  <c r="O112" i="87"/>
  <c r="N112" i="87"/>
  <c r="N23" i="87" s="1"/>
  <c r="N26" i="87" s="1"/>
  <c r="L168" i="3" s="1"/>
  <c r="M112" i="87"/>
  <c r="M23" i="87" s="1"/>
  <c r="L112" i="87"/>
  <c r="L23" i="87" s="1"/>
  <c r="K112" i="87"/>
  <c r="K23" i="87" s="1"/>
  <c r="J112" i="87"/>
  <c r="J23" i="87" s="1"/>
  <c r="J26" i="87" s="1"/>
  <c r="H168" i="3" s="1"/>
  <c r="I112" i="87"/>
  <c r="I23" i="87" s="1"/>
  <c r="H112" i="87"/>
  <c r="G112" i="87"/>
  <c r="G23" i="87" s="1"/>
  <c r="G26" i="87" s="1"/>
  <c r="F112" i="87"/>
  <c r="F23" i="87" s="1"/>
  <c r="F26" i="87" s="1"/>
  <c r="D168" i="3" s="1"/>
  <c r="E112" i="87"/>
  <c r="E23" i="87" s="1"/>
  <c r="D112" i="87"/>
  <c r="D23" i="87" s="1"/>
  <c r="O97" i="87"/>
  <c r="O6" i="87" s="1"/>
  <c r="N97" i="87"/>
  <c r="N6" i="87" s="1"/>
  <c r="L295" i="2" s="1"/>
  <c r="Y295" i="2" s="1"/>
  <c r="M97" i="87"/>
  <c r="M6" i="87" s="1"/>
  <c r="K295" i="2" s="1"/>
  <c r="X295" i="2" s="1"/>
  <c r="L97" i="87"/>
  <c r="K97" i="87"/>
  <c r="K6" i="87" s="1"/>
  <c r="I295" i="2" s="1"/>
  <c r="V295" i="2" s="1"/>
  <c r="J97" i="87"/>
  <c r="J6" i="87" s="1"/>
  <c r="H295" i="2" s="1"/>
  <c r="U295" i="2" s="1"/>
  <c r="I97" i="87"/>
  <c r="I6" i="87" s="1"/>
  <c r="H97" i="87"/>
  <c r="H6" i="87" s="1"/>
  <c r="F295" i="2" s="1"/>
  <c r="S295" i="2" s="1"/>
  <c r="G97" i="87"/>
  <c r="F97" i="87"/>
  <c r="F6" i="87" s="1"/>
  <c r="D295" i="2" s="1"/>
  <c r="Q295" i="2" s="1"/>
  <c r="E97" i="87"/>
  <c r="D97" i="87"/>
  <c r="D6" i="87" s="1"/>
  <c r="O90" i="87"/>
  <c r="N90" i="87"/>
  <c r="N40" i="87" s="1"/>
  <c r="M90" i="87"/>
  <c r="M40" i="87" s="1"/>
  <c r="L90" i="87"/>
  <c r="L40" i="87" s="1"/>
  <c r="L42" i="87" s="1"/>
  <c r="J381" i="3" s="1"/>
  <c r="K90" i="87"/>
  <c r="K40" i="87" s="1"/>
  <c r="K42" i="87" s="1"/>
  <c r="I381" i="3" s="1"/>
  <c r="J90" i="87"/>
  <c r="J40" i="87" s="1"/>
  <c r="J42" i="87" s="1"/>
  <c r="H381" i="3" s="1"/>
  <c r="I90" i="87"/>
  <c r="I40" i="87" s="1"/>
  <c r="H90" i="87"/>
  <c r="H40" i="87" s="1"/>
  <c r="H42" i="87" s="1"/>
  <c r="F381" i="3" s="1"/>
  <c r="G90" i="87"/>
  <c r="G40" i="87" s="1"/>
  <c r="F90" i="87"/>
  <c r="F40" i="87" s="1"/>
  <c r="F42" i="87" s="1"/>
  <c r="D381" i="3" s="1"/>
  <c r="E90" i="87"/>
  <c r="D90" i="87"/>
  <c r="D40" i="87" s="1"/>
  <c r="D42" i="87" s="1"/>
  <c r="B381" i="3" s="1"/>
  <c r="O89" i="87"/>
  <c r="N89" i="87"/>
  <c r="N28" i="87" s="1"/>
  <c r="L171" i="3" s="1"/>
  <c r="M89" i="87"/>
  <c r="M28" i="87" s="1"/>
  <c r="L89" i="87"/>
  <c r="K89" i="87"/>
  <c r="J89" i="87"/>
  <c r="J28" i="87" s="1"/>
  <c r="H171" i="3" s="1"/>
  <c r="I89" i="87"/>
  <c r="I28" i="87" s="1"/>
  <c r="G171" i="3" s="1"/>
  <c r="H89" i="87"/>
  <c r="H28" i="87" s="1"/>
  <c r="F171" i="3" s="1"/>
  <c r="G89" i="87"/>
  <c r="G28" i="87" s="1"/>
  <c r="E171" i="3" s="1"/>
  <c r="F89" i="87"/>
  <c r="F28" i="87" s="1"/>
  <c r="D171" i="3" s="1"/>
  <c r="E89" i="87"/>
  <c r="D89" i="87"/>
  <c r="O87" i="87"/>
  <c r="N87" i="87"/>
  <c r="M87" i="87"/>
  <c r="L87" i="87"/>
  <c r="K87" i="87"/>
  <c r="J87" i="87"/>
  <c r="I87" i="87"/>
  <c r="H87" i="87"/>
  <c r="G87" i="87"/>
  <c r="F87" i="87"/>
  <c r="E87" i="87"/>
  <c r="D87" i="87"/>
  <c r="O81" i="87"/>
  <c r="N81" i="87"/>
  <c r="M81" i="87"/>
  <c r="L81" i="87"/>
  <c r="K81" i="87"/>
  <c r="J81" i="87"/>
  <c r="I81" i="87"/>
  <c r="H81" i="87"/>
  <c r="G81" i="87"/>
  <c r="F81" i="87"/>
  <c r="E81" i="87"/>
  <c r="D81" i="87"/>
  <c r="O76" i="87"/>
  <c r="N76" i="87"/>
  <c r="M76" i="87"/>
  <c r="L76" i="87"/>
  <c r="K76" i="87"/>
  <c r="J76" i="87"/>
  <c r="I76" i="87"/>
  <c r="H76" i="87"/>
  <c r="G76" i="87"/>
  <c r="F76" i="87"/>
  <c r="E76" i="87"/>
  <c r="D76" i="87"/>
  <c r="O65" i="87"/>
  <c r="N65" i="87"/>
  <c r="N5" i="87" s="1"/>
  <c r="M65" i="87"/>
  <c r="L65" i="87"/>
  <c r="L5" i="87" s="1"/>
  <c r="J294" i="2" s="1"/>
  <c r="K65" i="87"/>
  <c r="K5" i="87" s="1"/>
  <c r="I294" i="2" s="1"/>
  <c r="J65" i="87"/>
  <c r="J5" i="87" s="1"/>
  <c r="I65" i="87"/>
  <c r="I5" i="87" s="1"/>
  <c r="I3" i="87" s="1"/>
  <c r="I17" i="87" s="1"/>
  <c r="H65" i="87"/>
  <c r="H5" i="87" s="1"/>
  <c r="F294" i="2" s="1"/>
  <c r="G65" i="87"/>
  <c r="G5" i="87" s="1"/>
  <c r="E294" i="2" s="1"/>
  <c r="F65" i="87"/>
  <c r="F5" i="87" s="1"/>
  <c r="E65" i="87"/>
  <c r="E5" i="87" s="1"/>
  <c r="D65" i="87"/>
  <c r="O53" i="87"/>
  <c r="L53" i="87"/>
  <c r="K53" i="87"/>
  <c r="D53" i="87"/>
  <c r="M52" i="87"/>
  <c r="M54" i="87" s="1"/>
  <c r="K52" i="87"/>
  <c r="I52" i="87"/>
  <c r="H52" i="87"/>
  <c r="G52" i="87"/>
  <c r="I49" i="87"/>
  <c r="I50" i="87" s="1"/>
  <c r="G457" i="3" s="1"/>
  <c r="D49" i="87"/>
  <c r="M48" i="87"/>
  <c r="H48" i="87"/>
  <c r="E48" i="87"/>
  <c r="E50" i="87" s="1"/>
  <c r="C457" i="3" s="1"/>
  <c r="H46" i="87"/>
  <c r="F433" i="3" s="1"/>
  <c r="E46" i="87"/>
  <c r="C433" i="3" s="1"/>
  <c r="I44" i="87"/>
  <c r="G427" i="3" s="1"/>
  <c r="H44" i="87"/>
  <c r="F427" i="3" s="1"/>
  <c r="G44" i="87"/>
  <c r="E427" i="3" s="1"/>
  <c r="D44" i="87"/>
  <c r="I41" i="87"/>
  <c r="E41" i="87"/>
  <c r="O40" i="87"/>
  <c r="E40" i="87"/>
  <c r="E42" i="87" s="1"/>
  <c r="H38" i="87"/>
  <c r="F367" i="3" s="1"/>
  <c r="E38" i="87"/>
  <c r="C367" i="3" s="1"/>
  <c r="K35" i="87"/>
  <c r="I35" i="87"/>
  <c r="L34" i="87"/>
  <c r="L36" i="87" s="1"/>
  <c r="J298" i="3" s="1"/>
  <c r="D34" i="87"/>
  <c r="I31" i="87"/>
  <c r="H31" i="87"/>
  <c r="G31" i="87"/>
  <c r="D31" i="87"/>
  <c r="O30" i="87"/>
  <c r="H30" i="87"/>
  <c r="H32" i="87" s="1"/>
  <c r="F193" i="3" s="1"/>
  <c r="O28" i="87"/>
  <c r="M171" i="3" s="1"/>
  <c r="L28" i="87"/>
  <c r="J171" i="3" s="1"/>
  <c r="K28" i="87"/>
  <c r="I171" i="3" s="1"/>
  <c r="E28" i="87"/>
  <c r="C171" i="3" s="1"/>
  <c r="D28" i="87"/>
  <c r="B171" i="3" s="1"/>
  <c r="I25" i="87"/>
  <c r="H25" i="87"/>
  <c r="M24" i="87"/>
  <c r="L24" i="87"/>
  <c r="E24" i="87"/>
  <c r="D24" i="87"/>
  <c r="O23" i="87"/>
  <c r="H23" i="87"/>
  <c r="I20" i="87"/>
  <c r="M19" i="87"/>
  <c r="K19" i="87"/>
  <c r="K21" i="87" s="1"/>
  <c r="M15" i="87"/>
  <c r="L15" i="87"/>
  <c r="J304" i="2" s="1"/>
  <c r="W304" i="2" s="1"/>
  <c r="K15" i="87"/>
  <c r="I304" i="2" s="1"/>
  <c r="V304" i="2" s="1"/>
  <c r="H15" i="87"/>
  <c r="G15" i="87"/>
  <c r="E304" i="2" s="1"/>
  <c r="R304" i="2" s="1"/>
  <c r="L14" i="87"/>
  <c r="J303" i="2" s="1"/>
  <c r="W303" i="2" s="1"/>
  <c r="I14" i="87"/>
  <c r="G303" i="2" s="1"/>
  <c r="T303" i="2" s="1"/>
  <c r="M13" i="87"/>
  <c r="K302" i="2" s="1"/>
  <c r="X302" i="2" s="1"/>
  <c r="I12" i="87"/>
  <c r="H12" i="87"/>
  <c r="D12" i="87"/>
  <c r="H11" i="87"/>
  <c r="E11" i="87"/>
  <c r="C300" i="2" s="1"/>
  <c r="P300" i="2" s="1"/>
  <c r="L10" i="87"/>
  <c r="J299" i="2" s="1"/>
  <c r="W299" i="2" s="1"/>
  <c r="D10" i="87"/>
  <c r="M9" i="87"/>
  <c r="K298" i="2" s="1"/>
  <c r="X298" i="2" s="1"/>
  <c r="E9" i="87"/>
  <c r="D9" i="87"/>
  <c r="K8" i="87"/>
  <c r="I297" i="2" s="1"/>
  <c r="V297" i="2" s="1"/>
  <c r="E8" i="87"/>
  <c r="G7" i="87"/>
  <c r="E296" i="2" s="1"/>
  <c r="R296" i="2" s="1"/>
  <c r="L6" i="87"/>
  <c r="J295" i="2" s="1"/>
  <c r="W295" i="2" s="1"/>
  <c r="G6" i="87"/>
  <c r="E295" i="2" s="1"/>
  <c r="R295" i="2" s="1"/>
  <c r="E6" i="87"/>
  <c r="O5" i="87"/>
  <c r="M294" i="2" s="1"/>
  <c r="M5" i="87"/>
  <c r="K294" i="2" s="1"/>
  <c r="X294" i="2" s="1"/>
  <c r="D5" i="87"/>
  <c r="O245" i="84"/>
  <c r="N245" i="84"/>
  <c r="M245" i="84"/>
  <c r="M32" i="84" s="1"/>
  <c r="K508" i="3" s="1"/>
  <c r="L245" i="84"/>
  <c r="L32" i="84" s="1"/>
  <c r="J508" i="3" s="1"/>
  <c r="K245" i="84"/>
  <c r="J245" i="84"/>
  <c r="I245" i="84"/>
  <c r="I32" i="84" s="1"/>
  <c r="G508" i="3" s="1"/>
  <c r="H245" i="84"/>
  <c r="H32" i="84" s="1"/>
  <c r="F508" i="3" s="1"/>
  <c r="G245" i="84"/>
  <c r="F245" i="84"/>
  <c r="E245" i="84"/>
  <c r="E32" i="84" s="1"/>
  <c r="C508" i="3" s="1"/>
  <c r="D245" i="84"/>
  <c r="D32" i="84" s="1"/>
  <c r="B508" i="3" s="1"/>
  <c r="O244" i="84"/>
  <c r="N244" i="84"/>
  <c r="M244" i="84"/>
  <c r="M25" i="84" s="1"/>
  <c r="L244" i="84"/>
  <c r="L25" i="84" s="1"/>
  <c r="K244" i="84"/>
  <c r="J244" i="84"/>
  <c r="I244" i="84"/>
  <c r="I25" i="84" s="1"/>
  <c r="H244" i="84"/>
  <c r="H25" i="84" s="1"/>
  <c r="G244" i="84"/>
  <c r="F244" i="84"/>
  <c r="E244" i="84"/>
  <c r="E25" i="84" s="1"/>
  <c r="D244" i="84"/>
  <c r="D25" i="84" s="1"/>
  <c r="O243" i="84"/>
  <c r="N243" i="84"/>
  <c r="M243" i="84"/>
  <c r="M14" i="84" s="1"/>
  <c r="L243" i="84"/>
  <c r="L14" i="84" s="1"/>
  <c r="K243" i="84"/>
  <c r="J243" i="84"/>
  <c r="J14" i="84" s="1"/>
  <c r="I243" i="84"/>
  <c r="I14" i="84" s="1"/>
  <c r="H243" i="84"/>
  <c r="H14" i="84" s="1"/>
  <c r="G243" i="84"/>
  <c r="F243" i="84"/>
  <c r="E243" i="84"/>
  <c r="E14" i="84" s="1"/>
  <c r="D243" i="84"/>
  <c r="O240" i="84"/>
  <c r="N240" i="84"/>
  <c r="M240" i="84"/>
  <c r="L240" i="84"/>
  <c r="K240" i="84"/>
  <c r="J240" i="84"/>
  <c r="I240" i="84"/>
  <c r="H240" i="84"/>
  <c r="G240" i="84"/>
  <c r="F240" i="84"/>
  <c r="E240" i="84"/>
  <c r="D240" i="84"/>
  <c r="O223" i="84"/>
  <c r="N223" i="84"/>
  <c r="M223" i="84"/>
  <c r="L223" i="84"/>
  <c r="K223" i="84"/>
  <c r="J223" i="84"/>
  <c r="I223" i="84"/>
  <c r="H223" i="84"/>
  <c r="G223" i="84"/>
  <c r="F223" i="84"/>
  <c r="E223" i="84"/>
  <c r="D223" i="84"/>
  <c r="O212" i="84"/>
  <c r="N212" i="84"/>
  <c r="M212" i="84"/>
  <c r="L212" i="84"/>
  <c r="K212" i="84"/>
  <c r="J212" i="84"/>
  <c r="I212" i="84"/>
  <c r="H212" i="84"/>
  <c r="G212" i="84"/>
  <c r="F212" i="84"/>
  <c r="E212" i="84"/>
  <c r="D212" i="84"/>
  <c r="O201" i="84"/>
  <c r="N201" i="84"/>
  <c r="M201" i="84"/>
  <c r="L201" i="84"/>
  <c r="K201" i="84"/>
  <c r="J201" i="84"/>
  <c r="I201" i="84"/>
  <c r="H201" i="84"/>
  <c r="G201" i="84"/>
  <c r="F201" i="84"/>
  <c r="E201" i="84"/>
  <c r="D201" i="84"/>
  <c r="O190" i="84"/>
  <c r="O9" i="84" s="1"/>
  <c r="M60" i="2" s="1"/>
  <c r="Z60" i="2" s="1"/>
  <c r="N190" i="84"/>
  <c r="M190" i="84"/>
  <c r="M9" i="84" s="1"/>
  <c r="K60" i="2" s="1"/>
  <c r="X60" i="2" s="1"/>
  <c r="L190" i="84"/>
  <c r="L9" i="84" s="1"/>
  <c r="J60" i="2" s="1"/>
  <c r="W60" i="2" s="1"/>
  <c r="K190" i="84"/>
  <c r="J190" i="84"/>
  <c r="J9" i="84" s="1"/>
  <c r="H60" i="2" s="1"/>
  <c r="U60" i="2" s="1"/>
  <c r="I190" i="84"/>
  <c r="I9" i="84" s="1"/>
  <c r="G60" i="2" s="1"/>
  <c r="T60" i="2" s="1"/>
  <c r="H190" i="84"/>
  <c r="H9" i="84" s="1"/>
  <c r="F60" i="2" s="1"/>
  <c r="S60" i="2" s="1"/>
  <c r="G190" i="84"/>
  <c r="F190" i="84"/>
  <c r="E190" i="84"/>
  <c r="E9" i="84" s="1"/>
  <c r="C60" i="2" s="1"/>
  <c r="P60" i="2" s="1"/>
  <c r="D190" i="84"/>
  <c r="D9" i="84" s="1"/>
  <c r="B60" i="2" s="1"/>
  <c r="O60" i="2" s="1"/>
  <c r="O183" i="84"/>
  <c r="O18" i="84" s="1"/>
  <c r="N183" i="84"/>
  <c r="N18" i="84" s="1"/>
  <c r="M183" i="84"/>
  <c r="M18" i="84" s="1"/>
  <c r="L183" i="84"/>
  <c r="L18" i="84" s="1"/>
  <c r="K183" i="84"/>
  <c r="J183" i="84"/>
  <c r="I183" i="84"/>
  <c r="I18" i="84" s="1"/>
  <c r="H183" i="84"/>
  <c r="H18" i="84" s="1"/>
  <c r="G183" i="84"/>
  <c r="F183" i="84"/>
  <c r="E183" i="84"/>
  <c r="E18" i="84" s="1"/>
  <c r="D183" i="84"/>
  <c r="D18" i="84" s="1"/>
  <c r="O182" i="84"/>
  <c r="O13" i="84" s="1"/>
  <c r="N182" i="84"/>
  <c r="N13" i="84" s="1"/>
  <c r="M182" i="84"/>
  <c r="M13" i="84" s="1"/>
  <c r="M15" i="84" s="1"/>
  <c r="L182" i="84"/>
  <c r="L13" i="84" s="1"/>
  <c r="L15" i="84" s="1"/>
  <c r="K182" i="84"/>
  <c r="J182" i="84"/>
  <c r="J13" i="84" s="1"/>
  <c r="I182" i="84"/>
  <c r="I13" i="84" s="1"/>
  <c r="I15" i="84" s="1"/>
  <c r="H182" i="84"/>
  <c r="H13" i="84" s="1"/>
  <c r="H15" i="84" s="1"/>
  <c r="F87" i="3" s="1"/>
  <c r="G182" i="84"/>
  <c r="F182" i="84"/>
  <c r="F13" i="84" s="1"/>
  <c r="E182" i="84"/>
  <c r="E13" i="84" s="1"/>
  <c r="E15" i="84" s="1"/>
  <c r="D182" i="84"/>
  <c r="D13" i="84" s="1"/>
  <c r="O170" i="84"/>
  <c r="N170" i="84"/>
  <c r="M170" i="84"/>
  <c r="L170" i="84"/>
  <c r="K170" i="84"/>
  <c r="J170" i="84"/>
  <c r="I170" i="84"/>
  <c r="H170" i="84"/>
  <c r="G170" i="84"/>
  <c r="F170" i="84"/>
  <c r="E170" i="84"/>
  <c r="D170" i="84"/>
  <c r="O164" i="84"/>
  <c r="N164" i="84"/>
  <c r="M164" i="84"/>
  <c r="L164" i="84"/>
  <c r="K164" i="84"/>
  <c r="J164" i="84"/>
  <c r="I164" i="84"/>
  <c r="H164" i="84"/>
  <c r="G164" i="84"/>
  <c r="F164" i="84"/>
  <c r="E164" i="84"/>
  <c r="D164" i="84"/>
  <c r="O152" i="84"/>
  <c r="N152" i="84"/>
  <c r="M152" i="84"/>
  <c r="L152" i="84"/>
  <c r="K152" i="84"/>
  <c r="J152" i="84"/>
  <c r="I152" i="84"/>
  <c r="H152" i="84"/>
  <c r="G152" i="84"/>
  <c r="F152" i="84"/>
  <c r="E152" i="84"/>
  <c r="D152" i="84"/>
  <c r="O149" i="84"/>
  <c r="N149" i="84"/>
  <c r="M149" i="84"/>
  <c r="L149" i="84"/>
  <c r="K149" i="84"/>
  <c r="J149" i="84"/>
  <c r="I149" i="84"/>
  <c r="H149" i="84"/>
  <c r="G149" i="84"/>
  <c r="F149" i="84"/>
  <c r="E149" i="84"/>
  <c r="D149" i="84"/>
  <c r="O146" i="84"/>
  <c r="O8" i="84" s="1"/>
  <c r="M59" i="2" s="1"/>
  <c r="Z59" i="2" s="1"/>
  <c r="N146" i="84"/>
  <c r="M146" i="84"/>
  <c r="M8" i="84" s="1"/>
  <c r="K59" i="2" s="1"/>
  <c r="X59" i="2" s="1"/>
  <c r="L146" i="84"/>
  <c r="L8" i="84" s="1"/>
  <c r="K146" i="84"/>
  <c r="J146" i="84"/>
  <c r="I146" i="84"/>
  <c r="I8" i="84" s="1"/>
  <c r="G59" i="2" s="1"/>
  <c r="T59" i="2" s="1"/>
  <c r="H146" i="84"/>
  <c r="H8" i="84" s="1"/>
  <c r="F59" i="2" s="1"/>
  <c r="S59" i="2" s="1"/>
  <c r="G146" i="84"/>
  <c r="F146" i="84"/>
  <c r="E146" i="84"/>
  <c r="E8" i="84" s="1"/>
  <c r="C59" i="2" s="1"/>
  <c r="P59" i="2" s="1"/>
  <c r="D146" i="84"/>
  <c r="D8" i="84" s="1"/>
  <c r="B59" i="2" s="1"/>
  <c r="O59" i="2" s="1"/>
  <c r="O139" i="84"/>
  <c r="N139" i="84"/>
  <c r="M139" i="84"/>
  <c r="M22" i="84" s="1"/>
  <c r="K235" i="3" s="1"/>
  <c r="L139" i="84"/>
  <c r="L22" i="84" s="1"/>
  <c r="K139" i="84"/>
  <c r="J139" i="84"/>
  <c r="I139" i="84"/>
  <c r="I22" i="84" s="1"/>
  <c r="G235" i="3" s="1"/>
  <c r="H139" i="84"/>
  <c r="H22" i="84" s="1"/>
  <c r="F235" i="3" s="1"/>
  <c r="G139" i="84"/>
  <c r="F139" i="84"/>
  <c r="F22" i="84" s="1"/>
  <c r="E139" i="84"/>
  <c r="E22" i="84" s="1"/>
  <c r="C235" i="3" s="1"/>
  <c r="D139" i="84"/>
  <c r="D22" i="84" s="1"/>
  <c r="B235" i="3" s="1"/>
  <c r="O138" i="84"/>
  <c r="N138" i="84"/>
  <c r="M138" i="84"/>
  <c r="M17" i="84" s="1"/>
  <c r="L138" i="84"/>
  <c r="L17" i="84" s="1"/>
  <c r="K138" i="84"/>
  <c r="J138" i="84"/>
  <c r="I138" i="84"/>
  <c r="I17" i="84" s="1"/>
  <c r="H138" i="84"/>
  <c r="G138" i="84"/>
  <c r="F138" i="84"/>
  <c r="F17" i="84" s="1"/>
  <c r="E138" i="84"/>
  <c r="E17" i="84" s="1"/>
  <c r="D138" i="84"/>
  <c r="D17" i="84" s="1"/>
  <c r="O120" i="84"/>
  <c r="N120" i="84"/>
  <c r="M120" i="84"/>
  <c r="M7" i="84" s="1"/>
  <c r="K58" i="2" s="1"/>
  <c r="X58" i="2" s="1"/>
  <c r="L120" i="84"/>
  <c r="L7" i="84" s="1"/>
  <c r="J58" i="2" s="1"/>
  <c r="W58" i="2" s="1"/>
  <c r="K120" i="84"/>
  <c r="J120" i="84"/>
  <c r="I120" i="84"/>
  <c r="I7" i="84" s="1"/>
  <c r="G58" i="2" s="1"/>
  <c r="T58" i="2" s="1"/>
  <c r="H120" i="84"/>
  <c r="H7" i="84" s="1"/>
  <c r="G120" i="84"/>
  <c r="F120" i="84"/>
  <c r="E120" i="84"/>
  <c r="E7" i="84" s="1"/>
  <c r="C58" i="2" s="1"/>
  <c r="P58" i="2" s="1"/>
  <c r="D120" i="84"/>
  <c r="D7" i="84" s="1"/>
  <c r="B58" i="2" s="1"/>
  <c r="O58" i="2" s="1"/>
  <c r="O113" i="84"/>
  <c r="N113" i="84"/>
  <c r="M113" i="84"/>
  <c r="M30" i="84" s="1"/>
  <c r="K496" i="3" s="1"/>
  <c r="L113" i="84"/>
  <c r="L30" i="84" s="1"/>
  <c r="J496" i="3" s="1"/>
  <c r="K113" i="84"/>
  <c r="J113" i="84"/>
  <c r="I113" i="84"/>
  <c r="I30" i="84" s="1"/>
  <c r="G496" i="3" s="1"/>
  <c r="H113" i="84"/>
  <c r="H30" i="84" s="1"/>
  <c r="F496" i="3" s="1"/>
  <c r="G113" i="84"/>
  <c r="F113" i="84"/>
  <c r="F30" i="84" s="1"/>
  <c r="D496" i="3" s="1"/>
  <c r="E113" i="84"/>
  <c r="E30" i="84" s="1"/>
  <c r="C496" i="3" s="1"/>
  <c r="D113" i="84"/>
  <c r="D30" i="84" s="1"/>
  <c r="B496" i="3" s="1"/>
  <c r="O112" i="84"/>
  <c r="N112" i="84"/>
  <c r="M112" i="84"/>
  <c r="M28" i="84" s="1"/>
  <c r="K455" i="3" s="1"/>
  <c r="L112" i="84"/>
  <c r="L28" i="84" s="1"/>
  <c r="J455" i="3" s="1"/>
  <c r="K112" i="84"/>
  <c r="J112" i="84"/>
  <c r="I112" i="84"/>
  <c r="I28" i="84" s="1"/>
  <c r="G455" i="3" s="1"/>
  <c r="H112" i="84"/>
  <c r="H28" i="84" s="1"/>
  <c r="F455" i="3" s="1"/>
  <c r="G112" i="84"/>
  <c r="F112" i="84"/>
  <c r="E112" i="84"/>
  <c r="E28" i="84" s="1"/>
  <c r="C455" i="3" s="1"/>
  <c r="D112" i="84"/>
  <c r="D28" i="84" s="1"/>
  <c r="B455" i="3" s="1"/>
  <c r="O111" i="84"/>
  <c r="O19" i="84" s="1"/>
  <c r="N111" i="84"/>
  <c r="N19" i="84" s="1"/>
  <c r="M111" i="84"/>
  <c r="M19" i="84" s="1"/>
  <c r="L111" i="84"/>
  <c r="L19" i="84" s="1"/>
  <c r="K111" i="84"/>
  <c r="J111" i="84"/>
  <c r="J19" i="84" s="1"/>
  <c r="I111" i="84"/>
  <c r="I19" i="84" s="1"/>
  <c r="H111" i="84"/>
  <c r="G111" i="84"/>
  <c r="F111" i="84"/>
  <c r="F19" i="84" s="1"/>
  <c r="E111" i="84"/>
  <c r="E19" i="84" s="1"/>
  <c r="D111" i="84"/>
  <c r="D19" i="84" s="1"/>
  <c r="O107" i="84"/>
  <c r="N107" i="84"/>
  <c r="M107" i="84"/>
  <c r="L107" i="84"/>
  <c r="K107" i="84"/>
  <c r="J107" i="84"/>
  <c r="I107" i="84"/>
  <c r="H107" i="84"/>
  <c r="G107" i="84"/>
  <c r="F107" i="84"/>
  <c r="E107" i="84"/>
  <c r="D107" i="84"/>
  <c r="O89" i="84"/>
  <c r="N89" i="84"/>
  <c r="M89" i="84"/>
  <c r="L89" i="84"/>
  <c r="K89" i="84"/>
  <c r="J89" i="84"/>
  <c r="I89" i="84"/>
  <c r="H89" i="84"/>
  <c r="G89" i="84"/>
  <c r="F89" i="84"/>
  <c r="E89" i="84"/>
  <c r="D89" i="84"/>
  <c r="O76" i="84"/>
  <c r="O6" i="84" s="1"/>
  <c r="N76" i="84"/>
  <c r="N6" i="84" s="1"/>
  <c r="M76" i="84"/>
  <c r="M6" i="84" s="1"/>
  <c r="K57" i="2" s="1"/>
  <c r="X57" i="2" s="1"/>
  <c r="L76" i="84"/>
  <c r="L6" i="84" s="1"/>
  <c r="J57" i="2" s="1"/>
  <c r="W57" i="2" s="1"/>
  <c r="K76" i="84"/>
  <c r="J76" i="84"/>
  <c r="J6" i="84" s="1"/>
  <c r="I76" i="84"/>
  <c r="I6" i="84" s="1"/>
  <c r="H76" i="84"/>
  <c r="H6" i="84" s="1"/>
  <c r="F57" i="2" s="1"/>
  <c r="S57" i="2" s="1"/>
  <c r="G76" i="84"/>
  <c r="F76" i="84"/>
  <c r="F6" i="84" s="1"/>
  <c r="D57" i="2" s="1"/>
  <c r="Q57" i="2" s="1"/>
  <c r="E76" i="84"/>
  <c r="E6" i="84" s="1"/>
  <c r="C57" i="2" s="1"/>
  <c r="P57" i="2" s="1"/>
  <c r="D76" i="84"/>
  <c r="D6" i="84" s="1"/>
  <c r="B57" i="2" s="1"/>
  <c r="O57" i="2" s="1"/>
  <c r="O69" i="84"/>
  <c r="N69" i="84"/>
  <c r="M69" i="84"/>
  <c r="M24" i="84" s="1"/>
  <c r="M26" i="84" s="1"/>
  <c r="K420" i="3" s="1"/>
  <c r="L69" i="84"/>
  <c r="L24" i="84" s="1"/>
  <c r="L26" i="84" s="1"/>
  <c r="J420" i="3" s="1"/>
  <c r="K69" i="84"/>
  <c r="J69" i="84"/>
  <c r="J24" i="84" s="1"/>
  <c r="I69" i="84"/>
  <c r="I24" i="84" s="1"/>
  <c r="I26" i="84" s="1"/>
  <c r="G420" i="3" s="1"/>
  <c r="H69" i="84"/>
  <c r="H24" i="84" s="1"/>
  <c r="H26" i="84" s="1"/>
  <c r="F420" i="3" s="1"/>
  <c r="G69" i="84"/>
  <c r="F69" i="84"/>
  <c r="E69" i="84"/>
  <c r="E24" i="84" s="1"/>
  <c r="E26" i="84" s="1"/>
  <c r="C420" i="3" s="1"/>
  <c r="D69" i="84"/>
  <c r="D24" i="84" s="1"/>
  <c r="D26" i="84" s="1"/>
  <c r="B420" i="3" s="1"/>
  <c r="O43" i="84"/>
  <c r="N43" i="84"/>
  <c r="N5" i="84" s="1"/>
  <c r="M43" i="84"/>
  <c r="M5" i="84" s="1"/>
  <c r="L43" i="84"/>
  <c r="L5" i="84" s="1"/>
  <c r="K43" i="84"/>
  <c r="J43" i="84"/>
  <c r="J5" i="84" s="1"/>
  <c r="I43" i="84"/>
  <c r="I5" i="84" s="1"/>
  <c r="H43" i="84"/>
  <c r="H5" i="84" s="1"/>
  <c r="G43" i="84"/>
  <c r="F43" i="84"/>
  <c r="F5" i="84" s="1"/>
  <c r="E43" i="84"/>
  <c r="E5" i="84" s="1"/>
  <c r="C56" i="2" s="1"/>
  <c r="P56" i="2" s="1"/>
  <c r="D43" i="84"/>
  <c r="D5" i="84" s="1"/>
  <c r="O32" i="84"/>
  <c r="N32" i="84"/>
  <c r="L508" i="3" s="1"/>
  <c r="K32" i="84"/>
  <c r="I508" i="3" s="1"/>
  <c r="J32" i="84"/>
  <c r="G32" i="84"/>
  <c r="E508" i="3" s="1"/>
  <c r="F32" i="84"/>
  <c r="D508" i="3" s="1"/>
  <c r="O30" i="84"/>
  <c r="M496" i="3" s="1"/>
  <c r="N30" i="84"/>
  <c r="L496" i="3" s="1"/>
  <c r="K30" i="84"/>
  <c r="J30" i="84"/>
  <c r="H496" i="3" s="1"/>
  <c r="G30" i="84"/>
  <c r="E496" i="3" s="1"/>
  <c r="O28" i="84"/>
  <c r="M455" i="3" s="1"/>
  <c r="N28" i="84"/>
  <c r="L455" i="3" s="1"/>
  <c r="K28" i="84"/>
  <c r="J28" i="84"/>
  <c r="H455" i="3" s="1"/>
  <c r="G28" i="84"/>
  <c r="F28" i="84"/>
  <c r="O25" i="84"/>
  <c r="N25" i="84"/>
  <c r="K25" i="84"/>
  <c r="J25" i="84"/>
  <c r="G25" i="84"/>
  <c r="F25" i="84"/>
  <c r="O24" i="84"/>
  <c r="N24" i="84"/>
  <c r="N26" i="84" s="1"/>
  <c r="K24" i="84"/>
  <c r="G24" i="84"/>
  <c r="F24" i="84"/>
  <c r="O22" i="84"/>
  <c r="N22" i="84"/>
  <c r="K22" i="84"/>
  <c r="J22" i="84"/>
  <c r="G22" i="84"/>
  <c r="K19" i="84"/>
  <c r="H19" i="84"/>
  <c r="G19" i="84"/>
  <c r="K18" i="84"/>
  <c r="J18" i="84"/>
  <c r="G18" i="84"/>
  <c r="F18" i="84"/>
  <c r="O17" i="84"/>
  <c r="N17" i="84"/>
  <c r="K17" i="84"/>
  <c r="J17" i="84"/>
  <c r="H17" i="84"/>
  <c r="H20" i="84" s="1"/>
  <c r="F98" i="3" s="1"/>
  <c r="G17" i="84"/>
  <c r="O14" i="84"/>
  <c r="N14" i="84"/>
  <c r="K14" i="84"/>
  <c r="G14" i="84"/>
  <c r="F14" i="84"/>
  <c r="D14" i="84"/>
  <c r="K13" i="84"/>
  <c r="G13" i="84"/>
  <c r="G15" i="84" s="1"/>
  <c r="N9" i="84"/>
  <c r="L60" i="2" s="1"/>
  <c r="Y60" i="2" s="1"/>
  <c r="K9" i="84"/>
  <c r="I60" i="2" s="1"/>
  <c r="V60" i="2" s="1"/>
  <c r="G9" i="84"/>
  <c r="E60" i="2" s="1"/>
  <c r="R60" i="2" s="1"/>
  <c r="F9" i="84"/>
  <c r="D60" i="2" s="1"/>
  <c r="Q60" i="2" s="1"/>
  <c r="N8" i="84"/>
  <c r="K8" i="84"/>
  <c r="J8" i="84"/>
  <c r="G8" i="84"/>
  <c r="F8" i="84"/>
  <c r="O7" i="84"/>
  <c r="N7" i="84"/>
  <c r="K7" i="84"/>
  <c r="J7" i="84"/>
  <c r="G7" i="84"/>
  <c r="F7" i="84"/>
  <c r="K6" i="84"/>
  <c r="G6" i="84"/>
  <c r="O5" i="84"/>
  <c r="K5" i="84"/>
  <c r="I56" i="2" s="1"/>
  <c r="V56" i="2" s="1"/>
  <c r="G5" i="84"/>
  <c r="M15" i="83"/>
  <c r="I15" i="83"/>
  <c r="H15" i="83"/>
  <c r="E15" i="83"/>
  <c r="H13" i="83"/>
  <c r="O9" i="83"/>
  <c r="M445" i="3" s="1"/>
  <c r="N9" i="83"/>
  <c r="L445" i="3" s="1"/>
  <c r="M9" i="83"/>
  <c r="L9" i="83"/>
  <c r="K9" i="83"/>
  <c r="I445" i="3" s="1"/>
  <c r="J9" i="83"/>
  <c r="H445" i="3" s="1"/>
  <c r="I9" i="83"/>
  <c r="H9" i="83"/>
  <c r="G9" i="83"/>
  <c r="E445" i="3" s="1"/>
  <c r="F9" i="83"/>
  <c r="D445" i="3" s="1"/>
  <c r="E9" i="83"/>
  <c r="D9" i="83"/>
  <c r="O7" i="83"/>
  <c r="O15" i="83" s="1"/>
  <c r="N7" i="83"/>
  <c r="N13" i="83" s="1"/>
  <c r="M7" i="83"/>
  <c r="M11" i="83" s="1"/>
  <c r="L7" i="83"/>
  <c r="L11" i="83" s="1"/>
  <c r="K7" i="83"/>
  <c r="J7" i="83"/>
  <c r="J13" i="83" s="1"/>
  <c r="I7" i="83"/>
  <c r="I11" i="83" s="1"/>
  <c r="H7" i="83"/>
  <c r="H11" i="83" s="1"/>
  <c r="G7" i="83"/>
  <c r="F7" i="83"/>
  <c r="F13" i="83" s="1"/>
  <c r="E7" i="83"/>
  <c r="E11" i="83" s="1"/>
  <c r="D7" i="83"/>
  <c r="D11" i="83" s="1"/>
  <c r="O3" i="83"/>
  <c r="O5" i="83" s="1"/>
  <c r="N3" i="83"/>
  <c r="L162" i="2" s="1"/>
  <c r="Y162" i="2" s="1"/>
  <c r="M3" i="83"/>
  <c r="M5" i="83" s="1"/>
  <c r="L3" i="83"/>
  <c r="L5" i="83" s="1"/>
  <c r="K3" i="83"/>
  <c r="K5" i="83" s="1"/>
  <c r="J3" i="83"/>
  <c r="H162" i="2" s="1"/>
  <c r="U162" i="2" s="1"/>
  <c r="I3" i="83"/>
  <c r="G162" i="2" s="1"/>
  <c r="T162" i="2" s="1"/>
  <c r="H3" i="83"/>
  <c r="H5" i="83" s="1"/>
  <c r="G3" i="83"/>
  <c r="G5" i="83" s="1"/>
  <c r="F3" i="83"/>
  <c r="D162" i="2" s="1"/>
  <c r="Q162" i="2" s="1"/>
  <c r="E3" i="83"/>
  <c r="E5" i="83" s="1"/>
  <c r="D3" i="83"/>
  <c r="D5" i="83" s="1"/>
  <c r="O377" i="82"/>
  <c r="N377" i="82"/>
  <c r="M377" i="82"/>
  <c r="M54" i="82" s="1"/>
  <c r="L377" i="82"/>
  <c r="L54" i="82" s="1"/>
  <c r="K377" i="82"/>
  <c r="K54" i="82" s="1"/>
  <c r="J377" i="82"/>
  <c r="I377" i="82"/>
  <c r="I54" i="82" s="1"/>
  <c r="H377" i="82"/>
  <c r="H54" i="82" s="1"/>
  <c r="G377" i="82"/>
  <c r="G54" i="82" s="1"/>
  <c r="F377" i="82"/>
  <c r="E377" i="82"/>
  <c r="E54" i="82" s="1"/>
  <c r="D377" i="82"/>
  <c r="D54" i="82" s="1"/>
  <c r="O365" i="82"/>
  <c r="O14" i="82" s="1"/>
  <c r="N365" i="82"/>
  <c r="N14" i="82" s="1"/>
  <c r="L382" i="2" s="1"/>
  <c r="Y382" i="2" s="1"/>
  <c r="M365" i="82"/>
  <c r="M14" i="82" s="1"/>
  <c r="K382" i="2" s="1"/>
  <c r="X382" i="2" s="1"/>
  <c r="L365" i="82"/>
  <c r="L14" i="82" s="1"/>
  <c r="J382" i="2" s="1"/>
  <c r="W382" i="2" s="1"/>
  <c r="K365" i="82"/>
  <c r="K14" i="82" s="1"/>
  <c r="J365" i="82"/>
  <c r="J14" i="82" s="1"/>
  <c r="I365" i="82"/>
  <c r="I14" i="82" s="1"/>
  <c r="G382" i="2" s="1"/>
  <c r="T382" i="2" s="1"/>
  <c r="H365" i="82"/>
  <c r="H14" i="82" s="1"/>
  <c r="F382" i="2" s="1"/>
  <c r="S382" i="2" s="1"/>
  <c r="G365" i="82"/>
  <c r="G14" i="82" s="1"/>
  <c r="F365" i="82"/>
  <c r="E365" i="82"/>
  <c r="E14" i="82" s="1"/>
  <c r="C382" i="2" s="1"/>
  <c r="P382" i="2" s="1"/>
  <c r="D365" i="82"/>
  <c r="D14" i="82" s="1"/>
  <c r="B382" i="2" s="1"/>
  <c r="O382" i="2" s="1"/>
  <c r="O358" i="82"/>
  <c r="O50" i="82" s="1"/>
  <c r="N358" i="82"/>
  <c r="M358" i="82"/>
  <c r="M50" i="82" s="1"/>
  <c r="L358" i="82"/>
  <c r="L50" i="82" s="1"/>
  <c r="K358" i="82"/>
  <c r="K50" i="82" s="1"/>
  <c r="J358" i="82"/>
  <c r="I358" i="82"/>
  <c r="I50" i="82" s="1"/>
  <c r="H358" i="82"/>
  <c r="H50" i="82" s="1"/>
  <c r="G358" i="82"/>
  <c r="G50" i="82" s="1"/>
  <c r="F358" i="82"/>
  <c r="E358" i="82"/>
  <c r="E50" i="82" s="1"/>
  <c r="D358" i="82"/>
  <c r="D50" i="82" s="1"/>
  <c r="O357" i="82"/>
  <c r="O37" i="82" s="1"/>
  <c r="N357" i="82"/>
  <c r="M357" i="82"/>
  <c r="M37" i="82" s="1"/>
  <c r="L357" i="82"/>
  <c r="L37" i="82" s="1"/>
  <c r="K357" i="82"/>
  <c r="K37" i="82" s="1"/>
  <c r="J357" i="82"/>
  <c r="I357" i="82"/>
  <c r="I37" i="82" s="1"/>
  <c r="H357" i="82"/>
  <c r="H37" i="82" s="1"/>
  <c r="G357" i="82"/>
  <c r="G37" i="82" s="1"/>
  <c r="F357" i="82"/>
  <c r="E357" i="82"/>
  <c r="E37" i="82" s="1"/>
  <c r="D357" i="82"/>
  <c r="D37" i="82" s="1"/>
  <c r="O328" i="82"/>
  <c r="O13" i="82" s="1"/>
  <c r="N328" i="82"/>
  <c r="N13" i="82" s="1"/>
  <c r="M328" i="82"/>
  <c r="L328" i="82"/>
  <c r="L13" i="82" s="1"/>
  <c r="J381" i="2" s="1"/>
  <c r="W381" i="2" s="1"/>
  <c r="K328" i="82"/>
  <c r="K13" i="82" s="1"/>
  <c r="J328" i="82"/>
  <c r="J13" i="82" s="1"/>
  <c r="H381" i="2" s="1"/>
  <c r="U381" i="2" s="1"/>
  <c r="I328" i="82"/>
  <c r="I13" i="82" s="1"/>
  <c r="G381" i="2" s="1"/>
  <c r="T381" i="2" s="1"/>
  <c r="H328" i="82"/>
  <c r="H13" i="82" s="1"/>
  <c r="F381" i="2" s="1"/>
  <c r="S381" i="2" s="1"/>
  <c r="G328" i="82"/>
  <c r="F328" i="82"/>
  <c r="F13" i="82" s="1"/>
  <c r="E328" i="82"/>
  <c r="E13" i="82" s="1"/>
  <c r="C381" i="2" s="1"/>
  <c r="P381" i="2" s="1"/>
  <c r="D328" i="82"/>
  <c r="D13" i="82" s="1"/>
  <c r="B381" i="2" s="1"/>
  <c r="O381" i="2" s="1"/>
  <c r="O321" i="82"/>
  <c r="N321" i="82"/>
  <c r="M321" i="82"/>
  <c r="M49" i="82" s="1"/>
  <c r="L321" i="82"/>
  <c r="L49" i="82" s="1"/>
  <c r="K321" i="82"/>
  <c r="K49" i="82" s="1"/>
  <c r="J321" i="82"/>
  <c r="I321" i="82"/>
  <c r="I49" i="82" s="1"/>
  <c r="H321" i="82"/>
  <c r="H49" i="82" s="1"/>
  <c r="G321" i="82"/>
  <c r="G49" i="82" s="1"/>
  <c r="F321" i="82"/>
  <c r="E321" i="82"/>
  <c r="E49" i="82" s="1"/>
  <c r="D321" i="82"/>
  <c r="D49" i="82" s="1"/>
  <c r="O320" i="82"/>
  <c r="O33" i="82" s="1"/>
  <c r="N320" i="82"/>
  <c r="M320" i="82"/>
  <c r="M33" i="82" s="1"/>
  <c r="L320" i="82"/>
  <c r="L33" i="82" s="1"/>
  <c r="K320" i="82"/>
  <c r="K33" i="82" s="1"/>
  <c r="J320" i="82"/>
  <c r="I320" i="82"/>
  <c r="I33" i="82" s="1"/>
  <c r="H320" i="82"/>
  <c r="H33" i="82" s="1"/>
  <c r="G320" i="82"/>
  <c r="G33" i="82" s="1"/>
  <c r="F320" i="82"/>
  <c r="E320" i="82"/>
  <c r="E33" i="82" s="1"/>
  <c r="D320" i="82"/>
  <c r="O315" i="82"/>
  <c r="N315" i="82"/>
  <c r="M315" i="82"/>
  <c r="L315" i="82"/>
  <c r="K315" i="82"/>
  <c r="J315" i="82"/>
  <c r="I315" i="82"/>
  <c r="H315" i="82"/>
  <c r="G315" i="82"/>
  <c r="F315" i="82"/>
  <c r="E315" i="82"/>
  <c r="D315" i="82"/>
  <c r="O309" i="82"/>
  <c r="N309" i="82"/>
  <c r="M309" i="82"/>
  <c r="L309" i="82"/>
  <c r="K309" i="82"/>
  <c r="J309" i="82"/>
  <c r="I309" i="82"/>
  <c r="H309" i="82"/>
  <c r="G309" i="82"/>
  <c r="F309" i="82"/>
  <c r="E309" i="82"/>
  <c r="D309" i="82"/>
  <c r="O291" i="82"/>
  <c r="O12" i="82" s="1"/>
  <c r="M380" i="2" s="1"/>
  <c r="Z380" i="2" s="1"/>
  <c r="N291" i="82"/>
  <c r="M291" i="82"/>
  <c r="L291" i="82"/>
  <c r="L12" i="82" s="1"/>
  <c r="J380" i="2" s="1"/>
  <c r="W380" i="2" s="1"/>
  <c r="K291" i="82"/>
  <c r="K12" i="82" s="1"/>
  <c r="J291" i="82"/>
  <c r="J12" i="82" s="1"/>
  <c r="H380" i="2" s="1"/>
  <c r="U380" i="2" s="1"/>
  <c r="I291" i="82"/>
  <c r="I12" i="82" s="1"/>
  <c r="G380" i="2" s="1"/>
  <c r="T380" i="2" s="1"/>
  <c r="H291" i="82"/>
  <c r="H12" i="82" s="1"/>
  <c r="F380" i="2" s="1"/>
  <c r="S380" i="2" s="1"/>
  <c r="G291" i="82"/>
  <c r="G12" i="82" s="1"/>
  <c r="E380" i="2" s="1"/>
  <c r="R380" i="2" s="1"/>
  <c r="F291" i="82"/>
  <c r="E291" i="82"/>
  <c r="E12" i="82" s="1"/>
  <c r="C380" i="2" s="1"/>
  <c r="P380" i="2" s="1"/>
  <c r="D291" i="82"/>
  <c r="D12" i="82" s="1"/>
  <c r="B380" i="2" s="1"/>
  <c r="O380" i="2" s="1"/>
  <c r="O284" i="82"/>
  <c r="O32" i="82" s="1"/>
  <c r="N284" i="82"/>
  <c r="M284" i="82"/>
  <c r="M32" i="82" s="1"/>
  <c r="M34" i="82" s="1"/>
  <c r="L284" i="82"/>
  <c r="L32" i="82" s="1"/>
  <c r="L34" i="82" s="1"/>
  <c r="J439" i="3" s="1"/>
  <c r="K284" i="82"/>
  <c r="K32" i="82" s="1"/>
  <c r="K34" i="82" s="1"/>
  <c r="I439" i="3" s="1"/>
  <c r="J284" i="82"/>
  <c r="I284" i="82"/>
  <c r="I32" i="82" s="1"/>
  <c r="I34" i="82" s="1"/>
  <c r="G439" i="3" s="1"/>
  <c r="H284" i="82"/>
  <c r="H32" i="82" s="1"/>
  <c r="H34" i="82" s="1"/>
  <c r="F439" i="3" s="1"/>
  <c r="G284" i="82"/>
  <c r="G32" i="82" s="1"/>
  <c r="F284" i="82"/>
  <c r="E284" i="82"/>
  <c r="E32" i="82" s="1"/>
  <c r="E34" i="82" s="1"/>
  <c r="C439" i="3" s="1"/>
  <c r="D284" i="82"/>
  <c r="D32" i="82" s="1"/>
  <c r="O283" i="82"/>
  <c r="O30" i="82" s="1"/>
  <c r="M419" i="3" s="1"/>
  <c r="N283" i="82"/>
  <c r="M283" i="82"/>
  <c r="M30" i="82" s="1"/>
  <c r="L283" i="82"/>
  <c r="L30" i="82" s="1"/>
  <c r="J419" i="3" s="1"/>
  <c r="K283" i="82"/>
  <c r="K30" i="82" s="1"/>
  <c r="I419" i="3" s="1"/>
  <c r="J283" i="82"/>
  <c r="I283" i="82"/>
  <c r="I30" i="82" s="1"/>
  <c r="G419" i="3" s="1"/>
  <c r="H283" i="82"/>
  <c r="H30" i="82" s="1"/>
  <c r="F419" i="3" s="1"/>
  <c r="G283" i="82"/>
  <c r="G30" i="82" s="1"/>
  <c r="E419" i="3" s="1"/>
  <c r="F283" i="82"/>
  <c r="E283" i="82"/>
  <c r="E30" i="82" s="1"/>
  <c r="C419" i="3" s="1"/>
  <c r="D283" i="82"/>
  <c r="D30" i="82" s="1"/>
  <c r="B419" i="3" s="1"/>
  <c r="O256" i="82"/>
  <c r="O11" i="82" s="1"/>
  <c r="N256" i="82"/>
  <c r="M256" i="82"/>
  <c r="M11" i="82" s="1"/>
  <c r="K379" i="2" s="1"/>
  <c r="X379" i="2" s="1"/>
  <c r="L256" i="82"/>
  <c r="L11" i="82" s="1"/>
  <c r="J379" i="2" s="1"/>
  <c r="W379" i="2" s="1"/>
  <c r="K256" i="82"/>
  <c r="K11" i="82" s="1"/>
  <c r="J256" i="82"/>
  <c r="I256" i="82"/>
  <c r="H256" i="82"/>
  <c r="H11" i="82" s="1"/>
  <c r="F379" i="2" s="1"/>
  <c r="S379" i="2" s="1"/>
  <c r="G256" i="82"/>
  <c r="G11" i="82" s="1"/>
  <c r="F256" i="82"/>
  <c r="F11" i="82" s="1"/>
  <c r="D379" i="2" s="1"/>
  <c r="Q379" i="2" s="1"/>
  <c r="E256" i="82"/>
  <c r="E11" i="82" s="1"/>
  <c r="C379" i="2" s="1"/>
  <c r="P379" i="2" s="1"/>
  <c r="D256" i="82"/>
  <c r="D11" i="82" s="1"/>
  <c r="B379" i="2" s="1"/>
  <c r="O379" i="2" s="1"/>
  <c r="O249" i="82"/>
  <c r="O48" i="82" s="1"/>
  <c r="N249" i="82"/>
  <c r="N48" i="82" s="1"/>
  <c r="M249" i="82"/>
  <c r="M48" i="82" s="1"/>
  <c r="M51" i="82" s="1"/>
  <c r="K449" i="3" s="1"/>
  <c r="L249" i="82"/>
  <c r="L48" i="82" s="1"/>
  <c r="L51" i="82" s="1"/>
  <c r="J449" i="3" s="1"/>
  <c r="K249" i="82"/>
  <c r="K48" i="82" s="1"/>
  <c r="K51" i="82" s="1"/>
  <c r="I449" i="3" s="1"/>
  <c r="J249" i="82"/>
  <c r="J48" i="82" s="1"/>
  <c r="I249" i="82"/>
  <c r="I48" i="82" s="1"/>
  <c r="I51" i="82" s="1"/>
  <c r="H249" i="82"/>
  <c r="H48" i="82" s="1"/>
  <c r="G249" i="82"/>
  <c r="G48" i="82" s="1"/>
  <c r="F249" i="82"/>
  <c r="E249" i="82"/>
  <c r="E48" i="82" s="1"/>
  <c r="E51" i="82" s="1"/>
  <c r="C449" i="3" s="1"/>
  <c r="D249" i="82"/>
  <c r="D48" i="82" s="1"/>
  <c r="D51" i="82" s="1"/>
  <c r="B449" i="3" s="1"/>
  <c r="O248" i="82"/>
  <c r="O42" i="82" s="1"/>
  <c r="N248" i="82"/>
  <c r="M248" i="82"/>
  <c r="M42" i="82" s="1"/>
  <c r="L248" i="82"/>
  <c r="L42" i="82" s="1"/>
  <c r="K248" i="82"/>
  <c r="K42" i="82" s="1"/>
  <c r="J248" i="82"/>
  <c r="J42" i="82" s="1"/>
  <c r="I248" i="82"/>
  <c r="I42" i="82" s="1"/>
  <c r="H248" i="82"/>
  <c r="H42" i="82" s="1"/>
  <c r="G248" i="82"/>
  <c r="G42" i="82" s="1"/>
  <c r="F248" i="82"/>
  <c r="E248" i="82"/>
  <c r="E42" i="82" s="1"/>
  <c r="D248" i="82"/>
  <c r="D42" i="82" s="1"/>
  <c r="O247" i="82"/>
  <c r="O36" i="82" s="1"/>
  <c r="N247" i="82"/>
  <c r="N36" i="82" s="1"/>
  <c r="M247" i="82"/>
  <c r="M36" i="82" s="1"/>
  <c r="M38" i="82" s="1"/>
  <c r="K440" i="3" s="1"/>
  <c r="L247" i="82"/>
  <c r="L36" i="82" s="1"/>
  <c r="L38" i="82" s="1"/>
  <c r="J440" i="3" s="1"/>
  <c r="K247" i="82"/>
  <c r="K36" i="82" s="1"/>
  <c r="K38" i="82" s="1"/>
  <c r="I440" i="3" s="1"/>
  <c r="J247" i="82"/>
  <c r="I247" i="82"/>
  <c r="I36" i="82" s="1"/>
  <c r="I38" i="82" s="1"/>
  <c r="H247" i="82"/>
  <c r="H36" i="82" s="1"/>
  <c r="H38" i="82" s="1"/>
  <c r="F440" i="3" s="1"/>
  <c r="G247" i="82"/>
  <c r="F247" i="82"/>
  <c r="F36" i="82" s="1"/>
  <c r="E247" i="82"/>
  <c r="E36" i="82" s="1"/>
  <c r="E38" i="82" s="1"/>
  <c r="C440" i="3" s="1"/>
  <c r="D247" i="82"/>
  <c r="O246" i="82"/>
  <c r="O28" i="82" s="1"/>
  <c r="M308" i="3" s="1"/>
  <c r="N246" i="82"/>
  <c r="M246" i="82"/>
  <c r="M28" i="82" s="1"/>
  <c r="K308" i="3" s="1"/>
  <c r="L246" i="82"/>
  <c r="L28" i="82" s="1"/>
  <c r="J308" i="3" s="1"/>
  <c r="K246" i="82"/>
  <c r="K28" i="82" s="1"/>
  <c r="I308" i="3" s="1"/>
  <c r="J246" i="82"/>
  <c r="I246" i="82"/>
  <c r="I28" i="82" s="1"/>
  <c r="G308" i="3" s="1"/>
  <c r="H246" i="82"/>
  <c r="H28" i="82" s="1"/>
  <c r="F308" i="3" s="1"/>
  <c r="G246" i="82"/>
  <c r="G28" i="82" s="1"/>
  <c r="F246" i="82"/>
  <c r="E246" i="82"/>
  <c r="E28" i="82" s="1"/>
  <c r="C308" i="3" s="1"/>
  <c r="D246" i="82"/>
  <c r="D28" i="82" s="1"/>
  <c r="B308" i="3" s="1"/>
  <c r="O237" i="82"/>
  <c r="N237" i="82"/>
  <c r="M237" i="82"/>
  <c r="L237" i="82"/>
  <c r="K237" i="82"/>
  <c r="J237" i="82"/>
  <c r="I237" i="82"/>
  <c r="H237" i="82"/>
  <c r="G237" i="82"/>
  <c r="F237" i="82"/>
  <c r="E237" i="82"/>
  <c r="D237" i="82"/>
  <c r="O232" i="82"/>
  <c r="N232" i="82"/>
  <c r="M232" i="82"/>
  <c r="L232" i="82"/>
  <c r="K232" i="82"/>
  <c r="J232" i="82"/>
  <c r="I232" i="82"/>
  <c r="H232" i="82"/>
  <c r="G232" i="82"/>
  <c r="F232" i="82"/>
  <c r="E232" i="82"/>
  <c r="D232" i="82"/>
  <c r="O219" i="82"/>
  <c r="O10" i="82" s="1"/>
  <c r="M378" i="2" s="1"/>
  <c r="Z378" i="2" s="1"/>
  <c r="N219" i="82"/>
  <c r="M219" i="82"/>
  <c r="M10" i="82" s="1"/>
  <c r="K378" i="2" s="1"/>
  <c r="X378" i="2" s="1"/>
  <c r="L219" i="82"/>
  <c r="L10" i="82" s="1"/>
  <c r="J378" i="2" s="1"/>
  <c r="W378" i="2" s="1"/>
  <c r="K219" i="82"/>
  <c r="K10" i="82" s="1"/>
  <c r="J219" i="82"/>
  <c r="I219" i="82"/>
  <c r="I10" i="82" s="1"/>
  <c r="G378" i="2" s="1"/>
  <c r="T378" i="2" s="1"/>
  <c r="H219" i="82"/>
  <c r="H10" i="82" s="1"/>
  <c r="F378" i="2" s="1"/>
  <c r="S378" i="2" s="1"/>
  <c r="G219" i="82"/>
  <c r="G10" i="82" s="1"/>
  <c r="F219" i="82"/>
  <c r="E219" i="82"/>
  <c r="D219" i="82"/>
  <c r="D10" i="82" s="1"/>
  <c r="B378" i="2" s="1"/>
  <c r="O378" i="2" s="1"/>
  <c r="O212" i="82"/>
  <c r="O53" i="82" s="1"/>
  <c r="N212" i="82"/>
  <c r="N53" i="82" s="1"/>
  <c r="M212" i="82"/>
  <c r="M53" i="82" s="1"/>
  <c r="M55" i="82" s="1"/>
  <c r="K460" i="3" s="1"/>
  <c r="L212" i="82"/>
  <c r="L53" i="82" s="1"/>
  <c r="L55" i="82" s="1"/>
  <c r="J460" i="3" s="1"/>
  <c r="K212" i="82"/>
  <c r="K53" i="82" s="1"/>
  <c r="J212" i="82"/>
  <c r="I212" i="82"/>
  <c r="I53" i="82" s="1"/>
  <c r="I55" i="82" s="1"/>
  <c r="H212" i="82"/>
  <c r="H53" i="82" s="1"/>
  <c r="H55" i="82" s="1"/>
  <c r="F460" i="3" s="1"/>
  <c r="G212" i="82"/>
  <c r="G53" i="82" s="1"/>
  <c r="F212" i="82"/>
  <c r="F53" i="82" s="1"/>
  <c r="E212" i="82"/>
  <c r="E53" i="82" s="1"/>
  <c r="E55" i="82" s="1"/>
  <c r="C460" i="3" s="1"/>
  <c r="D212" i="82"/>
  <c r="D53" i="82" s="1"/>
  <c r="O211" i="82"/>
  <c r="O25" i="82" s="1"/>
  <c r="N211" i="82"/>
  <c r="N25" i="82" s="1"/>
  <c r="M211" i="82"/>
  <c r="M25" i="82" s="1"/>
  <c r="L211" i="82"/>
  <c r="L25" i="82" s="1"/>
  <c r="K211" i="82"/>
  <c r="J211" i="82"/>
  <c r="I211" i="82"/>
  <c r="I25" i="82" s="1"/>
  <c r="H211" i="82"/>
  <c r="H25" i="82" s="1"/>
  <c r="G211" i="82"/>
  <c r="G25" i="82" s="1"/>
  <c r="F211" i="82"/>
  <c r="F25" i="82" s="1"/>
  <c r="E211" i="82"/>
  <c r="E25" i="82" s="1"/>
  <c r="D211" i="82"/>
  <c r="D25" i="82" s="1"/>
  <c r="O209" i="82"/>
  <c r="N209" i="82"/>
  <c r="M209" i="82"/>
  <c r="L209" i="82"/>
  <c r="K209" i="82"/>
  <c r="J209" i="82"/>
  <c r="I209" i="82"/>
  <c r="H209" i="82"/>
  <c r="G209" i="82"/>
  <c r="F209" i="82"/>
  <c r="E209" i="82"/>
  <c r="D209" i="82"/>
  <c r="O197" i="82"/>
  <c r="N197" i="82"/>
  <c r="M197" i="82"/>
  <c r="L197" i="82"/>
  <c r="K197" i="82"/>
  <c r="J197" i="82"/>
  <c r="I197" i="82"/>
  <c r="H197" i="82"/>
  <c r="G197" i="82"/>
  <c r="F197" i="82"/>
  <c r="E197" i="82"/>
  <c r="D197" i="82"/>
  <c r="O183" i="82"/>
  <c r="O9" i="82" s="1"/>
  <c r="M377" i="2" s="1"/>
  <c r="Z377" i="2" s="1"/>
  <c r="N183" i="82"/>
  <c r="N9" i="82" s="1"/>
  <c r="L377" i="2" s="1"/>
  <c r="Y377" i="2" s="1"/>
  <c r="M183" i="82"/>
  <c r="M9" i="82" s="1"/>
  <c r="K377" i="2" s="1"/>
  <c r="X377" i="2" s="1"/>
  <c r="L183" i="82"/>
  <c r="L9" i="82" s="1"/>
  <c r="J377" i="2" s="1"/>
  <c r="W377" i="2" s="1"/>
  <c r="K183" i="82"/>
  <c r="K9" i="82" s="1"/>
  <c r="J183" i="82"/>
  <c r="J9" i="82" s="1"/>
  <c r="H377" i="2" s="1"/>
  <c r="U377" i="2" s="1"/>
  <c r="I183" i="82"/>
  <c r="I9" i="82" s="1"/>
  <c r="G377" i="2" s="1"/>
  <c r="T377" i="2" s="1"/>
  <c r="H183" i="82"/>
  <c r="H9" i="82" s="1"/>
  <c r="F377" i="2" s="1"/>
  <c r="S377" i="2" s="1"/>
  <c r="G183" i="82"/>
  <c r="F183" i="82"/>
  <c r="E183" i="82"/>
  <c r="D183" i="82"/>
  <c r="D9" i="82" s="1"/>
  <c r="B377" i="2" s="1"/>
  <c r="O377" i="2" s="1"/>
  <c r="O176" i="82"/>
  <c r="O24" i="82" s="1"/>
  <c r="N176" i="82"/>
  <c r="M176" i="82"/>
  <c r="M24" i="82" s="1"/>
  <c r="M26" i="82" s="1"/>
  <c r="K265" i="3" s="1"/>
  <c r="L176" i="82"/>
  <c r="L24" i="82" s="1"/>
  <c r="L26" i="82" s="1"/>
  <c r="J265" i="3" s="1"/>
  <c r="K176" i="82"/>
  <c r="K24" i="82" s="1"/>
  <c r="J176" i="82"/>
  <c r="J24" i="82" s="1"/>
  <c r="I176" i="82"/>
  <c r="I24" i="82" s="1"/>
  <c r="I26" i="82" s="1"/>
  <c r="G265" i="3" s="1"/>
  <c r="H176" i="82"/>
  <c r="H24" i="82" s="1"/>
  <c r="G176" i="82"/>
  <c r="G24" i="82" s="1"/>
  <c r="F176" i="82"/>
  <c r="F24" i="82" s="1"/>
  <c r="E176" i="82"/>
  <c r="E24" i="82" s="1"/>
  <c r="E26" i="82" s="1"/>
  <c r="D176" i="82"/>
  <c r="D24" i="82" s="1"/>
  <c r="D26" i="82" s="1"/>
  <c r="B265" i="3" s="1"/>
  <c r="O175" i="82"/>
  <c r="O20" i="82" s="1"/>
  <c r="N175" i="82"/>
  <c r="M175" i="82"/>
  <c r="M20" i="82" s="1"/>
  <c r="K84" i="3" s="1"/>
  <c r="L175" i="82"/>
  <c r="L20" i="82" s="1"/>
  <c r="K175" i="82"/>
  <c r="K20" i="82" s="1"/>
  <c r="I84" i="3" s="1"/>
  <c r="J175" i="82"/>
  <c r="J20" i="82" s="1"/>
  <c r="I175" i="82"/>
  <c r="I20" i="82" s="1"/>
  <c r="G84" i="3" s="1"/>
  <c r="H175" i="82"/>
  <c r="H20" i="82" s="1"/>
  <c r="G175" i="82"/>
  <c r="G20" i="82" s="1"/>
  <c r="F175" i="82"/>
  <c r="E175" i="82"/>
  <c r="E20" i="82" s="1"/>
  <c r="C84" i="3" s="1"/>
  <c r="D175" i="82"/>
  <c r="D20" i="82" s="1"/>
  <c r="O152" i="82"/>
  <c r="O8" i="82" s="1"/>
  <c r="N152" i="82"/>
  <c r="N8" i="82" s="1"/>
  <c r="L376" i="2" s="1"/>
  <c r="Y376" i="2" s="1"/>
  <c r="M152" i="82"/>
  <c r="M8" i="82" s="1"/>
  <c r="K376" i="2" s="1"/>
  <c r="X376" i="2" s="1"/>
  <c r="L152" i="82"/>
  <c r="L8" i="82" s="1"/>
  <c r="J376" i="2" s="1"/>
  <c r="W376" i="2" s="1"/>
  <c r="K152" i="82"/>
  <c r="K8" i="82" s="1"/>
  <c r="J152" i="82"/>
  <c r="J8" i="82" s="1"/>
  <c r="H376" i="2" s="1"/>
  <c r="U376" i="2" s="1"/>
  <c r="I152" i="82"/>
  <c r="I8" i="82" s="1"/>
  <c r="G376" i="2" s="1"/>
  <c r="H152" i="82"/>
  <c r="H8" i="82" s="1"/>
  <c r="F376" i="2" s="1"/>
  <c r="S376" i="2" s="1"/>
  <c r="G152" i="82"/>
  <c r="G8" i="82" s="1"/>
  <c r="E376" i="2" s="1"/>
  <c r="R376" i="2" s="1"/>
  <c r="F152" i="82"/>
  <c r="E152" i="82"/>
  <c r="E8" i="82" s="1"/>
  <c r="C376" i="2" s="1"/>
  <c r="D152" i="82"/>
  <c r="D8" i="82" s="1"/>
  <c r="O145" i="82"/>
  <c r="O22" i="82" s="1"/>
  <c r="M92" i="3" s="1"/>
  <c r="N145" i="82"/>
  <c r="N22" i="82" s="1"/>
  <c r="L92" i="3" s="1"/>
  <c r="M145" i="82"/>
  <c r="M22" i="82" s="1"/>
  <c r="K92" i="3" s="1"/>
  <c r="L145" i="82"/>
  <c r="L22" i="82" s="1"/>
  <c r="J92" i="3" s="1"/>
  <c r="K145" i="82"/>
  <c r="K22" i="82" s="1"/>
  <c r="J145" i="82"/>
  <c r="I145" i="82"/>
  <c r="I22" i="82" s="1"/>
  <c r="G92" i="3" s="1"/>
  <c r="H145" i="82"/>
  <c r="H22" i="82" s="1"/>
  <c r="F92" i="3" s="1"/>
  <c r="G145" i="82"/>
  <c r="G22" i="82" s="1"/>
  <c r="E92" i="3" s="1"/>
  <c r="F145" i="82"/>
  <c r="F22" i="82" s="1"/>
  <c r="D92" i="3" s="1"/>
  <c r="E145" i="82"/>
  <c r="E22" i="82" s="1"/>
  <c r="C92" i="3" s="1"/>
  <c r="D145" i="82"/>
  <c r="D22" i="82" s="1"/>
  <c r="B92" i="3" s="1"/>
  <c r="O128" i="82"/>
  <c r="O7" i="82" s="1"/>
  <c r="N128" i="82"/>
  <c r="M128" i="82"/>
  <c r="L128" i="82"/>
  <c r="L7" i="82" s="1"/>
  <c r="K128" i="82"/>
  <c r="K7" i="82" s="1"/>
  <c r="J128" i="82"/>
  <c r="J7" i="82" s="1"/>
  <c r="I128" i="82"/>
  <c r="I7" i="82" s="1"/>
  <c r="G375" i="2" s="1"/>
  <c r="T375" i="2" s="1"/>
  <c r="H128" i="82"/>
  <c r="H7" i="82" s="1"/>
  <c r="F375" i="2" s="1"/>
  <c r="G128" i="82"/>
  <c r="G7" i="82" s="1"/>
  <c r="E375" i="2" s="1"/>
  <c r="R375" i="2" s="1"/>
  <c r="F128" i="82"/>
  <c r="F7" i="82" s="1"/>
  <c r="E128" i="82"/>
  <c r="E7" i="82" s="1"/>
  <c r="C375" i="2" s="1"/>
  <c r="P375" i="2" s="1"/>
  <c r="D128" i="82"/>
  <c r="D7" i="82" s="1"/>
  <c r="O121" i="82"/>
  <c r="O46" i="82" s="1"/>
  <c r="M448" i="3" s="1"/>
  <c r="N121" i="82"/>
  <c r="N46" i="82" s="1"/>
  <c r="L448" i="3" s="1"/>
  <c r="M121" i="82"/>
  <c r="M46" i="82" s="1"/>
  <c r="K448" i="3" s="1"/>
  <c r="L121" i="82"/>
  <c r="L46" i="82" s="1"/>
  <c r="J448" i="3" s="1"/>
  <c r="K121" i="82"/>
  <c r="K46" i="82" s="1"/>
  <c r="I448" i="3" s="1"/>
  <c r="J121" i="82"/>
  <c r="I121" i="82"/>
  <c r="I46" i="82" s="1"/>
  <c r="G448" i="3" s="1"/>
  <c r="H121" i="82"/>
  <c r="H46" i="82" s="1"/>
  <c r="F448" i="3" s="1"/>
  <c r="G121" i="82"/>
  <c r="G46" i="82" s="1"/>
  <c r="E448" i="3" s="1"/>
  <c r="F121" i="82"/>
  <c r="F46" i="82" s="1"/>
  <c r="D448" i="3" s="1"/>
  <c r="E121" i="82"/>
  <c r="E46" i="82" s="1"/>
  <c r="D121" i="82"/>
  <c r="D46" i="82" s="1"/>
  <c r="B448" i="3" s="1"/>
  <c r="O120" i="82"/>
  <c r="O43" i="82" s="1"/>
  <c r="N120" i="82"/>
  <c r="M120" i="82"/>
  <c r="M43" i="82" s="1"/>
  <c r="L120" i="82"/>
  <c r="L43" i="82" s="1"/>
  <c r="K120" i="82"/>
  <c r="K43" i="82" s="1"/>
  <c r="J120" i="82"/>
  <c r="J43" i="82" s="1"/>
  <c r="I120" i="82"/>
  <c r="I43" i="82" s="1"/>
  <c r="H120" i="82"/>
  <c r="H43" i="82" s="1"/>
  <c r="G120" i="82"/>
  <c r="G43" i="82" s="1"/>
  <c r="F120" i="82"/>
  <c r="E120" i="82"/>
  <c r="E43" i="82" s="1"/>
  <c r="D120" i="82"/>
  <c r="D43" i="82" s="1"/>
  <c r="O119" i="82"/>
  <c r="O40" i="82" s="1"/>
  <c r="M446" i="3" s="1"/>
  <c r="N119" i="82"/>
  <c r="N40" i="82" s="1"/>
  <c r="L446" i="3" s="1"/>
  <c r="M119" i="82"/>
  <c r="M40" i="82" s="1"/>
  <c r="K446" i="3" s="1"/>
  <c r="L119" i="82"/>
  <c r="L40" i="82" s="1"/>
  <c r="J446" i="3" s="1"/>
  <c r="K119" i="82"/>
  <c r="K40" i="82" s="1"/>
  <c r="I446" i="3" s="1"/>
  <c r="J119" i="82"/>
  <c r="J40" i="82" s="1"/>
  <c r="I119" i="82"/>
  <c r="I40" i="82" s="1"/>
  <c r="G446" i="3" s="1"/>
  <c r="H119" i="82"/>
  <c r="H40" i="82" s="1"/>
  <c r="F446" i="3" s="1"/>
  <c r="G119" i="82"/>
  <c r="G40" i="82" s="1"/>
  <c r="F119" i="82"/>
  <c r="F40" i="82" s="1"/>
  <c r="D446" i="3" s="1"/>
  <c r="E119" i="82"/>
  <c r="E40" i="82" s="1"/>
  <c r="C446" i="3" s="1"/>
  <c r="D119" i="82"/>
  <c r="D40" i="82" s="1"/>
  <c r="B446" i="3" s="1"/>
  <c r="O114" i="82"/>
  <c r="N114" i="82"/>
  <c r="M114" i="82"/>
  <c r="L114" i="82"/>
  <c r="K114" i="82"/>
  <c r="J114" i="82"/>
  <c r="I114" i="82"/>
  <c r="H114" i="82"/>
  <c r="G114" i="82"/>
  <c r="F114" i="82"/>
  <c r="E114" i="82"/>
  <c r="D114" i="82"/>
  <c r="O98" i="82"/>
  <c r="N98" i="82"/>
  <c r="M98" i="82"/>
  <c r="L98" i="82"/>
  <c r="K98" i="82"/>
  <c r="J98" i="82"/>
  <c r="I98" i="82"/>
  <c r="H98" i="82"/>
  <c r="G98" i="82"/>
  <c r="F98" i="82"/>
  <c r="E98" i="82"/>
  <c r="D98" i="82"/>
  <c r="O90" i="82"/>
  <c r="N90" i="82"/>
  <c r="M90" i="82"/>
  <c r="L90" i="82"/>
  <c r="K90" i="82"/>
  <c r="J90" i="82"/>
  <c r="I90" i="82"/>
  <c r="H90" i="82"/>
  <c r="G90" i="82"/>
  <c r="F90" i="82"/>
  <c r="E90" i="82"/>
  <c r="D90" i="82"/>
  <c r="O78" i="82"/>
  <c r="N78" i="82"/>
  <c r="M78" i="82"/>
  <c r="L78" i="82"/>
  <c r="K78" i="82"/>
  <c r="J78" i="82"/>
  <c r="I78" i="82"/>
  <c r="H78" i="82"/>
  <c r="G78" i="82"/>
  <c r="F78" i="82"/>
  <c r="E78" i="82"/>
  <c r="D78" i="82"/>
  <c r="O74" i="82"/>
  <c r="N74" i="82"/>
  <c r="M74" i="82"/>
  <c r="L74" i="82"/>
  <c r="K74" i="82"/>
  <c r="J74" i="82"/>
  <c r="I74" i="82"/>
  <c r="H74" i="82"/>
  <c r="G74" i="82"/>
  <c r="F74" i="82"/>
  <c r="E74" i="82"/>
  <c r="D74" i="82"/>
  <c r="O71" i="82"/>
  <c r="N71" i="82"/>
  <c r="M71" i="82"/>
  <c r="L71" i="82"/>
  <c r="K71" i="82"/>
  <c r="J71" i="82"/>
  <c r="I71" i="82"/>
  <c r="H71" i="82"/>
  <c r="G71" i="82"/>
  <c r="F71" i="82"/>
  <c r="E71" i="82"/>
  <c r="D71" i="82"/>
  <c r="O68" i="82"/>
  <c r="O4" i="82" s="1"/>
  <c r="N68" i="82"/>
  <c r="M68" i="82"/>
  <c r="M4" i="82" s="1"/>
  <c r="M17" i="82" s="1"/>
  <c r="L68" i="82"/>
  <c r="L4" i="82" s="1"/>
  <c r="J384" i="2" s="1"/>
  <c r="W384" i="2" s="1"/>
  <c r="K68" i="82"/>
  <c r="K4" i="82" s="1"/>
  <c r="K17" i="82" s="1"/>
  <c r="J68" i="82"/>
  <c r="J4" i="82" s="1"/>
  <c r="I68" i="82"/>
  <c r="I4" i="82" s="1"/>
  <c r="I17" i="82" s="1"/>
  <c r="H68" i="82"/>
  <c r="H4" i="82" s="1"/>
  <c r="G68" i="82"/>
  <c r="G4" i="82" s="1"/>
  <c r="G17" i="82" s="1"/>
  <c r="F68" i="82"/>
  <c r="F4" i="82" s="1"/>
  <c r="E68" i="82"/>
  <c r="E4" i="82" s="1"/>
  <c r="E17" i="82" s="1"/>
  <c r="D68" i="82"/>
  <c r="O54" i="82"/>
  <c r="N54" i="82"/>
  <c r="J54" i="82"/>
  <c r="F54" i="82"/>
  <c r="J53" i="82"/>
  <c r="J55" i="82" s="1"/>
  <c r="N50" i="82"/>
  <c r="J50" i="82"/>
  <c r="F50" i="82"/>
  <c r="O49" i="82"/>
  <c r="N49" i="82"/>
  <c r="J49" i="82"/>
  <c r="F49" i="82"/>
  <c r="F48" i="82"/>
  <c r="J46" i="82"/>
  <c r="N43" i="82"/>
  <c r="F43" i="82"/>
  <c r="N42" i="82"/>
  <c r="F42" i="82"/>
  <c r="N37" i="82"/>
  <c r="J37" i="82"/>
  <c r="F37" i="82"/>
  <c r="J36" i="82"/>
  <c r="G36" i="82"/>
  <c r="D36" i="82"/>
  <c r="D38" i="82" s="1"/>
  <c r="N33" i="82"/>
  <c r="J33" i="82"/>
  <c r="F33" i="82"/>
  <c r="D33" i="82"/>
  <c r="N32" i="82"/>
  <c r="J32" i="82"/>
  <c r="F32" i="82"/>
  <c r="F34" i="82" s="1"/>
  <c r="D439" i="3" s="1"/>
  <c r="N30" i="82"/>
  <c r="J30" i="82"/>
  <c r="H419" i="3" s="1"/>
  <c r="F30" i="82"/>
  <c r="N28" i="82"/>
  <c r="J28" i="82"/>
  <c r="F28" i="82"/>
  <c r="K25" i="82"/>
  <c r="J25" i="82"/>
  <c r="N24" i="82"/>
  <c r="J22" i="82"/>
  <c r="H92" i="3" s="1"/>
  <c r="N20" i="82"/>
  <c r="F20" i="82"/>
  <c r="F14" i="82"/>
  <c r="M13" i="82"/>
  <c r="G13" i="82"/>
  <c r="E381" i="2" s="1"/>
  <c r="R381" i="2" s="1"/>
  <c r="N12" i="82"/>
  <c r="M12" i="82"/>
  <c r="K380" i="2" s="1"/>
  <c r="X380" i="2" s="1"/>
  <c r="F12" i="82"/>
  <c r="N11" i="82"/>
  <c r="L379" i="2" s="1"/>
  <c r="Y379" i="2" s="1"/>
  <c r="J11" i="82"/>
  <c r="I11" i="82"/>
  <c r="G379" i="2" s="1"/>
  <c r="T379" i="2" s="1"/>
  <c r="N10" i="82"/>
  <c r="J10" i="82"/>
  <c r="H378" i="2" s="1"/>
  <c r="U378" i="2" s="1"/>
  <c r="F10" i="82"/>
  <c r="E10" i="82"/>
  <c r="C378" i="2" s="1"/>
  <c r="P378" i="2" s="1"/>
  <c r="G9" i="82"/>
  <c r="E377" i="2" s="1"/>
  <c r="R377" i="2" s="1"/>
  <c r="F9" i="82"/>
  <c r="E9" i="82"/>
  <c r="F8" i="82"/>
  <c r="N7" i="82"/>
  <c r="M7" i="82"/>
  <c r="N4" i="82"/>
  <c r="N17" i="82" s="1"/>
  <c r="D4" i="82"/>
  <c r="B384" i="2" s="1"/>
  <c r="O384" i="2" s="1"/>
  <c r="O60" i="59"/>
  <c r="N60" i="59"/>
  <c r="M60" i="59"/>
  <c r="L60" i="59"/>
  <c r="K60" i="59"/>
  <c r="J60" i="59"/>
  <c r="I60" i="59"/>
  <c r="H60" i="59"/>
  <c r="G60" i="59"/>
  <c r="F60" i="59"/>
  <c r="E60" i="59"/>
  <c r="D60" i="59"/>
  <c r="O56" i="59"/>
  <c r="N56" i="59"/>
  <c r="M56" i="59"/>
  <c r="L56" i="59"/>
  <c r="K56" i="59"/>
  <c r="J56" i="59"/>
  <c r="I56" i="59"/>
  <c r="H56" i="59"/>
  <c r="G56" i="59"/>
  <c r="F56" i="59"/>
  <c r="E56" i="59"/>
  <c r="D56" i="59"/>
  <c r="O53" i="59"/>
  <c r="N53" i="59"/>
  <c r="M53" i="59"/>
  <c r="L53" i="59"/>
  <c r="K53" i="59"/>
  <c r="J53" i="59"/>
  <c r="I53" i="59"/>
  <c r="H53" i="59"/>
  <c r="G53" i="59"/>
  <c r="F53" i="59"/>
  <c r="E53" i="59"/>
  <c r="D53" i="59"/>
  <c r="O49" i="59"/>
  <c r="N49" i="59"/>
  <c r="M49" i="59"/>
  <c r="L49" i="59"/>
  <c r="K49" i="59"/>
  <c r="J49" i="59"/>
  <c r="I49" i="59"/>
  <c r="H49" i="59"/>
  <c r="G49" i="59"/>
  <c r="F49" i="59"/>
  <c r="E49" i="59"/>
  <c r="D49" i="59"/>
  <c r="O45" i="59"/>
  <c r="N45" i="59"/>
  <c r="M45" i="59"/>
  <c r="L45" i="59"/>
  <c r="K45" i="59"/>
  <c r="J45" i="59"/>
  <c r="I45" i="59"/>
  <c r="H45" i="59"/>
  <c r="G45" i="59"/>
  <c r="F45" i="59"/>
  <c r="E45" i="59"/>
  <c r="D45" i="59"/>
  <c r="O41" i="59"/>
  <c r="N41" i="59"/>
  <c r="M41" i="59"/>
  <c r="L41" i="59"/>
  <c r="K41" i="59"/>
  <c r="J41" i="59"/>
  <c r="I41" i="59"/>
  <c r="H41" i="59"/>
  <c r="G41" i="59"/>
  <c r="F41" i="59"/>
  <c r="E41" i="59"/>
  <c r="D41" i="59"/>
  <c r="O38" i="59"/>
  <c r="N38" i="59"/>
  <c r="M38" i="59"/>
  <c r="L38" i="59"/>
  <c r="K38" i="59"/>
  <c r="J38" i="59"/>
  <c r="I38" i="59"/>
  <c r="H38" i="59"/>
  <c r="G38" i="59"/>
  <c r="F38" i="59"/>
  <c r="E38" i="59"/>
  <c r="D38" i="59"/>
  <c r="O34" i="59"/>
  <c r="N34" i="59"/>
  <c r="M34" i="59"/>
  <c r="L34" i="59"/>
  <c r="K34" i="59"/>
  <c r="J34" i="59"/>
  <c r="I34" i="59"/>
  <c r="H34" i="59"/>
  <c r="G34" i="59"/>
  <c r="F34" i="59"/>
  <c r="E34" i="59"/>
  <c r="D34" i="59"/>
  <c r="O31" i="59"/>
  <c r="N31" i="59"/>
  <c r="M31" i="59"/>
  <c r="L31" i="59"/>
  <c r="K31" i="59"/>
  <c r="J31" i="59"/>
  <c r="I31" i="59"/>
  <c r="H31" i="59"/>
  <c r="G31" i="59"/>
  <c r="F31" i="59"/>
  <c r="E31" i="59"/>
  <c r="D31" i="59"/>
  <c r="I17" i="59"/>
  <c r="O15" i="59"/>
  <c r="E15" i="59"/>
  <c r="O12" i="59"/>
  <c r="N12" i="59"/>
  <c r="M12" i="59"/>
  <c r="L12" i="59"/>
  <c r="K12" i="59"/>
  <c r="J12" i="59"/>
  <c r="J19" i="59" s="1"/>
  <c r="I12" i="59"/>
  <c r="H12" i="59"/>
  <c r="G12" i="59"/>
  <c r="F12" i="59"/>
  <c r="E12" i="59"/>
  <c r="D12" i="59"/>
  <c r="F11" i="59"/>
  <c r="F13" i="59" s="1"/>
  <c r="O9" i="59"/>
  <c r="M89" i="3" s="1"/>
  <c r="N9" i="59"/>
  <c r="M9" i="59"/>
  <c r="L9" i="59"/>
  <c r="K9" i="59"/>
  <c r="J9" i="59"/>
  <c r="I9" i="59"/>
  <c r="H9" i="59"/>
  <c r="G9" i="59"/>
  <c r="F9" i="59"/>
  <c r="E9" i="59"/>
  <c r="D9" i="59"/>
  <c r="O7" i="59"/>
  <c r="M27" i="3" s="1"/>
  <c r="N7" i="59"/>
  <c r="M7" i="59"/>
  <c r="L7" i="59"/>
  <c r="L19" i="59" s="1"/>
  <c r="K7" i="59"/>
  <c r="J7" i="59"/>
  <c r="I7" i="59"/>
  <c r="H7" i="59"/>
  <c r="H19" i="59" s="1"/>
  <c r="G7" i="59"/>
  <c r="F7" i="59"/>
  <c r="E7" i="59"/>
  <c r="D7" i="59"/>
  <c r="D19" i="59" s="1"/>
  <c r="O3" i="59"/>
  <c r="O5" i="59" s="1"/>
  <c r="N3" i="59"/>
  <c r="N5" i="59" s="1"/>
  <c r="M3" i="59"/>
  <c r="M5" i="59" s="1"/>
  <c r="L3" i="59"/>
  <c r="J145" i="2" s="1"/>
  <c r="W145" i="2" s="1"/>
  <c r="K3" i="59"/>
  <c r="K5" i="59" s="1"/>
  <c r="J3" i="59"/>
  <c r="J5" i="59" s="1"/>
  <c r="I3" i="59"/>
  <c r="I5" i="59" s="1"/>
  <c r="H3" i="59"/>
  <c r="F145" i="2" s="1"/>
  <c r="S145" i="2" s="1"/>
  <c r="G3" i="59"/>
  <c r="G5" i="59" s="1"/>
  <c r="F3" i="59"/>
  <c r="F5" i="59" s="1"/>
  <c r="E3" i="59"/>
  <c r="E5" i="59" s="1"/>
  <c r="D3" i="59"/>
  <c r="B145" i="2" s="1"/>
  <c r="O145" i="2" s="1"/>
  <c r="O227" i="81"/>
  <c r="O38" i="81" s="1"/>
  <c r="M394" i="3" s="1"/>
  <c r="N227" i="81"/>
  <c r="N38" i="81" s="1"/>
  <c r="L394" i="3" s="1"/>
  <c r="M227" i="81"/>
  <c r="M38" i="81" s="1"/>
  <c r="K394" i="3" s="1"/>
  <c r="L227" i="81"/>
  <c r="K227" i="81"/>
  <c r="K38" i="81" s="1"/>
  <c r="I394" i="3" s="1"/>
  <c r="J227" i="81"/>
  <c r="J38" i="81" s="1"/>
  <c r="H394" i="3" s="1"/>
  <c r="I227" i="81"/>
  <c r="I38" i="81" s="1"/>
  <c r="G394" i="3" s="1"/>
  <c r="H227" i="81"/>
  <c r="G227" i="81"/>
  <c r="G38" i="81" s="1"/>
  <c r="E394" i="3" s="1"/>
  <c r="F227" i="81"/>
  <c r="F38" i="81" s="1"/>
  <c r="D394" i="3" s="1"/>
  <c r="E227" i="81"/>
  <c r="E38" i="81" s="1"/>
  <c r="C394" i="3" s="1"/>
  <c r="D227" i="81"/>
  <c r="O226" i="81"/>
  <c r="O36" i="81" s="1"/>
  <c r="M397" i="3" s="1"/>
  <c r="N226" i="81"/>
  <c r="N36" i="81" s="1"/>
  <c r="L397" i="3" s="1"/>
  <c r="M226" i="81"/>
  <c r="M36" i="81" s="1"/>
  <c r="K397" i="3" s="1"/>
  <c r="L226" i="81"/>
  <c r="K226" i="81"/>
  <c r="J226" i="81"/>
  <c r="J36" i="81" s="1"/>
  <c r="H397" i="3" s="1"/>
  <c r="I226" i="81"/>
  <c r="I36" i="81" s="1"/>
  <c r="G397" i="3" s="1"/>
  <c r="H226" i="81"/>
  <c r="G226" i="81"/>
  <c r="G36" i="81" s="1"/>
  <c r="E397" i="3" s="1"/>
  <c r="F226" i="81"/>
  <c r="F36" i="81" s="1"/>
  <c r="D397" i="3" s="1"/>
  <c r="E226" i="81"/>
  <c r="E36" i="81" s="1"/>
  <c r="C397" i="3" s="1"/>
  <c r="D226" i="81"/>
  <c r="O225" i="81"/>
  <c r="O34" i="81" s="1"/>
  <c r="M396" i="3" s="1"/>
  <c r="N225" i="81"/>
  <c r="N34" i="81" s="1"/>
  <c r="L396" i="3" s="1"/>
  <c r="M225" i="81"/>
  <c r="M34" i="81" s="1"/>
  <c r="K396" i="3" s="1"/>
  <c r="L225" i="81"/>
  <c r="K225" i="81"/>
  <c r="J225" i="81"/>
  <c r="J34" i="81" s="1"/>
  <c r="H396" i="3" s="1"/>
  <c r="I225" i="81"/>
  <c r="I34" i="81" s="1"/>
  <c r="G396" i="3" s="1"/>
  <c r="H225" i="81"/>
  <c r="G225" i="81"/>
  <c r="G34" i="81" s="1"/>
  <c r="F225" i="81"/>
  <c r="F34" i="81" s="1"/>
  <c r="D396" i="3" s="1"/>
  <c r="E225" i="81"/>
  <c r="E34" i="81" s="1"/>
  <c r="C396" i="3" s="1"/>
  <c r="D225" i="81"/>
  <c r="O224" i="81"/>
  <c r="O32" i="81" s="1"/>
  <c r="M393" i="3" s="1"/>
  <c r="N224" i="81"/>
  <c r="N32" i="81" s="1"/>
  <c r="L393" i="3" s="1"/>
  <c r="M224" i="81"/>
  <c r="M32" i="81" s="1"/>
  <c r="K393" i="3" s="1"/>
  <c r="L224" i="81"/>
  <c r="K224" i="81"/>
  <c r="K32" i="81" s="1"/>
  <c r="I393" i="3" s="1"/>
  <c r="J224" i="81"/>
  <c r="J32" i="81" s="1"/>
  <c r="H393" i="3" s="1"/>
  <c r="I224" i="81"/>
  <c r="I32" i="81" s="1"/>
  <c r="G393" i="3" s="1"/>
  <c r="H224" i="81"/>
  <c r="G224" i="81"/>
  <c r="G32" i="81" s="1"/>
  <c r="F224" i="81"/>
  <c r="F32" i="81" s="1"/>
  <c r="D393" i="3" s="1"/>
  <c r="E224" i="81"/>
  <c r="E32" i="81" s="1"/>
  <c r="C393" i="3" s="1"/>
  <c r="D224" i="81"/>
  <c r="O223" i="81"/>
  <c r="O30" i="81" s="1"/>
  <c r="M395" i="3" s="1"/>
  <c r="N223" i="81"/>
  <c r="N30" i="81" s="1"/>
  <c r="L395" i="3" s="1"/>
  <c r="M223" i="81"/>
  <c r="M30" i="81" s="1"/>
  <c r="L223" i="81"/>
  <c r="K223" i="81"/>
  <c r="K30" i="81" s="1"/>
  <c r="I395" i="3" s="1"/>
  <c r="J223" i="81"/>
  <c r="J30" i="81" s="1"/>
  <c r="H395" i="3" s="1"/>
  <c r="I223" i="81"/>
  <c r="I30" i="81" s="1"/>
  <c r="G395" i="3" s="1"/>
  <c r="H223" i="81"/>
  <c r="G223" i="81"/>
  <c r="G30" i="81" s="1"/>
  <c r="E395" i="3" s="1"/>
  <c r="F223" i="81"/>
  <c r="F30" i="81" s="1"/>
  <c r="D395" i="3" s="1"/>
  <c r="E223" i="81"/>
  <c r="E30" i="81" s="1"/>
  <c r="C395" i="3" s="1"/>
  <c r="D223" i="81"/>
  <c r="O222" i="81"/>
  <c r="O23" i="81" s="1"/>
  <c r="N222" i="81"/>
  <c r="N23" i="81" s="1"/>
  <c r="M222" i="81"/>
  <c r="M23" i="81" s="1"/>
  <c r="L222" i="81"/>
  <c r="K222" i="81"/>
  <c r="K23" i="81" s="1"/>
  <c r="J222" i="81"/>
  <c r="J23" i="81" s="1"/>
  <c r="I222" i="81"/>
  <c r="I23" i="81" s="1"/>
  <c r="H222" i="81"/>
  <c r="G222" i="81"/>
  <c r="F222" i="81"/>
  <c r="F23" i="81" s="1"/>
  <c r="E222" i="81"/>
  <c r="E23" i="81" s="1"/>
  <c r="D222" i="81"/>
  <c r="O218" i="81"/>
  <c r="N218" i="81"/>
  <c r="M218" i="81"/>
  <c r="L218" i="81"/>
  <c r="K218" i="81"/>
  <c r="J218" i="81"/>
  <c r="I218" i="81"/>
  <c r="H218" i="81"/>
  <c r="G218" i="81"/>
  <c r="F218" i="81"/>
  <c r="E218" i="81"/>
  <c r="D218" i="81"/>
  <c r="O211" i="81"/>
  <c r="N211" i="81"/>
  <c r="M211" i="81"/>
  <c r="L211" i="81"/>
  <c r="K211" i="81"/>
  <c r="J211" i="81"/>
  <c r="I211" i="81"/>
  <c r="H211" i="81"/>
  <c r="G211" i="81"/>
  <c r="F211" i="81"/>
  <c r="E211" i="81"/>
  <c r="D211" i="81"/>
  <c r="O204" i="81"/>
  <c r="N204" i="81"/>
  <c r="M204" i="81"/>
  <c r="L204" i="81"/>
  <c r="K204" i="81"/>
  <c r="J204" i="81"/>
  <c r="I204" i="81"/>
  <c r="H204" i="81"/>
  <c r="G204" i="81"/>
  <c r="F204" i="81"/>
  <c r="E204" i="81"/>
  <c r="D204" i="81"/>
  <c r="O199" i="81"/>
  <c r="N199" i="81"/>
  <c r="M199" i="81"/>
  <c r="L199" i="81"/>
  <c r="K199" i="81"/>
  <c r="J199" i="81"/>
  <c r="I199" i="81"/>
  <c r="H199" i="81"/>
  <c r="G199" i="81"/>
  <c r="F199" i="81"/>
  <c r="E199" i="81"/>
  <c r="D199" i="81"/>
  <c r="O195" i="81"/>
  <c r="N195" i="81"/>
  <c r="M195" i="81"/>
  <c r="L195" i="81"/>
  <c r="K195" i="81"/>
  <c r="J195" i="81"/>
  <c r="I195" i="81"/>
  <c r="H195" i="81"/>
  <c r="G195" i="81"/>
  <c r="F195" i="81"/>
  <c r="E195" i="81"/>
  <c r="D195" i="81"/>
  <c r="O191" i="81"/>
  <c r="N191" i="81"/>
  <c r="M191" i="81"/>
  <c r="L191" i="81"/>
  <c r="K191" i="81"/>
  <c r="J191" i="81"/>
  <c r="I191" i="81"/>
  <c r="H191" i="81"/>
  <c r="G191" i="81"/>
  <c r="F191" i="81"/>
  <c r="E191" i="81"/>
  <c r="D191" i="81"/>
  <c r="O187" i="81"/>
  <c r="N187" i="81"/>
  <c r="M187" i="81"/>
  <c r="L187" i="81"/>
  <c r="K187" i="81"/>
  <c r="J187" i="81"/>
  <c r="I187" i="81"/>
  <c r="H187" i="81"/>
  <c r="G187" i="81"/>
  <c r="F187" i="81"/>
  <c r="E187" i="81"/>
  <c r="D187" i="81"/>
  <c r="O181" i="81"/>
  <c r="N181" i="81"/>
  <c r="M181" i="81"/>
  <c r="L181" i="81"/>
  <c r="K181" i="81"/>
  <c r="J181" i="81"/>
  <c r="I181" i="81"/>
  <c r="H181" i="81"/>
  <c r="G181" i="81"/>
  <c r="F181" i="81"/>
  <c r="E181" i="81"/>
  <c r="D181" i="81"/>
  <c r="O177" i="81"/>
  <c r="N177" i="81"/>
  <c r="M177" i="81"/>
  <c r="L177" i="81"/>
  <c r="K177" i="81"/>
  <c r="J177" i="81"/>
  <c r="I177" i="81"/>
  <c r="H177" i="81"/>
  <c r="G177" i="81"/>
  <c r="F177" i="81"/>
  <c r="E177" i="81"/>
  <c r="D177" i="81"/>
  <c r="O174" i="81"/>
  <c r="O8" i="81" s="1"/>
  <c r="M435" i="2" s="1"/>
  <c r="Z435" i="2" s="1"/>
  <c r="N174" i="81"/>
  <c r="N8" i="81" s="1"/>
  <c r="L435" i="2" s="1"/>
  <c r="Y435" i="2" s="1"/>
  <c r="M174" i="81"/>
  <c r="M8" i="81" s="1"/>
  <c r="L174" i="81"/>
  <c r="K174" i="81"/>
  <c r="K8" i="81" s="1"/>
  <c r="I435" i="2" s="1"/>
  <c r="V435" i="2" s="1"/>
  <c r="J174" i="81"/>
  <c r="J8" i="81" s="1"/>
  <c r="H435" i="2" s="1"/>
  <c r="U435" i="2" s="1"/>
  <c r="I174" i="81"/>
  <c r="I8" i="81" s="1"/>
  <c r="H174" i="81"/>
  <c r="G174" i="81"/>
  <c r="F174" i="81"/>
  <c r="F8" i="81" s="1"/>
  <c r="D435" i="2" s="1"/>
  <c r="Q435" i="2" s="1"/>
  <c r="E174" i="81"/>
  <c r="E8" i="81" s="1"/>
  <c r="D174" i="81"/>
  <c r="M41" i="81"/>
  <c r="I41" i="81"/>
  <c r="E41" i="81"/>
  <c r="M28" i="81"/>
  <c r="K378" i="3" s="1"/>
  <c r="I28" i="81"/>
  <c r="G378" i="3" s="1"/>
  <c r="E28" i="81"/>
  <c r="C378" i="3" s="1"/>
  <c r="M26" i="81"/>
  <c r="I26" i="81"/>
  <c r="E26" i="81"/>
  <c r="O159" i="81"/>
  <c r="N159" i="81"/>
  <c r="M159" i="81"/>
  <c r="L159" i="81"/>
  <c r="K159" i="81"/>
  <c r="J159" i="81"/>
  <c r="I159" i="81"/>
  <c r="H159" i="81"/>
  <c r="G159" i="81"/>
  <c r="F159" i="81"/>
  <c r="E159" i="81"/>
  <c r="D159" i="81"/>
  <c r="O152" i="81"/>
  <c r="N152" i="81"/>
  <c r="M152" i="81"/>
  <c r="L152" i="81"/>
  <c r="K152" i="81"/>
  <c r="J152" i="81"/>
  <c r="I152" i="81"/>
  <c r="H152" i="81"/>
  <c r="G152" i="81"/>
  <c r="F152" i="81"/>
  <c r="E152" i="81"/>
  <c r="D152" i="81"/>
  <c r="O147" i="81"/>
  <c r="N147" i="81"/>
  <c r="M147" i="81"/>
  <c r="L147" i="81"/>
  <c r="K147" i="81"/>
  <c r="J147" i="81"/>
  <c r="I147" i="81"/>
  <c r="H147" i="81"/>
  <c r="G147" i="81"/>
  <c r="F147" i="81"/>
  <c r="E147" i="81"/>
  <c r="D147" i="81"/>
  <c r="O135" i="81"/>
  <c r="N135" i="81"/>
  <c r="M135" i="81"/>
  <c r="L135" i="81"/>
  <c r="K135" i="81"/>
  <c r="J135" i="81"/>
  <c r="I135" i="81"/>
  <c r="H135" i="81"/>
  <c r="G135" i="81"/>
  <c r="F135" i="81"/>
  <c r="E135" i="81"/>
  <c r="D135" i="81"/>
  <c r="O131" i="81"/>
  <c r="N131" i="81"/>
  <c r="M131" i="81"/>
  <c r="L131" i="81"/>
  <c r="K131" i="81"/>
  <c r="J131" i="81"/>
  <c r="I131" i="81"/>
  <c r="H131" i="81"/>
  <c r="G131" i="81"/>
  <c r="F131" i="81"/>
  <c r="E131" i="81"/>
  <c r="D131" i="81"/>
  <c r="O7" i="81"/>
  <c r="N7" i="81"/>
  <c r="M7" i="81"/>
  <c r="J7" i="81"/>
  <c r="I7" i="81"/>
  <c r="F7" i="81"/>
  <c r="E7" i="81"/>
  <c r="O20" i="81"/>
  <c r="M141" i="3" s="1"/>
  <c r="N20" i="81"/>
  <c r="L141" i="3" s="1"/>
  <c r="M20" i="81"/>
  <c r="K141" i="3" s="1"/>
  <c r="K20" i="81"/>
  <c r="I141" i="3" s="1"/>
  <c r="J20" i="81"/>
  <c r="H141" i="3" s="1"/>
  <c r="I20" i="81"/>
  <c r="G141" i="3" s="1"/>
  <c r="G20" i="81"/>
  <c r="E141" i="3" s="1"/>
  <c r="F20" i="81"/>
  <c r="D141" i="3" s="1"/>
  <c r="E20" i="81"/>
  <c r="C141" i="3" s="1"/>
  <c r="O18" i="81"/>
  <c r="M143" i="3" s="1"/>
  <c r="N18" i="81"/>
  <c r="L143" i="3" s="1"/>
  <c r="M18" i="81"/>
  <c r="K18" i="81"/>
  <c r="I143" i="3" s="1"/>
  <c r="J18" i="81"/>
  <c r="H143" i="3" s="1"/>
  <c r="I18" i="81"/>
  <c r="G143" i="3" s="1"/>
  <c r="G18" i="81"/>
  <c r="E143" i="3" s="1"/>
  <c r="F18" i="81"/>
  <c r="D143" i="3" s="1"/>
  <c r="E18" i="81"/>
  <c r="C143" i="3" s="1"/>
  <c r="O16" i="81"/>
  <c r="M142" i="3" s="1"/>
  <c r="N16" i="81"/>
  <c r="L142" i="3" s="1"/>
  <c r="M16" i="81"/>
  <c r="K142" i="3" s="1"/>
  <c r="L16" i="81"/>
  <c r="J142" i="3" s="1"/>
  <c r="K16" i="81"/>
  <c r="I142" i="3" s="1"/>
  <c r="J16" i="81"/>
  <c r="H142" i="3" s="1"/>
  <c r="I16" i="81"/>
  <c r="G142" i="3" s="1"/>
  <c r="F16" i="81"/>
  <c r="D142" i="3" s="1"/>
  <c r="E16" i="81"/>
  <c r="C142" i="3" s="1"/>
  <c r="D16" i="81"/>
  <c r="B142" i="3" s="1"/>
  <c r="O111" i="81"/>
  <c r="N111" i="81"/>
  <c r="M111" i="81"/>
  <c r="L111" i="81"/>
  <c r="K111" i="81"/>
  <c r="J111" i="81"/>
  <c r="I111" i="81"/>
  <c r="H111" i="81"/>
  <c r="G111" i="81"/>
  <c r="F111" i="81"/>
  <c r="E111" i="81"/>
  <c r="D111" i="81"/>
  <c r="O108" i="81"/>
  <c r="N108" i="81"/>
  <c r="M108" i="81"/>
  <c r="L108" i="81"/>
  <c r="K108" i="81"/>
  <c r="J108" i="81"/>
  <c r="I108" i="81"/>
  <c r="H108" i="81"/>
  <c r="G108" i="81"/>
  <c r="F108" i="81"/>
  <c r="E108" i="81"/>
  <c r="D108" i="81"/>
  <c r="O105" i="81"/>
  <c r="N105" i="81"/>
  <c r="M105" i="81"/>
  <c r="L105" i="81"/>
  <c r="K105" i="81"/>
  <c r="J105" i="81"/>
  <c r="I105" i="81"/>
  <c r="H105" i="81"/>
  <c r="G105" i="81"/>
  <c r="F105" i="81"/>
  <c r="E105" i="81"/>
  <c r="D105" i="81"/>
  <c r="O86" i="81"/>
  <c r="O6" i="81" s="1"/>
  <c r="M433" i="2" s="1"/>
  <c r="Z433" i="2" s="1"/>
  <c r="N86" i="81"/>
  <c r="N6" i="81" s="1"/>
  <c r="L433" i="2" s="1"/>
  <c r="Y433" i="2" s="1"/>
  <c r="M86" i="81"/>
  <c r="M6" i="81" s="1"/>
  <c r="K433" i="2" s="1"/>
  <c r="X433" i="2" s="1"/>
  <c r="L86" i="81"/>
  <c r="K86" i="81"/>
  <c r="K6" i="81" s="1"/>
  <c r="I433" i="2" s="1"/>
  <c r="V433" i="2" s="1"/>
  <c r="J86" i="81"/>
  <c r="J6" i="81" s="1"/>
  <c r="H433" i="2" s="1"/>
  <c r="U433" i="2" s="1"/>
  <c r="I86" i="81"/>
  <c r="I6" i="81" s="1"/>
  <c r="G433" i="2" s="1"/>
  <c r="T433" i="2" s="1"/>
  <c r="H86" i="81"/>
  <c r="G86" i="81"/>
  <c r="G6" i="81" s="1"/>
  <c r="E433" i="2" s="1"/>
  <c r="R433" i="2" s="1"/>
  <c r="F86" i="81"/>
  <c r="F6" i="81" s="1"/>
  <c r="D433" i="2" s="1"/>
  <c r="Q433" i="2" s="1"/>
  <c r="E86" i="81"/>
  <c r="E6" i="81" s="1"/>
  <c r="C433" i="2" s="1"/>
  <c r="P433" i="2" s="1"/>
  <c r="D86" i="81"/>
  <c r="O79" i="81"/>
  <c r="N79" i="81"/>
  <c r="N40" i="81" s="1"/>
  <c r="M79" i="81"/>
  <c r="M40" i="81" s="1"/>
  <c r="L79" i="81"/>
  <c r="L40" i="81" s="1"/>
  <c r="K79" i="81"/>
  <c r="K40" i="81" s="1"/>
  <c r="J79" i="81"/>
  <c r="J40" i="81" s="1"/>
  <c r="I79" i="81"/>
  <c r="I40" i="81" s="1"/>
  <c r="H79" i="81"/>
  <c r="G79" i="81"/>
  <c r="G40" i="81" s="1"/>
  <c r="F79" i="81"/>
  <c r="F40" i="81" s="1"/>
  <c r="E79" i="81"/>
  <c r="E40" i="81" s="1"/>
  <c r="E42" i="81" s="1"/>
  <c r="D79" i="81"/>
  <c r="O78" i="81"/>
  <c r="O22" i="81" s="1"/>
  <c r="N78" i="81"/>
  <c r="N22" i="81" s="1"/>
  <c r="M78" i="81"/>
  <c r="M22" i="81" s="1"/>
  <c r="L78" i="81"/>
  <c r="L22" i="81" s="1"/>
  <c r="K78" i="81"/>
  <c r="K22" i="81" s="1"/>
  <c r="J78" i="81"/>
  <c r="J22" i="81" s="1"/>
  <c r="I78" i="81"/>
  <c r="I22" i="81" s="1"/>
  <c r="H78" i="81"/>
  <c r="G78" i="81"/>
  <c r="F78" i="81"/>
  <c r="F22" i="81" s="1"/>
  <c r="E78" i="81"/>
  <c r="E22" i="81" s="1"/>
  <c r="D78" i="81"/>
  <c r="D22" i="81" s="1"/>
  <c r="O77" i="81"/>
  <c r="O14" i="81" s="1"/>
  <c r="M16" i="3" s="1"/>
  <c r="N77" i="81"/>
  <c r="N14" i="81" s="1"/>
  <c r="L16" i="3" s="1"/>
  <c r="M77" i="81"/>
  <c r="M14" i="81" s="1"/>
  <c r="K16" i="3" s="1"/>
  <c r="L77" i="81"/>
  <c r="K77" i="81"/>
  <c r="K14" i="81" s="1"/>
  <c r="I16" i="3" s="1"/>
  <c r="J77" i="81"/>
  <c r="J14" i="81" s="1"/>
  <c r="H16" i="3" s="1"/>
  <c r="I77" i="81"/>
  <c r="I14" i="81" s="1"/>
  <c r="G16" i="3" s="1"/>
  <c r="H77" i="81"/>
  <c r="H14" i="81" s="1"/>
  <c r="F16" i="3" s="1"/>
  <c r="G77" i="81"/>
  <c r="G14" i="81" s="1"/>
  <c r="E16" i="3" s="1"/>
  <c r="F77" i="81"/>
  <c r="F14" i="81" s="1"/>
  <c r="D16" i="3" s="1"/>
  <c r="E77" i="81"/>
  <c r="E14" i="81" s="1"/>
  <c r="C16" i="3" s="1"/>
  <c r="D77" i="81"/>
  <c r="O76" i="81"/>
  <c r="O12" i="81" s="1"/>
  <c r="M15" i="3" s="1"/>
  <c r="N76" i="81"/>
  <c r="N12" i="81" s="1"/>
  <c r="L15" i="3" s="1"/>
  <c r="M76" i="81"/>
  <c r="M12" i="81" s="1"/>
  <c r="K15" i="3" s="1"/>
  <c r="L76" i="81"/>
  <c r="K76" i="81"/>
  <c r="K12" i="81" s="1"/>
  <c r="I15" i="3" s="1"/>
  <c r="J76" i="81"/>
  <c r="J12" i="81" s="1"/>
  <c r="H15" i="3" s="1"/>
  <c r="I76" i="81"/>
  <c r="I12" i="81" s="1"/>
  <c r="G15" i="3" s="1"/>
  <c r="H76" i="81"/>
  <c r="G76" i="81"/>
  <c r="G12" i="81" s="1"/>
  <c r="E15" i="3" s="1"/>
  <c r="F76" i="81"/>
  <c r="F12" i="81" s="1"/>
  <c r="D15" i="3" s="1"/>
  <c r="E76" i="81"/>
  <c r="E12" i="81" s="1"/>
  <c r="C15" i="3" s="1"/>
  <c r="D76" i="81"/>
  <c r="D12" i="81" s="1"/>
  <c r="B15" i="3" s="1"/>
  <c r="O53" i="81"/>
  <c r="O5" i="81" s="1"/>
  <c r="M432" i="2" s="1"/>
  <c r="N53" i="81"/>
  <c r="N5" i="81" s="1"/>
  <c r="L432" i="2" s="1"/>
  <c r="M53" i="81"/>
  <c r="M5" i="81" s="1"/>
  <c r="K432" i="2" s="1"/>
  <c r="L53" i="81"/>
  <c r="K53" i="81"/>
  <c r="K5" i="81" s="1"/>
  <c r="I432" i="2" s="1"/>
  <c r="J53" i="81"/>
  <c r="J5" i="81" s="1"/>
  <c r="H432" i="2" s="1"/>
  <c r="U432" i="2" s="1"/>
  <c r="I53" i="81"/>
  <c r="I5" i="81" s="1"/>
  <c r="G432" i="2" s="1"/>
  <c r="H53" i="81"/>
  <c r="G53" i="81"/>
  <c r="G5" i="81" s="1"/>
  <c r="E432" i="2" s="1"/>
  <c r="F53" i="81"/>
  <c r="F5" i="81" s="1"/>
  <c r="D432" i="2" s="1"/>
  <c r="E53" i="81"/>
  <c r="E5" i="81" s="1"/>
  <c r="C432" i="2" s="1"/>
  <c r="D53" i="81"/>
  <c r="O41" i="81"/>
  <c r="N41" i="81"/>
  <c r="L41" i="81"/>
  <c r="K41" i="81"/>
  <c r="J41" i="81"/>
  <c r="H41" i="81"/>
  <c r="G41" i="81"/>
  <c r="F41" i="81"/>
  <c r="D41" i="81"/>
  <c r="O40" i="81"/>
  <c r="H40" i="81"/>
  <c r="D40" i="81"/>
  <c r="L38" i="81"/>
  <c r="J394" i="3" s="1"/>
  <c r="H38" i="81"/>
  <c r="F394" i="3" s="1"/>
  <c r="D38" i="81"/>
  <c r="L36" i="81"/>
  <c r="J397" i="3" s="1"/>
  <c r="K36" i="81"/>
  <c r="I397" i="3" s="1"/>
  <c r="H36" i="81"/>
  <c r="F397" i="3" s="1"/>
  <c r="D36" i="81"/>
  <c r="B397" i="3" s="1"/>
  <c r="L34" i="81"/>
  <c r="J396" i="3" s="1"/>
  <c r="K34" i="81"/>
  <c r="I396" i="3" s="1"/>
  <c r="H34" i="81"/>
  <c r="D34" i="81"/>
  <c r="B396" i="3" s="1"/>
  <c r="L32" i="81"/>
  <c r="J393" i="3" s="1"/>
  <c r="H32" i="81"/>
  <c r="D32" i="81"/>
  <c r="B393" i="3" s="1"/>
  <c r="L30" i="81"/>
  <c r="J395" i="3" s="1"/>
  <c r="H30" i="81"/>
  <c r="F395" i="3" s="1"/>
  <c r="D30" i="81"/>
  <c r="B395" i="3" s="1"/>
  <c r="O28" i="81"/>
  <c r="M378" i="3" s="1"/>
  <c r="N28" i="81"/>
  <c r="L378" i="3" s="1"/>
  <c r="L28" i="81"/>
  <c r="J378" i="3" s="1"/>
  <c r="K28" i="81"/>
  <c r="I378" i="3" s="1"/>
  <c r="J28" i="81"/>
  <c r="H378" i="3" s="1"/>
  <c r="H28" i="81"/>
  <c r="F378" i="3" s="1"/>
  <c r="G28" i="81"/>
  <c r="E378" i="3" s="1"/>
  <c r="F28" i="81"/>
  <c r="D378" i="3" s="1"/>
  <c r="D28" i="81"/>
  <c r="B378" i="3" s="1"/>
  <c r="O26" i="81"/>
  <c r="N26" i="81"/>
  <c r="L26" i="81"/>
  <c r="J377" i="3" s="1"/>
  <c r="K26" i="81"/>
  <c r="J26" i="81"/>
  <c r="H26" i="81"/>
  <c r="F377" i="3" s="1"/>
  <c r="G26" i="81"/>
  <c r="F26" i="81"/>
  <c r="D26" i="81"/>
  <c r="B377" i="3" s="1"/>
  <c r="L23" i="81"/>
  <c r="H23" i="81"/>
  <c r="G23" i="81"/>
  <c r="D23" i="81"/>
  <c r="H22" i="81"/>
  <c r="H24" i="81" s="1"/>
  <c r="F350" i="3" s="1"/>
  <c r="G22" i="81"/>
  <c r="L20" i="81"/>
  <c r="J141" i="3" s="1"/>
  <c r="H20" i="81"/>
  <c r="D20" i="81"/>
  <c r="B141" i="3" s="1"/>
  <c r="L18" i="81"/>
  <c r="J143" i="3" s="1"/>
  <c r="H18" i="81"/>
  <c r="F143" i="3" s="1"/>
  <c r="D18" i="81"/>
  <c r="B143" i="3" s="1"/>
  <c r="H16" i="81"/>
  <c r="F142" i="3" s="1"/>
  <c r="G16" i="81"/>
  <c r="E142" i="3" s="1"/>
  <c r="L14" i="81"/>
  <c r="D14" i="81"/>
  <c r="B16" i="3" s="1"/>
  <c r="L12" i="81"/>
  <c r="J15" i="3" s="1"/>
  <c r="H12" i="81"/>
  <c r="L8" i="81"/>
  <c r="J435" i="2" s="1"/>
  <c r="W435" i="2" s="1"/>
  <c r="H8" i="81"/>
  <c r="G8" i="81"/>
  <c r="E435" i="2" s="1"/>
  <c r="R435" i="2" s="1"/>
  <c r="D8" i="81"/>
  <c r="B435" i="2" s="1"/>
  <c r="O435" i="2" s="1"/>
  <c r="L7" i="81"/>
  <c r="J434" i="2" s="1"/>
  <c r="W434" i="2" s="1"/>
  <c r="K7" i="81"/>
  <c r="I434" i="2" s="1"/>
  <c r="V434" i="2" s="1"/>
  <c r="H7" i="81"/>
  <c r="F434" i="2" s="1"/>
  <c r="S434" i="2" s="1"/>
  <c r="G7" i="81"/>
  <c r="D7" i="81"/>
  <c r="B434" i="2" s="1"/>
  <c r="O434" i="2" s="1"/>
  <c r="L6" i="81"/>
  <c r="J433" i="2" s="1"/>
  <c r="W433" i="2" s="1"/>
  <c r="H6" i="81"/>
  <c r="F433" i="2" s="1"/>
  <c r="S433" i="2" s="1"/>
  <c r="D6" i="81"/>
  <c r="B433" i="2" s="1"/>
  <c r="O433" i="2" s="1"/>
  <c r="L5" i="81"/>
  <c r="J432" i="2" s="1"/>
  <c r="H5" i="81"/>
  <c r="D5" i="81"/>
  <c r="B432" i="2" s="1"/>
  <c r="O58" i="80"/>
  <c r="N58" i="80"/>
  <c r="M58" i="80"/>
  <c r="L58" i="80"/>
  <c r="K58" i="80"/>
  <c r="J58" i="80"/>
  <c r="I58" i="80"/>
  <c r="H58" i="80"/>
  <c r="G58" i="80"/>
  <c r="F58" i="80"/>
  <c r="E58" i="80"/>
  <c r="D58" i="80"/>
  <c r="O52" i="80"/>
  <c r="N52" i="80"/>
  <c r="M52" i="80"/>
  <c r="L52" i="80"/>
  <c r="K52" i="80"/>
  <c r="J52" i="80"/>
  <c r="I52" i="80"/>
  <c r="H52" i="80"/>
  <c r="G52" i="80"/>
  <c r="F52" i="80"/>
  <c r="E52" i="80"/>
  <c r="D52" i="80"/>
  <c r="O49" i="80"/>
  <c r="N49" i="80"/>
  <c r="M49" i="80"/>
  <c r="L49" i="80"/>
  <c r="K49" i="80"/>
  <c r="J49" i="80"/>
  <c r="I49" i="80"/>
  <c r="H49" i="80"/>
  <c r="G49" i="80"/>
  <c r="F49" i="80"/>
  <c r="E49" i="80"/>
  <c r="D49" i="80"/>
  <c r="O39" i="80"/>
  <c r="N39" i="80"/>
  <c r="M39" i="80"/>
  <c r="L39" i="80"/>
  <c r="K39" i="80"/>
  <c r="J39" i="80"/>
  <c r="I39" i="80"/>
  <c r="H39" i="80"/>
  <c r="G39" i="80"/>
  <c r="F39" i="80"/>
  <c r="E39" i="80"/>
  <c r="D39" i="80"/>
  <c r="O36" i="80"/>
  <c r="N36" i="80"/>
  <c r="M36" i="80"/>
  <c r="L36" i="80"/>
  <c r="K36" i="80"/>
  <c r="J36" i="80"/>
  <c r="I36" i="80"/>
  <c r="H36" i="80"/>
  <c r="G36" i="80"/>
  <c r="F36" i="80"/>
  <c r="E36" i="80"/>
  <c r="D36" i="80"/>
  <c r="O31" i="80"/>
  <c r="N31" i="80"/>
  <c r="M31" i="80"/>
  <c r="L31" i="80"/>
  <c r="K31" i="80"/>
  <c r="J31" i="80"/>
  <c r="I31" i="80"/>
  <c r="H31" i="80"/>
  <c r="G31" i="80"/>
  <c r="F31" i="80"/>
  <c r="E31" i="80"/>
  <c r="D31" i="80"/>
  <c r="O22" i="80"/>
  <c r="N22" i="80"/>
  <c r="M22" i="80"/>
  <c r="L22" i="80"/>
  <c r="K22" i="80"/>
  <c r="J22" i="80"/>
  <c r="I22" i="80"/>
  <c r="H22" i="80"/>
  <c r="G22" i="80"/>
  <c r="F22" i="80"/>
  <c r="E22" i="80"/>
  <c r="D22" i="80"/>
  <c r="L17" i="80"/>
  <c r="H17" i="80"/>
  <c r="O11" i="80"/>
  <c r="M468" i="3" s="1"/>
  <c r="N11" i="80"/>
  <c r="L468" i="3" s="1"/>
  <c r="M11" i="80"/>
  <c r="L11" i="80"/>
  <c r="K11" i="80"/>
  <c r="J11" i="80"/>
  <c r="H468" i="3" s="1"/>
  <c r="I11" i="80"/>
  <c r="H11" i="80"/>
  <c r="G11" i="80"/>
  <c r="F11" i="80"/>
  <c r="D468" i="3" s="1"/>
  <c r="E11" i="80"/>
  <c r="D11" i="80"/>
  <c r="O9" i="80"/>
  <c r="N9" i="80"/>
  <c r="L248" i="3" s="1"/>
  <c r="M9" i="80"/>
  <c r="L9" i="80"/>
  <c r="K9" i="80"/>
  <c r="J9" i="80"/>
  <c r="H248" i="3" s="1"/>
  <c r="I9" i="80"/>
  <c r="H9" i="80"/>
  <c r="G9" i="80"/>
  <c r="F9" i="80"/>
  <c r="D248" i="3" s="1"/>
  <c r="E9" i="80"/>
  <c r="D9" i="80"/>
  <c r="O7" i="80"/>
  <c r="N7" i="80"/>
  <c r="N15" i="80" s="1"/>
  <c r="M7" i="80"/>
  <c r="M13" i="80" s="1"/>
  <c r="L7" i="80"/>
  <c r="L13" i="80" s="1"/>
  <c r="K7" i="80"/>
  <c r="K17" i="80" s="1"/>
  <c r="J7" i="80"/>
  <c r="J15" i="80" s="1"/>
  <c r="I7" i="80"/>
  <c r="I13" i="80" s="1"/>
  <c r="H7" i="80"/>
  <c r="H13" i="80" s="1"/>
  <c r="G7" i="80"/>
  <c r="G17" i="80" s="1"/>
  <c r="F7" i="80"/>
  <c r="F15" i="80" s="1"/>
  <c r="E7" i="80"/>
  <c r="E13" i="80" s="1"/>
  <c r="D7" i="80"/>
  <c r="O3" i="80"/>
  <c r="O5" i="80" s="1"/>
  <c r="N3" i="80"/>
  <c r="N5" i="80" s="1"/>
  <c r="M3" i="80"/>
  <c r="K323" i="2" s="1"/>
  <c r="X323" i="2" s="1"/>
  <c r="L3" i="80"/>
  <c r="L5" i="80" s="1"/>
  <c r="K3" i="80"/>
  <c r="K5" i="80" s="1"/>
  <c r="J3" i="80"/>
  <c r="J5" i="80" s="1"/>
  <c r="I3" i="80"/>
  <c r="G323" i="2" s="1"/>
  <c r="T323" i="2" s="1"/>
  <c r="H3" i="80"/>
  <c r="H5" i="80" s="1"/>
  <c r="G3" i="80"/>
  <c r="G5" i="80" s="1"/>
  <c r="F3" i="80"/>
  <c r="F5" i="80" s="1"/>
  <c r="E3" i="80"/>
  <c r="C323" i="2" s="1"/>
  <c r="P323" i="2" s="1"/>
  <c r="D3" i="80"/>
  <c r="D5" i="80" s="1"/>
  <c r="O209" i="70"/>
  <c r="N209" i="70"/>
  <c r="M209" i="70"/>
  <c r="M26" i="70" s="1"/>
  <c r="K534" i="3" s="1"/>
  <c r="L209" i="70"/>
  <c r="L26" i="70" s="1"/>
  <c r="J534" i="3" s="1"/>
  <c r="K209" i="70"/>
  <c r="K26" i="70" s="1"/>
  <c r="J209" i="70"/>
  <c r="J26" i="70" s="1"/>
  <c r="H534" i="3" s="1"/>
  <c r="I209" i="70"/>
  <c r="I26" i="70" s="1"/>
  <c r="G534" i="3" s="1"/>
  <c r="H209" i="70"/>
  <c r="G209" i="70"/>
  <c r="G26" i="70" s="1"/>
  <c r="E534" i="3" s="1"/>
  <c r="F209" i="70"/>
  <c r="F26" i="70" s="1"/>
  <c r="D534" i="3" s="1"/>
  <c r="E209" i="70"/>
  <c r="E26" i="70" s="1"/>
  <c r="C534" i="3" s="1"/>
  <c r="D209" i="70"/>
  <c r="O208" i="70"/>
  <c r="O17" i="70" s="1"/>
  <c r="N208" i="70"/>
  <c r="M208" i="70"/>
  <c r="M17" i="70" s="1"/>
  <c r="L208" i="70"/>
  <c r="K208" i="70"/>
  <c r="K17" i="70" s="1"/>
  <c r="J208" i="70"/>
  <c r="J17" i="70" s="1"/>
  <c r="I208" i="70"/>
  <c r="I17" i="70" s="1"/>
  <c r="H208" i="70"/>
  <c r="H17" i="70" s="1"/>
  <c r="G208" i="70"/>
  <c r="G17" i="70" s="1"/>
  <c r="F208" i="70"/>
  <c r="F17" i="70" s="1"/>
  <c r="E208" i="70"/>
  <c r="E17" i="70" s="1"/>
  <c r="D208" i="70"/>
  <c r="O196" i="70"/>
  <c r="N196" i="70"/>
  <c r="M196" i="70"/>
  <c r="L196" i="70"/>
  <c r="K196" i="70"/>
  <c r="J196" i="70"/>
  <c r="I196" i="70"/>
  <c r="H196" i="70"/>
  <c r="G196" i="70"/>
  <c r="F196" i="70"/>
  <c r="E196" i="70"/>
  <c r="D196" i="70"/>
  <c r="O192" i="70"/>
  <c r="N192" i="70"/>
  <c r="M192" i="70"/>
  <c r="L192" i="70"/>
  <c r="K192" i="70"/>
  <c r="J192" i="70"/>
  <c r="I192" i="70"/>
  <c r="H192" i="70"/>
  <c r="G192" i="70"/>
  <c r="F192" i="70"/>
  <c r="E192" i="70"/>
  <c r="D192" i="70"/>
  <c r="O167" i="70"/>
  <c r="O8" i="70" s="1"/>
  <c r="M358" i="2" s="1"/>
  <c r="Z358" i="2" s="1"/>
  <c r="N167" i="70"/>
  <c r="M167" i="70"/>
  <c r="M8" i="70" s="1"/>
  <c r="K358" i="2" s="1"/>
  <c r="X358" i="2" s="1"/>
  <c r="L167" i="70"/>
  <c r="L8" i="70" s="1"/>
  <c r="K167" i="70"/>
  <c r="K8" i="70" s="1"/>
  <c r="I358" i="2" s="1"/>
  <c r="V358" i="2" s="1"/>
  <c r="J167" i="70"/>
  <c r="J8" i="70" s="1"/>
  <c r="I167" i="70"/>
  <c r="I8" i="70" s="1"/>
  <c r="G358" i="2" s="1"/>
  <c r="T358" i="2" s="1"/>
  <c r="H167" i="70"/>
  <c r="G167" i="70"/>
  <c r="F167" i="70"/>
  <c r="F8" i="70" s="1"/>
  <c r="D358" i="2" s="1"/>
  <c r="Q358" i="2" s="1"/>
  <c r="E167" i="70"/>
  <c r="E8" i="70" s="1"/>
  <c r="C358" i="2" s="1"/>
  <c r="P358" i="2" s="1"/>
  <c r="D167" i="70"/>
  <c r="D8" i="70" s="1"/>
  <c r="B358" i="2" s="1"/>
  <c r="O358" i="2" s="1"/>
  <c r="O162" i="70"/>
  <c r="N162" i="70"/>
  <c r="M162" i="70"/>
  <c r="M20" i="70" s="1"/>
  <c r="K462" i="3" s="1"/>
  <c r="L162" i="70"/>
  <c r="L20" i="70" s="1"/>
  <c r="J462" i="3" s="1"/>
  <c r="K162" i="70"/>
  <c r="K20" i="70" s="1"/>
  <c r="J162" i="70"/>
  <c r="I162" i="70"/>
  <c r="I20" i="70" s="1"/>
  <c r="G462" i="3" s="1"/>
  <c r="H162" i="70"/>
  <c r="H20" i="70" s="1"/>
  <c r="G162" i="70"/>
  <c r="F162" i="70"/>
  <c r="E162" i="70"/>
  <c r="E20" i="70" s="1"/>
  <c r="C462" i="3" s="1"/>
  <c r="D162" i="70"/>
  <c r="O161" i="70"/>
  <c r="N161" i="70"/>
  <c r="N13" i="70" s="1"/>
  <c r="M161" i="70"/>
  <c r="M13" i="70" s="1"/>
  <c r="L161" i="70"/>
  <c r="L13" i="70" s="1"/>
  <c r="K161" i="70"/>
  <c r="J161" i="70"/>
  <c r="I161" i="70"/>
  <c r="I13" i="70" s="1"/>
  <c r="H161" i="70"/>
  <c r="G161" i="70"/>
  <c r="G13" i="70" s="1"/>
  <c r="F161" i="70"/>
  <c r="E161" i="70"/>
  <c r="E13" i="70" s="1"/>
  <c r="D161" i="70"/>
  <c r="O157" i="70"/>
  <c r="N157" i="70"/>
  <c r="M157" i="70"/>
  <c r="L157" i="70"/>
  <c r="K157" i="70"/>
  <c r="J157" i="70"/>
  <c r="I157" i="70"/>
  <c r="H157" i="70"/>
  <c r="G157" i="70"/>
  <c r="F157" i="70"/>
  <c r="E157" i="70"/>
  <c r="D157" i="70"/>
  <c r="O144" i="70"/>
  <c r="N144" i="70"/>
  <c r="M144" i="70"/>
  <c r="L144" i="70"/>
  <c r="K144" i="70"/>
  <c r="J144" i="70"/>
  <c r="I144" i="70"/>
  <c r="H144" i="70"/>
  <c r="G144" i="70"/>
  <c r="F144" i="70"/>
  <c r="E144" i="70"/>
  <c r="D144" i="70"/>
  <c r="O118" i="70"/>
  <c r="O7" i="70" s="1"/>
  <c r="M357" i="2" s="1"/>
  <c r="Z357" i="2" s="1"/>
  <c r="N118" i="70"/>
  <c r="M118" i="70"/>
  <c r="M7" i="70" s="1"/>
  <c r="K357" i="2" s="1"/>
  <c r="X357" i="2" s="1"/>
  <c r="L118" i="70"/>
  <c r="K118" i="70"/>
  <c r="J118" i="70"/>
  <c r="I118" i="70"/>
  <c r="I7" i="70" s="1"/>
  <c r="G357" i="2" s="1"/>
  <c r="T357" i="2" s="1"/>
  <c r="H118" i="70"/>
  <c r="G118" i="70"/>
  <c r="F118" i="70"/>
  <c r="F7" i="70" s="1"/>
  <c r="D357" i="2" s="1"/>
  <c r="Q357" i="2" s="1"/>
  <c r="E118" i="70"/>
  <c r="E7" i="70" s="1"/>
  <c r="C357" i="2" s="1"/>
  <c r="P357" i="2" s="1"/>
  <c r="D118" i="70"/>
  <c r="O111" i="70"/>
  <c r="O23" i="70" s="1"/>
  <c r="N111" i="70"/>
  <c r="M111" i="70"/>
  <c r="M23" i="70" s="1"/>
  <c r="L111" i="70"/>
  <c r="K111" i="70"/>
  <c r="K23" i="70" s="1"/>
  <c r="J111" i="70"/>
  <c r="I111" i="70"/>
  <c r="I23" i="70" s="1"/>
  <c r="H111" i="70"/>
  <c r="G111" i="70"/>
  <c r="G23" i="70" s="1"/>
  <c r="F111" i="70"/>
  <c r="E111" i="70"/>
  <c r="E23" i="70" s="1"/>
  <c r="D111" i="70"/>
  <c r="O110" i="70"/>
  <c r="O12" i="70" s="1"/>
  <c r="N110" i="70"/>
  <c r="N12" i="70" s="1"/>
  <c r="N14" i="70" s="1"/>
  <c r="M110" i="70"/>
  <c r="M12" i="70" s="1"/>
  <c r="M14" i="70" s="1"/>
  <c r="L110" i="70"/>
  <c r="K110" i="70"/>
  <c r="J110" i="70"/>
  <c r="J12" i="70" s="1"/>
  <c r="I110" i="70"/>
  <c r="I12" i="70" s="1"/>
  <c r="I14" i="70" s="1"/>
  <c r="H110" i="70"/>
  <c r="G110" i="70"/>
  <c r="G12" i="70" s="1"/>
  <c r="F110" i="70"/>
  <c r="E110" i="70"/>
  <c r="E12" i="70" s="1"/>
  <c r="E14" i="70" s="1"/>
  <c r="D110" i="70"/>
  <c r="O103" i="70"/>
  <c r="N103" i="70"/>
  <c r="M103" i="70"/>
  <c r="L103" i="70"/>
  <c r="K103" i="70"/>
  <c r="J103" i="70"/>
  <c r="I103" i="70"/>
  <c r="H103" i="70"/>
  <c r="G103" i="70"/>
  <c r="F103" i="70"/>
  <c r="E103" i="70"/>
  <c r="D103" i="70"/>
  <c r="O98" i="70"/>
  <c r="N98" i="70"/>
  <c r="M98" i="70"/>
  <c r="L98" i="70"/>
  <c r="K98" i="70"/>
  <c r="J98" i="70"/>
  <c r="I98" i="70"/>
  <c r="H98" i="70"/>
  <c r="G98" i="70"/>
  <c r="F98" i="70"/>
  <c r="E98" i="70"/>
  <c r="D98" i="70"/>
  <c r="O81" i="70"/>
  <c r="O6" i="70" s="1"/>
  <c r="N81" i="70"/>
  <c r="M81" i="70"/>
  <c r="M6" i="70" s="1"/>
  <c r="K356" i="2" s="1"/>
  <c r="X356" i="2" s="1"/>
  <c r="L81" i="70"/>
  <c r="K81" i="70"/>
  <c r="J81" i="70"/>
  <c r="I81" i="70"/>
  <c r="I6" i="70" s="1"/>
  <c r="G356" i="2" s="1"/>
  <c r="T356" i="2" s="1"/>
  <c r="H81" i="70"/>
  <c r="H6" i="70" s="1"/>
  <c r="G81" i="70"/>
  <c r="G6" i="70" s="1"/>
  <c r="E356" i="2" s="1"/>
  <c r="R356" i="2" s="1"/>
  <c r="F81" i="70"/>
  <c r="F6" i="70" s="1"/>
  <c r="E81" i="70"/>
  <c r="E6" i="70" s="1"/>
  <c r="C356" i="2" s="1"/>
  <c r="P356" i="2" s="1"/>
  <c r="D81" i="70"/>
  <c r="O74" i="70"/>
  <c r="N74" i="70"/>
  <c r="M74" i="70"/>
  <c r="M22" i="70" s="1"/>
  <c r="M24" i="70" s="1"/>
  <c r="K500" i="3" s="1"/>
  <c r="L74" i="70"/>
  <c r="L22" i="70" s="1"/>
  <c r="K74" i="70"/>
  <c r="K22" i="70" s="1"/>
  <c r="K24" i="70" s="1"/>
  <c r="I500" i="3" s="1"/>
  <c r="J74" i="70"/>
  <c r="I74" i="70"/>
  <c r="I22" i="70" s="1"/>
  <c r="I24" i="70" s="1"/>
  <c r="G500" i="3" s="1"/>
  <c r="H74" i="70"/>
  <c r="G74" i="70"/>
  <c r="G22" i="70" s="1"/>
  <c r="F74" i="70"/>
  <c r="E74" i="70"/>
  <c r="E22" i="70" s="1"/>
  <c r="E24" i="70" s="1"/>
  <c r="C500" i="3" s="1"/>
  <c r="D74" i="70"/>
  <c r="O73" i="70"/>
  <c r="N73" i="70"/>
  <c r="M73" i="70"/>
  <c r="M16" i="70" s="1"/>
  <c r="M18" i="70" s="1"/>
  <c r="K406" i="3" s="1"/>
  <c r="L73" i="70"/>
  <c r="K73" i="70"/>
  <c r="J73" i="70"/>
  <c r="I73" i="70"/>
  <c r="I16" i="70" s="1"/>
  <c r="I18" i="70" s="1"/>
  <c r="G406" i="3" s="1"/>
  <c r="H73" i="70"/>
  <c r="H16" i="70" s="1"/>
  <c r="H18" i="70" s="1"/>
  <c r="F406" i="3" s="1"/>
  <c r="G73" i="70"/>
  <c r="G16" i="70" s="1"/>
  <c r="F73" i="70"/>
  <c r="F16" i="70" s="1"/>
  <c r="F18" i="70" s="1"/>
  <c r="D406" i="3" s="1"/>
  <c r="E73" i="70"/>
  <c r="E16" i="70" s="1"/>
  <c r="E18" i="70" s="1"/>
  <c r="C406" i="3" s="1"/>
  <c r="D73" i="70"/>
  <c r="O37" i="70"/>
  <c r="N37" i="70"/>
  <c r="N5" i="70" s="1"/>
  <c r="M37" i="70"/>
  <c r="M5" i="70" s="1"/>
  <c r="L37" i="70"/>
  <c r="L5" i="70" s="1"/>
  <c r="J355" i="2" s="1"/>
  <c r="W355" i="2" s="1"/>
  <c r="K37" i="70"/>
  <c r="K5" i="70" s="1"/>
  <c r="J37" i="70"/>
  <c r="I37" i="70"/>
  <c r="I5" i="70" s="1"/>
  <c r="H37" i="70"/>
  <c r="G37" i="70"/>
  <c r="G5" i="70" s="1"/>
  <c r="F37" i="70"/>
  <c r="E37" i="70"/>
  <c r="E5" i="70" s="1"/>
  <c r="D37" i="70"/>
  <c r="O26" i="70"/>
  <c r="N26" i="70"/>
  <c r="H26" i="70"/>
  <c r="D26" i="70"/>
  <c r="B534" i="3" s="1"/>
  <c r="N23" i="70"/>
  <c r="L23" i="70"/>
  <c r="J23" i="70"/>
  <c r="H23" i="70"/>
  <c r="F23" i="70"/>
  <c r="D23" i="70"/>
  <c r="O22" i="70"/>
  <c r="N22" i="70"/>
  <c r="N24" i="70" s="1"/>
  <c r="L500" i="3" s="1"/>
  <c r="J22" i="70"/>
  <c r="H22" i="70"/>
  <c r="H24" i="70" s="1"/>
  <c r="F500" i="3" s="1"/>
  <c r="F22" i="70"/>
  <c r="F24" i="70" s="1"/>
  <c r="D500" i="3" s="1"/>
  <c r="D22" i="70"/>
  <c r="O20" i="70"/>
  <c r="M462" i="3" s="1"/>
  <c r="N20" i="70"/>
  <c r="J20" i="70"/>
  <c r="G20" i="70"/>
  <c r="E462" i="3" s="1"/>
  <c r="F20" i="70"/>
  <c r="D20" i="70"/>
  <c r="N17" i="70"/>
  <c r="L17" i="70"/>
  <c r="D17" i="70"/>
  <c r="O16" i="70"/>
  <c r="N16" i="70"/>
  <c r="L16" i="70"/>
  <c r="K16" i="70"/>
  <c r="J16" i="70"/>
  <c r="D16" i="70"/>
  <c r="O13" i="70"/>
  <c r="K13" i="70"/>
  <c r="J13" i="70"/>
  <c r="H13" i="70"/>
  <c r="F13" i="70"/>
  <c r="D13" i="70"/>
  <c r="L12" i="70"/>
  <c r="L14" i="70" s="1"/>
  <c r="K12" i="70"/>
  <c r="H12" i="70"/>
  <c r="H14" i="70" s="1"/>
  <c r="F12" i="70"/>
  <c r="D12" i="70"/>
  <c r="N8" i="70"/>
  <c r="H8" i="70"/>
  <c r="F358" i="2" s="1"/>
  <c r="S358" i="2" s="1"/>
  <c r="G8" i="70"/>
  <c r="E358" i="2" s="1"/>
  <c r="R358" i="2" s="1"/>
  <c r="N7" i="70"/>
  <c r="L357" i="2" s="1"/>
  <c r="Y357" i="2" s="1"/>
  <c r="L7" i="70"/>
  <c r="J357" i="2" s="1"/>
  <c r="W357" i="2" s="1"/>
  <c r="K7" i="70"/>
  <c r="I357" i="2" s="1"/>
  <c r="V357" i="2" s="1"/>
  <c r="J7" i="70"/>
  <c r="H357" i="2" s="1"/>
  <c r="U357" i="2" s="1"/>
  <c r="H7" i="70"/>
  <c r="G7" i="70"/>
  <c r="E357" i="2" s="1"/>
  <c r="R357" i="2" s="1"/>
  <c r="D7" i="70"/>
  <c r="N6" i="70"/>
  <c r="L356" i="2" s="1"/>
  <c r="Y356" i="2" s="1"/>
  <c r="L6" i="70"/>
  <c r="K6" i="70"/>
  <c r="I356" i="2" s="1"/>
  <c r="V356" i="2" s="1"/>
  <c r="J6" i="70"/>
  <c r="D6" i="70"/>
  <c r="O5" i="70"/>
  <c r="M355" i="2" s="1"/>
  <c r="J5" i="70"/>
  <c r="H355" i="2" s="1"/>
  <c r="U355" i="2" s="1"/>
  <c r="H5" i="70"/>
  <c r="F5" i="70"/>
  <c r="D5" i="70"/>
  <c r="B355" i="2" s="1"/>
  <c r="O355" i="2" s="1"/>
  <c r="O146" i="60"/>
  <c r="N146" i="60"/>
  <c r="M146" i="60"/>
  <c r="L146" i="60"/>
  <c r="K146" i="60"/>
  <c r="J146" i="60"/>
  <c r="I146" i="60"/>
  <c r="H146" i="60"/>
  <c r="G146" i="60"/>
  <c r="F146" i="60"/>
  <c r="E146" i="60"/>
  <c r="D146" i="60"/>
  <c r="O145" i="60"/>
  <c r="O17" i="60" s="1"/>
  <c r="M463" i="3" s="1"/>
  <c r="N145" i="60"/>
  <c r="N17" i="60" s="1"/>
  <c r="L463" i="3" s="1"/>
  <c r="M145" i="60"/>
  <c r="M17" i="60" s="1"/>
  <c r="K463" i="3" s="1"/>
  <c r="L145" i="60"/>
  <c r="K145" i="60"/>
  <c r="K17" i="60" s="1"/>
  <c r="I463" i="3" s="1"/>
  <c r="J145" i="60"/>
  <c r="J17" i="60" s="1"/>
  <c r="H463" i="3" s="1"/>
  <c r="I145" i="60"/>
  <c r="I17" i="60" s="1"/>
  <c r="G463" i="3" s="1"/>
  <c r="H145" i="60"/>
  <c r="H17" i="60" s="1"/>
  <c r="F463" i="3" s="1"/>
  <c r="G145" i="60"/>
  <c r="G17" i="60" s="1"/>
  <c r="E463" i="3" s="1"/>
  <c r="F145" i="60"/>
  <c r="F17" i="60" s="1"/>
  <c r="D463" i="3" s="1"/>
  <c r="E145" i="60"/>
  <c r="E17" i="60" s="1"/>
  <c r="C463" i="3" s="1"/>
  <c r="D145" i="60"/>
  <c r="D17" i="60" s="1"/>
  <c r="B463" i="3" s="1"/>
  <c r="O135" i="60"/>
  <c r="N135" i="60"/>
  <c r="M135" i="60"/>
  <c r="L135" i="60"/>
  <c r="K135" i="60"/>
  <c r="J135" i="60"/>
  <c r="I135" i="60"/>
  <c r="H135" i="60"/>
  <c r="G135" i="60"/>
  <c r="F135" i="60"/>
  <c r="E135" i="60"/>
  <c r="D135" i="60"/>
  <c r="O111" i="60"/>
  <c r="O4" i="60" s="1"/>
  <c r="N111" i="60"/>
  <c r="M111" i="60"/>
  <c r="M4" i="60" s="1"/>
  <c r="L111" i="60"/>
  <c r="L4" i="60" s="1"/>
  <c r="K111" i="60"/>
  <c r="K4" i="60" s="1"/>
  <c r="J111" i="60"/>
  <c r="J4" i="60" s="1"/>
  <c r="J8" i="60" s="1"/>
  <c r="I111" i="60"/>
  <c r="I4" i="60" s="1"/>
  <c r="H111" i="60"/>
  <c r="G111" i="60"/>
  <c r="G4" i="60" s="1"/>
  <c r="F111" i="60"/>
  <c r="E111" i="60"/>
  <c r="E4" i="60" s="1"/>
  <c r="D111" i="60"/>
  <c r="D4" i="60" s="1"/>
  <c r="O103" i="60"/>
  <c r="N103" i="60"/>
  <c r="M103" i="60"/>
  <c r="L103" i="60"/>
  <c r="K103" i="60"/>
  <c r="J103" i="60"/>
  <c r="I103" i="60"/>
  <c r="H103" i="60"/>
  <c r="G103" i="60"/>
  <c r="F103" i="60"/>
  <c r="E103" i="60"/>
  <c r="D103" i="60"/>
  <c r="O102" i="60"/>
  <c r="O15" i="60" s="1"/>
  <c r="M400" i="3" s="1"/>
  <c r="N102" i="60"/>
  <c r="N15" i="60" s="1"/>
  <c r="L400" i="3" s="1"/>
  <c r="M102" i="60"/>
  <c r="M15" i="60" s="1"/>
  <c r="K400" i="3" s="1"/>
  <c r="L102" i="60"/>
  <c r="K102" i="60"/>
  <c r="K15" i="60" s="1"/>
  <c r="I400" i="3" s="1"/>
  <c r="J102" i="60"/>
  <c r="J15" i="60" s="1"/>
  <c r="H400" i="3" s="1"/>
  <c r="I102" i="60"/>
  <c r="I15" i="60" s="1"/>
  <c r="G400" i="3" s="1"/>
  <c r="H102" i="60"/>
  <c r="G102" i="60"/>
  <c r="G15" i="60" s="1"/>
  <c r="E400" i="3" s="1"/>
  <c r="F102" i="60"/>
  <c r="F15" i="60" s="1"/>
  <c r="D400" i="3" s="1"/>
  <c r="E102" i="60"/>
  <c r="E15" i="60" s="1"/>
  <c r="C400" i="3" s="1"/>
  <c r="D102" i="60"/>
  <c r="D15" i="60" s="1"/>
  <c r="B400" i="3" s="1"/>
  <c r="O101" i="60"/>
  <c r="O13" i="60" s="1"/>
  <c r="M323" i="3" s="1"/>
  <c r="N101" i="60"/>
  <c r="N13" i="60" s="1"/>
  <c r="L323" i="3" s="1"/>
  <c r="M101" i="60"/>
  <c r="M13" i="60" s="1"/>
  <c r="K323" i="3" s="1"/>
  <c r="L101" i="60"/>
  <c r="L13" i="60" s="1"/>
  <c r="J323" i="3" s="1"/>
  <c r="K101" i="60"/>
  <c r="K13" i="60" s="1"/>
  <c r="I323" i="3" s="1"/>
  <c r="J101" i="60"/>
  <c r="J13" i="60" s="1"/>
  <c r="H323" i="3" s="1"/>
  <c r="I101" i="60"/>
  <c r="I13" i="60" s="1"/>
  <c r="G323" i="3" s="1"/>
  <c r="H101" i="60"/>
  <c r="G101" i="60"/>
  <c r="G13" i="60" s="1"/>
  <c r="E323" i="3" s="1"/>
  <c r="F101" i="60"/>
  <c r="F13" i="60" s="1"/>
  <c r="D323" i="3" s="1"/>
  <c r="E101" i="60"/>
  <c r="E13" i="60" s="1"/>
  <c r="C323" i="3" s="1"/>
  <c r="D101" i="60"/>
  <c r="O100" i="60"/>
  <c r="O11" i="60" s="1"/>
  <c r="M273" i="3" s="1"/>
  <c r="N100" i="60"/>
  <c r="N11" i="60" s="1"/>
  <c r="L273" i="3" s="1"/>
  <c r="M100" i="60"/>
  <c r="M11" i="60" s="1"/>
  <c r="L100" i="60"/>
  <c r="L11" i="60" s="1"/>
  <c r="L25" i="60" s="1"/>
  <c r="K100" i="60"/>
  <c r="K11" i="60" s="1"/>
  <c r="J100" i="60"/>
  <c r="J11" i="60" s="1"/>
  <c r="H273" i="3" s="1"/>
  <c r="I100" i="60"/>
  <c r="I11" i="60" s="1"/>
  <c r="H100" i="60"/>
  <c r="H11" i="60" s="1"/>
  <c r="G100" i="60"/>
  <c r="G11" i="60" s="1"/>
  <c r="F100" i="60"/>
  <c r="F11" i="60" s="1"/>
  <c r="D273" i="3" s="1"/>
  <c r="E100" i="60"/>
  <c r="E11" i="60" s="1"/>
  <c r="D100" i="60"/>
  <c r="O35" i="60"/>
  <c r="O3" i="60" s="1"/>
  <c r="N35" i="60"/>
  <c r="N3" i="60" s="1"/>
  <c r="N7" i="60" s="1"/>
  <c r="M35" i="60"/>
  <c r="M3" i="60" s="1"/>
  <c r="L35" i="60"/>
  <c r="L3" i="60" s="1"/>
  <c r="L5" i="60" s="1"/>
  <c r="L9" i="60" s="1"/>
  <c r="K35" i="60"/>
  <c r="K3" i="60" s="1"/>
  <c r="J35" i="60"/>
  <c r="I35" i="60"/>
  <c r="I3" i="60" s="1"/>
  <c r="H35" i="60"/>
  <c r="G35" i="60"/>
  <c r="G3" i="60" s="1"/>
  <c r="F35" i="60"/>
  <c r="F3" i="60" s="1"/>
  <c r="F7" i="60" s="1"/>
  <c r="E35" i="60"/>
  <c r="E3" i="60" s="1"/>
  <c r="D35" i="60"/>
  <c r="D3" i="60" s="1"/>
  <c r="O20" i="60"/>
  <c r="N20" i="60"/>
  <c r="M20" i="60"/>
  <c r="L20" i="60"/>
  <c r="K20" i="60"/>
  <c r="J20" i="60"/>
  <c r="I20" i="60"/>
  <c r="H20" i="60"/>
  <c r="G20" i="60"/>
  <c r="F20" i="60"/>
  <c r="E20" i="60"/>
  <c r="D20" i="60"/>
  <c r="O19" i="60"/>
  <c r="O21" i="60" s="1"/>
  <c r="M466" i="3" s="1"/>
  <c r="N19" i="60"/>
  <c r="N21" i="60" s="1"/>
  <c r="M19" i="60"/>
  <c r="M21" i="60" s="1"/>
  <c r="K466" i="3" s="1"/>
  <c r="L19" i="60"/>
  <c r="L21" i="60" s="1"/>
  <c r="K19" i="60"/>
  <c r="K21" i="60" s="1"/>
  <c r="J19" i="60"/>
  <c r="J21" i="60" s="1"/>
  <c r="I19" i="60"/>
  <c r="I21" i="60" s="1"/>
  <c r="G466" i="3" s="1"/>
  <c r="H19" i="60"/>
  <c r="H21" i="60" s="1"/>
  <c r="G19" i="60"/>
  <c r="G21" i="60" s="1"/>
  <c r="F19" i="60"/>
  <c r="F21" i="60" s="1"/>
  <c r="E19" i="60"/>
  <c r="E21" i="60" s="1"/>
  <c r="C466" i="3" s="1"/>
  <c r="D19" i="60"/>
  <c r="D21" i="60" s="1"/>
  <c r="L17" i="60"/>
  <c r="J463" i="3" s="1"/>
  <c r="L15" i="60"/>
  <c r="J400" i="3" s="1"/>
  <c r="H15" i="60"/>
  <c r="H13" i="60"/>
  <c r="F323" i="3" s="1"/>
  <c r="D13" i="60"/>
  <c r="B323" i="3" s="1"/>
  <c r="D11" i="60"/>
  <c r="N4" i="60"/>
  <c r="N8" i="60" s="1"/>
  <c r="H4" i="60"/>
  <c r="H8" i="60" s="1"/>
  <c r="F4" i="60"/>
  <c r="F8" i="60" s="1"/>
  <c r="J3" i="60"/>
  <c r="J7" i="60" s="1"/>
  <c r="H3" i="60"/>
  <c r="O11" i="56"/>
  <c r="M479" i="3" s="1"/>
  <c r="N11" i="56"/>
  <c r="L479" i="3" s="1"/>
  <c r="M11" i="56"/>
  <c r="M13" i="55" s="1"/>
  <c r="L11" i="56"/>
  <c r="L13" i="55" s="1"/>
  <c r="K11" i="56"/>
  <c r="K13" i="55" s="1"/>
  <c r="J11" i="56"/>
  <c r="H479" i="3" s="1"/>
  <c r="I11" i="56"/>
  <c r="I13" i="55" s="1"/>
  <c r="H11" i="56"/>
  <c r="H13" i="55" s="1"/>
  <c r="G11" i="56"/>
  <c r="G13" i="55" s="1"/>
  <c r="F11" i="56"/>
  <c r="D479" i="3" s="1"/>
  <c r="E11" i="56"/>
  <c r="E13" i="55" s="1"/>
  <c r="D11" i="56"/>
  <c r="O8" i="56"/>
  <c r="O15" i="56" s="1"/>
  <c r="N8" i="56"/>
  <c r="N10" i="55" s="1"/>
  <c r="M8" i="56"/>
  <c r="L8" i="56"/>
  <c r="L15" i="56" s="1"/>
  <c r="K8" i="56"/>
  <c r="K15" i="56" s="1"/>
  <c r="J8" i="56"/>
  <c r="J15" i="56" s="1"/>
  <c r="I8" i="56"/>
  <c r="H8" i="56"/>
  <c r="H15" i="56" s="1"/>
  <c r="G8" i="56"/>
  <c r="G15" i="56" s="1"/>
  <c r="F8" i="56"/>
  <c r="F10" i="55" s="1"/>
  <c r="E8" i="56"/>
  <c r="E10" i="55" s="1"/>
  <c r="D8" i="56"/>
  <c r="D15" i="56" s="1"/>
  <c r="O3" i="56"/>
  <c r="O5" i="56" s="1"/>
  <c r="N3" i="56"/>
  <c r="N5" i="56" s="1"/>
  <c r="M3" i="56"/>
  <c r="M5" i="56" s="1"/>
  <c r="L3" i="56"/>
  <c r="J144" i="2" s="1"/>
  <c r="W144" i="2" s="1"/>
  <c r="K3" i="56"/>
  <c r="I144" i="2" s="1"/>
  <c r="V144" i="2" s="1"/>
  <c r="J3" i="56"/>
  <c r="J5" i="56" s="1"/>
  <c r="I3" i="56"/>
  <c r="I5" i="56" s="1"/>
  <c r="H3" i="56"/>
  <c r="F144" i="2" s="1"/>
  <c r="S144" i="2" s="1"/>
  <c r="G3" i="56"/>
  <c r="E144" i="2" s="1"/>
  <c r="R144" i="2" s="1"/>
  <c r="F3" i="56"/>
  <c r="F5" i="56" s="1"/>
  <c r="E3" i="56"/>
  <c r="E5" i="56" s="1"/>
  <c r="D3" i="56"/>
  <c r="B144" i="2" s="1"/>
  <c r="O144" i="2" s="1"/>
  <c r="O54" i="78"/>
  <c r="N54" i="78"/>
  <c r="M54" i="78"/>
  <c r="L54" i="78"/>
  <c r="K54" i="78"/>
  <c r="J54" i="78"/>
  <c r="I54" i="78"/>
  <c r="H54" i="78"/>
  <c r="G54" i="78"/>
  <c r="F54" i="78"/>
  <c r="E54" i="78"/>
  <c r="D54" i="78"/>
  <c r="O50" i="78"/>
  <c r="N50" i="78"/>
  <c r="M50" i="78"/>
  <c r="L50" i="78"/>
  <c r="K50" i="78"/>
  <c r="J50" i="78"/>
  <c r="I50" i="78"/>
  <c r="H50" i="78"/>
  <c r="G50" i="78"/>
  <c r="F50" i="78"/>
  <c r="E50" i="78"/>
  <c r="D50" i="78"/>
  <c r="O33" i="78"/>
  <c r="N33" i="78"/>
  <c r="M33" i="78"/>
  <c r="L33" i="78"/>
  <c r="K33" i="78"/>
  <c r="J33" i="78"/>
  <c r="I33" i="78"/>
  <c r="H33" i="78"/>
  <c r="G33" i="78"/>
  <c r="F33" i="78"/>
  <c r="E33" i="78"/>
  <c r="D33" i="78"/>
  <c r="M19" i="78"/>
  <c r="L19" i="78"/>
  <c r="K19" i="78"/>
  <c r="I19" i="78"/>
  <c r="H19" i="78"/>
  <c r="G19" i="78"/>
  <c r="E19" i="78"/>
  <c r="D19" i="78"/>
  <c r="N16" i="78"/>
  <c r="M16" i="78"/>
  <c r="L16" i="78"/>
  <c r="K16" i="78"/>
  <c r="J16" i="78"/>
  <c r="I16" i="78"/>
  <c r="H16" i="78"/>
  <c r="G16" i="78"/>
  <c r="F16" i="78"/>
  <c r="E16" i="78"/>
  <c r="D16" i="78"/>
  <c r="O15" i="78"/>
  <c r="O11" i="79" s="1"/>
  <c r="N15" i="78"/>
  <c r="M15" i="78"/>
  <c r="M11" i="79" s="1"/>
  <c r="M13" i="79" s="1"/>
  <c r="K264" i="3" s="1"/>
  <c r="L15" i="78"/>
  <c r="L17" i="78" s="1"/>
  <c r="K15" i="78"/>
  <c r="K17" i="78" s="1"/>
  <c r="J15" i="78"/>
  <c r="J17" i="78" s="1"/>
  <c r="I15" i="78"/>
  <c r="I11" i="79" s="1"/>
  <c r="I13" i="79" s="1"/>
  <c r="G264" i="3" s="1"/>
  <c r="H15" i="78"/>
  <c r="H17" i="78" s="1"/>
  <c r="G15" i="78"/>
  <c r="G17" i="78" s="1"/>
  <c r="F15" i="78"/>
  <c r="E15" i="78"/>
  <c r="E11" i="79" s="1"/>
  <c r="E13" i="79" s="1"/>
  <c r="C264" i="3" s="1"/>
  <c r="D15" i="78"/>
  <c r="D17" i="78" s="1"/>
  <c r="O13" i="78"/>
  <c r="O19" i="79" s="1"/>
  <c r="N13" i="78"/>
  <c r="N19" i="79" s="1"/>
  <c r="M13" i="78"/>
  <c r="K234" i="3" s="1"/>
  <c r="L13" i="78"/>
  <c r="L19" i="79" s="1"/>
  <c r="K13" i="78"/>
  <c r="K19" i="79" s="1"/>
  <c r="J13" i="78"/>
  <c r="J19" i="79" s="1"/>
  <c r="I13" i="78"/>
  <c r="G234" i="3" s="1"/>
  <c r="H13" i="78"/>
  <c r="H19" i="79" s="1"/>
  <c r="G13" i="78"/>
  <c r="G19" i="79" s="1"/>
  <c r="F13" i="78"/>
  <c r="F19" i="79" s="1"/>
  <c r="E13" i="78"/>
  <c r="C234" i="3" s="1"/>
  <c r="D13" i="78"/>
  <c r="D19" i="79" s="1"/>
  <c r="O11" i="78"/>
  <c r="O17" i="79" s="1"/>
  <c r="N11" i="78"/>
  <c r="N17" i="79" s="1"/>
  <c r="M11" i="78"/>
  <c r="M17" i="79" s="1"/>
  <c r="L11" i="78"/>
  <c r="L17" i="79" s="1"/>
  <c r="K11" i="78"/>
  <c r="K17" i="79" s="1"/>
  <c r="J11" i="78"/>
  <c r="J17" i="79" s="1"/>
  <c r="I11" i="78"/>
  <c r="I17" i="79" s="1"/>
  <c r="H11" i="78"/>
  <c r="H17" i="79" s="1"/>
  <c r="G11" i="78"/>
  <c r="G17" i="79" s="1"/>
  <c r="F11" i="78"/>
  <c r="F17" i="79" s="1"/>
  <c r="E11" i="78"/>
  <c r="E17" i="79" s="1"/>
  <c r="D11" i="78"/>
  <c r="D17" i="79" s="1"/>
  <c r="O8" i="78"/>
  <c r="N8" i="78"/>
  <c r="L8" i="78"/>
  <c r="K8" i="78"/>
  <c r="J8" i="78"/>
  <c r="H8" i="78"/>
  <c r="G8" i="78"/>
  <c r="F8" i="78"/>
  <c r="D8" i="78"/>
  <c r="O7" i="78"/>
  <c r="O7" i="79" s="1"/>
  <c r="O9" i="79" s="1"/>
  <c r="N7" i="78"/>
  <c r="M7" i="78"/>
  <c r="L7" i="78"/>
  <c r="L7" i="79" s="1"/>
  <c r="L9" i="79" s="1"/>
  <c r="K7" i="78"/>
  <c r="K9" i="78" s="1"/>
  <c r="J7" i="78"/>
  <c r="I7" i="78"/>
  <c r="H7" i="78"/>
  <c r="H7" i="79" s="1"/>
  <c r="H9" i="79" s="1"/>
  <c r="G7" i="78"/>
  <c r="F7" i="78"/>
  <c r="E7" i="78"/>
  <c r="D7" i="78"/>
  <c r="D7" i="79" s="1"/>
  <c r="D9" i="79" s="1"/>
  <c r="O3" i="78"/>
  <c r="O5" i="78" s="1"/>
  <c r="N3" i="78"/>
  <c r="M3" i="78"/>
  <c r="M5" i="78" s="1"/>
  <c r="L3" i="78"/>
  <c r="L5" i="78" s="1"/>
  <c r="K3" i="78"/>
  <c r="K5" i="78" s="1"/>
  <c r="J3" i="78"/>
  <c r="I3" i="78"/>
  <c r="I5" i="78" s="1"/>
  <c r="H3" i="78"/>
  <c r="H5" i="78" s="1"/>
  <c r="G3" i="78"/>
  <c r="G5" i="78" s="1"/>
  <c r="F3" i="78"/>
  <c r="E3" i="78"/>
  <c r="E5" i="78" s="1"/>
  <c r="D3" i="78"/>
  <c r="D5" i="78" s="1"/>
  <c r="H15" i="76"/>
  <c r="O9" i="76"/>
  <c r="M358" i="3" s="1"/>
  <c r="N9" i="76"/>
  <c r="L358" i="3" s="1"/>
  <c r="M9" i="76"/>
  <c r="L9" i="76"/>
  <c r="K9" i="76"/>
  <c r="I358" i="3" s="1"/>
  <c r="J9" i="76"/>
  <c r="H358" i="3" s="1"/>
  <c r="I9" i="76"/>
  <c r="H9" i="76"/>
  <c r="G9" i="76"/>
  <c r="F9" i="76"/>
  <c r="D358" i="3" s="1"/>
  <c r="E9" i="76"/>
  <c r="D9" i="76"/>
  <c r="O7" i="76"/>
  <c r="N7" i="76"/>
  <c r="N13" i="76" s="1"/>
  <c r="M7" i="76"/>
  <c r="M11" i="76" s="1"/>
  <c r="L7" i="76"/>
  <c r="L11" i="76" s="1"/>
  <c r="K7" i="76"/>
  <c r="J7" i="76"/>
  <c r="J13" i="76" s="1"/>
  <c r="I7" i="76"/>
  <c r="I11" i="76" s="1"/>
  <c r="H7" i="76"/>
  <c r="H11" i="76" s="1"/>
  <c r="G7" i="76"/>
  <c r="F7" i="76"/>
  <c r="F13" i="76" s="1"/>
  <c r="E7" i="76"/>
  <c r="E11" i="76" s="1"/>
  <c r="D7" i="76"/>
  <c r="D11" i="76" s="1"/>
  <c r="O3" i="76"/>
  <c r="N3" i="76"/>
  <c r="N5" i="76" s="1"/>
  <c r="M3" i="76"/>
  <c r="K265" i="2" s="1"/>
  <c r="X265" i="2" s="1"/>
  <c r="L3" i="76"/>
  <c r="L5" i="76" s="1"/>
  <c r="K3" i="76"/>
  <c r="K5" i="76" s="1"/>
  <c r="J3" i="76"/>
  <c r="J5" i="76" s="1"/>
  <c r="I3" i="76"/>
  <c r="I5" i="76" s="1"/>
  <c r="H3" i="76"/>
  <c r="H5" i="76" s="1"/>
  <c r="G3" i="76"/>
  <c r="F3" i="76"/>
  <c r="F5" i="76" s="1"/>
  <c r="E3" i="76"/>
  <c r="C265" i="2" s="1"/>
  <c r="P265" i="2" s="1"/>
  <c r="D3" i="76"/>
  <c r="D5" i="76" s="1"/>
  <c r="O214" i="75"/>
  <c r="N214" i="75"/>
  <c r="M214" i="75"/>
  <c r="M30" i="75" s="1"/>
  <c r="K520" i="3" s="1"/>
  <c r="L214" i="75"/>
  <c r="L30" i="75" s="1"/>
  <c r="J520" i="3" s="1"/>
  <c r="K214" i="75"/>
  <c r="K30" i="75" s="1"/>
  <c r="I520" i="3" s="1"/>
  <c r="J214" i="75"/>
  <c r="J30" i="75" s="1"/>
  <c r="H520" i="3" s="1"/>
  <c r="I214" i="75"/>
  <c r="I30" i="75" s="1"/>
  <c r="G520" i="3" s="1"/>
  <c r="H214" i="75"/>
  <c r="G214" i="75"/>
  <c r="G30" i="75" s="1"/>
  <c r="E520" i="3" s="1"/>
  <c r="F214" i="75"/>
  <c r="F30" i="75" s="1"/>
  <c r="D520" i="3" s="1"/>
  <c r="E214" i="75"/>
  <c r="E30" i="75" s="1"/>
  <c r="C520" i="3" s="1"/>
  <c r="D214" i="75"/>
  <c r="D30" i="75" s="1"/>
  <c r="B520" i="3" s="1"/>
  <c r="O185" i="75"/>
  <c r="O9" i="75" s="1"/>
  <c r="M291" i="2" s="1"/>
  <c r="Z291" i="2" s="1"/>
  <c r="N185" i="75"/>
  <c r="N9" i="75" s="1"/>
  <c r="L291" i="2" s="1"/>
  <c r="Y291" i="2" s="1"/>
  <c r="M185" i="75"/>
  <c r="M9" i="75" s="1"/>
  <c r="K291" i="2" s="1"/>
  <c r="X291" i="2" s="1"/>
  <c r="L185" i="75"/>
  <c r="L9" i="75" s="1"/>
  <c r="J291" i="2" s="1"/>
  <c r="W291" i="2" s="1"/>
  <c r="K185" i="75"/>
  <c r="K9" i="75" s="1"/>
  <c r="I291" i="2" s="1"/>
  <c r="V291" i="2" s="1"/>
  <c r="J185" i="75"/>
  <c r="I185" i="75"/>
  <c r="I9" i="75" s="1"/>
  <c r="G291" i="2" s="1"/>
  <c r="T291" i="2" s="1"/>
  <c r="H185" i="75"/>
  <c r="G185" i="75"/>
  <c r="G9" i="75" s="1"/>
  <c r="E291" i="2" s="1"/>
  <c r="R291" i="2" s="1"/>
  <c r="F185" i="75"/>
  <c r="E185" i="75"/>
  <c r="E9" i="75" s="1"/>
  <c r="C291" i="2" s="1"/>
  <c r="P291" i="2" s="1"/>
  <c r="D185" i="75"/>
  <c r="D9" i="75" s="1"/>
  <c r="B291" i="2" s="1"/>
  <c r="O291" i="2" s="1"/>
  <c r="O178" i="75"/>
  <c r="O27" i="75" s="1"/>
  <c r="N178" i="75"/>
  <c r="M178" i="75"/>
  <c r="M27" i="75" s="1"/>
  <c r="L178" i="75"/>
  <c r="K178" i="75"/>
  <c r="K27" i="75" s="1"/>
  <c r="J178" i="75"/>
  <c r="J27" i="75" s="1"/>
  <c r="I178" i="75"/>
  <c r="I27" i="75" s="1"/>
  <c r="H178" i="75"/>
  <c r="H27" i="75" s="1"/>
  <c r="G178" i="75"/>
  <c r="G27" i="75" s="1"/>
  <c r="F178" i="75"/>
  <c r="F27" i="75" s="1"/>
  <c r="E178" i="75"/>
  <c r="E27" i="75" s="1"/>
  <c r="D178" i="75"/>
  <c r="D27" i="75" s="1"/>
  <c r="O177" i="75"/>
  <c r="O23" i="75" s="1"/>
  <c r="N177" i="75"/>
  <c r="M177" i="75"/>
  <c r="M23" i="75" s="1"/>
  <c r="L177" i="75"/>
  <c r="L23" i="75" s="1"/>
  <c r="K177" i="75"/>
  <c r="K23" i="75" s="1"/>
  <c r="J177" i="75"/>
  <c r="J23" i="75" s="1"/>
  <c r="I177" i="75"/>
  <c r="I23" i="75" s="1"/>
  <c r="H177" i="75"/>
  <c r="G177" i="75"/>
  <c r="G23" i="75" s="1"/>
  <c r="F177" i="75"/>
  <c r="F23" i="75" s="1"/>
  <c r="E177" i="75"/>
  <c r="E23" i="75" s="1"/>
  <c r="D177" i="75"/>
  <c r="D23" i="75" s="1"/>
  <c r="O171" i="75"/>
  <c r="N171" i="75"/>
  <c r="M171" i="75"/>
  <c r="L171" i="75"/>
  <c r="K171" i="75"/>
  <c r="J171" i="75"/>
  <c r="I171" i="75"/>
  <c r="H171" i="75"/>
  <c r="G171" i="75"/>
  <c r="F171" i="75"/>
  <c r="E171" i="75"/>
  <c r="D171" i="75"/>
  <c r="O149" i="75"/>
  <c r="O8" i="75" s="1"/>
  <c r="M290" i="2" s="1"/>
  <c r="Z290" i="2" s="1"/>
  <c r="N149" i="75"/>
  <c r="N8" i="75" s="1"/>
  <c r="M149" i="75"/>
  <c r="M8" i="75" s="1"/>
  <c r="K290" i="2" s="1"/>
  <c r="X290" i="2" s="1"/>
  <c r="L149" i="75"/>
  <c r="L8" i="75" s="1"/>
  <c r="J290" i="2" s="1"/>
  <c r="W290" i="2" s="1"/>
  <c r="K149" i="75"/>
  <c r="K8" i="75" s="1"/>
  <c r="I290" i="2" s="1"/>
  <c r="V290" i="2" s="1"/>
  <c r="J149" i="75"/>
  <c r="I149" i="75"/>
  <c r="I8" i="75" s="1"/>
  <c r="G290" i="2" s="1"/>
  <c r="T290" i="2" s="1"/>
  <c r="H149" i="75"/>
  <c r="H8" i="75" s="1"/>
  <c r="F290" i="2" s="1"/>
  <c r="S290" i="2" s="1"/>
  <c r="G149" i="75"/>
  <c r="G8" i="75" s="1"/>
  <c r="E290" i="2" s="1"/>
  <c r="R290" i="2" s="1"/>
  <c r="F149" i="75"/>
  <c r="E149" i="75"/>
  <c r="E8" i="75" s="1"/>
  <c r="C290" i="2" s="1"/>
  <c r="P290" i="2" s="1"/>
  <c r="D149" i="75"/>
  <c r="O142" i="75"/>
  <c r="O26" i="75" s="1"/>
  <c r="N142" i="75"/>
  <c r="M142" i="75"/>
  <c r="M26" i="75" s="1"/>
  <c r="M28" i="75" s="1"/>
  <c r="K489" i="3" s="1"/>
  <c r="L142" i="75"/>
  <c r="K142" i="75"/>
  <c r="K26" i="75" s="1"/>
  <c r="J142" i="75"/>
  <c r="J26" i="75" s="1"/>
  <c r="J28" i="75" s="1"/>
  <c r="H489" i="3" s="1"/>
  <c r="I142" i="75"/>
  <c r="I26" i="75" s="1"/>
  <c r="I28" i="75" s="1"/>
  <c r="G489" i="3" s="1"/>
  <c r="H142" i="75"/>
  <c r="H26" i="75" s="1"/>
  <c r="G142" i="75"/>
  <c r="G26" i="75" s="1"/>
  <c r="F142" i="75"/>
  <c r="F26" i="75" s="1"/>
  <c r="E142" i="75"/>
  <c r="E26" i="75" s="1"/>
  <c r="E28" i="75" s="1"/>
  <c r="C489" i="3" s="1"/>
  <c r="D142" i="75"/>
  <c r="D26" i="75" s="1"/>
  <c r="D28" i="75" s="1"/>
  <c r="B489" i="3" s="1"/>
  <c r="O141" i="75"/>
  <c r="O16" i="75" s="1"/>
  <c r="N141" i="75"/>
  <c r="N16" i="75" s="1"/>
  <c r="M141" i="75"/>
  <c r="M16" i="75" s="1"/>
  <c r="L141" i="75"/>
  <c r="L16" i="75" s="1"/>
  <c r="K141" i="75"/>
  <c r="K16" i="75" s="1"/>
  <c r="J141" i="75"/>
  <c r="I141" i="75"/>
  <c r="I16" i="75" s="1"/>
  <c r="H141" i="75"/>
  <c r="H16" i="75" s="1"/>
  <c r="G141" i="75"/>
  <c r="G16" i="75" s="1"/>
  <c r="F141" i="75"/>
  <c r="E141" i="75"/>
  <c r="E16" i="75" s="1"/>
  <c r="D141" i="75"/>
  <c r="O132" i="75"/>
  <c r="N132" i="75"/>
  <c r="M132" i="75"/>
  <c r="L132" i="75"/>
  <c r="K132" i="75"/>
  <c r="J132" i="75"/>
  <c r="I132" i="75"/>
  <c r="H132" i="75"/>
  <c r="G132" i="75"/>
  <c r="F132" i="75"/>
  <c r="E132" i="75"/>
  <c r="D132" i="75"/>
  <c r="O115" i="75"/>
  <c r="O7" i="75" s="1"/>
  <c r="M289" i="2" s="1"/>
  <c r="Z289" i="2" s="1"/>
  <c r="N115" i="75"/>
  <c r="N7" i="75" s="1"/>
  <c r="L289" i="2" s="1"/>
  <c r="Y289" i="2" s="1"/>
  <c r="M115" i="75"/>
  <c r="M7" i="75" s="1"/>
  <c r="K289" i="2" s="1"/>
  <c r="X289" i="2" s="1"/>
  <c r="L115" i="75"/>
  <c r="L7" i="75" s="1"/>
  <c r="K115" i="75"/>
  <c r="K7" i="75" s="1"/>
  <c r="I289" i="2" s="1"/>
  <c r="V289" i="2" s="1"/>
  <c r="J115" i="75"/>
  <c r="J7" i="75" s="1"/>
  <c r="H289" i="2" s="1"/>
  <c r="U289" i="2" s="1"/>
  <c r="I115" i="75"/>
  <c r="I7" i="75" s="1"/>
  <c r="G289" i="2" s="1"/>
  <c r="T289" i="2" s="1"/>
  <c r="H115" i="75"/>
  <c r="H7" i="75" s="1"/>
  <c r="G115" i="75"/>
  <c r="G7" i="75" s="1"/>
  <c r="E289" i="2" s="1"/>
  <c r="R289" i="2" s="1"/>
  <c r="F115" i="75"/>
  <c r="E115" i="75"/>
  <c r="E7" i="75" s="1"/>
  <c r="C289" i="2" s="1"/>
  <c r="P289" i="2" s="1"/>
  <c r="D115" i="75"/>
  <c r="D7" i="75" s="1"/>
  <c r="O104" i="75"/>
  <c r="O22" i="75" s="1"/>
  <c r="N104" i="75"/>
  <c r="M104" i="75"/>
  <c r="M22" i="75" s="1"/>
  <c r="L104" i="75"/>
  <c r="K104" i="75"/>
  <c r="K22" i="75" s="1"/>
  <c r="J104" i="75"/>
  <c r="I104" i="75"/>
  <c r="I22" i="75" s="1"/>
  <c r="H104" i="75"/>
  <c r="H22" i="75" s="1"/>
  <c r="G104" i="75"/>
  <c r="G22" i="75" s="1"/>
  <c r="F104" i="75"/>
  <c r="F22" i="75" s="1"/>
  <c r="E104" i="75"/>
  <c r="E22" i="75" s="1"/>
  <c r="D104" i="75"/>
  <c r="O103" i="75"/>
  <c r="O19" i="75" s="1"/>
  <c r="M347" i="3" s="1"/>
  <c r="N103" i="75"/>
  <c r="N19" i="75" s="1"/>
  <c r="L347" i="3" s="1"/>
  <c r="M103" i="75"/>
  <c r="M19" i="75" s="1"/>
  <c r="K347" i="3" s="1"/>
  <c r="L103" i="75"/>
  <c r="L19" i="75" s="1"/>
  <c r="J347" i="3" s="1"/>
  <c r="K103" i="75"/>
  <c r="K19" i="75" s="1"/>
  <c r="I347" i="3" s="1"/>
  <c r="J103" i="75"/>
  <c r="I103" i="75"/>
  <c r="I19" i="75" s="1"/>
  <c r="G347" i="3" s="1"/>
  <c r="H103" i="75"/>
  <c r="G103" i="75"/>
  <c r="G19" i="75" s="1"/>
  <c r="E347" i="3" s="1"/>
  <c r="F103" i="75"/>
  <c r="E103" i="75"/>
  <c r="E19" i="75" s="1"/>
  <c r="C347" i="3" s="1"/>
  <c r="D103" i="75"/>
  <c r="D19" i="75" s="1"/>
  <c r="B347" i="3" s="1"/>
  <c r="O93" i="75"/>
  <c r="N93" i="75"/>
  <c r="M93" i="75"/>
  <c r="L93" i="75"/>
  <c r="K93" i="75"/>
  <c r="J93" i="75"/>
  <c r="I93" i="75"/>
  <c r="H93" i="75"/>
  <c r="G93" i="75"/>
  <c r="F93" i="75"/>
  <c r="E93" i="75"/>
  <c r="D93" i="75"/>
  <c r="O78" i="75"/>
  <c r="N78" i="75"/>
  <c r="M78" i="75"/>
  <c r="L78" i="75"/>
  <c r="K78" i="75"/>
  <c r="J78" i="75"/>
  <c r="I78" i="75"/>
  <c r="H78" i="75"/>
  <c r="G78" i="75"/>
  <c r="F78" i="75"/>
  <c r="E78" i="75"/>
  <c r="D78" i="75"/>
  <c r="O73" i="75"/>
  <c r="O6" i="75" s="1"/>
  <c r="N73" i="75"/>
  <c r="N6" i="75" s="1"/>
  <c r="L288" i="2" s="1"/>
  <c r="Y288" i="2" s="1"/>
  <c r="M73" i="75"/>
  <c r="M6" i="75" s="1"/>
  <c r="K288" i="2" s="1"/>
  <c r="X288" i="2" s="1"/>
  <c r="L73" i="75"/>
  <c r="K73" i="75"/>
  <c r="J73" i="75"/>
  <c r="J6" i="75" s="1"/>
  <c r="H288" i="2" s="1"/>
  <c r="U288" i="2" s="1"/>
  <c r="I73" i="75"/>
  <c r="I6" i="75" s="1"/>
  <c r="G288" i="2" s="1"/>
  <c r="T288" i="2" s="1"/>
  <c r="H73" i="75"/>
  <c r="H6" i="75" s="1"/>
  <c r="F288" i="2" s="1"/>
  <c r="S288" i="2" s="1"/>
  <c r="G73" i="75"/>
  <c r="G6" i="75" s="1"/>
  <c r="E288" i="2" s="1"/>
  <c r="R288" i="2" s="1"/>
  <c r="F73" i="75"/>
  <c r="E73" i="75"/>
  <c r="E6" i="75" s="1"/>
  <c r="C288" i="2" s="1"/>
  <c r="P288" i="2" s="1"/>
  <c r="D73" i="75"/>
  <c r="O65" i="75"/>
  <c r="O21" i="75" s="1"/>
  <c r="N65" i="75"/>
  <c r="M65" i="75"/>
  <c r="M21" i="75" s="1"/>
  <c r="M24" i="75" s="1"/>
  <c r="K348" i="3" s="1"/>
  <c r="L65" i="75"/>
  <c r="L21" i="75" s="1"/>
  <c r="K65" i="75"/>
  <c r="K21" i="75" s="1"/>
  <c r="J65" i="75"/>
  <c r="I65" i="75"/>
  <c r="I21" i="75" s="1"/>
  <c r="I24" i="75" s="1"/>
  <c r="G348" i="3" s="1"/>
  <c r="H65" i="75"/>
  <c r="H21" i="75" s="1"/>
  <c r="G65" i="75"/>
  <c r="G21" i="75" s="1"/>
  <c r="F65" i="75"/>
  <c r="F21" i="75" s="1"/>
  <c r="E65" i="75"/>
  <c r="E21" i="75" s="1"/>
  <c r="E24" i="75" s="1"/>
  <c r="C348" i="3" s="1"/>
  <c r="D65" i="75"/>
  <c r="O64" i="75"/>
  <c r="O15" i="75" s="1"/>
  <c r="N64" i="75"/>
  <c r="N15" i="75" s="1"/>
  <c r="N17" i="75" s="1"/>
  <c r="M64" i="75"/>
  <c r="M15" i="75" s="1"/>
  <c r="M17" i="75" s="1"/>
  <c r="K216" i="3" s="1"/>
  <c r="L64" i="75"/>
  <c r="L15" i="75" s="1"/>
  <c r="L17" i="75" s="1"/>
  <c r="K64" i="75"/>
  <c r="K15" i="75" s="1"/>
  <c r="J64" i="75"/>
  <c r="I64" i="75"/>
  <c r="I15" i="75" s="1"/>
  <c r="I17" i="75" s="1"/>
  <c r="G216" i="3" s="1"/>
  <c r="H64" i="75"/>
  <c r="G64" i="75"/>
  <c r="G15" i="75" s="1"/>
  <c r="F64" i="75"/>
  <c r="E64" i="75"/>
  <c r="E15" i="75" s="1"/>
  <c r="E17" i="75" s="1"/>
  <c r="C216" i="3" s="1"/>
  <c r="D64" i="75"/>
  <c r="D15" i="75" s="1"/>
  <c r="D17" i="75" s="1"/>
  <c r="O63" i="75"/>
  <c r="O13" i="75" s="1"/>
  <c r="M13" i="3" s="1"/>
  <c r="N63" i="75"/>
  <c r="N13" i="75" s="1"/>
  <c r="L13" i="3" s="1"/>
  <c r="M63" i="75"/>
  <c r="M13" i="75" s="1"/>
  <c r="L63" i="75"/>
  <c r="L13" i="75" s="1"/>
  <c r="J13" i="3" s="1"/>
  <c r="K63" i="75"/>
  <c r="K13" i="75" s="1"/>
  <c r="I13" i="3" s="1"/>
  <c r="J63" i="75"/>
  <c r="I63" i="75"/>
  <c r="I13" i="75" s="1"/>
  <c r="H63" i="75"/>
  <c r="H13" i="75" s="1"/>
  <c r="G63" i="75"/>
  <c r="G13" i="75" s="1"/>
  <c r="E13" i="3" s="1"/>
  <c r="F63" i="75"/>
  <c r="E63" i="75"/>
  <c r="E13" i="75" s="1"/>
  <c r="D63" i="75"/>
  <c r="O61" i="75"/>
  <c r="N61" i="75"/>
  <c r="M61" i="75"/>
  <c r="L61" i="75"/>
  <c r="K61" i="75"/>
  <c r="J61" i="75"/>
  <c r="I61" i="75"/>
  <c r="H61" i="75"/>
  <c r="G61" i="75"/>
  <c r="F61" i="75"/>
  <c r="E61" i="75"/>
  <c r="D61" i="75"/>
  <c r="O56" i="75"/>
  <c r="N56" i="75"/>
  <c r="M56" i="75"/>
  <c r="L56" i="75"/>
  <c r="K56" i="75"/>
  <c r="J56" i="75"/>
  <c r="I56" i="75"/>
  <c r="H56" i="75"/>
  <c r="G56" i="75"/>
  <c r="F56" i="75"/>
  <c r="E56" i="75"/>
  <c r="D56" i="75"/>
  <c r="O41" i="75"/>
  <c r="O5" i="75" s="1"/>
  <c r="M287" i="2" s="1"/>
  <c r="N41" i="75"/>
  <c r="M41" i="75"/>
  <c r="M5" i="75" s="1"/>
  <c r="L41" i="75"/>
  <c r="L5" i="75" s="1"/>
  <c r="J287" i="2" s="1"/>
  <c r="K41" i="75"/>
  <c r="K5" i="75" s="1"/>
  <c r="J41" i="75"/>
  <c r="J5" i="75" s="1"/>
  <c r="H287" i="2" s="1"/>
  <c r="I41" i="75"/>
  <c r="I5" i="75" s="1"/>
  <c r="H41" i="75"/>
  <c r="G41" i="75"/>
  <c r="G5" i="75" s="1"/>
  <c r="F41" i="75"/>
  <c r="F5" i="75" s="1"/>
  <c r="D287" i="2" s="1"/>
  <c r="E41" i="75"/>
  <c r="E5" i="75" s="1"/>
  <c r="D41" i="75"/>
  <c r="D5" i="75" s="1"/>
  <c r="B287" i="2" s="1"/>
  <c r="O30" i="75"/>
  <c r="M520" i="3" s="1"/>
  <c r="N30" i="75"/>
  <c r="L520" i="3" s="1"/>
  <c r="H30" i="75"/>
  <c r="F520" i="3" s="1"/>
  <c r="N27" i="75"/>
  <c r="L27" i="75"/>
  <c r="N26" i="75"/>
  <c r="L26" i="75"/>
  <c r="L28" i="75" s="1"/>
  <c r="J489" i="3" s="1"/>
  <c r="N23" i="75"/>
  <c r="H23" i="75"/>
  <c r="N22" i="75"/>
  <c r="L22" i="75"/>
  <c r="J22" i="75"/>
  <c r="D22" i="75"/>
  <c r="N21" i="75"/>
  <c r="J21" i="75"/>
  <c r="D21" i="75"/>
  <c r="J19" i="75"/>
  <c r="H347" i="3" s="1"/>
  <c r="H19" i="75"/>
  <c r="F19" i="75"/>
  <c r="D347" i="3" s="1"/>
  <c r="J16" i="75"/>
  <c r="F16" i="75"/>
  <c r="D16" i="75"/>
  <c r="J15" i="75"/>
  <c r="H15" i="75"/>
  <c r="F15" i="75"/>
  <c r="J13" i="75"/>
  <c r="H13" i="3" s="1"/>
  <c r="F13" i="75"/>
  <c r="D13" i="3" s="1"/>
  <c r="D13" i="75"/>
  <c r="B13" i="3" s="1"/>
  <c r="J9" i="75"/>
  <c r="H291" i="2" s="1"/>
  <c r="U291" i="2" s="1"/>
  <c r="H9" i="75"/>
  <c r="F291" i="2" s="1"/>
  <c r="S291" i="2" s="1"/>
  <c r="F9" i="75"/>
  <c r="D291" i="2" s="1"/>
  <c r="Q291" i="2" s="1"/>
  <c r="J8" i="75"/>
  <c r="H290" i="2" s="1"/>
  <c r="U290" i="2" s="1"/>
  <c r="F8" i="75"/>
  <c r="D8" i="75"/>
  <c r="B290" i="2" s="1"/>
  <c r="O290" i="2" s="1"/>
  <c r="F7" i="75"/>
  <c r="D289" i="2" s="1"/>
  <c r="Q289" i="2" s="1"/>
  <c r="L6" i="75"/>
  <c r="K6" i="75"/>
  <c r="I288" i="2" s="1"/>
  <c r="V288" i="2" s="1"/>
  <c r="F6" i="75"/>
  <c r="D288" i="2" s="1"/>
  <c r="Q288" i="2" s="1"/>
  <c r="D6" i="75"/>
  <c r="B288" i="2" s="1"/>
  <c r="O288" i="2" s="1"/>
  <c r="N5" i="75"/>
  <c r="L287" i="2" s="1"/>
  <c r="H5" i="75"/>
  <c r="O299" i="74"/>
  <c r="O32" i="74" s="1"/>
  <c r="M382" i="3" s="1"/>
  <c r="N299" i="74"/>
  <c r="N32" i="74" s="1"/>
  <c r="L382" i="3" s="1"/>
  <c r="M299" i="74"/>
  <c r="M32" i="74" s="1"/>
  <c r="K382" i="3" s="1"/>
  <c r="L299" i="74"/>
  <c r="L32" i="74" s="1"/>
  <c r="J382" i="3" s="1"/>
  <c r="K299" i="74"/>
  <c r="K32" i="74" s="1"/>
  <c r="I382" i="3" s="1"/>
  <c r="J299" i="74"/>
  <c r="J32" i="74" s="1"/>
  <c r="H382" i="3" s="1"/>
  <c r="I299" i="74"/>
  <c r="I32" i="74" s="1"/>
  <c r="G382" i="3" s="1"/>
  <c r="H299" i="74"/>
  <c r="H32" i="74" s="1"/>
  <c r="F382" i="3" s="1"/>
  <c r="G299" i="74"/>
  <c r="G32" i="74" s="1"/>
  <c r="E382" i="3" s="1"/>
  <c r="F299" i="74"/>
  <c r="F32" i="74" s="1"/>
  <c r="D382" i="3" s="1"/>
  <c r="E299" i="74"/>
  <c r="E32" i="74" s="1"/>
  <c r="C382" i="3" s="1"/>
  <c r="D299" i="74"/>
  <c r="D32" i="74" s="1"/>
  <c r="B382" i="3" s="1"/>
  <c r="O298" i="74"/>
  <c r="O29" i="74" s="1"/>
  <c r="N298" i="74"/>
  <c r="M298" i="74"/>
  <c r="M29" i="74" s="1"/>
  <c r="L298" i="74"/>
  <c r="L29" i="74" s="1"/>
  <c r="K298" i="74"/>
  <c r="K29" i="74" s="1"/>
  <c r="J298" i="74"/>
  <c r="J29" i="74" s="1"/>
  <c r="I298" i="74"/>
  <c r="I29" i="74" s="1"/>
  <c r="H298" i="74"/>
  <c r="H29" i="74" s="1"/>
  <c r="G298" i="74"/>
  <c r="G29" i="74" s="1"/>
  <c r="F298" i="74"/>
  <c r="E298" i="74"/>
  <c r="E29" i="74" s="1"/>
  <c r="D298" i="74"/>
  <c r="D29" i="74" s="1"/>
  <c r="O294" i="74"/>
  <c r="N294" i="74"/>
  <c r="M294" i="74"/>
  <c r="L294" i="74"/>
  <c r="K294" i="74"/>
  <c r="J294" i="74"/>
  <c r="I294" i="74"/>
  <c r="H294" i="74"/>
  <c r="G294" i="74"/>
  <c r="F294" i="74"/>
  <c r="E294" i="74"/>
  <c r="D294" i="74"/>
  <c r="O278" i="74"/>
  <c r="N278" i="74"/>
  <c r="M278" i="74"/>
  <c r="L278" i="74"/>
  <c r="K278" i="74"/>
  <c r="J278" i="74"/>
  <c r="I278" i="74"/>
  <c r="H278" i="74"/>
  <c r="G278" i="74"/>
  <c r="F278" i="74"/>
  <c r="E278" i="74"/>
  <c r="D278" i="74"/>
  <c r="O267" i="74"/>
  <c r="O11" i="74" s="1"/>
  <c r="M110" i="2" s="1"/>
  <c r="Z110" i="2" s="1"/>
  <c r="N267" i="74"/>
  <c r="M267" i="74"/>
  <c r="M11" i="74" s="1"/>
  <c r="K110" i="2" s="1"/>
  <c r="X110" i="2" s="1"/>
  <c r="L267" i="74"/>
  <c r="L11" i="74" s="1"/>
  <c r="J110" i="2" s="1"/>
  <c r="W110" i="2" s="1"/>
  <c r="K267" i="74"/>
  <c r="K11" i="74" s="1"/>
  <c r="I110" i="2" s="1"/>
  <c r="V110" i="2" s="1"/>
  <c r="J267" i="74"/>
  <c r="J11" i="74" s="1"/>
  <c r="H110" i="2" s="1"/>
  <c r="U110" i="2" s="1"/>
  <c r="I267" i="74"/>
  <c r="I11" i="74" s="1"/>
  <c r="G110" i="2" s="1"/>
  <c r="T110" i="2" s="1"/>
  <c r="H267" i="74"/>
  <c r="H11" i="74" s="1"/>
  <c r="F110" i="2" s="1"/>
  <c r="S110" i="2" s="1"/>
  <c r="G267" i="74"/>
  <c r="G11" i="74" s="1"/>
  <c r="E110" i="2" s="1"/>
  <c r="R110" i="2" s="1"/>
  <c r="F267" i="74"/>
  <c r="E267" i="74"/>
  <c r="E11" i="74" s="1"/>
  <c r="C110" i="2" s="1"/>
  <c r="P110" i="2" s="1"/>
  <c r="D267" i="74"/>
  <c r="D11" i="74" s="1"/>
  <c r="B110" i="2" s="1"/>
  <c r="O110" i="2" s="1"/>
  <c r="O260" i="74"/>
  <c r="O36" i="74" s="1"/>
  <c r="N260" i="74"/>
  <c r="N36" i="74" s="1"/>
  <c r="M260" i="74"/>
  <c r="M36" i="74" s="1"/>
  <c r="L260" i="74"/>
  <c r="L36" i="74" s="1"/>
  <c r="K260" i="74"/>
  <c r="K36" i="74" s="1"/>
  <c r="J260" i="74"/>
  <c r="J36" i="74" s="1"/>
  <c r="I260" i="74"/>
  <c r="I36" i="74" s="1"/>
  <c r="H260" i="74"/>
  <c r="H36" i="74" s="1"/>
  <c r="G260" i="74"/>
  <c r="G36" i="74" s="1"/>
  <c r="F260" i="74"/>
  <c r="F36" i="74" s="1"/>
  <c r="E260" i="74"/>
  <c r="E36" i="74" s="1"/>
  <c r="D260" i="74"/>
  <c r="D36" i="74" s="1"/>
  <c r="O259" i="74"/>
  <c r="O28" i="74" s="1"/>
  <c r="N259" i="74"/>
  <c r="N28" i="74" s="1"/>
  <c r="M259" i="74"/>
  <c r="M28" i="74" s="1"/>
  <c r="L259" i="74"/>
  <c r="L28" i="74" s="1"/>
  <c r="K259" i="74"/>
  <c r="K28" i="74" s="1"/>
  <c r="J259" i="74"/>
  <c r="J28" i="74" s="1"/>
  <c r="I259" i="74"/>
  <c r="I28" i="74" s="1"/>
  <c r="H259" i="74"/>
  <c r="H28" i="74" s="1"/>
  <c r="G259" i="74"/>
  <c r="G28" i="74" s="1"/>
  <c r="F259" i="74"/>
  <c r="F28" i="74" s="1"/>
  <c r="E259" i="74"/>
  <c r="E28" i="74" s="1"/>
  <c r="D259" i="74"/>
  <c r="D28" i="74" s="1"/>
  <c r="O255" i="74"/>
  <c r="N255" i="74"/>
  <c r="M255" i="74"/>
  <c r="L255" i="74"/>
  <c r="K255" i="74"/>
  <c r="J255" i="74"/>
  <c r="I255" i="74"/>
  <c r="H255" i="74"/>
  <c r="G255" i="74"/>
  <c r="F255" i="74"/>
  <c r="E255" i="74"/>
  <c r="D255" i="74"/>
  <c r="O251" i="74"/>
  <c r="N251" i="74"/>
  <c r="M251" i="74"/>
  <c r="L251" i="74"/>
  <c r="K251" i="74"/>
  <c r="J251" i="74"/>
  <c r="I251" i="74"/>
  <c r="H251" i="74"/>
  <c r="G251" i="74"/>
  <c r="F251" i="74"/>
  <c r="E251" i="74"/>
  <c r="D251" i="74"/>
  <c r="O242" i="74"/>
  <c r="N242" i="74"/>
  <c r="M242" i="74"/>
  <c r="L242" i="74"/>
  <c r="K242" i="74"/>
  <c r="J242" i="74"/>
  <c r="I242" i="74"/>
  <c r="H242" i="74"/>
  <c r="G242" i="74"/>
  <c r="F242" i="74"/>
  <c r="E242" i="74"/>
  <c r="D242" i="74"/>
  <c r="O230" i="74"/>
  <c r="O10" i="74" s="1"/>
  <c r="M109" i="2" s="1"/>
  <c r="Z109" i="2" s="1"/>
  <c r="N230" i="74"/>
  <c r="N10" i="74" s="1"/>
  <c r="L109" i="2" s="1"/>
  <c r="Y109" i="2" s="1"/>
  <c r="M230" i="74"/>
  <c r="M10" i="74" s="1"/>
  <c r="K109" i="2" s="1"/>
  <c r="X109" i="2" s="1"/>
  <c r="L230" i="74"/>
  <c r="L10" i="74" s="1"/>
  <c r="J109" i="2" s="1"/>
  <c r="W109" i="2" s="1"/>
  <c r="K230" i="74"/>
  <c r="K10" i="74" s="1"/>
  <c r="I109" i="2" s="1"/>
  <c r="V109" i="2" s="1"/>
  <c r="J230" i="74"/>
  <c r="J10" i="74" s="1"/>
  <c r="H109" i="2" s="1"/>
  <c r="U109" i="2" s="1"/>
  <c r="I230" i="74"/>
  <c r="I10" i="74" s="1"/>
  <c r="G109" i="2" s="1"/>
  <c r="T109" i="2" s="1"/>
  <c r="H230" i="74"/>
  <c r="H10" i="74" s="1"/>
  <c r="F109" i="2" s="1"/>
  <c r="S109" i="2" s="1"/>
  <c r="G230" i="74"/>
  <c r="G10" i="74" s="1"/>
  <c r="E109" i="2" s="1"/>
  <c r="R109" i="2" s="1"/>
  <c r="F230" i="74"/>
  <c r="F10" i="74" s="1"/>
  <c r="D109" i="2" s="1"/>
  <c r="Q109" i="2" s="1"/>
  <c r="E230" i="74"/>
  <c r="E10" i="74" s="1"/>
  <c r="C109" i="2" s="1"/>
  <c r="P109" i="2" s="1"/>
  <c r="D230" i="74"/>
  <c r="D10" i="74" s="1"/>
  <c r="B109" i="2" s="1"/>
  <c r="O109" i="2" s="1"/>
  <c r="O223" i="74"/>
  <c r="O25" i="74" s="1"/>
  <c r="M284" i="3" s="1"/>
  <c r="N223" i="74"/>
  <c r="N25" i="74" s="1"/>
  <c r="L284" i="3" s="1"/>
  <c r="M223" i="74"/>
  <c r="M25" i="74" s="1"/>
  <c r="K284" i="3" s="1"/>
  <c r="L223" i="74"/>
  <c r="L25" i="74" s="1"/>
  <c r="J284" i="3" s="1"/>
  <c r="K223" i="74"/>
  <c r="K25" i="74" s="1"/>
  <c r="I284" i="3" s="1"/>
  <c r="J223" i="74"/>
  <c r="I223" i="74"/>
  <c r="I25" i="74" s="1"/>
  <c r="G284" i="3" s="1"/>
  <c r="H223" i="74"/>
  <c r="H25" i="74" s="1"/>
  <c r="F284" i="3" s="1"/>
  <c r="G223" i="74"/>
  <c r="G25" i="74" s="1"/>
  <c r="E284" i="3" s="1"/>
  <c r="F223" i="74"/>
  <c r="F25" i="74" s="1"/>
  <c r="D284" i="3" s="1"/>
  <c r="E223" i="74"/>
  <c r="E25" i="74" s="1"/>
  <c r="C284" i="3" s="1"/>
  <c r="D223" i="74"/>
  <c r="D25" i="74" s="1"/>
  <c r="B284" i="3" s="1"/>
  <c r="O185" i="74"/>
  <c r="O9" i="74" s="1"/>
  <c r="M108" i="2" s="1"/>
  <c r="Z108" i="2" s="1"/>
  <c r="N185" i="74"/>
  <c r="N9" i="74" s="1"/>
  <c r="L108" i="2" s="1"/>
  <c r="Y108" i="2" s="1"/>
  <c r="M185" i="74"/>
  <c r="M9" i="74" s="1"/>
  <c r="K108" i="2" s="1"/>
  <c r="X108" i="2" s="1"/>
  <c r="L185" i="74"/>
  <c r="L9" i="74" s="1"/>
  <c r="J108" i="2" s="1"/>
  <c r="W108" i="2" s="1"/>
  <c r="K185" i="74"/>
  <c r="K9" i="74" s="1"/>
  <c r="I108" i="2" s="1"/>
  <c r="V108" i="2" s="1"/>
  <c r="J185" i="74"/>
  <c r="J9" i="74" s="1"/>
  <c r="H108" i="2" s="1"/>
  <c r="U108" i="2" s="1"/>
  <c r="I185" i="74"/>
  <c r="I9" i="74" s="1"/>
  <c r="G108" i="2" s="1"/>
  <c r="T108" i="2" s="1"/>
  <c r="H185" i="74"/>
  <c r="H9" i="74" s="1"/>
  <c r="F108" i="2" s="1"/>
  <c r="S108" i="2" s="1"/>
  <c r="G185" i="74"/>
  <c r="G9" i="74" s="1"/>
  <c r="E108" i="2" s="1"/>
  <c r="R108" i="2" s="1"/>
  <c r="F185" i="74"/>
  <c r="E185" i="74"/>
  <c r="E9" i="74" s="1"/>
  <c r="D185" i="74"/>
  <c r="D9" i="74" s="1"/>
  <c r="B108" i="2" s="1"/>
  <c r="O108" i="2" s="1"/>
  <c r="O178" i="74"/>
  <c r="O35" i="74" s="1"/>
  <c r="N178" i="74"/>
  <c r="N35" i="74" s="1"/>
  <c r="M178" i="74"/>
  <c r="M35" i="74" s="1"/>
  <c r="L178" i="74"/>
  <c r="L35" i="74" s="1"/>
  <c r="K178" i="74"/>
  <c r="K35" i="74" s="1"/>
  <c r="J178" i="74"/>
  <c r="I178" i="74"/>
  <c r="I35" i="74" s="1"/>
  <c r="H178" i="74"/>
  <c r="H35" i="74" s="1"/>
  <c r="G178" i="74"/>
  <c r="G35" i="74" s="1"/>
  <c r="F178" i="74"/>
  <c r="F35" i="74" s="1"/>
  <c r="E178" i="74"/>
  <c r="E35" i="74" s="1"/>
  <c r="D178" i="74"/>
  <c r="D35" i="74" s="1"/>
  <c r="O177" i="74"/>
  <c r="O23" i="74" s="1"/>
  <c r="M184" i="3" s="1"/>
  <c r="N177" i="74"/>
  <c r="N23" i="74" s="1"/>
  <c r="L184" i="3" s="1"/>
  <c r="M177" i="74"/>
  <c r="M23" i="74" s="1"/>
  <c r="K184" i="3" s="1"/>
  <c r="L177" i="74"/>
  <c r="L23" i="74" s="1"/>
  <c r="J184" i="3" s="1"/>
  <c r="K177" i="74"/>
  <c r="K23" i="74" s="1"/>
  <c r="I184" i="3" s="1"/>
  <c r="J177" i="74"/>
  <c r="J23" i="74" s="1"/>
  <c r="H184" i="3" s="1"/>
  <c r="I177" i="74"/>
  <c r="I23" i="74" s="1"/>
  <c r="G184" i="3" s="1"/>
  <c r="H177" i="74"/>
  <c r="H23" i="74" s="1"/>
  <c r="F184" i="3" s="1"/>
  <c r="G177" i="74"/>
  <c r="G23" i="74" s="1"/>
  <c r="E184" i="3" s="1"/>
  <c r="F177" i="74"/>
  <c r="F23" i="74" s="1"/>
  <c r="D184" i="3" s="1"/>
  <c r="E177" i="74"/>
  <c r="E23" i="74" s="1"/>
  <c r="C184" i="3" s="1"/>
  <c r="D177" i="74"/>
  <c r="D23" i="74" s="1"/>
  <c r="B184" i="3" s="1"/>
  <c r="O173" i="74"/>
  <c r="N173" i="74"/>
  <c r="M173" i="74"/>
  <c r="L173" i="74"/>
  <c r="K173" i="74"/>
  <c r="J173" i="74"/>
  <c r="I173" i="74"/>
  <c r="H173" i="74"/>
  <c r="G173" i="74"/>
  <c r="F173" i="74"/>
  <c r="E173" i="74"/>
  <c r="D173" i="74"/>
  <c r="O169" i="74"/>
  <c r="N169" i="74"/>
  <c r="M169" i="74"/>
  <c r="L169" i="74"/>
  <c r="K169" i="74"/>
  <c r="J169" i="74"/>
  <c r="I169" i="74"/>
  <c r="H169" i="74"/>
  <c r="G169" i="74"/>
  <c r="F169" i="74"/>
  <c r="E169" i="74"/>
  <c r="D169" i="74"/>
  <c r="O153" i="74"/>
  <c r="N153" i="74"/>
  <c r="M153" i="74"/>
  <c r="L153" i="74"/>
  <c r="K153" i="74"/>
  <c r="J153" i="74"/>
  <c r="I153" i="74"/>
  <c r="H153" i="74"/>
  <c r="G153" i="74"/>
  <c r="F153" i="74"/>
  <c r="E153" i="74"/>
  <c r="D153" i="74"/>
  <c r="O150" i="74"/>
  <c r="O8" i="74" s="1"/>
  <c r="M107" i="2" s="1"/>
  <c r="Z107" i="2" s="1"/>
  <c r="N150" i="74"/>
  <c r="N8" i="74" s="1"/>
  <c r="L107" i="2" s="1"/>
  <c r="Y107" i="2" s="1"/>
  <c r="M150" i="74"/>
  <c r="M8" i="74" s="1"/>
  <c r="L150" i="74"/>
  <c r="L8" i="74" s="1"/>
  <c r="J107" i="2" s="1"/>
  <c r="W107" i="2" s="1"/>
  <c r="K150" i="74"/>
  <c r="K8" i="74" s="1"/>
  <c r="I107" i="2" s="1"/>
  <c r="V107" i="2" s="1"/>
  <c r="J150" i="74"/>
  <c r="I150" i="74"/>
  <c r="I8" i="74" s="1"/>
  <c r="G107" i="2" s="1"/>
  <c r="T107" i="2" s="1"/>
  <c r="H150" i="74"/>
  <c r="H8" i="74" s="1"/>
  <c r="F107" i="2" s="1"/>
  <c r="S107" i="2" s="1"/>
  <c r="G150" i="74"/>
  <c r="G8" i="74" s="1"/>
  <c r="E107" i="2" s="1"/>
  <c r="R107" i="2" s="1"/>
  <c r="F150" i="74"/>
  <c r="F8" i="74" s="1"/>
  <c r="D107" i="2" s="1"/>
  <c r="Q107" i="2" s="1"/>
  <c r="E150" i="74"/>
  <c r="E8" i="74" s="1"/>
  <c r="C107" i="2" s="1"/>
  <c r="P107" i="2" s="1"/>
  <c r="D150" i="74"/>
  <c r="D8" i="74" s="1"/>
  <c r="B107" i="2" s="1"/>
  <c r="O107" i="2" s="1"/>
  <c r="O143" i="74"/>
  <c r="O21" i="74" s="1"/>
  <c r="M81" i="3" s="1"/>
  <c r="N143" i="74"/>
  <c r="N21" i="74" s="1"/>
  <c r="L81" i="3" s="1"/>
  <c r="M143" i="74"/>
  <c r="M21" i="74" s="1"/>
  <c r="K81" i="3" s="1"/>
  <c r="L143" i="74"/>
  <c r="L21" i="74" s="1"/>
  <c r="J81" i="3" s="1"/>
  <c r="K143" i="74"/>
  <c r="K21" i="74" s="1"/>
  <c r="I81" i="3" s="1"/>
  <c r="J143" i="74"/>
  <c r="I143" i="74"/>
  <c r="I21" i="74" s="1"/>
  <c r="G81" i="3" s="1"/>
  <c r="H143" i="74"/>
  <c r="H21" i="74" s="1"/>
  <c r="F81" i="3" s="1"/>
  <c r="G143" i="74"/>
  <c r="G21" i="74" s="1"/>
  <c r="E81" i="3" s="1"/>
  <c r="F143" i="74"/>
  <c r="F21" i="74" s="1"/>
  <c r="D81" i="3" s="1"/>
  <c r="E143" i="74"/>
  <c r="E21" i="74" s="1"/>
  <c r="C81" i="3" s="1"/>
  <c r="D143" i="74"/>
  <c r="D21" i="74" s="1"/>
  <c r="B81" i="3" s="1"/>
  <c r="O142" i="74"/>
  <c r="O16" i="74" s="1"/>
  <c r="N142" i="74"/>
  <c r="N16" i="74" s="1"/>
  <c r="M142" i="74"/>
  <c r="M16" i="74" s="1"/>
  <c r="L142" i="74"/>
  <c r="L16" i="74" s="1"/>
  <c r="K142" i="74"/>
  <c r="K16" i="74" s="1"/>
  <c r="J142" i="74"/>
  <c r="I142" i="74"/>
  <c r="I16" i="74" s="1"/>
  <c r="H142" i="74"/>
  <c r="H16" i="74" s="1"/>
  <c r="G142" i="74"/>
  <c r="G16" i="74" s="1"/>
  <c r="F142" i="74"/>
  <c r="F16" i="74" s="1"/>
  <c r="E142" i="74"/>
  <c r="E16" i="74" s="1"/>
  <c r="D142" i="74"/>
  <c r="D16" i="74" s="1"/>
  <c r="O133" i="74"/>
  <c r="N133" i="74"/>
  <c r="M133" i="74"/>
  <c r="L133" i="74"/>
  <c r="K133" i="74"/>
  <c r="J133" i="74"/>
  <c r="I133" i="74"/>
  <c r="H133" i="74"/>
  <c r="G133" i="74"/>
  <c r="F133" i="74"/>
  <c r="E133" i="74"/>
  <c r="D133" i="74"/>
  <c r="O118" i="74"/>
  <c r="O7" i="74" s="1"/>
  <c r="M106" i="2" s="1"/>
  <c r="Z106" i="2" s="1"/>
  <c r="N118" i="74"/>
  <c r="N7" i="74" s="1"/>
  <c r="L106" i="2" s="1"/>
  <c r="Y106" i="2" s="1"/>
  <c r="M118" i="74"/>
  <c r="M7" i="74" s="1"/>
  <c r="K106" i="2" s="1"/>
  <c r="X106" i="2" s="1"/>
  <c r="L118" i="74"/>
  <c r="L7" i="74" s="1"/>
  <c r="J106" i="2" s="1"/>
  <c r="W106" i="2" s="1"/>
  <c r="K118" i="74"/>
  <c r="K7" i="74" s="1"/>
  <c r="I106" i="2" s="1"/>
  <c r="V106" i="2" s="1"/>
  <c r="J118" i="74"/>
  <c r="J7" i="74" s="1"/>
  <c r="H106" i="2" s="1"/>
  <c r="U106" i="2" s="1"/>
  <c r="I118" i="74"/>
  <c r="I7" i="74" s="1"/>
  <c r="G106" i="2" s="1"/>
  <c r="T106" i="2" s="1"/>
  <c r="H118" i="74"/>
  <c r="H7" i="74" s="1"/>
  <c r="F106" i="2" s="1"/>
  <c r="S106" i="2" s="1"/>
  <c r="G118" i="74"/>
  <c r="G7" i="74" s="1"/>
  <c r="E106" i="2" s="1"/>
  <c r="R106" i="2" s="1"/>
  <c r="F118" i="74"/>
  <c r="F7" i="74" s="1"/>
  <c r="D106" i="2" s="1"/>
  <c r="Q106" i="2" s="1"/>
  <c r="E118" i="74"/>
  <c r="E7" i="74" s="1"/>
  <c r="C106" i="2" s="1"/>
  <c r="P106" i="2" s="1"/>
  <c r="D118" i="74"/>
  <c r="D7" i="74" s="1"/>
  <c r="B106" i="2" s="1"/>
  <c r="O106" i="2" s="1"/>
  <c r="O111" i="74"/>
  <c r="O27" i="74" s="1"/>
  <c r="N111" i="74"/>
  <c r="N27" i="74" s="1"/>
  <c r="M111" i="74"/>
  <c r="M27" i="74" s="1"/>
  <c r="L111" i="74"/>
  <c r="L27" i="74" s="1"/>
  <c r="L30" i="74" s="1"/>
  <c r="J303" i="3" s="1"/>
  <c r="K111" i="74"/>
  <c r="K27" i="74" s="1"/>
  <c r="K30" i="74" s="1"/>
  <c r="I303" i="3" s="1"/>
  <c r="J111" i="74"/>
  <c r="J27" i="74" s="1"/>
  <c r="I111" i="74"/>
  <c r="I27" i="74" s="1"/>
  <c r="H111" i="74"/>
  <c r="H27" i="74" s="1"/>
  <c r="H30" i="74" s="1"/>
  <c r="F303" i="3" s="1"/>
  <c r="G111" i="74"/>
  <c r="G27" i="74" s="1"/>
  <c r="G30" i="74" s="1"/>
  <c r="E303" i="3" s="1"/>
  <c r="F111" i="74"/>
  <c r="E111" i="74"/>
  <c r="E27" i="74" s="1"/>
  <c r="D111" i="74"/>
  <c r="D27" i="74" s="1"/>
  <c r="D30" i="74" s="1"/>
  <c r="B303" i="3" s="1"/>
  <c r="O110" i="74"/>
  <c r="O19" i="74" s="1"/>
  <c r="M20" i="3" s="1"/>
  <c r="N110" i="74"/>
  <c r="M110" i="74"/>
  <c r="M19" i="74" s="1"/>
  <c r="K20" i="3" s="1"/>
  <c r="L110" i="74"/>
  <c r="L19" i="74" s="1"/>
  <c r="J20" i="3" s="1"/>
  <c r="K110" i="74"/>
  <c r="K19" i="74" s="1"/>
  <c r="I20" i="3" s="1"/>
  <c r="J110" i="74"/>
  <c r="J19" i="74" s="1"/>
  <c r="H20" i="3" s="1"/>
  <c r="I110" i="74"/>
  <c r="I19" i="74" s="1"/>
  <c r="G20" i="3" s="1"/>
  <c r="H110" i="74"/>
  <c r="H19" i="74" s="1"/>
  <c r="F20" i="3" s="1"/>
  <c r="G110" i="74"/>
  <c r="G19" i="74" s="1"/>
  <c r="E20" i="3" s="1"/>
  <c r="F110" i="74"/>
  <c r="F19" i="74" s="1"/>
  <c r="D20" i="3" s="1"/>
  <c r="E110" i="74"/>
  <c r="E19" i="74" s="1"/>
  <c r="D110" i="74"/>
  <c r="D19" i="74" s="1"/>
  <c r="O83" i="74"/>
  <c r="O6" i="74" s="1"/>
  <c r="M105" i="2" s="1"/>
  <c r="Z105" i="2" s="1"/>
  <c r="N83" i="74"/>
  <c r="N6" i="74" s="1"/>
  <c r="L105" i="2" s="1"/>
  <c r="Y105" i="2" s="1"/>
  <c r="M83" i="74"/>
  <c r="M6" i="74" s="1"/>
  <c r="K105" i="2" s="1"/>
  <c r="X105" i="2" s="1"/>
  <c r="L83" i="74"/>
  <c r="L6" i="74" s="1"/>
  <c r="K83" i="74"/>
  <c r="K6" i="74" s="1"/>
  <c r="I105" i="2" s="1"/>
  <c r="V105" i="2" s="1"/>
  <c r="J83" i="74"/>
  <c r="I83" i="74"/>
  <c r="I6" i="74" s="1"/>
  <c r="G105" i="2" s="1"/>
  <c r="T105" i="2" s="1"/>
  <c r="H83" i="74"/>
  <c r="H6" i="74" s="1"/>
  <c r="G83" i="74"/>
  <c r="G6" i="74" s="1"/>
  <c r="E105" i="2" s="1"/>
  <c r="R105" i="2" s="1"/>
  <c r="F83" i="74"/>
  <c r="F6" i="74" s="1"/>
  <c r="D105" i="2" s="1"/>
  <c r="Q105" i="2" s="1"/>
  <c r="E83" i="74"/>
  <c r="E6" i="74" s="1"/>
  <c r="C105" i="2" s="1"/>
  <c r="P105" i="2" s="1"/>
  <c r="D83" i="74"/>
  <c r="D6" i="74" s="1"/>
  <c r="O76" i="74"/>
  <c r="O34" i="74" s="1"/>
  <c r="O37" i="74" s="1"/>
  <c r="M398" i="3" s="1"/>
  <c r="N76" i="74"/>
  <c r="M76" i="74"/>
  <c r="M34" i="74" s="1"/>
  <c r="L76" i="74"/>
  <c r="L34" i="74" s="1"/>
  <c r="L37" i="74" s="1"/>
  <c r="J398" i="3" s="1"/>
  <c r="K76" i="74"/>
  <c r="K34" i="74" s="1"/>
  <c r="K37" i="74" s="1"/>
  <c r="I398" i="3" s="1"/>
  <c r="J76" i="74"/>
  <c r="J34" i="74" s="1"/>
  <c r="I76" i="74"/>
  <c r="I34" i="74" s="1"/>
  <c r="I37" i="74" s="1"/>
  <c r="G398" i="3" s="1"/>
  <c r="H76" i="74"/>
  <c r="H34" i="74" s="1"/>
  <c r="H37" i="74" s="1"/>
  <c r="F398" i="3" s="1"/>
  <c r="G76" i="74"/>
  <c r="G34" i="74" s="1"/>
  <c r="G37" i="74" s="1"/>
  <c r="E398" i="3" s="1"/>
  <c r="F76" i="74"/>
  <c r="F34" i="74" s="1"/>
  <c r="E76" i="74"/>
  <c r="E34" i="74" s="1"/>
  <c r="D76" i="74"/>
  <c r="D34" i="74" s="1"/>
  <c r="D37" i="74" s="1"/>
  <c r="B398" i="3" s="1"/>
  <c r="O75" i="74"/>
  <c r="O15" i="74" s="1"/>
  <c r="O17" i="74" s="1"/>
  <c r="N75" i="74"/>
  <c r="N15" i="74" s="1"/>
  <c r="M75" i="74"/>
  <c r="M15" i="74" s="1"/>
  <c r="M17" i="74" s="1"/>
  <c r="L75" i="74"/>
  <c r="L15" i="74" s="1"/>
  <c r="L17" i="74" s="1"/>
  <c r="L39" i="74" s="1"/>
  <c r="K75" i="74"/>
  <c r="K15" i="74" s="1"/>
  <c r="J75" i="74"/>
  <c r="J15" i="74" s="1"/>
  <c r="I75" i="74"/>
  <c r="I15" i="74" s="1"/>
  <c r="I17" i="74" s="1"/>
  <c r="G9" i="3" s="1"/>
  <c r="H75" i="74"/>
  <c r="H15" i="74" s="1"/>
  <c r="H17" i="74" s="1"/>
  <c r="G75" i="74"/>
  <c r="G15" i="74" s="1"/>
  <c r="G17" i="74" s="1"/>
  <c r="F75" i="74"/>
  <c r="E75" i="74"/>
  <c r="E15" i="74" s="1"/>
  <c r="E17" i="74" s="1"/>
  <c r="C9" i="3" s="1"/>
  <c r="D75" i="74"/>
  <c r="D15" i="74" s="1"/>
  <c r="D17" i="74" s="1"/>
  <c r="O50" i="74"/>
  <c r="O5" i="74" s="1"/>
  <c r="N50" i="74"/>
  <c r="M50" i="74"/>
  <c r="M5" i="74" s="1"/>
  <c r="K104" i="2" s="1"/>
  <c r="X104" i="2" s="1"/>
  <c r="L50" i="74"/>
  <c r="L5" i="74" s="1"/>
  <c r="L3" i="74" s="1"/>
  <c r="L13" i="74" s="1"/>
  <c r="K50" i="74"/>
  <c r="K5" i="74" s="1"/>
  <c r="K3" i="74" s="1"/>
  <c r="K13" i="74" s="1"/>
  <c r="J50" i="74"/>
  <c r="J5" i="74" s="1"/>
  <c r="H104" i="2" s="1"/>
  <c r="I50" i="74"/>
  <c r="I5" i="74" s="1"/>
  <c r="H50" i="74"/>
  <c r="H5" i="74" s="1"/>
  <c r="H3" i="74" s="1"/>
  <c r="H13" i="74" s="1"/>
  <c r="G50" i="74"/>
  <c r="G5" i="74" s="1"/>
  <c r="G3" i="74" s="1"/>
  <c r="G13" i="74" s="1"/>
  <c r="F50" i="74"/>
  <c r="F5" i="74" s="1"/>
  <c r="D104" i="2" s="1"/>
  <c r="E50" i="74"/>
  <c r="E5" i="74" s="1"/>
  <c r="C104" i="2" s="1"/>
  <c r="P104" i="2" s="1"/>
  <c r="D50" i="74"/>
  <c r="D5" i="74" s="1"/>
  <c r="D3" i="74" s="1"/>
  <c r="D13" i="74" s="1"/>
  <c r="J35" i="74"/>
  <c r="N34" i="74"/>
  <c r="N29" i="74"/>
  <c r="F29" i="74"/>
  <c r="F27" i="74"/>
  <c r="J25" i="74"/>
  <c r="H284" i="3" s="1"/>
  <c r="J21" i="74"/>
  <c r="H81" i="3" s="1"/>
  <c r="N19" i="74"/>
  <c r="L20" i="3" s="1"/>
  <c r="J16" i="74"/>
  <c r="F15" i="74"/>
  <c r="N11" i="74"/>
  <c r="L110" i="2" s="1"/>
  <c r="Y110" i="2" s="1"/>
  <c r="F11" i="74"/>
  <c r="D110" i="2" s="1"/>
  <c r="Q110" i="2" s="1"/>
  <c r="F9" i="74"/>
  <c r="D108" i="2" s="1"/>
  <c r="Q108" i="2" s="1"/>
  <c r="J8" i="74"/>
  <c r="H107" i="2" s="1"/>
  <c r="U107" i="2" s="1"/>
  <c r="J6" i="74"/>
  <c r="N5" i="74"/>
  <c r="L104" i="2" s="1"/>
  <c r="Y104" i="2" s="1"/>
  <c r="O36" i="73"/>
  <c r="N36" i="73"/>
  <c r="M36" i="73"/>
  <c r="L36" i="73"/>
  <c r="K36" i="73"/>
  <c r="J36" i="73"/>
  <c r="I36" i="73"/>
  <c r="H36" i="73"/>
  <c r="G36" i="73"/>
  <c r="F36" i="73"/>
  <c r="E36" i="73"/>
  <c r="D36" i="73"/>
  <c r="O30" i="73"/>
  <c r="N30" i="73"/>
  <c r="M30" i="73"/>
  <c r="L30" i="73"/>
  <c r="K30" i="73"/>
  <c r="J30" i="73"/>
  <c r="I30" i="73"/>
  <c r="H30" i="73"/>
  <c r="G30" i="73"/>
  <c r="F30" i="73"/>
  <c r="E30" i="73"/>
  <c r="D30" i="73"/>
  <c r="O23" i="73"/>
  <c r="N23" i="73"/>
  <c r="M23" i="73"/>
  <c r="L23" i="73"/>
  <c r="K23" i="73"/>
  <c r="J23" i="73"/>
  <c r="I23" i="73"/>
  <c r="H23" i="73"/>
  <c r="G23" i="73"/>
  <c r="F23" i="73"/>
  <c r="E23" i="73"/>
  <c r="D23" i="73"/>
  <c r="N17" i="73"/>
  <c r="I15" i="73"/>
  <c r="O11" i="73"/>
  <c r="N11" i="73"/>
  <c r="M11" i="73"/>
  <c r="L11" i="73"/>
  <c r="J341" i="3" s="1"/>
  <c r="K11" i="73"/>
  <c r="J11" i="73"/>
  <c r="I11" i="73"/>
  <c r="H11" i="73"/>
  <c r="F341" i="3" s="1"/>
  <c r="G11" i="73"/>
  <c r="F11" i="73"/>
  <c r="E11" i="73"/>
  <c r="D11" i="73"/>
  <c r="B341" i="3" s="1"/>
  <c r="O9" i="73"/>
  <c r="N9" i="73"/>
  <c r="M9" i="73"/>
  <c r="L9" i="73"/>
  <c r="K9" i="73"/>
  <c r="J9" i="73"/>
  <c r="I9" i="73"/>
  <c r="H9" i="73"/>
  <c r="G9" i="73"/>
  <c r="F9" i="73"/>
  <c r="E9" i="73"/>
  <c r="D9" i="73"/>
  <c r="O7" i="73"/>
  <c r="O17" i="73" s="1"/>
  <c r="N7" i="73"/>
  <c r="N13" i="73" s="1"/>
  <c r="M7" i="73"/>
  <c r="L7" i="73"/>
  <c r="L15" i="73" s="1"/>
  <c r="K7" i="73"/>
  <c r="K13" i="73" s="1"/>
  <c r="J7" i="73"/>
  <c r="J13" i="73" s="1"/>
  <c r="I7" i="73"/>
  <c r="I17" i="73" s="1"/>
  <c r="H7" i="73"/>
  <c r="H15" i="73" s="1"/>
  <c r="G7" i="73"/>
  <c r="G13" i="73" s="1"/>
  <c r="F7" i="73"/>
  <c r="F13" i="73" s="1"/>
  <c r="E7" i="73"/>
  <c r="D7" i="73"/>
  <c r="D15" i="73" s="1"/>
  <c r="O3" i="73"/>
  <c r="O5" i="73" s="1"/>
  <c r="N3" i="73"/>
  <c r="N5" i="73" s="1"/>
  <c r="M3" i="73"/>
  <c r="M5" i="73" s="1"/>
  <c r="L3" i="73"/>
  <c r="L5" i="73" s="1"/>
  <c r="K3" i="73"/>
  <c r="I112" i="2" s="1"/>
  <c r="J3" i="73"/>
  <c r="J5" i="73" s="1"/>
  <c r="I3" i="73"/>
  <c r="I5" i="73" s="1"/>
  <c r="H3" i="73"/>
  <c r="H5" i="73" s="1"/>
  <c r="G3" i="73"/>
  <c r="E112" i="2" s="1"/>
  <c r="F3" i="73"/>
  <c r="F5" i="73" s="1"/>
  <c r="E3" i="73"/>
  <c r="E5" i="73" s="1"/>
  <c r="D3" i="73"/>
  <c r="D5" i="73" s="1"/>
  <c r="O272" i="71"/>
  <c r="O24" i="71" s="1"/>
  <c r="N272" i="71"/>
  <c r="M272" i="71"/>
  <c r="L272" i="71"/>
  <c r="K272" i="71"/>
  <c r="K24" i="71" s="1"/>
  <c r="J272" i="71"/>
  <c r="J24" i="71" s="1"/>
  <c r="I272" i="71"/>
  <c r="I24" i="71" s="1"/>
  <c r="H272" i="71"/>
  <c r="H24" i="71" s="1"/>
  <c r="G272" i="71"/>
  <c r="G24" i="71" s="1"/>
  <c r="F272" i="71"/>
  <c r="E272" i="71"/>
  <c r="E24" i="71" s="1"/>
  <c r="D272" i="71"/>
  <c r="D24" i="71" s="1"/>
  <c r="O251" i="71"/>
  <c r="O11" i="71" s="1"/>
  <c r="M427" i="2" s="1"/>
  <c r="N251" i="71"/>
  <c r="M251" i="71"/>
  <c r="M11" i="71" s="1"/>
  <c r="K427" i="2" s="1"/>
  <c r="X427" i="2" s="1"/>
  <c r="L251" i="71"/>
  <c r="L11" i="71" s="1"/>
  <c r="J427" i="2" s="1"/>
  <c r="W427" i="2" s="1"/>
  <c r="K251" i="71"/>
  <c r="K11" i="71" s="1"/>
  <c r="I427" i="2" s="1"/>
  <c r="V427" i="2" s="1"/>
  <c r="J251" i="71"/>
  <c r="J11" i="71" s="1"/>
  <c r="I251" i="71"/>
  <c r="I11" i="71" s="1"/>
  <c r="H251" i="71"/>
  <c r="G251" i="71"/>
  <c r="G11" i="71" s="1"/>
  <c r="E427" i="2" s="1"/>
  <c r="R427" i="2" s="1"/>
  <c r="F251" i="71"/>
  <c r="F11" i="71" s="1"/>
  <c r="E251" i="71"/>
  <c r="E11" i="71" s="1"/>
  <c r="C427" i="2" s="1"/>
  <c r="P427" i="2" s="1"/>
  <c r="D251" i="71"/>
  <c r="D11" i="71" s="1"/>
  <c r="B427" i="2" s="1"/>
  <c r="O427" i="2" s="1"/>
  <c r="O244" i="71"/>
  <c r="O33" i="71" s="1"/>
  <c r="N244" i="71"/>
  <c r="N33" i="71" s="1"/>
  <c r="M244" i="71"/>
  <c r="M33" i="71" s="1"/>
  <c r="L244" i="71"/>
  <c r="L33" i="71" s="1"/>
  <c r="K244" i="71"/>
  <c r="K33" i="71" s="1"/>
  <c r="J244" i="71"/>
  <c r="I244" i="71"/>
  <c r="I33" i="71" s="1"/>
  <c r="H244" i="71"/>
  <c r="H33" i="71" s="1"/>
  <c r="G244" i="71"/>
  <c r="G33" i="71" s="1"/>
  <c r="F244" i="71"/>
  <c r="E244" i="71"/>
  <c r="E33" i="71" s="1"/>
  <c r="D244" i="71"/>
  <c r="D33" i="71" s="1"/>
  <c r="O243" i="71"/>
  <c r="O21" i="71" s="1"/>
  <c r="M387" i="3" s="1"/>
  <c r="N243" i="71"/>
  <c r="M243" i="71"/>
  <c r="M21" i="71" s="1"/>
  <c r="K387" i="3" s="1"/>
  <c r="L243" i="71"/>
  <c r="K243" i="71"/>
  <c r="K21" i="71" s="1"/>
  <c r="I387" i="3" s="1"/>
  <c r="J243" i="71"/>
  <c r="I243" i="71"/>
  <c r="I21" i="71" s="1"/>
  <c r="G387" i="3" s="1"/>
  <c r="H243" i="71"/>
  <c r="H21" i="71" s="1"/>
  <c r="F387" i="3" s="1"/>
  <c r="G243" i="71"/>
  <c r="G21" i="71" s="1"/>
  <c r="E387" i="3" s="1"/>
  <c r="F243" i="71"/>
  <c r="E243" i="71"/>
  <c r="E21" i="71" s="1"/>
  <c r="C387" i="3" s="1"/>
  <c r="D243" i="71"/>
  <c r="D21" i="71" s="1"/>
  <c r="B387" i="3" s="1"/>
  <c r="O221" i="71"/>
  <c r="O10" i="71" s="1"/>
  <c r="M426" i="2" s="1"/>
  <c r="Z426" i="2" s="1"/>
  <c r="N221" i="71"/>
  <c r="N10" i="71" s="1"/>
  <c r="L426" i="2" s="1"/>
  <c r="Y426" i="2" s="1"/>
  <c r="M221" i="71"/>
  <c r="M10" i="71" s="1"/>
  <c r="K426" i="2" s="1"/>
  <c r="X426" i="2" s="1"/>
  <c r="L221" i="71"/>
  <c r="L10" i="71" s="1"/>
  <c r="J426" i="2" s="1"/>
  <c r="W426" i="2" s="1"/>
  <c r="K221" i="71"/>
  <c r="K10" i="71" s="1"/>
  <c r="I426" i="2" s="1"/>
  <c r="V426" i="2" s="1"/>
  <c r="J221" i="71"/>
  <c r="I221" i="71"/>
  <c r="H221" i="71"/>
  <c r="H10" i="71" s="1"/>
  <c r="F426" i="2" s="1"/>
  <c r="S426" i="2" s="1"/>
  <c r="G221" i="71"/>
  <c r="G10" i="71" s="1"/>
  <c r="E426" i="2" s="1"/>
  <c r="R426" i="2" s="1"/>
  <c r="F221" i="71"/>
  <c r="F10" i="71" s="1"/>
  <c r="E221" i="71"/>
  <c r="E10" i="71" s="1"/>
  <c r="D221" i="71"/>
  <c r="O214" i="71"/>
  <c r="O32" i="71" s="1"/>
  <c r="N214" i="71"/>
  <c r="N32" i="71" s="1"/>
  <c r="M214" i="71"/>
  <c r="M32" i="71" s="1"/>
  <c r="L214" i="71"/>
  <c r="K214" i="71"/>
  <c r="K32" i="71" s="1"/>
  <c r="J214" i="71"/>
  <c r="J32" i="71" s="1"/>
  <c r="I214" i="71"/>
  <c r="I32" i="71" s="1"/>
  <c r="H214" i="71"/>
  <c r="H32" i="71" s="1"/>
  <c r="G214" i="71"/>
  <c r="G32" i="71" s="1"/>
  <c r="F214" i="71"/>
  <c r="F32" i="71" s="1"/>
  <c r="E214" i="71"/>
  <c r="E32" i="71" s="1"/>
  <c r="D214" i="71"/>
  <c r="D32" i="71" s="1"/>
  <c r="O192" i="71"/>
  <c r="O9" i="71" s="1"/>
  <c r="M425" i="2" s="1"/>
  <c r="Z425" i="2" s="1"/>
  <c r="N192" i="71"/>
  <c r="M192" i="71"/>
  <c r="M9" i="71" s="1"/>
  <c r="K425" i="2" s="1"/>
  <c r="X425" i="2" s="1"/>
  <c r="L192" i="71"/>
  <c r="L9" i="71" s="1"/>
  <c r="J425" i="2" s="1"/>
  <c r="W425" i="2" s="1"/>
  <c r="K192" i="71"/>
  <c r="K9" i="71" s="1"/>
  <c r="I425" i="2" s="1"/>
  <c r="V425" i="2" s="1"/>
  <c r="J192" i="71"/>
  <c r="J9" i="71" s="1"/>
  <c r="H425" i="2" s="1"/>
  <c r="U425" i="2" s="1"/>
  <c r="I192" i="71"/>
  <c r="I9" i="71" s="1"/>
  <c r="G425" i="2" s="1"/>
  <c r="T425" i="2" s="1"/>
  <c r="H192" i="71"/>
  <c r="H9" i="71" s="1"/>
  <c r="F425" i="2" s="1"/>
  <c r="S425" i="2" s="1"/>
  <c r="G192" i="71"/>
  <c r="G9" i="71" s="1"/>
  <c r="E425" i="2" s="1"/>
  <c r="R425" i="2" s="1"/>
  <c r="F192" i="71"/>
  <c r="F9" i="71" s="1"/>
  <c r="E192" i="71"/>
  <c r="E9" i="71" s="1"/>
  <c r="C425" i="2" s="1"/>
  <c r="P425" i="2" s="1"/>
  <c r="D192" i="71"/>
  <c r="D9" i="71" s="1"/>
  <c r="B425" i="2" s="1"/>
  <c r="O425" i="2" s="1"/>
  <c r="O185" i="71"/>
  <c r="O18" i="71" s="1"/>
  <c r="N185" i="71"/>
  <c r="N18" i="71" s="1"/>
  <c r="M185" i="71"/>
  <c r="M18" i="71" s="1"/>
  <c r="L185" i="71"/>
  <c r="L18" i="71" s="1"/>
  <c r="K185" i="71"/>
  <c r="K18" i="71" s="1"/>
  <c r="J185" i="71"/>
  <c r="I185" i="71"/>
  <c r="I18" i="71" s="1"/>
  <c r="H185" i="71"/>
  <c r="G185" i="71"/>
  <c r="G18" i="71" s="1"/>
  <c r="F185" i="71"/>
  <c r="F18" i="71" s="1"/>
  <c r="E185" i="71"/>
  <c r="E18" i="71" s="1"/>
  <c r="D185" i="71"/>
  <c r="D18" i="71" s="1"/>
  <c r="O167" i="71"/>
  <c r="O8" i="71" s="1"/>
  <c r="M424" i="2" s="1"/>
  <c r="Z424" i="2" s="1"/>
  <c r="N167" i="71"/>
  <c r="M167" i="71"/>
  <c r="M8" i="71" s="1"/>
  <c r="L167" i="71"/>
  <c r="K167" i="71"/>
  <c r="K8" i="71" s="1"/>
  <c r="I424" i="2" s="1"/>
  <c r="V424" i="2" s="1"/>
  <c r="J167" i="71"/>
  <c r="I167" i="71"/>
  <c r="I8" i="71" s="1"/>
  <c r="G424" i="2" s="1"/>
  <c r="T424" i="2" s="1"/>
  <c r="H167" i="71"/>
  <c r="H8" i="71" s="1"/>
  <c r="F424" i="2" s="1"/>
  <c r="S424" i="2" s="1"/>
  <c r="G167" i="71"/>
  <c r="G8" i="71" s="1"/>
  <c r="E424" i="2" s="1"/>
  <c r="R424" i="2" s="1"/>
  <c r="F167" i="71"/>
  <c r="E167" i="71"/>
  <c r="E8" i="71" s="1"/>
  <c r="C424" i="2" s="1"/>
  <c r="P424" i="2" s="1"/>
  <c r="D167" i="71"/>
  <c r="D8" i="71" s="1"/>
  <c r="B424" i="2" s="1"/>
  <c r="O424" i="2" s="1"/>
  <c r="O160" i="71"/>
  <c r="O28" i="71" s="1"/>
  <c r="N160" i="71"/>
  <c r="M160" i="71"/>
  <c r="M28" i="71" s="1"/>
  <c r="L160" i="71"/>
  <c r="L28" i="71" s="1"/>
  <c r="K160" i="71"/>
  <c r="K28" i="71" s="1"/>
  <c r="J160" i="71"/>
  <c r="J28" i="71" s="1"/>
  <c r="I160" i="71"/>
  <c r="I28" i="71" s="1"/>
  <c r="H160" i="71"/>
  <c r="H28" i="71" s="1"/>
  <c r="G160" i="71"/>
  <c r="G28" i="71" s="1"/>
  <c r="F160" i="71"/>
  <c r="E160" i="71"/>
  <c r="E28" i="71" s="1"/>
  <c r="D160" i="71"/>
  <c r="D28" i="71" s="1"/>
  <c r="O159" i="71"/>
  <c r="O23" i="71" s="1"/>
  <c r="N159" i="71"/>
  <c r="M159" i="71"/>
  <c r="M23" i="71" s="1"/>
  <c r="L159" i="71"/>
  <c r="K159" i="71"/>
  <c r="K23" i="71" s="1"/>
  <c r="K25" i="71" s="1"/>
  <c r="I391" i="3" s="1"/>
  <c r="J159" i="71"/>
  <c r="J23" i="71" s="1"/>
  <c r="I159" i="71"/>
  <c r="I23" i="71" s="1"/>
  <c r="I25" i="71" s="1"/>
  <c r="H159" i="71"/>
  <c r="H23" i="71" s="1"/>
  <c r="G159" i="71"/>
  <c r="G23" i="71" s="1"/>
  <c r="G25" i="71" s="1"/>
  <c r="E391" i="3" s="1"/>
  <c r="F159" i="71"/>
  <c r="E159" i="71"/>
  <c r="E23" i="71" s="1"/>
  <c r="D159" i="71"/>
  <c r="D23" i="71" s="1"/>
  <c r="D25" i="71" s="1"/>
  <c r="B391" i="3" s="1"/>
  <c r="O158" i="71"/>
  <c r="O15" i="71" s="1"/>
  <c r="M204" i="3" s="1"/>
  <c r="N158" i="71"/>
  <c r="M158" i="71"/>
  <c r="M15" i="71" s="1"/>
  <c r="L158" i="71"/>
  <c r="L15" i="71" s="1"/>
  <c r="J204" i="3" s="1"/>
  <c r="K158" i="71"/>
  <c r="K15" i="71" s="1"/>
  <c r="J158" i="71"/>
  <c r="J15" i="71" s="1"/>
  <c r="H204" i="3" s="1"/>
  <c r="I158" i="71"/>
  <c r="I15" i="71" s="1"/>
  <c r="H158" i="71"/>
  <c r="H15" i="71" s="1"/>
  <c r="F204" i="3" s="1"/>
  <c r="G158" i="71"/>
  <c r="G15" i="71" s="1"/>
  <c r="E204" i="3" s="1"/>
  <c r="F158" i="71"/>
  <c r="E158" i="71"/>
  <c r="E15" i="71" s="1"/>
  <c r="D158" i="71"/>
  <c r="D15" i="71" s="1"/>
  <c r="B204" i="3" s="1"/>
  <c r="O155" i="71"/>
  <c r="N155" i="71"/>
  <c r="M155" i="71"/>
  <c r="L155" i="71"/>
  <c r="K155" i="71"/>
  <c r="J155" i="71"/>
  <c r="I155" i="71"/>
  <c r="H155" i="71"/>
  <c r="G155" i="71"/>
  <c r="F155" i="71"/>
  <c r="E155" i="71"/>
  <c r="D155" i="71"/>
  <c r="O146" i="71"/>
  <c r="N146" i="71"/>
  <c r="M146" i="71"/>
  <c r="L146" i="71"/>
  <c r="K146" i="71"/>
  <c r="J146" i="71"/>
  <c r="I146" i="71"/>
  <c r="H146" i="71"/>
  <c r="G146" i="71"/>
  <c r="F146" i="71"/>
  <c r="E146" i="71"/>
  <c r="D146" i="71"/>
  <c r="O116" i="71"/>
  <c r="N116" i="71"/>
  <c r="M116" i="71"/>
  <c r="L116" i="71"/>
  <c r="K116" i="71"/>
  <c r="J116" i="71"/>
  <c r="I116" i="71"/>
  <c r="H116" i="71"/>
  <c r="G116" i="71"/>
  <c r="F116" i="71"/>
  <c r="E116" i="71"/>
  <c r="D116" i="71"/>
  <c r="O113" i="71"/>
  <c r="N113" i="71"/>
  <c r="M113" i="71"/>
  <c r="L113" i="71"/>
  <c r="K113" i="71"/>
  <c r="J113" i="71"/>
  <c r="I113" i="71"/>
  <c r="H113" i="71"/>
  <c r="G113" i="71"/>
  <c r="F113" i="71"/>
  <c r="E113" i="71"/>
  <c r="D113" i="71"/>
  <c r="O107" i="71"/>
  <c r="O7" i="71" s="1"/>
  <c r="M423" i="2" s="1"/>
  <c r="Z423" i="2" s="1"/>
  <c r="N107" i="71"/>
  <c r="N7" i="71" s="1"/>
  <c r="M107" i="71"/>
  <c r="M7" i="71" s="1"/>
  <c r="K423" i="2" s="1"/>
  <c r="X423" i="2" s="1"/>
  <c r="L107" i="71"/>
  <c r="K107" i="71"/>
  <c r="K7" i="71" s="1"/>
  <c r="I423" i="2" s="1"/>
  <c r="V423" i="2" s="1"/>
  <c r="J107" i="71"/>
  <c r="I107" i="71"/>
  <c r="I7" i="71" s="1"/>
  <c r="G423" i="2" s="1"/>
  <c r="T423" i="2" s="1"/>
  <c r="H107" i="71"/>
  <c r="H7" i="71" s="1"/>
  <c r="F423" i="2" s="1"/>
  <c r="S423" i="2" s="1"/>
  <c r="G107" i="71"/>
  <c r="G7" i="71" s="1"/>
  <c r="E423" i="2" s="1"/>
  <c r="R423" i="2" s="1"/>
  <c r="F107" i="71"/>
  <c r="E107" i="71"/>
  <c r="E7" i="71" s="1"/>
  <c r="D107" i="71"/>
  <c r="O100" i="71"/>
  <c r="O31" i="71" s="1"/>
  <c r="O34" i="71" s="1"/>
  <c r="M467" i="3" s="1"/>
  <c r="N100" i="71"/>
  <c r="M100" i="71"/>
  <c r="M31" i="71" s="1"/>
  <c r="L100" i="71"/>
  <c r="K100" i="71"/>
  <c r="K31" i="71" s="1"/>
  <c r="K34" i="71" s="1"/>
  <c r="I467" i="3" s="1"/>
  <c r="J100" i="71"/>
  <c r="J31" i="71" s="1"/>
  <c r="I100" i="71"/>
  <c r="I31" i="71" s="1"/>
  <c r="H100" i="71"/>
  <c r="H31" i="71" s="1"/>
  <c r="G100" i="71"/>
  <c r="G31" i="71" s="1"/>
  <c r="G34" i="71" s="1"/>
  <c r="E467" i="3" s="1"/>
  <c r="F100" i="71"/>
  <c r="F31" i="71" s="1"/>
  <c r="E100" i="71"/>
  <c r="E31" i="71" s="1"/>
  <c r="D100" i="71"/>
  <c r="O99" i="71"/>
  <c r="O17" i="71" s="1"/>
  <c r="O19" i="71" s="1"/>
  <c r="M369" i="3" s="1"/>
  <c r="N99" i="71"/>
  <c r="M99" i="71"/>
  <c r="M17" i="71" s="1"/>
  <c r="L99" i="71"/>
  <c r="L17" i="71" s="1"/>
  <c r="L19" i="71" s="1"/>
  <c r="K99" i="71"/>
  <c r="K17" i="71" s="1"/>
  <c r="K19" i="71" s="1"/>
  <c r="I369" i="3" s="1"/>
  <c r="J99" i="71"/>
  <c r="I99" i="71"/>
  <c r="I17" i="71" s="1"/>
  <c r="H99" i="71"/>
  <c r="G99" i="71"/>
  <c r="G17" i="71" s="1"/>
  <c r="G19" i="71" s="1"/>
  <c r="E369" i="3" s="1"/>
  <c r="F99" i="71"/>
  <c r="E99" i="71"/>
  <c r="E17" i="71" s="1"/>
  <c r="D99" i="71"/>
  <c r="D17" i="71" s="1"/>
  <c r="D19" i="71" s="1"/>
  <c r="O88" i="71"/>
  <c r="N88" i="71"/>
  <c r="M88" i="71"/>
  <c r="L88" i="71"/>
  <c r="K88" i="71"/>
  <c r="J88" i="71"/>
  <c r="I88" i="71"/>
  <c r="H88" i="71"/>
  <c r="G88" i="71"/>
  <c r="F88" i="71"/>
  <c r="E88" i="71"/>
  <c r="D88" i="71"/>
  <c r="O80" i="71"/>
  <c r="N80" i="71"/>
  <c r="M80" i="71"/>
  <c r="L80" i="71"/>
  <c r="K80" i="71"/>
  <c r="J80" i="71"/>
  <c r="I80" i="71"/>
  <c r="H80" i="71"/>
  <c r="G80" i="71"/>
  <c r="F80" i="71"/>
  <c r="E80" i="71"/>
  <c r="D80" i="71"/>
  <c r="O76" i="71"/>
  <c r="O6" i="71" s="1"/>
  <c r="M422" i="2" s="1"/>
  <c r="Z422" i="2" s="1"/>
  <c r="N76" i="71"/>
  <c r="N6" i="71" s="1"/>
  <c r="M76" i="71"/>
  <c r="M6" i="71" s="1"/>
  <c r="L76" i="71"/>
  <c r="L6" i="71" s="1"/>
  <c r="K76" i="71"/>
  <c r="K6" i="71" s="1"/>
  <c r="I422" i="2" s="1"/>
  <c r="V422" i="2" s="1"/>
  <c r="J76" i="71"/>
  <c r="I76" i="71"/>
  <c r="I6" i="71" s="1"/>
  <c r="G422" i="2" s="1"/>
  <c r="T422" i="2" s="1"/>
  <c r="H76" i="71"/>
  <c r="G76" i="71"/>
  <c r="G6" i="71" s="1"/>
  <c r="E422" i="2" s="1"/>
  <c r="R422" i="2" s="1"/>
  <c r="F76" i="71"/>
  <c r="F6" i="71" s="1"/>
  <c r="E76" i="71"/>
  <c r="E6" i="71" s="1"/>
  <c r="D76" i="71"/>
  <c r="D6" i="71" s="1"/>
  <c r="O68" i="71"/>
  <c r="O27" i="71" s="1"/>
  <c r="N68" i="71"/>
  <c r="M68" i="71"/>
  <c r="M27" i="71" s="1"/>
  <c r="L68" i="71"/>
  <c r="L27" i="71" s="1"/>
  <c r="L29" i="71" s="1"/>
  <c r="J402" i="3" s="1"/>
  <c r="K68" i="71"/>
  <c r="K27" i="71" s="1"/>
  <c r="J68" i="71"/>
  <c r="J27" i="71" s="1"/>
  <c r="I68" i="71"/>
  <c r="I27" i="71" s="1"/>
  <c r="H68" i="71"/>
  <c r="H27" i="71" s="1"/>
  <c r="H29" i="71" s="1"/>
  <c r="F402" i="3" s="1"/>
  <c r="G68" i="71"/>
  <c r="G27" i="71" s="1"/>
  <c r="G29" i="71" s="1"/>
  <c r="E402" i="3" s="1"/>
  <c r="F68" i="71"/>
  <c r="F27" i="71" s="1"/>
  <c r="E68" i="71"/>
  <c r="E27" i="71" s="1"/>
  <c r="D68" i="71"/>
  <c r="D27" i="71" s="1"/>
  <c r="O47" i="71"/>
  <c r="O5" i="71" s="1"/>
  <c r="N47" i="71"/>
  <c r="N5" i="71" s="1"/>
  <c r="M47" i="71"/>
  <c r="M5" i="71" s="1"/>
  <c r="L47" i="71"/>
  <c r="L5" i="71" s="1"/>
  <c r="J421" i="2" s="1"/>
  <c r="W421" i="2" s="1"/>
  <c r="K47" i="71"/>
  <c r="K5" i="71" s="1"/>
  <c r="J47" i="71"/>
  <c r="I47" i="71"/>
  <c r="I5" i="71" s="1"/>
  <c r="H47" i="71"/>
  <c r="H5" i="71" s="1"/>
  <c r="F421" i="2" s="1"/>
  <c r="S421" i="2" s="1"/>
  <c r="G47" i="71"/>
  <c r="G5" i="71" s="1"/>
  <c r="F47" i="71"/>
  <c r="F5" i="71" s="1"/>
  <c r="D421" i="2" s="1"/>
  <c r="E47" i="71"/>
  <c r="E5" i="71" s="1"/>
  <c r="C421" i="2" s="1"/>
  <c r="D47" i="71"/>
  <c r="D5" i="71" s="1"/>
  <c r="B421" i="2" s="1"/>
  <c r="O421" i="2" s="1"/>
  <c r="J33" i="71"/>
  <c r="F33" i="71"/>
  <c r="L32" i="71"/>
  <c r="N31" i="71"/>
  <c r="L31" i="71"/>
  <c r="D31" i="71"/>
  <c r="N28" i="71"/>
  <c r="F28" i="71"/>
  <c r="N27" i="71"/>
  <c r="N24" i="71"/>
  <c r="M24" i="71"/>
  <c r="L24" i="71"/>
  <c r="F24" i="71"/>
  <c r="N23" i="71"/>
  <c r="N25" i="71" s="1"/>
  <c r="L23" i="71"/>
  <c r="L25" i="71" s="1"/>
  <c r="J391" i="3" s="1"/>
  <c r="F23" i="71"/>
  <c r="F25" i="71" s="1"/>
  <c r="D391" i="3" s="1"/>
  <c r="N21" i="71"/>
  <c r="L21" i="71"/>
  <c r="J21" i="71"/>
  <c r="H387" i="3" s="1"/>
  <c r="F21" i="71"/>
  <c r="D387" i="3" s="1"/>
  <c r="J18" i="71"/>
  <c r="H18" i="71"/>
  <c r="N17" i="71"/>
  <c r="J17" i="71"/>
  <c r="H17" i="71"/>
  <c r="F17" i="71"/>
  <c r="N15" i="71"/>
  <c r="L204" i="3" s="1"/>
  <c r="F15" i="71"/>
  <c r="D204" i="3" s="1"/>
  <c r="N11" i="71"/>
  <c r="L427" i="2" s="1"/>
  <c r="Y427" i="2" s="1"/>
  <c r="H11" i="71"/>
  <c r="F427" i="2" s="1"/>
  <c r="S427" i="2" s="1"/>
  <c r="J10" i="71"/>
  <c r="H426" i="2" s="1"/>
  <c r="U426" i="2" s="1"/>
  <c r="I10" i="71"/>
  <c r="G426" i="2" s="1"/>
  <c r="T426" i="2" s="1"/>
  <c r="D10" i="71"/>
  <c r="B426" i="2" s="1"/>
  <c r="O426" i="2" s="1"/>
  <c r="N9" i="71"/>
  <c r="L425" i="2" s="1"/>
  <c r="Y425" i="2" s="1"/>
  <c r="N8" i="71"/>
  <c r="L424" i="2" s="1"/>
  <c r="Y424" i="2" s="1"/>
  <c r="L8" i="71"/>
  <c r="J8" i="71"/>
  <c r="F8" i="71"/>
  <c r="D424" i="2" s="1"/>
  <c r="Q424" i="2" s="1"/>
  <c r="L7" i="71"/>
  <c r="J423" i="2" s="1"/>
  <c r="W423" i="2" s="1"/>
  <c r="J7" i="71"/>
  <c r="F7" i="71"/>
  <c r="D7" i="71"/>
  <c r="B423" i="2" s="1"/>
  <c r="O423" i="2" s="1"/>
  <c r="J6" i="71"/>
  <c r="H6" i="71"/>
  <c r="F422" i="2" s="1"/>
  <c r="S422" i="2" s="1"/>
  <c r="J5" i="71"/>
  <c r="J15" i="92"/>
  <c r="N13" i="92"/>
  <c r="J13" i="92"/>
  <c r="I13" i="92"/>
  <c r="O9" i="92"/>
  <c r="N9" i="92"/>
  <c r="M9" i="92"/>
  <c r="L9" i="92"/>
  <c r="K9" i="92"/>
  <c r="J9" i="92"/>
  <c r="I9" i="92"/>
  <c r="H9" i="92"/>
  <c r="G9" i="92"/>
  <c r="F9" i="92"/>
  <c r="E9" i="92"/>
  <c r="D9" i="92"/>
  <c r="O7" i="92"/>
  <c r="O15" i="92" s="1"/>
  <c r="N7" i="92"/>
  <c r="N11" i="92" s="1"/>
  <c r="M7" i="92"/>
  <c r="M11" i="92" s="1"/>
  <c r="L7" i="92"/>
  <c r="K7" i="92"/>
  <c r="K13" i="92" s="1"/>
  <c r="J7" i="92"/>
  <c r="J11" i="92" s="1"/>
  <c r="I7" i="92"/>
  <c r="I11" i="92" s="1"/>
  <c r="H7" i="92"/>
  <c r="G7" i="92"/>
  <c r="G13" i="92" s="1"/>
  <c r="F7" i="92"/>
  <c r="F11" i="92" s="1"/>
  <c r="E7" i="92"/>
  <c r="E11" i="92" s="1"/>
  <c r="D7" i="92"/>
  <c r="D15" i="92" s="1"/>
  <c r="O3" i="92"/>
  <c r="O5" i="92" s="1"/>
  <c r="N3" i="92"/>
  <c r="N5" i="92" s="1"/>
  <c r="M3" i="92"/>
  <c r="M5" i="92" s="1"/>
  <c r="L3" i="92"/>
  <c r="L5" i="92" s="1"/>
  <c r="K3" i="92"/>
  <c r="K5" i="92" s="1"/>
  <c r="J3" i="92"/>
  <c r="J5" i="92" s="1"/>
  <c r="I3" i="92"/>
  <c r="I5" i="92" s="1"/>
  <c r="H3" i="92"/>
  <c r="H5" i="92" s="1"/>
  <c r="G3" i="92"/>
  <c r="G5" i="92" s="1"/>
  <c r="F3" i="92"/>
  <c r="F5" i="92" s="1"/>
  <c r="E3" i="92"/>
  <c r="E5" i="92" s="1"/>
  <c r="D3" i="92"/>
  <c r="D5" i="92" s="1"/>
  <c r="O105" i="65"/>
  <c r="O15" i="65" s="1"/>
  <c r="M488" i="3" s="1"/>
  <c r="N105" i="65"/>
  <c r="M105" i="65"/>
  <c r="M15" i="65" s="1"/>
  <c r="L105" i="65"/>
  <c r="L15" i="65" s="1"/>
  <c r="K105" i="65"/>
  <c r="J105" i="65"/>
  <c r="I105" i="65"/>
  <c r="I15" i="65" s="1"/>
  <c r="H105" i="65"/>
  <c r="H15" i="65" s="1"/>
  <c r="G105" i="65"/>
  <c r="F105" i="65"/>
  <c r="E105" i="65"/>
  <c r="E15" i="65" s="1"/>
  <c r="D105" i="65"/>
  <c r="D15" i="65" s="1"/>
  <c r="O104" i="65"/>
  <c r="O12" i="65" s="1"/>
  <c r="N104" i="65"/>
  <c r="M104" i="65"/>
  <c r="L104" i="65"/>
  <c r="L12" i="65" s="1"/>
  <c r="L19" i="89" s="1"/>
  <c r="L20" i="89" s="1"/>
  <c r="K104" i="65"/>
  <c r="J104" i="65"/>
  <c r="I104" i="65"/>
  <c r="H104" i="65"/>
  <c r="H12" i="65" s="1"/>
  <c r="H19" i="89" s="1"/>
  <c r="H20" i="89" s="1"/>
  <c r="G104" i="65"/>
  <c r="F104" i="65"/>
  <c r="E104" i="65"/>
  <c r="D104" i="65"/>
  <c r="D12" i="65" s="1"/>
  <c r="D19" i="89" s="1"/>
  <c r="D20" i="89" s="1"/>
  <c r="O103" i="65"/>
  <c r="O9" i="65" s="1"/>
  <c r="M49" i="3" s="1"/>
  <c r="N103" i="65"/>
  <c r="M103" i="65"/>
  <c r="M9" i="65" s="1"/>
  <c r="L103" i="65"/>
  <c r="L9" i="65" s="1"/>
  <c r="K103" i="65"/>
  <c r="J103" i="65"/>
  <c r="I103" i="65"/>
  <c r="I9" i="65" s="1"/>
  <c r="H103" i="65"/>
  <c r="H9" i="65" s="1"/>
  <c r="G103" i="65"/>
  <c r="F103" i="65"/>
  <c r="E103" i="65"/>
  <c r="E9" i="65" s="1"/>
  <c r="D103" i="65"/>
  <c r="D9" i="65" s="1"/>
  <c r="O102" i="65"/>
  <c r="O7" i="65" s="1"/>
  <c r="N102" i="65"/>
  <c r="M102" i="65"/>
  <c r="L102" i="65"/>
  <c r="L7" i="65" s="1"/>
  <c r="L17" i="65" s="1"/>
  <c r="K102" i="65"/>
  <c r="J102" i="65"/>
  <c r="I102" i="65"/>
  <c r="H102" i="65"/>
  <c r="H7" i="65" s="1"/>
  <c r="H17" i="65" s="1"/>
  <c r="G102" i="65"/>
  <c r="F102" i="65"/>
  <c r="E102" i="65"/>
  <c r="D102" i="65"/>
  <c r="D7" i="65" s="1"/>
  <c r="D17" i="65" s="1"/>
  <c r="O85" i="65"/>
  <c r="N85" i="65"/>
  <c r="M85" i="65"/>
  <c r="L85" i="65"/>
  <c r="K85" i="65"/>
  <c r="J85" i="65"/>
  <c r="I85" i="65"/>
  <c r="H85" i="65"/>
  <c r="G85" i="65"/>
  <c r="F85" i="65"/>
  <c r="E85" i="65"/>
  <c r="D85" i="65"/>
  <c r="O80" i="65"/>
  <c r="N80" i="65"/>
  <c r="M80" i="65"/>
  <c r="L80" i="65"/>
  <c r="K80" i="65"/>
  <c r="J80" i="65"/>
  <c r="I80" i="65"/>
  <c r="H80" i="65"/>
  <c r="G80" i="65"/>
  <c r="F80" i="65"/>
  <c r="E80" i="65"/>
  <c r="D80" i="65"/>
  <c r="O69" i="65"/>
  <c r="N69" i="65"/>
  <c r="M69" i="65"/>
  <c r="L69" i="65"/>
  <c r="K69" i="65"/>
  <c r="J69" i="65"/>
  <c r="I69" i="65"/>
  <c r="H69" i="65"/>
  <c r="G69" i="65"/>
  <c r="F69" i="65"/>
  <c r="E69" i="65"/>
  <c r="D69" i="65"/>
  <c r="N28" i="65"/>
  <c r="M28" i="65"/>
  <c r="L28" i="65"/>
  <c r="K28" i="65"/>
  <c r="J28" i="65"/>
  <c r="I28" i="65"/>
  <c r="H28" i="65"/>
  <c r="G28" i="65"/>
  <c r="F28" i="65"/>
  <c r="E28" i="65"/>
  <c r="D28" i="65"/>
  <c r="N15" i="65"/>
  <c r="K15" i="65"/>
  <c r="J15" i="65"/>
  <c r="G15" i="65"/>
  <c r="F15" i="65"/>
  <c r="N12" i="65"/>
  <c r="N19" i="89" s="1"/>
  <c r="M12" i="65"/>
  <c r="M19" i="89" s="1"/>
  <c r="K12" i="65"/>
  <c r="K19" i="89" s="1"/>
  <c r="J12" i="65"/>
  <c r="J19" i="89" s="1"/>
  <c r="I12" i="65"/>
  <c r="I19" i="89" s="1"/>
  <c r="G12" i="65"/>
  <c r="G19" i="89" s="1"/>
  <c r="G20" i="89" s="1"/>
  <c r="F12" i="65"/>
  <c r="F19" i="89" s="1"/>
  <c r="E12" i="65"/>
  <c r="E19" i="89" s="1"/>
  <c r="O11" i="65"/>
  <c r="L11" i="65"/>
  <c r="K11" i="65"/>
  <c r="K13" i="65" s="1"/>
  <c r="I220" i="3" s="1"/>
  <c r="H11" i="65"/>
  <c r="G11" i="65"/>
  <c r="G13" i="65" s="1"/>
  <c r="E220" i="3" s="1"/>
  <c r="N9" i="65"/>
  <c r="K9" i="65"/>
  <c r="J9" i="65"/>
  <c r="G9" i="65"/>
  <c r="F9" i="65"/>
  <c r="N7" i="65"/>
  <c r="M7" i="65"/>
  <c r="M19" i="65" s="1"/>
  <c r="K7" i="65"/>
  <c r="J7" i="65"/>
  <c r="I7" i="65"/>
  <c r="G7" i="65"/>
  <c r="F7" i="65"/>
  <c r="E7" i="65"/>
  <c r="O3" i="65"/>
  <c r="M165" i="2" s="1"/>
  <c r="Z165" i="2" s="1"/>
  <c r="N3" i="65"/>
  <c r="N5" i="65" s="1"/>
  <c r="M3" i="65"/>
  <c r="L3" i="65"/>
  <c r="L5" i="65" s="1"/>
  <c r="K3" i="65"/>
  <c r="K5" i="65" s="1"/>
  <c r="J3" i="65"/>
  <c r="J5" i="65" s="1"/>
  <c r="I3" i="65"/>
  <c r="H3" i="65"/>
  <c r="H5" i="65" s="1"/>
  <c r="G3" i="65"/>
  <c r="G5" i="65" s="1"/>
  <c r="F3" i="65"/>
  <c r="F5" i="65" s="1"/>
  <c r="E3" i="65"/>
  <c r="D3" i="65"/>
  <c r="D5" i="65" s="1"/>
  <c r="O138" i="30"/>
  <c r="O22" i="30" s="1"/>
  <c r="M416" i="3" s="1"/>
  <c r="N138" i="30"/>
  <c r="N22" i="30" s="1"/>
  <c r="L416" i="3" s="1"/>
  <c r="M138" i="30"/>
  <c r="M22" i="30" s="1"/>
  <c r="K416" i="3" s="1"/>
  <c r="L138" i="30"/>
  <c r="K138" i="30"/>
  <c r="K22" i="30" s="1"/>
  <c r="I416" i="3" s="1"/>
  <c r="J138" i="30"/>
  <c r="I138" i="30"/>
  <c r="I22" i="30" s="1"/>
  <c r="G416" i="3" s="1"/>
  <c r="H138" i="30"/>
  <c r="H22" i="30" s="1"/>
  <c r="F416" i="3" s="1"/>
  <c r="G138" i="30"/>
  <c r="G22" i="30" s="1"/>
  <c r="E416" i="3" s="1"/>
  <c r="F138" i="30"/>
  <c r="F22" i="30" s="1"/>
  <c r="D416" i="3" s="1"/>
  <c r="E138" i="30"/>
  <c r="E22" i="30" s="1"/>
  <c r="C416" i="3" s="1"/>
  <c r="D138" i="30"/>
  <c r="D22" i="30" s="1"/>
  <c r="B416" i="3" s="1"/>
  <c r="O137" i="30"/>
  <c r="O20" i="30" s="1"/>
  <c r="M336" i="3" s="1"/>
  <c r="N137" i="30"/>
  <c r="N20" i="30" s="1"/>
  <c r="M137" i="30"/>
  <c r="M20" i="30" s="1"/>
  <c r="K336" i="3" s="1"/>
  <c r="L137" i="30"/>
  <c r="L20" i="30" s="1"/>
  <c r="J336" i="3" s="1"/>
  <c r="K137" i="30"/>
  <c r="K20" i="30" s="1"/>
  <c r="I336" i="3" s="1"/>
  <c r="J137" i="30"/>
  <c r="I137" i="30"/>
  <c r="I20" i="30" s="1"/>
  <c r="G336" i="3" s="1"/>
  <c r="H137" i="30"/>
  <c r="G137" i="30"/>
  <c r="G20" i="30" s="1"/>
  <c r="E336" i="3" s="1"/>
  <c r="F137" i="30"/>
  <c r="F20" i="30" s="1"/>
  <c r="E137" i="30"/>
  <c r="E20" i="30" s="1"/>
  <c r="C336" i="3" s="1"/>
  <c r="D137" i="30"/>
  <c r="D20" i="30" s="1"/>
  <c r="B336" i="3" s="1"/>
  <c r="O136" i="30"/>
  <c r="O18" i="30" s="1"/>
  <c r="M335" i="3" s="1"/>
  <c r="N136" i="30"/>
  <c r="M136" i="30"/>
  <c r="M18" i="30" s="1"/>
  <c r="K335" i="3" s="1"/>
  <c r="L136" i="30"/>
  <c r="L18" i="30" s="1"/>
  <c r="J335" i="3" s="1"/>
  <c r="K136" i="30"/>
  <c r="K18" i="30" s="1"/>
  <c r="I335" i="3" s="1"/>
  <c r="J136" i="30"/>
  <c r="I136" i="30"/>
  <c r="I18" i="30" s="1"/>
  <c r="G335" i="3" s="1"/>
  <c r="H136" i="30"/>
  <c r="H18" i="30" s="1"/>
  <c r="F335" i="3" s="1"/>
  <c r="G136" i="30"/>
  <c r="G18" i="30" s="1"/>
  <c r="E335" i="3" s="1"/>
  <c r="F136" i="30"/>
  <c r="F18" i="30" s="1"/>
  <c r="E136" i="30"/>
  <c r="E18" i="30" s="1"/>
  <c r="C335" i="3" s="1"/>
  <c r="D136" i="30"/>
  <c r="O135" i="30"/>
  <c r="O13" i="30" s="1"/>
  <c r="N135" i="30"/>
  <c r="N13" i="30" s="1"/>
  <c r="M135" i="30"/>
  <c r="M13" i="30" s="1"/>
  <c r="L135" i="30"/>
  <c r="L13" i="30" s="1"/>
  <c r="K135" i="30"/>
  <c r="K13" i="30" s="1"/>
  <c r="J135" i="30"/>
  <c r="J13" i="30" s="1"/>
  <c r="I135" i="30"/>
  <c r="I13" i="30" s="1"/>
  <c r="H135" i="30"/>
  <c r="H13" i="30" s="1"/>
  <c r="G135" i="30"/>
  <c r="G13" i="30" s="1"/>
  <c r="F135" i="30"/>
  <c r="E135" i="30"/>
  <c r="E13" i="30" s="1"/>
  <c r="D135" i="30"/>
  <c r="D13" i="30" s="1"/>
  <c r="O131" i="30"/>
  <c r="N131" i="30"/>
  <c r="M131" i="30"/>
  <c r="L131" i="30"/>
  <c r="K131" i="30"/>
  <c r="J131" i="30"/>
  <c r="I131" i="30"/>
  <c r="H131" i="30"/>
  <c r="G131" i="30"/>
  <c r="F131" i="30"/>
  <c r="E131" i="30"/>
  <c r="D131" i="30"/>
  <c r="O128" i="30"/>
  <c r="N128" i="30"/>
  <c r="M128" i="30"/>
  <c r="L128" i="30"/>
  <c r="K128" i="30"/>
  <c r="J128" i="30"/>
  <c r="I128" i="30"/>
  <c r="H128" i="30"/>
  <c r="G128" i="30"/>
  <c r="F128" i="30"/>
  <c r="E128" i="30"/>
  <c r="D128" i="30"/>
  <c r="O124" i="30"/>
  <c r="N124" i="30"/>
  <c r="M124" i="30"/>
  <c r="L124" i="30"/>
  <c r="K124" i="30"/>
  <c r="J124" i="30"/>
  <c r="I124" i="30"/>
  <c r="H124" i="30"/>
  <c r="G124" i="30"/>
  <c r="F124" i="30"/>
  <c r="E124" i="30"/>
  <c r="D124" i="30"/>
  <c r="O121" i="30"/>
  <c r="N121" i="30"/>
  <c r="M121" i="30"/>
  <c r="L121" i="30"/>
  <c r="K121" i="30"/>
  <c r="J121" i="30"/>
  <c r="I121" i="30"/>
  <c r="H121" i="30"/>
  <c r="G121" i="30"/>
  <c r="F121" i="30"/>
  <c r="E121" i="30"/>
  <c r="D121" i="30"/>
  <c r="O109" i="30"/>
  <c r="N109" i="30"/>
  <c r="M109" i="30"/>
  <c r="L109" i="30"/>
  <c r="K109" i="30"/>
  <c r="J109" i="30"/>
  <c r="I109" i="30"/>
  <c r="H109" i="30"/>
  <c r="G109" i="30"/>
  <c r="F109" i="30"/>
  <c r="E109" i="30"/>
  <c r="D109" i="30"/>
  <c r="O101" i="30"/>
  <c r="N101" i="30"/>
  <c r="M101" i="30"/>
  <c r="L101" i="30"/>
  <c r="K101" i="30"/>
  <c r="J101" i="30"/>
  <c r="I101" i="30"/>
  <c r="H101" i="30"/>
  <c r="G101" i="30"/>
  <c r="F101" i="30"/>
  <c r="E101" i="30"/>
  <c r="D101" i="30"/>
  <c r="O97" i="30"/>
  <c r="N97" i="30"/>
  <c r="M97" i="30"/>
  <c r="L97" i="30"/>
  <c r="K97" i="30"/>
  <c r="J97" i="30"/>
  <c r="I97" i="30"/>
  <c r="H97" i="30"/>
  <c r="G97" i="30"/>
  <c r="F97" i="30"/>
  <c r="E97" i="30"/>
  <c r="D97" i="30"/>
  <c r="O90" i="30"/>
  <c r="N90" i="30"/>
  <c r="M90" i="30"/>
  <c r="L90" i="30"/>
  <c r="K90" i="30"/>
  <c r="J90" i="30"/>
  <c r="I90" i="30"/>
  <c r="H90" i="30"/>
  <c r="G90" i="30"/>
  <c r="F90" i="30"/>
  <c r="E90" i="30"/>
  <c r="D90" i="30"/>
  <c r="O87" i="30"/>
  <c r="N87" i="30"/>
  <c r="M87" i="30"/>
  <c r="L87" i="30"/>
  <c r="K87" i="30"/>
  <c r="J87" i="30"/>
  <c r="I87" i="30"/>
  <c r="H87" i="30"/>
  <c r="G87" i="30"/>
  <c r="F87" i="30"/>
  <c r="E87" i="30"/>
  <c r="D87" i="30"/>
  <c r="O84" i="30"/>
  <c r="O6" i="30" s="1"/>
  <c r="M101" i="2" s="1"/>
  <c r="Z101" i="2" s="1"/>
  <c r="N84" i="30"/>
  <c r="N6" i="30" s="1"/>
  <c r="M84" i="30"/>
  <c r="M6" i="30" s="1"/>
  <c r="L84" i="30"/>
  <c r="K84" i="30"/>
  <c r="K6" i="30" s="1"/>
  <c r="I101" i="2" s="1"/>
  <c r="J84" i="30"/>
  <c r="J6" i="30" s="1"/>
  <c r="I84" i="30"/>
  <c r="I6" i="30" s="1"/>
  <c r="H84" i="30"/>
  <c r="H6" i="30" s="1"/>
  <c r="F101" i="2" s="1"/>
  <c r="S101" i="2" s="1"/>
  <c r="G84" i="30"/>
  <c r="G6" i="30" s="1"/>
  <c r="E101" i="2" s="1"/>
  <c r="F84" i="30"/>
  <c r="F6" i="30" s="1"/>
  <c r="D101" i="2" s="1"/>
  <c r="Q101" i="2" s="1"/>
  <c r="E84" i="30"/>
  <c r="E6" i="30" s="1"/>
  <c r="D84" i="30"/>
  <c r="D6" i="30" s="1"/>
  <c r="B101" i="2" s="1"/>
  <c r="O101" i="2" s="1"/>
  <c r="O74" i="30"/>
  <c r="O24" i="30" s="1"/>
  <c r="N74" i="30"/>
  <c r="N24" i="30" s="1"/>
  <c r="M74" i="30"/>
  <c r="M24" i="30" s="1"/>
  <c r="K499" i="3" s="1"/>
  <c r="L74" i="30"/>
  <c r="L24" i="30" s="1"/>
  <c r="J499" i="3" s="1"/>
  <c r="K74" i="30"/>
  <c r="K24" i="30" s="1"/>
  <c r="I499" i="3" s="1"/>
  <c r="J74" i="30"/>
  <c r="I74" i="30"/>
  <c r="I24" i="30" s="1"/>
  <c r="G499" i="3" s="1"/>
  <c r="H74" i="30"/>
  <c r="H24" i="30" s="1"/>
  <c r="F499" i="3" s="1"/>
  <c r="G74" i="30"/>
  <c r="G24" i="30" s="1"/>
  <c r="E499" i="3" s="1"/>
  <c r="F74" i="30"/>
  <c r="E74" i="30"/>
  <c r="E24" i="30" s="1"/>
  <c r="C499" i="3" s="1"/>
  <c r="D74" i="30"/>
  <c r="D24" i="30" s="1"/>
  <c r="B499" i="3" s="1"/>
  <c r="O73" i="30"/>
  <c r="O16" i="30" s="1"/>
  <c r="M243" i="3" s="1"/>
  <c r="N73" i="30"/>
  <c r="M73" i="30"/>
  <c r="M16" i="30" s="1"/>
  <c r="K243" i="3" s="1"/>
  <c r="L73" i="30"/>
  <c r="L16" i="30" s="1"/>
  <c r="J243" i="3" s="1"/>
  <c r="K73" i="30"/>
  <c r="J73" i="30"/>
  <c r="J16" i="30" s="1"/>
  <c r="H243" i="3" s="1"/>
  <c r="I73" i="30"/>
  <c r="I16" i="30" s="1"/>
  <c r="G243" i="3" s="1"/>
  <c r="H73" i="30"/>
  <c r="H16" i="30" s="1"/>
  <c r="F243" i="3" s="1"/>
  <c r="G73" i="30"/>
  <c r="F73" i="30"/>
  <c r="E73" i="30"/>
  <c r="E16" i="30" s="1"/>
  <c r="C243" i="3" s="1"/>
  <c r="D73" i="30"/>
  <c r="D16" i="30" s="1"/>
  <c r="B243" i="3" s="1"/>
  <c r="O72" i="30"/>
  <c r="O12" i="30" s="1"/>
  <c r="O14" i="30" s="1"/>
  <c r="M134" i="3" s="1"/>
  <c r="N72" i="30"/>
  <c r="N12" i="30" s="1"/>
  <c r="M72" i="30"/>
  <c r="M12" i="30" s="1"/>
  <c r="L72" i="30"/>
  <c r="L12" i="30" s="1"/>
  <c r="L14" i="30" s="1"/>
  <c r="J134" i="3" s="1"/>
  <c r="K72" i="30"/>
  <c r="K12" i="30" s="1"/>
  <c r="K14" i="30" s="1"/>
  <c r="I134" i="3" s="1"/>
  <c r="J72" i="30"/>
  <c r="I72" i="30"/>
  <c r="I12" i="30" s="1"/>
  <c r="H72" i="30"/>
  <c r="H12" i="30" s="1"/>
  <c r="H14" i="30" s="1"/>
  <c r="F134" i="3" s="1"/>
  <c r="G72" i="30"/>
  <c r="G12" i="30" s="1"/>
  <c r="G14" i="30" s="1"/>
  <c r="E134" i="3" s="1"/>
  <c r="F72" i="30"/>
  <c r="E72" i="30"/>
  <c r="E12" i="30" s="1"/>
  <c r="D72" i="30"/>
  <c r="D12" i="30" s="1"/>
  <c r="D14" i="30" s="1"/>
  <c r="B134" i="3" s="1"/>
  <c r="O71" i="30"/>
  <c r="O10" i="30" s="1"/>
  <c r="M122" i="3" s="1"/>
  <c r="N71" i="30"/>
  <c r="N10" i="30" s="1"/>
  <c r="L122" i="3" s="1"/>
  <c r="M71" i="30"/>
  <c r="M10" i="30" s="1"/>
  <c r="L71" i="30"/>
  <c r="L10" i="30" s="1"/>
  <c r="K71" i="30"/>
  <c r="K10" i="30" s="1"/>
  <c r="J71" i="30"/>
  <c r="I71" i="30"/>
  <c r="I10" i="30" s="1"/>
  <c r="H71" i="30"/>
  <c r="H10" i="30" s="1"/>
  <c r="G71" i="30"/>
  <c r="G10" i="30" s="1"/>
  <c r="F71" i="30"/>
  <c r="F10" i="30" s="1"/>
  <c r="D122" i="3" s="1"/>
  <c r="E71" i="30"/>
  <c r="E10" i="30" s="1"/>
  <c r="D71" i="30"/>
  <c r="D10" i="30" s="1"/>
  <c r="O63" i="30"/>
  <c r="N63" i="30"/>
  <c r="M63" i="30"/>
  <c r="L63" i="30"/>
  <c r="K63" i="30"/>
  <c r="J63" i="30"/>
  <c r="I63" i="30"/>
  <c r="H63" i="30"/>
  <c r="G63" i="30"/>
  <c r="F63" i="30"/>
  <c r="E63" i="30"/>
  <c r="D63" i="30"/>
  <c r="O54" i="30"/>
  <c r="N54" i="30"/>
  <c r="M54" i="30"/>
  <c r="L54" i="30"/>
  <c r="K54" i="30"/>
  <c r="J54" i="30"/>
  <c r="I54" i="30"/>
  <c r="H54" i="30"/>
  <c r="G54" i="30"/>
  <c r="F54" i="30"/>
  <c r="E54" i="30"/>
  <c r="D54" i="30"/>
  <c r="O50" i="30"/>
  <c r="N50" i="30"/>
  <c r="M50" i="30"/>
  <c r="L50" i="30"/>
  <c r="K50" i="30"/>
  <c r="J50" i="30"/>
  <c r="I50" i="30"/>
  <c r="H50" i="30"/>
  <c r="G50" i="30"/>
  <c r="F50" i="30"/>
  <c r="E50" i="30"/>
  <c r="D50" i="30"/>
  <c r="O45" i="30"/>
  <c r="N45" i="30"/>
  <c r="M45" i="30"/>
  <c r="L45" i="30"/>
  <c r="K45" i="30"/>
  <c r="J45" i="30"/>
  <c r="I45" i="30"/>
  <c r="H45" i="30"/>
  <c r="G45" i="30"/>
  <c r="F45" i="30"/>
  <c r="E45" i="30"/>
  <c r="D45" i="30"/>
  <c r="O35" i="30"/>
  <c r="O5" i="30" s="1"/>
  <c r="N35" i="30"/>
  <c r="M35" i="30"/>
  <c r="M5" i="30" s="1"/>
  <c r="K100" i="2" s="1"/>
  <c r="L35" i="30"/>
  <c r="L5" i="30" s="1"/>
  <c r="J100" i="2" s="1"/>
  <c r="K35" i="30"/>
  <c r="K5" i="30" s="1"/>
  <c r="I100" i="2" s="1"/>
  <c r="V100" i="2" s="1"/>
  <c r="J35" i="30"/>
  <c r="J5" i="30" s="1"/>
  <c r="H100" i="2" s="1"/>
  <c r="I35" i="30"/>
  <c r="I5" i="30" s="1"/>
  <c r="G100" i="2" s="1"/>
  <c r="H35" i="30"/>
  <c r="H5" i="30" s="1"/>
  <c r="F100" i="2" s="1"/>
  <c r="G35" i="30"/>
  <c r="G5" i="30" s="1"/>
  <c r="E100" i="2" s="1"/>
  <c r="R100" i="2" s="1"/>
  <c r="F35" i="30"/>
  <c r="F5" i="30" s="1"/>
  <c r="E35" i="30"/>
  <c r="E5" i="30" s="1"/>
  <c r="C100" i="2" s="1"/>
  <c r="D35" i="30"/>
  <c r="D5" i="30" s="1"/>
  <c r="B100" i="2" s="1"/>
  <c r="J24" i="30"/>
  <c r="H499" i="3" s="1"/>
  <c r="F24" i="30"/>
  <c r="L22" i="30"/>
  <c r="J416" i="3" s="1"/>
  <c r="J22" i="30"/>
  <c r="J20" i="30"/>
  <c r="H20" i="30"/>
  <c r="F336" i="3" s="1"/>
  <c r="N18" i="30"/>
  <c r="L335" i="3" s="1"/>
  <c r="J18" i="30"/>
  <c r="H335" i="3" s="1"/>
  <c r="D18" i="30"/>
  <c r="B335" i="3" s="1"/>
  <c r="N16" i="30"/>
  <c r="K16" i="30"/>
  <c r="I243" i="3" s="1"/>
  <c r="G16" i="30"/>
  <c r="E243" i="3" s="1"/>
  <c r="F16" i="30"/>
  <c r="F13" i="30"/>
  <c r="J12" i="30"/>
  <c r="F12" i="30"/>
  <c r="J10" i="30"/>
  <c r="H122" i="3" s="1"/>
  <c r="L6" i="30"/>
  <c r="J101" i="2" s="1"/>
  <c r="W101" i="2" s="1"/>
  <c r="N5" i="30"/>
  <c r="O317" i="29"/>
  <c r="N317" i="29"/>
  <c r="M317" i="29"/>
  <c r="L317" i="29"/>
  <c r="K317" i="29"/>
  <c r="J317" i="29"/>
  <c r="I317" i="29"/>
  <c r="H317" i="29"/>
  <c r="G317" i="29"/>
  <c r="F317" i="29"/>
  <c r="F37" i="29" s="1"/>
  <c r="D415" i="3" s="1"/>
  <c r="E317" i="29"/>
  <c r="E37" i="29" s="1"/>
  <c r="C415" i="3" s="1"/>
  <c r="D317" i="29"/>
  <c r="D37" i="29" s="1"/>
  <c r="B415" i="3" s="1"/>
  <c r="O316" i="29"/>
  <c r="O34" i="29" s="1"/>
  <c r="N316" i="29"/>
  <c r="N34" i="29" s="1"/>
  <c r="M316" i="29"/>
  <c r="M34" i="29" s="1"/>
  <c r="L316" i="29"/>
  <c r="L34" i="29" s="1"/>
  <c r="K316" i="29"/>
  <c r="K34" i="29" s="1"/>
  <c r="J316" i="29"/>
  <c r="J34" i="29" s="1"/>
  <c r="I316" i="29"/>
  <c r="I34" i="29" s="1"/>
  <c r="H316" i="29"/>
  <c r="H34" i="29" s="1"/>
  <c r="G316" i="29"/>
  <c r="G34" i="29" s="1"/>
  <c r="F316" i="29"/>
  <c r="F34" i="29" s="1"/>
  <c r="E316" i="29"/>
  <c r="D316" i="29"/>
  <c r="D34" i="29" s="1"/>
  <c r="O315" i="29"/>
  <c r="O22" i="29" s="1"/>
  <c r="N315" i="29"/>
  <c r="N22" i="29" s="1"/>
  <c r="M315" i="29"/>
  <c r="M22" i="29" s="1"/>
  <c r="L315" i="29"/>
  <c r="K315" i="29"/>
  <c r="K22" i="29" s="1"/>
  <c r="J315" i="29"/>
  <c r="J22" i="29" s="1"/>
  <c r="I315" i="29"/>
  <c r="I22" i="29" s="1"/>
  <c r="H315" i="29"/>
  <c r="G315" i="29"/>
  <c r="G22" i="29" s="1"/>
  <c r="F315" i="29"/>
  <c r="F22" i="29" s="1"/>
  <c r="E315" i="29"/>
  <c r="E22" i="29" s="1"/>
  <c r="D315" i="29"/>
  <c r="D22" i="29" s="1"/>
  <c r="O313" i="29"/>
  <c r="N313" i="29"/>
  <c r="M313" i="29"/>
  <c r="L313" i="29"/>
  <c r="K313" i="29"/>
  <c r="J313" i="29"/>
  <c r="I313" i="29"/>
  <c r="H313" i="29"/>
  <c r="G313" i="29"/>
  <c r="F313" i="29"/>
  <c r="E313" i="29"/>
  <c r="D313" i="29"/>
  <c r="O302" i="29"/>
  <c r="N302" i="29"/>
  <c r="M302" i="29"/>
  <c r="L302" i="29"/>
  <c r="K302" i="29"/>
  <c r="J302" i="29"/>
  <c r="I302" i="29"/>
  <c r="H302" i="29"/>
  <c r="G302" i="29"/>
  <c r="F302" i="29"/>
  <c r="E302" i="29"/>
  <c r="D302" i="29"/>
  <c r="O283" i="29"/>
  <c r="O11" i="29" s="1"/>
  <c r="M53" i="2" s="1"/>
  <c r="Z53" i="2" s="1"/>
  <c r="N283" i="29"/>
  <c r="N11" i="29" s="1"/>
  <c r="L53" i="2" s="1"/>
  <c r="Y53" i="2" s="1"/>
  <c r="M283" i="29"/>
  <c r="M11" i="29" s="1"/>
  <c r="K53" i="2" s="1"/>
  <c r="X53" i="2" s="1"/>
  <c r="L283" i="29"/>
  <c r="K283" i="29"/>
  <c r="K11" i="29" s="1"/>
  <c r="I53" i="2" s="1"/>
  <c r="V53" i="2" s="1"/>
  <c r="J283" i="29"/>
  <c r="J11" i="29" s="1"/>
  <c r="H53" i="2" s="1"/>
  <c r="U53" i="2" s="1"/>
  <c r="I283" i="29"/>
  <c r="I11" i="29" s="1"/>
  <c r="G53" i="2" s="1"/>
  <c r="T53" i="2" s="1"/>
  <c r="H283" i="29"/>
  <c r="G283" i="29"/>
  <c r="G11" i="29" s="1"/>
  <c r="E53" i="2" s="1"/>
  <c r="R53" i="2" s="1"/>
  <c r="F283" i="29"/>
  <c r="F11" i="29" s="1"/>
  <c r="D53" i="2" s="1"/>
  <c r="Q53" i="2" s="1"/>
  <c r="E283" i="29"/>
  <c r="D283" i="29"/>
  <c r="O276" i="29"/>
  <c r="N276" i="29"/>
  <c r="N33" i="29" s="1"/>
  <c r="N35" i="29" s="1"/>
  <c r="L338" i="3" s="1"/>
  <c r="M276" i="29"/>
  <c r="M33" i="29" s="1"/>
  <c r="L276" i="29"/>
  <c r="K276" i="29"/>
  <c r="K33" i="29" s="1"/>
  <c r="J276" i="29"/>
  <c r="J33" i="29" s="1"/>
  <c r="J35" i="29" s="1"/>
  <c r="H338" i="3" s="1"/>
  <c r="I276" i="29"/>
  <c r="I33" i="29" s="1"/>
  <c r="I35" i="29" s="1"/>
  <c r="G338" i="3" s="1"/>
  <c r="H276" i="29"/>
  <c r="H33" i="29" s="1"/>
  <c r="G276" i="29"/>
  <c r="G33" i="29" s="1"/>
  <c r="G35" i="29" s="1"/>
  <c r="E338" i="3" s="1"/>
  <c r="F276" i="29"/>
  <c r="F33" i="29" s="1"/>
  <c r="F35" i="29" s="1"/>
  <c r="D338" i="3" s="1"/>
  <c r="E276" i="29"/>
  <c r="E33" i="29" s="1"/>
  <c r="D276" i="29"/>
  <c r="D33" i="29" s="1"/>
  <c r="O275" i="29"/>
  <c r="O30" i="29" s="1"/>
  <c r="N275" i="29"/>
  <c r="N30" i="29" s="1"/>
  <c r="M275" i="29"/>
  <c r="L275" i="29"/>
  <c r="K275" i="29"/>
  <c r="K30" i="29" s="1"/>
  <c r="J275" i="29"/>
  <c r="J30" i="29" s="1"/>
  <c r="I275" i="29"/>
  <c r="I30" i="29" s="1"/>
  <c r="H275" i="29"/>
  <c r="H30" i="29" s="1"/>
  <c r="G275" i="29"/>
  <c r="G30" i="29" s="1"/>
  <c r="F275" i="29"/>
  <c r="F30" i="29" s="1"/>
  <c r="E275" i="29"/>
  <c r="E30" i="29" s="1"/>
  <c r="D275" i="29"/>
  <c r="O263" i="29"/>
  <c r="N263" i="29"/>
  <c r="M263" i="29"/>
  <c r="L263" i="29"/>
  <c r="K263" i="29"/>
  <c r="J263" i="29"/>
  <c r="I263" i="29"/>
  <c r="H263" i="29"/>
  <c r="G263" i="29"/>
  <c r="F263" i="29"/>
  <c r="E263" i="29"/>
  <c r="D263" i="29"/>
  <c r="O258" i="29"/>
  <c r="O10" i="29" s="1"/>
  <c r="M52" i="2" s="1"/>
  <c r="Z52" i="2" s="1"/>
  <c r="N258" i="29"/>
  <c r="N10" i="29" s="1"/>
  <c r="L52" i="2" s="1"/>
  <c r="Y52" i="2" s="1"/>
  <c r="M258" i="29"/>
  <c r="M10" i="29" s="1"/>
  <c r="K52" i="2" s="1"/>
  <c r="X52" i="2" s="1"/>
  <c r="L258" i="29"/>
  <c r="L10" i="29" s="1"/>
  <c r="J52" i="2" s="1"/>
  <c r="W52" i="2" s="1"/>
  <c r="K258" i="29"/>
  <c r="K10" i="29" s="1"/>
  <c r="I52" i="2" s="1"/>
  <c r="V52" i="2" s="1"/>
  <c r="J258" i="29"/>
  <c r="J10" i="29" s="1"/>
  <c r="H52" i="2" s="1"/>
  <c r="U52" i="2" s="1"/>
  <c r="I258" i="29"/>
  <c r="I10" i="29" s="1"/>
  <c r="G52" i="2" s="1"/>
  <c r="T52" i="2" s="1"/>
  <c r="H258" i="29"/>
  <c r="G258" i="29"/>
  <c r="G10" i="29" s="1"/>
  <c r="E52" i="2" s="1"/>
  <c r="R52" i="2" s="1"/>
  <c r="F258" i="29"/>
  <c r="F10" i="29" s="1"/>
  <c r="D52" i="2" s="1"/>
  <c r="Q52" i="2" s="1"/>
  <c r="E258" i="29"/>
  <c r="E10" i="29" s="1"/>
  <c r="C52" i="2" s="1"/>
  <c r="P52" i="2" s="1"/>
  <c r="D258" i="29"/>
  <c r="D10" i="29" s="1"/>
  <c r="B52" i="2" s="1"/>
  <c r="O52" i="2" s="1"/>
  <c r="O250" i="29"/>
  <c r="O25" i="29" s="1"/>
  <c r="M322" i="3" s="1"/>
  <c r="N250" i="29"/>
  <c r="N25" i="29" s="1"/>
  <c r="L322" i="3" s="1"/>
  <c r="M250" i="29"/>
  <c r="M25" i="29" s="1"/>
  <c r="K322" i="3" s="1"/>
  <c r="L250" i="29"/>
  <c r="L25" i="29" s="1"/>
  <c r="J322" i="3" s="1"/>
  <c r="K250" i="29"/>
  <c r="K25" i="29" s="1"/>
  <c r="I322" i="3" s="1"/>
  <c r="J250" i="29"/>
  <c r="J25" i="29" s="1"/>
  <c r="H322" i="3" s="1"/>
  <c r="I250" i="29"/>
  <c r="I25" i="29" s="1"/>
  <c r="G322" i="3" s="1"/>
  <c r="H250" i="29"/>
  <c r="H25" i="29" s="1"/>
  <c r="F322" i="3" s="1"/>
  <c r="G250" i="29"/>
  <c r="G25" i="29" s="1"/>
  <c r="E322" i="3" s="1"/>
  <c r="F250" i="29"/>
  <c r="F25" i="29" s="1"/>
  <c r="D322" i="3" s="1"/>
  <c r="E250" i="29"/>
  <c r="E25" i="29" s="1"/>
  <c r="C322" i="3" s="1"/>
  <c r="D250" i="29"/>
  <c r="D25" i="29" s="1"/>
  <c r="B322" i="3" s="1"/>
  <c r="O249" i="29"/>
  <c r="O16" i="29" s="1"/>
  <c r="N249" i="29"/>
  <c r="N16" i="29" s="1"/>
  <c r="M249" i="29"/>
  <c r="M16" i="29" s="1"/>
  <c r="L249" i="29"/>
  <c r="K249" i="29"/>
  <c r="K16" i="29" s="1"/>
  <c r="J249" i="29"/>
  <c r="J16" i="29" s="1"/>
  <c r="I249" i="29"/>
  <c r="I16" i="29" s="1"/>
  <c r="H249" i="29"/>
  <c r="H16" i="29" s="1"/>
  <c r="G249" i="29"/>
  <c r="G16" i="29" s="1"/>
  <c r="F249" i="29"/>
  <c r="F16" i="29" s="1"/>
  <c r="E249" i="29"/>
  <c r="E16" i="29" s="1"/>
  <c r="D249" i="29"/>
  <c r="D16" i="29" s="1"/>
  <c r="O241" i="29"/>
  <c r="N241" i="29"/>
  <c r="M241" i="29"/>
  <c r="L241" i="29"/>
  <c r="K241" i="29"/>
  <c r="J241" i="29"/>
  <c r="I241" i="29"/>
  <c r="H241" i="29"/>
  <c r="G241" i="29"/>
  <c r="F241" i="29"/>
  <c r="E241" i="29"/>
  <c r="D241" i="29"/>
  <c r="O232" i="29"/>
  <c r="N232" i="29"/>
  <c r="M232" i="29"/>
  <c r="L232" i="29"/>
  <c r="K232" i="29"/>
  <c r="J232" i="29"/>
  <c r="I232" i="29"/>
  <c r="H232" i="29"/>
  <c r="G232" i="29"/>
  <c r="F232" i="29"/>
  <c r="E232" i="29"/>
  <c r="D232" i="29"/>
  <c r="O211" i="29"/>
  <c r="O9" i="29" s="1"/>
  <c r="M51" i="2" s="1"/>
  <c r="Z51" i="2" s="1"/>
  <c r="N211" i="29"/>
  <c r="N9" i="29" s="1"/>
  <c r="L51" i="2" s="1"/>
  <c r="Y51" i="2" s="1"/>
  <c r="M211" i="29"/>
  <c r="L211" i="29"/>
  <c r="L9" i="29" s="1"/>
  <c r="J51" i="2" s="1"/>
  <c r="W51" i="2" s="1"/>
  <c r="K211" i="29"/>
  <c r="K9" i="29" s="1"/>
  <c r="I51" i="2" s="1"/>
  <c r="V51" i="2" s="1"/>
  <c r="J211" i="29"/>
  <c r="J9" i="29" s="1"/>
  <c r="H51" i="2" s="1"/>
  <c r="U51" i="2" s="1"/>
  <c r="I211" i="29"/>
  <c r="I9" i="29" s="1"/>
  <c r="G51" i="2" s="1"/>
  <c r="T51" i="2" s="1"/>
  <c r="H211" i="29"/>
  <c r="H9" i="29" s="1"/>
  <c r="F51" i="2" s="1"/>
  <c r="S51" i="2" s="1"/>
  <c r="G211" i="29"/>
  <c r="G9" i="29" s="1"/>
  <c r="E51" i="2" s="1"/>
  <c r="R51" i="2" s="1"/>
  <c r="F211" i="29"/>
  <c r="F9" i="29" s="1"/>
  <c r="D51" i="2" s="1"/>
  <c r="Q51" i="2" s="1"/>
  <c r="E211" i="29"/>
  <c r="E9" i="29" s="1"/>
  <c r="C51" i="2" s="1"/>
  <c r="P51" i="2" s="1"/>
  <c r="D211" i="29"/>
  <c r="O204" i="29"/>
  <c r="N204" i="29"/>
  <c r="M204" i="29"/>
  <c r="L204" i="29"/>
  <c r="K204" i="29"/>
  <c r="J204" i="29"/>
  <c r="I204" i="29"/>
  <c r="H204" i="29"/>
  <c r="G204" i="29"/>
  <c r="F204" i="29"/>
  <c r="E204" i="29"/>
  <c r="D204" i="29"/>
  <c r="O203" i="29"/>
  <c r="O27" i="29" s="1"/>
  <c r="M333" i="3" s="1"/>
  <c r="N203" i="29"/>
  <c r="N27" i="29" s="1"/>
  <c r="L333" i="3" s="1"/>
  <c r="M203" i="29"/>
  <c r="M27" i="29" s="1"/>
  <c r="K333" i="3" s="1"/>
  <c r="L203" i="29"/>
  <c r="L27" i="29" s="1"/>
  <c r="J333" i="3" s="1"/>
  <c r="K203" i="29"/>
  <c r="K27" i="29" s="1"/>
  <c r="I333" i="3" s="1"/>
  <c r="J203" i="29"/>
  <c r="J27" i="29" s="1"/>
  <c r="H333" i="3" s="1"/>
  <c r="I203" i="29"/>
  <c r="I27" i="29" s="1"/>
  <c r="G333" i="3" s="1"/>
  <c r="H203" i="29"/>
  <c r="H27" i="29" s="1"/>
  <c r="F333" i="3" s="1"/>
  <c r="G203" i="29"/>
  <c r="G27" i="29" s="1"/>
  <c r="E333" i="3" s="1"/>
  <c r="F203" i="29"/>
  <c r="F27" i="29" s="1"/>
  <c r="D333" i="3" s="1"/>
  <c r="E203" i="29"/>
  <c r="E27" i="29" s="1"/>
  <c r="C333" i="3" s="1"/>
  <c r="D203" i="29"/>
  <c r="O198" i="29"/>
  <c r="N198" i="29"/>
  <c r="M198" i="29"/>
  <c r="L198" i="29"/>
  <c r="K198" i="29"/>
  <c r="J198" i="29"/>
  <c r="I198" i="29"/>
  <c r="H198" i="29"/>
  <c r="G198" i="29"/>
  <c r="F198" i="29"/>
  <c r="E198" i="29"/>
  <c r="D198" i="29"/>
  <c r="O192" i="29"/>
  <c r="N192" i="29"/>
  <c r="M192" i="29"/>
  <c r="L192" i="29"/>
  <c r="K192" i="29"/>
  <c r="J192" i="29"/>
  <c r="I192" i="29"/>
  <c r="H192" i="29"/>
  <c r="G192" i="29"/>
  <c r="F192" i="29"/>
  <c r="E192" i="29"/>
  <c r="D192" i="29"/>
  <c r="O163" i="29"/>
  <c r="N163" i="29"/>
  <c r="M163" i="29"/>
  <c r="L163" i="29"/>
  <c r="K163" i="29"/>
  <c r="J163" i="29"/>
  <c r="I163" i="29"/>
  <c r="H163" i="29"/>
  <c r="G163" i="29"/>
  <c r="F163" i="29"/>
  <c r="E163" i="29"/>
  <c r="D163" i="29"/>
  <c r="O160" i="29"/>
  <c r="O8" i="29" s="1"/>
  <c r="M50" i="2" s="1"/>
  <c r="Z50" i="2" s="1"/>
  <c r="N160" i="29"/>
  <c r="N8" i="29" s="1"/>
  <c r="L50" i="2" s="1"/>
  <c r="Y50" i="2" s="1"/>
  <c r="M160" i="29"/>
  <c r="M8" i="29" s="1"/>
  <c r="K50" i="2" s="1"/>
  <c r="X50" i="2" s="1"/>
  <c r="L160" i="29"/>
  <c r="L8" i="29" s="1"/>
  <c r="J50" i="2" s="1"/>
  <c r="W50" i="2" s="1"/>
  <c r="K160" i="29"/>
  <c r="K8" i="29" s="1"/>
  <c r="I50" i="2" s="1"/>
  <c r="V50" i="2" s="1"/>
  <c r="J160" i="29"/>
  <c r="J8" i="29" s="1"/>
  <c r="H50" i="2" s="1"/>
  <c r="U50" i="2" s="1"/>
  <c r="I160" i="29"/>
  <c r="I8" i="29" s="1"/>
  <c r="G50" i="2" s="1"/>
  <c r="T50" i="2" s="1"/>
  <c r="H160" i="29"/>
  <c r="H8" i="29" s="1"/>
  <c r="F50" i="2" s="1"/>
  <c r="S50" i="2" s="1"/>
  <c r="G160" i="29"/>
  <c r="G8" i="29" s="1"/>
  <c r="E50" i="2" s="1"/>
  <c r="R50" i="2" s="1"/>
  <c r="F160" i="29"/>
  <c r="F8" i="29" s="1"/>
  <c r="D50" i="2" s="1"/>
  <c r="Q50" i="2" s="1"/>
  <c r="E160" i="29"/>
  <c r="E8" i="29" s="1"/>
  <c r="C50" i="2" s="1"/>
  <c r="P50" i="2" s="1"/>
  <c r="D160" i="29"/>
  <c r="D8" i="29" s="1"/>
  <c r="B50" i="2" s="1"/>
  <c r="O50" i="2" s="1"/>
  <c r="O153" i="29"/>
  <c r="O19" i="29" s="1"/>
  <c r="M191" i="3" s="1"/>
  <c r="N153" i="29"/>
  <c r="N19" i="29" s="1"/>
  <c r="L191" i="3" s="1"/>
  <c r="M153" i="29"/>
  <c r="M19" i="29" s="1"/>
  <c r="K191" i="3" s="1"/>
  <c r="L153" i="29"/>
  <c r="L19" i="29" s="1"/>
  <c r="J191" i="3" s="1"/>
  <c r="K153" i="29"/>
  <c r="K19" i="29" s="1"/>
  <c r="I191" i="3" s="1"/>
  <c r="J153" i="29"/>
  <c r="J19" i="29" s="1"/>
  <c r="H191" i="3" s="1"/>
  <c r="I153" i="29"/>
  <c r="I19" i="29" s="1"/>
  <c r="G191" i="3" s="1"/>
  <c r="H153" i="29"/>
  <c r="H19" i="29" s="1"/>
  <c r="F191" i="3" s="1"/>
  <c r="G153" i="29"/>
  <c r="G19" i="29" s="1"/>
  <c r="E191" i="3" s="1"/>
  <c r="F153" i="29"/>
  <c r="F19" i="29" s="1"/>
  <c r="D191" i="3" s="1"/>
  <c r="E153" i="29"/>
  <c r="E19" i="29" s="1"/>
  <c r="C191" i="3" s="1"/>
  <c r="D153" i="29"/>
  <c r="O134" i="29"/>
  <c r="O7" i="29" s="1"/>
  <c r="M49" i="2" s="1"/>
  <c r="Z49" i="2" s="1"/>
  <c r="N134" i="29"/>
  <c r="N7" i="29" s="1"/>
  <c r="L49" i="2" s="1"/>
  <c r="Y49" i="2" s="1"/>
  <c r="M134" i="29"/>
  <c r="M7" i="29" s="1"/>
  <c r="K49" i="2" s="1"/>
  <c r="X49" i="2" s="1"/>
  <c r="L134" i="29"/>
  <c r="K134" i="29"/>
  <c r="K7" i="29" s="1"/>
  <c r="I49" i="2" s="1"/>
  <c r="V49" i="2" s="1"/>
  <c r="J134" i="29"/>
  <c r="J7" i="29" s="1"/>
  <c r="H49" i="2" s="1"/>
  <c r="U49" i="2" s="1"/>
  <c r="I134" i="29"/>
  <c r="I7" i="29" s="1"/>
  <c r="G49" i="2" s="1"/>
  <c r="T49" i="2" s="1"/>
  <c r="H134" i="29"/>
  <c r="G134" i="29"/>
  <c r="G7" i="29" s="1"/>
  <c r="E49" i="2" s="1"/>
  <c r="F134" i="29"/>
  <c r="F7" i="29" s="1"/>
  <c r="D49" i="2" s="1"/>
  <c r="Q49" i="2" s="1"/>
  <c r="E134" i="29"/>
  <c r="E7" i="29" s="1"/>
  <c r="C49" i="2" s="1"/>
  <c r="P49" i="2" s="1"/>
  <c r="D134" i="29"/>
  <c r="D7" i="29" s="1"/>
  <c r="B49" i="2" s="1"/>
  <c r="O49" i="2" s="1"/>
  <c r="O127" i="29"/>
  <c r="O29" i="29" s="1"/>
  <c r="N127" i="29"/>
  <c r="N29" i="29" s="1"/>
  <c r="N31" i="29" s="1"/>
  <c r="L337" i="3" s="1"/>
  <c r="M127" i="29"/>
  <c r="M29" i="29" s="1"/>
  <c r="L127" i="29"/>
  <c r="L29" i="29" s="1"/>
  <c r="K127" i="29"/>
  <c r="K29" i="29" s="1"/>
  <c r="J127" i="29"/>
  <c r="J29" i="29" s="1"/>
  <c r="J31" i="29" s="1"/>
  <c r="H337" i="3" s="1"/>
  <c r="I127" i="29"/>
  <c r="I29" i="29" s="1"/>
  <c r="H127" i="29"/>
  <c r="H29" i="29" s="1"/>
  <c r="G127" i="29"/>
  <c r="G29" i="29" s="1"/>
  <c r="F127" i="29"/>
  <c r="F29" i="29" s="1"/>
  <c r="F31" i="29" s="1"/>
  <c r="D337" i="3" s="1"/>
  <c r="E127" i="29"/>
  <c r="E29" i="29" s="1"/>
  <c r="E31" i="29" s="1"/>
  <c r="C337" i="3" s="1"/>
  <c r="D127" i="29"/>
  <c r="O126" i="29"/>
  <c r="O15" i="29" s="1"/>
  <c r="N126" i="29"/>
  <c r="N15" i="29" s="1"/>
  <c r="N17" i="29" s="1"/>
  <c r="M126" i="29"/>
  <c r="M15" i="29" s="1"/>
  <c r="L126" i="29"/>
  <c r="K126" i="29"/>
  <c r="K15" i="29" s="1"/>
  <c r="J126" i="29"/>
  <c r="J15" i="29" s="1"/>
  <c r="J17" i="29" s="1"/>
  <c r="I126" i="29"/>
  <c r="I15" i="29" s="1"/>
  <c r="H126" i="29"/>
  <c r="H15" i="29" s="1"/>
  <c r="G126" i="29"/>
  <c r="G15" i="29" s="1"/>
  <c r="F126" i="29"/>
  <c r="F15" i="29" s="1"/>
  <c r="E126" i="29"/>
  <c r="E15" i="29" s="1"/>
  <c r="D126" i="29"/>
  <c r="D15" i="29" s="1"/>
  <c r="D17" i="29" s="1"/>
  <c r="O97" i="29"/>
  <c r="O6" i="29" s="1"/>
  <c r="M48" i="2" s="1"/>
  <c r="Z48" i="2" s="1"/>
  <c r="N97" i="29"/>
  <c r="N6" i="29" s="1"/>
  <c r="L48" i="2" s="1"/>
  <c r="Y48" i="2" s="1"/>
  <c r="M97" i="29"/>
  <c r="M6" i="29" s="1"/>
  <c r="K48" i="2" s="1"/>
  <c r="X48" i="2" s="1"/>
  <c r="L97" i="29"/>
  <c r="L6" i="29" s="1"/>
  <c r="J48" i="2" s="1"/>
  <c r="W48" i="2" s="1"/>
  <c r="K97" i="29"/>
  <c r="K6" i="29" s="1"/>
  <c r="I48" i="2" s="1"/>
  <c r="V48" i="2" s="1"/>
  <c r="J97" i="29"/>
  <c r="J6" i="29" s="1"/>
  <c r="H48" i="2" s="1"/>
  <c r="U48" i="2" s="1"/>
  <c r="I97" i="29"/>
  <c r="I6" i="29" s="1"/>
  <c r="G48" i="2" s="1"/>
  <c r="T48" i="2" s="1"/>
  <c r="H97" i="29"/>
  <c r="H6" i="29" s="1"/>
  <c r="F48" i="2" s="1"/>
  <c r="S48" i="2" s="1"/>
  <c r="G97" i="29"/>
  <c r="G6" i="29" s="1"/>
  <c r="E48" i="2" s="1"/>
  <c r="R48" i="2" s="1"/>
  <c r="F97" i="29"/>
  <c r="F6" i="29" s="1"/>
  <c r="D48" i="2" s="1"/>
  <c r="Q48" i="2" s="1"/>
  <c r="E97" i="29"/>
  <c r="E6" i="29" s="1"/>
  <c r="C48" i="2" s="1"/>
  <c r="P48" i="2" s="1"/>
  <c r="D97" i="29"/>
  <c r="D6" i="29" s="1"/>
  <c r="B48" i="2" s="1"/>
  <c r="O48" i="2" s="1"/>
  <c r="O90" i="29"/>
  <c r="N90" i="29"/>
  <c r="M90" i="29"/>
  <c r="L90" i="29"/>
  <c r="K90" i="29"/>
  <c r="J90" i="29"/>
  <c r="I90" i="29"/>
  <c r="H90" i="29"/>
  <c r="G90" i="29"/>
  <c r="F90" i="29"/>
  <c r="E90" i="29"/>
  <c r="D90" i="29"/>
  <c r="O89" i="29"/>
  <c r="O21" i="29" s="1"/>
  <c r="N89" i="29"/>
  <c r="N21" i="29" s="1"/>
  <c r="N23" i="29" s="1"/>
  <c r="L290" i="3" s="1"/>
  <c r="M89" i="29"/>
  <c r="L89" i="29"/>
  <c r="L21" i="29" s="1"/>
  <c r="K89" i="29"/>
  <c r="K21" i="29" s="1"/>
  <c r="K23" i="29" s="1"/>
  <c r="I290" i="3" s="1"/>
  <c r="J89" i="29"/>
  <c r="J21" i="29" s="1"/>
  <c r="J23" i="29" s="1"/>
  <c r="H290" i="3" s="1"/>
  <c r="I89" i="29"/>
  <c r="I21" i="29" s="1"/>
  <c r="H89" i="29"/>
  <c r="H21" i="29" s="1"/>
  <c r="G89" i="29"/>
  <c r="G21" i="29" s="1"/>
  <c r="G23" i="29" s="1"/>
  <c r="E290" i="3" s="1"/>
  <c r="F89" i="29"/>
  <c r="F21" i="29" s="1"/>
  <c r="F23" i="29" s="1"/>
  <c r="D290" i="3" s="1"/>
  <c r="E89" i="29"/>
  <c r="E21" i="29" s="1"/>
  <c r="D89" i="29"/>
  <c r="D21" i="29" s="1"/>
  <c r="O81" i="29"/>
  <c r="N81" i="29"/>
  <c r="M81" i="29"/>
  <c r="L81" i="29"/>
  <c r="K81" i="29"/>
  <c r="J81" i="29"/>
  <c r="I81" i="29"/>
  <c r="H81" i="29"/>
  <c r="G81" i="29"/>
  <c r="F81" i="29"/>
  <c r="E81" i="29"/>
  <c r="D81" i="29"/>
  <c r="O71" i="29"/>
  <c r="N71" i="29"/>
  <c r="M71" i="29"/>
  <c r="L71" i="29"/>
  <c r="K71" i="29"/>
  <c r="J71" i="29"/>
  <c r="I71" i="29"/>
  <c r="H71" i="29"/>
  <c r="G71" i="29"/>
  <c r="F71" i="29"/>
  <c r="E71" i="29"/>
  <c r="D71" i="29"/>
  <c r="O58" i="29"/>
  <c r="N58" i="29"/>
  <c r="M58" i="29"/>
  <c r="L58" i="29"/>
  <c r="K58" i="29"/>
  <c r="J58" i="29"/>
  <c r="I58" i="29"/>
  <c r="H58" i="29"/>
  <c r="G58" i="29"/>
  <c r="F58" i="29"/>
  <c r="E58" i="29"/>
  <c r="D58" i="29"/>
  <c r="O55" i="29"/>
  <c r="N55" i="29"/>
  <c r="M55" i="29"/>
  <c r="L55" i="29"/>
  <c r="K55" i="29"/>
  <c r="J55" i="29"/>
  <c r="I55" i="29"/>
  <c r="H55" i="29"/>
  <c r="G55" i="29"/>
  <c r="F55" i="29"/>
  <c r="E55" i="29"/>
  <c r="D55" i="29"/>
  <c r="O52" i="29"/>
  <c r="O5" i="29" s="1"/>
  <c r="N52" i="29"/>
  <c r="N5" i="29" s="1"/>
  <c r="M52" i="29"/>
  <c r="M5" i="29" s="1"/>
  <c r="L52" i="29"/>
  <c r="L5" i="29" s="1"/>
  <c r="J47" i="2" s="1"/>
  <c r="K52" i="29"/>
  <c r="K5" i="29" s="1"/>
  <c r="J52" i="29"/>
  <c r="J5" i="29" s="1"/>
  <c r="I52" i="29"/>
  <c r="I5" i="29" s="1"/>
  <c r="G47" i="2" s="1"/>
  <c r="H52" i="29"/>
  <c r="H5" i="29" s="1"/>
  <c r="F47" i="2" s="1"/>
  <c r="G52" i="29"/>
  <c r="G5" i="29" s="1"/>
  <c r="F52" i="29"/>
  <c r="F5" i="29" s="1"/>
  <c r="E52" i="29"/>
  <c r="E5" i="29" s="1"/>
  <c r="C47" i="2" s="1"/>
  <c r="D52" i="29"/>
  <c r="D5" i="29" s="1"/>
  <c r="B47" i="2" s="1"/>
  <c r="O40" i="29"/>
  <c r="N40" i="29"/>
  <c r="M40" i="29"/>
  <c r="L40" i="29"/>
  <c r="K40" i="29"/>
  <c r="J40" i="29"/>
  <c r="I40" i="29"/>
  <c r="H40" i="29"/>
  <c r="G40" i="29"/>
  <c r="F40" i="29"/>
  <c r="E40" i="29"/>
  <c r="D40" i="29"/>
  <c r="O39" i="29"/>
  <c r="O41" i="29" s="1"/>
  <c r="M426" i="3" s="1"/>
  <c r="N39" i="29"/>
  <c r="N41" i="29" s="1"/>
  <c r="L426" i="3" s="1"/>
  <c r="M39" i="29"/>
  <c r="M41" i="29" s="1"/>
  <c r="K426" i="3" s="1"/>
  <c r="L39" i="29"/>
  <c r="L41" i="29" s="1"/>
  <c r="J426" i="3" s="1"/>
  <c r="K39" i="29"/>
  <c r="K41" i="29" s="1"/>
  <c r="I426" i="3" s="1"/>
  <c r="J39" i="29"/>
  <c r="J41" i="29" s="1"/>
  <c r="H426" i="3" s="1"/>
  <c r="I39" i="29"/>
  <c r="I41" i="29" s="1"/>
  <c r="G426" i="3" s="1"/>
  <c r="H39" i="29"/>
  <c r="H41" i="29" s="1"/>
  <c r="F426" i="3" s="1"/>
  <c r="G39" i="29"/>
  <c r="G41" i="29" s="1"/>
  <c r="E426" i="3" s="1"/>
  <c r="F39" i="29"/>
  <c r="F41" i="29" s="1"/>
  <c r="D426" i="3" s="1"/>
  <c r="E39" i="29"/>
  <c r="E41" i="29" s="1"/>
  <c r="C426" i="3" s="1"/>
  <c r="D39" i="29"/>
  <c r="D41" i="29" s="1"/>
  <c r="B426" i="3" s="1"/>
  <c r="O37" i="29"/>
  <c r="M415" i="3" s="1"/>
  <c r="N37" i="29"/>
  <c r="L415" i="3" s="1"/>
  <c r="M37" i="29"/>
  <c r="K415" i="3" s="1"/>
  <c r="L37" i="29"/>
  <c r="K37" i="29"/>
  <c r="I415" i="3" s="1"/>
  <c r="J37" i="29"/>
  <c r="H415" i="3" s="1"/>
  <c r="I37" i="29"/>
  <c r="G415" i="3" s="1"/>
  <c r="H37" i="29"/>
  <c r="G37" i="29"/>
  <c r="E415" i="3" s="1"/>
  <c r="E34" i="29"/>
  <c r="O33" i="29"/>
  <c r="L33" i="29"/>
  <c r="M30" i="29"/>
  <c r="L30" i="29"/>
  <c r="D30" i="29"/>
  <c r="D29" i="29"/>
  <c r="D27" i="29"/>
  <c r="B333" i="3" s="1"/>
  <c r="L22" i="29"/>
  <c r="H22" i="29"/>
  <c r="M21" i="29"/>
  <c r="D19" i="29"/>
  <c r="B191" i="3" s="1"/>
  <c r="L16" i="29"/>
  <c r="L15" i="29"/>
  <c r="L11" i="29"/>
  <c r="J53" i="2" s="1"/>
  <c r="W53" i="2" s="1"/>
  <c r="H11" i="29"/>
  <c r="F53" i="2" s="1"/>
  <c r="S53" i="2" s="1"/>
  <c r="E11" i="29"/>
  <c r="C53" i="2" s="1"/>
  <c r="P53" i="2" s="1"/>
  <c r="D11" i="29"/>
  <c r="B53" i="2" s="1"/>
  <c r="O53" i="2" s="1"/>
  <c r="H10" i="29"/>
  <c r="F52" i="2" s="1"/>
  <c r="S52" i="2" s="1"/>
  <c r="M9" i="29"/>
  <c r="K51" i="2" s="1"/>
  <c r="X51" i="2" s="1"/>
  <c r="D9" i="29"/>
  <c r="B51" i="2" s="1"/>
  <c r="O51" i="2" s="1"/>
  <c r="L7" i="29"/>
  <c r="J49" i="2" s="1"/>
  <c r="W49" i="2" s="1"/>
  <c r="H7" i="29"/>
  <c r="F49" i="2" s="1"/>
  <c r="S49" i="2" s="1"/>
  <c r="J15" i="72"/>
  <c r="I15" i="72"/>
  <c r="O9" i="72"/>
  <c r="N9" i="72"/>
  <c r="M9" i="72"/>
  <c r="L9" i="72"/>
  <c r="J506" i="3" s="1"/>
  <c r="K9" i="72"/>
  <c r="J9" i="72"/>
  <c r="I9" i="72"/>
  <c r="H9" i="72"/>
  <c r="F506" i="3" s="1"/>
  <c r="G9" i="72"/>
  <c r="F9" i="72"/>
  <c r="E9" i="72"/>
  <c r="D9" i="72"/>
  <c r="B506" i="3" s="1"/>
  <c r="O7" i="72"/>
  <c r="O15" i="72" s="1"/>
  <c r="N7" i="72"/>
  <c r="N11" i="72" s="1"/>
  <c r="M7" i="72"/>
  <c r="L7" i="72"/>
  <c r="K7" i="72"/>
  <c r="K13" i="72" s="1"/>
  <c r="J7" i="72"/>
  <c r="J11" i="72" s="1"/>
  <c r="I7" i="72"/>
  <c r="H7" i="72"/>
  <c r="G7" i="72"/>
  <c r="G13" i="72" s="1"/>
  <c r="F7" i="72"/>
  <c r="F11" i="72" s="1"/>
  <c r="E7" i="72"/>
  <c r="D7" i="72"/>
  <c r="D13" i="72" s="1"/>
  <c r="O3" i="72"/>
  <c r="O5" i="72" s="1"/>
  <c r="N3" i="72"/>
  <c r="N5" i="72" s="1"/>
  <c r="M3" i="72"/>
  <c r="M5" i="72" s="1"/>
  <c r="L3" i="72"/>
  <c r="K3" i="72"/>
  <c r="I142" i="2" s="1"/>
  <c r="V142" i="2" s="1"/>
  <c r="J3" i="72"/>
  <c r="J5" i="72" s="1"/>
  <c r="I3" i="72"/>
  <c r="I5" i="72" s="1"/>
  <c r="H3" i="72"/>
  <c r="H5" i="72" s="1"/>
  <c r="G3" i="72"/>
  <c r="E142" i="2" s="1"/>
  <c r="R142" i="2" s="1"/>
  <c r="F3" i="72"/>
  <c r="F5" i="72" s="1"/>
  <c r="E3" i="72"/>
  <c r="E5" i="72" s="1"/>
  <c r="D3" i="72"/>
  <c r="O43" i="69"/>
  <c r="N43" i="69"/>
  <c r="M43" i="69"/>
  <c r="L43" i="69"/>
  <c r="K43" i="69"/>
  <c r="J43" i="69"/>
  <c r="I43" i="69"/>
  <c r="H43" i="69"/>
  <c r="G43" i="69"/>
  <c r="F43" i="69"/>
  <c r="E43" i="69"/>
  <c r="D43" i="69"/>
  <c r="O32" i="69"/>
  <c r="N32" i="69"/>
  <c r="M32" i="69"/>
  <c r="L32" i="69"/>
  <c r="K32" i="69"/>
  <c r="J32" i="69"/>
  <c r="I32" i="69"/>
  <c r="H32" i="69"/>
  <c r="G32" i="69"/>
  <c r="F32" i="69"/>
  <c r="E32" i="69"/>
  <c r="D32" i="69"/>
  <c r="O26" i="69"/>
  <c r="N26" i="69"/>
  <c r="M26" i="69"/>
  <c r="L26" i="69"/>
  <c r="K26" i="69"/>
  <c r="J26" i="69"/>
  <c r="I26" i="69"/>
  <c r="H26" i="69"/>
  <c r="G26" i="69"/>
  <c r="F26" i="69"/>
  <c r="E26" i="69"/>
  <c r="D26" i="69"/>
  <c r="O22" i="69"/>
  <c r="N22" i="69"/>
  <c r="M22" i="69"/>
  <c r="L22" i="69"/>
  <c r="K22" i="69"/>
  <c r="J22" i="69"/>
  <c r="I22" i="69"/>
  <c r="H22" i="69"/>
  <c r="G22" i="69"/>
  <c r="F22" i="69"/>
  <c r="E22" i="69"/>
  <c r="D22" i="69"/>
  <c r="O9" i="69"/>
  <c r="M296" i="3" s="1"/>
  <c r="N9" i="69"/>
  <c r="M9" i="69"/>
  <c r="L9" i="69"/>
  <c r="K9" i="69"/>
  <c r="J9" i="69"/>
  <c r="I9" i="69"/>
  <c r="H9" i="69"/>
  <c r="G9" i="69"/>
  <c r="F9" i="69"/>
  <c r="E9" i="69"/>
  <c r="D9" i="69"/>
  <c r="B296" i="3" s="1"/>
  <c r="O7" i="69"/>
  <c r="M295" i="3" s="1"/>
  <c r="N7" i="69"/>
  <c r="M7" i="69"/>
  <c r="L7" i="69"/>
  <c r="J295" i="3" s="1"/>
  <c r="K7" i="69"/>
  <c r="J7" i="69"/>
  <c r="I7" i="69"/>
  <c r="H7" i="69"/>
  <c r="F295" i="3" s="1"/>
  <c r="G7" i="69"/>
  <c r="G13" i="69" s="1"/>
  <c r="F7" i="69"/>
  <c r="F11" i="69" s="1"/>
  <c r="E7" i="69"/>
  <c r="E11" i="69" s="1"/>
  <c r="D7" i="69"/>
  <c r="O3" i="69"/>
  <c r="O5" i="69" s="1"/>
  <c r="N3" i="69"/>
  <c r="N5" i="69" s="1"/>
  <c r="M3" i="69"/>
  <c r="M5" i="69" s="1"/>
  <c r="L3" i="69"/>
  <c r="L5" i="69" s="1"/>
  <c r="K3" i="69"/>
  <c r="K5" i="69" s="1"/>
  <c r="J3" i="69"/>
  <c r="J5" i="69" s="1"/>
  <c r="I3" i="69"/>
  <c r="I5" i="69" s="1"/>
  <c r="H3" i="69"/>
  <c r="H5" i="69" s="1"/>
  <c r="G3" i="69"/>
  <c r="G5" i="69" s="1"/>
  <c r="F3" i="69"/>
  <c r="F5" i="69" s="1"/>
  <c r="E3" i="69"/>
  <c r="E5" i="69" s="1"/>
  <c r="D3" i="69"/>
  <c r="D5" i="69" s="1"/>
  <c r="O93" i="68"/>
  <c r="N93" i="68"/>
  <c r="N17" i="68" s="1"/>
  <c r="L365" i="3" s="1"/>
  <c r="M93" i="68"/>
  <c r="M17" i="68" s="1"/>
  <c r="K365" i="3" s="1"/>
  <c r="L93" i="68"/>
  <c r="L17" i="68" s="1"/>
  <c r="K93" i="68"/>
  <c r="J93" i="68"/>
  <c r="J17" i="68" s="1"/>
  <c r="H365" i="3" s="1"/>
  <c r="I93" i="68"/>
  <c r="I17" i="68" s="1"/>
  <c r="H93" i="68"/>
  <c r="H17" i="68" s="1"/>
  <c r="F365" i="3" s="1"/>
  <c r="G93" i="68"/>
  <c r="F93" i="68"/>
  <c r="F17" i="68" s="1"/>
  <c r="D365" i="3" s="1"/>
  <c r="E93" i="68"/>
  <c r="E17" i="68" s="1"/>
  <c r="C365" i="3" s="1"/>
  <c r="D93" i="68"/>
  <c r="D17" i="68" s="1"/>
  <c r="B365" i="3" s="1"/>
  <c r="O92" i="68"/>
  <c r="N92" i="68"/>
  <c r="N14" i="68" s="1"/>
  <c r="M92" i="68"/>
  <c r="L92" i="68"/>
  <c r="L14" i="68" s="1"/>
  <c r="K92" i="68"/>
  <c r="J92" i="68"/>
  <c r="J14" i="68" s="1"/>
  <c r="I92" i="68"/>
  <c r="I14" i="68" s="1"/>
  <c r="H92" i="68"/>
  <c r="H14" i="68" s="1"/>
  <c r="G92" i="68"/>
  <c r="F92" i="68"/>
  <c r="F14" i="68" s="1"/>
  <c r="E92" i="68"/>
  <c r="E14" i="68" s="1"/>
  <c r="D92" i="68"/>
  <c r="D14" i="68" s="1"/>
  <c r="O83" i="68"/>
  <c r="N83" i="68"/>
  <c r="M83" i="68"/>
  <c r="L83" i="68"/>
  <c r="K83" i="68"/>
  <c r="J83" i="68"/>
  <c r="I83" i="68"/>
  <c r="H83" i="68"/>
  <c r="G83" i="68"/>
  <c r="F83" i="68"/>
  <c r="E83" i="68"/>
  <c r="D83" i="68"/>
  <c r="O64" i="68"/>
  <c r="O4" i="68" s="1"/>
  <c r="O8" i="68" s="1"/>
  <c r="N64" i="68"/>
  <c r="N4" i="68" s="1"/>
  <c r="M64" i="68"/>
  <c r="M4" i="68" s="1"/>
  <c r="L64" i="68"/>
  <c r="L4" i="68" s="1"/>
  <c r="K64" i="68"/>
  <c r="J64" i="68"/>
  <c r="J4" i="68" s="1"/>
  <c r="I64" i="68"/>
  <c r="I4" i="68" s="1"/>
  <c r="I8" i="68" s="1"/>
  <c r="H64" i="68"/>
  <c r="G64" i="68"/>
  <c r="F64" i="68"/>
  <c r="F4" i="68" s="1"/>
  <c r="E64" i="68"/>
  <c r="E4" i="68" s="1"/>
  <c r="C161" i="2" s="1"/>
  <c r="P161" i="2" s="1"/>
  <c r="D64" i="68"/>
  <c r="D4" i="68" s="1"/>
  <c r="O57" i="68"/>
  <c r="N57" i="68"/>
  <c r="N13" i="68" s="1"/>
  <c r="N15" i="68" s="1"/>
  <c r="L294" i="3" s="1"/>
  <c r="M57" i="68"/>
  <c r="M13" i="68" s="1"/>
  <c r="M15" i="68" s="1"/>
  <c r="L57" i="68"/>
  <c r="L13" i="68" s="1"/>
  <c r="K57" i="68"/>
  <c r="J57" i="68"/>
  <c r="J13" i="68" s="1"/>
  <c r="J15" i="68" s="1"/>
  <c r="H294" i="3" s="1"/>
  <c r="I57" i="68"/>
  <c r="H57" i="68"/>
  <c r="G57" i="68"/>
  <c r="F57" i="68"/>
  <c r="F13" i="68" s="1"/>
  <c r="F15" i="68" s="1"/>
  <c r="D294" i="3" s="1"/>
  <c r="E57" i="68"/>
  <c r="E13" i="68" s="1"/>
  <c r="E15" i="68" s="1"/>
  <c r="D57" i="68"/>
  <c r="D13" i="68" s="1"/>
  <c r="D15" i="68" s="1"/>
  <c r="O56" i="68"/>
  <c r="N56" i="68"/>
  <c r="N11" i="68" s="1"/>
  <c r="N19" i="68" s="1"/>
  <c r="M56" i="68"/>
  <c r="M11" i="68" s="1"/>
  <c r="L56" i="68"/>
  <c r="L11" i="68" s="1"/>
  <c r="K56" i="68"/>
  <c r="J56" i="68"/>
  <c r="J11" i="68" s="1"/>
  <c r="J19" i="68" s="1"/>
  <c r="I56" i="68"/>
  <c r="I11" i="68" s="1"/>
  <c r="H56" i="68"/>
  <c r="H11" i="68" s="1"/>
  <c r="F293" i="3" s="1"/>
  <c r="G56" i="68"/>
  <c r="F56" i="68"/>
  <c r="F11" i="68" s="1"/>
  <c r="F19" i="68" s="1"/>
  <c r="E56" i="68"/>
  <c r="D56" i="68"/>
  <c r="D11" i="68" s="1"/>
  <c r="O52" i="68"/>
  <c r="N52" i="68"/>
  <c r="M52" i="68"/>
  <c r="L52" i="68"/>
  <c r="K52" i="68"/>
  <c r="J52" i="68"/>
  <c r="I52" i="68"/>
  <c r="H52" i="68"/>
  <c r="G52" i="68"/>
  <c r="F52" i="68"/>
  <c r="E52" i="68"/>
  <c r="D52" i="68"/>
  <c r="O41" i="68"/>
  <c r="N41" i="68"/>
  <c r="M41" i="68"/>
  <c r="L41" i="68"/>
  <c r="K41" i="68"/>
  <c r="J41" i="68"/>
  <c r="I41" i="68"/>
  <c r="H41" i="68"/>
  <c r="G41" i="68"/>
  <c r="F41" i="68"/>
  <c r="E41" i="68"/>
  <c r="D41" i="68"/>
  <c r="O33" i="68"/>
  <c r="N33" i="68"/>
  <c r="M33" i="68"/>
  <c r="L33" i="68"/>
  <c r="K33" i="68"/>
  <c r="J33" i="68"/>
  <c r="I33" i="68"/>
  <c r="H33" i="68"/>
  <c r="G33" i="68"/>
  <c r="F33" i="68"/>
  <c r="E33" i="68"/>
  <c r="D33" i="68"/>
  <c r="O28" i="68"/>
  <c r="N28" i="68"/>
  <c r="N3" i="68" s="1"/>
  <c r="M28" i="68"/>
  <c r="L28" i="68"/>
  <c r="L3" i="68" s="1"/>
  <c r="K28" i="68"/>
  <c r="J28" i="68"/>
  <c r="J3" i="68" s="1"/>
  <c r="I28" i="68"/>
  <c r="I3" i="68" s="1"/>
  <c r="I5" i="68" s="1"/>
  <c r="I9" i="68" s="1"/>
  <c r="H28" i="68"/>
  <c r="H3" i="68" s="1"/>
  <c r="G28" i="68"/>
  <c r="F28" i="68"/>
  <c r="F3" i="68" s="1"/>
  <c r="E28" i="68"/>
  <c r="E3" i="68" s="1"/>
  <c r="D28" i="68"/>
  <c r="D3" i="68" s="1"/>
  <c r="O17" i="68"/>
  <c r="M365" i="3" s="1"/>
  <c r="K17" i="68"/>
  <c r="I365" i="3" s="1"/>
  <c r="G17" i="68"/>
  <c r="E365" i="3" s="1"/>
  <c r="O14" i="68"/>
  <c r="M14" i="68"/>
  <c r="K14" i="68"/>
  <c r="G14" i="68"/>
  <c r="O13" i="68"/>
  <c r="O15" i="68" s="1"/>
  <c r="M294" i="3" s="1"/>
  <c r="K13" i="68"/>
  <c r="K15" i="68" s="1"/>
  <c r="I13" i="68"/>
  <c r="I15" i="68" s="1"/>
  <c r="H13" i="68"/>
  <c r="H15" i="68" s="1"/>
  <c r="G13" i="68"/>
  <c r="O11" i="68"/>
  <c r="M293" i="3" s="1"/>
  <c r="K11" i="68"/>
  <c r="K21" i="68" s="1"/>
  <c r="G11" i="68"/>
  <c r="E11" i="68"/>
  <c r="K4" i="68"/>
  <c r="K8" i="68" s="1"/>
  <c r="H4" i="68"/>
  <c r="H8" i="68" s="1"/>
  <c r="G4" i="68"/>
  <c r="G8" i="68" s="1"/>
  <c r="O3" i="68"/>
  <c r="M160" i="2" s="1"/>
  <c r="Z160" i="2" s="1"/>
  <c r="M3" i="68"/>
  <c r="K3" i="68"/>
  <c r="K7" i="68" s="1"/>
  <c r="G3" i="68"/>
  <c r="G7" i="68" s="1"/>
  <c r="M514" i="3"/>
  <c r="K514" i="3"/>
  <c r="J514" i="3"/>
  <c r="I514" i="3"/>
  <c r="H514" i="3"/>
  <c r="G514" i="3"/>
  <c r="F514" i="3"/>
  <c r="E514" i="3"/>
  <c r="B514" i="3"/>
  <c r="M297" i="3"/>
  <c r="N11" i="67"/>
  <c r="M11" i="67"/>
  <c r="L15" i="67"/>
  <c r="K13" i="67"/>
  <c r="J11" i="67"/>
  <c r="I11" i="67"/>
  <c r="H15" i="67"/>
  <c r="G13" i="67"/>
  <c r="F11" i="67"/>
  <c r="E11" i="67"/>
  <c r="D15" i="67"/>
  <c r="M141" i="2"/>
  <c r="Z141" i="2" s="1"/>
  <c r="L141" i="2"/>
  <c r="Y141" i="2" s="1"/>
  <c r="I141" i="2"/>
  <c r="V141" i="2" s="1"/>
  <c r="H141" i="2"/>
  <c r="U141" i="2" s="1"/>
  <c r="E141" i="2"/>
  <c r="R141" i="2" s="1"/>
  <c r="D141" i="2"/>
  <c r="Q141" i="2" s="1"/>
  <c r="O215" i="66"/>
  <c r="N215" i="66"/>
  <c r="N45" i="66" s="1"/>
  <c r="L518" i="3" s="1"/>
  <c r="M215" i="66"/>
  <c r="L215" i="66"/>
  <c r="L45" i="66" s="1"/>
  <c r="J518" i="3" s="1"/>
  <c r="K215" i="66"/>
  <c r="K45" i="66" s="1"/>
  <c r="I518" i="3" s="1"/>
  <c r="J215" i="66"/>
  <c r="J45" i="66" s="1"/>
  <c r="H518" i="3" s="1"/>
  <c r="I215" i="66"/>
  <c r="H215" i="66"/>
  <c r="H45" i="66" s="1"/>
  <c r="F518" i="3" s="1"/>
  <c r="G215" i="66"/>
  <c r="G45" i="66" s="1"/>
  <c r="E518" i="3" s="1"/>
  <c r="F215" i="66"/>
  <c r="F45" i="66" s="1"/>
  <c r="D518" i="3" s="1"/>
  <c r="E215" i="66"/>
  <c r="D215" i="66"/>
  <c r="D45" i="66" s="1"/>
  <c r="B518" i="3" s="1"/>
  <c r="O214" i="66"/>
  <c r="N214" i="66"/>
  <c r="N43" i="66" s="1"/>
  <c r="L517" i="3" s="1"/>
  <c r="M214" i="66"/>
  <c r="L214" i="66"/>
  <c r="L43" i="66" s="1"/>
  <c r="J517" i="3" s="1"/>
  <c r="K214" i="66"/>
  <c r="K43" i="66" s="1"/>
  <c r="I517" i="3" s="1"/>
  <c r="J214" i="66"/>
  <c r="J43" i="66" s="1"/>
  <c r="H517" i="3" s="1"/>
  <c r="I214" i="66"/>
  <c r="H214" i="66"/>
  <c r="H43" i="66" s="1"/>
  <c r="F517" i="3" s="1"/>
  <c r="G214" i="66"/>
  <c r="G43" i="66" s="1"/>
  <c r="E517" i="3" s="1"/>
  <c r="F214" i="66"/>
  <c r="F43" i="66" s="1"/>
  <c r="D517" i="3" s="1"/>
  <c r="E214" i="66"/>
  <c r="D214" i="66"/>
  <c r="D43" i="66" s="1"/>
  <c r="B517" i="3" s="1"/>
  <c r="O213" i="66"/>
  <c r="O41" i="66" s="1"/>
  <c r="M484" i="3" s="1"/>
  <c r="N213" i="66"/>
  <c r="N41" i="66" s="1"/>
  <c r="L484" i="3" s="1"/>
  <c r="M213" i="66"/>
  <c r="L213" i="66"/>
  <c r="L41" i="66" s="1"/>
  <c r="J484" i="3" s="1"/>
  <c r="K213" i="66"/>
  <c r="K41" i="66" s="1"/>
  <c r="I484" i="3" s="1"/>
  <c r="J213" i="66"/>
  <c r="J41" i="66" s="1"/>
  <c r="H484" i="3" s="1"/>
  <c r="I213" i="66"/>
  <c r="H213" i="66"/>
  <c r="G213" i="66"/>
  <c r="G41" i="66" s="1"/>
  <c r="E484" i="3" s="1"/>
  <c r="F213" i="66"/>
  <c r="F41" i="66" s="1"/>
  <c r="D484" i="3" s="1"/>
  <c r="E213" i="66"/>
  <c r="D213" i="66"/>
  <c r="D41" i="66" s="1"/>
  <c r="B484" i="3" s="1"/>
  <c r="O212" i="66"/>
  <c r="O13" i="66" s="1"/>
  <c r="M33" i="3" s="1"/>
  <c r="N212" i="66"/>
  <c r="N13" i="66" s="1"/>
  <c r="M212" i="66"/>
  <c r="L212" i="66"/>
  <c r="L13" i="66" s="1"/>
  <c r="K212" i="66"/>
  <c r="K13" i="66" s="1"/>
  <c r="I33" i="3" s="1"/>
  <c r="J212" i="66"/>
  <c r="J13" i="66" s="1"/>
  <c r="I212" i="66"/>
  <c r="H212" i="66"/>
  <c r="H13" i="66" s="1"/>
  <c r="F33" i="3" s="1"/>
  <c r="G212" i="66"/>
  <c r="G13" i="66" s="1"/>
  <c r="E33" i="3" s="1"/>
  <c r="F212" i="66"/>
  <c r="F13" i="66" s="1"/>
  <c r="E212" i="66"/>
  <c r="D212" i="66"/>
  <c r="D13" i="66" s="1"/>
  <c r="O188" i="66"/>
  <c r="O9" i="66" s="1"/>
  <c r="M225" i="2" s="1"/>
  <c r="Z225" i="2" s="1"/>
  <c r="N188" i="66"/>
  <c r="N9" i="66" s="1"/>
  <c r="L225" i="2" s="1"/>
  <c r="Y225" i="2" s="1"/>
  <c r="M188" i="66"/>
  <c r="L188" i="66"/>
  <c r="L9" i="66" s="1"/>
  <c r="J225" i="2" s="1"/>
  <c r="W225" i="2" s="1"/>
  <c r="K188" i="66"/>
  <c r="K9" i="66" s="1"/>
  <c r="I225" i="2" s="1"/>
  <c r="V225" i="2" s="1"/>
  <c r="J188" i="66"/>
  <c r="J9" i="66" s="1"/>
  <c r="H225" i="2" s="1"/>
  <c r="U225" i="2" s="1"/>
  <c r="I188" i="66"/>
  <c r="H188" i="66"/>
  <c r="G188" i="66"/>
  <c r="G9" i="66" s="1"/>
  <c r="E225" i="2" s="1"/>
  <c r="R225" i="2" s="1"/>
  <c r="F188" i="66"/>
  <c r="F9" i="66" s="1"/>
  <c r="D225" i="2" s="1"/>
  <c r="Q225" i="2" s="1"/>
  <c r="E188" i="66"/>
  <c r="D188" i="66"/>
  <c r="D9" i="66" s="1"/>
  <c r="B225" i="2" s="1"/>
  <c r="O225" i="2" s="1"/>
  <c r="O181" i="66"/>
  <c r="O39" i="66" s="1"/>
  <c r="M432" i="3" s="1"/>
  <c r="N181" i="66"/>
  <c r="N39" i="66" s="1"/>
  <c r="L432" i="3" s="1"/>
  <c r="M181" i="66"/>
  <c r="L181" i="66"/>
  <c r="L39" i="66" s="1"/>
  <c r="J432" i="3" s="1"/>
  <c r="K181" i="66"/>
  <c r="K39" i="66" s="1"/>
  <c r="I432" i="3" s="1"/>
  <c r="J181" i="66"/>
  <c r="J39" i="66" s="1"/>
  <c r="H432" i="3" s="1"/>
  <c r="I181" i="66"/>
  <c r="H181" i="66"/>
  <c r="H39" i="66" s="1"/>
  <c r="F432" i="3" s="1"/>
  <c r="G181" i="66"/>
  <c r="G39" i="66" s="1"/>
  <c r="E432" i="3" s="1"/>
  <c r="F181" i="66"/>
  <c r="F39" i="66" s="1"/>
  <c r="D432" i="3" s="1"/>
  <c r="E181" i="66"/>
  <c r="D181" i="66"/>
  <c r="O180" i="66"/>
  <c r="O37" i="66" s="1"/>
  <c r="M390" i="3" s="1"/>
  <c r="N180" i="66"/>
  <c r="N37" i="66" s="1"/>
  <c r="L390" i="3" s="1"/>
  <c r="M180" i="66"/>
  <c r="L180" i="66"/>
  <c r="L37" i="66" s="1"/>
  <c r="K180" i="66"/>
  <c r="K37" i="66" s="1"/>
  <c r="I390" i="3" s="1"/>
  <c r="J180" i="66"/>
  <c r="J37" i="66" s="1"/>
  <c r="H390" i="3" s="1"/>
  <c r="I180" i="66"/>
  <c r="H180" i="66"/>
  <c r="G180" i="66"/>
  <c r="G37" i="66" s="1"/>
  <c r="E390" i="3" s="1"/>
  <c r="F180" i="66"/>
  <c r="F37" i="66" s="1"/>
  <c r="D390" i="3" s="1"/>
  <c r="E180" i="66"/>
  <c r="D180" i="66"/>
  <c r="D37" i="66" s="1"/>
  <c r="B390" i="3" s="1"/>
  <c r="O179" i="66"/>
  <c r="O15" i="66" s="1"/>
  <c r="M55" i="3" s="1"/>
  <c r="N179" i="66"/>
  <c r="N15" i="66" s="1"/>
  <c r="L55" i="3" s="1"/>
  <c r="M179" i="66"/>
  <c r="L179" i="66"/>
  <c r="L15" i="66" s="1"/>
  <c r="J55" i="3" s="1"/>
  <c r="K179" i="66"/>
  <c r="K15" i="66" s="1"/>
  <c r="I55" i="3" s="1"/>
  <c r="J179" i="66"/>
  <c r="J15" i="66" s="1"/>
  <c r="H55" i="3" s="1"/>
  <c r="I179" i="66"/>
  <c r="H179" i="66"/>
  <c r="H15" i="66" s="1"/>
  <c r="F55" i="3" s="1"/>
  <c r="G179" i="66"/>
  <c r="G15" i="66" s="1"/>
  <c r="E55" i="3" s="1"/>
  <c r="F179" i="66"/>
  <c r="F15" i="66" s="1"/>
  <c r="D55" i="3" s="1"/>
  <c r="E179" i="66"/>
  <c r="D179" i="66"/>
  <c r="D15" i="66" s="1"/>
  <c r="B55" i="3" s="1"/>
  <c r="O155" i="66"/>
  <c r="O8" i="66" s="1"/>
  <c r="M224" i="2" s="1"/>
  <c r="Z224" i="2" s="1"/>
  <c r="N155" i="66"/>
  <c r="N8" i="66" s="1"/>
  <c r="L224" i="2" s="1"/>
  <c r="Y224" i="2" s="1"/>
  <c r="M155" i="66"/>
  <c r="L155" i="66"/>
  <c r="L8" i="66" s="1"/>
  <c r="J224" i="2" s="1"/>
  <c r="W224" i="2" s="1"/>
  <c r="K155" i="66"/>
  <c r="K8" i="66" s="1"/>
  <c r="I224" i="2" s="1"/>
  <c r="V224" i="2" s="1"/>
  <c r="J155" i="66"/>
  <c r="J8" i="66" s="1"/>
  <c r="H224" i="2" s="1"/>
  <c r="U224" i="2" s="1"/>
  <c r="I155" i="66"/>
  <c r="H155" i="66"/>
  <c r="H8" i="66" s="1"/>
  <c r="F224" i="2" s="1"/>
  <c r="S224" i="2" s="1"/>
  <c r="G155" i="66"/>
  <c r="G8" i="66" s="1"/>
  <c r="E224" i="2" s="1"/>
  <c r="R224" i="2" s="1"/>
  <c r="F155" i="66"/>
  <c r="F8" i="66" s="1"/>
  <c r="D224" i="2" s="1"/>
  <c r="Q224" i="2" s="1"/>
  <c r="E155" i="66"/>
  <c r="D155" i="66"/>
  <c r="D8" i="66" s="1"/>
  <c r="B224" i="2" s="1"/>
  <c r="O224" i="2" s="1"/>
  <c r="O148" i="66"/>
  <c r="O34" i="66" s="1"/>
  <c r="N148" i="66"/>
  <c r="N34" i="66" s="1"/>
  <c r="M148" i="66"/>
  <c r="L148" i="66"/>
  <c r="L34" i="66" s="1"/>
  <c r="K148" i="66"/>
  <c r="K34" i="66" s="1"/>
  <c r="J148" i="66"/>
  <c r="J34" i="66" s="1"/>
  <c r="I148" i="66"/>
  <c r="H148" i="66"/>
  <c r="G148" i="66"/>
  <c r="G34" i="66" s="1"/>
  <c r="F148" i="66"/>
  <c r="F34" i="66" s="1"/>
  <c r="E148" i="66"/>
  <c r="D148" i="66"/>
  <c r="O147" i="66"/>
  <c r="O31" i="66" s="1"/>
  <c r="M436" i="3" s="1"/>
  <c r="N147" i="66"/>
  <c r="N31" i="66" s="1"/>
  <c r="L436" i="3" s="1"/>
  <c r="M147" i="66"/>
  <c r="L147" i="66"/>
  <c r="L31" i="66" s="1"/>
  <c r="J436" i="3" s="1"/>
  <c r="K147" i="66"/>
  <c r="K31" i="66" s="1"/>
  <c r="I436" i="3" s="1"/>
  <c r="J147" i="66"/>
  <c r="J31" i="66" s="1"/>
  <c r="H436" i="3" s="1"/>
  <c r="I147" i="66"/>
  <c r="H147" i="66"/>
  <c r="H31" i="66" s="1"/>
  <c r="F436" i="3" s="1"/>
  <c r="G147" i="66"/>
  <c r="G31" i="66" s="1"/>
  <c r="E436" i="3" s="1"/>
  <c r="F147" i="66"/>
  <c r="F31" i="66" s="1"/>
  <c r="D436" i="3" s="1"/>
  <c r="E147" i="66"/>
  <c r="D147" i="66"/>
  <c r="D31" i="66" s="1"/>
  <c r="B436" i="3" s="1"/>
  <c r="O129" i="66"/>
  <c r="O7" i="66" s="1"/>
  <c r="M223" i="2" s="1"/>
  <c r="Z223" i="2" s="1"/>
  <c r="N129" i="66"/>
  <c r="N7" i="66" s="1"/>
  <c r="L223" i="2" s="1"/>
  <c r="Y223" i="2" s="1"/>
  <c r="M129" i="66"/>
  <c r="L129" i="66"/>
  <c r="L7" i="66" s="1"/>
  <c r="J223" i="2" s="1"/>
  <c r="W223" i="2" s="1"/>
  <c r="K129" i="66"/>
  <c r="K7" i="66" s="1"/>
  <c r="I223" i="2" s="1"/>
  <c r="V223" i="2" s="1"/>
  <c r="J129" i="66"/>
  <c r="J7" i="66" s="1"/>
  <c r="H223" i="2" s="1"/>
  <c r="U223" i="2" s="1"/>
  <c r="I129" i="66"/>
  <c r="H129" i="66"/>
  <c r="H7" i="66" s="1"/>
  <c r="F223" i="2" s="1"/>
  <c r="S223" i="2" s="1"/>
  <c r="G129" i="66"/>
  <c r="G7" i="66" s="1"/>
  <c r="E223" i="2" s="1"/>
  <c r="R223" i="2" s="1"/>
  <c r="F129" i="66"/>
  <c r="F7" i="66" s="1"/>
  <c r="D223" i="2" s="1"/>
  <c r="Q223" i="2" s="1"/>
  <c r="E129" i="66"/>
  <c r="D129" i="66"/>
  <c r="D7" i="66" s="1"/>
  <c r="B223" i="2" s="1"/>
  <c r="O223" i="2" s="1"/>
  <c r="O122" i="66"/>
  <c r="O29" i="66" s="1"/>
  <c r="M270" i="3" s="1"/>
  <c r="N122" i="66"/>
  <c r="N29" i="66" s="1"/>
  <c r="L270" i="3" s="1"/>
  <c r="M122" i="66"/>
  <c r="L122" i="66"/>
  <c r="L29" i="66" s="1"/>
  <c r="J270" i="3" s="1"/>
  <c r="K122" i="66"/>
  <c r="K29" i="66" s="1"/>
  <c r="I270" i="3" s="1"/>
  <c r="J122" i="66"/>
  <c r="J29" i="66" s="1"/>
  <c r="H270" i="3" s="1"/>
  <c r="I122" i="66"/>
  <c r="H122" i="66"/>
  <c r="H29" i="66" s="1"/>
  <c r="F270" i="3" s="1"/>
  <c r="G122" i="66"/>
  <c r="G29" i="66" s="1"/>
  <c r="E270" i="3" s="1"/>
  <c r="F122" i="66"/>
  <c r="F29" i="66" s="1"/>
  <c r="D270" i="3" s="1"/>
  <c r="E122" i="66"/>
  <c r="D122" i="66"/>
  <c r="D29" i="66" s="1"/>
  <c r="B270" i="3" s="1"/>
  <c r="O121" i="66"/>
  <c r="O27" i="66" s="1"/>
  <c r="M269" i="3" s="1"/>
  <c r="N121" i="66"/>
  <c r="N27" i="66" s="1"/>
  <c r="L269" i="3" s="1"/>
  <c r="M121" i="66"/>
  <c r="L121" i="66"/>
  <c r="L27" i="66" s="1"/>
  <c r="J269" i="3" s="1"/>
  <c r="K121" i="66"/>
  <c r="K27" i="66" s="1"/>
  <c r="I269" i="3" s="1"/>
  <c r="J121" i="66"/>
  <c r="J27" i="66" s="1"/>
  <c r="H269" i="3" s="1"/>
  <c r="I121" i="66"/>
  <c r="H121" i="66"/>
  <c r="H27" i="66" s="1"/>
  <c r="F269" i="3" s="1"/>
  <c r="G121" i="66"/>
  <c r="G27" i="66" s="1"/>
  <c r="E269" i="3" s="1"/>
  <c r="F121" i="66"/>
  <c r="F27" i="66" s="1"/>
  <c r="D269" i="3" s="1"/>
  <c r="E121" i="66"/>
  <c r="D121" i="66"/>
  <c r="D27" i="66" s="1"/>
  <c r="B269" i="3" s="1"/>
  <c r="O120" i="66"/>
  <c r="O25" i="66" s="1"/>
  <c r="M268" i="3" s="1"/>
  <c r="N120" i="66"/>
  <c r="N25" i="66" s="1"/>
  <c r="L268" i="3" s="1"/>
  <c r="M120" i="66"/>
  <c r="L120" i="66"/>
  <c r="L25" i="66" s="1"/>
  <c r="J268" i="3" s="1"/>
  <c r="K120" i="66"/>
  <c r="K25" i="66" s="1"/>
  <c r="I268" i="3" s="1"/>
  <c r="J120" i="66"/>
  <c r="J25" i="66" s="1"/>
  <c r="H268" i="3" s="1"/>
  <c r="I120" i="66"/>
  <c r="H120" i="66"/>
  <c r="H25" i="66" s="1"/>
  <c r="F268" i="3" s="1"/>
  <c r="G120" i="66"/>
  <c r="G25" i="66" s="1"/>
  <c r="E268" i="3" s="1"/>
  <c r="F120" i="66"/>
  <c r="F25" i="66" s="1"/>
  <c r="D268" i="3" s="1"/>
  <c r="E120" i="66"/>
  <c r="D120" i="66"/>
  <c r="D25" i="66" s="1"/>
  <c r="B268" i="3" s="1"/>
  <c r="O119" i="66"/>
  <c r="O23" i="66" s="1"/>
  <c r="M267" i="3" s="1"/>
  <c r="N119" i="66"/>
  <c r="N23" i="66" s="1"/>
  <c r="L267" i="3" s="1"/>
  <c r="M119" i="66"/>
  <c r="L119" i="66"/>
  <c r="L23" i="66" s="1"/>
  <c r="J267" i="3" s="1"/>
  <c r="K119" i="66"/>
  <c r="K23" i="66" s="1"/>
  <c r="I267" i="3" s="1"/>
  <c r="J119" i="66"/>
  <c r="J23" i="66" s="1"/>
  <c r="H267" i="3" s="1"/>
  <c r="I119" i="66"/>
  <c r="H119" i="66"/>
  <c r="H23" i="66" s="1"/>
  <c r="F267" i="3" s="1"/>
  <c r="G119" i="66"/>
  <c r="G23" i="66" s="1"/>
  <c r="E267" i="3" s="1"/>
  <c r="F119" i="66"/>
  <c r="F23" i="66" s="1"/>
  <c r="D267" i="3" s="1"/>
  <c r="E119" i="66"/>
  <c r="D119" i="66"/>
  <c r="D23" i="66" s="1"/>
  <c r="B267" i="3" s="1"/>
  <c r="O118" i="66"/>
  <c r="O18" i="66" s="1"/>
  <c r="N118" i="66"/>
  <c r="N18" i="66" s="1"/>
  <c r="M118" i="66"/>
  <c r="L118" i="66"/>
  <c r="L18" i="66" s="1"/>
  <c r="K118" i="66"/>
  <c r="K18" i="66" s="1"/>
  <c r="J118" i="66"/>
  <c r="J18" i="66" s="1"/>
  <c r="I118" i="66"/>
  <c r="H118" i="66"/>
  <c r="H18" i="66" s="1"/>
  <c r="G118" i="66"/>
  <c r="G18" i="66" s="1"/>
  <c r="F118" i="66"/>
  <c r="F18" i="66" s="1"/>
  <c r="E118" i="66"/>
  <c r="D118" i="66"/>
  <c r="D18" i="66" s="1"/>
  <c r="O86" i="66"/>
  <c r="O6" i="66" s="1"/>
  <c r="M222" i="2" s="1"/>
  <c r="Z222" i="2" s="1"/>
  <c r="N86" i="66"/>
  <c r="N6" i="66" s="1"/>
  <c r="L222" i="2" s="1"/>
  <c r="Y222" i="2" s="1"/>
  <c r="M86" i="66"/>
  <c r="L86" i="66"/>
  <c r="L6" i="66" s="1"/>
  <c r="J222" i="2" s="1"/>
  <c r="W222" i="2" s="1"/>
  <c r="K86" i="66"/>
  <c r="K6" i="66" s="1"/>
  <c r="I222" i="2" s="1"/>
  <c r="V222" i="2" s="1"/>
  <c r="J86" i="66"/>
  <c r="J6" i="66" s="1"/>
  <c r="H222" i="2" s="1"/>
  <c r="U222" i="2" s="1"/>
  <c r="I86" i="66"/>
  <c r="H86" i="66"/>
  <c r="G86" i="66"/>
  <c r="G6" i="66" s="1"/>
  <c r="E222" i="2" s="1"/>
  <c r="R222" i="2" s="1"/>
  <c r="F86" i="66"/>
  <c r="F6" i="66" s="1"/>
  <c r="D222" i="2" s="1"/>
  <c r="Q222" i="2" s="1"/>
  <c r="E86" i="66"/>
  <c r="D86" i="66"/>
  <c r="D6" i="66" s="1"/>
  <c r="B222" i="2" s="1"/>
  <c r="O222" i="2" s="1"/>
  <c r="O79" i="66"/>
  <c r="O33" i="66" s="1"/>
  <c r="N79" i="66"/>
  <c r="N33" i="66" s="1"/>
  <c r="N35" i="66" s="1"/>
  <c r="L437" i="3" s="1"/>
  <c r="M79" i="66"/>
  <c r="L79" i="66"/>
  <c r="K79" i="66"/>
  <c r="K33" i="66" s="1"/>
  <c r="J79" i="66"/>
  <c r="J33" i="66" s="1"/>
  <c r="J35" i="66" s="1"/>
  <c r="H437" i="3" s="1"/>
  <c r="I79" i="66"/>
  <c r="H79" i="66"/>
  <c r="G79" i="66"/>
  <c r="G33" i="66" s="1"/>
  <c r="F79" i="66"/>
  <c r="F33" i="66" s="1"/>
  <c r="F35" i="66" s="1"/>
  <c r="D437" i="3" s="1"/>
  <c r="E79" i="66"/>
  <c r="D79" i="66"/>
  <c r="O78" i="66"/>
  <c r="O21" i="66" s="1"/>
  <c r="M249" i="3" s="1"/>
  <c r="N78" i="66"/>
  <c r="N21" i="66" s="1"/>
  <c r="L249" i="3" s="1"/>
  <c r="M78" i="66"/>
  <c r="L78" i="66"/>
  <c r="L21" i="66" s="1"/>
  <c r="J249" i="3" s="1"/>
  <c r="K78" i="66"/>
  <c r="K21" i="66" s="1"/>
  <c r="I249" i="3" s="1"/>
  <c r="J78" i="66"/>
  <c r="J21" i="66" s="1"/>
  <c r="H249" i="3" s="1"/>
  <c r="I78" i="66"/>
  <c r="H78" i="66"/>
  <c r="H21" i="66" s="1"/>
  <c r="F249" i="3" s="1"/>
  <c r="G78" i="66"/>
  <c r="G21" i="66" s="1"/>
  <c r="E249" i="3" s="1"/>
  <c r="F78" i="66"/>
  <c r="F21" i="66" s="1"/>
  <c r="D249" i="3" s="1"/>
  <c r="E78" i="66"/>
  <c r="D78" i="66"/>
  <c r="D21" i="66" s="1"/>
  <c r="B249" i="3" s="1"/>
  <c r="O77" i="66"/>
  <c r="O17" i="66" s="1"/>
  <c r="N77" i="66"/>
  <c r="N17" i="66" s="1"/>
  <c r="N19" i="66" s="1"/>
  <c r="L182" i="3" s="1"/>
  <c r="M77" i="66"/>
  <c r="L77" i="66"/>
  <c r="L17" i="66" s="1"/>
  <c r="L19" i="66" s="1"/>
  <c r="J182" i="3" s="1"/>
  <c r="K77" i="66"/>
  <c r="K17" i="66" s="1"/>
  <c r="J77" i="66"/>
  <c r="J17" i="66" s="1"/>
  <c r="J19" i="66" s="1"/>
  <c r="H182" i="3" s="1"/>
  <c r="I77" i="66"/>
  <c r="H77" i="66"/>
  <c r="H17" i="66" s="1"/>
  <c r="H19" i="66" s="1"/>
  <c r="F182" i="3" s="1"/>
  <c r="G77" i="66"/>
  <c r="G17" i="66" s="1"/>
  <c r="F77" i="66"/>
  <c r="F17" i="66" s="1"/>
  <c r="F19" i="66" s="1"/>
  <c r="D182" i="3" s="1"/>
  <c r="E77" i="66"/>
  <c r="D77" i="66"/>
  <c r="D17" i="66" s="1"/>
  <c r="D19" i="66" s="1"/>
  <c r="B182" i="3" s="1"/>
  <c r="O74" i="66"/>
  <c r="N74" i="66"/>
  <c r="M74" i="66"/>
  <c r="L74" i="66"/>
  <c r="K74" i="66"/>
  <c r="J74" i="66"/>
  <c r="I74" i="66"/>
  <c r="H74" i="66"/>
  <c r="G74" i="66"/>
  <c r="F74" i="66"/>
  <c r="E74" i="66"/>
  <c r="D74" i="66"/>
  <c r="O64" i="66"/>
  <c r="N64" i="66"/>
  <c r="M64" i="66"/>
  <c r="L64" i="66"/>
  <c r="K64" i="66"/>
  <c r="J64" i="66"/>
  <c r="I64" i="66"/>
  <c r="H64" i="66"/>
  <c r="G64" i="66"/>
  <c r="F64" i="66"/>
  <c r="E64" i="66"/>
  <c r="D64" i="66"/>
  <c r="O56" i="66"/>
  <c r="O5" i="66" s="1"/>
  <c r="N56" i="66"/>
  <c r="N5" i="66" s="1"/>
  <c r="N3" i="66" s="1"/>
  <c r="N11" i="66" s="1"/>
  <c r="M56" i="66"/>
  <c r="L56" i="66"/>
  <c r="L5" i="66" s="1"/>
  <c r="J221" i="2" s="1"/>
  <c r="K56" i="66"/>
  <c r="K5" i="66" s="1"/>
  <c r="I221" i="2" s="1"/>
  <c r="J56" i="66"/>
  <c r="J5" i="66" s="1"/>
  <c r="J3" i="66" s="1"/>
  <c r="J11" i="66" s="1"/>
  <c r="I56" i="66"/>
  <c r="H56" i="66"/>
  <c r="H5" i="66" s="1"/>
  <c r="F221" i="2" s="1"/>
  <c r="G56" i="66"/>
  <c r="G5" i="66" s="1"/>
  <c r="E221" i="2" s="1"/>
  <c r="F56" i="66"/>
  <c r="F5" i="66" s="1"/>
  <c r="F3" i="66" s="1"/>
  <c r="F11" i="66" s="1"/>
  <c r="E56" i="66"/>
  <c r="D56" i="66"/>
  <c r="D5" i="66" s="1"/>
  <c r="B221" i="2" s="1"/>
  <c r="O45" i="66"/>
  <c r="M518" i="3" s="1"/>
  <c r="M45" i="66"/>
  <c r="K518" i="3" s="1"/>
  <c r="I45" i="66"/>
  <c r="G518" i="3" s="1"/>
  <c r="E45" i="66"/>
  <c r="C518" i="3" s="1"/>
  <c r="O43" i="66"/>
  <c r="M517" i="3" s="1"/>
  <c r="M43" i="66"/>
  <c r="I43" i="66"/>
  <c r="G517" i="3" s="1"/>
  <c r="E43" i="66"/>
  <c r="C517" i="3" s="1"/>
  <c r="M41" i="66"/>
  <c r="I41" i="66"/>
  <c r="H41" i="66"/>
  <c r="E41" i="66"/>
  <c r="C484" i="3" s="1"/>
  <c r="M39" i="66"/>
  <c r="K432" i="3" s="1"/>
  <c r="I39" i="66"/>
  <c r="G432" i="3" s="1"/>
  <c r="E39" i="66"/>
  <c r="D39" i="66"/>
  <c r="M37" i="66"/>
  <c r="K390" i="3" s="1"/>
  <c r="I37" i="66"/>
  <c r="G390" i="3" s="1"/>
  <c r="H37" i="66"/>
  <c r="F390" i="3" s="1"/>
  <c r="E37" i="66"/>
  <c r="M34" i="66"/>
  <c r="I34" i="66"/>
  <c r="H34" i="66"/>
  <c r="E34" i="66"/>
  <c r="D34" i="66"/>
  <c r="M33" i="66"/>
  <c r="L33" i="66"/>
  <c r="I33" i="66"/>
  <c r="H33" i="66"/>
  <c r="E33" i="66"/>
  <c r="D33" i="66"/>
  <c r="M31" i="66"/>
  <c r="K436" i="3" s="1"/>
  <c r="I31" i="66"/>
  <c r="G436" i="3" s="1"/>
  <c r="E31" i="66"/>
  <c r="M29" i="66"/>
  <c r="K270" i="3" s="1"/>
  <c r="I29" i="66"/>
  <c r="E29" i="66"/>
  <c r="C270" i="3" s="1"/>
  <c r="M27" i="66"/>
  <c r="I27" i="66"/>
  <c r="E27" i="66"/>
  <c r="C269" i="3" s="1"/>
  <c r="M25" i="66"/>
  <c r="K268" i="3" s="1"/>
  <c r="I25" i="66"/>
  <c r="G268" i="3" s="1"/>
  <c r="E25" i="66"/>
  <c r="C268" i="3" s="1"/>
  <c r="M23" i="66"/>
  <c r="I23" i="66"/>
  <c r="G267" i="3" s="1"/>
  <c r="E23" i="66"/>
  <c r="C267" i="3" s="1"/>
  <c r="M21" i="66"/>
  <c r="I21" i="66"/>
  <c r="E21" i="66"/>
  <c r="M18" i="66"/>
  <c r="I18" i="66"/>
  <c r="E18" i="66"/>
  <c r="M17" i="66"/>
  <c r="I17" i="66"/>
  <c r="E17" i="66"/>
  <c r="M15" i="66"/>
  <c r="I15" i="66"/>
  <c r="E15" i="66"/>
  <c r="M13" i="66"/>
  <c r="K33" i="3" s="1"/>
  <c r="I13" i="66"/>
  <c r="E13" i="66"/>
  <c r="C33" i="3" s="1"/>
  <c r="M9" i="66"/>
  <c r="I9" i="66"/>
  <c r="H9" i="66"/>
  <c r="E9" i="66"/>
  <c r="M8" i="66"/>
  <c r="K224" i="2" s="1"/>
  <c r="X224" i="2" s="1"/>
  <c r="I8" i="66"/>
  <c r="E8" i="66"/>
  <c r="M7" i="66"/>
  <c r="K223" i="2" s="1"/>
  <c r="X223" i="2" s="1"/>
  <c r="I7" i="66"/>
  <c r="G223" i="2" s="1"/>
  <c r="T223" i="2" s="1"/>
  <c r="E7" i="66"/>
  <c r="M6" i="66"/>
  <c r="I6" i="66"/>
  <c r="G222" i="2" s="1"/>
  <c r="T222" i="2" s="1"/>
  <c r="H6" i="66"/>
  <c r="F222" i="2" s="1"/>
  <c r="S222" i="2" s="1"/>
  <c r="E6" i="66"/>
  <c r="M5" i="66"/>
  <c r="K221" i="2" s="1"/>
  <c r="I5" i="66"/>
  <c r="E5" i="66"/>
  <c r="C221" i="2" s="1"/>
  <c r="O274" i="64"/>
  <c r="O20" i="64" s="1"/>
  <c r="N274" i="64"/>
  <c r="N20" i="64" s="1"/>
  <c r="M274" i="64"/>
  <c r="M20" i="64" s="1"/>
  <c r="L274" i="64"/>
  <c r="L20" i="64" s="1"/>
  <c r="K274" i="64"/>
  <c r="K20" i="64" s="1"/>
  <c r="J274" i="64"/>
  <c r="J20" i="64" s="1"/>
  <c r="I274" i="64"/>
  <c r="I20" i="64" s="1"/>
  <c r="H274" i="64"/>
  <c r="G274" i="64"/>
  <c r="F274" i="64"/>
  <c r="F20" i="64" s="1"/>
  <c r="E274" i="64"/>
  <c r="E20" i="64" s="1"/>
  <c r="D274" i="64"/>
  <c r="D20" i="64" s="1"/>
  <c r="O252" i="64"/>
  <c r="N252" i="64"/>
  <c r="N11" i="64" s="1"/>
  <c r="L97" i="2" s="1"/>
  <c r="Y97" i="2" s="1"/>
  <c r="M252" i="64"/>
  <c r="M11" i="64" s="1"/>
  <c r="K97" i="2" s="1"/>
  <c r="X97" i="2" s="1"/>
  <c r="L252" i="64"/>
  <c r="L11" i="64" s="1"/>
  <c r="J97" i="2" s="1"/>
  <c r="W97" i="2" s="1"/>
  <c r="K252" i="64"/>
  <c r="J252" i="64"/>
  <c r="J11" i="64" s="1"/>
  <c r="H97" i="2" s="1"/>
  <c r="U97" i="2" s="1"/>
  <c r="I252" i="64"/>
  <c r="I11" i="64" s="1"/>
  <c r="G97" i="2" s="1"/>
  <c r="T97" i="2" s="1"/>
  <c r="H252" i="64"/>
  <c r="H11" i="64" s="1"/>
  <c r="F97" i="2" s="1"/>
  <c r="S97" i="2" s="1"/>
  <c r="G252" i="64"/>
  <c r="G11" i="64" s="1"/>
  <c r="E97" i="2" s="1"/>
  <c r="R97" i="2" s="1"/>
  <c r="F252" i="64"/>
  <c r="F11" i="64" s="1"/>
  <c r="D97" i="2" s="1"/>
  <c r="Q97" i="2" s="1"/>
  <c r="E252" i="64"/>
  <c r="E11" i="64" s="1"/>
  <c r="C97" i="2" s="1"/>
  <c r="P97" i="2" s="1"/>
  <c r="D252" i="64"/>
  <c r="D11" i="64" s="1"/>
  <c r="B97" i="2" s="1"/>
  <c r="O97" i="2" s="1"/>
  <c r="O245" i="64"/>
  <c r="N245" i="64"/>
  <c r="N36" i="64" s="1"/>
  <c r="M245" i="64"/>
  <c r="M36" i="64" s="1"/>
  <c r="L245" i="64"/>
  <c r="L36" i="64" s="1"/>
  <c r="K245" i="64"/>
  <c r="K36" i="64" s="1"/>
  <c r="J245" i="64"/>
  <c r="J36" i="64" s="1"/>
  <c r="I245" i="64"/>
  <c r="I36" i="64" s="1"/>
  <c r="H245" i="64"/>
  <c r="G245" i="64"/>
  <c r="G36" i="64" s="1"/>
  <c r="F245" i="64"/>
  <c r="F36" i="64" s="1"/>
  <c r="E245" i="64"/>
  <c r="E36" i="64" s="1"/>
  <c r="D245" i="64"/>
  <c r="D36" i="64" s="1"/>
  <c r="O244" i="64"/>
  <c r="O32" i="64" s="1"/>
  <c r="N244" i="64"/>
  <c r="N32" i="64" s="1"/>
  <c r="M244" i="64"/>
  <c r="M32" i="64" s="1"/>
  <c r="L244" i="64"/>
  <c r="L32" i="64" s="1"/>
  <c r="K244" i="64"/>
  <c r="K32" i="64" s="1"/>
  <c r="J244" i="64"/>
  <c r="J32" i="64" s="1"/>
  <c r="I244" i="64"/>
  <c r="I32" i="64" s="1"/>
  <c r="H244" i="64"/>
  <c r="G244" i="64"/>
  <c r="F244" i="64"/>
  <c r="F32" i="64" s="1"/>
  <c r="E244" i="64"/>
  <c r="E32" i="64" s="1"/>
  <c r="D244" i="64"/>
  <c r="D32" i="64" s="1"/>
  <c r="O243" i="64"/>
  <c r="O23" i="64" s="1"/>
  <c r="M188" i="3" s="1"/>
  <c r="N243" i="64"/>
  <c r="N23" i="64" s="1"/>
  <c r="L188" i="3" s="1"/>
  <c r="M243" i="64"/>
  <c r="M23" i="64" s="1"/>
  <c r="K188" i="3" s="1"/>
  <c r="L243" i="64"/>
  <c r="L23" i="64" s="1"/>
  <c r="J188" i="3" s="1"/>
  <c r="K243" i="64"/>
  <c r="J243" i="64"/>
  <c r="J23" i="64" s="1"/>
  <c r="H188" i="3" s="1"/>
  <c r="I243" i="64"/>
  <c r="I23" i="64" s="1"/>
  <c r="G188" i="3" s="1"/>
  <c r="H243" i="64"/>
  <c r="H23" i="64" s="1"/>
  <c r="F188" i="3" s="1"/>
  <c r="G243" i="64"/>
  <c r="G23" i="64" s="1"/>
  <c r="E188" i="3" s="1"/>
  <c r="F243" i="64"/>
  <c r="F23" i="64" s="1"/>
  <c r="D188" i="3" s="1"/>
  <c r="E243" i="64"/>
  <c r="E23" i="64" s="1"/>
  <c r="C188" i="3" s="1"/>
  <c r="D243" i="64"/>
  <c r="O228" i="64"/>
  <c r="N228" i="64"/>
  <c r="M228" i="64"/>
  <c r="L228" i="64"/>
  <c r="K228" i="64"/>
  <c r="J228" i="64"/>
  <c r="I228" i="64"/>
  <c r="H228" i="64"/>
  <c r="G228" i="64"/>
  <c r="F228" i="64"/>
  <c r="E228" i="64"/>
  <c r="D228" i="64"/>
  <c r="O221" i="64"/>
  <c r="N221" i="64"/>
  <c r="M221" i="64"/>
  <c r="L221" i="64"/>
  <c r="K221" i="64"/>
  <c r="J221" i="64"/>
  <c r="I221" i="64"/>
  <c r="H221" i="64"/>
  <c r="G221" i="64"/>
  <c r="F221" i="64"/>
  <c r="E221" i="64"/>
  <c r="D221" i="64"/>
  <c r="O210" i="64"/>
  <c r="N210" i="64"/>
  <c r="M210" i="64"/>
  <c r="L210" i="64"/>
  <c r="K210" i="64"/>
  <c r="J210" i="64"/>
  <c r="I210" i="64"/>
  <c r="H210" i="64"/>
  <c r="G210" i="64"/>
  <c r="F210" i="64"/>
  <c r="E210" i="64"/>
  <c r="D210" i="64"/>
  <c r="O205" i="64"/>
  <c r="O10" i="64" s="1"/>
  <c r="M96" i="2" s="1"/>
  <c r="Z96" i="2" s="1"/>
  <c r="N205" i="64"/>
  <c r="N10" i="64" s="1"/>
  <c r="L96" i="2" s="1"/>
  <c r="Y96" i="2" s="1"/>
  <c r="M205" i="64"/>
  <c r="M10" i="64" s="1"/>
  <c r="K96" i="2" s="1"/>
  <c r="X96" i="2" s="1"/>
  <c r="L205" i="64"/>
  <c r="L10" i="64" s="1"/>
  <c r="J96" i="2" s="1"/>
  <c r="W96" i="2" s="1"/>
  <c r="K205" i="64"/>
  <c r="K10" i="64" s="1"/>
  <c r="I96" i="2" s="1"/>
  <c r="V96" i="2" s="1"/>
  <c r="J205" i="64"/>
  <c r="J10" i="64" s="1"/>
  <c r="H96" i="2" s="1"/>
  <c r="U96" i="2" s="1"/>
  <c r="I205" i="64"/>
  <c r="I10" i="64" s="1"/>
  <c r="G96" i="2" s="1"/>
  <c r="T96" i="2" s="1"/>
  <c r="H205" i="64"/>
  <c r="G205" i="64"/>
  <c r="F205" i="64"/>
  <c r="F10" i="64" s="1"/>
  <c r="D96" i="2" s="1"/>
  <c r="Q96" i="2" s="1"/>
  <c r="E205" i="64"/>
  <c r="E10" i="64" s="1"/>
  <c r="C96" i="2" s="1"/>
  <c r="P96" i="2" s="1"/>
  <c r="D205" i="64"/>
  <c r="D10" i="64" s="1"/>
  <c r="O198" i="64"/>
  <c r="O35" i="64" s="1"/>
  <c r="N198" i="64"/>
  <c r="N35" i="64" s="1"/>
  <c r="N37" i="64" s="1"/>
  <c r="L413" i="3" s="1"/>
  <c r="M198" i="64"/>
  <c r="M35" i="64" s="1"/>
  <c r="L198" i="64"/>
  <c r="L35" i="64" s="1"/>
  <c r="K198" i="64"/>
  <c r="J198" i="64"/>
  <c r="J35" i="64" s="1"/>
  <c r="J37" i="64" s="1"/>
  <c r="H413" i="3" s="1"/>
  <c r="I198" i="64"/>
  <c r="I35" i="64" s="1"/>
  <c r="H198" i="64"/>
  <c r="H35" i="64" s="1"/>
  <c r="G198" i="64"/>
  <c r="G35" i="64" s="1"/>
  <c r="F198" i="64"/>
  <c r="F35" i="64" s="1"/>
  <c r="F37" i="64" s="1"/>
  <c r="D413" i="3" s="1"/>
  <c r="E198" i="64"/>
  <c r="E35" i="64" s="1"/>
  <c r="D198" i="64"/>
  <c r="O178" i="64"/>
  <c r="O9" i="64" s="1"/>
  <c r="M95" i="2" s="1"/>
  <c r="Z95" i="2" s="1"/>
  <c r="N178" i="64"/>
  <c r="N9" i="64" s="1"/>
  <c r="L95" i="2" s="1"/>
  <c r="Y95" i="2" s="1"/>
  <c r="M178" i="64"/>
  <c r="M9" i="64" s="1"/>
  <c r="K95" i="2" s="1"/>
  <c r="X95" i="2" s="1"/>
  <c r="L178" i="64"/>
  <c r="K178" i="64"/>
  <c r="K9" i="64" s="1"/>
  <c r="I95" i="2" s="1"/>
  <c r="V95" i="2" s="1"/>
  <c r="J178" i="64"/>
  <c r="J9" i="64" s="1"/>
  <c r="H95" i="2" s="1"/>
  <c r="U95" i="2" s="1"/>
  <c r="I178" i="64"/>
  <c r="I9" i="64" s="1"/>
  <c r="G95" i="2" s="1"/>
  <c r="T95" i="2" s="1"/>
  <c r="H178" i="64"/>
  <c r="G178" i="64"/>
  <c r="G9" i="64" s="1"/>
  <c r="E95" i="2" s="1"/>
  <c r="R95" i="2" s="1"/>
  <c r="F178" i="64"/>
  <c r="F9" i="64" s="1"/>
  <c r="D95" i="2" s="1"/>
  <c r="Q95" i="2" s="1"/>
  <c r="E178" i="64"/>
  <c r="E9" i="64" s="1"/>
  <c r="C95" i="2" s="1"/>
  <c r="P95" i="2" s="1"/>
  <c r="D178" i="64"/>
  <c r="D9" i="64" s="1"/>
  <c r="O171" i="64"/>
  <c r="O31" i="64" s="1"/>
  <c r="N171" i="64"/>
  <c r="N31" i="64" s="1"/>
  <c r="N33" i="64" s="1"/>
  <c r="L403" i="3" s="1"/>
  <c r="M171" i="64"/>
  <c r="M31" i="64" s="1"/>
  <c r="L171" i="64"/>
  <c r="K171" i="64"/>
  <c r="K31" i="64" s="1"/>
  <c r="K33" i="64" s="1"/>
  <c r="I403" i="3" s="1"/>
  <c r="J171" i="64"/>
  <c r="J31" i="64" s="1"/>
  <c r="J33" i="64" s="1"/>
  <c r="H403" i="3" s="1"/>
  <c r="I171" i="64"/>
  <c r="I31" i="64" s="1"/>
  <c r="H171" i="64"/>
  <c r="H31" i="64" s="1"/>
  <c r="G171" i="64"/>
  <c r="G31" i="64" s="1"/>
  <c r="F171" i="64"/>
  <c r="F31" i="64" s="1"/>
  <c r="F33" i="64" s="1"/>
  <c r="D403" i="3" s="1"/>
  <c r="E171" i="64"/>
  <c r="E31" i="64" s="1"/>
  <c r="D171" i="64"/>
  <c r="D31" i="64" s="1"/>
  <c r="O170" i="64"/>
  <c r="O26" i="64" s="1"/>
  <c r="N170" i="64"/>
  <c r="N26" i="64" s="1"/>
  <c r="M170" i="64"/>
  <c r="M26" i="64" s="1"/>
  <c r="L170" i="64"/>
  <c r="K170" i="64"/>
  <c r="K26" i="64" s="1"/>
  <c r="J170" i="64"/>
  <c r="J26" i="64" s="1"/>
  <c r="I170" i="64"/>
  <c r="I26" i="64" s="1"/>
  <c r="H170" i="64"/>
  <c r="H26" i="64" s="1"/>
  <c r="G170" i="64"/>
  <c r="G26" i="64" s="1"/>
  <c r="F170" i="64"/>
  <c r="F26" i="64" s="1"/>
  <c r="E170" i="64"/>
  <c r="E26" i="64" s="1"/>
  <c r="D170" i="64"/>
  <c r="D26" i="64" s="1"/>
  <c r="O142" i="64"/>
  <c r="N142" i="64"/>
  <c r="N8" i="64" s="1"/>
  <c r="L94" i="2" s="1"/>
  <c r="Y94" i="2" s="1"/>
  <c r="M142" i="64"/>
  <c r="M8" i="64" s="1"/>
  <c r="K94" i="2" s="1"/>
  <c r="X94" i="2" s="1"/>
  <c r="L142" i="64"/>
  <c r="L8" i="64" s="1"/>
  <c r="J94" i="2" s="1"/>
  <c r="W94" i="2" s="1"/>
  <c r="K142" i="64"/>
  <c r="K8" i="64" s="1"/>
  <c r="I94" i="2" s="1"/>
  <c r="V94" i="2" s="1"/>
  <c r="J142" i="64"/>
  <c r="J8" i="64" s="1"/>
  <c r="H94" i="2" s="1"/>
  <c r="U94" i="2" s="1"/>
  <c r="I142" i="64"/>
  <c r="I8" i="64" s="1"/>
  <c r="G94" i="2" s="1"/>
  <c r="T94" i="2" s="1"/>
  <c r="H142" i="64"/>
  <c r="H8" i="64" s="1"/>
  <c r="F94" i="2" s="1"/>
  <c r="S94" i="2" s="1"/>
  <c r="G142" i="64"/>
  <c r="G8" i="64" s="1"/>
  <c r="E94" i="2" s="1"/>
  <c r="R94" i="2" s="1"/>
  <c r="F142" i="64"/>
  <c r="F8" i="64" s="1"/>
  <c r="D94" i="2" s="1"/>
  <c r="Q94" i="2" s="1"/>
  <c r="E142" i="64"/>
  <c r="E8" i="64" s="1"/>
  <c r="C94" i="2" s="1"/>
  <c r="P94" i="2" s="1"/>
  <c r="D142" i="64"/>
  <c r="O135" i="64"/>
  <c r="O25" i="64" s="1"/>
  <c r="O27" i="64" s="1"/>
  <c r="M266" i="3" s="1"/>
  <c r="N135" i="64"/>
  <c r="N25" i="64" s="1"/>
  <c r="N27" i="64" s="1"/>
  <c r="L266" i="3" s="1"/>
  <c r="M135" i="64"/>
  <c r="M25" i="64" s="1"/>
  <c r="L135" i="64"/>
  <c r="L25" i="64" s="1"/>
  <c r="K135" i="64"/>
  <c r="K25" i="64" s="1"/>
  <c r="K27" i="64" s="1"/>
  <c r="I266" i="3" s="1"/>
  <c r="J135" i="64"/>
  <c r="J25" i="64" s="1"/>
  <c r="J27" i="64" s="1"/>
  <c r="H266" i="3" s="1"/>
  <c r="I135" i="64"/>
  <c r="I25" i="64" s="1"/>
  <c r="H135" i="64"/>
  <c r="G135" i="64"/>
  <c r="G25" i="64" s="1"/>
  <c r="F135" i="64"/>
  <c r="F25" i="64" s="1"/>
  <c r="F27" i="64" s="1"/>
  <c r="D266" i="3" s="1"/>
  <c r="E135" i="64"/>
  <c r="E25" i="64" s="1"/>
  <c r="D135" i="64"/>
  <c r="D25" i="64" s="1"/>
  <c r="O122" i="64"/>
  <c r="O7" i="64" s="1"/>
  <c r="M93" i="2" s="1"/>
  <c r="Z93" i="2" s="1"/>
  <c r="N122" i="64"/>
  <c r="N7" i="64" s="1"/>
  <c r="L93" i="2" s="1"/>
  <c r="Y93" i="2" s="1"/>
  <c r="M122" i="64"/>
  <c r="M7" i="64" s="1"/>
  <c r="K93" i="2" s="1"/>
  <c r="X93" i="2" s="1"/>
  <c r="L122" i="64"/>
  <c r="L7" i="64" s="1"/>
  <c r="J93" i="2" s="1"/>
  <c r="W93" i="2" s="1"/>
  <c r="K122" i="64"/>
  <c r="K7" i="64" s="1"/>
  <c r="I93" i="2" s="1"/>
  <c r="V93" i="2" s="1"/>
  <c r="J122" i="64"/>
  <c r="J7" i="64" s="1"/>
  <c r="H93" i="2" s="1"/>
  <c r="U93" i="2" s="1"/>
  <c r="I122" i="64"/>
  <c r="I7" i="64" s="1"/>
  <c r="G93" i="2" s="1"/>
  <c r="T93" i="2" s="1"/>
  <c r="H122" i="64"/>
  <c r="H7" i="64" s="1"/>
  <c r="F93" i="2" s="1"/>
  <c r="S93" i="2" s="1"/>
  <c r="G122" i="64"/>
  <c r="G7" i="64" s="1"/>
  <c r="E93" i="2" s="1"/>
  <c r="R93" i="2" s="1"/>
  <c r="F122" i="64"/>
  <c r="F7" i="64" s="1"/>
  <c r="D93" i="2" s="1"/>
  <c r="Q93" i="2" s="1"/>
  <c r="E122" i="64"/>
  <c r="E7" i="64" s="1"/>
  <c r="C93" i="2" s="1"/>
  <c r="P93" i="2" s="1"/>
  <c r="D122" i="64"/>
  <c r="D7" i="64" s="1"/>
  <c r="B93" i="2" s="1"/>
  <c r="O93" i="2" s="1"/>
  <c r="O29" i="64"/>
  <c r="M272" i="3" s="1"/>
  <c r="N29" i="64"/>
  <c r="L272" i="3" s="1"/>
  <c r="M29" i="64"/>
  <c r="K272" i="3" s="1"/>
  <c r="K29" i="64"/>
  <c r="I272" i="3" s="1"/>
  <c r="J29" i="64"/>
  <c r="H272" i="3" s="1"/>
  <c r="H29" i="64"/>
  <c r="F272" i="3" s="1"/>
  <c r="G29" i="64"/>
  <c r="E272" i="3" s="1"/>
  <c r="F29" i="64"/>
  <c r="D272" i="3" s="1"/>
  <c r="O114" i="64"/>
  <c r="O19" i="64" s="1"/>
  <c r="N114" i="64"/>
  <c r="N19" i="64" s="1"/>
  <c r="N21" i="64" s="1"/>
  <c r="L181" i="3" s="1"/>
  <c r="M114" i="64"/>
  <c r="M19" i="64" s="1"/>
  <c r="L114" i="64"/>
  <c r="L19" i="64" s="1"/>
  <c r="K114" i="64"/>
  <c r="J114" i="64"/>
  <c r="J19" i="64" s="1"/>
  <c r="J21" i="64" s="1"/>
  <c r="H181" i="3" s="1"/>
  <c r="I114" i="64"/>
  <c r="I19" i="64" s="1"/>
  <c r="H114" i="64"/>
  <c r="H19" i="64" s="1"/>
  <c r="G114" i="64"/>
  <c r="G19" i="64" s="1"/>
  <c r="F114" i="64"/>
  <c r="F19" i="64" s="1"/>
  <c r="F21" i="64" s="1"/>
  <c r="D181" i="3" s="1"/>
  <c r="E114" i="64"/>
  <c r="E19" i="64" s="1"/>
  <c r="D114" i="64"/>
  <c r="O113" i="64"/>
  <c r="O16" i="64" s="1"/>
  <c r="N113" i="64"/>
  <c r="N16" i="64" s="1"/>
  <c r="M113" i="64"/>
  <c r="M16" i="64" s="1"/>
  <c r="L113" i="64"/>
  <c r="L16" i="64" s="1"/>
  <c r="K113" i="64"/>
  <c r="K16" i="64" s="1"/>
  <c r="J113" i="64"/>
  <c r="J16" i="64" s="1"/>
  <c r="I113" i="64"/>
  <c r="I16" i="64" s="1"/>
  <c r="H113" i="64"/>
  <c r="H16" i="64" s="1"/>
  <c r="G113" i="64"/>
  <c r="G16" i="64" s="1"/>
  <c r="F113" i="64"/>
  <c r="F16" i="64" s="1"/>
  <c r="E113" i="64"/>
  <c r="E16" i="64" s="1"/>
  <c r="D113" i="64"/>
  <c r="O85" i="64"/>
  <c r="N85" i="64"/>
  <c r="M85" i="64"/>
  <c r="L85" i="64"/>
  <c r="K85" i="64"/>
  <c r="J85" i="64"/>
  <c r="I85" i="64"/>
  <c r="H85" i="64"/>
  <c r="G85" i="64"/>
  <c r="F85" i="64"/>
  <c r="E85" i="64"/>
  <c r="D85" i="64"/>
  <c r="O72" i="64"/>
  <c r="O6" i="64" s="1"/>
  <c r="M92" i="2" s="1"/>
  <c r="Z92" i="2" s="1"/>
  <c r="N72" i="64"/>
  <c r="N6" i="64" s="1"/>
  <c r="L92" i="2" s="1"/>
  <c r="M72" i="64"/>
  <c r="M6" i="64" s="1"/>
  <c r="K92" i="2" s="1"/>
  <c r="X92" i="2" s="1"/>
  <c r="L72" i="64"/>
  <c r="K72" i="64"/>
  <c r="K6" i="64" s="1"/>
  <c r="J72" i="64"/>
  <c r="J6" i="64" s="1"/>
  <c r="H92" i="2" s="1"/>
  <c r="I72" i="64"/>
  <c r="I6" i="64" s="1"/>
  <c r="H72" i="64"/>
  <c r="G72" i="64"/>
  <c r="G6" i="64" s="1"/>
  <c r="F72" i="64"/>
  <c r="F6" i="64" s="1"/>
  <c r="D92" i="2" s="1"/>
  <c r="E72" i="64"/>
  <c r="E6" i="64" s="1"/>
  <c r="C92" i="2" s="1"/>
  <c r="P92" i="2" s="1"/>
  <c r="D72" i="64"/>
  <c r="D6" i="64" s="1"/>
  <c r="B92" i="2" s="1"/>
  <c r="O65" i="64"/>
  <c r="N65" i="64"/>
  <c r="N15" i="64" s="1"/>
  <c r="N17" i="64" s="1"/>
  <c r="M65" i="64"/>
  <c r="M15" i="64" s="1"/>
  <c r="L65" i="64"/>
  <c r="K65" i="64"/>
  <c r="K15" i="64" s="1"/>
  <c r="J65" i="64"/>
  <c r="J15" i="64" s="1"/>
  <c r="J17" i="64" s="1"/>
  <c r="I65" i="64"/>
  <c r="I15" i="64" s="1"/>
  <c r="H65" i="64"/>
  <c r="G65" i="64"/>
  <c r="G15" i="64" s="1"/>
  <c r="F65" i="64"/>
  <c r="F15" i="64" s="1"/>
  <c r="F17" i="64" s="1"/>
  <c r="E65" i="64"/>
  <c r="E15" i="64" s="1"/>
  <c r="D65" i="64"/>
  <c r="D15" i="64" s="1"/>
  <c r="O48" i="64"/>
  <c r="O5" i="64" s="1"/>
  <c r="N48" i="64"/>
  <c r="N5" i="64" s="1"/>
  <c r="N3" i="64" s="1"/>
  <c r="N13" i="64" s="1"/>
  <c r="M48" i="64"/>
  <c r="M5" i="64" s="1"/>
  <c r="K91" i="2" s="1"/>
  <c r="L48" i="64"/>
  <c r="L5" i="64" s="1"/>
  <c r="J91" i="2" s="1"/>
  <c r="W91" i="2" s="1"/>
  <c r="K48" i="64"/>
  <c r="J48" i="64"/>
  <c r="J5" i="64" s="1"/>
  <c r="J3" i="64" s="1"/>
  <c r="J13" i="64" s="1"/>
  <c r="I48" i="64"/>
  <c r="I5" i="64" s="1"/>
  <c r="G91" i="2" s="1"/>
  <c r="H48" i="64"/>
  <c r="H5" i="64" s="1"/>
  <c r="F91" i="2" s="1"/>
  <c r="S91" i="2" s="1"/>
  <c r="G48" i="64"/>
  <c r="G5" i="64" s="1"/>
  <c r="E91" i="2" s="1"/>
  <c r="R91" i="2" s="1"/>
  <c r="F48" i="64"/>
  <c r="F5" i="64" s="1"/>
  <c r="F3" i="64" s="1"/>
  <c r="F13" i="64" s="1"/>
  <c r="E48" i="64"/>
  <c r="E5" i="64" s="1"/>
  <c r="C91" i="2" s="1"/>
  <c r="D48" i="64"/>
  <c r="O36" i="64"/>
  <c r="H36" i="64"/>
  <c r="K35" i="64"/>
  <c r="D35" i="64"/>
  <c r="H32" i="64"/>
  <c r="G32" i="64"/>
  <c r="L31" i="64"/>
  <c r="L29" i="64"/>
  <c r="J272" i="3" s="1"/>
  <c r="I29" i="64"/>
  <c r="G272" i="3" s="1"/>
  <c r="E29" i="64"/>
  <c r="C272" i="3" s="1"/>
  <c r="D29" i="64"/>
  <c r="B272" i="3" s="1"/>
  <c r="L26" i="64"/>
  <c r="H25" i="64"/>
  <c r="H27" i="64" s="1"/>
  <c r="F266" i="3" s="1"/>
  <c r="K23" i="64"/>
  <c r="I188" i="3" s="1"/>
  <c r="D23" i="64"/>
  <c r="B188" i="3" s="1"/>
  <c r="H20" i="64"/>
  <c r="G20" i="64"/>
  <c r="K19" i="64"/>
  <c r="D19" i="64"/>
  <c r="D21" i="64" s="1"/>
  <c r="B181" i="3" s="1"/>
  <c r="D16" i="64"/>
  <c r="O15" i="64"/>
  <c r="L15" i="64"/>
  <c r="H15" i="64"/>
  <c r="O11" i="64"/>
  <c r="M97" i="2" s="1"/>
  <c r="Z97" i="2" s="1"/>
  <c r="K11" i="64"/>
  <c r="I97" i="2" s="1"/>
  <c r="V97" i="2" s="1"/>
  <c r="H10" i="64"/>
  <c r="F96" i="2" s="1"/>
  <c r="S96" i="2" s="1"/>
  <c r="G10" i="64"/>
  <c r="E96" i="2" s="1"/>
  <c r="R96" i="2" s="1"/>
  <c r="L9" i="64"/>
  <c r="J95" i="2" s="1"/>
  <c r="W95" i="2" s="1"/>
  <c r="H9" i="64"/>
  <c r="F95" i="2" s="1"/>
  <c r="S95" i="2" s="1"/>
  <c r="O8" i="64"/>
  <c r="M94" i="2" s="1"/>
  <c r="Z94" i="2" s="1"/>
  <c r="D8" i="64"/>
  <c r="B94" i="2" s="1"/>
  <c r="O94" i="2" s="1"/>
  <c r="L6" i="64"/>
  <c r="J92" i="2" s="1"/>
  <c r="H6" i="64"/>
  <c r="F92" i="2" s="1"/>
  <c r="S92" i="2" s="1"/>
  <c r="K5" i="64"/>
  <c r="I91" i="2" s="1"/>
  <c r="V91" i="2" s="1"/>
  <c r="D5" i="64"/>
  <c r="B91" i="2" s="1"/>
  <c r="O91" i="2" s="1"/>
  <c r="O18" i="15"/>
  <c r="M18" i="15"/>
  <c r="L18" i="15"/>
  <c r="K18" i="15"/>
  <c r="J18" i="15"/>
  <c r="I18" i="15"/>
  <c r="H18" i="15"/>
  <c r="G18" i="15"/>
  <c r="F18" i="15"/>
  <c r="E18" i="15"/>
  <c r="D18" i="15"/>
  <c r="O15" i="15"/>
  <c r="L261" i="3"/>
  <c r="K261" i="3"/>
  <c r="J261" i="3"/>
  <c r="I261" i="3"/>
  <c r="H261" i="3"/>
  <c r="I15" i="15"/>
  <c r="F261" i="3"/>
  <c r="E261" i="3"/>
  <c r="D261" i="3"/>
  <c r="C261" i="3"/>
  <c r="D15" i="15"/>
  <c r="O13" i="15"/>
  <c r="N13" i="15"/>
  <c r="K263" i="3"/>
  <c r="L13" i="15"/>
  <c r="K21" i="16"/>
  <c r="I13" i="15"/>
  <c r="H13" i="15"/>
  <c r="G21" i="16"/>
  <c r="F13" i="15"/>
  <c r="C263" i="3"/>
  <c r="M140" i="2"/>
  <c r="Z140" i="2" s="1"/>
  <c r="N5" i="16"/>
  <c r="K140" i="2"/>
  <c r="X140" i="2" s="1"/>
  <c r="L5" i="16"/>
  <c r="K5" i="16"/>
  <c r="J5" i="16"/>
  <c r="G140" i="2"/>
  <c r="T140" i="2" s="1"/>
  <c r="H5" i="16"/>
  <c r="G5" i="16"/>
  <c r="F5" i="16"/>
  <c r="C140" i="2"/>
  <c r="P140" i="2" s="1"/>
  <c r="D5" i="16"/>
  <c r="O293" i="63"/>
  <c r="O27" i="63" s="1"/>
  <c r="N293" i="63"/>
  <c r="N27" i="63" s="1"/>
  <c r="M293" i="63"/>
  <c r="M27" i="63" s="1"/>
  <c r="L293" i="63"/>
  <c r="L27" i="63" s="1"/>
  <c r="K293" i="63"/>
  <c r="K27" i="63" s="1"/>
  <c r="J293" i="63"/>
  <c r="I293" i="63"/>
  <c r="I27" i="63" s="1"/>
  <c r="H293" i="63"/>
  <c r="H27" i="63" s="1"/>
  <c r="G293" i="63"/>
  <c r="G27" i="63" s="1"/>
  <c r="F293" i="63"/>
  <c r="E293" i="63"/>
  <c r="E27" i="63" s="1"/>
  <c r="D293" i="63"/>
  <c r="D27" i="63" s="1"/>
  <c r="O281" i="63"/>
  <c r="O13" i="63" s="1"/>
  <c r="M85" i="2" s="1"/>
  <c r="Z85" i="2" s="1"/>
  <c r="N281" i="63"/>
  <c r="M281" i="63"/>
  <c r="M13" i="63" s="1"/>
  <c r="K85" i="2" s="1"/>
  <c r="X85" i="2" s="1"/>
  <c r="L281" i="63"/>
  <c r="L13" i="63" s="1"/>
  <c r="J85" i="2" s="1"/>
  <c r="W85" i="2" s="1"/>
  <c r="K281" i="63"/>
  <c r="K13" i="63" s="1"/>
  <c r="I85" i="2" s="1"/>
  <c r="V85" i="2" s="1"/>
  <c r="J281" i="63"/>
  <c r="J13" i="63" s="1"/>
  <c r="H85" i="2" s="1"/>
  <c r="U85" i="2" s="1"/>
  <c r="I281" i="63"/>
  <c r="I13" i="63" s="1"/>
  <c r="G85" i="2" s="1"/>
  <c r="T85" i="2" s="1"/>
  <c r="H281" i="63"/>
  <c r="H13" i="63" s="1"/>
  <c r="F85" i="2" s="1"/>
  <c r="S85" i="2" s="1"/>
  <c r="G281" i="63"/>
  <c r="G13" i="63" s="1"/>
  <c r="E85" i="2" s="1"/>
  <c r="R85" i="2" s="1"/>
  <c r="F281" i="63"/>
  <c r="E281" i="63"/>
  <c r="E13" i="63" s="1"/>
  <c r="C85" i="2" s="1"/>
  <c r="P85" i="2" s="1"/>
  <c r="D281" i="63"/>
  <c r="D13" i="63" s="1"/>
  <c r="B85" i="2" s="1"/>
  <c r="O85" i="2" s="1"/>
  <c r="O274" i="63"/>
  <c r="O32" i="63" s="1"/>
  <c r="M332" i="3" s="1"/>
  <c r="N274" i="63"/>
  <c r="M274" i="63"/>
  <c r="M32" i="63" s="1"/>
  <c r="K332" i="3" s="1"/>
  <c r="L274" i="63"/>
  <c r="L32" i="63" s="1"/>
  <c r="J332" i="3" s="1"/>
  <c r="K274" i="63"/>
  <c r="K32" i="63" s="1"/>
  <c r="I332" i="3" s="1"/>
  <c r="J274" i="63"/>
  <c r="I274" i="63"/>
  <c r="I32" i="63" s="1"/>
  <c r="G332" i="3" s="1"/>
  <c r="H274" i="63"/>
  <c r="H32" i="63" s="1"/>
  <c r="G274" i="63"/>
  <c r="G32" i="63" s="1"/>
  <c r="E332" i="3" s="1"/>
  <c r="F274" i="63"/>
  <c r="F32" i="63" s="1"/>
  <c r="D332" i="3" s="1"/>
  <c r="E274" i="63"/>
  <c r="E32" i="63" s="1"/>
  <c r="C332" i="3" s="1"/>
  <c r="D274" i="63"/>
  <c r="D32" i="63" s="1"/>
  <c r="B332" i="3" s="1"/>
  <c r="O234" i="63"/>
  <c r="O12" i="63" s="1"/>
  <c r="M84" i="2" s="1"/>
  <c r="Z84" i="2" s="1"/>
  <c r="N234" i="63"/>
  <c r="M234" i="63"/>
  <c r="M12" i="63" s="1"/>
  <c r="K84" i="2" s="1"/>
  <c r="X84" i="2" s="1"/>
  <c r="L234" i="63"/>
  <c r="L12" i="63" s="1"/>
  <c r="J84" i="2" s="1"/>
  <c r="W84" i="2" s="1"/>
  <c r="K234" i="63"/>
  <c r="K12" i="63" s="1"/>
  <c r="I84" i="2" s="1"/>
  <c r="V84" i="2" s="1"/>
  <c r="J234" i="63"/>
  <c r="I234" i="63"/>
  <c r="I12" i="63" s="1"/>
  <c r="G84" i="2" s="1"/>
  <c r="T84" i="2" s="1"/>
  <c r="H234" i="63"/>
  <c r="H12" i="63" s="1"/>
  <c r="F84" i="2" s="1"/>
  <c r="S84" i="2" s="1"/>
  <c r="G234" i="63"/>
  <c r="G12" i="63" s="1"/>
  <c r="E84" i="2" s="1"/>
  <c r="R84" i="2" s="1"/>
  <c r="F234" i="63"/>
  <c r="F12" i="63" s="1"/>
  <c r="D84" i="2" s="1"/>
  <c r="Q84" i="2" s="1"/>
  <c r="E234" i="63"/>
  <c r="E12" i="63" s="1"/>
  <c r="C84" i="2" s="1"/>
  <c r="D234" i="63"/>
  <c r="D12" i="63" s="1"/>
  <c r="B84" i="2" s="1"/>
  <c r="O84" i="2" s="1"/>
  <c r="O227" i="63"/>
  <c r="O35" i="63" s="1"/>
  <c r="N227" i="63"/>
  <c r="N35" i="63" s="1"/>
  <c r="M227" i="63"/>
  <c r="M35" i="63" s="1"/>
  <c r="L227" i="63"/>
  <c r="L35" i="63" s="1"/>
  <c r="K227" i="63"/>
  <c r="K35" i="63" s="1"/>
  <c r="J227" i="63"/>
  <c r="I227" i="63"/>
  <c r="H227" i="63"/>
  <c r="H35" i="63" s="1"/>
  <c r="G227" i="63"/>
  <c r="G35" i="63" s="1"/>
  <c r="F227" i="63"/>
  <c r="E227" i="63"/>
  <c r="E35" i="63" s="1"/>
  <c r="D227" i="63"/>
  <c r="D35" i="63" s="1"/>
  <c r="O209" i="63"/>
  <c r="O11" i="63" s="1"/>
  <c r="M83" i="2" s="1"/>
  <c r="Z83" i="2" s="1"/>
  <c r="N209" i="63"/>
  <c r="N11" i="63" s="1"/>
  <c r="L83" i="2" s="1"/>
  <c r="M209" i="63"/>
  <c r="M11" i="63" s="1"/>
  <c r="K83" i="2" s="1"/>
  <c r="X83" i="2" s="1"/>
  <c r="L209" i="63"/>
  <c r="L11" i="63" s="1"/>
  <c r="J83" i="2" s="1"/>
  <c r="W83" i="2" s="1"/>
  <c r="K209" i="63"/>
  <c r="K11" i="63" s="1"/>
  <c r="I83" i="2" s="1"/>
  <c r="V83" i="2" s="1"/>
  <c r="J209" i="63"/>
  <c r="I209" i="63"/>
  <c r="I11" i="63" s="1"/>
  <c r="G83" i="2" s="1"/>
  <c r="T83" i="2" s="1"/>
  <c r="H209" i="63"/>
  <c r="H11" i="63" s="1"/>
  <c r="G209" i="63"/>
  <c r="G11" i="63" s="1"/>
  <c r="E83" i="2" s="1"/>
  <c r="R83" i="2" s="1"/>
  <c r="F209" i="63"/>
  <c r="F11" i="63" s="1"/>
  <c r="D83" i="2" s="1"/>
  <c r="Q83" i="2" s="1"/>
  <c r="E209" i="63"/>
  <c r="E11" i="63" s="1"/>
  <c r="C83" i="2" s="1"/>
  <c r="P83" i="2" s="1"/>
  <c r="D209" i="63"/>
  <c r="D11" i="63" s="1"/>
  <c r="O202" i="63"/>
  <c r="O23" i="63" s="1"/>
  <c r="N202" i="63"/>
  <c r="M202" i="63"/>
  <c r="M23" i="63" s="1"/>
  <c r="L202" i="63"/>
  <c r="L23" i="63" s="1"/>
  <c r="K202" i="63"/>
  <c r="K23" i="63" s="1"/>
  <c r="J202" i="63"/>
  <c r="I202" i="63"/>
  <c r="I23" i="63" s="1"/>
  <c r="H202" i="63"/>
  <c r="H23" i="63" s="1"/>
  <c r="G202" i="63"/>
  <c r="G23" i="63" s="1"/>
  <c r="F202" i="63"/>
  <c r="F23" i="63" s="1"/>
  <c r="E202" i="63"/>
  <c r="E23" i="63" s="1"/>
  <c r="D202" i="63"/>
  <c r="D23" i="63" s="1"/>
  <c r="O201" i="63"/>
  <c r="O19" i="63" s="1"/>
  <c r="M57" i="3" s="1"/>
  <c r="N201" i="63"/>
  <c r="M201" i="63"/>
  <c r="M19" i="63" s="1"/>
  <c r="K57" i="3" s="1"/>
  <c r="L201" i="63"/>
  <c r="L19" i="63" s="1"/>
  <c r="K201" i="63"/>
  <c r="K19" i="63" s="1"/>
  <c r="J201" i="63"/>
  <c r="J19" i="63" s="1"/>
  <c r="H57" i="3" s="1"/>
  <c r="I201" i="63"/>
  <c r="I19" i="63" s="1"/>
  <c r="H201" i="63"/>
  <c r="H19" i="63" s="1"/>
  <c r="G201" i="63"/>
  <c r="G19" i="63" s="1"/>
  <c r="F201" i="63"/>
  <c r="E201" i="63"/>
  <c r="E19" i="63" s="1"/>
  <c r="C57" i="3" s="1"/>
  <c r="D201" i="63"/>
  <c r="D19" i="63" s="1"/>
  <c r="O183" i="63"/>
  <c r="O10" i="63" s="1"/>
  <c r="M82" i="2" s="1"/>
  <c r="Z82" i="2" s="1"/>
  <c r="N183" i="63"/>
  <c r="N10" i="63" s="1"/>
  <c r="L82" i="2" s="1"/>
  <c r="Y82" i="2" s="1"/>
  <c r="M183" i="63"/>
  <c r="M10" i="63" s="1"/>
  <c r="K82" i="2" s="1"/>
  <c r="X82" i="2" s="1"/>
  <c r="L183" i="63"/>
  <c r="L10" i="63" s="1"/>
  <c r="K183" i="63"/>
  <c r="K10" i="63" s="1"/>
  <c r="I82" i="2" s="1"/>
  <c r="V82" i="2" s="1"/>
  <c r="J183" i="63"/>
  <c r="I183" i="63"/>
  <c r="I10" i="63" s="1"/>
  <c r="G82" i="2" s="1"/>
  <c r="T82" i="2" s="1"/>
  <c r="H183" i="63"/>
  <c r="H10" i="63" s="1"/>
  <c r="G183" i="63"/>
  <c r="G10" i="63" s="1"/>
  <c r="E82" i="2" s="1"/>
  <c r="R82" i="2" s="1"/>
  <c r="F183" i="63"/>
  <c r="E183" i="63"/>
  <c r="E10" i="63" s="1"/>
  <c r="C82" i="2" s="1"/>
  <c r="P82" i="2" s="1"/>
  <c r="D183" i="63"/>
  <c r="D10" i="63" s="1"/>
  <c r="O176" i="63"/>
  <c r="O40" i="63" s="1"/>
  <c r="N176" i="63"/>
  <c r="N40" i="63" s="1"/>
  <c r="M176" i="63"/>
  <c r="M40" i="63" s="1"/>
  <c r="L176" i="63"/>
  <c r="L40" i="63" s="1"/>
  <c r="K176" i="63"/>
  <c r="K40" i="63" s="1"/>
  <c r="J176" i="63"/>
  <c r="J40" i="63" s="1"/>
  <c r="I176" i="63"/>
  <c r="I40" i="63" s="1"/>
  <c r="H176" i="63"/>
  <c r="G176" i="63"/>
  <c r="G40" i="63" s="1"/>
  <c r="F176" i="63"/>
  <c r="E176" i="63"/>
  <c r="E40" i="63" s="1"/>
  <c r="D176" i="63"/>
  <c r="D40" i="63" s="1"/>
  <c r="O175" i="63"/>
  <c r="O34" i="63" s="1"/>
  <c r="N175" i="63"/>
  <c r="N34" i="63" s="1"/>
  <c r="M175" i="63"/>
  <c r="M34" i="63" s="1"/>
  <c r="L175" i="63"/>
  <c r="L34" i="63" s="1"/>
  <c r="K175" i="63"/>
  <c r="K34" i="63" s="1"/>
  <c r="J175" i="63"/>
  <c r="I175" i="63"/>
  <c r="I34" i="63" s="1"/>
  <c r="H175" i="63"/>
  <c r="H34" i="63" s="1"/>
  <c r="G175" i="63"/>
  <c r="G34" i="63" s="1"/>
  <c r="F175" i="63"/>
  <c r="E175" i="63"/>
  <c r="E34" i="63" s="1"/>
  <c r="D175" i="63"/>
  <c r="D34" i="63" s="1"/>
  <c r="O174" i="63"/>
  <c r="O26" i="63" s="1"/>
  <c r="O28" i="63" s="1"/>
  <c r="M202" i="3" s="1"/>
  <c r="N174" i="63"/>
  <c r="M174" i="63"/>
  <c r="M26" i="63" s="1"/>
  <c r="L174" i="63"/>
  <c r="L26" i="63" s="1"/>
  <c r="K174" i="63"/>
  <c r="K26" i="63" s="1"/>
  <c r="K28" i="63" s="1"/>
  <c r="I202" i="3" s="1"/>
  <c r="J174" i="63"/>
  <c r="I174" i="63"/>
  <c r="I26" i="63" s="1"/>
  <c r="H174" i="63"/>
  <c r="H26" i="63" s="1"/>
  <c r="G174" i="63"/>
  <c r="G26" i="63" s="1"/>
  <c r="G28" i="63" s="1"/>
  <c r="E202" i="3" s="1"/>
  <c r="F174" i="63"/>
  <c r="F26" i="63" s="1"/>
  <c r="E174" i="63"/>
  <c r="E26" i="63" s="1"/>
  <c r="D174" i="63"/>
  <c r="D26" i="63" s="1"/>
  <c r="O160" i="63"/>
  <c r="N160" i="63"/>
  <c r="M160" i="63"/>
  <c r="L160" i="63"/>
  <c r="K160" i="63"/>
  <c r="J160" i="63"/>
  <c r="I160" i="63"/>
  <c r="H160" i="63"/>
  <c r="G160" i="63"/>
  <c r="F160" i="63"/>
  <c r="E160" i="63"/>
  <c r="D160" i="63"/>
  <c r="O157" i="63"/>
  <c r="N157" i="63"/>
  <c r="M157" i="63"/>
  <c r="L157" i="63"/>
  <c r="K157" i="63"/>
  <c r="J157" i="63"/>
  <c r="I157" i="63"/>
  <c r="H157" i="63"/>
  <c r="G157" i="63"/>
  <c r="F157" i="63"/>
  <c r="E157" i="63"/>
  <c r="D157" i="63"/>
  <c r="O151" i="63"/>
  <c r="N151" i="63"/>
  <c r="M151" i="63"/>
  <c r="L151" i="63"/>
  <c r="K151" i="63"/>
  <c r="J151" i="63"/>
  <c r="I151" i="63"/>
  <c r="H151" i="63"/>
  <c r="G151" i="63"/>
  <c r="F151" i="63"/>
  <c r="E151" i="63"/>
  <c r="D151" i="63"/>
  <c r="O147" i="63"/>
  <c r="O9" i="63" s="1"/>
  <c r="M81" i="2" s="1"/>
  <c r="Z81" i="2" s="1"/>
  <c r="N147" i="63"/>
  <c r="M147" i="63"/>
  <c r="M9" i="63" s="1"/>
  <c r="K81" i="2" s="1"/>
  <c r="X81" i="2" s="1"/>
  <c r="L147" i="63"/>
  <c r="L9" i="63" s="1"/>
  <c r="K147" i="63"/>
  <c r="K9" i="63" s="1"/>
  <c r="I81" i="2" s="1"/>
  <c r="V81" i="2" s="1"/>
  <c r="J147" i="63"/>
  <c r="J9" i="63" s="1"/>
  <c r="H81" i="2" s="1"/>
  <c r="U81" i="2" s="1"/>
  <c r="I147" i="63"/>
  <c r="I9" i="63" s="1"/>
  <c r="G81" i="2" s="1"/>
  <c r="T81" i="2" s="1"/>
  <c r="H147" i="63"/>
  <c r="H9" i="63" s="1"/>
  <c r="G147" i="63"/>
  <c r="G9" i="63" s="1"/>
  <c r="E81" i="2" s="1"/>
  <c r="R81" i="2" s="1"/>
  <c r="F147" i="63"/>
  <c r="F9" i="63" s="1"/>
  <c r="D81" i="2" s="1"/>
  <c r="Q81" i="2" s="1"/>
  <c r="E147" i="63"/>
  <c r="E9" i="63" s="1"/>
  <c r="C81" i="2" s="1"/>
  <c r="P81" i="2" s="1"/>
  <c r="D147" i="63"/>
  <c r="D9" i="63" s="1"/>
  <c r="O140" i="63"/>
  <c r="O30" i="63" s="1"/>
  <c r="M271" i="3" s="1"/>
  <c r="N140" i="63"/>
  <c r="M140" i="63"/>
  <c r="M30" i="63" s="1"/>
  <c r="K271" i="3" s="1"/>
  <c r="L140" i="63"/>
  <c r="L30" i="63" s="1"/>
  <c r="J271" i="3" s="1"/>
  <c r="K140" i="63"/>
  <c r="K30" i="63" s="1"/>
  <c r="I271" i="3" s="1"/>
  <c r="J140" i="63"/>
  <c r="I140" i="63"/>
  <c r="I30" i="63" s="1"/>
  <c r="G271" i="3" s="1"/>
  <c r="H140" i="63"/>
  <c r="H30" i="63" s="1"/>
  <c r="F271" i="3" s="1"/>
  <c r="G140" i="63"/>
  <c r="G30" i="63" s="1"/>
  <c r="E271" i="3" s="1"/>
  <c r="F140" i="63"/>
  <c r="E140" i="63"/>
  <c r="E30" i="63" s="1"/>
  <c r="C271" i="3" s="1"/>
  <c r="D140" i="63"/>
  <c r="D30" i="63" s="1"/>
  <c r="O139" i="63"/>
  <c r="O22" i="63" s="1"/>
  <c r="N139" i="63"/>
  <c r="M139" i="63"/>
  <c r="M22" i="63" s="1"/>
  <c r="L139" i="63"/>
  <c r="L22" i="63" s="1"/>
  <c r="K139" i="63"/>
  <c r="K22" i="63" s="1"/>
  <c r="J139" i="63"/>
  <c r="J22" i="63" s="1"/>
  <c r="I139" i="63"/>
  <c r="I22" i="63" s="1"/>
  <c r="H139" i="63"/>
  <c r="H22" i="63" s="1"/>
  <c r="G139" i="63"/>
  <c r="G22" i="63" s="1"/>
  <c r="F139" i="63"/>
  <c r="E139" i="63"/>
  <c r="E22" i="63" s="1"/>
  <c r="D139" i="63"/>
  <c r="D22" i="63" s="1"/>
  <c r="O109" i="63"/>
  <c r="O8" i="63" s="1"/>
  <c r="M80" i="2" s="1"/>
  <c r="Z80" i="2" s="1"/>
  <c r="N109" i="63"/>
  <c r="M109" i="63"/>
  <c r="M8" i="63" s="1"/>
  <c r="K80" i="2" s="1"/>
  <c r="X80" i="2" s="1"/>
  <c r="L109" i="63"/>
  <c r="L8" i="63" s="1"/>
  <c r="K109" i="63"/>
  <c r="K8" i="63" s="1"/>
  <c r="I80" i="2" s="1"/>
  <c r="V80" i="2" s="1"/>
  <c r="J109" i="63"/>
  <c r="I109" i="63"/>
  <c r="I8" i="63" s="1"/>
  <c r="H109" i="63"/>
  <c r="H8" i="63" s="1"/>
  <c r="G109" i="63"/>
  <c r="G8" i="63" s="1"/>
  <c r="E80" i="2" s="1"/>
  <c r="R80" i="2" s="1"/>
  <c r="F109" i="63"/>
  <c r="F8" i="63" s="1"/>
  <c r="D80" i="2" s="1"/>
  <c r="Q80" i="2" s="1"/>
  <c r="E109" i="63"/>
  <c r="E8" i="63" s="1"/>
  <c r="C80" i="2" s="1"/>
  <c r="P80" i="2" s="1"/>
  <c r="D109" i="63"/>
  <c r="D8" i="63" s="1"/>
  <c r="O101" i="63"/>
  <c r="O39" i="63" s="1"/>
  <c r="O41" i="63" s="1"/>
  <c r="M414" i="3" s="1"/>
  <c r="N101" i="63"/>
  <c r="M101" i="63"/>
  <c r="M39" i="63" s="1"/>
  <c r="L101" i="63"/>
  <c r="L39" i="63" s="1"/>
  <c r="L41" i="63" s="1"/>
  <c r="J414" i="3" s="1"/>
  <c r="K101" i="63"/>
  <c r="K39" i="63" s="1"/>
  <c r="K41" i="63" s="1"/>
  <c r="I414" i="3" s="1"/>
  <c r="J101" i="63"/>
  <c r="J39" i="63" s="1"/>
  <c r="I101" i="63"/>
  <c r="I39" i="63" s="1"/>
  <c r="H101" i="63"/>
  <c r="H39" i="63" s="1"/>
  <c r="G101" i="63"/>
  <c r="G39" i="63" s="1"/>
  <c r="F101" i="63"/>
  <c r="E101" i="63"/>
  <c r="E39" i="63" s="1"/>
  <c r="D101" i="63"/>
  <c r="D39" i="63" s="1"/>
  <c r="D41" i="63" s="1"/>
  <c r="B414" i="3" s="1"/>
  <c r="O100" i="63"/>
  <c r="O21" i="63" s="1"/>
  <c r="N100" i="63"/>
  <c r="N21" i="63" s="1"/>
  <c r="M100" i="63"/>
  <c r="M21" i="63" s="1"/>
  <c r="L100" i="63"/>
  <c r="L21" i="63" s="1"/>
  <c r="L24" i="63" s="1"/>
  <c r="J99" i="3" s="1"/>
  <c r="K100" i="63"/>
  <c r="K21" i="63" s="1"/>
  <c r="K24" i="63" s="1"/>
  <c r="I99" i="3" s="1"/>
  <c r="J100" i="63"/>
  <c r="I100" i="63"/>
  <c r="I21" i="63" s="1"/>
  <c r="H100" i="63"/>
  <c r="H21" i="63" s="1"/>
  <c r="H24" i="63" s="1"/>
  <c r="F99" i="3" s="1"/>
  <c r="G100" i="63"/>
  <c r="G21" i="63" s="1"/>
  <c r="G24" i="63" s="1"/>
  <c r="E99" i="3" s="1"/>
  <c r="F100" i="63"/>
  <c r="F21" i="63" s="1"/>
  <c r="E100" i="63"/>
  <c r="E21" i="63" s="1"/>
  <c r="D100" i="63"/>
  <c r="D21" i="63" s="1"/>
  <c r="D24" i="63" s="1"/>
  <c r="B99" i="3" s="1"/>
  <c r="O98" i="63"/>
  <c r="N98" i="63"/>
  <c r="M98" i="63"/>
  <c r="L98" i="63"/>
  <c r="K98" i="63"/>
  <c r="J98" i="63"/>
  <c r="I98" i="63"/>
  <c r="H98" i="63"/>
  <c r="G98" i="63"/>
  <c r="F98" i="63"/>
  <c r="E98" i="63"/>
  <c r="D98" i="63"/>
  <c r="O78" i="63"/>
  <c r="O7" i="63" s="1"/>
  <c r="N78" i="63"/>
  <c r="M78" i="63"/>
  <c r="M7" i="63" s="1"/>
  <c r="L78" i="63"/>
  <c r="L7" i="63" s="1"/>
  <c r="L3" i="63" s="1"/>
  <c r="K78" i="63"/>
  <c r="K7" i="63" s="1"/>
  <c r="K3" i="63" s="1"/>
  <c r="J78" i="63"/>
  <c r="J7" i="63" s="1"/>
  <c r="H79" i="2" s="1"/>
  <c r="U79" i="2" s="1"/>
  <c r="I78" i="63"/>
  <c r="I7" i="63" s="1"/>
  <c r="G79" i="2" s="1"/>
  <c r="H78" i="63"/>
  <c r="H7" i="63" s="1"/>
  <c r="H3" i="63" s="1"/>
  <c r="G78" i="63"/>
  <c r="G7" i="63" s="1"/>
  <c r="G3" i="63" s="1"/>
  <c r="F78" i="63"/>
  <c r="F7" i="63" s="1"/>
  <c r="D79" i="2" s="1"/>
  <c r="Q79" i="2" s="1"/>
  <c r="E78" i="63"/>
  <c r="E7" i="63" s="1"/>
  <c r="D78" i="63"/>
  <c r="D7" i="63" s="1"/>
  <c r="D3" i="63" s="1"/>
  <c r="O71" i="63"/>
  <c r="O36" i="63" s="1"/>
  <c r="O37" i="63" s="1"/>
  <c r="N71" i="63"/>
  <c r="N36" i="63" s="1"/>
  <c r="M71" i="63"/>
  <c r="M36" i="63" s="1"/>
  <c r="L71" i="63"/>
  <c r="L36" i="63" s="1"/>
  <c r="K71" i="63"/>
  <c r="K36" i="63" s="1"/>
  <c r="J71" i="63"/>
  <c r="I71" i="63"/>
  <c r="I36" i="63" s="1"/>
  <c r="H71" i="63"/>
  <c r="H36" i="63" s="1"/>
  <c r="G71" i="63"/>
  <c r="G36" i="63" s="1"/>
  <c r="F71" i="63"/>
  <c r="F36" i="63" s="1"/>
  <c r="E71" i="63"/>
  <c r="E36" i="63" s="1"/>
  <c r="D71" i="63"/>
  <c r="D36" i="63" s="1"/>
  <c r="O54" i="63"/>
  <c r="O4" i="63" s="1"/>
  <c r="N54" i="63"/>
  <c r="M54" i="63"/>
  <c r="M4" i="63" s="1"/>
  <c r="L54" i="63"/>
  <c r="L4" i="63" s="1"/>
  <c r="L16" i="63" s="1"/>
  <c r="K54" i="63"/>
  <c r="K4" i="63" s="1"/>
  <c r="J54" i="63"/>
  <c r="J4" i="63" s="1"/>
  <c r="J16" i="63" s="1"/>
  <c r="I54" i="63"/>
  <c r="I4" i="63" s="1"/>
  <c r="I16" i="63" s="1"/>
  <c r="H54" i="63"/>
  <c r="H4" i="63" s="1"/>
  <c r="G54" i="63"/>
  <c r="G4" i="63" s="1"/>
  <c r="F54" i="63"/>
  <c r="F4" i="63" s="1"/>
  <c r="E54" i="63"/>
  <c r="E4" i="63" s="1"/>
  <c r="D54" i="63"/>
  <c r="D4" i="63" s="1"/>
  <c r="D16" i="63" s="1"/>
  <c r="H40" i="63"/>
  <c r="F40" i="63"/>
  <c r="N39" i="63"/>
  <c r="F39" i="63"/>
  <c r="J36" i="63"/>
  <c r="J35" i="63"/>
  <c r="I35" i="63"/>
  <c r="F35" i="63"/>
  <c r="J34" i="63"/>
  <c r="F34" i="63"/>
  <c r="N32" i="63"/>
  <c r="L332" i="3" s="1"/>
  <c r="J32" i="63"/>
  <c r="H332" i="3" s="1"/>
  <c r="N30" i="63"/>
  <c r="L271" i="3" s="1"/>
  <c r="J30" i="63"/>
  <c r="H271" i="3" s="1"/>
  <c r="F30" i="63"/>
  <c r="D271" i="3" s="1"/>
  <c r="J27" i="63"/>
  <c r="F27" i="63"/>
  <c r="N26" i="63"/>
  <c r="J26" i="63"/>
  <c r="N23" i="63"/>
  <c r="J23" i="63"/>
  <c r="N22" i="63"/>
  <c r="F22" i="63"/>
  <c r="J21" i="63"/>
  <c r="N19" i="63"/>
  <c r="L57" i="3" s="1"/>
  <c r="F19" i="63"/>
  <c r="D57" i="3" s="1"/>
  <c r="N13" i="63"/>
  <c r="L85" i="2" s="1"/>
  <c r="Y85" i="2" s="1"/>
  <c r="F13" i="63"/>
  <c r="D85" i="2" s="1"/>
  <c r="Q85" i="2" s="1"/>
  <c r="N12" i="63"/>
  <c r="L84" i="2" s="1"/>
  <c r="Y84" i="2" s="1"/>
  <c r="J12" i="63"/>
  <c r="H84" i="2" s="1"/>
  <c r="U84" i="2" s="1"/>
  <c r="J11" i="63"/>
  <c r="H83" i="2" s="1"/>
  <c r="U83" i="2" s="1"/>
  <c r="J10" i="63"/>
  <c r="H82" i="2" s="1"/>
  <c r="U82" i="2" s="1"/>
  <c r="F10" i="63"/>
  <c r="D82" i="2" s="1"/>
  <c r="Q82" i="2" s="1"/>
  <c r="N9" i="63"/>
  <c r="L81" i="2" s="1"/>
  <c r="Y81" i="2" s="1"/>
  <c r="N8" i="63"/>
  <c r="L80" i="2" s="1"/>
  <c r="Y80" i="2" s="1"/>
  <c r="J8" i="63"/>
  <c r="H80" i="2" s="1"/>
  <c r="U80" i="2" s="1"/>
  <c r="N7" i="63"/>
  <c r="L79" i="2" s="1"/>
  <c r="Y79" i="2" s="1"/>
  <c r="N4" i="63"/>
  <c r="N16" i="63" s="1"/>
  <c r="L17" i="62"/>
  <c r="O11" i="62"/>
  <c r="M258" i="3" s="1"/>
  <c r="N11" i="62"/>
  <c r="L258" i="3" s="1"/>
  <c r="M11" i="62"/>
  <c r="L11" i="62"/>
  <c r="K11" i="62"/>
  <c r="I258" i="3" s="1"/>
  <c r="J11" i="62"/>
  <c r="H258" i="3" s="1"/>
  <c r="I11" i="62"/>
  <c r="H11" i="62"/>
  <c r="G11" i="62"/>
  <c r="E258" i="3" s="1"/>
  <c r="F11" i="62"/>
  <c r="D258" i="3" s="1"/>
  <c r="E11" i="62"/>
  <c r="D11" i="62"/>
  <c r="O9" i="62"/>
  <c r="M257" i="3" s="1"/>
  <c r="N9" i="62"/>
  <c r="L257" i="3" s="1"/>
  <c r="M9" i="62"/>
  <c r="L9" i="62"/>
  <c r="K9" i="62"/>
  <c r="I257" i="3" s="1"/>
  <c r="J9" i="62"/>
  <c r="H257" i="3" s="1"/>
  <c r="I9" i="62"/>
  <c r="H9" i="62"/>
  <c r="G9" i="62"/>
  <c r="E257" i="3" s="1"/>
  <c r="F9" i="62"/>
  <c r="D257" i="3" s="1"/>
  <c r="E9" i="62"/>
  <c r="D9" i="62"/>
  <c r="O7" i="62"/>
  <c r="N7" i="62"/>
  <c r="N15" i="62" s="1"/>
  <c r="M7" i="62"/>
  <c r="M13" i="62" s="1"/>
  <c r="L7" i="62"/>
  <c r="L13" i="62" s="1"/>
  <c r="K7" i="62"/>
  <c r="J7" i="62"/>
  <c r="J15" i="62" s="1"/>
  <c r="I7" i="62"/>
  <c r="I13" i="62" s="1"/>
  <c r="H7" i="62"/>
  <c r="H13" i="62" s="1"/>
  <c r="G7" i="62"/>
  <c r="F7" i="62"/>
  <c r="F15" i="62" s="1"/>
  <c r="E7" i="62"/>
  <c r="E13" i="62" s="1"/>
  <c r="D7" i="62"/>
  <c r="D13" i="62" s="1"/>
  <c r="O3" i="62"/>
  <c r="O5" i="62" s="1"/>
  <c r="N3" i="62"/>
  <c r="N5" i="62" s="1"/>
  <c r="M3" i="62"/>
  <c r="M5" i="62" s="1"/>
  <c r="L3" i="62"/>
  <c r="L5" i="62" s="1"/>
  <c r="K3" i="62"/>
  <c r="K5" i="62" s="1"/>
  <c r="J3" i="62"/>
  <c r="J5" i="62" s="1"/>
  <c r="I3" i="62"/>
  <c r="G87" i="2" s="1"/>
  <c r="H3" i="62"/>
  <c r="H5" i="62" s="1"/>
  <c r="G3" i="62"/>
  <c r="G5" i="62" s="1"/>
  <c r="F3" i="62"/>
  <c r="F5" i="62" s="1"/>
  <c r="E3" i="62"/>
  <c r="E5" i="62" s="1"/>
  <c r="D3" i="62"/>
  <c r="D5" i="62" s="1"/>
  <c r="O524" i="31"/>
  <c r="N524" i="31"/>
  <c r="M524" i="31"/>
  <c r="M73" i="31" s="1"/>
  <c r="L524" i="31"/>
  <c r="L73" i="31" s="1"/>
  <c r="K524" i="31"/>
  <c r="K73" i="31" s="1"/>
  <c r="J524" i="31"/>
  <c r="J73" i="31" s="1"/>
  <c r="I524" i="31"/>
  <c r="I73" i="31" s="1"/>
  <c r="H524" i="31"/>
  <c r="H73" i="31" s="1"/>
  <c r="G524" i="31"/>
  <c r="G73" i="31" s="1"/>
  <c r="F524" i="31"/>
  <c r="F73" i="31" s="1"/>
  <c r="E524" i="31"/>
  <c r="E73" i="31" s="1"/>
  <c r="D524" i="31"/>
  <c r="D73" i="31" s="1"/>
  <c r="O523" i="31"/>
  <c r="O48" i="31" s="1"/>
  <c r="N523" i="31"/>
  <c r="N48" i="31" s="1"/>
  <c r="M523" i="31"/>
  <c r="M48" i="31" s="1"/>
  <c r="L523" i="31"/>
  <c r="L48" i="31" s="1"/>
  <c r="K523" i="31"/>
  <c r="J523" i="31"/>
  <c r="J48" i="31" s="1"/>
  <c r="I523" i="31"/>
  <c r="I48" i="31" s="1"/>
  <c r="H523" i="31"/>
  <c r="G523" i="31"/>
  <c r="G48" i="31" s="1"/>
  <c r="F523" i="31"/>
  <c r="F48" i="31" s="1"/>
  <c r="E523" i="31"/>
  <c r="E48" i="31" s="1"/>
  <c r="D523" i="31"/>
  <c r="D48" i="31" s="1"/>
  <c r="O522" i="31"/>
  <c r="O30" i="31" s="1"/>
  <c r="N522" i="31"/>
  <c r="N30" i="31" s="1"/>
  <c r="M522" i="31"/>
  <c r="M30" i="31" s="1"/>
  <c r="L522" i="31"/>
  <c r="K522" i="31"/>
  <c r="K30" i="31" s="1"/>
  <c r="J522" i="31"/>
  <c r="I522" i="31"/>
  <c r="I30" i="31" s="1"/>
  <c r="H522" i="31"/>
  <c r="H30" i="31" s="1"/>
  <c r="G522" i="31"/>
  <c r="G30" i="31" s="1"/>
  <c r="F522" i="31"/>
  <c r="F30" i="31" s="1"/>
  <c r="E522" i="31"/>
  <c r="E30" i="31" s="1"/>
  <c r="D522" i="31"/>
  <c r="D30" i="31" s="1"/>
  <c r="O508" i="31"/>
  <c r="N508" i="31"/>
  <c r="M508" i="31"/>
  <c r="L508" i="31"/>
  <c r="K508" i="31"/>
  <c r="J508" i="31"/>
  <c r="I508" i="31"/>
  <c r="H508" i="31"/>
  <c r="G508" i="31"/>
  <c r="F508" i="31"/>
  <c r="E508" i="31"/>
  <c r="D508" i="31"/>
  <c r="O495" i="31"/>
  <c r="N495" i="31"/>
  <c r="M495" i="31"/>
  <c r="L495" i="31"/>
  <c r="K495" i="31"/>
  <c r="J495" i="31"/>
  <c r="I495" i="31"/>
  <c r="H495" i="31"/>
  <c r="G495" i="31"/>
  <c r="F495" i="31"/>
  <c r="E495" i="31"/>
  <c r="D495" i="31"/>
  <c r="O492" i="31"/>
  <c r="O19" i="31" s="1"/>
  <c r="M215" i="2" s="1"/>
  <c r="Z215" i="2" s="1"/>
  <c r="N492" i="31"/>
  <c r="N19" i="31" s="1"/>
  <c r="L215" i="2" s="1"/>
  <c r="Y215" i="2" s="1"/>
  <c r="M492" i="31"/>
  <c r="M19" i="31" s="1"/>
  <c r="K215" i="2" s="1"/>
  <c r="X215" i="2" s="1"/>
  <c r="L492" i="31"/>
  <c r="L19" i="31" s="1"/>
  <c r="J215" i="2" s="1"/>
  <c r="W215" i="2" s="1"/>
  <c r="K492" i="31"/>
  <c r="K19" i="31" s="1"/>
  <c r="I215" i="2" s="1"/>
  <c r="V215" i="2" s="1"/>
  <c r="J492" i="31"/>
  <c r="J19" i="31" s="1"/>
  <c r="H215" i="2" s="1"/>
  <c r="U215" i="2" s="1"/>
  <c r="I492" i="31"/>
  <c r="I19" i="31" s="1"/>
  <c r="G215" i="2" s="1"/>
  <c r="T215" i="2" s="1"/>
  <c r="H492" i="31"/>
  <c r="H19" i="31" s="1"/>
  <c r="F215" i="2" s="1"/>
  <c r="S215" i="2" s="1"/>
  <c r="G492" i="31"/>
  <c r="G19" i="31" s="1"/>
  <c r="E215" i="2" s="1"/>
  <c r="R215" i="2" s="1"/>
  <c r="F492" i="31"/>
  <c r="F19" i="31" s="1"/>
  <c r="D215" i="2" s="1"/>
  <c r="Q215" i="2" s="1"/>
  <c r="E492" i="31"/>
  <c r="E19" i="31" s="1"/>
  <c r="C215" i="2" s="1"/>
  <c r="P215" i="2" s="1"/>
  <c r="D492" i="31"/>
  <c r="D19" i="31" s="1"/>
  <c r="B215" i="2" s="1"/>
  <c r="O215" i="2" s="1"/>
  <c r="O483" i="31"/>
  <c r="O70" i="31" s="1"/>
  <c r="M507" i="3" s="1"/>
  <c r="N483" i="31"/>
  <c r="N70" i="31" s="1"/>
  <c r="L507" i="3" s="1"/>
  <c r="M483" i="31"/>
  <c r="M70" i="31" s="1"/>
  <c r="K507" i="3" s="1"/>
  <c r="L483" i="31"/>
  <c r="L70" i="31" s="1"/>
  <c r="J507" i="3" s="1"/>
  <c r="K483" i="31"/>
  <c r="K70" i="31" s="1"/>
  <c r="I507" i="3" s="1"/>
  <c r="J483" i="31"/>
  <c r="J70" i="31" s="1"/>
  <c r="H507" i="3" s="1"/>
  <c r="I483" i="31"/>
  <c r="I70" i="31" s="1"/>
  <c r="G507" i="3" s="1"/>
  <c r="H483" i="31"/>
  <c r="H70" i="31" s="1"/>
  <c r="F507" i="3" s="1"/>
  <c r="G483" i="31"/>
  <c r="G70" i="31" s="1"/>
  <c r="E507" i="3" s="1"/>
  <c r="F483" i="31"/>
  <c r="F70" i="31" s="1"/>
  <c r="D507" i="3" s="1"/>
  <c r="E483" i="31"/>
  <c r="E70" i="31" s="1"/>
  <c r="C507" i="3" s="1"/>
  <c r="D483" i="31"/>
  <c r="O482" i="31"/>
  <c r="O67" i="31" s="1"/>
  <c r="N482" i="31"/>
  <c r="N67" i="31" s="1"/>
  <c r="M482" i="31"/>
  <c r="M67" i="31" s="1"/>
  <c r="L482" i="31"/>
  <c r="K482" i="31"/>
  <c r="K67" i="31" s="1"/>
  <c r="J482" i="31"/>
  <c r="J67" i="31" s="1"/>
  <c r="I482" i="31"/>
  <c r="I67" i="31" s="1"/>
  <c r="H482" i="31"/>
  <c r="H67" i="31" s="1"/>
  <c r="G482" i="31"/>
  <c r="G67" i="31" s="1"/>
  <c r="F482" i="31"/>
  <c r="F67" i="31" s="1"/>
  <c r="E482" i="31"/>
  <c r="E67" i="31" s="1"/>
  <c r="D482" i="31"/>
  <c r="D67" i="31" s="1"/>
  <c r="O455" i="31"/>
  <c r="O18" i="31" s="1"/>
  <c r="M214" i="2" s="1"/>
  <c r="Z214" i="2" s="1"/>
  <c r="N455" i="31"/>
  <c r="N18" i="31" s="1"/>
  <c r="L214" i="2" s="1"/>
  <c r="Y214" i="2" s="1"/>
  <c r="M455" i="31"/>
  <c r="M18" i="31" s="1"/>
  <c r="K214" i="2" s="1"/>
  <c r="X214" i="2" s="1"/>
  <c r="L455" i="31"/>
  <c r="K455" i="31"/>
  <c r="K18" i="31" s="1"/>
  <c r="I214" i="2" s="1"/>
  <c r="V214" i="2" s="1"/>
  <c r="J455" i="31"/>
  <c r="J18" i="31" s="1"/>
  <c r="H214" i="2" s="1"/>
  <c r="U214" i="2" s="1"/>
  <c r="I455" i="31"/>
  <c r="I18" i="31" s="1"/>
  <c r="G214" i="2" s="1"/>
  <c r="T214" i="2" s="1"/>
  <c r="H455" i="31"/>
  <c r="H18" i="31" s="1"/>
  <c r="F214" i="2" s="1"/>
  <c r="S214" i="2" s="1"/>
  <c r="G455" i="31"/>
  <c r="G18" i="31" s="1"/>
  <c r="E214" i="2" s="1"/>
  <c r="R214" i="2" s="1"/>
  <c r="F455" i="31"/>
  <c r="F18" i="31" s="1"/>
  <c r="D214" i="2" s="1"/>
  <c r="Q214" i="2" s="1"/>
  <c r="E455" i="31"/>
  <c r="E18" i="31" s="1"/>
  <c r="C214" i="2" s="1"/>
  <c r="P214" i="2" s="1"/>
  <c r="D455" i="31"/>
  <c r="D18" i="31" s="1"/>
  <c r="B214" i="2" s="1"/>
  <c r="O214" i="2" s="1"/>
  <c r="O448" i="31"/>
  <c r="O66" i="31" s="1"/>
  <c r="N448" i="31"/>
  <c r="M448" i="31"/>
  <c r="M66" i="31" s="1"/>
  <c r="L448" i="31"/>
  <c r="L66" i="31" s="1"/>
  <c r="K448" i="31"/>
  <c r="K66" i="31" s="1"/>
  <c r="J448" i="31"/>
  <c r="J66" i="31" s="1"/>
  <c r="I448" i="31"/>
  <c r="I66" i="31" s="1"/>
  <c r="H448" i="31"/>
  <c r="H66" i="31" s="1"/>
  <c r="G448" i="31"/>
  <c r="G66" i="31" s="1"/>
  <c r="F448" i="31"/>
  <c r="F66" i="31" s="1"/>
  <c r="E448" i="31"/>
  <c r="E66" i="31" s="1"/>
  <c r="D448" i="31"/>
  <c r="D66" i="31" s="1"/>
  <c r="O447" i="31"/>
  <c r="O58" i="31" s="1"/>
  <c r="N447" i="31"/>
  <c r="N58" i="31" s="1"/>
  <c r="M447" i="31"/>
  <c r="M58" i="31" s="1"/>
  <c r="L447" i="31"/>
  <c r="L58" i="31" s="1"/>
  <c r="K447" i="31"/>
  <c r="K58" i="31" s="1"/>
  <c r="J447" i="31"/>
  <c r="J58" i="31" s="1"/>
  <c r="I447" i="31"/>
  <c r="I58" i="31" s="1"/>
  <c r="H447" i="31"/>
  <c r="H58" i="31" s="1"/>
  <c r="G447" i="31"/>
  <c r="G58" i="31" s="1"/>
  <c r="F447" i="31"/>
  <c r="F58" i="31" s="1"/>
  <c r="E447" i="31"/>
  <c r="E58" i="31" s="1"/>
  <c r="D447" i="31"/>
  <c r="D58" i="31" s="1"/>
  <c r="O440" i="31"/>
  <c r="N440" i="31"/>
  <c r="M440" i="31"/>
  <c r="L440" i="31"/>
  <c r="K440" i="31"/>
  <c r="J440" i="31"/>
  <c r="I440" i="31"/>
  <c r="H440" i="31"/>
  <c r="G440" i="31"/>
  <c r="F440" i="31"/>
  <c r="E440" i="31"/>
  <c r="D440" i="31"/>
  <c r="O429" i="31"/>
  <c r="N429" i="31"/>
  <c r="M429" i="31"/>
  <c r="L429" i="31"/>
  <c r="K429" i="31"/>
  <c r="J429" i="31"/>
  <c r="I429" i="31"/>
  <c r="H429" i="31"/>
  <c r="G429" i="31"/>
  <c r="F429" i="31"/>
  <c r="E429" i="31"/>
  <c r="D429" i="31"/>
  <c r="O418" i="31"/>
  <c r="O17" i="31" s="1"/>
  <c r="M213" i="2" s="1"/>
  <c r="Z213" i="2" s="1"/>
  <c r="N418" i="31"/>
  <c r="N17" i="31" s="1"/>
  <c r="L213" i="2" s="1"/>
  <c r="Y213" i="2" s="1"/>
  <c r="M418" i="31"/>
  <c r="M17" i="31" s="1"/>
  <c r="K213" i="2" s="1"/>
  <c r="X213" i="2" s="1"/>
  <c r="L418" i="31"/>
  <c r="K418" i="31"/>
  <c r="K17" i="31" s="1"/>
  <c r="I213" i="2" s="1"/>
  <c r="V213" i="2" s="1"/>
  <c r="J418" i="31"/>
  <c r="J17" i="31" s="1"/>
  <c r="H213" i="2" s="1"/>
  <c r="U213" i="2" s="1"/>
  <c r="I418" i="31"/>
  <c r="I17" i="31" s="1"/>
  <c r="G213" i="2" s="1"/>
  <c r="T213" i="2" s="1"/>
  <c r="H418" i="31"/>
  <c r="H17" i="31" s="1"/>
  <c r="F213" i="2" s="1"/>
  <c r="S213" i="2" s="1"/>
  <c r="G418" i="31"/>
  <c r="G17" i="31" s="1"/>
  <c r="E213" i="2" s="1"/>
  <c r="R213" i="2" s="1"/>
  <c r="F418" i="31"/>
  <c r="F17" i="31" s="1"/>
  <c r="D213" i="2" s="1"/>
  <c r="Q213" i="2" s="1"/>
  <c r="E418" i="31"/>
  <c r="E17" i="31" s="1"/>
  <c r="C213" i="2" s="1"/>
  <c r="P213" i="2" s="1"/>
  <c r="D418" i="31"/>
  <c r="D17" i="31" s="1"/>
  <c r="B213" i="2" s="1"/>
  <c r="O213" i="2" s="1"/>
  <c r="O411" i="31"/>
  <c r="O62" i="31" s="1"/>
  <c r="N411" i="31"/>
  <c r="N62" i="31" s="1"/>
  <c r="M411" i="31"/>
  <c r="M62" i="31" s="1"/>
  <c r="L411" i="31"/>
  <c r="L62" i="31" s="1"/>
  <c r="K411" i="31"/>
  <c r="K62" i="31" s="1"/>
  <c r="J411" i="31"/>
  <c r="J62" i="31" s="1"/>
  <c r="I411" i="31"/>
  <c r="I62" i="31" s="1"/>
  <c r="H411" i="31"/>
  <c r="H62" i="31" s="1"/>
  <c r="G411" i="31"/>
  <c r="G62" i="31" s="1"/>
  <c r="F411" i="31"/>
  <c r="F62" i="31" s="1"/>
  <c r="E411" i="31"/>
  <c r="E62" i="31" s="1"/>
  <c r="D411" i="31"/>
  <c r="D62" i="31" s="1"/>
  <c r="O410" i="31"/>
  <c r="O44" i="31" s="1"/>
  <c r="N410" i="31"/>
  <c r="N44" i="31" s="1"/>
  <c r="M410" i="31"/>
  <c r="M44" i="31" s="1"/>
  <c r="L410" i="31"/>
  <c r="L44" i="31" s="1"/>
  <c r="K410" i="31"/>
  <c r="K44" i="31" s="1"/>
  <c r="J410" i="31"/>
  <c r="J44" i="31" s="1"/>
  <c r="I410" i="31"/>
  <c r="I44" i="31" s="1"/>
  <c r="H410" i="31"/>
  <c r="H44" i="31" s="1"/>
  <c r="G410" i="31"/>
  <c r="F410" i="31"/>
  <c r="F44" i="31" s="1"/>
  <c r="E410" i="31"/>
  <c r="E44" i="31" s="1"/>
  <c r="D410" i="31"/>
  <c r="D44" i="31" s="1"/>
  <c r="O394" i="31"/>
  <c r="O16" i="31" s="1"/>
  <c r="M212" i="2" s="1"/>
  <c r="Z212" i="2" s="1"/>
  <c r="N394" i="31"/>
  <c r="N16" i="31" s="1"/>
  <c r="L212" i="2" s="1"/>
  <c r="Y212" i="2" s="1"/>
  <c r="M394" i="31"/>
  <c r="M16" i="31" s="1"/>
  <c r="K212" i="2" s="1"/>
  <c r="X212" i="2" s="1"/>
  <c r="L394" i="31"/>
  <c r="K394" i="31"/>
  <c r="K16" i="31" s="1"/>
  <c r="I212" i="2" s="1"/>
  <c r="V212" i="2" s="1"/>
  <c r="J394" i="31"/>
  <c r="J16" i="31" s="1"/>
  <c r="H212" i="2" s="1"/>
  <c r="U212" i="2" s="1"/>
  <c r="I394" i="31"/>
  <c r="I16" i="31" s="1"/>
  <c r="G212" i="2" s="1"/>
  <c r="T212" i="2" s="1"/>
  <c r="H394" i="31"/>
  <c r="H16" i="31" s="1"/>
  <c r="F212" i="2" s="1"/>
  <c r="S212" i="2" s="1"/>
  <c r="G394" i="31"/>
  <c r="G16" i="31" s="1"/>
  <c r="E212" i="2" s="1"/>
  <c r="R212" i="2" s="1"/>
  <c r="F394" i="31"/>
  <c r="F16" i="31" s="1"/>
  <c r="D212" i="2" s="1"/>
  <c r="Q212" i="2" s="1"/>
  <c r="E394" i="31"/>
  <c r="E16" i="31" s="1"/>
  <c r="C212" i="2" s="1"/>
  <c r="P212" i="2" s="1"/>
  <c r="D394" i="31"/>
  <c r="D16" i="31" s="1"/>
  <c r="B212" i="2" s="1"/>
  <c r="O212" i="2" s="1"/>
  <c r="O387" i="31"/>
  <c r="O57" i="31" s="1"/>
  <c r="N387" i="31"/>
  <c r="N57" i="31" s="1"/>
  <c r="M387" i="31"/>
  <c r="M57" i="31" s="1"/>
  <c r="M59" i="31" s="1"/>
  <c r="K368" i="3" s="1"/>
  <c r="L387" i="31"/>
  <c r="L57" i="31" s="1"/>
  <c r="K387" i="31"/>
  <c r="J387" i="31"/>
  <c r="J57" i="31" s="1"/>
  <c r="I387" i="31"/>
  <c r="I57" i="31" s="1"/>
  <c r="I59" i="31" s="1"/>
  <c r="G368" i="3" s="1"/>
  <c r="H387" i="31"/>
  <c r="G387" i="31"/>
  <c r="G57" i="31" s="1"/>
  <c r="F387" i="31"/>
  <c r="F57" i="31" s="1"/>
  <c r="E387" i="31"/>
  <c r="E57" i="31" s="1"/>
  <c r="E59" i="31" s="1"/>
  <c r="C368" i="3" s="1"/>
  <c r="D387" i="31"/>
  <c r="D57" i="31" s="1"/>
  <c r="O359" i="31"/>
  <c r="O15" i="31" s="1"/>
  <c r="M211" i="2" s="1"/>
  <c r="Z211" i="2" s="1"/>
  <c r="N359" i="31"/>
  <c r="N15" i="31" s="1"/>
  <c r="L211" i="2" s="1"/>
  <c r="Y211" i="2" s="1"/>
  <c r="M359" i="31"/>
  <c r="M15" i="31" s="1"/>
  <c r="K211" i="2" s="1"/>
  <c r="X211" i="2" s="1"/>
  <c r="L359" i="31"/>
  <c r="L15" i="31" s="1"/>
  <c r="J211" i="2" s="1"/>
  <c r="W211" i="2" s="1"/>
  <c r="K359" i="31"/>
  <c r="K15" i="31" s="1"/>
  <c r="I211" i="2" s="1"/>
  <c r="V211" i="2" s="1"/>
  <c r="J359" i="31"/>
  <c r="J15" i="31" s="1"/>
  <c r="H211" i="2" s="1"/>
  <c r="U211" i="2" s="1"/>
  <c r="I359" i="31"/>
  <c r="I15" i="31" s="1"/>
  <c r="G211" i="2" s="1"/>
  <c r="T211" i="2" s="1"/>
  <c r="H359" i="31"/>
  <c r="H15" i="31" s="1"/>
  <c r="F211" i="2" s="1"/>
  <c r="S211" i="2" s="1"/>
  <c r="G359" i="31"/>
  <c r="G15" i="31" s="1"/>
  <c r="E211" i="2" s="1"/>
  <c r="R211" i="2" s="1"/>
  <c r="F359" i="31"/>
  <c r="F15" i="31" s="1"/>
  <c r="D211" i="2" s="1"/>
  <c r="Q211" i="2" s="1"/>
  <c r="E359" i="31"/>
  <c r="E15" i="31" s="1"/>
  <c r="C211" i="2" s="1"/>
  <c r="P211" i="2" s="1"/>
  <c r="D359" i="31"/>
  <c r="D15" i="31" s="1"/>
  <c r="B211" i="2" s="1"/>
  <c r="O211" i="2" s="1"/>
  <c r="O351" i="31"/>
  <c r="O72" i="31" s="1"/>
  <c r="N351" i="31"/>
  <c r="N72" i="31" s="1"/>
  <c r="M351" i="31"/>
  <c r="M72" i="31" s="1"/>
  <c r="M74" i="31" s="1"/>
  <c r="K531" i="3" s="1"/>
  <c r="L351" i="31"/>
  <c r="K351" i="31"/>
  <c r="K72" i="31" s="1"/>
  <c r="J351" i="31"/>
  <c r="J72" i="31" s="1"/>
  <c r="I351" i="31"/>
  <c r="I72" i="31" s="1"/>
  <c r="H351" i="31"/>
  <c r="H72" i="31" s="1"/>
  <c r="H74" i="31" s="1"/>
  <c r="F531" i="3" s="1"/>
  <c r="G351" i="31"/>
  <c r="G72" i="31" s="1"/>
  <c r="F351" i="31"/>
  <c r="F72" i="31" s="1"/>
  <c r="E351" i="31"/>
  <c r="E72" i="31" s="1"/>
  <c r="E74" i="31" s="1"/>
  <c r="C531" i="3" s="1"/>
  <c r="D351" i="31"/>
  <c r="D72" i="31" s="1"/>
  <c r="O350" i="31"/>
  <c r="O55" i="31" s="1"/>
  <c r="M359" i="3" s="1"/>
  <c r="N350" i="31"/>
  <c r="N55" i="31" s="1"/>
  <c r="M350" i="31"/>
  <c r="M55" i="31" s="1"/>
  <c r="K359" i="3" s="1"/>
  <c r="L350" i="31"/>
  <c r="L55" i="31" s="1"/>
  <c r="J359" i="3" s="1"/>
  <c r="K350" i="31"/>
  <c r="K55" i="31" s="1"/>
  <c r="I359" i="3" s="1"/>
  <c r="J350" i="31"/>
  <c r="J55" i="31" s="1"/>
  <c r="H359" i="3" s="1"/>
  <c r="I350" i="31"/>
  <c r="I55" i="31" s="1"/>
  <c r="G359" i="3" s="1"/>
  <c r="H350" i="31"/>
  <c r="H55" i="31" s="1"/>
  <c r="F359" i="3" s="1"/>
  <c r="G350" i="31"/>
  <c r="G55" i="31" s="1"/>
  <c r="E359" i="3" s="1"/>
  <c r="F350" i="31"/>
  <c r="F55" i="31" s="1"/>
  <c r="D359" i="3" s="1"/>
  <c r="E350" i="31"/>
  <c r="E55" i="31" s="1"/>
  <c r="C359" i="3" s="1"/>
  <c r="D350" i="31"/>
  <c r="D55" i="31" s="1"/>
  <c r="B359" i="3" s="1"/>
  <c r="O349" i="31"/>
  <c r="O40" i="31" s="1"/>
  <c r="N349" i="31"/>
  <c r="M349" i="31"/>
  <c r="M40" i="31" s="1"/>
  <c r="L349" i="31"/>
  <c r="K349" i="31"/>
  <c r="K40" i="31" s="1"/>
  <c r="J349" i="31"/>
  <c r="J40" i="31" s="1"/>
  <c r="I349" i="31"/>
  <c r="I40" i="31" s="1"/>
  <c r="H349" i="31"/>
  <c r="H40" i="31" s="1"/>
  <c r="G349" i="31"/>
  <c r="G40" i="31" s="1"/>
  <c r="F349" i="31"/>
  <c r="F40" i="31" s="1"/>
  <c r="E349" i="31"/>
  <c r="E40" i="31" s="1"/>
  <c r="D349" i="31"/>
  <c r="D40" i="31" s="1"/>
  <c r="O345" i="31"/>
  <c r="N345" i="31"/>
  <c r="M345" i="31"/>
  <c r="L345" i="31"/>
  <c r="K345" i="31"/>
  <c r="J345" i="31"/>
  <c r="I345" i="31"/>
  <c r="H345" i="31"/>
  <c r="G345" i="31"/>
  <c r="F345" i="31"/>
  <c r="E345" i="31"/>
  <c r="D345" i="31"/>
  <c r="O341" i="31"/>
  <c r="N341" i="31"/>
  <c r="M341" i="31"/>
  <c r="L341" i="31"/>
  <c r="K341" i="31"/>
  <c r="J341" i="31"/>
  <c r="I341" i="31"/>
  <c r="H341" i="31"/>
  <c r="G341" i="31"/>
  <c r="F341" i="31"/>
  <c r="E341" i="31"/>
  <c r="D341" i="31"/>
  <c r="O337" i="31"/>
  <c r="N337" i="31"/>
  <c r="M337" i="31"/>
  <c r="L337" i="31"/>
  <c r="K337" i="31"/>
  <c r="J337" i="31"/>
  <c r="I337" i="31"/>
  <c r="H337" i="31"/>
  <c r="G337" i="31"/>
  <c r="F337" i="31"/>
  <c r="E337" i="31"/>
  <c r="D337" i="31"/>
  <c r="O334" i="31"/>
  <c r="N334" i="31"/>
  <c r="M334" i="31"/>
  <c r="L334" i="31"/>
  <c r="K334" i="31"/>
  <c r="J334" i="31"/>
  <c r="I334" i="31"/>
  <c r="H334" i="31"/>
  <c r="G334" i="31"/>
  <c r="F334" i="31"/>
  <c r="E334" i="31"/>
  <c r="D334" i="31"/>
  <c r="O326" i="31"/>
  <c r="N326" i="31"/>
  <c r="M326" i="31"/>
  <c r="L326" i="31"/>
  <c r="K326" i="31"/>
  <c r="J326" i="31"/>
  <c r="I326" i="31"/>
  <c r="H326" i="31"/>
  <c r="G326" i="31"/>
  <c r="F326" i="31"/>
  <c r="E326" i="31"/>
  <c r="D326" i="31"/>
  <c r="O321" i="31"/>
  <c r="O14" i="31" s="1"/>
  <c r="M210" i="2" s="1"/>
  <c r="Z210" i="2" s="1"/>
  <c r="N321" i="31"/>
  <c r="N14" i="31" s="1"/>
  <c r="L210" i="2" s="1"/>
  <c r="Y210" i="2" s="1"/>
  <c r="M321" i="31"/>
  <c r="M14" i="31" s="1"/>
  <c r="K210" i="2" s="1"/>
  <c r="X210" i="2" s="1"/>
  <c r="L321" i="31"/>
  <c r="L14" i="31" s="1"/>
  <c r="J210" i="2" s="1"/>
  <c r="W210" i="2" s="1"/>
  <c r="K321" i="31"/>
  <c r="K14" i="31" s="1"/>
  <c r="I210" i="2" s="1"/>
  <c r="V210" i="2" s="1"/>
  <c r="J321" i="31"/>
  <c r="J14" i="31" s="1"/>
  <c r="H210" i="2" s="1"/>
  <c r="U210" i="2" s="1"/>
  <c r="I321" i="31"/>
  <c r="I14" i="31" s="1"/>
  <c r="G210" i="2" s="1"/>
  <c r="T210" i="2" s="1"/>
  <c r="H321" i="31"/>
  <c r="H14" i="31" s="1"/>
  <c r="F210" i="2" s="1"/>
  <c r="S210" i="2" s="1"/>
  <c r="G321" i="31"/>
  <c r="G14" i="31" s="1"/>
  <c r="E210" i="2" s="1"/>
  <c r="R210" i="2" s="1"/>
  <c r="F321" i="31"/>
  <c r="F14" i="31" s="1"/>
  <c r="D210" i="2" s="1"/>
  <c r="Q210" i="2" s="1"/>
  <c r="E321" i="31"/>
  <c r="E14" i="31" s="1"/>
  <c r="C210" i="2" s="1"/>
  <c r="P210" i="2" s="1"/>
  <c r="D321" i="31"/>
  <c r="O310" i="31"/>
  <c r="O53" i="31" s="1"/>
  <c r="M349" i="3" s="1"/>
  <c r="N310" i="31"/>
  <c r="N53" i="31" s="1"/>
  <c r="L349" i="3" s="1"/>
  <c r="M310" i="31"/>
  <c r="M53" i="31" s="1"/>
  <c r="K349" i="3" s="1"/>
  <c r="L310" i="31"/>
  <c r="L53" i="31" s="1"/>
  <c r="J349" i="3" s="1"/>
  <c r="K310" i="31"/>
  <c r="K53" i="31" s="1"/>
  <c r="I349" i="3" s="1"/>
  <c r="J310" i="31"/>
  <c r="J53" i="31" s="1"/>
  <c r="H349" i="3" s="1"/>
  <c r="I310" i="31"/>
  <c r="I53" i="31" s="1"/>
  <c r="G349" i="3" s="1"/>
  <c r="H310" i="31"/>
  <c r="H53" i="31" s="1"/>
  <c r="F349" i="3" s="1"/>
  <c r="G310" i="31"/>
  <c r="G53" i="31" s="1"/>
  <c r="E349" i="3" s="1"/>
  <c r="F310" i="31"/>
  <c r="F53" i="31" s="1"/>
  <c r="D349" i="3" s="1"/>
  <c r="E310" i="31"/>
  <c r="E53" i="31" s="1"/>
  <c r="C349" i="3" s="1"/>
  <c r="D310" i="31"/>
  <c r="D53" i="31" s="1"/>
  <c r="B349" i="3" s="1"/>
  <c r="O296" i="31"/>
  <c r="O13" i="31" s="1"/>
  <c r="M209" i="2" s="1"/>
  <c r="N296" i="31"/>
  <c r="N13" i="31" s="1"/>
  <c r="L209" i="2" s="1"/>
  <c r="Y209" i="2" s="1"/>
  <c r="M296" i="31"/>
  <c r="M13" i="31" s="1"/>
  <c r="K209" i="2" s="1"/>
  <c r="X209" i="2" s="1"/>
  <c r="L296" i="31"/>
  <c r="L13" i="31" s="1"/>
  <c r="J209" i="2" s="1"/>
  <c r="W209" i="2" s="1"/>
  <c r="K296" i="31"/>
  <c r="K13" i="31" s="1"/>
  <c r="I209" i="2" s="1"/>
  <c r="V209" i="2" s="1"/>
  <c r="J296" i="31"/>
  <c r="J13" i="31" s="1"/>
  <c r="H209" i="2" s="1"/>
  <c r="U209" i="2" s="1"/>
  <c r="I296" i="31"/>
  <c r="I13" i="31" s="1"/>
  <c r="G209" i="2" s="1"/>
  <c r="T209" i="2" s="1"/>
  <c r="H296" i="31"/>
  <c r="G296" i="31"/>
  <c r="G13" i="31" s="1"/>
  <c r="E209" i="2" s="1"/>
  <c r="R209" i="2" s="1"/>
  <c r="F296" i="31"/>
  <c r="F13" i="31" s="1"/>
  <c r="D209" i="2" s="1"/>
  <c r="Q209" i="2" s="1"/>
  <c r="E296" i="31"/>
  <c r="E13" i="31" s="1"/>
  <c r="C209" i="2" s="1"/>
  <c r="P209" i="2" s="1"/>
  <c r="D296" i="31"/>
  <c r="D13" i="31" s="1"/>
  <c r="B209" i="2" s="1"/>
  <c r="O209" i="2" s="1"/>
  <c r="O289" i="31"/>
  <c r="O51" i="31" s="1"/>
  <c r="M299" i="3" s="1"/>
  <c r="N289" i="31"/>
  <c r="N51" i="31" s="1"/>
  <c r="L299" i="3" s="1"/>
  <c r="M289" i="31"/>
  <c r="M51" i="31" s="1"/>
  <c r="K299" i="3" s="1"/>
  <c r="L289" i="31"/>
  <c r="L51" i="31" s="1"/>
  <c r="J299" i="3" s="1"/>
  <c r="K289" i="31"/>
  <c r="K51" i="31" s="1"/>
  <c r="I299" i="3" s="1"/>
  <c r="J289" i="31"/>
  <c r="J51" i="31" s="1"/>
  <c r="H299" i="3" s="1"/>
  <c r="I289" i="31"/>
  <c r="I51" i="31" s="1"/>
  <c r="G299" i="3" s="1"/>
  <c r="H289" i="31"/>
  <c r="H51" i="31" s="1"/>
  <c r="F299" i="3" s="1"/>
  <c r="G289" i="31"/>
  <c r="G51" i="31" s="1"/>
  <c r="E299" i="3" s="1"/>
  <c r="F289" i="31"/>
  <c r="F51" i="31" s="1"/>
  <c r="D299" i="3" s="1"/>
  <c r="E289" i="31"/>
  <c r="E51" i="31" s="1"/>
  <c r="C299" i="3" s="1"/>
  <c r="D289" i="31"/>
  <c r="O288" i="31"/>
  <c r="O47" i="31" s="1"/>
  <c r="N288" i="31"/>
  <c r="N47" i="31" s="1"/>
  <c r="M288" i="31"/>
  <c r="M47" i="31" s="1"/>
  <c r="M49" i="31" s="1"/>
  <c r="K250" i="3" s="1"/>
  <c r="L288" i="31"/>
  <c r="K288" i="31"/>
  <c r="K47" i="31" s="1"/>
  <c r="J288" i="31"/>
  <c r="J47" i="31" s="1"/>
  <c r="I288" i="31"/>
  <c r="I47" i="31" s="1"/>
  <c r="I49" i="31" s="1"/>
  <c r="G250" i="3" s="1"/>
  <c r="H288" i="31"/>
  <c r="H47" i="31" s="1"/>
  <c r="G288" i="31"/>
  <c r="G47" i="31" s="1"/>
  <c r="F288" i="31"/>
  <c r="F47" i="31" s="1"/>
  <c r="E288" i="31"/>
  <c r="E47" i="31" s="1"/>
  <c r="E49" i="31" s="1"/>
  <c r="C250" i="3" s="1"/>
  <c r="D288" i="31"/>
  <c r="D47" i="31" s="1"/>
  <c r="O259" i="31"/>
  <c r="O12" i="31" s="1"/>
  <c r="M208" i="2" s="1"/>
  <c r="Z208" i="2" s="1"/>
  <c r="N259" i="31"/>
  <c r="N12" i="31" s="1"/>
  <c r="L208" i="2" s="1"/>
  <c r="Y208" i="2" s="1"/>
  <c r="M259" i="31"/>
  <c r="M12" i="31" s="1"/>
  <c r="K208" i="2" s="1"/>
  <c r="X208" i="2" s="1"/>
  <c r="L259" i="31"/>
  <c r="L12" i="31" s="1"/>
  <c r="J208" i="2" s="1"/>
  <c r="W208" i="2" s="1"/>
  <c r="K259" i="31"/>
  <c r="K12" i="31" s="1"/>
  <c r="I208" i="2" s="1"/>
  <c r="V208" i="2" s="1"/>
  <c r="J259" i="31"/>
  <c r="J12" i="31" s="1"/>
  <c r="H208" i="2" s="1"/>
  <c r="U208" i="2" s="1"/>
  <c r="I259" i="31"/>
  <c r="I12" i="31" s="1"/>
  <c r="G208" i="2" s="1"/>
  <c r="T208" i="2" s="1"/>
  <c r="H259" i="31"/>
  <c r="G259" i="31"/>
  <c r="G12" i="31" s="1"/>
  <c r="E208" i="2" s="1"/>
  <c r="R208" i="2" s="1"/>
  <c r="F259" i="31"/>
  <c r="F12" i="31" s="1"/>
  <c r="D208" i="2" s="1"/>
  <c r="Q208" i="2" s="1"/>
  <c r="E259" i="31"/>
  <c r="E12" i="31" s="1"/>
  <c r="C208" i="2" s="1"/>
  <c r="P208" i="2" s="1"/>
  <c r="D259" i="31"/>
  <c r="D12" i="31" s="1"/>
  <c r="B208" i="2" s="1"/>
  <c r="O208" i="2" s="1"/>
  <c r="O252" i="31"/>
  <c r="O43" i="31" s="1"/>
  <c r="N252" i="31"/>
  <c r="N43" i="31" s="1"/>
  <c r="M252" i="31"/>
  <c r="M43" i="31" s="1"/>
  <c r="M45" i="31" s="1"/>
  <c r="K232" i="3" s="1"/>
  <c r="L252" i="31"/>
  <c r="L43" i="31" s="1"/>
  <c r="L45" i="31" s="1"/>
  <c r="J232" i="3" s="1"/>
  <c r="K252" i="31"/>
  <c r="K43" i="31" s="1"/>
  <c r="J252" i="31"/>
  <c r="J43" i="31" s="1"/>
  <c r="I252" i="31"/>
  <c r="I43" i="31" s="1"/>
  <c r="I45" i="31" s="1"/>
  <c r="G232" i="3" s="1"/>
  <c r="H252" i="31"/>
  <c r="H43" i="31" s="1"/>
  <c r="G252" i="31"/>
  <c r="G43" i="31" s="1"/>
  <c r="F252" i="31"/>
  <c r="F43" i="31" s="1"/>
  <c r="E252" i="31"/>
  <c r="E43" i="31" s="1"/>
  <c r="E45" i="31" s="1"/>
  <c r="C232" i="3" s="1"/>
  <c r="D252" i="31"/>
  <c r="O234" i="31"/>
  <c r="O11" i="31" s="1"/>
  <c r="M207" i="2" s="1"/>
  <c r="Z207" i="2" s="1"/>
  <c r="N234" i="31"/>
  <c r="N11" i="31" s="1"/>
  <c r="L207" i="2" s="1"/>
  <c r="Y207" i="2" s="1"/>
  <c r="M234" i="31"/>
  <c r="M11" i="31" s="1"/>
  <c r="K207" i="2" s="1"/>
  <c r="X207" i="2" s="1"/>
  <c r="L234" i="31"/>
  <c r="L11" i="31" s="1"/>
  <c r="J207" i="2" s="1"/>
  <c r="W207" i="2" s="1"/>
  <c r="K234" i="31"/>
  <c r="K11" i="31" s="1"/>
  <c r="I207" i="2" s="1"/>
  <c r="V207" i="2" s="1"/>
  <c r="J234" i="31"/>
  <c r="J11" i="31" s="1"/>
  <c r="H207" i="2" s="1"/>
  <c r="U207" i="2" s="1"/>
  <c r="I234" i="31"/>
  <c r="I11" i="31" s="1"/>
  <c r="G207" i="2" s="1"/>
  <c r="T207" i="2" s="1"/>
  <c r="H234" i="31"/>
  <c r="H11" i="31" s="1"/>
  <c r="F207" i="2" s="1"/>
  <c r="S207" i="2" s="1"/>
  <c r="G234" i="31"/>
  <c r="G11" i="31" s="1"/>
  <c r="E207" i="2" s="1"/>
  <c r="R207" i="2" s="1"/>
  <c r="F234" i="31"/>
  <c r="F11" i="31" s="1"/>
  <c r="D207" i="2" s="1"/>
  <c r="Q207" i="2" s="1"/>
  <c r="E234" i="31"/>
  <c r="E11" i="31" s="1"/>
  <c r="C207" i="2" s="1"/>
  <c r="P207" i="2" s="1"/>
  <c r="D234" i="31"/>
  <c r="D11" i="31" s="1"/>
  <c r="B207" i="2" s="1"/>
  <c r="O207" i="2" s="1"/>
  <c r="O227" i="31"/>
  <c r="O39" i="31" s="1"/>
  <c r="N227" i="31"/>
  <c r="N39" i="31" s="1"/>
  <c r="M227" i="31"/>
  <c r="M39" i="31" s="1"/>
  <c r="M41" i="31" s="1"/>
  <c r="K180" i="3" s="1"/>
  <c r="L227" i="31"/>
  <c r="L39" i="31" s="1"/>
  <c r="K227" i="31"/>
  <c r="K39" i="31" s="1"/>
  <c r="J227" i="31"/>
  <c r="J39" i="31" s="1"/>
  <c r="I227" i="31"/>
  <c r="I39" i="31" s="1"/>
  <c r="I41" i="31" s="1"/>
  <c r="G180" i="3" s="1"/>
  <c r="H227" i="31"/>
  <c r="H39" i="31" s="1"/>
  <c r="G227" i="31"/>
  <c r="F227" i="31"/>
  <c r="F39" i="31" s="1"/>
  <c r="E227" i="31"/>
  <c r="E39" i="31" s="1"/>
  <c r="E41" i="31" s="1"/>
  <c r="C180" i="3" s="1"/>
  <c r="D227" i="31"/>
  <c r="O204" i="31"/>
  <c r="O10" i="31" s="1"/>
  <c r="M206" i="2" s="1"/>
  <c r="Z206" i="2" s="1"/>
  <c r="N204" i="31"/>
  <c r="N10" i="31" s="1"/>
  <c r="L206" i="2" s="1"/>
  <c r="Y206" i="2" s="1"/>
  <c r="M204" i="31"/>
  <c r="M10" i="31" s="1"/>
  <c r="K206" i="2" s="1"/>
  <c r="X206" i="2" s="1"/>
  <c r="L204" i="31"/>
  <c r="L10" i="31" s="1"/>
  <c r="J206" i="2" s="1"/>
  <c r="W206" i="2" s="1"/>
  <c r="K204" i="31"/>
  <c r="J204" i="31"/>
  <c r="J10" i="31" s="1"/>
  <c r="H206" i="2" s="1"/>
  <c r="U206" i="2" s="1"/>
  <c r="I204" i="31"/>
  <c r="I10" i="31" s="1"/>
  <c r="G206" i="2" s="1"/>
  <c r="T206" i="2" s="1"/>
  <c r="H204" i="31"/>
  <c r="G204" i="31"/>
  <c r="G10" i="31" s="1"/>
  <c r="E206" i="2" s="1"/>
  <c r="R206" i="2" s="1"/>
  <c r="F204" i="31"/>
  <c r="F10" i="31" s="1"/>
  <c r="D206" i="2" s="1"/>
  <c r="Q206" i="2" s="1"/>
  <c r="E204" i="31"/>
  <c r="E10" i="31" s="1"/>
  <c r="C206" i="2" s="1"/>
  <c r="P206" i="2" s="1"/>
  <c r="D204" i="31"/>
  <c r="D10" i="31" s="1"/>
  <c r="B206" i="2" s="1"/>
  <c r="O206" i="2" s="1"/>
  <c r="O194" i="31"/>
  <c r="O65" i="31" s="1"/>
  <c r="N194" i="31"/>
  <c r="N65" i="31" s="1"/>
  <c r="M194" i="31"/>
  <c r="M65" i="31" s="1"/>
  <c r="M68" i="31" s="1"/>
  <c r="K417" i="3" s="1"/>
  <c r="L194" i="31"/>
  <c r="L65" i="31" s="1"/>
  <c r="K194" i="31"/>
  <c r="K65" i="31" s="1"/>
  <c r="J194" i="31"/>
  <c r="J65" i="31" s="1"/>
  <c r="I194" i="31"/>
  <c r="I65" i="31" s="1"/>
  <c r="I68" i="31" s="1"/>
  <c r="G417" i="3" s="1"/>
  <c r="H194" i="31"/>
  <c r="H65" i="31" s="1"/>
  <c r="G194" i="31"/>
  <c r="G65" i="31" s="1"/>
  <c r="F194" i="31"/>
  <c r="F65" i="31" s="1"/>
  <c r="E194" i="31"/>
  <c r="E65" i="31" s="1"/>
  <c r="E68" i="31" s="1"/>
  <c r="C417" i="3" s="1"/>
  <c r="D194" i="31"/>
  <c r="O193" i="31"/>
  <c r="O37" i="31" s="1"/>
  <c r="M111" i="3" s="1"/>
  <c r="N193" i="31"/>
  <c r="N37" i="31" s="1"/>
  <c r="L111" i="3" s="1"/>
  <c r="M193" i="31"/>
  <c r="M37" i="31" s="1"/>
  <c r="K111" i="3" s="1"/>
  <c r="L193" i="31"/>
  <c r="L37" i="31" s="1"/>
  <c r="J111" i="3" s="1"/>
  <c r="K193" i="31"/>
  <c r="K37" i="31" s="1"/>
  <c r="I111" i="3" s="1"/>
  <c r="J193" i="31"/>
  <c r="J37" i="31" s="1"/>
  <c r="H111" i="3" s="1"/>
  <c r="I193" i="31"/>
  <c r="I37" i="31" s="1"/>
  <c r="G111" i="3" s="1"/>
  <c r="H193" i="31"/>
  <c r="H37" i="31" s="1"/>
  <c r="F111" i="3" s="1"/>
  <c r="G193" i="31"/>
  <c r="G37" i="31" s="1"/>
  <c r="E111" i="3" s="1"/>
  <c r="F193" i="31"/>
  <c r="F37" i="31" s="1"/>
  <c r="D111" i="3" s="1"/>
  <c r="E193" i="31"/>
  <c r="E37" i="31" s="1"/>
  <c r="C111" i="3" s="1"/>
  <c r="D193" i="31"/>
  <c r="O190" i="31"/>
  <c r="N190" i="31"/>
  <c r="M190" i="31"/>
  <c r="L190" i="31"/>
  <c r="K190" i="31"/>
  <c r="J190" i="31"/>
  <c r="I190" i="31"/>
  <c r="H190" i="31"/>
  <c r="G190" i="31"/>
  <c r="F190" i="31"/>
  <c r="E190" i="31"/>
  <c r="D190" i="31"/>
  <c r="O187" i="31"/>
  <c r="N187" i="31"/>
  <c r="M187" i="31"/>
  <c r="L187" i="31"/>
  <c r="K187" i="31"/>
  <c r="J187" i="31"/>
  <c r="I187" i="31"/>
  <c r="H187" i="31"/>
  <c r="G187" i="31"/>
  <c r="F187" i="31"/>
  <c r="E187" i="31"/>
  <c r="D187" i="31"/>
  <c r="O173" i="31"/>
  <c r="O9" i="31" s="1"/>
  <c r="M205" i="2" s="1"/>
  <c r="Z205" i="2" s="1"/>
  <c r="N173" i="31"/>
  <c r="N9" i="31" s="1"/>
  <c r="L205" i="2" s="1"/>
  <c r="Y205" i="2" s="1"/>
  <c r="M173" i="31"/>
  <c r="M9" i="31" s="1"/>
  <c r="K205" i="2" s="1"/>
  <c r="X205" i="2" s="1"/>
  <c r="L173" i="31"/>
  <c r="L9" i="31" s="1"/>
  <c r="J205" i="2" s="1"/>
  <c r="W205" i="2" s="1"/>
  <c r="K173" i="31"/>
  <c r="K9" i="31" s="1"/>
  <c r="I205" i="2" s="1"/>
  <c r="V205" i="2" s="1"/>
  <c r="J173" i="31"/>
  <c r="J9" i="31" s="1"/>
  <c r="H205" i="2" s="1"/>
  <c r="U205" i="2" s="1"/>
  <c r="I173" i="31"/>
  <c r="I9" i="31" s="1"/>
  <c r="G205" i="2" s="1"/>
  <c r="T205" i="2" s="1"/>
  <c r="H173" i="31"/>
  <c r="H9" i="31" s="1"/>
  <c r="G173" i="31"/>
  <c r="G9" i="31" s="1"/>
  <c r="E205" i="2" s="1"/>
  <c r="R205" i="2" s="1"/>
  <c r="F173" i="31"/>
  <c r="F9" i="31" s="1"/>
  <c r="D205" i="2" s="1"/>
  <c r="Q205" i="2" s="1"/>
  <c r="E173" i="31"/>
  <c r="E9" i="31" s="1"/>
  <c r="C205" i="2" s="1"/>
  <c r="P205" i="2" s="1"/>
  <c r="D173" i="31"/>
  <c r="D9" i="31" s="1"/>
  <c r="B205" i="2" s="1"/>
  <c r="O205" i="2" s="1"/>
  <c r="O166" i="31"/>
  <c r="O35" i="31" s="1"/>
  <c r="M83" i="3" s="1"/>
  <c r="N166" i="31"/>
  <c r="N35" i="31" s="1"/>
  <c r="L83" i="3" s="1"/>
  <c r="M166" i="31"/>
  <c r="M35" i="31" s="1"/>
  <c r="K83" i="3" s="1"/>
  <c r="L166" i="31"/>
  <c r="L35" i="31" s="1"/>
  <c r="J83" i="3" s="1"/>
  <c r="K166" i="31"/>
  <c r="K35" i="31" s="1"/>
  <c r="I83" i="3" s="1"/>
  <c r="J166" i="31"/>
  <c r="J35" i="31" s="1"/>
  <c r="H83" i="3" s="1"/>
  <c r="I166" i="31"/>
  <c r="I35" i="31" s="1"/>
  <c r="G83" i="3" s="1"/>
  <c r="H166" i="31"/>
  <c r="H35" i="31" s="1"/>
  <c r="F83" i="3" s="1"/>
  <c r="G166" i="31"/>
  <c r="G35" i="31" s="1"/>
  <c r="E83" i="3" s="1"/>
  <c r="F166" i="31"/>
  <c r="F35" i="31" s="1"/>
  <c r="D83" i="3" s="1"/>
  <c r="E166" i="31"/>
  <c r="E35" i="31" s="1"/>
  <c r="C83" i="3" s="1"/>
  <c r="D166" i="31"/>
  <c r="D35" i="31" s="1"/>
  <c r="B83" i="3" s="1"/>
  <c r="O149" i="31"/>
  <c r="O8" i="31" s="1"/>
  <c r="N149" i="31"/>
  <c r="N8" i="31" s="1"/>
  <c r="L204" i="2" s="1"/>
  <c r="M149" i="31"/>
  <c r="M8" i="31" s="1"/>
  <c r="M3" i="31" s="1"/>
  <c r="L149" i="31"/>
  <c r="K149" i="31"/>
  <c r="K8" i="31" s="1"/>
  <c r="J149" i="31"/>
  <c r="J8" i="31" s="1"/>
  <c r="H204" i="2" s="1"/>
  <c r="I149" i="31"/>
  <c r="I8" i="31" s="1"/>
  <c r="I3" i="31" s="1"/>
  <c r="H149" i="31"/>
  <c r="H8" i="31" s="1"/>
  <c r="F204" i="2" s="1"/>
  <c r="G149" i="31"/>
  <c r="G8" i="31" s="1"/>
  <c r="E204" i="2" s="1"/>
  <c r="R204" i="2" s="1"/>
  <c r="F149" i="31"/>
  <c r="F8" i="31" s="1"/>
  <c r="E149" i="31"/>
  <c r="E8" i="31" s="1"/>
  <c r="D149" i="31"/>
  <c r="D8" i="31" s="1"/>
  <c r="B204" i="2" s="1"/>
  <c r="O142" i="31"/>
  <c r="O33" i="31" s="1"/>
  <c r="M47" i="3" s="1"/>
  <c r="N142" i="31"/>
  <c r="N33" i="31" s="1"/>
  <c r="L47" i="3" s="1"/>
  <c r="M142" i="31"/>
  <c r="M33" i="31" s="1"/>
  <c r="K47" i="3" s="1"/>
  <c r="L142" i="31"/>
  <c r="K142" i="31"/>
  <c r="K33" i="31" s="1"/>
  <c r="I47" i="3" s="1"/>
  <c r="J142" i="31"/>
  <c r="J33" i="31" s="1"/>
  <c r="H47" i="3" s="1"/>
  <c r="I142" i="31"/>
  <c r="I33" i="31" s="1"/>
  <c r="G47" i="3" s="1"/>
  <c r="H142" i="31"/>
  <c r="G142" i="31"/>
  <c r="G33" i="31" s="1"/>
  <c r="E47" i="3" s="1"/>
  <c r="F142" i="31"/>
  <c r="F33" i="31" s="1"/>
  <c r="D47" i="3" s="1"/>
  <c r="E142" i="31"/>
  <c r="E33" i="31" s="1"/>
  <c r="C47" i="3" s="1"/>
  <c r="D142" i="31"/>
  <c r="D33" i="31" s="1"/>
  <c r="B47" i="3" s="1"/>
  <c r="O141" i="31"/>
  <c r="O29" i="31" s="1"/>
  <c r="N141" i="31"/>
  <c r="M141" i="31"/>
  <c r="M29" i="31" s="1"/>
  <c r="M31" i="31" s="1"/>
  <c r="K46" i="3" s="1"/>
  <c r="L141" i="31"/>
  <c r="K141" i="31"/>
  <c r="K29" i="31" s="1"/>
  <c r="J141" i="31"/>
  <c r="J29" i="31" s="1"/>
  <c r="I141" i="31"/>
  <c r="I29" i="31" s="1"/>
  <c r="I31" i="31" s="1"/>
  <c r="G46" i="3" s="1"/>
  <c r="H141" i="31"/>
  <c r="H29" i="31" s="1"/>
  <c r="G141" i="31"/>
  <c r="G29" i="31" s="1"/>
  <c r="F141" i="31"/>
  <c r="F29" i="31" s="1"/>
  <c r="F31" i="31" s="1"/>
  <c r="D46" i="3" s="1"/>
  <c r="E141" i="31"/>
  <c r="E29" i="31" s="1"/>
  <c r="E31" i="31" s="1"/>
  <c r="C46" i="3" s="1"/>
  <c r="D141" i="31"/>
  <c r="D29" i="31" s="1"/>
  <c r="O118" i="31"/>
  <c r="O5" i="31" s="1"/>
  <c r="N118" i="31"/>
  <c r="N5" i="31" s="1"/>
  <c r="M118" i="31"/>
  <c r="M5" i="31" s="1"/>
  <c r="M24" i="31" s="1"/>
  <c r="L118" i="31"/>
  <c r="L5" i="31" s="1"/>
  <c r="L24" i="31" s="1"/>
  <c r="K118" i="31"/>
  <c r="J118" i="31"/>
  <c r="J5" i="31" s="1"/>
  <c r="J24" i="31" s="1"/>
  <c r="I118" i="31"/>
  <c r="I5" i="31" s="1"/>
  <c r="I24" i="31" s="1"/>
  <c r="H118" i="31"/>
  <c r="H5" i="31" s="1"/>
  <c r="G118" i="31"/>
  <c r="G5" i="31" s="1"/>
  <c r="G24" i="31" s="1"/>
  <c r="F118" i="31"/>
  <c r="F5" i="31" s="1"/>
  <c r="F24" i="31" s="1"/>
  <c r="E118" i="31"/>
  <c r="E5" i="31" s="1"/>
  <c r="E24" i="31" s="1"/>
  <c r="D118" i="31"/>
  <c r="D5" i="31" s="1"/>
  <c r="O111" i="31"/>
  <c r="O61" i="31" s="1"/>
  <c r="N111" i="31"/>
  <c r="N61" i="31" s="1"/>
  <c r="M111" i="31"/>
  <c r="M61" i="31" s="1"/>
  <c r="M63" i="31" s="1"/>
  <c r="K376" i="3" s="1"/>
  <c r="L111" i="31"/>
  <c r="L61" i="31" s="1"/>
  <c r="K111" i="31"/>
  <c r="K61" i="31" s="1"/>
  <c r="J111" i="31"/>
  <c r="J61" i="31" s="1"/>
  <c r="I111" i="31"/>
  <c r="I61" i="31" s="1"/>
  <c r="I63" i="31" s="1"/>
  <c r="G376" i="3" s="1"/>
  <c r="H111" i="31"/>
  <c r="H61" i="31" s="1"/>
  <c r="G111" i="31"/>
  <c r="G61" i="31" s="1"/>
  <c r="F111" i="31"/>
  <c r="F61" i="31" s="1"/>
  <c r="E111" i="31"/>
  <c r="E61" i="31" s="1"/>
  <c r="E63" i="31" s="1"/>
  <c r="C376" i="3" s="1"/>
  <c r="D111" i="31"/>
  <c r="D61" i="31" s="1"/>
  <c r="O110" i="31"/>
  <c r="O27" i="31" s="1"/>
  <c r="M44" i="3" s="1"/>
  <c r="N110" i="31"/>
  <c r="N27" i="31" s="1"/>
  <c r="L44" i="3" s="1"/>
  <c r="M110" i="31"/>
  <c r="M27" i="31" s="1"/>
  <c r="L110" i="31"/>
  <c r="L27" i="31" s="1"/>
  <c r="K110" i="31"/>
  <c r="K27" i="31" s="1"/>
  <c r="I44" i="3" s="1"/>
  <c r="J110" i="31"/>
  <c r="J27" i="31" s="1"/>
  <c r="H44" i="3" s="1"/>
  <c r="I110" i="31"/>
  <c r="I27" i="31" s="1"/>
  <c r="H110" i="31"/>
  <c r="H27" i="31" s="1"/>
  <c r="G110" i="31"/>
  <c r="G27" i="31" s="1"/>
  <c r="E44" i="3" s="1"/>
  <c r="F110" i="31"/>
  <c r="F27" i="31" s="1"/>
  <c r="D44" i="3" s="1"/>
  <c r="E110" i="31"/>
  <c r="E27" i="31" s="1"/>
  <c r="D110" i="31"/>
  <c r="O101" i="31"/>
  <c r="N101" i="31"/>
  <c r="M101" i="31"/>
  <c r="L101" i="31"/>
  <c r="K101" i="31"/>
  <c r="J101" i="31"/>
  <c r="I101" i="31"/>
  <c r="H101" i="31"/>
  <c r="G101" i="31"/>
  <c r="F101" i="31"/>
  <c r="E101" i="31"/>
  <c r="D101" i="31"/>
  <c r="O94" i="31"/>
  <c r="N94" i="31"/>
  <c r="M94" i="31"/>
  <c r="L94" i="31"/>
  <c r="K94" i="31"/>
  <c r="J94" i="31"/>
  <c r="I94" i="31"/>
  <c r="H94" i="31"/>
  <c r="G94" i="31"/>
  <c r="F94" i="31"/>
  <c r="E94" i="31"/>
  <c r="D94" i="31"/>
  <c r="O87" i="31"/>
  <c r="O4" i="31" s="1"/>
  <c r="N87" i="31"/>
  <c r="N4" i="31" s="1"/>
  <c r="M87" i="31"/>
  <c r="M4" i="31" s="1"/>
  <c r="M23" i="31" s="1"/>
  <c r="L87" i="31"/>
  <c r="K87" i="31"/>
  <c r="K4" i="31" s="1"/>
  <c r="J87" i="31"/>
  <c r="J4" i="31" s="1"/>
  <c r="I87" i="31"/>
  <c r="I4" i="31" s="1"/>
  <c r="I23" i="31" s="1"/>
  <c r="H87" i="31"/>
  <c r="H4" i="31" s="1"/>
  <c r="G87" i="31"/>
  <c r="G4" i="31" s="1"/>
  <c r="E217" i="2" s="1"/>
  <c r="R217" i="2" s="1"/>
  <c r="F87" i="31"/>
  <c r="F4" i="31" s="1"/>
  <c r="F23" i="31" s="1"/>
  <c r="E87" i="31"/>
  <c r="E4" i="31" s="1"/>
  <c r="E23" i="31" s="1"/>
  <c r="D87" i="31"/>
  <c r="D4" i="31" s="1"/>
  <c r="O73" i="31"/>
  <c r="N73" i="31"/>
  <c r="L72" i="31"/>
  <c r="D70" i="31"/>
  <c r="B507" i="3" s="1"/>
  <c r="L67" i="31"/>
  <c r="N66" i="31"/>
  <c r="D65" i="31"/>
  <c r="K57" i="31"/>
  <c r="H57" i="31"/>
  <c r="D51" i="31"/>
  <c r="B299" i="3" s="1"/>
  <c r="K48" i="31"/>
  <c r="H48" i="31"/>
  <c r="L47" i="31"/>
  <c r="G44" i="31"/>
  <c r="D43" i="31"/>
  <c r="N40" i="31"/>
  <c r="L40" i="31"/>
  <c r="G39" i="31"/>
  <c r="D39" i="31"/>
  <c r="D37" i="31"/>
  <c r="B111" i="3" s="1"/>
  <c r="L33" i="31"/>
  <c r="J47" i="3" s="1"/>
  <c r="H33" i="31"/>
  <c r="F47" i="3" s="1"/>
  <c r="L30" i="31"/>
  <c r="J30" i="31"/>
  <c r="N29" i="31"/>
  <c r="L29" i="31"/>
  <c r="D27" i="31"/>
  <c r="L18" i="31"/>
  <c r="J214" i="2" s="1"/>
  <c r="W214" i="2" s="1"/>
  <c r="L17" i="31"/>
  <c r="J213" i="2" s="1"/>
  <c r="W213" i="2" s="1"/>
  <c r="L16" i="31"/>
  <c r="D14" i="31"/>
  <c r="B210" i="2" s="1"/>
  <c r="O210" i="2" s="1"/>
  <c r="H13" i="31"/>
  <c r="H12" i="31"/>
  <c r="F208" i="2" s="1"/>
  <c r="S208" i="2" s="1"/>
  <c r="K10" i="31"/>
  <c r="I206" i="2" s="1"/>
  <c r="V206" i="2" s="1"/>
  <c r="H10" i="31"/>
  <c r="F206" i="2" s="1"/>
  <c r="S206" i="2" s="1"/>
  <c r="L8" i="31"/>
  <c r="J204" i="2" s="1"/>
  <c r="K5" i="31"/>
  <c r="K24" i="31" s="1"/>
  <c r="L4" i="31"/>
  <c r="L23" i="31" s="1"/>
  <c r="N19" i="58"/>
  <c r="G19" i="58"/>
  <c r="F19" i="58"/>
  <c r="O17" i="58"/>
  <c r="N17" i="58"/>
  <c r="L17" i="58"/>
  <c r="K17" i="58"/>
  <c r="J17" i="58"/>
  <c r="H17" i="58"/>
  <c r="G17" i="58"/>
  <c r="F17" i="58"/>
  <c r="D17" i="58"/>
  <c r="O15" i="58"/>
  <c r="N15" i="58"/>
  <c r="L15" i="58"/>
  <c r="K15" i="58"/>
  <c r="J15" i="58"/>
  <c r="H15" i="58"/>
  <c r="G15" i="58"/>
  <c r="F15" i="58"/>
  <c r="D15" i="58"/>
  <c r="O13" i="58"/>
  <c r="O17" i="59" s="1"/>
  <c r="N13" i="58"/>
  <c r="N17" i="59" s="1"/>
  <c r="M13" i="58"/>
  <c r="M17" i="59" s="1"/>
  <c r="L13" i="58"/>
  <c r="K13" i="58"/>
  <c r="K17" i="59" s="1"/>
  <c r="J13" i="58"/>
  <c r="J17" i="59" s="1"/>
  <c r="I13" i="58"/>
  <c r="H13" i="58"/>
  <c r="G13" i="58"/>
  <c r="G17" i="59" s="1"/>
  <c r="F13" i="58"/>
  <c r="F17" i="59" s="1"/>
  <c r="E13" i="58"/>
  <c r="E17" i="59" s="1"/>
  <c r="D13" i="58"/>
  <c r="O11" i="58"/>
  <c r="N11" i="58"/>
  <c r="N15" i="59" s="1"/>
  <c r="M11" i="58"/>
  <c r="M15" i="59" s="1"/>
  <c r="L11" i="58"/>
  <c r="K11" i="58"/>
  <c r="K15" i="59" s="1"/>
  <c r="J11" i="58"/>
  <c r="J15" i="59" s="1"/>
  <c r="I11" i="58"/>
  <c r="I15" i="59" s="1"/>
  <c r="H11" i="58"/>
  <c r="G11" i="58"/>
  <c r="G15" i="59" s="1"/>
  <c r="F11" i="58"/>
  <c r="F15" i="59" s="1"/>
  <c r="E11" i="58"/>
  <c r="D11" i="58"/>
  <c r="O8" i="58"/>
  <c r="N8" i="58"/>
  <c r="M8" i="58"/>
  <c r="L8" i="58"/>
  <c r="K8" i="58"/>
  <c r="J8" i="58"/>
  <c r="I8" i="58"/>
  <c r="H8" i="58"/>
  <c r="G8" i="58"/>
  <c r="F8" i="58"/>
  <c r="E8" i="58"/>
  <c r="D8" i="58"/>
  <c r="O7" i="58"/>
  <c r="N7" i="58"/>
  <c r="N11" i="59" s="1"/>
  <c r="N13" i="59" s="1"/>
  <c r="M7" i="58"/>
  <c r="M19" i="58" s="1"/>
  <c r="L7" i="58"/>
  <c r="L11" i="59" s="1"/>
  <c r="L13" i="59" s="1"/>
  <c r="K7" i="58"/>
  <c r="K19" i="58" s="1"/>
  <c r="J7" i="58"/>
  <c r="J11" i="59" s="1"/>
  <c r="J13" i="59" s="1"/>
  <c r="I7" i="58"/>
  <c r="I19" i="58" s="1"/>
  <c r="H7" i="58"/>
  <c r="G7" i="58"/>
  <c r="G11" i="59" s="1"/>
  <c r="G13" i="59" s="1"/>
  <c r="G21" i="59" s="1"/>
  <c r="F7" i="58"/>
  <c r="E7" i="58"/>
  <c r="E11" i="59" s="1"/>
  <c r="E13" i="59" s="1"/>
  <c r="D7" i="58"/>
  <c r="N5" i="58"/>
  <c r="J5" i="58"/>
  <c r="I5" i="58"/>
  <c r="F5" i="58"/>
  <c r="E5" i="58"/>
  <c r="O3" i="58"/>
  <c r="O5" i="58" s="1"/>
  <c r="N3" i="58"/>
  <c r="M3" i="58"/>
  <c r="M5" i="58" s="1"/>
  <c r="L3" i="58"/>
  <c r="L5" i="58" s="1"/>
  <c r="K3" i="58"/>
  <c r="K5" i="58" s="1"/>
  <c r="J3" i="58"/>
  <c r="I3" i="58"/>
  <c r="H3" i="58"/>
  <c r="H5" i="58" s="1"/>
  <c r="G3" i="58"/>
  <c r="G5" i="58" s="1"/>
  <c r="F3" i="58"/>
  <c r="E3" i="58"/>
  <c r="D3" i="58"/>
  <c r="D5" i="58" s="1"/>
  <c r="O15" i="55"/>
  <c r="G15" i="55"/>
  <c r="O13" i="55"/>
  <c r="N13" i="55"/>
  <c r="D13" i="55"/>
  <c r="M10" i="55"/>
  <c r="K10" i="55"/>
  <c r="I10" i="55"/>
  <c r="O9" i="55"/>
  <c r="O7" i="56" s="1"/>
  <c r="N9" i="55"/>
  <c r="N7" i="56" s="1"/>
  <c r="M9" i="55"/>
  <c r="M7" i="56" s="1"/>
  <c r="M9" i="56" s="1"/>
  <c r="L9" i="55"/>
  <c r="L7" i="56" s="1"/>
  <c r="K9" i="55"/>
  <c r="K7" i="56" s="1"/>
  <c r="J9" i="55"/>
  <c r="J7" i="56" s="1"/>
  <c r="J9" i="56" s="1"/>
  <c r="I9" i="55"/>
  <c r="I7" i="56" s="1"/>
  <c r="I9" i="56" s="1"/>
  <c r="H9" i="55"/>
  <c r="H7" i="56" s="1"/>
  <c r="G9" i="55"/>
  <c r="G7" i="56" s="1"/>
  <c r="F9" i="55"/>
  <c r="F7" i="56" s="1"/>
  <c r="E9" i="55"/>
  <c r="E7" i="56" s="1"/>
  <c r="E9" i="56" s="1"/>
  <c r="D9" i="55"/>
  <c r="D7" i="56" s="1"/>
  <c r="O7" i="55"/>
  <c r="O13" i="56" s="1"/>
  <c r="N7" i="55"/>
  <c r="M7" i="55"/>
  <c r="M13" i="56" s="1"/>
  <c r="L7" i="55"/>
  <c r="L13" i="56" s="1"/>
  <c r="K7" i="55"/>
  <c r="K13" i="56" s="1"/>
  <c r="J7" i="55"/>
  <c r="I7" i="55"/>
  <c r="I13" i="56" s="1"/>
  <c r="H7" i="55"/>
  <c r="H13" i="56" s="1"/>
  <c r="G7" i="55"/>
  <c r="G13" i="56" s="1"/>
  <c r="F7" i="55"/>
  <c r="F15" i="55" s="1"/>
  <c r="E7" i="55"/>
  <c r="E13" i="56" s="1"/>
  <c r="D7" i="55"/>
  <c r="D13" i="56" s="1"/>
  <c r="O3" i="55"/>
  <c r="O5" i="55" s="1"/>
  <c r="N3" i="55"/>
  <c r="N5" i="55" s="1"/>
  <c r="M3" i="55"/>
  <c r="M5" i="55" s="1"/>
  <c r="L3" i="55"/>
  <c r="L5" i="55" s="1"/>
  <c r="K3" i="55"/>
  <c r="K5" i="55" s="1"/>
  <c r="J3" i="55"/>
  <c r="J5" i="55" s="1"/>
  <c r="I3" i="55"/>
  <c r="I5" i="55" s="1"/>
  <c r="H3" i="55"/>
  <c r="F138" i="2" s="1"/>
  <c r="S138" i="2" s="1"/>
  <c r="G3" i="55"/>
  <c r="G5" i="55" s="1"/>
  <c r="F3" i="55"/>
  <c r="F5" i="55" s="1"/>
  <c r="E3" i="55"/>
  <c r="E5" i="55" s="1"/>
  <c r="D3" i="55"/>
  <c r="D5" i="55" s="1"/>
  <c r="O508" i="57"/>
  <c r="N508" i="57"/>
  <c r="M508" i="57"/>
  <c r="M72" i="57" s="1"/>
  <c r="K478" i="3" s="1"/>
  <c r="L508" i="57"/>
  <c r="K508" i="57"/>
  <c r="J508" i="57"/>
  <c r="J72" i="57" s="1"/>
  <c r="H478" i="3" s="1"/>
  <c r="I508" i="57"/>
  <c r="I72" i="57" s="1"/>
  <c r="G478" i="3" s="1"/>
  <c r="H508" i="57"/>
  <c r="H72" i="57" s="1"/>
  <c r="G508" i="57"/>
  <c r="F508" i="57"/>
  <c r="F72" i="57" s="1"/>
  <c r="D478" i="3" s="1"/>
  <c r="E508" i="57"/>
  <c r="E72" i="57" s="1"/>
  <c r="C478" i="3" s="1"/>
  <c r="D508" i="57"/>
  <c r="O507" i="57"/>
  <c r="N507" i="57"/>
  <c r="N51" i="57" s="1"/>
  <c r="M507" i="57"/>
  <c r="M51" i="57" s="1"/>
  <c r="L507" i="57"/>
  <c r="L51" i="57" s="1"/>
  <c r="K507" i="57"/>
  <c r="J507" i="57"/>
  <c r="J51" i="57" s="1"/>
  <c r="I507" i="57"/>
  <c r="I51" i="57" s="1"/>
  <c r="H507" i="57"/>
  <c r="H51" i="57" s="1"/>
  <c r="G507" i="57"/>
  <c r="F507" i="57"/>
  <c r="F51" i="57" s="1"/>
  <c r="E507" i="57"/>
  <c r="E51" i="57" s="1"/>
  <c r="D507" i="57"/>
  <c r="D51" i="57" s="1"/>
  <c r="O485" i="57"/>
  <c r="N485" i="57"/>
  <c r="N18" i="57" s="1"/>
  <c r="L282" i="2" s="1"/>
  <c r="Y282" i="2" s="1"/>
  <c r="M485" i="57"/>
  <c r="M18" i="57" s="1"/>
  <c r="K282" i="2" s="1"/>
  <c r="X282" i="2" s="1"/>
  <c r="L485" i="57"/>
  <c r="L18" i="57" s="1"/>
  <c r="J282" i="2" s="1"/>
  <c r="W282" i="2" s="1"/>
  <c r="K485" i="57"/>
  <c r="J485" i="57"/>
  <c r="J18" i="57" s="1"/>
  <c r="H282" i="2" s="1"/>
  <c r="U282" i="2" s="1"/>
  <c r="I485" i="57"/>
  <c r="I18" i="57" s="1"/>
  <c r="G282" i="2" s="1"/>
  <c r="T282" i="2" s="1"/>
  <c r="H485" i="57"/>
  <c r="H18" i="57" s="1"/>
  <c r="F282" i="2" s="1"/>
  <c r="S282" i="2" s="1"/>
  <c r="G485" i="57"/>
  <c r="F485" i="57"/>
  <c r="F18" i="57" s="1"/>
  <c r="D282" i="2" s="1"/>
  <c r="Q282" i="2" s="1"/>
  <c r="E485" i="57"/>
  <c r="E18" i="57" s="1"/>
  <c r="C282" i="2" s="1"/>
  <c r="P282" i="2" s="1"/>
  <c r="D485" i="57"/>
  <c r="O478" i="57"/>
  <c r="N478" i="57"/>
  <c r="N69" i="57" s="1"/>
  <c r="M478" i="57"/>
  <c r="M69" i="57" s="1"/>
  <c r="L478" i="57"/>
  <c r="K478" i="57"/>
  <c r="J478" i="57"/>
  <c r="J69" i="57" s="1"/>
  <c r="I478" i="57"/>
  <c r="I69" i="57" s="1"/>
  <c r="H478" i="57"/>
  <c r="H69" i="57" s="1"/>
  <c r="G478" i="57"/>
  <c r="F478" i="57"/>
  <c r="F69" i="57" s="1"/>
  <c r="E478" i="57"/>
  <c r="E69" i="57" s="1"/>
  <c r="D478" i="57"/>
  <c r="O477" i="57"/>
  <c r="N477" i="57"/>
  <c r="N29" i="57" s="1"/>
  <c r="M477" i="57"/>
  <c r="M29" i="57" s="1"/>
  <c r="L477" i="57"/>
  <c r="L29" i="57" s="1"/>
  <c r="K477" i="57"/>
  <c r="J477" i="57"/>
  <c r="J29" i="57" s="1"/>
  <c r="I477" i="57"/>
  <c r="I29" i="57" s="1"/>
  <c r="H477" i="57"/>
  <c r="H29" i="57" s="1"/>
  <c r="G477" i="57"/>
  <c r="F477" i="57"/>
  <c r="F29" i="57" s="1"/>
  <c r="E477" i="57"/>
  <c r="E29" i="57" s="1"/>
  <c r="D477" i="57"/>
  <c r="D29" i="57" s="1"/>
  <c r="O451" i="57"/>
  <c r="N451" i="57"/>
  <c r="N17" i="57" s="1"/>
  <c r="L281" i="2" s="1"/>
  <c r="Y281" i="2" s="1"/>
  <c r="M451" i="57"/>
  <c r="M17" i="57" s="1"/>
  <c r="K281" i="2" s="1"/>
  <c r="X281" i="2" s="1"/>
  <c r="L451" i="57"/>
  <c r="L17" i="57" s="1"/>
  <c r="J281" i="2" s="1"/>
  <c r="W281" i="2" s="1"/>
  <c r="K451" i="57"/>
  <c r="J451" i="57"/>
  <c r="J17" i="57" s="1"/>
  <c r="H281" i="2" s="1"/>
  <c r="U281" i="2" s="1"/>
  <c r="I451" i="57"/>
  <c r="I17" i="57" s="1"/>
  <c r="G281" i="2" s="1"/>
  <c r="T281" i="2" s="1"/>
  <c r="H451" i="57"/>
  <c r="H17" i="57" s="1"/>
  <c r="F281" i="2" s="1"/>
  <c r="S281" i="2" s="1"/>
  <c r="G451" i="57"/>
  <c r="F451" i="57"/>
  <c r="F17" i="57" s="1"/>
  <c r="D281" i="2" s="1"/>
  <c r="Q281" i="2" s="1"/>
  <c r="E451" i="57"/>
  <c r="E17" i="57" s="1"/>
  <c r="C281" i="2" s="1"/>
  <c r="P281" i="2" s="1"/>
  <c r="D451" i="57"/>
  <c r="O444" i="57"/>
  <c r="N444" i="57"/>
  <c r="N65" i="57" s="1"/>
  <c r="M444" i="57"/>
  <c r="M65" i="57" s="1"/>
  <c r="L444" i="57"/>
  <c r="L65" i="57" s="1"/>
  <c r="K444" i="57"/>
  <c r="J444" i="57"/>
  <c r="J65" i="57" s="1"/>
  <c r="I444" i="57"/>
  <c r="I65" i="57" s="1"/>
  <c r="H444" i="57"/>
  <c r="H65" i="57" s="1"/>
  <c r="G444" i="57"/>
  <c r="F444" i="57"/>
  <c r="F65" i="57" s="1"/>
  <c r="E444" i="57"/>
  <c r="E65" i="57" s="1"/>
  <c r="D444" i="57"/>
  <c r="D65" i="57" s="1"/>
  <c r="O443" i="57"/>
  <c r="N443" i="57"/>
  <c r="N55" i="57" s="1"/>
  <c r="M443" i="57"/>
  <c r="M55" i="57" s="1"/>
  <c r="L443" i="57"/>
  <c r="L55" i="57" s="1"/>
  <c r="K443" i="57"/>
  <c r="J443" i="57"/>
  <c r="J55" i="57" s="1"/>
  <c r="I443" i="57"/>
  <c r="I55" i="57" s="1"/>
  <c r="H443" i="57"/>
  <c r="H55" i="57" s="1"/>
  <c r="G443" i="57"/>
  <c r="F443" i="57"/>
  <c r="F55" i="57" s="1"/>
  <c r="E443" i="57"/>
  <c r="E55" i="57" s="1"/>
  <c r="D443" i="57"/>
  <c r="D55" i="57" s="1"/>
  <c r="O418" i="57"/>
  <c r="N418" i="57"/>
  <c r="N16" i="57" s="1"/>
  <c r="L280" i="2" s="1"/>
  <c r="Y280" i="2" s="1"/>
  <c r="M418" i="57"/>
  <c r="M16" i="57" s="1"/>
  <c r="K280" i="2" s="1"/>
  <c r="X280" i="2" s="1"/>
  <c r="L418" i="57"/>
  <c r="L16" i="57" s="1"/>
  <c r="J280" i="2" s="1"/>
  <c r="W280" i="2" s="1"/>
  <c r="K418" i="57"/>
  <c r="J418" i="57"/>
  <c r="J16" i="57" s="1"/>
  <c r="H280" i="2" s="1"/>
  <c r="U280" i="2" s="1"/>
  <c r="I418" i="57"/>
  <c r="I16" i="57" s="1"/>
  <c r="G280" i="2" s="1"/>
  <c r="T280" i="2" s="1"/>
  <c r="H418" i="57"/>
  <c r="G418" i="57"/>
  <c r="F418" i="57"/>
  <c r="F16" i="57" s="1"/>
  <c r="D280" i="2" s="1"/>
  <c r="Q280" i="2" s="1"/>
  <c r="E418" i="57"/>
  <c r="E16" i="57" s="1"/>
  <c r="C280" i="2" s="1"/>
  <c r="P280" i="2" s="1"/>
  <c r="D418" i="57"/>
  <c r="D16" i="57" s="1"/>
  <c r="B280" i="2" s="1"/>
  <c r="O280" i="2" s="1"/>
  <c r="O411" i="57"/>
  <c r="O62" i="57" s="1"/>
  <c r="M401" i="3" s="1"/>
  <c r="N411" i="57"/>
  <c r="N62" i="57" s="1"/>
  <c r="L401" i="3" s="1"/>
  <c r="M411" i="57"/>
  <c r="M62" i="57" s="1"/>
  <c r="K401" i="3" s="1"/>
  <c r="L411" i="57"/>
  <c r="K411" i="57"/>
  <c r="J411" i="57"/>
  <c r="J62" i="57" s="1"/>
  <c r="H401" i="3" s="1"/>
  <c r="I411" i="57"/>
  <c r="I62" i="57" s="1"/>
  <c r="G401" i="3" s="1"/>
  <c r="H411" i="57"/>
  <c r="H62" i="57" s="1"/>
  <c r="F401" i="3" s="1"/>
  <c r="G411" i="57"/>
  <c r="F411" i="57"/>
  <c r="F62" i="57" s="1"/>
  <c r="D401" i="3" s="1"/>
  <c r="E411" i="57"/>
  <c r="E62" i="57" s="1"/>
  <c r="C401" i="3" s="1"/>
  <c r="D411" i="57"/>
  <c r="D62" i="57" s="1"/>
  <c r="B401" i="3" s="1"/>
  <c r="O410" i="57"/>
  <c r="O39" i="57" s="1"/>
  <c r="N410" i="57"/>
  <c r="N39" i="57" s="1"/>
  <c r="M410" i="57"/>
  <c r="M39" i="57" s="1"/>
  <c r="L410" i="57"/>
  <c r="L39" i="57" s="1"/>
  <c r="K410" i="57"/>
  <c r="J410" i="57"/>
  <c r="J39" i="57" s="1"/>
  <c r="I410" i="57"/>
  <c r="I39" i="57" s="1"/>
  <c r="H410" i="57"/>
  <c r="H39" i="57" s="1"/>
  <c r="G410" i="57"/>
  <c r="F410" i="57"/>
  <c r="F39" i="57" s="1"/>
  <c r="E410" i="57"/>
  <c r="E39" i="57" s="1"/>
  <c r="D410" i="57"/>
  <c r="O384" i="57"/>
  <c r="N384" i="57"/>
  <c r="N15" i="57" s="1"/>
  <c r="L279" i="2" s="1"/>
  <c r="Y279" i="2" s="1"/>
  <c r="M384" i="57"/>
  <c r="M15" i="57" s="1"/>
  <c r="K279" i="2" s="1"/>
  <c r="X279" i="2" s="1"/>
  <c r="L384" i="57"/>
  <c r="L15" i="57" s="1"/>
  <c r="J279" i="2" s="1"/>
  <c r="W279" i="2" s="1"/>
  <c r="K384" i="57"/>
  <c r="J384" i="57"/>
  <c r="J15" i="57" s="1"/>
  <c r="H279" i="2" s="1"/>
  <c r="U279" i="2" s="1"/>
  <c r="I384" i="57"/>
  <c r="I15" i="57" s="1"/>
  <c r="G279" i="2" s="1"/>
  <c r="T279" i="2" s="1"/>
  <c r="H384" i="57"/>
  <c r="H15" i="57" s="1"/>
  <c r="F279" i="2" s="1"/>
  <c r="S279" i="2" s="1"/>
  <c r="G384" i="57"/>
  <c r="F384" i="57"/>
  <c r="F15" i="57" s="1"/>
  <c r="D279" i="2" s="1"/>
  <c r="Q279" i="2" s="1"/>
  <c r="E384" i="57"/>
  <c r="E15" i="57" s="1"/>
  <c r="C279" i="2" s="1"/>
  <c r="P279" i="2" s="1"/>
  <c r="D384" i="57"/>
  <c r="O376" i="57"/>
  <c r="O68" i="57" s="1"/>
  <c r="N376" i="57"/>
  <c r="N68" i="57" s="1"/>
  <c r="M376" i="57"/>
  <c r="M68" i="57" s="1"/>
  <c r="M70" i="57" s="1"/>
  <c r="K471" i="3" s="1"/>
  <c r="L376" i="57"/>
  <c r="L68" i="57" s="1"/>
  <c r="K376" i="57"/>
  <c r="J376" i="57"/>
  <c r="J68" i="57" s="1"/>
  <c r="I376" i="57"/>
  <c r="I68" i="57" s="1"/>
  <c r="I70" i="57" s="1"/>
  <c r="G471" i="3" s="1"/>
  <c r="H376" i="57"/>
  <c r="H68" i="57" s="1"/>
  <c r="G376" i="57"/>
  <c r="F376" i="57"/>
  <c r="F68" i="57" s="1"/>
  <c r="E376" i="57"/>
  <c r="E68" i="57" s="1"/>
  <c r="E70" i="57" s="1"/>
  <c r="C471" i="3" s="1"/>
  <c r="D376" i="57"/>
  <c r="D68" i="57" s="1"/>
  <c r="O375" i="57"/>
  <c r="O60" i="57" s="1"/>
  <c r="M392" i="3" s="1"/>
  <c r="N375" i="57"/>
  <c r="N60" i="57" s="1"/>
  <c r="L392" i="3" s="1"/>
  <c r="M375" i="57"/>
  <c r="M60" i="57" s="1"/>
  <c r="K392" i="3" s="1"/>
  <c r="L375" i="57"/>
  <c r="L60" i="57" s="1"/>
  <c r="J392" i="3" s="1"/>
  <c r="K375" i="57"/>
  <c r="J375" i="57"/>
  <c r="J60" i="57" s="1"/>
  <c r="H392" i="3" s="1"/>
  <c r="I375" i="57"/>
  <c r="I60" i="57" s="1"/>
  <c r="G392" i="3" s="1"/>
  <c r="H375" i="57"/>
  <c r="G375" i="57"/>
  <c r="F375" i="57"/>
  <c r="F60" i="57" s="1"/>
  <c r="D392" i="3" s="1"/>
  <c r="E375" i="57"/>
  <c r="E60" i="57" s="1"/>
  <c r="C392" i="3" s="1"/>
  <c r="D375" i="57"/>
  <c r="D60" i="57" s="1"/>
  <c r="O374" i="57"/>
  <c r="N374" i="57"/>
  <c r="N33" i="57" s="1"/>
  <c r="M374" i="57"/>
  <c r="M33" i="57" s="1"/>
  <c r="L374" i="57"/>
  <c r="L33" i="57" s="1"/>
  <c r="K374" i="57"/>
  <c r="J374" i="57"/>
  <c r="J33" i="57" s="1"/>
  <c r="I374" i="57"/>
  <c r="I33" i="57" s="1"/>
  <c r="H374" i="57"/>
  <c r="H33" i="57" s="1"/>
  <c r="G374" i="57"/>
  <c r="F374" i="57"/>
  <c r="F33" i="57" s="1"/>
  <c r="E374" i="57"/>
  <c r="E33" i="57" s="1"/>
  <c r="D374" i="57"/>
  <c r="O346" i="57"/>
  <c r="O14" i="57" s="1"/>
  <c r="M278" i="2" s="1"/>
  <c r="Z278" i="2" s="1"/>
  <c r="N346" i="57"/>
  <c r="N14" i="57" s="1"/>
  <c r="M346" i="57"/>
  <c r="M14" i="57" s="1"/>
  <c r="K278" i="2" s="1"/>
  <c r="X278" i="2" s="1"/>
  <c r="L346" i="57"/>
  <c r="L14" i="57" s="1"/>
  <c r="J278" i="2" s="1"/>
  <c r="W278" i="2" s="1"/>
  <c r="K346" i="57"/>
  <c r="J346" i="57"/>
  <c r="J14" i="57" s="1"/>
  <c r="H278" i="2" s="1"/>
  <c r="U278" i="2" s="1"/>
  <c r="I346" i="57"/>
  <c r="I14" i="57" s="1"/>
  <c r="G278" i="2" s="1"/>
  <c r="T278" i="2" s="1"/>
  <c r="H346" i="57"/>
  <c r="H14" i="57" s="1"/>
  <c r="F278" i="2" s="1"/>
  <c r="S278" i="2" s="1"/>
  <c r="G346" i="57"/>
  <c r="F346" i="57"/>
  <c r="F14" i="57" s="1"/>
  <c r="D278" i="2" s="1"/>
  <c r="Q278" i="2" s="1"/>
  <c r="E346" i="57"/>
  <c r="E14" i="57" s="1"/>
  <c r="C278" i="2" s="1"/>
  <c r="P278" i="2" s="1"/>
  <c r="D346" i="57"/>
  <c r="D14" i="57" s="1"/>
  <c r="B278" i="2" s="1"/>
  <c r="O278" i="2" s="1"/>
  <c r="O338" i="57"/>
  <c r="N338" i="57"/>
  <c r="N50" i="57" s="1"/>
  <c r="N52" i="57" s="1"/>
  <c r="L278" i="3" s="1"/>
  <c r="M338" i="57"/>
  <c r="M50" i="57" s="1"/>
  <c r="M52" i="57" s="1"/>
  <c r="K278" i="3" s="1"/>
  <c r="L338" i="57"/>
  <c r="L50" i="57" s="1"/>
  <c r="K338" i="57"/>
  <c r="J338" i="57"/>
  <c r="J50" i="57" s="1"/>
  <c r="I338" i="57"/>
  <c r="I50" i="57" s="1"/>
  <c r="I52" i="57" s="1"/>
  <c r="G278" i="3" s="1"/>
  <c r="H338" i="57"/>
  <c r="G338" i="57"/>
  <c r="F338" i="57"/>
  <c r="F50" i="57" s="1"/>
  <c r="E338" i="57"/>
  <c r="E50" i="57" s="1"/>
  <c r="E52" i="57" s="1"/>
  <c r="C278" i="3" s="1"/>
  <c r="D338" i="57"/>
  <c r="D50" i="57" s="1"/>
  <c r="O337" i="57"/>
  <c r="N337" i="57"/>
  <c r="N38" i="57" s="1"/>
  <c r="M337" i="57"/>
  <c r="M38" i="57" s="1"/>
  <c r="M40" i="57" s="1"/>
  <c r="K174" i="3" s="1"/>
  <c r="L337" i="57"/>
  <c r="L38" i="57" s="1"/>
  <c r="K337" i="57"/>
  <c r="J337" i="57"/>
  <c r="J38" i="57" s="1"/>
  <c r="I337" i="57"/>
  <c r="I38" i="57" s="1"/>
  <c r="I40" i="57" s="1"/>
  <c r="G174" i="3" s="1"/>
  <c r="H337" i="57"/>
  <c r="G337" i="57"/>
  <c r="F337" i="57"/>
  <c r="F38" i="57" s="1"/>
  <c r="E337" i="57"/>
  <c r="E38" i="57" s="1"/>
  <c r="E40" i="57" s="1"/>
  <c r="C174" i="3" s="1"/>
  <c r="D337" i="57"/>
  <c r="D38" i="57" s="1"/>
  <c r="O309" i="57"/>
  <c r="N309" i="57"/>
  <c r="N13" i="57" s="1"/>
  <c r="L277" i="2" s="1"/>
  <c r="Y277" i="2" s="1"/>
  <c r="M309" i="57"/>
  <c r="M13" i="57" s="1"/>
  <c r="K277" i="2" s="1"/>
  <c r="X277" i="2" s="1"/>
  <c r="L309" i="57"/>
  <c r="L13" i="57" s="1"/>
  <c r="J277" i="2" s="1"/>
  <c r="W277" i="2" s="1"/>
  <c r="K309" i="57"/>
  <c r="J309" i="57"/>
  <c r="J13" i="57" s="1"/>
  <c r="H277" i="2" s="1"/>
  <c r="U277" i="2" s="1"/>
  <c r="I309" i="57"/>
  <c r="I13" i="57" s="1"/>
  <c r="G277" i="2" s="1"/>
  <c r="T277" i="2" s="1"/>
  <c r="H309" i="57"/>
  <c r="H13" i="57" s="1"/>
  <c r="F277" i="2" s="1"/>
  <c r="S277" i="2" s="1"/>
  <c r="G309" i="57"/>
  <c r="F309" i="57"/>
  <c r="F13" i="57" s="1"/>
  <c r="D277" i="2" s="1"/>
  <c r="Q277" i="2" s="1"/>
  <c r="E309" i="57"/>
  <c r="E13" i="57" s="1"/>
  <c r="C277" i="2" s="1"/>
  <c r="P277" i="2" s="1"/>
  <c r="D309" i="57"/>
  <c r="D13" i="57" s="1"/>
  <c r="B277" i="2" s="1"/>
  <c r="O277" i="2" s="1"/>
  <c r="O302" i="57"/>
  <c r="O48" i="57" s="1"/>
  <c r="M189" i="3" s="1"/>
  <c r="N302" i="57"/>
  <c r="N48" i="57" s="1"/>
  <c r="L189" i="3" s="1"/>
  <c r="M302" i="57"/>
  <c r="M48" i="57" s="1"/>
  <c r="K189" i="3" s="1"/>
  <c r="L302" i="57"/>
  <c r="L48" i="57" s="1"/>
  <c r="J189" i="3" s="1"/>
  <c r="K302" i="57"/>
  <c r="J302" i="57"/>
  <c r="J48" i="57" s="1"/>
  <c r="H189" i="3" s="1"/>
  <c r="I302" i="57"/>
  <c r="I48" i="57" s="1"/>
  <c r="G189" i="3" s="1"/>
  <c r="H302" i="57"/>
  <c r="H48" i="57" s="1"/>
  <c r="F189" i="3" s="1"/>
  <c r="G302" i="57"/>
  <c r="F302" i="57"/>
  <c r="F48" i="57" s="1"/>
  <c r="D189" i="3" s="1"/>
  <c r="E302" i="57"/>
  <c r="E48" i="57" s="1"/>
  <c r="C189" i="3" s="1"/>
  <c r="D302" i="57"/>
  <c r="D48" i="57" s="1"/>
  <c r="B189" i="3" s="1"/>
  <c r="O282" i="57"/>
  <c r="O12" i="57" s="1"/>
  <c r="M276" i="2" s="1"/>
  <c r="Z276" i="2" s="1"/>
  <c r="N282" i="57"/>
  <c r="N12" i="57" s="1"/>
  <c r="L276" i="2" s="1"/>
  <c r="Y276" i="2" s="1"/>
  <c r="M282" i="57"/>
  <c r="M12" i="57" s="1"/>
  <c r="K276" i="2" s="1"/>
  <c r="X276" i="2" s="1"/>
  <c r="L282" i="57"/>
  <c r="K282" i="57"/>
  <c r="J282" i="57"/>
  <c r="J12" i="57" s="1"/>
  <c r="H276" i="2" s="1"/>
  <c r="U276" i="2" s="1"/>
  <c r="I282" i="57"/>
  <c r="I12" i="57" s="1"/>
  <c r="G276" i="2" s="1"/>
  <c r="T276" i="2" s="1"/>
  <c r="H282" i="57"/>
  <c r="H12" i="57" s="1"/>
  <c r="F276" i="2" s="1"/>
  <c r="S276" i="2" s="1"/>
  <c r="G282" i="57"/>
  <c r="F282" i="57"/>
  <c r="F12" i="57" s="1"/>
  <c r="D276" i="2" s="1"/>
  <c r="Q276" i="2" s="1"/>
  <c r="E282" i="57"/>
  <c r="E12" i="57" s="1"/>
  <c r="C276" i="2" s="1"/>
  <c r="P276" i="2" s="1"/>
  <c r="D282" i="57"/>
  <c r="D12" i="57" s="1"/>
  <c r="B276" i="2" s="1"/>
  <c r="O276" i="2" s="1"/>
  <c r="O275" i="57"/>
  <c r="O43" i="57" s="1"/>
  <c r="N275" i="57"/>
  <c r="N43" i="57" s="1"/>
  <c r="M275" i="57"/>
  <c r="M43" i="57" s="1"/>
  <c r="L275" i="57"/>
  <c r="K275" i="57"/>
  <c r="J275" i="57"/>
  <c r="J43" i="57" s="1"/>
  <c r="I275" i="57"/>
  <c r="I43" i="57" s="1"/>
  <c r="H275" i="57"/>
  <c r="H43" i="57" s="1"/>
  <c r="G275" i="57"/>
  <c r="F275" i="57"/>
  <c r="F43" i="57" s="1"/>
  <c r="E275" i="57"/>
  <c r="E43" i="57" s="1"/>
  <c r="D275" i="57"/>
  <c r="D43" i="57" s="1"/>
  <c r="O260" i="57"/>
  <c r="N260" i="57"/>
  <c r="N11" i="57" s="1"/>
  <c r="L275" i="2" s="1"/>
  <c r="Y275" i="2" s="1"/>
  <c r="M260" i="57"/>
  <c r="M11" i="57" s="1"/>
  <c r="K275" i="2" s="1"/>
  <c r="X275" i="2" s="1"/>
  <c r="L260" i="57"/>
  <c r="K260" i="57"/>
  <c r="J260" i="57"/>
  <c r="J11" i="57" s="1"/>
  <c r="H275" i="2" s="1"/>
  <c r="U275" i="2" s="1"/>
  <c r="I260" i="57"/>
  <c r="I11" i="57" s="1"/>
  <c r="G275" i="2" s="1"/>
  <c r="T275" i="2" s="1"/>
  <c r="H260" i="57"/>
  <c r="H11" i="57" s="1"/>
  <c r="F275" i="2" s="1"/>
  <c r="S275" i="2" s="1"/>
  <c r="G260" i="57"/>
  <c r="F260" i="57"/>
  <c r="F11" i="57" s="1"/>
  <c r="D275" i="2" s="1"/>
  <c r="Q275" i="2" s="1"/>
  <c r="E260" i="57"/>
  <c r="E11" i="57" s="1"/>
  <c r="C275" i="2" s="1"/>
  <c r="P275" i="2" s="1"/>
  <c r="D260" i="57"/>
  <c r="D11" i="57" s="1"/>
  <c r="B275" i="2" s="1"/>
  <c r="O275" i="2" s="1"/>
  <c r="O253" i="57"/>
  <c r="N253" i="57"/>
  <c r="N64" i="57" s="1"/>
  <c r="M253" i="57"/>
  <c r="M64" i="57" s="1"/>
  <c r="M66" i="57" s="1"/>
  <c r="K422" i="3" s="1"/>
  <c r="L253" i="57"/>
  <c r="L64" i="57" s="1"/>
  <c r="L66" i="57" s="1"/>
  <c r="J422" i="3" s="1"/>
  <c r="K253" i="57"/>
  <c r="J253" i="57"/>
  <c r="J64" i="57" s="1"/>
  <c r="J66" i="57" s="1"/>
  <c r="H422" i="3" s="1"/>
  <c r="I253" i="57"/>
  <c r="I64" i="57" s="1"/>
  <c r="I66" i="57" s="1"/>
  <c r="G422" i="3" s="1"/>
  <c r="H253" i="57"/>
  <c r="H64" i="57" s="1"/>
  <c r="G253" i="57"/>
  <c r="F253" i="57"/>
  <c r="F64" i="57" s="1"/>
  <c r="E253" i="57"/>
  <c r="E64" i="57" s="1"/>
  <c r="E66" i="57" s="1"/>
  <c r="C422" i="3" s="1"/>
  <c r="D253" i="57"/>
  <c r="D64" i="57" s="1"/>
  <c r="O252" i="57"/>
  <c r="N252" i="57"/>
  <c r="N36" i="57" s="1"/>
  <c r="L144" i="3" s="1"/>
  <c r="M252" i="57"/>
  <c r="M36" i="57" s="1"/>
  <c r="K144" i="3" s="1"/>
  <c r="L252" i="57"/>
  <c r="L36" i="57" s="1"/>
  <c r="J144" i="3" s="1"/>
  <c r="K252" i="57"/>
  <c r="J252" i="57"/>
  <c r="J36" i="57" s="1"/>
  <c r="H144" i="3" s="1"/>
  <c r="I252" i="57"/>
  <c r="I36" i="57" s="1"/>
  <c r="G144" i="3" s="1"/>
  <c r="H252" i="57"/>
  <c r="G252" i="57"/>
  <c r="F252" i="57"/>
  <c r="F36" i="57" s="1"/>
  <c r="D144" i="3" s="1"/>
  <c r="E252" i="57"/>
  <c r="E36" i="57" s="1"/>
  <c r="C144" i="3" s="1"/>
  <c r="D252" i="57"/>
  <c r="D36" i="57" s="1"/>
  <c r="B144" i="3" s="1"/>
  <c r="O238" i="57"/>
  <c r="N238" i="57"/>
  <c r="M238" i="57"/>
  <c r="L238" i="57"/>
  <c r="K238" i="57"/>
  <c r="J238" i="57"/>
  <c r="I238" i="57"/>
  <c r="H238" i="57"/>
  <c r="G238" i="57"/>
  <c r="F238" i="57"/>
  <c r="E238" i="57"/>
  <c r="D238" i="57"/>
  <c r="O231" i="57"/>
  <c r="N231" i="57"/>
  <c r="N10" i="57" s="1"/>
  <c r="L274" i="2" s="1"/>
  <c r="Y274" i="2" s="1"/>
  <c r="M231" i="57"/>
  <c r="M10" i="57" s="1"/>
  <c r="K274" i="2" s="1"/>
  <c r="X274" i="2" s="1"/>
  <c r="L231" i="57"/>
  <c r="L10" i="57" s="1"/>
  <c r="J274" i="2" s="1"/>
  <c r="W274" i="2" s="1"/>
  <c r="K231" i="57"/>
  <c r="J231" i="57"/>
  <c r="J10" i="57" s="1"/>
  <c r="H274" i="2" s="1"/>
  <c r="U274" i="2" s="1"/>
  <c r="I231" i="57"/>
  <c r="I10" i="57" s="1"/>
  <c r="G274" i="2" s="1"/>
  <c r="T274" i="2" s="1"/>
  <c r="H231" i="57"/>
  <c r="H10" i="57" s="1"/>
  <c r="F274" i="2" s="1"/>
  <c r="S274" i="2" s="1"/>
  <c r="G231" i="57"/>
  <c r="F231" i="57"/>
  <c r="F10" i="57" s="1"/>
  <c r="D274" i="2" s="1"/>
  <c r="E231" i="57"/>
  <c r="E10" i="57" s="1"/>
  <c r="C274" i="2" s="1"/>
  <c r="P274" i="2" s="1"/>
  <c r="D231" i="57"/>
  <c r="D10" i="57" s="1"/>
  <c r="B274" i="2" s="1"/>
  <c r="O274" i="2" s="1"/>
  <c r="O224" i="57"/>
  <c r="N224" i="57"/>
  <c r="N32" i="57" s="1"/>
  <c r="M224" i="57"/>
  <c r="M32" i="57" s="1"/>
  <c r="M34" i="57" s="1"/>
  <c r="K133" i="3" s="1"/>
  <c r="L224" i="57"/>
  <c r="L32" i="57" s="1"/>
  <c r="K224" i="57"/>
  <c r="J224" i="57"/>
  <c r="J32" i="57" s="1"/>
  <c r="I224" i="57"/>
  <c r="I32" i="57" s="1"/>
  <c r="I34" i="57" s="1"/>
  <c r="G133" i="3" s="1"/>
  <c r="H224" i="57"/>
  <c r="G224" i="57"/>
  <c r="F224" i="57"/>
  <c r="F32" i="57" s="1"/>
  <c r="E224" i="57"/>
  <c r="E32" i="57" s="1"/>
  <c r="E34" i="57" s="1"/>
  <c r="C133" i="3" s="1"/>
  <c r="D224" i="57"/>
  <c r="D32" i="57" s="1"/>
  <c r="O202" i="57"/>
  <c r="O9" i="57" s="1"/>
  <c r="M273" i="2" s="1"/>
  <c r="Z273" i="2" s="1"/>
  <c r="N202" i="57"/>
  <c r="N9" i="57" s="1"/>
  <c r="L273" i="2" s="1"/>
  <c r="Y273" i="2" s="1"/>
  <c r="M202" i="57"/>
  <c r="M9" i="57" s="1"/>
  <c r="K273" i="2" s="1"/>
  <c r="X273" i="2" s="1"/>
  <c r="L202" i="57"/>
  <c r="L9" i="57" s="1"/>
  <c r="J273" i="2" s="1"/>
  <c r="W273" i="2" s="1"/>
  <c r="K202" i="57"/>
  <c r="J202" i="57"/>
  <c r="J9" i="57" s="1"/>
  <c r="H273" i="2" s="1"/>
  <c r="U273" i="2" s="1"/>
  <c r="I202" i="57"/>
  <c r="I9" i="57" s="1"/>
  <c r="G273" i="2" s="1"/>
  <c r="T273" i="2" s="1"/>
  <c r="H202" i="57"/>
  <c r="G202" i="57"/>
  <c r="F202" i="57"/>
  <c r="F9" i="57" s="1"/>
  <c r="D273" i="2" s="1"/>
  <c r="Q273" i="2" s="1"/>
  <c r="E202" i="57"/>
  <c r="E9" i="57" s="1"/>
  <c r="C273" i="2" s="1"/>
  <c r="P273" i="2" s="1"/>
  <c r="D202" i="57"/>
  <c r="D9" i="57" s="1"/>
  <c r="B273" i="2" s="1"/>
  <c r="O273" i="2" s="1"/>
  <c r="O195" i="57"/>
  <c r="N195" i="57"/>
  <c r="N54" i="57" s="1"/>
  <c r="M195" i="57"/>
  <c r="M54" i="57" s="1"/>
  <c r="M56" i="57" s="1"/>
  <c r="K326" i="3" s="1"/>
  <c r="L195" i="57"/>
  <c r="L54" i="57" s="1"/>
  <c r="K195" i="57"/>
  <c r="J195" i="57"/>
  <c r="J54" i="57" s="1"/>
  <c r="I195" i="57"/>
  <c r="I54" i="57" s="1"/>
  <c r="I56" i="57" s="1"/>
  <c r="G326" i="3" s="1"/>
  <c r="H195" i="57"/>
  <c r="H54" i="57" s="1"/>
  <c r="G195" i="57"/>
  <c r="F195" i="57"/>
  <c r="F54" i="57" s="1"/>
  <c r="E195" i="57"/>
  <c r="E54" i="57" s="1"/>
  <c r="E56" i="57" s="1"/>
  <c r="C326" i="3" s="1"/>
  <c r="D195" i="57"/>
  <c r="D54" i="57" s="1"/>
  <c r="O194" i="57"/>
  <c r="N194" i="57"/>
  <c r="N26" i="57" s="1"/>
  <c r="L93" i="3" s="1"/>
  <c r="M194" i="57"/>
  <c r="M26" i="57" s="1"/>
  <c r="K93" i="3" s="1"/>
  <c r="L194" i="57"/>
  <c r="L26" i="57" s="1"/>
  <c r="J93" i="3" s="1"/>
  <c r="K194" i="57"/>
  <c r="J194" i="57"/>
  <c r="J26" i="57" s="1"/>
  <c r="H93" i="3" s="1"/>
  <c r="I194" i="57"/>
  <c r="I26" i="57" s="1"/>
  <c r="G93" i="3" s="1"/>
  <c r="H194" i="57"/>
  <c r="G194" i="57"/>
  <c r="F194" i="57"/>
  <c r="F26" i="57" s="1"/>
  <c r="D93" i="3" s="1"/>
  <c r="E194" i="57"/>
  <c r="E26" i="57" s="1"/>
  <c r="C93" i="3" s="1"/>
  <c r="D194" i="57"/>
  <c r="D26" i="57" s="1"/>
  <c r="B93" i="3" s="1"/>
  <c r="O188" i="57"/>
  <c r="N188" i="57"/>
  <c r="M188" i="57"/>
  <c r="L188" i="57"/>
  <c r="K188" i="57"/>
  <c r="J188" i="57"/>
  <c r="I188" i="57"/>
  <c r="H188" i="57"/>
  <c r="G188" i="57"/>
  <c r="F188" i="57"/>
  <c r="E188" i="57"/>
  <c r="D188" i="57"/>
  <c r="O185" i="57"/>
  <c r="N185" i="57"/>
  <c r="M185" i="57"/>
  <c r="L185" i="57"/>
  <c r="K185" i="57"/>
  <c r="J185" i="57"/>
  <c r="I185" i="57"/>
  <c r="H185" i="57"/>
  <c r="G185" i="57"/>
  <c r="F185" i="57"/>
  <c r="E185" i="57"/>
  <c r="D185" i="57"/>
  <c r="O167" i="57"/>
  <c r="N167" i="57"/>
  <c r="N8" i="57" s="1"/>
  <c r="L272" i="2" s="1"/>
  <c r="M167" i="57"/>
  <c r="M8" i="57" s="1"/>
  <c r="K272" i="2" s="1"/>
  <c r="X272" i="2" s="1"/>
  <c r="L167" i="57"/>
  <c r="L8" i="57" s="1"/>
  <c r="J272" i="2" s="1"/>
  <c r="W272" i="2" s="1"/>
  <c r="K167" i="57"/>
  <c r="J167" i="57"/>
  <c r="J8" i="57" s="1"/>
  <c r="H272" i="2" s="1"/>
  <c r="U272" i="2" s="1"/>
  <c r="I167" i="57"/>
  <c r="I8" i="57" s="1"/>
  <c r="G272" i="2" s="1"/>
  <c r="T272" i="2" s="1"/>
  <c r="H167" i="57"/>
  <c r="H8" i="57" s="1"/>
  <c r="F272" i="2" s="1"/>
  <c r="S272" i="2" s="1"/>
  <c r="G167" i="57"/>
  <c r="F167" i="57"/>
  <c r="F8" i="57" s="1"/>
  <c r="D272" i="2" s="1"/>
  <c r="Q272" i="2" s="1"/>
  <c r="E167" i="57"/>
  <c r="E8" i="57" s="1"/>
  <c r="C272" i="2" s="1"/>
  <c r="P272" i="2" s="1"/>
  <c r="D167" i="57"/>
  <c r="D8" i="57" s="1"/>
  <c r="B272" i="2" s="1"/>
  <c r="O272" i="2" s="1"/>
  <c r="O160" i="57"/>
  <c r="N160" i="57"/>
  <c r="N42" i="57" s="1"/>
  <c r="M160" i="57"/>
  <c r="M42" i="57" s="1"/>
  <c r="M44" i="57" s="1"/>
  <c r="K178" i="3" s="1"/>
  <c r="L160" i="57"/>
  <c r="L42" i="57" s="1"/>
  <c r="K160" i="57"/>
  <c r="J160" i="57"/>
  <c r="J42" i="57" s="1"/>
  <c r="J44" i="57" s="1"/>
  <c r="H178" i="3" s="1"/>
  <c r="I160" i="57"/>
  <c r="I42" i="57" s="1"/>
  <c r="I44" i="57" s="1"/>
  <c r="G178" i="3" s="1"/>
  <c r="H160" i="57"/>
  <c r="H42" i="57" s="1"/>
  <c r="G160" i="57"/>
  <c r="F160" i="57"/>
  <c r="F42" i="57" s="1"/>
  <c r="E160" i="57"/>
  <c r="E42" i="57" s="1"/>
  <c r="E44" i="57" s="1"/>
  <c r="C178" i="3" s="1"/>
  <c r="D160" i="57"/>
  <c r="D42" i="57" s="1"/>
  <c r="O159" i="57"/>
  <c r="N159" i="57"/>
  <c r="N24" i="57" s="1"/>
  <c r="L10" i="3" s="1"/>
  <c r="M159" i="57"/>
  <c r="M24" i="57" s="1"/>
  <c r="L159" i="57"/>
  <c r="L24" i="57" s="1"/>
  <c r="K159" i="57"/>
  <c r="J159" i="57"/>
  <c r="J24" i="57" s="1"/>
  <c r="H10" i="3" s="1"/>
  <c r="I159" i="57"/>
  <c r="I24" i="57" s="1"/>
  <c r="G10" i="3" s="1"/>
  <c r="H159" i="57"/>
  <c r="H24" i="57" s="1"/>
  <c r="G159" i="57"/>
  <c r="F159" i="57"/>
  <c r="F24" i="57" s="1"/>
  <c r="D10" i="3" s="1"/>
  <c r="E159" i="57"/>
  <c r="E24" i="57" s="1"/>
  <c r="C10" i="3" s="1"/>
  <c r="D159" i="57"/>
  <c r="D24" i="57" s="1"/>
  <c r="O118" i="57"/>
  <c r="N118" i="57"/>
  <c r="N7" i="57" s="1"/>
  <c r="L271" i="2" s="1"/>
  <c r="Y271" i="2" s="1"/>
  <c r="M118" i="57"/>
  <c r="M7" i="57" s="1"/>
  <c r="M3" i="57" s="1"/>
  <c r="L118" i="57"/>
  <c r="L7" i="57" s="1"/>
  <c r="J271" i="2" s="1"/>
  <c r="K118" i="57"/>
  <c r="J118" i="57"/>
  <c r="J7" i="57" s="1"/>
  <c r="I118" i="57"/>
  <c r="I7" i="57" s="1"/>
  <c r="G271" i="2" s="1"/>
  <c r="H118" i="57"/>
  <c r="H7" i="57" s="1"/>
  <c r="G118" i="57"/>
  <c r="F118" i="57"/>
  <c r="F7" i="57" s="1"/>
  <c r="D271" i="2" s="1"/>
  <c r="Q271" i="2" s="1"/>
  <c r="E118" i="57"/>
  <c r="E7" i="57" s="1"/>
  <c r="E3" i="57" s="1"/>
  <c r="D118" i="57"/>
  <c r="D7" i="57" s="1"/>
  <c r="O111" i="57"/>
  <c r="N111" i="57"/>
  <c r="N58" i="57" s="1"/>
  <c r="L372" i="3" s="1"/>
  <c r="M111" i="57"/>
  <c r="M58" i="57" s="1"/>
  <c r="K372" i="3" s="1"/>
  <c r="L111" i="57"/>
  <c r="L58" i="57" s="1"/>
  <c r="J372" i="3" s="1"/>
  <c r="K111" i="57"/>
  <c r="J111" i="57"/>
  <c r="J58" i="57" s="1"/>
  <c r="H372" i="3" s="1"/>
  <c r="I111" i="57"/>
  <c r="I58" i="57" s="1"/>
  <c r="G372" i="3" s="1"/>
  <c r="H111" i="57"/>
  <c r="H58" i="57" s="1"/>
  <c r="F372" i="3" s="1"/>
  <c r="G111" i="57"/>
  <c r="F111" i="57"/>
  <c r="F58" i="57" s="1"/>
  <c r="D372" i="3" s="1"/>
  <c r="E111" i="57"/>
  <c r="E58" i="57" s="1"/>
  <c r="C372" i="3" s="1"/>
  <c r="D111" i="57"/>
  <c r="D58" i="57" s="1"/>
  <c r="B372" i="3" s="1"/>
  <c r="O110" i="57"/>
  <c r="N110" i="57"/>
  <c r="N46" i="57" s="1"/>
  <c r="L185" i="3" s="1"/>
  <c r="M110" i="57"/>
  <c r="M46" i="57" s="1"/>
  <c r="K185" i="3" s="1"/>
  <c r="L110" i="57"/>
  <c r="L46" i="57" s="1"/>
  <c r="J185" i="3" s="1"/>
  <c r="K110" i="57"/>
  <c r="J110" i="57"/>
  <c r="J46" i="57" s="1"/>
  <c r="H185" i="3" s="1"/>
  <c r="I110" i="57"/>
  <c r="I46" i="57" s="1"/>
  <c r="G185" i="3" s="1"/>
  <c r="H110" i="57"/>
  <c r="H46" i="57" s="1"/>
  <c r="F185" i="3" s="1"/>
  <c r="G110" i="57"/>
  <c r="F110" i="57"/>
  <c r="F46" i="57" s="1"/>
  <c r="D185" i="3" s="1"/>
  <c r="E110" i="57"/>
  <c r="E46" i="57" s="1"/>
  <c r="C185" i="3" s="1"/>
  <c r="D110" i="57"/>
  <c r="D46" i="57" s="1"/>
  <c r="B185" i="3" s="1"/>
  <c r="O109" i="57"/>
  <c r="N109" i="57"/>
  <c r="N28" i="57" s="1"/>
  <c r="M109" i="57"/>
  <c r="M28" i="57" s="1"/>
  <c r="M30" i="57" s="1"/>
  <c r="K100" i="3" s="1"/>
  <c r="L109" i="57"/>
  <c r="L28" i="57" s="1"/>
  <c r="K109" i="57"/>
  <c r="J109" i="57"/>
  <c r="J28" i="57" s="1"/>
  <c r="I109" i="57"/>
  <c r="I28" i="57" s="1"/>
  <c r="I30" i="57" s="1"/>
  <c r="G100" i="3" s="1"/>
  <c r="H109" i="57"/>
  <c r="G109" i="57"/>
  <c r="F109" i="57"/>
  <c r="F28" i="57" s="1"/>
  <c r="E109" i="57"/>
  <c r="E28" i="57" s="1"/>
  <c r="E30" i="57" s="1"/>
  <c r="C100" i="3" s="1"/>
  <c r="D109" i="57"/>
  <c r="D28" i="57" s="1"/>
  <c r="D30" i="57" s="1"/>
  <c r="B100" i="3" s="1"/>
  <c r="O85" i="57"/>
  <c r="N85" i="57"/>
  <c r="N4" i="57" s="1"/>
  <c r="M85" i="57"/>
  <c r="M4" i="57" s="1"/>
  <c r="L85" i="57"/>
  <c r="L4" i="57" s="1"/>
  <c r="L21" i="57" s="1"/>
  <c r="K85" i="57"/>
  <c r="J85" i="57"/>
  <c r="J4" i="57" s="1"/>
  <c r="I85" i="57"/>
  <c r="I4" i="57" s="1"/>
  <c r="H85" i="57"/>
  <c r="H4" i="57" s="1"/>
  <c r="H21" i="57" s="1"/>
  <c r="G85" i="57"/>
  <c r="F85" i="57"/>
  <c r="F4" i="57" s="1"/>
  <c r="E85" i="57"/>
  <c r="E4" i="57" s="1"/>
  <c r="D85" i="57"/>
  <c r="D4" i="57" s="1"/>
  <c r="D21" i="57" s="1"/>
  <c r="O72" i="57"/>
  <c r="N72" i="57"/>
  <c r="L478" i="3" s="1"/>
  <c r="L72" i="57"/>
  <c r="J478" i="3" s="1"/>
  <c r="K72" i="57"/>
  <c r="G72" i="57"/>
  <c r="E478" i="3" s="1"/>
  <c r="D72" i="57"/>
  <c r="B478" i="3" s="1"/>
  <c r="O69" i="57"/>
  <c r="L69" i="57"/>
  <c r="K69" i="57"/>
  <c r="G69" i="57"/>
  <c r="D69" i="57"/>
  <c r="K68" i="57"/>
  <c r="G68" i="57"/>
  <c r="O65" i="57"/>
  <c r="K65" i="57"/>
  <c r="G65" i="57"/>
  <c r="O64" i="57"/>
  <c r="K64" i="57"/>
  <c r="G64" i="57"/>
  <c r="L62" i="57"/>
  <c r="J401" i="3" s="1"/>
  <c r="K62" i="57"/>
  <c r="I401" i="3" s="1"/>
  <c r="G62" i="57"/>
  <c r="E401" i="3" s="1"/>
  <c r="K60" i="57"/>
  <c r="I392" i="3" s="1"/>
  <c r="H60" i="57"/>
  <c r="F392" i="3" s="1"/>
  <c r="G60" i="57"/>
  <c r="E392" i="3" s="1"/>
  <c r="O58" i="57"/>
  <c r="K58" i="57"/>
  <c r="I372" i="3" s="1"/>
  <c r="G58" i="57"/>
  <c r="E372" i="3" s="1"/>
  <c r="O55" i="57"/>
  <c r="K55" i="57"/>
  <c r="G55" i="57"/>
  <c r="O54" i="57"/>
  <c r="K54" i="57"/>
  <c r="G54" i="57"/>
  <c r="O51" i="57"/>
  <c r="K51" i="57"/>
  <c r="G51" i="57"/>
  <c r="O50" i="57"/>
  <c r="K50" i="57"/>
  <c r="H50" i="57"/>
  <c r="G50" i="57"/>
  <c r="K48" i="57"/>
  <c r="I189" i="3" s="1"/>
  <c r="G48" i="57"/>
  <c r="E189" i="3" s="1"/>
  <c r="O46" i="57"/>
  <c r="M185" i="3" s="1"/>
  <c r="K46" i="57"/>
  <c r="I185" i="3" s="1"/>
  <c r="G46" i="57"/>
  <c r="E185" i="3" s="1"/>
  <c r="L43" i="57"/>
  <c r="K43" i="57"/>
  <c r="G43" i="57"/>
  <c r="O42" i="57"/>
  <c r="K42" i="57"/>
  <c r="G42" i="57"/>
  <c r="K39" i="57"/>
  <c r="G39" i="57"/>
  <c r="D39" i="57"/>
  <c r="O38" i="57"/>
  <c r="K38" i="57"/>
  <c r="H38" i="57"/>
  <c r="G38" i="57"/>
  <c r="O36" i="57"/>
  <c r="M144" i="3" s="1"/>
  <c r="K36" i="57"/>
  <c r="I144" i="3" s="1"/>
  <c r="H36" i="57"/>
  <c r="F144" i="3" s="1"/>
  <c r="G36" i="57"/>
  <c r="E144" i="3" s="1"/>
  <c r="O33" i="57"/>
  <c r="K33" i="57"/>
  <c r="G33" i="57"/>
  <c r="D33" i="57"/>
  <c r="O32" i="57"/>
  <c r="K32" i="57"/>
  <c r="H32" i="57"/>
  <c r="G32" i="57"/>
  <c r="O29" i="57"/>
  <c r="K29" i="57"/>
  <c r="G29" i="57"/>
  <c r="O28" i="57"/>
  <c r="K28" i="57"/>
  <c r="H28" i="57"/>
  <c r="G28" i="57"/>
  <c r="O26" i="57"/>
  <c r="M93" i="3" s="1"/>
  <c r="K26" i="57"/>
  <c r="I93" i="3" s="1"/>
  <c r="H26" i="57"/>
  <c r="F93" i="3" s="1"/>
  <c r="G26" i="57"/>
  <c r="E93" i="3" s="1"/>
  <c r="O24" i="57"/>
  <c r="M10" i="3" s="1"/>
  <c r="K24" i="57"/>
  <c r="I10" i="3" s="1"/>
  <c r="G24" i="57"/>
  <c r="E10" i="3" s="1"/>
  <c r="O18" i="57"/>
  <c r="M282" i="2" s="1"/>
  <c r="Z282" i="2" s="1"/>
  <c r="K18" i="57"/>
  <c r="I282" i="2" s="1"/>
  <c r="V282" i="2" s="1"/>
  <c r="G18" i="57"/>
  <c r="E282" i="2" s="1"/>
  <c r="R282" i="2" s="1"/>
  <c r="D18" i="57"/>
  <c r="B282" i="2" s="1"/>
  <c r="O282" i="2" s="1"/>
  <c r="O17" i="57"/>
  <c r="M281" i="2" s="1"/>
  <c r="Z281" i="2" s="1"/>
  <c r="K17" i="57"/>
  <c r="I281" i="2" s="1"/>
  <c r="V281" i="2" s="1"/>
  <c r="G17" i="57"/>
  <c r="E281" i="2" s="1"/>
  <c r="R281" i="2" s="1"/>
  <c r="D17" i="57"/>
  <c r="B281" i="2" s="1"/>
  <c r="O281" i="2" s="1"/>
  <c r="O16" i="57"/>
  <c r="M280" i="2" s="1"/>
  <c r="Z280" i="2" s="1"/>
  <c r="K16" i="57"/>
  <c r="I280" i="2" s="1"/>
  <c r="V280" i="2" s="1"/>
  <c r="H16" i="57"/>
  <c r="F280" i="2" s="1"/>
  <c r="S280" i="2" s="1"/>
  <c r="G16" i="57"/>
  <c r="E280" i="2" s="1"/>
  <c r="R280" i="2" s="1"/>
  <c r="O15" i="57"/>
  <c r="M279" i="2" s="1"/>
  <c r="Z279" i="2" s="1"/>
  <c r="K15" i="57"/>
  <c r="I279" i="2" s="1"/>
  <c r="V279" i="2" s="1"/>
  <c r="G15" i="57"/>
  <c r="E279" i="2" s="1"/>
  <c r="R279" i="2" s="1"/>
  <c r="D15" i="57"/>
  <c r="K14" i="57"/>
  <c r="I278" i="2" s="1"/>
  <c r="V278" i="2" s="1"/>
  <c r="G14" i="57"/>
  <c r="E278" i="2" s="1"/>
  <c r="R278" i="2" s="1"/>
  <c r="O13" i="57"/>
  <c r="M277" i="2" s="1"/>
  <c r="Z277" i="2" s="1"/>
  <c r="K13" i="57"/>
  <c r="I277" i="2" s="1"/>
  <c r="V277" i="2" s="1"/>
  <c r="G13" i="57"/>
  <c r="E277" i="2" s="1"/>
  <c r="R277" i="2" s="1"/>
  <c r="L12" i="57"/>
  <c r="J276" i="2" s="1"/>
  <c r="W276" i="2" s="1"/>
  <c r="K12" i="57"/>
  <c r="I276" i="2" s="1"/>
  <c r="V276" i="2" s="1"/>
  <c r="G12" i="57"/>
  <c r="E276" i="2" s="1"/>
  <c r="R276" i="2" s="1"/>
  <c r="O11" i="57"/>
  <c r="M275" i="2" s="1"/>
  <c r="Z275" i="2" s="1"/>
  <c r="L11" i="57"/>
  <c r="J275" i="2" s="1"/>
  <c r="W275" i="2" s="1"/>
  <c r="K11" i="57"/>
  <c r="I275" i="2" s="1"/>
  <c r="V275" i="2" s="1"/>
  <c r="G11" i="57"/>
  <c r="E275" i="2" s="1"/>
  <c r="R275" i="2" s="1"/>
  <c r="O10" i="57"/>
  <c r="M274" i="2" s="1"/>
  <c r="Z274" i="2" s="1"/>
  <c r="K10" i="57"/>
  <c r="I274" i="2" s="1"/>
  <c r="V274" i="2" s="1"/>
  <c r="G10" i="57"/>
  <c r="E274" i="2" s="1"/>
  <c r="R274" i="2" s="1"/>
  <c r="K9" i="57"/>
  <c r="H9" i="57"/>
  <c r="F273" i="2" s="1"/>
  <c r="S273" i="2" s="1"/>
  <c r="G9" i="57"/>
  <c r="E273" i="2" s="1"/>
  <c r="R273" i="2" s="1"/>
  <c r="O8" i="57"/>
  <c r="M272" i="2" s="1"/>
  <c r="Z272" i="2" s="1"/>
  <c r="K8" i="57"/>
  <c r="I272" i="2" s="1"/>
  <c r="V272" i="2" s="1"/>
  <c r="G8" i="57"/>
  <c r="O7" i="57"/>
  <c r="M271" i="2" s="1"/>
  <c r="Z271" i="2" s="1"/>
  <c r="K7" i="57"/>
  <c r="I271" i="2" s="1"/>
  <c r="G7" i="57"/>
  <c r="E271" i="2" s="1"/>
  <c r="O4" i="57"/>
  <c r="O21" i="57" s="1"/>
  <c r="K4" i="57"/>
  <c r="K21" i="57" s="1"/>
  <c r="G4" i="57"/>
  <c r="G21" i="57" s="1"/>
  <c r="O44" i="42"/>
  <c r="N44" i="42"/>
  <c r="M44" i="42"/>
  <c r="L44" i="42"/>
  <c r="K44" i="42"/>
  <c r="J44" i="42"/>
  <c r="I44" i="42"/>
  <c r="H44" i="42"/>
  <c r="G44" i="42"/>
  <c r="F44" i="42"/>
  <c r="E44" i="42"/>
  <c r="D44" i="42"/>
  <c r="O39" i="42"/>
  <c r="N39" i="42"/>
  <c r="M39" i="42"/>
  <c r="L39" i="42"/>
  <c r="K39" i="42"/>
  <c r="J39" i="42"/>
  <c r="I39" i="42"/>
  <c r="H39" i="42"/>
  <c r="G39" i="42"/>
  <c r="F39" i="42"/>
  <c r="E39" i="42"/>
  <c r="D39" i="42"/>
  <c r="O24" i="42"/>
  <c r="N24" i="42"/>
  <c r="M24" i="42"/>
  <c r="L24" i="42"/>
  <c r="K24" i="42"/>
  <c r="J24" i="42"/>
  <c r="I24" i="42"/>
  <c r="H24" i="42"/>
  <c r="G24" i="42"/>
  <c r="F24" i="42"/>
  <c r="E24" i="42"/>
  <c r="D24" i="42"/>
  <c r="H15" i="42"/>
  <c r="O11" i="42"/>
  <c r="O13" i="41" s="1"/>
  <c r="N11" i="42"/>
  <c r="M11" i="42"/>
  <c r="L11" i="42"/>
  <c r="K11" i="42"/>
  <c r="I242" i="3" s="1"/>
  <c r="J11" i="42"/>
  <c r="I11" i="42"/>
  <c r="H11" i="42"/>
  <c r="G11" i="42"/>
  <c r="E242" i="3" s="1"/>
  <c r="F11" i="42"/>
  <c r="E11" i="42"/>
  <c r="C242" i="3" s="1"/>
  <c r="D11" i="42"/>
  <c r="O8" i="42"/>
  <c r="N8" i="42"/>
  <c r="N15" i="42" s="1"/>
  <c r="M8" i="42"/>
  <c r="L8" i="42"/>
  <c r="L15" i="42" s="1"/>
  <c r="K8" i="42"/>
  <c r="K15" i="42" s="1"/>
  <c r="J8" i="42"/>
  <c r="J15" i="42" s="1"/>
  <c r="I8" i="42"/>
  <c r="H8" i="42"/>
  <c r="G8" i="42"/>
  <c r="G15" i="42" s="1"/>
  <c r="F8" i="42"/>
  <c r="F15" i="42" s="1"/>
  <c r="E8" i="42"/>
  <c r="D8" i="42"/>
  <c r="D15" i="42" s="1"/>
  <c r="O3" i="42"/>
  <c r="O5" i="42" s="1"/>
  <c r="N3" i="42"/>
  <c r="N5" i="42" s="1"/>
  <c r="M3" i="42"/>
  <c r="M5" i="42" s="1"/>
  <c r="L3" i="42"/>
  <c r="J137" i="2" s="1"/>
  <c r="W137" i="2" s="1"/>
  <c r="K3" i="42"/>
  <c r="K5" i="42" s="1"/>
  <c r="J3" i="42"/>
  <c r="J5" i="42" s="1"/>
  <c r="I3" i="42"/>
  <c r="H3" i="42"/>
  <c r="F137" i="2" s="1"/>
  <c r="S137" i="2" s="1"/>
  <c r="G3" i="42"/>
  <c r="G5" i="42" s="1"/>
  <c r="F3" i="42"/>
  <c r="F5" i="42" s="1"/>
  <c r="E3" i="42"/>
  <c r="E5" i="42" s="1"/>
  <c r="D3" i="42"/>
  <c r="B137" i="2" s="1"/>
  <c r="O137" i="2" s="1"/>
  <c r="M238" i="3"/>
  <c r="L238" i="3"/>
  <c r="K238" i="3"/>
  <c r="I238" i="3"/>
  <c r="H238" i="3"/>
  <c r="G238" i="3"/>
  <c r="E238" i="3"/>
  <c r="D238" i="3"/>
  <c r="C238" i="3"/>
  <c r="B238" i="3"/>
  <c r="O15" i="54"/>
  <c r="N13" i="54"/>
  <c r="M11" i="54"/>
  <c r="L11" i="54"/>
  <c r="K15" i="54"/>
  <c r="J13" i="54"/>
  <c r="I11" i="54"/>
  <c r="H11" i="54"/>
  <c r="G15" i="54"/>
  <c r="F13" i="54"/>
  <c r="E11" i="54"/>
  <c r="D11" i="54"/>
  <c r="O5" i="54"/>
  <c r="N5" i="54"/>
  <c r="K136" i="2"/>
  <c r="X136" i="2" s="1"/>
  <c r="L5" i="54"/>
  <c r="K5" i="54"/>
  <c r="J5" i="54"/>
  <c r="G136" i="2"/>
  <c r="T136" i="2" s="1"/>
  <c r="H5" i="54"/>
  <c r="G5" i="54"/>
  <c r="F5" i="54"/>
  <c r="C136" i="2"/>
  <c r="P136" i="2" s="1"/>
  <c r="D5" i="54"/>
  <c r="O8" i="53"/>
  <c r="M236" i="3" s="1"/>
  <c r="N8" i="53"/>
  <c r="M8" i="53"/>
  <c r="L8" i="53"/>
  <c r="J236" i="3" s="1"/>
  <c r="K8" i="53"/>
  <c r="I236" i="3" s="1"/>
  <c r="J8" i="53"/>
  <c r="I8" i="53"/>
  <c r="H8" i="53"/>
  <c r="F236" i="3" s="1"/>
  <c r="G8" i="53"/>
  <c r="E236" i="3" s="1"/>
  <c r="F8" i="53"/>
  <c r="E8" i="53"/>
  <c r="D8" i="53"/>
  <c r="B236" i="3" s="1"/>
  <c r="O6" i="53"/>
  <c r="O3" i="53"/>
  <c r="O5" i="53" s="1"/>
  <c r="N3" i="53"/>
  <c r="N6" i="53" s="1"/>
  <c r="M3" i="53"/>
  <c r="M6" i="53" s="1"/>
  <c r="L3" i="53"/>
  <c r="L5" i="53" s="1"/>
  <c r="K3" i="53"/>
  <c r="K5" i="53" s="1"/>
  <c r="J3" i="53"/>
  <c r="J6" i="53" s="1"/>
  <c r="I3" i="53"/>
  <c r="I6" i="53" s="1"/>
  <c r="H3" i="53"/>
  <c r="H6" i="53" s="1"/>
  <c r="G3" i="53"/>
  <c r="G6" i="53" s="1"/>
  <c r="F3" i="53"/>
  <c r="F6" i="53" s="1"/>
  <c r="E3" i="53"/>
  <c r="E6" i="53" s="1"/>
  <c r="D3" i="53"/>
  <c r="D5" i="53" s="1"/>
  <c r="O177" i="52"/>
  <c r="O39" i="52" s="1"/>
  <c r="M388" i="3" s="1"/>
  <c r="N177" i="52"/>
  <c r="M177" i="52"/>
  <c r="M39" i="52" s="1"/>
  <c r="K388" i="3" s="1"/>
  <c r="L177" i="52"/>
  <c r="L39" i="52" s="1"/>
  <c r="J388" i="3" s="1"/>
  <c r="K177" i="52"/>
  <c r="K39" i="52" s="1"/>
  <c r="I388" i="3" s="1"/>
  <c r="J177" i="52"/>
  <c r="I177" i="52"/>
  <c r="I39" i="52" s="1"/>
  <c r="G388" i="3" s="1"/>
  <c r="H177" i="52"/>
  <c r="H39" i="52" s="1"/>
  <c r="F388" i="3" s="1"/>
  <c r="G177" i="52"/>
  <c r="G39" i="52" s="1"/>
  <c r="E388" i="3" s="1"/>
  <c r="F177" i="52"/>
  <c r="E177" i="52"/>
  <c r="D177" i="52"/>
  <c r="D39" i="52" s="1"/>
  <c r="B388" i="3" s="1"/>
  <c r="O176" i="52"/>
  <c r="O22" i="52" s="1"/>
  <c r="N176" i="52"/>
  <c r="M176" i="52"/>
  <c r="L176" i="52"/>
  <c r="L22" i="52" s="1"/>
  <c r="K176" i="52"/>
  <c r="K22" i="52" s="1"/>
  <c r="J176" i="52"/>
  <c r="I176" i="52"/>
  <c r="H176" i="52"/>
  <c r="H22" i="52" s="1"/>
  <c r="G176" i="52"/>
  <c r="G22" i="52" s="1"/>
  <c r="F176" i="52"/>
  <c r="E176" i="52"/>
  <c r="E22" i="52" s="1"/>
  <c r="D176" i="52"/>
  <c r="D22" i="52" s="1"/>
  <c r="O175" i="52"/>
  <c r="O18" i="52" s="1"/>
  <c r="N175" i="52"/>
  <c r="M175" i="52"/>
  <c r="L175" i="52"/>
  <c r="L18" i="52" s="1"/>
  <c r="K175" i="52"/>
  <c r="K18" i="52" s="1"/>
  <c r="J175" i="52"/>
  <c r="I175" i="52"/>
  <c r="I18" i="52" s="1"/>
  <c r="H175" i="52"/>
  <c r="H18" i="52" s="1"/>
  <c r="G175" i="52"/>
  <c r="G18" i="52" s="1"/>
  <c r="F175" i="52"/>
  <c r="E175" i="52"/>
  <c r="E18" i="52" s="1"/>
  <c r="D175" i="52"/>
  <c r="D18" i="52" s="1"/>
  <c r="O156" i="52"/>
  <c r="O6" i="52" s="1"/>
  <c r="O12" i="52" s="1"/>
  <c r="N156" i="52"/>
  <c r="M156" i="52"/>
  <c r="L156" i="52"/>
  <c r="L6" i="52" s="1"/>
  <c r="K156" i="52"/>
  <c r="K6" i="52" s="1"/>
  <c r="K12" i="52" s="1"/>
  <c r="J156" i="52"/>
  <c r="I156" i="52"/>
  <c r="I6" i="52" s="1"/>
  <c r="H156" i="52"/>
  <c r="H6" i="52" s="1"/>
  <c r="G156" i="52"/>
  <c r="G6" i="52" s="1"/>
  <c r="G12" i="52" s="1"/>
  <c r="F156" i="52"/>
  <c r="E156" i="52"/>
  <c r="D156" i="52"/>
  <c r="D6" i="52" s="1"/>
  <c r="O149" i="52"/>
  <c r="O27" i="52" s="1"/>
  <c r="M190" i="3" s="1"/>
  <c r="N149" i="52"/>
  <c r="M149" i="52"/>
  <c r="L149" i="52"/>
  <c r="L27" i="52" s="1"/>
  <c r="J190" i="3" s="1"/>
  <c r="K149" i="52"/>
  <c r="K27" i="52" s="1"/>
  <c r="I190" i="3" s="1"/>
  <c r="J149" i="52"/>
  <c r="I149" i="52"/>
  <c r="I27" i="52" s="1"/>
  <c r="G190" i="3" s="1"/>
  <c r="H149" i="52"/>
  <c r="H27" i="52" s="1"/>
  <c r="F190" i="3" s="1"/>
  <c r="G149" i="52"/>
  <c r="G27" i="52" s="1"/>
  <c r="E190" i="3" s="1"/>
  <c r="F149" i="52"/>
  <c r="E149" i="52"/>
  <c r="D149" i="52"/>
  <c r="D27" i="52" s="1"/>
  <c r="B190" i="3" s="1"/>
  <c r="O148" i="52"/>
  <c r="O21" i="52" s="1"/>
  <c r="O23" i="52" s="1"/>
  <c r="N148" i="52"/>
  <c r="M148" i="52"/>
  <c r="M21" i="52" s="1"/>
  <c r="L148" i="52"/>
  <c r="L21" i="52" s="1"/>
  <c r="K148" i="52"/>
  <c r="K21" i="52" s="1"/>
  <c r="K23" i="52" s="1"/>
  <c r="I117" i="3" s="1"/>
  <c r="J148" i="52"/>
  <c r="I148" i="52"/>
  <c r="I21" i="52" s="1"/>
  <c r="H148" i="52"/>
  <c r="H21" i="52" s="1"/>
  <c r="G148" i="52"/>
  <c r="G21" i="52" s="1"/>
  <c r="G23" i="52" s="1"/>
  <c r="E117" i="3" s="1"/>
  <c r="F148" i="52"/>
  <c r="E148" i="52"/>
  <c r="D148" i="52"/>
  <c r="D21" i="52" s="1"/>
  <c r="O131" i="52"/>
  <c r="O5" i="52" s="1"/>
  <c r="M417" i="2" s="1"/>
  <c r="N131" i="52"/>
  <c r="M131" i="52"/>
  <c r="L131" i="52"/>
  <c r="L5" i="52" s="1"/>
  <c r="K131" i="52"/>
  <c r="K5" i="52" s="1"/>
  <c r="K11" i="52" s="1"/>
  <c r="J131" i="52"/>
  <c r="I131" i="52"/>
  <c r="I5" i="52" s="1"/>
  <c r="H131" i="52"/>
  <c r="H5" i="52" s="1"/>
  <c r="G131" i="52"/>
  <c r="G5" i="52" s="1"/>
  <c r="G11" i="52" s="1"/>
  <c r="F131" i="52"/>
  <c r="E131" i="52"/>
  <c r="D131" i="52"/>
  <c r="D5" i="52" s="1"/>
  <c r="D11" i="52" s="1"/>
  <c r="O124" i="52"/>
  <c r="O36" i="52" s="1"/>
  <c r="N124" i="52"/>
  <c r="M124" i="52"/>
  <c r="M36" i="52" s="1"/>
  <c r="L124" i="52"/>
  <c r="L36" i="52" s="1"/>
  <c r="K124" i="52"/>
  <c r="K36" i="52" s="1"/>
  <c r="J124" i="52"/>
  <c r="I124" i="52"/>
  <c r="H124" i="52"/>
  <c r="H36" i="52" s="1"/>
  <c r="G124" i="52"/>
  <c r="G36" i="52" s="1"/>
  <c r="F124" i="52"/>
  <c r="E124" i="52"/>
  <c r="E36" i="52" s="1"/>
  <c r="D124" i="52"/>
  <c r="D36" i="52" s="1"/>
  <c r="O123" i="52"/>
  <c r="O33" i="52" s="1"/>
  <c r="M246" i="3" s="1"/>
  <c r="N123" i="52"/>
  <c r="M123" i="52"/>
  <c r="M33" i="52" s="1"/>
  <c r="K246" i="3" s="1"/>
  <c r="L123" i="52"/>
  <c r="L33" i="52" s="1"/>
  <c r="J246" i="3" s="1"/>
  <c r="K123" i="52"/>
  <c r="K33" i="52" s="1"/>
  <c r="I246" i="3" s="1"/>
  <c r="J123" i="52"/>
  <c r="I123" i="52"/>
  <c r="I33" i="52" s="1"/>
  <c r="G246" i="3" s="1"/>
  <c r="H123" i="52"/>
  <c r="H33" i="52" s="1"/>
  <c r="F246" i="3" s="1"/>
  <c r="G123" i="52"/>
  <c r="G33" i="52" s="1"/>
  <c r="F123" i="52"/>
  <c r="E123" i="52"/>
  <c r="D123" i="52"/>
  <c r="D33" i="52" s="1"/>
  <c r="B246" i="3" s="1"/>
  <c r="O122" i="52"/>
  <c r="O31" i="52" s="1"/>
  <c r="M245" i="3" s="1"/>
  <c r="N122" i="52"/>
  <c r="M122" i="52"/>
  <c r="M31" i="52" s="1"/>
  <c r="K245" i="3" s="1"/>
  <c r="L122" i="52"/>
  <c r="L31" i="52" s="1"/>
  <c r="J245" i="3" s="1"/>
  <c r="K122" i="52"/>
  <c r="K31" i="52" s="1"/>
  <c r="I245" i="3" s="1"/>
  <c r="J122" i="52"/>
  <c r="I122" i="52"/>
  <c r="H122" i="52"/>
  <c r="H31" i="52" s="1"/>
  <c r="F245" i="3" s="1"/>
  <c r="G122" i="52"/>
  <c r="G31" i="52" s="1"/>
  <c r="E245" i="3" s="1"/>
  <c r="F122" i="52"/>
  <c r="E122" i="52"/>
  <c r="E31" i="52" s="1"/>
  <c r="C245" i="3" s="1"/>
  <c r="D122" i="52"/>
  <c r="D31" i="52" s="1"/>
  <c r="B245" i="3" s="1"/>
  <c r="O120" i="52"/>
  <c r="N120" i="52"/>
  <c r="M120" i="52"/>
  <c r="L120" i="52"/>
  <c r="K120" i="52"/>
  <c r="J120" i="52"/>
  <c r="I120" i="52"/>
  <c r="H120" i="52"/>
  <c r="G120" i="52"/>
  <c r="F120" i="52"/>
  <c r="E120" i="52"/>
  <c r="D120" i="52"/>
  <c r="O116" i="52"/>
  <c r="N116" i="52"/>
  <c r="M116" i="52"/>
  <c r="L116" i="52"/>
  <c r="K116" i="52"/>
  <c r="J116" i="52"/>
  <c r="I116" i="52"/>
  <c r="H116" i="52"/>
  <c r="G116" i="52"/>
  <c r="F116" i="52"/>
  <c r="E116" i="52"/>
  <c r="D116" i="52"/>
  <c r="O100" i="52"/>
  <c r="N100" i="52"/>
  <c r="M100" i="52"/>
  <c r="L100" i="52"/>
  <c r="K100" i="52"/>
  <c r="J100" i="52"/>
  <c r="I100" i="52"/>
  <c r="H100" i="52"/>
  <c r="G100" i="52"/>
  <c r="F100" i="52"/>
  <c r="E100" i="52"/>
  <c r="D100" i="52"/>
  <c r="O94" i="52"/>
  <c r="N94" i="52"/>
  <c r="M94" i="52"/>
  <c r="L94" i="52"/>
  <c r="K94" i="52"/>
  <c r="J94" i="52"/>
  <c r="I94" i="52"/>
  <c r="H94" i="52"/>
  <c r="G94" i="52"/>
  <c r="F94" i="52"/>
  <c r="E94" i="52"/>
  <c r="D94" i="52"/>
  <c r="O91" i="52"/>
  <c r="O4" i="52" s="1"/>
  <c r="O10" i="52" s="1"/>
  <c r="N91" i="52"/>
  <c r="M91" i="52"/>
  <c r="M4" i="52" s="1"/>
  <c r="L91" i="52"/>
  <c r="L4" i="52" s="1"/>
  <c r="L10" i="52" s="1"/>
  <c r="K91" i="52"/>
  <c r="K4" i="52" s="1"/>
  <c r="K10" i="52" s="1"/>
  <c r="J91" i="52"/>
  <c r="I91" i="52"/>
  <c r="I4" i="52" s="1"/>
  <c r="H91" i="52"/>
  <c r="H4" i="52" s="1"/>
  <c r="G91" i="52"/>
  <c r="G4" i="52" s="1"/>
  <c r="G10" i="52" s="1"/>
  <c r="F91" i="52"/>
  <c r="E91" i="52"/>
  <c r="D91" i="52"/>
  <c r="D4" i="52" s="1"/>
  <c r="O84" i="52"/>
  <c r="O35" i="52" s="1"/>
  <c r="O37" i="52" s="1"/>
  <c r="M247" i="3" s="1"/>
  <c r="N84" i="52"/>
  <c r="M84" i="52"/>
  <c r="M35" i="52" s="1"/>
  <c r="L84" i="52"/>
  <c r="L35" i="52" s="1"/>
  <c r="L37" i="52" s="1"/>
  <c r="J247" i="3" s="1"/>
  <c r="K84" i="52"/>
  <c r="K35" i="52" s="1"/>
  <c r="K37" i="52" s="1"/>
  <c r="J84" i="52"/>
  <c r="I84" i="52"/>
  <c r="I35" i="52" s="1"/>
  <c r="H84" i="52"/>
  <c r="H35" i="52" s="1"/>
  <c r="H37" i="52" s="1"/>
  <c r="F247" i="3" s="1"/>
  <c r="G84" i="52"/>
  <c r="G35" i="52" s="1"/>
  <c r="G37" i="52" s="1"/>
  <c r="E247" i="3" s="1"/>
  <c r="F84" i="52"/>
  <c r="E84" i="52"/>
  <c r="D84" i="52"/>
  <c r="D35" i="52" s="1"/>
  <c r="O83" i="52"/>
  <c r="O29" i="52" s="1"/>
  <c r="M198" i="3" s="1"/>
  <c r="N83" i="52"/>
  <c r="M83" i="52"/>
  <c r="L83" i="52"/>
  <c r="L29" i="52" s="1"/>
  <c r="J198" i="3" s="1"/>
  <c r="K83" i="52"/>
  <c r="K29" i="52" s="1"/>
  <c r="I198" i="3" s="1"/>
  <c r="J83" i="52"/>
  <c r="I83" i="52"/>
  <c r="I29" i="52" s="1"/>
  <c r="G198" i="3" s="1"/>
  <c r="H83" i="52"/>
  <c r="H29" i="52" s="1"/>
  <c r="F198" i="3" s="1"/>
  <c r="G83" i="52"/>
  <c r="G29" i="52" s="1"/>
  <c r="E198" i="3" s="1"/>
  <c r="F83" i="52"/>
  <c r="E83" i="52"/>
  <c r="E29" i="52" s="1"/>
  <c r="C198" i="3" s="1"/>
  <c r="D83" i="52"/>
  <c r="D29" i="52" s="1"/>
  <c r="B198" i="3" s="1"/>
  <c r="O82" i="52"/>
  <c r="O25" i="52" s="1"/>
  <c r="N82" i="52"/>
  <c r="M82" i="52"/>
  <c r="M25" i="52" s="1"/>
  <c r="K157" i="3" s="1"/>
  <c r="L82" i="52"/>
  <c r="L25" i="52" s="1"/>
  <c r="J157" i="3" s="1"/>
  <c r="K82" i="52"/>
  <c r="K25" i="52" s="1"/>
  <c r="J82" i="52"/>
  <c r="I82" i="52"/>
  <c r="I25" i="52" s="1"/>
  <c r="G157" i="3" s="1"/>
  <c r="H82" i="52"/>
  <c r="H25" i="52" s="1"/>
  <c r="F157" i="3" s="1"/>
  <c r="G82" i="52"/>
  <c r="G25" i="52" s="1"/>
  <c r="F82" i="52"/>
  <c r="E82" i="52"/>
  <c r="E25" i="52" s="1"/>
  <c r="C157" i="3" s="1"/>
  <c r="D82" i="52"/>
  <c r="D25" i="52" s="1"/>
  <c r="B157" i="3" s="1"/>
  <c r="O81" i="52"/>
  <c r="O17" i="52" s="1"/>
  <c r="O19" i="52" s="1"/>
  <c r="M70" i="3" s="1"/>
  <c r="N81" i="52"/>
  <c r="M81" i="52"/>
  <c r="M17" i="52" s="1"/>
  <c r="L81" i="52"/>
  <c r="L17" i="52" s="1"/>
  <c r="K81" i="52"/>
  <c r="K17" i="52" s="1"/>
  <c r="K19" i="52" s="1"/>
  <c r="I70" i="3" s="1"/>
  <c r="J81" i="52"/>
  <c r="I81" i="52"/>
  <c r="I17" i="52" s="1"/>
  <c r="H81" i="52"/>
  <c r="H17" i="52" s="1"/>
  <c r="H19" i="52" s="1"/>
  <c r="F70" i="3" s="1"/>
  <c r="G81" i="52"/>
  <c r="G17" i="52" s="1"/>
  <c r="G19" i="52" s="1"/>
  <c r="E70" i="3" s="1"/>
  <c r="F81" i="52"/>
  <c r="E81" i="52"/>
  <c r="E17" i="52" s="1"/>
  <c r="D81" i="52"/>
  <c r="D17" i="52" s="1"/>
  <c r="O80" i="52"/>
  <c r="O15" i="52" s="1"/>
  <c r="M30" i="3" s="1"/>
  <c r="N80" i="52"/>
  <c r="M80" i="52"/>
  <c r="M15" i="52" s="1"/>
  <c r="K30" i="3" s="1"/>
  <c r="L80" i="52"/>
  <c r="L15" i="52" s="1"/>
  <c r="J30" i="3" s="1"/>
  <c r="K80" i="52"/>
  <c r="K15" i="52" s="1"/>
  <c r="J80" i="52"/>
  <c r="I80" i="52"/>
  <c r="H80" i="52"/>
  <c r="H15" i="52" s="1"/>
  <c r="F30" i="3" s="1"/>
  <c r="G80" i="52"/>
  <c r="G15" i="52" s="1"/>
  <c r="F80" i="52"/>
  <c r="E80" i="52"/>
  <c r="E15" i="52" s="1"/>
  <c r="C30" i="3" s="1"/>
  <c r="D80" i="52"/>
  <c r="D15" i="52" s="1"/>
  <c r="O52" i="52"/>
  <c r="O3" i="52" s="1"/>
  <c r="O9" i="52" s="1"/>
  <c r="N52" i="52"/>
  <c r="M52" i="52"/>
  <c r="M3" i="52" s="1"/>
  <c r="L52" i="52"/>
  <c r="L3" i="52" s="1"/>
  <c r="L9" i="52" s="1"/>
  <c r="K52" i="52"/>
  <c r="K3" i="52" s="1"/>
  <c r="J52" i="52"/>
  <c r="I52" i="52"/>
  <c r="H52" i="52"/>
  <c r="H3" i="52" s="1"/>
  <c r="H9" i="52" s="1"/>
  <c r="G52" i="52"/>
  <c r="G3" i="52" s="1"/>
  <c r="E415" i="2" s="1"/>
  <c r="F52" i="52"/>
  <c r="E52" i="52"/>
  <c r="E3" i="52" s="1"/>
  <c r="D52" i="52"/>
  <c r="D3" i="52" s="1"/>
  <c r="N39" i="52"/>
  <c r="J39" i="52"/>
  <c r="H388" i="3" s="1"/>
  <c r="F39" i="52"/>
  <c r="E39" i="52"/>
  <c r="C388" i="3" s="1"/>
  <c r="N36" i="52"/>
  <c r="J36" i="52"/>
  <c r="I36" i="52"/>
  <c r="F36" i="52"/>
  <c r="N35" i="52"/>
  <c r="J35" i="52"/>
  <c r="J37" i="52" s="1"/>
  <c r="H247" i="3" s="1"/>
  <c r="F35" i="52"/>
  <c r="E35" i="52"/>
  <c r="N33" i="52"/>
  <c r="J33" i="52"/>
  <c r="F33" i="52"/>
  <c r="D246" i="3" s="1"/>
  <c r="E33" i="52"/>
  <c r="N31" i="52"/>
  <c r="J31" i="52"/>
  <c r="I31" i="52"/>
  <c r="G245" i="3" s="1"/>
  <c r="F31" i="52"/>
  <c r="N29" i="52"/>
  <c r="M29" i="52"/>
  <c r="K198" i="3" s="1"/>
  <c r="J29" i="52"/>
  <c r="F29" i="52"/>
  <c r="N27" i="52"/>
  <c r="M27" i="52"/>
  <c r="K190" i="3" s="1"/>
  <c r="J27" i="52"/>
  <c r="H190" i="3" s="1"/>
  <c r="F27" i="52"/>
  <c r="E27" i="52"/>
  <c r="C190" i="3" s="1"/>
  <c r="N25" i="52"/>
  <c r="L157" i="3" s="1"/>
  <c r="J25" i="52"/>
  <c r="H157" i="3" s="1"/>
  <c r="F25" i="52"/>
  <c r="D157" i="3" s="1"/>
  <c r="N22" i="52"/>
  <c r="M22" i="52"/>
  <c r="J22" i="52"/>
  <c r="I22" i="52"/>
  <c r="F22" i="52"/>
  <c r="N21" i="52"/>
  <c r="J21" i="52"/>
  <c r="J23" i="52" s="1"/>
  <c r="F21" i="52"/>
  <c r="E21" i="52"/>
  <c r="N18" i="52"/>
  <c r="M18" i="52"/>
  <c r="J18" i="52"/>
  <c r="F18" i="52"/>
  <c r="N17" i="52"/>
  <c r="J17" i="52"/>
  <c r="F17" i="52"/>
  <c r="F19" i="52" s="1"/>
  <c r="D70" i="3" s="1"/>
  <c r="N15" i="52"/>
  <c r="J15" i="52"/>
  <c r="H30" i="3" s="1"/>
  <c r="I15" i="52"/>
  <c r="F15" i="52"/>
  <c r="N6" i="52"/>
  <c r="N12" i="52" s="1"/>
  <c r="M6" i="52"/>
  <c r="J6" i="52"/>
  <c r="J12" i="52" s="1"/>
  <c r="F6" i="52"/>
  <c r="F12" i="52" s="1"/>
  <c r="E6" i="52"/>
  <c r="E12" i="52" s="1"/>
  <c r="N5" i="52"/>
  <c r="M5" i="52"/>
  <c r="M11" i="52" s="1"/>
  <c r="J5" i="52"/>
  <c r="J11" i="52" s="1"/>
  <c r="F5" i="52"/>
  <c r="F11" i="52" s="1"/>
  <c r="E5" i="52"/>
  <c r="N4" i="52"/>
  <c r="N10" i="52" s="1"/>
  <c r="J4" i="52"/>
  <c r="J10" i="52" s="1"/>
  <c r="F4" i="52"/>
  <c r="F10" i="52" s="1"/>
  <c r="E4" i="52"/>
  <c r="E10" i="52" s="1"/>
  <c r="N3" i="52"/>
  <c r="L415" i="2" s="1"/>
  <c r="Y415" i="2" s="1"/>
  <c r="J3" i="52"/>
  <c r="I3" i="52"/>
  <c r="G415" i="2" s="1"/>
  <c r="T415" i="2" s="1"/>
  <c r="F3" i="52"/>
  <c r="D415" i="2" s="1"/>
  <c r="Q415" i="2" s="1"/>
  <c r="M175" i="3"/>
  <c r="L175" i="3"/>
  <c r="K175" i="3"/>
  <c r="J175" i="3"/>
  <c r="I175" i="3"/>
  <c r="H175" i="3"/>
  <c r="G175" i="3"/>
  <c r="F175" i="3"/>
  <c r="E175" i="3"/>
  <c r="D175" i="3"/>
  <c r="C175" i="3"/>
  <c r="B175" i="3"/>
  <c r="O15" i="51"/>
  <c r="N13" i="51"/>
  <c r="M11" i="51"/>
  <c r="L11" i="51"/>
  <c r="K15" i="51"/>
  <c r="J13" i="51"/>
  <c r="H11" i="51"/>
  <c r="G15" i="51"/>
  <c r="F13" i="51"/>
  <c r="E11" i="51"/>
  <c r="D11" i="51"/>
  <c r="O3" i="51"/>
  <c r="O5" i="51" s="1"/>
  <c r="N3" i="51"/>
  <c r="N5" i="51" s="1"/>
  <c r="M3" i="51"/>
  <c r="K135" i="2" s="1"/>
  <c r="X135" i="2" s="1"/>
  <c r="L3" i="51"/>
  <c r="L5" i="51" s="1"/>
  <c r="K3" i="51"/>
  <c r="K5" i="51" s="1"/>
  <c r="J3" i="51"/>
  <c r="J5" i="51" s="1"/>
  <c r="I3" i="51"/>
  <c r="G135" i="2" s="1"/>
  <c r="T135" i="2" s="1"/>
  <c r="H3" i="51"/>
  <c r="H5" i="51" s="1"/>
  <c r="G3" i="51"/>
  <c r="G5" i="51" s="1"/>
  <c r="F3" i="51"/>
  <c r="F5" i="51" s="1"/>
  <c r="E3" i="51"/>
  <c r="C135" i="2" s="1"/>
  <c r="P135" i="2" s="1"/>
  <c r="D3" i="51"/>
  <c r="D5" i="51" s="1"/>
  <c r="M211" i="3"/>
  <c r="L211" i="3"/>
  <c r="M19" i="46"/>
  <c r="L19" i="46"/>
  <c r="I211" i="3"/>
  <c r="H211" i="3"/>
  <c r="I19" i="46"/>
  <c r="H19" i="46"/>
  <c r="E211" i="3"/>
  <c r="D211" i="3"/>
  <c r="E19" i="46"/>
  <c r="D19" i="46"/>
  <c r="O5" i="46"/>
  <c r="N5" i="46"/>
  <c r="M5" i="46"/>
  <c r="L5" i="46"/>
  <c r="K5" i="46"/>
  <c r="J5" i="46"/>
  <c r="I5" i="46"/>
  <c r="H5" i="46"/>
  <c r="G5" i="46"/>
  <c r="F5" i="46"/>
  <c r="E5" i="46"/>
  <c r="D5" i="46"/>
  <c r="O358" i="49"/>
  <c r="O55" i="49" s="1"/>
  <c r="N358" i="49"/>
  <c r="N55" i="49" s="1"/>
  <c r="M358" i="49"/>
  <c r="M55" i="49" s="1"/>
  <c r="L358" i="49"/>
  <c r="K358" i="49"/>
  <c r="K55" i="49" s="1"/>
  <c r="J358" i="49"/>
  <c r="J55" i="49" s="1"/>
  <c r="I358" i="49"/>
  <c r="I55" i="49" s="1"/>
  <c r="H358" i="49"/>
  <c r="H55" i="49" s="1"/>
  <c r="G358" i="49"/>
  <c r="G55" i="49" s="1"/>
  <c r="F358" i="49"/>
  <c r="F55" i="49" s="1"/>
  <c r="E358" i="49"/>
  <c r="E55" i="49" s="1"/>
  <c r="D358" i="49"/>
  <c r="D55" i="49" s="1"/>
  <c r="O357" i="49"/>
  <c r="O19" i="49" s="1"/>
  <c r="N357" i="49"/>
  <c r="N19" i="49" s="1"/>
  <c r="M357" i="49"/>
  <c r="M19" i="49" s="1"/>
  <c r="L357" i="49"/>
  <c r="K357" i="49"/>
  <c r="K19" i="49" s="1"/>
  <c r="J357" i="49"/>
  <c r="J19" i="49" s="1"/>
  <c r="I357" i="49"/>
  <c r="I19" i="49" s="1"/>
  <c r="H357" i="49"/>
  <c r="H19" i="49" s="1"/>
  <c r="G357" i="49"/>
  <c r="G19" i="49" s="1"/>
  <c r="F357" i="49"/>
  <c r="F19" i="49" s="1"/>
  <c r="E357" i="49"/>
  <c r="E19" i="49" s="1"/>
  <c r="D357" i="49"/>
  <c r="D19" i="49" s="1"/>
  <c r="O349" i="49"/>
  <c r="N349" i="49"/>
  <c r="M349" i="49"/>
  <c r="L349" i="49"/>
  <c r="K349" i="49"/>
  <c r="J349" i="49"/>
  <c r="I349" i="49"/>
  <c r="H349" i="49"/>
  <c r="G349" i="49"/>
  <c r="F349" i="49"/>
  <c r="E349" i="49"/>
  <c r="D349" i="49"/>
  <c r="N337" i="49"/>
  <c r="N14" i="49" s="1"/>
  <c r="L44" i="2" s="1"/>
  <c r="Y44" i="2" s="1"/>
  <c r="M337" i="49"/>
  <c r="M14" i="49" s="1"/>
  <c r="K44" i="2" s="1"/>
  <c r="X44" i="2" s="1"/>
  <c r="L337" i="49"/>
  <c r="L14" i="49" s="1"/>
  <c r="J44" i="2" s="1"/>
  <c r="W44" i="2" s="1"/>
  <c r="K337" i="49"/>
  <c r="K14" i="49" s="1"/>
  <c r="I44" i="2" s="1"/>
  <c r="V44" i="2" s="1"/>
  <c r="J337" i="49"/>
  <c r="J14" i="49" s="1"/>
  <c r="H44" i="2" s="1"/>
  <c r="U44" i="2" s="1"/>
  <c r="I337" i="49"/>
  <c r="I14" i="49" s="1"/>
  <c r="G44" i="2" s="1"/>
  <c r="T44" i="2" s="1"/>
  <c r="H337" i="49"/>
  <c r="H14" i="49" s="1"/>
  <c r="F44" i="2" s="1"/>
  <c r="S44" i="2" s="1"/>
  <c r="G337" i="49"/>
  <c r="G14" i="49" s="1"/>
  <c r="E44" i="2" s="1"/>
  <c r="R44" i="2" s="1"/>
  <c r="F337" i="49"/>
  <c r="F14" i="49" s="1"/>
  <c r="D44" i="2" s="1"/>
  <c r="Q44" i="2" s="1"/>
  <c r="E337" i="49"/>
  <c r="E14" i="49" s="1"/>
  <c r="C44" i="2" s="1"/>
  <c r="P44" i="2" s="1"/>
  <c r="D337" i="49"/>
  <c r="O330" i="49"/>
  <c r="N330" i="49"/>
  <c r="N51" i="49" s="1"/>
  <c r="M330" i="49"/>
  <c r="M51" i="49" s="1"/>
  <c r="L330" i="49"/>
  <c r="L51" i="49" s="1"/>
  <c r="K330" i="49"/>
  <c r="K51" i="49" s="1"/>
  <c r="J330" i="49"/>
  <c r="J51" i="49" s="1"/>
  <c r="I330" i="49"/>
  <c r="I51" i="49" s="1"/>
  <c r="H330" i="49"/>
  <c r="H51" i="49" s="1"/>
  <c r="G330" i="49"/>
  <c r="G51" i="49" s="1"/>
  <c r="F330" i="49"/>
  <c r="F51" i="49" s="1"/>
  <c r="E330" i="49"/>
  <c r="E51" i="49" s="1"/>
  <c r="D330" i="49"/>
  <c r="O316" i="49"/>
  <c r="O13" i="49" s="1"/>
  <c r="M43" i="2" s="1"/>
  <c r="Z43" i="2" s="1"/>
  <c r="N316" i="49"/>
  <c r="N13" i="49" s="1"/>
  <c r="L43" i="2" s="1"/>
  <c r="Y43" i="2" s="1"/>
  <c r="M316" i="49"/>
  <c r="M13" i="49" s="1"/>
  <c r="K43" i="2" s="1"/>
  <c r="X43" i="2" s="1"/>
  <c r="L316" i="49"/>
  <c r="K316" i="49"/>
  <c r="K13" i="49" s="1"/>
  <c r="I43" i="2" s="1"/>
  <c r="V43" i="2" s="1"/>
  <c r="J316" i="49"/>
  <c r="J13" i="49" s="1"/>
  <c r="H43" i="2" s="1"/>
  <c r="U43" i="2" s="1"/>
  <c r="I316" i="49"/>
  <c r="I13" i="49" s="1"/>
  <c r="G43" i="2" s="1"/>
  <c r="T43" i="2" s="1"/>
  <c r="H316" i="49"/>
  <c r="G316" i="49"/>
  <c r="G13" i="49" s="1"/>
  <c r="E43" i="2" s="1"/>
  <c r="R43" i="2" s="1"/>
  <c r="F316" i="49"/>
  <c r="F13" i="49" s="1"/>
  <c r="D43" i="2" s="1"/>
  <c r="Q43" i="2" s="1"/>
  <c r="E316" i="49"/>
  <c r="E13" i="49" s="1"/>
  <c r="C43" i="2" s="1"/>
  <c r="P43" i="2" s="1"/>
  <c r="D316" i="49"/>
  <c r="D13" i="49" s="1"/>
  <c r="B43" i="2" s="1"/>
  <c r="O43" i="2" s="1"/>
  <c r="O309" i="49"/>
  <c r="O50" i="49" s="1"/>
  <c r="N309" i="49"/>
  <c r="N50" i="49" s="1"/>
  <c r="M309" i="49"/>
  <c r="M50" i="49" s="1"/>
  <c r="M52" i="49" s="1"/>
  <c r="K495" i="3" s="1"/>
  <c r="L309" i="49"/>
  <c r="L50" i="49" s="1"/>
  <c r="K309" i="49"/>
  <c r="K50" i="49" s="1"/>
  <c r="J309" i="49"/>
  <c r="J50" i="49" s="1"/>
  <c r="J52" i="49" s="1"/>
  <c r="H495" i="3" s="1"/>
  <c r="I309" i="49"/>
  <c r="I50" i="49" s="1"/>
  <c r="I52" i="49" s="1"/>
  <c r="G495" i="3" s="1"/>
  <c r="H309" i="49"/>
  <c r="H50" i="49" s="1"/>
  <c r="G309" i="49"/>
  <c r="G50" i="49" s="1"/>
  <c r="F309" i="49"/>
  <c r="F50" i="49" s="1"/>
  <c r="E309" i="49"/>
  <c r="E50" i="49" s="1"/>
  <c r="E52" i="49" s="1"/>
  <c r="C495" i="3" s="1"/>
  <c r="D309" i="49"/>
  <c r="D50" i="49" s="1"/>
  <c r="O308" i="49"/>
  <c r="O42" i="49" s="1"/>
  <c r="N308" i="49"/>
  <c r="N42" i="49" s="1"/>
  <c r="M308" i="49"/>
  <c r="M42" i="49" s="1"/>
  <c r="L308" i="49"/>
  <c r="L42" i="49" s="1"/>
  <c r="K308" i="49"/>
  <c r="K42" i="49" s="1"/>
  <c r="J308" i="49"/>
  <c r="J42" i="49" s="1"/>
  <c r="I308" i="49"/>
  <c r="I42" i="49" s="1"/>
  <c r="H308" i="49"/>
  <c r="H42" i="49" s="1"/>
  <c r="G308" i="49"/>
  <c r="G42" i="49" s="1"/>
  <c r="F308" i="49"/>
  <c r="F42" i="49" s="1"/>
  <c r="E308" i="49"/>
  <c r="E42" i="49" s="1"/>
  <c r="D308" i="49"/>
  <c r="D42" i="49" s="1"/>
  <c r="O307" i="49"/>
  <c r="O38" i="49" s="1"/>
  <c r="N307" i="49"/>
  <c r="N38" i="49" s="1"/>
  <c r="M307" i="49"/>
  <c r="M38" i="49" s="1"/>
  <c r="L307" i="49"/>
  <c r="L38" i="49" s="1"/>
  <c r="K307" i="49"/>
  <c r="K38" i="49" s="1"/>
  <c r="J307" i="49"/>
  <c r="J38" i="49" s="1"/>
  <c r="I307" i="49"/>
  <c r="I38" i="49" s="1"/>
  <c r="H307" i="49"/>
  <c r="H38" i="49" s="1"/>
  <c r="G307" i="49"/>
  <c r="G38" i="49" s="1"/>
  <c r="F307" i="49"/>
  <c r="F38" i="49" s="1"/>
  <c r="E307" i="49"/>
  <c r="E38" i="49" s="1"/>
  <c r="D307" i="49"/>
  <c r="O302" i="49"/>
  <c r="N302" i="49"/>
  <c r="M302" i="49"/>
  <c r="L302" i="49"/>
  <c r="K302" i="49"/>
  <c r="J302" i="49"/>
  <c r="I302" i="49"/>
  <c r="H302" i="49"/>
  <c r="G302" i="49"/>
  <c r="F302" i="49"/>
  <c r="E302" i="49"/>
  <c r="D302" i="49"/>
  <c r="O297" i="49"/>
  <c r="N297" i="49"/>
  <c r="M297" i="49"/>
  <c r="L297" i="49"/>
  <c r="K297" i="49"/>
  <c r="J297" i="49"/>
  <c r="I297" i="49"/>
  <c r="H297" i="49"/>
  <c r="G297" i="49"/>
  <c r="F297" i="49"/>
  <c r="E297" i="49"/>
  <c r="D297" i="49"/>
  <c r="O290" i="49"/>
  <c r="N290" i="49"/>
  <c r="M290" i="49"/>
  <c r="L290" i="49"/>
  <c r="K290" i="49"/>
  <c r="J290" i="49"/>
  <c r="I290" i="49"/>
  <c r="H290" i="49"/>
  <c r="G290" i="49"/>
  <c r="F290" i="49"/>
  <c r="E290" i="49"/>
  <c r="D290" i="49"/>
  <c r="O287" i="49"/>
  <c r="N287" i="49"/>
  <c r="M287" i="49"/>
  <c r="L287" i="49"/>
  <c r="K287" i="49"/>
  <c r="J287" i="49"/>
  <c r="I287" i="49"/>
  <c r="H287" i="49"/>
  <c r="G287" i="49"/>
  <c r="F287" i="49"/>
  <c r="E287" i="49"/>
  <c r="D287" i="49"/>
  <c r="O284" i="49"/>
  <c r="O12" i="49" s="1"/>
  <c r="M42" i="2" s="1"/>
  <c r="Z42" i="2" s="1"/>
  <c r="N284" i="49"/>
  <c r="N12" i="49" s="1"/>
  <c r="L42" i="2" s="1"/>
  <c r="Y42" i="2" s="1"/>
  <c r="M284" i="49"/>
  <c r="M12" i="49" s="1"/>
  <c r="K42" i="2" s="1"/>
  <c r="X42" i="2" s="1"/>
  <c r="L284" i="49"/>
  <c r="K284" i="49"/>
  <c r="K12" i="49" s="1"/>
  <c r="I42" i="2" s="1"/>
  <c r="V42" i="2" s="1"/>
  <c r="J284" i="49"/>
  <c r="J12" i="49" s="1"/>
  <c r="H42" i="2" s="1"/>
  <c r="U42" i="2" s="1"/>
  <c r="I284" i="49"/>
  <c r="I12" i="49" s="1"/>
  <c r="G42" i="2" s="1"/>
  <c r="T42" i="2" s="1"/>
  <c r="H284" i="49"/>
  <c r="H12" i="49" s="1"/>
  <c r="F42" i="2" s="1"/>
  <c r="S42" i="2" s="1"/>
  <c r="G284" i="49"/>
  <c r="G12" i="49" s="1"/>
  <c r="E42" i="2" s="1"/>
  <c r="R42" i="2" s="1"/>
  <c r="F284" i="49"/>
  <c r="F12" i="49" s="1"/>
  <c r="D42" i="2" s="1"/>
  <c r="Q42" i="2" s="1"/>
  <c r="E284" i="49"/>
  <c r="E12" i="49" s="1"/>
  <c r="C42" i="2" s="1"/>
  <c r="P42" i="2" s="1"/>
  <c r="D284" i="49"/>
  <c r="O276" i="49"/>
  <c r="O47" i="49" s="1"/>
  <c r="N276" i="49"/>
  <c r="N47" i="49" s="1"/>
  <c r="M276" i="49"/>
  <c r="M47" i="49" s="1"/>
  <c r="L276" i="49"/>
  <c r="K276" i="49"/>
  <c r="K47" i="49" s="1"/>
  <c r="J276" i="49"/>
  <c r="J47" i="49" s="1"/>
  <c r="I276" i="49"/>
  <c r="I47" i="49" s="1"/>
  <c r="H276" i="49"/>
  <c r="H47" i="49" s="1"/>
  <c r="G276" i="49"/>
  <c r="G47" i="49" s="1"/>
  <c r="F276" i="49"/>
  <c r="F47" i="49" s="1"/>
  <c r="E276" i="49"/>
  <c r="E47" i="49" s="1"/>
  <c r="D276" i="49"/>
  <c r="O275" i="49"/>
  <c r="O34" i="49" s="1"/>
  <c r="N275" i="49"/>
  <c r="N34" i="49" s="1"/>
  <c r="M275" i="49"/>
  <c r="M34" i="49" s="1"/>
  <c r="L275" i="49"/>
  <c r="L34" i="49" s="1"/>
  <c r="K275" i="49"/>
  <c r="K34" i="49" s="1"/>
  <c r="J275" i="49"/>
  <c r="J34" i="49" s="1"/>
  <c r="I275" i="49"/>
  <c r="I34" i="49" s="1"/>
  <c r="H275" i="49"/>
  <c r="H34" i="49" s="1"/>
  <c r="G275" i="49"/>
  <c r="G34" i="49" s="1"/>
  <c r="F275" i="49"/>
  <c r="F34" i="49" s="1"/>
  <c r="E275" i="49"/>
  <c r="E34" i="49" s="1"/>
  <c r="D275" i="49"/>
  <c r="D34" i="49" s="1"/>
  <c r="O265" i="49"/>
  <c r="N265" i="49"/>
  <c r="M265" i="49"/>
  <c r="L265" i="49"/>
  <c r="K265" i="49"/>
  <c r="J265" i="49"/>
  <c r="I265" i="49"/>
  <c r="H265" i="49"/>
  <c r="G265" i="49"/>
  <c r="F265" i="49"/>
  <c r="E265" i="49"/>
  <c r="D265" i="49"/>
  <c r="O258" i="49"/>
  <c r="O11" i="49" s="1"/>
  <c r="M41" i="2" s="1"/>
  <c r="Z41" i="2" s="1"/>
  <c r="N258" i="49"/>
  <c r="N11" i="49" s="1"/>
  <c r="L41" i="2" s="1"/>
  <c r="Y41" i="2" s="1"/>
  <c r="M258" i="49"/>
  <c r="M11" i="49" s="1"/>
  <c r="K41" i="2" s="1"/>
  <c r="X41" i="2" s="1"/>
  <c r="L258" i="49"/>
  <c r="K258" i="49"/>
  <c r="K11" i="49" s="1"/>
  <c r="I41" i="2" s="1"/>
  <c r="V41" i="2" s="1"/>
  <c r="J258" i="49"/>
  <c r="J11" i="49" s="1"/>
  <c r="H41" i="2" s="1"/>
  <c r="U41" i="2" s="1"/>
  <c r="I258" i="49"/>
  <c r="I11" i="49" s="1"/>
  <c r="G41" i="2" s="1"/>
  <c r="T41" i="2" s="1"/>
  <c r="H258" i="49"/>
  <c r="H11" i="49" s="1"/>
  <c r="F41" i="2" s="1"/>
  <c r="S41" i="2" s="1"/>
  <c r="G258" i="49"/>
  <c r="G11" i="49" s="1"/>
  <c r="E41" i="2" s="1"/>
  <c r="R41" i="2" s="1"/>
  <c r="F258" i="49"/>
  <c r="F11" i="49" s="1"/>
  <c r="D41" i="2" s="1"/>
  <c r="Q41" i="2" s="1"/>
  <c r="E258" i="49"/>
  <c r="E11" i="49" s="1"/>
  <c r="C41" i="2" s="1"/>
  <c r="P41" i="2" s="1"/>
  <c r="D258" i="49"/>
  <c r="O249" i="49"/>
  <c r="O54" i="49" s="1"/>
  <c r="N249" i="49"/>
  <c r="N54" i="49" s="1"/>
  <c r="N56" i="49" s="1"/>
  <c r="L501" i="3" s="1"/>
  <c r="M249" i="49"/>
  <c r="M54" i="49" s="1"/>
  <c r="M56" i="49" s="1"/>
  <c r="K501" i="3" s="1"/>
  <c r="L249" i="49"/>
  <c r="L54" i="49" s="1"/>
  <c r="K249" i="49"/>
  <c r="K54" i="49" s="1"/>
  <c r="J249" i="49"/>
  <c r="J54" i="49" s="1"/>
  <c r="J56" i="49" s="1"/>
  <c r="H501" i="3" s="1"/>
  <c r="I249" i="49"/>
  <c r="I54" i="49" s="1"/>
  <c r="I56" i="49" s="1"/>
  <c r="G501" i="3" s="1"/>
  <c r="H249" i="49"/>
  <c r="H54" i="49" s="1"/>
  <c r="G249" i="49"/>
  <c r="G54" i="49" s="1"/>
  <c r="F249" i="49"/>
  <c r="F54" i="49" s="1"/>
  <c r="F56" i="49" s="1"/>
  <c r="D501" i="3" s="1"/>
  <c r="E249" i="49"/>
  <c r="E54" i="49" s="1"/>
  <c r="E56" i="49" s="1"/>
  <c r="C501" i="3" s="1"/>
  <c r="D249" i="49"/>
  <c r="D54" i="49" s="1"/>
  <c r="O248" i="49"/>
  <c r="O41" i="49" s="1"/>
  <c r="N248" i="49"/>
  <c r="N41" i="49" s="1"/>
  <c r="M248" i="49"/>
  <c r="M41" i="49" s="1"/>
  <c r="M43" i="49" s="1"/>
  <c r="K434" i="3" s="1"/>
  <c r="L248" i="49"/>
  <c r="L41" i="49" s="1"/>
  <c r="L43" i="49" s="1"/>
  <c r="J434" i="3" s="1"/>
  <c r="K248" i="49"/>
  <c r="K41" i="49" s="1"/>
  <c r="J248" i="49"/>
  <c r="J41" i="49" s="1"/>
  <c r="I248" i="49"/>
  <c r="I41" i="49" s="1"/>
  <c r="I43" i="49" s="1"/>
  <c r="G434" i="3" s="1"/>
  <c r="H248" i="49"/>
  <c r="H41" i="49" s="1"/>
  <c r="H43" i="49" s="1"/>
  <c r="F434" i="3" s="1"/>
  <c r="G248" i="49"/>
  <c r="G41" i="49" s="1"/>
  <c r="F248" i="49"/>
  <c r="F41" i="49" s="1"/>
  <c r="E248" i="49"/>
  <c r="E41" i="49" s="1"/>
  <c r="E43" i="49" s="1"/>
  <c r="C434" i="3" s="1"/>
  <c r="D248" i="49"/>
  <c r="D41" i="49" s="1"/>
  <c r="D43" i="49" s="1"/>
  <c r="B434" i="3" s="1"/>
  <c r="O247" i="49"/>
  <c r="O29" i="49" s="1"/>
  <c r="N247" i="49"/>
  <c r="N29" i="49" s="1"/>
  <c r="M247" i="49"/>
  <c r="M29" i="49" s="1"/>
  <c r="L247" i="49"/>
  <c r="L29" i="49" s="1"/>
  <c r="K247" i="49"/>
  <c r="K29" i="49" s="1"/>
  <c r="J247" i="49"/>
  <c r="J29" i="49" s="1"/>
  <c r="I247" i="49"/>
  <c r="I29" i="49" s="1"/>
  <c r="H247" i="49"/>
  <c r="G247" i="49"/>
  <c r="F247" i="49"/>
  <c r="F29" i="49" s="1"/>
  <c r="E247" i="49"/>
  <c r="E29" i="49" s="1"/>
  <c r="D247" i="49"/>
  <c r="D29" i="49" s="1"/>
  <c r="O229" i="49"/>
  <c r="N229" i="49"/>
  <c r="M229" i="49"/>
  <c r="L229" i="49"/>
  <c r="K229" i="49"/>
  <c r="J229" i="49"/>
  <c r="I229" i="49"/>
  <c r="H229" i="49"/>
  <c r="G229" i="49"/>
  <c r="F229" i="49"/>
  <c r="E229" i="49"/>
  <c r="D229" i="49"/>
  <c r="O223" i="49"/>
  <c r="O10" i="49" s="1"/>
  <c r="M40" i="2" s="1"/>
  <c r="Z40" i="2" s="1"/>
  <c r="N223" i="49"/>
  <c r="N10" i="49" s="1"/>
  <c r="L40" i="2" s="1"/>
  <c r="Y40" i="2" s="1"/>
  <c r="M223" i="49"/>
  <c r="M10" i="49" s="1"/>
  <c r="K40" i="2" s="1"/>
  <c r="X40" i="2" s="1"/>
  <c r="L223" i="49"/>
  <c r="K223" i="49"/>
  <c r="K10" i="49" s="1"/>
  <c r="I40" i="2" s="1"/>
  <c r="V40" i="2" s="1"/>
  <c r="J223" i="49"/>
  <c r="J10" i="49" s="1"/>
  <c r="H40" i="2" s="1"/>
  <c r="U40" i="2" s="1"/>
  <c r="I223" i="49"/>
  <c r="I10" i="49" s="1"/>
  <c r="G40" i="2" s="1"/>
  <c r="T40" i="2" s="1"/>
  <c r="H223" i="49"/>
  <c r="G223" i="49"/>
  <c r="G10" i="49" s="1"/>
  <c r="E40" i="2" s="1"/>
  <c r="R40" i="2" s="1"/>
  <c r="F223" i="49"/>
  <c r="F10" i="49" s="1"/>
  <c r="D40" i="2" s="1"/>
  <c r="Q40" i="2" s="1"/>
  <c r="E223" i="49"/>
  <c r="E10" i="49" s="1"/>
  <c r="C40" i="2" s="1"/>
  <c r="P40" i="2" s="1"/>
  <c r="D223" i="49"/>
  <c r="D10" i="49" s="1"/>
  <c r="B40" i="2" s="1"/>
  <c r="O40" i="2" s="1"/>
  <c r="O216" i="49"/>
  <c r="O46" i="49" s="1"/>
  <c r="N216" i="49"/>
  <c r="N46" i="49" s="1"/>
  <c r="M216" i="49"/>
  <c r="M46" i="49" s="1"/>
  <c r="L216" i="49"/>
  <c r="L46" i="49" s="1"/>
  <c r="K216" i="49"/>
  <c r="J216" i="49"/>
  <c r="J46" i="49" s="1"/>
  <c r="I216" i="49"/>
  <c r="I46" i="49" s="1"/>
  <c r="H216" i="49"/>
  <c r="H46" i="49" s="1"/>
  <c r="G216" i="49"/>
  <c r="G46" i="49" s="1"/>
  <c r="F216" i="49"/>
  <c r="F46" i="49" s="1"/>
  <c r="E216" i="49"/>
  <c r="E46" i="49" s="1"/>
  <c r="D216" i="49"/>
  <c r="D46" i="49" s="1"/>
  <c r="O215" i="49"/>
  <c r="O33" i="49" s="1"/>
  <c r="N215" i="49"/>
  <c r="N33" i="49" s="1"/>
  <c r="M215" i="49"/>
  <c r="M33" i="49" s="1"/>
  <c r="L215" i="49"/>
  <c r="K215" i="49"/>
  <c r="J215" i="49"/>
  <c r="J33" i="49" s="1"/>
  <c r="I215" i="49"/>
  <c r="I33" i="49" s="1"/>
  <c r="H215" i="49"/>
  <c r="G215" i="49"/>
  <c r="G33" i="49" s="1"/>
  <c r="F215" i="49"/>
  <c r="F33" i="49" s="1"/>
  <c r="E215" i="49"/>
  <c r="E33" i="49" s="1"/>
  <c r="D215" i="49"/>
  <c r="D33" i="49" s="1"/>
  <c r="O214" i="49"/>
  <c r="O28" i="49" s="1"/>
  <c r="N214" i="49"/>
  <c r="N28" i="49" s="1"/>
  <c r="N30" i="49" s="1"/>
  <c r="L223" i="3" s="1"/>
  <c r="M214" i="49"/>
  <c r="M28" i="49" s="1"/>
  <c r="M30" i="49" s="1"/>
  <c r="K223" i="3" s="1"/>
  <c r="L214" i="49"/>
  <c r="L28" i="49" s="1"/>
  <c r="K214" i="49"/>
  <c r="K28" i="49" s="1"/>
  <c r="J214" i="49"/>
  <c r="J28" i="49" s="1"/>
  <c r="J30" i="49" s="1"/>
  <c r="H223" i="3" s="1"/>
  <c r="I214" i="49"/>
  <c r="I28" i="49" s="1"/>
  <c r="I30" i="49" s="1"/>
  <c r="G223" i="3" s="1"/>
  <c r="H214" i="49"/>
  <c r="G214" i="49"/>
  <c r="G28" i="49" s="1"/>
  <c r="F214" i="49"/>
  <c r="F28" i="49" s="1"/>
  <c r="F30" i="49" s="1"/>
  <c r="D223" i="3" s="1"/>
  <c r="E214" i="49"/>
  <c r="E28" i="49" s="1"/>
  <c r="E30" i="49" s="1"/>
  <c r="C223" i="3" s="1"/>
  <c r="D214" i="49"/>
  <c r="O188" i="49"/>
  <c r="O9" i="49" s="1"/>
  <c r="M39" i="2" s="1"/>
  <c r="Z39" i="2" s="1"/>
  <c r="N188" i="49"/>
  <c r="N9" i="49" s="1"/>
  <c r="L39" i="2" s="1"/>
  <c r="Y39" i="2" s="1"/>
  <c r="M188" i="49"/>
  <c r="M9" i="49" s="1"/>
  <c r="K39" i="2" s="1"/>
  <c r="X39" i="2" s="1"/>
  <c r="L188" i="49"/>
  <c r="K188" i="49"/>
  <c r="J188" i="49"/>
  <c r="J9" i="49" s="1"/>
  <c r="H39" i="2" s="1"/>
  <c r="U39" i="2" s="1"/>
  <c r="I188" i="49"/>
  <c r="I9" i="49" s="1"/>
  <c r="G39" i="2" s="1"/>
  <c r="T39" i="2" s="1"/>
  <c r="H188" i="49"/>
  <c r="H9" i="49" s="1"/>
  <c r="F39" i="2" s="1"/>
  <c r="S39" i="2" s="1"/>
  <c r="G188" i="49"/>
  <c r="G9" i="49" s="1"/>
  <c r="E39" i="2" s="1"/>
  <c r="R39" i="2" s="1"/>
  <c r="F188" i="49"/>
  <c r="F9" i="49" s="1"/>
  <c r="D39" i="2" s="1"/>
  <c r="Q39" i="2" s="1"/>
  <c r="E188" i="49"/>
  <c r="E9" i="49" s="1"/>
  <c r="C39" i="2" s="1"/>
  <c r="P39" i="2" s="1"/>
  <c r="D188" i="49"/>
  <c r="O181" i="49"/>
  <c r="O26" i="49" s="1"/>
  <c r="M219" i="3" s="1"/>
  <c r="N181" i="49"/>
  <c r="N26" i="49" s="1"/>
  <c r="L219" i="3" s="1"/>
  <c r="M181" i="49"/>
  <c r="M26" i="49" s="1"/>
  <c r="K219" i="3" s="1"/>
  <c r="L181" i="49"/>
  <c r="L26" i="49" s="1"/>
  <c r="J219" i="3" s="1"/>
  <c r="K181" i="49"/>
  <c r="K26" i="49" s="1"/>
  <c r="I219" i="3" s="1"/>
  <c r="J181" i="49"/>
  <c r="J26" i="49" s="1"/>
  <c r="H219" i="3" s="1"/>
  <c r="I181" i="49"/>
  <c r="I26" i="49" s="1"/>
  <c r="G219" i="3" s="1"/>
  <c r="H181" i="49"/>
  <c r="G181" i="49"/>
  <c r="G26" i="49" s="1"/>
  <c r="E219" i="3" s="1"/>
  <c r="F181" i="49"/>
  <c r="F26" i="49" s="1"/>
  <c r="D219" i="3" s="1"/>
  <c r="E181" i="49"/>
  <c r="E26" i="49" s="1"/>
  <c r="C219" i="3" s="1"/>
  <c r="D181" i="49"/>
  <c r="O163" i="49"/>
  <c r="O8" i="49" s="1"/>
  <c r="M38" i="2" s="1"/>
  <c r="Z38" i="2" s="1"/>
  <c r="N163" i="49"/>
  <c r="N8" i="49" s="1"/>
  <c r="L38" i="2" s="1"/>
  <c r="Y38" i="2" s="1"/>
  <c r="M163" i="49"/>
  <c r="M8" i="49" s="1"/>
  <c r="K38" i="2" s="1"/>
  <c r="X38" i="2" s="1"/>
  <c r="L163" i="49"/>
  <c r="K163" i="49"/>
  <c r="K8" i="49" s="1"/>
  <c r="I38" i="2" s="1"/>
  <c r="V38" i="2" s="1"/>
  <c r="J163" i="49"/>
  <c r="J8" i="49" s="1"/>
  <c r="H38" i="2" s="1"/>
  <c r="U38" i="2" s="1"/>
  <c r="I163" i="49"/>
  <c r="I8" i="49" s="1"/>
  <c r="G38" i="2" s="1"/>
  <c r="T38" i="2" s="1"/>
  <c r="H163" i="49"/>
  <c r="H8" i="49" s="1"/>
  <c r="F38" i="2" s="1"/>
  <c r="S38" i="2" s="1"/>
  <c r="G163" i="49"/>
  <c r="G8" i="49" s="1"/>
  <c r="E38" i="2" s="1"/>
  <c r="R38" i="2" s="1"/>
  <c r="F163" i="49"/>
  <c r="F8" i="49" s="1"/>
  <c r="D38" i="2" s="1"/>
  <c r="Q38" i="2" s="1"/>
  <c r="E163" i="49"/>
  <c r="E8" i="49" s="1"/>
  <c r="C38" i="2" s="1"/>
  <c r="P38" i="2" s="1"/>
  <c r="D163" i="49"/>
  <c r="O155" i="49"/>
  <c r="O45" i="49" s="1"/>
  <c r="N155" i="49"/>
  <c r="N45" i="49" s="1"/>
  <c r="N48" i="49" s="1"/>
  <c r="L442" i="3" s="1"/>
  <c r="M155" i="49"/>
  <c r="M45" i="49" s="1"/>
  <c r="M48" i="49" s="1"/>
  <c r="K442" i="3" s="1"/>
  <c r="L155" i="49"/>
  <c r="L45" i="49" s="1"/>
  <c r="K155" i="49"/>
  <c r="K45" i="49" s="1"/>
  <c r="J155" i="49"/>
  <c r="J45" i="49" s="1"/>
  <c r="J48" i="49" s="1"/>
  <c r="H442" i="3" s="1"/>
  <c r="I155" i="49"/>
  <c r="I45" i="49" s="1"/>
  <c r="I48" i="49" s="1"/>
  <c r="G442" i="3" s="1"/>
  <c r="H155" i="49"/>
  <c r="H45" i="49" s="1"/>
  <c r="G155" i="49"/>
  <c r="G45" i="49" s="1"/>
  <c r="G48" i="49" s="1"/>
  <c r="E442" i="3" s="1"/>
  <c r="F155" i="49"/>
  <c r="F45" i="49" s="1"/>
  <c r="F48" i="49" s="1"/>
  <c r="D442" i="3" s="1"/>
  <c r="E155" i="49"/>
  <c r="E45" i="49" s="1"/>
  <c r="E48" i="49" s="1"/>
  <c r="C442" i="3" s="1"/>
  <c r="D155" i="49"/>
  <c r="O154" i="49"/>
  <c r="O32" i="49" s="1"/>
  <c r="N154" i="49"/>
  <c r="N32" i="49" s="1"/>
  <c r="M154" i="49"/>
  <c r="M32" i="49" s="1"/>
  <c r="M35" i="49" s="1"/>
  <c r="K319" i="3" s="1"/>
  <c r="L154" i="49"/>
  <c r="L32" i="49" s="1"/>
  <c r="K154" i="49"/>
  <c r="K32" i="49" s="1"/>
  <c r="J154" i="49"/>
  <c r="J32" i="49" s="1"/>
  <c r="I154" i="49"/>
  <c r="I32" i="49" s="1"/>
  <c r="I35" i="49" s="1"/>
  <c r="G319" i="3" s="1"/>
  <c r="H154" i="49"/>
  <c r="H32" i="49" s="1"/>
  <c r="G154" i="49"/>
  <c r="G32" i="49" s="1"/>
  <c r="F154" i="49"/>
  <c r="F32" i="49" s="1"/>
  <c r="E154" i="49"/>
  <c r="E32" i="49" s="1"/>
  <c r="E35" i="49" s="1"/>
  <c r="C319" i="3" s="1"/>
  <c r="D154" i="49"/>
  <c r="O153" i="49"/>
  <c r="O24" i="49" s="1"/>
  <c r="M218" i="3" s="1"/>
  <c r="N153" i="49"/>
  <c r="N24" i="49" s="1"/>
  <c r="L218" i="3" s="1"/>
  <c r="M153" i="49"/>
  <c r="M24" i="49" s="1"/>
  <c r="K218" i="3" s="1"/>
  <c r="L153" i="49"/>
  <c r="L24" i="49" s="1"/>
  <c r="J218" i="3" s="1"/>
  <c r="K153" i="49"/>
  <c r="K24" i="49" s="1"/>
  <c r="I218" i="3" s="1"/>
  <c r="J153" i="49"/>
  <c r="J24" i="49" s="1"/>
  <c r="H218" i="3" s="1"/>
  <c r="I153" i="49"/>
  <c r="I24" i="49" s="1"/>
  <c r="G218" i="3" s="1"/>
  <c r="H153" i="49"/>
  <c r="G153" i="49"/>
  <c r="G24" i="49" s="1"/>
  <c r="E218" i="3" s="1"/>
  <c r="F153" i="49"/>
  <c r="F24" i="49" s="1"/>
  <c r="D218" i="3" s="1"/>
  <c r="E153" i="49"/>
  <c r="E24" i="49" s="1"/>
  <c r="C218" i="3" s="1"/>
  <c r="D153" i="49"/>
  <c r="O121" i="49"/>
  <c r="O7" i="49" s="1"/>
  <c r="M37" i="2" s="1"/>
  <c r="Z37" i="2" s="1"/>
  <c r="N121" i="49"/>
  <c r="N7" i="49" s="1"/>
  <c r="L37" i="2" s="1"/>
  <c r="Y37" i="2" s="1"/>
  <c r="M121" i="49"/>
  <c r="M7" i="49" s="1"/>
  <c r="K37" i="2" s="1"/>
  <c r="X37" i="2" s="1"/>
  <c r="L121" i="49"/>
  <c r="K121" i="49"/>
  <c r="K7" i="49" s="1"/>
  <c r="I37" i="2" s="1"/>
  <c r="V37" i="2" s="1"/>
  <c r="J121" i="49"/>
  <c r="J7" i="49" s="1"/>
  <c r="H37" i="2" s="1"/>
  <c r="U37" i="2" s="1"/>
  <c r="I121" i="49"/>
  <c r="I7" i="49" s="1"/>
  <c r="G37" i="2" s="1"/>
  <c r="T37" i="2" s="1"/>
  <c r="H121" i="49"/>
  <c r="H7" i="49" s="1"/>
  <c r="F37" i="2" s="1"/>
  <c r="S37" i="2" s="1"/>
  <c r="G121" i="49"/>
  <c r="G7" i="49" s="1"/>
  <c r="E37" i="2" s="1"/>
  <c r="R37" i="2" s="1"/>
  <c r="F121" i="49"/>
  <c r="F7" i="49" s="1"/>
  <c r="D37" i="2" s="1"/>
  <c r="Q37" i="2" s="1"/>
  <c r="E121" i="49"/>
  <c r="E7" i="49" s="1"/>
  <c r="C37" i="2" s="1"/>
  <c r="P37" i="2" s="1"/>
  <c r="D121" i="49"/>
  <c r="O114" i="49"/>
  <c r="O37" i="49" s="1"/>
  <c r="N114" i="49"/>
  <c r="N37" i="49" s="1"/>
  <c r="N39" i="49" s="1"/>
  <c r="L425" i="3" s="1"/>
  <c r="M114" i="49"/>
  <c r="M37" i="49" s="1"/>
  <c r="M39" i="49" s="1"/>
  <c r="K425" i="3" s="1"/>
  <c r="L114" i="49"/>
  <c r="L37" i="49" s="1"/>
  <c r="K114" i="49"/>
  <c r="K37" i="49" s="1"/>
  <c r="K39" i="49" s="1"/>
  <c r="I425" i="3" s="1"/>
  <c r="J114" i="49"/>
  <c r="J37" i="49" s="1"/>
  <c r="J39" i="49" s="1"/>
  <c r="H425" i="3" s="1"/>
  <c r="I114" i="49"/>
  <c r="I37" i="49" s="1"/>
  <c r="I39" i="49" s="1"/>
  <c r="G425" i="3" s="1"/>
  <c r="H114" i="49"/>
  <c r="G114" i="49"/>
  <c r="G37" i="49" s="1"/>
  <c r="F114" i="49"/>
  <c r="F37" i="49" s="1"/>
  <c r="F39" i="49" s="1"/>
  <c r="D425" i="3" s="1"/>
  <c r="E114" i="49"/>
  <c r="E37" i="49" s="1"/>
  <c r="E39" i="49" s="1"/>
  <c r="C425" i="3" s="1"/>
  <c r="D114" i="49"/>
  <c r="D37" i="49" s="1"/>
  <c r="O113" i="49"/>
  <c r="O22" i="49" s="1"/>
  <c r="M213" i="3" s="1"/>
  <c r="N113" i="49"/>
  <c r="N22" i="49" s="1"/>
  <c r="L213" i="3" s="1"/>
  <c r="M113" i="49"/>
  <c r="M22" i="49" s="1"/>
  <c r="K213" i="3" s="1"/>
  <c r="L113" i="49"/>
  <c r="L22" i="49" s="1"/>
  <c r="J213" i="3" s="1"/>
  <c r="K113" i="49"/>
  <c r="K22" i="49" s="1"/>
  <c r="I213" i="3" s="1"/>
  <c r="J113" i="49"/>
  <c r="J22" i="49" s="1"/>
  <c r="H213" i="3" s="1"/>
  <c r="I113" i="49"/>
  <c r="I22" i="49" s="1"/>
  <c r="G213" i="3" s="1"/>
  <c r="H113" i="49"/>
  <c r="H22" i="49" s="1"/>
  <c r="F213" i="3" s="1"/>
  <c r="G113" i="49"/>
  <c r="G22" i="49" s="1"/>
  <c r="E213" i="3" s="1"/>
  <c r="F113" i="49"/>
  <c r="F22" i="49" s="1"/>
  <c r="D213" i="3" s="1"/>
  <c r="E113" i="49"/>
  <c r="E22" i="49" s="1"/>
  <c r="C213" i="3" s="1"/>
  <c r="D113" i="49"/>
  <c r="O86" i="49"/>
  <c r="O6" i="49" s="1"/>
  <c r="M36" i="2" s="1"/>
  <c r="Z36" i="2" s="1"/>
  <c r="N86" i="49"/>
  <c r="N6" i="49" s="1"/>
  <c r="L36" i="2" s="1"/>
  <c r="Y36" i="2" s="1"/>
  <c r="M86" i="49"/>
  <c r="M6" i="49" s="1"/>
  <c r="K36" i="2" s="1"/>
  <c r="X36" i="2" s="1"/>
  <c r="L86" i="49"/>
  <c r="K86" i="49"/>
  <c r="K6" i="49" s="1"/>
  <c r="J86" i="49"/>
  <c r="J6" i="49" s="1"/>
  <c r="H36" i="2" s="1"/>
  <c r="U36" i="2" s="1"/>
  <c r="I86" i="49"/>
  <c r="I6" i="49" s="1"/>
  <c r="G36" i="2" s="1"/>
  <c r="T36" i="2" s="1"/>
  <c r="H86" i="49"/>
  <c r="H6" i="49" s="1"/>
  <c r="F36" i="2" s="1"/>
  <c r="S36" i="2" s="1"/>
  <c r="G86" i="49"/>
  <c r="G6" i="49" s="1"/>
  <c r="E36" i="2" s="1"/>
  <c r="R36" i="2" s="1"/>
  <c r="F86" i="49"/>
  <c r="F6" i="49" s="1"/>
  <c r="D36" i="2" s="1"/>
  <c r="Q36" i="2" s="1"/>
  <c r="E86" i="49"/>
  <c r="E6" i="49" s="1"/>
  <c r="C36" i="2" s="1"/>
  <c r="P36" i="2" s="1"/>
  <c r="D86" i="49"/>
  <c r="O79" i="49"/>
  <c r="O18" i="49" s="1"/>
  <c r="N79" i="49"/>
  <c r="N18" i="49" s="1"/>
  <c r="N20" i="49" s="1"/>
  <c r="L80" i="3" s="1"/>
  <c r="M79" i="49"/>
  <c r="M18" i="49" s="1"/>
  <c r="M20" i="49" s="1"/>
  <c r="L79" i="49"/>
  <c r="K79" i="49"/>
  <c r="K18" i="49" s="1"/>
  <c r="J79" i="49"/>
  <c r="J18" i="49" s="1"/>
  <c r="J20" i="49" s="1"/>
  <c r="H80" i="3" s="1"/>
  <c r="I79" i="49"/>
  <c r="I18" i="49" s="1"/>
  <c r="I20" i="49" s="1"/>
  <c r="G80" i="3" s="1"/>
  <c r="H79" i="49"/>
  <c r="H18" i="49" s="1"/>
  <c r="G79" i="49"/>
  <c r="G18" i="49" s="1"/>
  <c r="F79" i="49"/>
  <c r="F18" i="49" s="1"/>
  <c r="F20" i="49" s="1"/>
  <c r="D80" i="3" s="1"/>
  <c r="E79" i="49"/>
  <c r="E18" i="49" s="1"/>
  <c r="E20" i="49" s="1"/>
  <c r="D79" i="49"/>
  <c r="O67" i="49"/>
  <c r="O5" i="49" s="1"/>
  <c r="N67" i="49"/>
  <c r="N5" i="49" s="1"/>
  <c r="N3" i="49" s="1"/>
  <c r="N16" i="49" s="1"/>
  <c r="M67" i="49"/>
  <c r="M5" i="49" s="1"/>
  <c r="M3" i="49" s="1"/>
  <c r="M16" i="49" s="1"/>
  <c r="L67" i="49"/>
  <c r="L5" i="49" s="1"/>
  <c r="K67" i="49"/>
  <c r="K5" i="49" s="1"/>
  <c r="I35" i="2" s="1"/>
  <c r="J67" i="49"/>
  <c r="J5" i="49" s="1"/>
  <c r="I67" i="49"/>
  <c r="I5" i="49" s="1"/>
  <c r="I3" i="49" s="1"/>
  <c r="I16" i="49" s="1"/>
  <c r="H67" i="49"/>
  <c r="G67" i="49"/>
  <c r="G5" i="49" s="1"/>
  <c r="F67" i="49"/>
  <c r="F5" i="49" s="1"/>
  <c r="F3" i="49" s="1"/>
  <c r="F16" i="49" s="1"/>
  <c r="E67" i="49"/>
  <c r="E5" i="49" s="1"/>
  <c r="D67" i="49"/>
  <c r="L55" i="49"/>
  <c r="O51" i="49"/>
  <c r="D51" i="49"/>
  <c r="L47" i="49"/>
  <c r="D47" i="49"/>
  <c r="K46" i="49"/>
  <c r="D45" i="49"/>
  <c r="D38" i="49"/>
  <c r="H37" i="49"/>
  <c r="L33" i="49"/>
  <c r="K33" i="49"/>
  <c r="H33" i="49"/>
  <c r="D32" i="49"/>
  <c r="H29" i="49"/>
  <c r="G29" i="49"/>
  <c r="H28" i="49"/>
  <c r="D28" i="49"/>
  <c r="H26" i="49"/>
  <c r="F219" i="3" s="1"/>
  <c r="D26" i="49"/>
  <c r="B219" i="3" s="1"/>
  <c r="H24" i="49"/>
  <c r="F218" i="3" s="1"/>
  <c r="D24" i="49"/>
  <c r="B218" i="3" s="1"/>
  <c r="D22" i="49"/>
  <c r="B213" i="3" s="1"/>
  <c r="L19" i="49"/>
  <c r="L18" i="49"/>
  <c r="D18" i="49"/>
  <c r="O14" i="49"/>
  <c r="M44" i="2" s="1"/>
  <c r="Z44" i="2" s="1"/>
  <c r="D14" i="49"/>
  <c r="B44" i="2" s="1"/>
  <c r="O44" i="2" s="1"/>
  <c r="L13" i="49"/>
  <c r="J43" i="2" s="1"/>
  <c r="W43" i="2" s="1"/>
  <c r="H13" i="49"/>
  <c r="F43" i="2" s="1"/>
  <c r="S43" i="2" s="1"/>
  <c r="L12" i="49"/>
  <c r="J42" i="2" s="1"/>
  <c r="W42" i="2" s="1"/>
  <c r="D12" i="49"/>
  <c r="B42" i="2" s="1"/>
  <c r="O42" i="2" s="1"/>
  <c r="L11" i="49"/>
  <c r="J41" i="2" s="1"/>
  <c r="W41" i="2" s="1"/>
  <c r="D11" i="49"/>
  <c r="B41" i="2" s="1"/>
  <c r="O41" i="2" s="1"/>
  <c r="L10" i="49"/>
  <c r="J40" i="2" s="1"/>
  <c r="W40" i="2" s="1"/>
  <c r="H10" i="49"/>
  <c r="F40" i="2" s="1"/>
  <c r="S40" i="2" s="1"/>
  <c r="L9" i="49"/>
  <c r="J39" i="2" s="1"/>
  <c r="W39" i="2" s="1"/>
  <c r="K9" i="49"/>
  <c r="I39" i="2" s="1"/>
  <c r="V39" i="2" s="1"/>
  <c r="D9" i="49"/>
  <c r="B39" i="2" s="1"/>
  <c r="O39" i="2" s="1"/>
  <c r="L8" i="49"/>
  <c r="J38" i="2" s="1"/>
  <c r="W38" i="2" s="1"/>
  <c r="D8" i="49"/>
  <c r="B38" i="2" s="1"/>
  <c r="O38" i="2" s="1"/>
  <c r="L7" i="49"/>
  <c r="J37" i="2" s="1"/>
  <c r="W37" i="2" s="1"/>
  <c r="D7" i="49"/>
  <c r="B37" i="2" s="1"/>
  <c r="O37" i="2" s="1"/>
  <c r="L6" i="49"/>
  <c r="J36" i="2" s="1"/>
  <c r="W36" i="2" s="1"/>
  <c r="D6" i="49"/>
  <c r="B36" i="2" s="1"/>
  <c r="O36" i="2" s="1"/>
  <c r="H5" i="49"/>
  <c r="F35" i="2" s="1"/>
  <c r="D5" i="49"/>
  <c r="O66" i="47"/>
  <c r="N66" i="47"/>
  <c r="M66" i="47"/>
  <c r="L66" i="47"/>
  <c r="K66" i="47"/>
  <c r="J66" i="47"/>
  <c r="I66" i="47"/>
  <c r="H66" i="47"/>
  <c r="G66" i="47"/>
  <c r="F66" i="47"/>
  <c r="E66" i="47"/>
  <c r="D66" i="47"/>
  <c r="O41" i="47"/>
  <c r="N41" i="47"/>
  <c r="M41" i="47"/>
  <c r="L41" i="47"/>
  <c r="K41" i="47"/>
  <c r="J41" i="47"/>
  <c r="I41" i="47"/>
  <c r="H41" i="47"/>
  <c r="G41" i="47"/>
  <c r="F41" i="47"/>
  <c r="E41" i="47"/>
  <c r="D41" i="47"/>
  <c r="H15" i="47"/>
  <c r="K13" i="47"/>
  <c r="O9" i="47"/>
  <c r="M321" i="3" s="1"/>
  <c r="N9" i="47"/>
  <c r="L321" i="3" s="1"/>
  <c r="M9" i="47"/>
  <c r="K321" i="3" s="1"/>
  <c r="L9" i="47"/>
  <c r="K9" i="47"/>
  <c r="J9" i="47"/>
  <c r="H321" i="3" s="1"/>
  <c r="I9" i="47"/>
  <c r="G321" i="3" s="1"/>
  <c r="H9" i="47"/>
  <c r="G9" i="47"/>
  <c r="E321" i="3" s="1"/>
  <c r="F9" i="47"/>
  <c r="D321" i="3" s="1"/>
  <c r="E9" i="47"/>
  <c r="C321" i="3" s="1"/>
  <c r="D9" i="47"/>
  <c r="O7" i="47"/>
  <c r="O15" i="47" s="1"/>
  <c r="N7" i="47"/>
  <c r="N15" i="47" s="1"/>
  <c r="M7" i="47"/>
  <c r="M13" i="47" s="1"/>
  <c r="L7" i="47"/>
  <c r="L11" i="47" s="1"/>
  <c r="K7" i="47"/>
  <c r="J7" i="47"/>
  <c r="J15" i="47" s="1"/>
  <c r="I7" i="47"/>
  <c r="I13" i="47" s="1"/>
  <c r="H7" i="47"/>
  <c r="H11" i="47" s="1"/>
  <c r="G7" i="47"/>
  <c r="F7" i="47"/>
  <c r="F15" i="47" s="1"/>
  <c r="E7" i="47"/>
  <c r="E13" i="47" s="1"/>
  <c r="D7" i="47"/>
  <c r="D11" i="47" s="1"/>
  <c r="O3" i="47"/>
  <c r="N3" i="47"/>
  <c r="N5" i="47" s="1"/>
  <c r="M3" i="47"/>
  <c r="K369" i="2" s="1"/>
  <c r="X369" i="2" s="1"/>
  <c r="L3" i="47"/>
  <c r="J369" i="2" s="1"/>
  <c r="W369" i="2" s="1"/>
  <c r="K3" i="47"/>
  <c r="K5" i="47" s="1"/>
  <c r="J3" i="47"/>
  <c r="J5" i="47" s="1"/>
  <c r="I3" i="47"/>
  <c r="G369" i="2" s="1"/>
  <c r="T369" i="2" s="1"/>
  <c r="H3" i="47"/>
  <c r="F369" i="2" s="1"/>
  <c r="S369" i="2" s="1"/>
  <c r="G3" i="47"/>
  <c r="F3" i="47"/>
  <c r="F5" i="47" s="1"/>
  <c r="E3" i="47"/>
  <c r="C369" i="2" s="1"/>
  <c r="P369" i="2" s="1"/>
  <c r="D3" i="47"/>
  <c r="B369" i="2" s="1"/>
  <c r="O369" i="2" s="1"/>
  <c r="O12" i="8"/>
  <c r="O10" i="4" s="1"/>
  <c r="N12" i="8"/>
  <c r="M12" i="8"/>
  <c r="L12" i="8"/>
  <c r="K12" i="8"/>
  <c r="K10" i="4" s="1"/>
  <c r="J12" i="8"/>
  <c r="I12" i="8"/>
  <c r="H12" i="8"/>
  <c r="G12" i="8"/>
  <c r="G10" i="4" s="1"/>
  <c r="F12" i="8"/>
  <c r="E12" i="8"/>
  <c r="D12" i="8"/>
  <c r="O9" i="8"/>
  <c r="O15" i="4" s="1"/>
  <c r="N9" i="8"/>
  <c r="M9" i="8"/>
  <c r="L9" i="8"/>
  <c r="K9" i="8"/>
  <c r="K15" i="4" s="1"/>
  <c r="J9" i="8"/>
  <c r="I9" i="8"/>
  <c r="H9" i="8"/>
  <c r="G9" i="8"/>
  <c r="G15" i="4" s="1"/>
  <c r="F9" i="8"/>
  <c r="E9" i="8"/>
  <c r="D9" i="8"/>
  <c r="O7" i="8"/>
  <c r="O17" i="8" s="1"/>
  <c r="N7" i="8"/>
  <c r="N17" i="8" s="1"/>
  <c r="M7" i="8"/>
  <c r="M17" i="8" s="1"/>
  <c r="L7" i="8"/>
  <c r="J225" i="3" s="1"/>
  <c r="K7" i="8"/>
  <c r="K13" i="4" s="1"/>
  <c r="J7" i="8"/>
  <c r="J17" i="8" s="1"/>
  <c r="I7" i="8"/>
  <c r="I17" i="8" s="1"/>
  <c r="H7" i="8"/>
  <c r="F225" i="3" s="1"/>
  <c r="G7" i="8"/>
  <c r="G13" i="4" s="1"/>
  <c r="F7" i="8"/>
  <c r="F17" i="8" s="1"/>
  <c r="E7" i="8"/>
  <c r="E17" i="8" s="1"/>
  <c r="D7" i="8"/>
  <c r="B225" i="3" s="1"/>
  <c r="O3" i="8"/>
  <c r="O5" i="8" s="1"/>
  <c r="N3" i="8"/>
  <c r="L133" i="2" s="1"/>
  <c r="Y133" i="2" s="1"/>
  <c r="M3" i="8"/>
  <c r="M5" i="8" s="1"/>
  <c r="L3" i="8"/>
  <c r="L5" i="8" s="1"/>
  <c r="K3" i="8"/>
  <c r="K5" i="8" s="1"/>
  <c r="J3" i="8"/>
  <c r="H133" i="2" s="1"/>
  <c r="U133" i="2" s="1"/>
  <c r="I3" i="8"/>
  <c r="I5" i="8" s="1"/>
  <c r="H3" i="8"/>
  <c r="H5" i="8" s="1"/>
  <c r="G3" i="8"/>
  <c r="G5" i="8" s="1"/>
  <c r="F3" i="8"/>
  <c r="D133" i="2" s="1"/>
  <c r="Q133" i="2" s="1"/>
  <c r="E3" i="8"/>
  <c r="E5" i="8" s="1"/>
  <c r="D3" i="8"/>
  <c r="D5" i="8" s="1"/>
  <c r="O7" i="48"/>
  <c r="M207" i="3" s="1"/>
  <c r="N7" i="48"/>
  <c r="L207" i="3" s="1"/>
  <c r="M7" i="48"/>
  <c r="L7" i="48"/>
  <c r="K7" i="48"/>
  <c r="I207" i="3" s="1"/>
  <c r="J7" i="48"/>
  <c r="H207" i="3" s="1"/>
  <c r="I7" i="48"/>
  <c r="H7" i="48"/>
  <c r="G7" i="48"/>
  <c r="F7" i="48"/>
  <c r="D207" i="3" s="1"/>
  <c r="E7" i="48"/>
  <c r="D7" i="48"/>
  <c r="O3" i="48"/>
  <c r="O5" i="48" s="1"/>
  <c r="N3" i="48"/>
  <c r="N5" i="48" s="1"/>
  <c r="M3" i="48"/>
  <c r="M5" i="48" s="1"/>
  <c r="L3" i="48"/>
  <c r="L5" i="48" s="1"/>
  <c r="K3" i="48"/>
  <c r="K5" i="48" s="1"/>
  <c r="J3" i="48"/>
  <c r="J5" i="48" s="1"/>
  <c r="I3" i="48"/>
  <c r="I5" i="48" s="1"/>
  <c r="H3" i="48"/>
  <c r="H5" i="48" s="1"/>
  <c r="G3" i="48"/>
  <c r="G5" i="48" s="1"/>
  <c r="F3" i="48"/>
  <c r="F5" i="48" s="1"/>
  <c r="E3" i="48"/>
  <c r="E5" i="48" s="1"/>
  <c r="D3" i="48"/>
  <c r="D5" i="48" s="1"/>
  <c r="O17" i="45"/>
  <c r="O15" i="45"/>
  <c r="O12" i="45"/>
  <c r="O9" i="46"/>
  <c r="O11" i="46" s="1"/>
  <c r="N9" i="46"/>
  <c r="N11" i="46" s="1"/>
  <c r="M9" i="46"/>
  <c r="M11" i="46" s="1"/>
  <c r="L9" i="46"/>
  <c r="L11" i="46" s="1"/>
  <c r="K9" i="46"/>
  <c r="K11" i="46" s="1"/>
  <c r="J9" i="46"/>
  <c r="J11" i="46" s="1"/>
  <c r="I9" i="46"/>
  <c r="I11" i="46" s="1"/>
  <c r="H9" i="46"/>
  <c r="H11" i="46" s="1"/>
  <c r="G9" i="46"/>
  <c r="G11" i="46" s="1"/>
  <c r="F9" i="46"/>
  <c r="F11" i="46" s="1"/>
  <c r="E9" i="46"/>
  <c r="E11" i="46" s="1"/>
  <c r="D9" i="46"/>
  <c r="D11" i="46" s="1"/>
  <c r="O17" i="46"/>
  <c r="N17" i="46"/>
  <c r="K206" i="3"/>
  <c r="L17" i="46"/>
  <c r="K17" i="46"/>
  <c r="J17" i="46"/>
  <c r="G206" i="3"/>
  <c r="H17" i="46"/>
  <c r="G17" i="46"/>
  <c r="F17" i="46"/>
  <c r="C206" i="3"/>
  <c r="D17" i="46"/>
  <c r="O15" i="46"/>
  <c r="N15" i="46"/>
  <c r="K205" i="3"/>
  <c r="L15" i="46"/>
  <c r="K15" i="46"/>
  <c r="J15" i="46"/>
  <c r="G205" i="3"/>
  <c r="H15" i="46"/>
  <c r="G15" i="46"/>
  <c r="F15" i="46"/>
  <c r="C205" i="3"/>
  <c r="D15" i="46"/>
  <c r="O5" i="45"/>
  <c r="K476" i="3"/>
  <c r="J476" i="3"/>
  <c r="I476" i="3"/>
  <c r="G476" i="3"/>
  <c r="F476" i="3"/>
  <c r="E476" i="3"/>
  <c r="D476" i="3"/>
  <c r="C476" i="3"/>
  <c r="B476" i="3"/>
  <c r="O15" i="44"/>
  <c r="N15" i="44"/>
  <c r="L11" i="44"/>
  <c r="K11" i="44"/>
  <c r="J15" i="44"/>
  <c r="I13" i="44"/>
  <c r="G11" i="44"/>
  <c r="F15" i="44"/>
  <c r="E13" i="44"/>
  <c r="O5" i="44"/>
  <c r="J131" i="2"/>
  <c r="W131" i="2" s="1"/>
  <c r="O434" i="43"/>
  <c r="O67" i="43" s="1"/>
  <c r="N434" i="43"/>
  <c r="N67" i="43" s="1"/>
  <c r="M434" i="43"/>
  <c r="M67" i="43" s="1"/>
  <c r="L434" i="43"/>
  <c r="L67" i="43" s="1"/>
  <c r="K434" i="43"/>
  <c r="K67" i="43" s="1"/>
  <c r="J434" i="43"/>
  <c r="J67" i="43" s="1"/>
  <c r="I434" i="43"/>
  <c r="I67" i="43" s="1"/>
  <c r="H434" i="43"/>
  <c r="H67" i="43" s="1"/>
  <c r="G434" i="43"/>
  <c r="G67" i="43" s="1"/>
  <c r="F434" i="43"/>
  <c r="F67" i="43" s="1"/>
  <c r="E434" i="43"/>
  <c r="E67" i="43" s="1"/>
  <c r="D434" i="43"/>
  <c r="O433" i="43"/>
  <c r="O43" i="43" s="1"/>
  <c r="N433" i="43"/>
  <c r="N43" i="43" s="1"/>
  <c r="M433" i="43"/>
  <c r="L433" i="43"/>
  <c r="L43" i="43" s="1"/>
  <c r="K433" i="43"/>
  <c r="K43" i="43" s="1"/>
  <c r="J433" i="43"/>
  <c r="J43" i="43" s="1"/>
  <c r="I433" i="43"/>
  <c r="I43" i="43" s="1"/>
  <c r="H433" i="43"/>
  <c r="H43" i="43" s="1"/>
  <c r="G433" i="43"/>
  <c r="G43" i="43" s="1"/>
  <c r="F433" i="43"/>
  <c r="F43" i="43" s="1"/>
  <c r="E433" i="43"/>
  <c r="E43" i="43" s="1"/>
  <c r="D433" i="43"/>
  <c r="O429" i="43"/>
  <c r="N429" i="43"/>
  <c r="M429" i="43"/>
  <c r="L429" i="43"/>
  <c r="K429" i="43"/>
  <c r="J429" i="43"/>
  <c r="I429" i="43"/>
  <c r="H429" i="43"/>
  <c r="G429" i="43"/>
  <c r="F429" i="43"/>
  <c r="E429" i="43"/>
  <c r="D429" i="43"/>
  <c r="O414" i="43"/>
  <c r="N414" i="43"/>
  <c r="M414" i="43"/>
  <c r="L414" i="43"/>
  <c r="K414" i="43"/>
  <c r="J414" i="43"/>
  <c r="I414" i="43"/>
  <c r="H414" i="43"/>
  <c r="G414" i="43"/>
  <c r="F414" i="43"/>
  <c r="E414" i="43"/>
  <c r="D414" i="43"/>
  <c r="O411" i="43"/>
  <c r="O17" i="43" s="1"/>
  <c r="M263" i="2" s="1"/>
  <c r="Z263" i="2" s="1"/>
  <c r="N411" i="43"/>
  <c r="N17" i="43" s="1"/>
  <c r="L263" i="2" s="1"/>
  <c r="Y263" i="2" s="1"/>
  <c r="M411" i="43"/>
  <c r="L411" i="43"/>
  <c r="L17" i="43" s="1"/>
  <c r="J263" i="2" s="1"/>
  <c r="W263" i="2" s="1"/>
  <c r="K411" i="43"/>
  <c r="K17" i="43" s="1"/>
  <c r="I263" i="2" s="1"/>
  <c r="V263" i="2" s="1"/>
  <c r="J411" i="43"/>
  <c r="J17" i="43" s="1"/>
  <c r="H263" i="2" s="1"/>
  <c r="U263" i="2" s="1"/>
  <c r="I411" i="43"/>
  <c r="I17" i="43" s="1"/>
  <c r="G263" i="2" s="1"/>
  <c r="T263" i="2" s="1"/>
  <c r="H411" i="43"/>
  <c r="H17" i="43" s="1"/>
  <c r="F263" i="2" s="1"/>
  <c r="S263" i="2" s="1"/>
  <c r="G411" i="43"/>
  <c r="G17" i="43" s="1"/>
  <c r="E263" i="2" s="1"/>
  <c r="R263" i="2" s="1"/>
  <c r="F411" i="43"/>
  <c r="F17" i="43" s="1"/>
  <c r="D263" i="2" s="1"/>
  <c r="Q263" i="2" s="1"/>
  <c r="E411" i="43"/>
  <c r="E17" i="43" s="1"/>
  <c r="C263" i="2" s="1"/>
  <c r="P263" i="2" s="1"/>
  <c r="D411" i="43"/>
  <c r="D17" i="43" s="1"/>
  <c r="B263" i="2" s="1"/>
  <c r="O263" i="2" s="1"/>
  <c r="O404" i="43"/>
  <c r="O59" i="43" s="1"/>
  <c r="N404" i="43"/>
  <c r="N59" i="43" s="1"/>
  <c r="M404" i="43"/>
  <c r="L404" i="43"/>
  <c r="L59" i="43" s="1"/>
  <c r="K404" i="43"/>
  <c r="K59" i="43" s="1"/>
  <c r="J404" i="43"/>
  <c r="J59" i="43" s="1"/>
  <c r="I404" i="43"/>
  <c r="H404" i="43"/>
  <c r="H59" i="43" s="1"/>
  <c r="G404" i="43"/>
  <c r="G59" i="43" s="1"/>
  <c r="F404" i="43"/>
  <c r="F59" i="43" s="1"/>
  <c r="E404" i="43"/>
  <c r="E59" i="43" s="1"/>
  <c r="D404" i="43"/>
  <c r="D59" i="43" s="1"/>
  <c r="O403" i="43"/>
  <c r="O55" i="43" s="1"/>
  <c r="N403" i="43"/>
  <c r="N55" i="43" s="1"/>
  <c r="M403" i="43"/>
  <c r="L403" i="43"/>
  <c r="L55" i="43" s="1"/>
  <c r="K403" i="43"/>
  <c r="K55" i="43" s="1"/>
  <c r="J403" i="43"/>
  <c r="J55" i="43" s="1"/>
  <c r="I403" i="43"/>
  <c r="I55" i="43" s="1"/>
  <c r="H403" i="43"/>
  <c r="H55" i="43" s="1"/>
  <c r="G403" i="43"/>
  <c r="G55" i="43" s="1"/>
  <c r="F403" i="43"/>
  <c r="F55" i="43" s="1"/>
  <c r="E403" i="43"/>
  <c r="E55" i="43" s="1"/>
  <c r="D403" i="43"/>
  <c r="D55" i="43" s="1"/>
  <c r="O389" i="43"/>
  <c r="N389" i="43"/>
  <c r="M389" i="43"/>
  <c r="L389" i="43"/>
  <c r="K389" i="43"/>
  <c r="J389" i="43"/>
  <c r="I389" i="43"/>
  <c r="H389" i="43"/>
  <c r="G389" i="43"/>
  <c r="F389" i="43"/>
  <c r="E389" i="43"/>
  <c r="D389" i="43"/>
  <c r="O379" i="43"/>
  <c r="O16" i="43" s="1"/>
  <c r="M262" i="2" s="1"/>
  <c r="Z262" i="2" s="1"/>
  <c r="N379" i="43"/>
  <c r="N16" i="43" s="1"/>
  <c r="L262" i="2" s="1"/>
  <c r="Y262" i="2" s="1"/>
  <c r="M379" i="43"/>
  <c r="L379" i="43"/>
  <c r="K379" i="43"/>
  <c r="K16" i="43" s="1"/>
  <c r="I262" i="2" s="1"/>
  <c r="V262" i="2" s="1"/>
  <c r="J379" i="43"/>
  <c r="J16" i="43" s="1"/>
  <c r="H262" i="2" s="1"/>
  <c r="U262" i="2" s="1"/>
  <c r="I379" i="43"/>
  <c r="I16" i="43" s="1"/>
  <c r="G262" i="2" s="1"/>
  <c r="T262" i="2" s="1"/>
  <c r="H379" i="43"/>
  <c r="H16" i="43" s="1"/>
  <c r="F262" i="2" s="1"/>
  <c r="S262" i="2" s="1"/>
  <c r="G379" i="43"/>
  <c r="G16" i="43" s="1"/>
  <c r="E262" i="2" s="1"/>
  <c r="R262" i="2" s="1"/>
  <c r="F379" i="43"/>
  <c r="F16" i="43" s="1"/>
  <c r="D262" i="2" s="1"/>
  <c r="Q262" i="2" s="1"/>
  <c r="E379" i="43"/>
  <c r="E16" i="43" s="1"/>
  <c r="C262" i="2" s="1"/>
  <c r="P262" i="2" s="1"/>
  <c r="D379" i="43"/>
  <c r="D16" i="43" s="1"/>
  <c r="B262" i="2" s="1"/>
  <c r="O262" i="2" s="1"/>
  <c r="O372" i="43"/>
  <c r="O24" i="43" s="1"/>
  <c r="N372" i="43"/>
  <c r="N24" i="43" s="1"/>
  <c r="M372" i="43"/>
  <c r="M24" i="43" s="1"/>
  <c r="L372" i="43"/>
  <c r="L24" i="43" s="1"/>
  <c r="K372" i="43"/>
  <c r="K24" i="43" s="1"/>
  <c r="J372" i="43"/>
  <c r="J24" i="43" s="1"/>
  <c r="I372" i="43"/>
  <c r="H372" i="43"/>
  <c r="H24" i="43" s="1"/>
  <c r="G372" i="43"/>
  <c r="G24" i="43" s="1"/>
  <c r="F372" i="43"/>
  <c r="F24" i="43" s="1"/>
  <c r="E372" i="43"/>
  <c r="E24" i="43" s="1"/>
  <c r="D372" i="43"/>
  <c r="D24" i="43" s="1"/>
  <c r="O357" i="43"/>
  <c r="O15" i="43" s="1"/>
  <c r="M261" i="2" s="1"/>
  <c r="Z261" i="2" s="1"/>
  <c r="N357" i="43"/>
  <c r="N15" i="43" s="1"/>
  <c r="L261" i="2" s="1"/>
  <c r="Y261" i="2" s="1"/>
  <c r="M357" i="43"/>
  <c r="M15" i="43" s="1"/>
  <c r="K261" i="2" s="1"/>
  <c r="X261" i="2" s="1"/>
  <c r="L357" i="43"/>
  <c r="K357" i="43"/>
  <c r="K15" i="43" s="1"/>
  <c r="I261" i="2" s="1"/>
  <c r="V261" i="2" s="1"/>
  <c r="J357" i="43"/>
  <c r="J15" i="43" s="1"/>
  <c r="H261" i="2" s="1"/>
  <c r="U261" i="2" s="1"/>
  <c r="I357" i="43"/>
  <c r="H357" i="43"/>
  <c r="H15" i="43" s="1"/>
  <c r="F261" i="2" s="1"/>
  <c r="S261" i="2" s="1"/>
  <c r="G357" i="43"/>
  <c r="G15" i="43" s="1"/>
  <c r="E261" i="2" s="1"/>
  <c r="R261" i="2" s="1"/>
  <c r="F357" i="43"/>
  <c r="F15" i="43" s="1"/>
  <c r="D261" i="2" s="1"/>
  <c r="Q261" i="2" s="1"/>
  <c r="E357" i="43"/>
  <c r="E15" i="43" s="1"/>
  <c r="C261" i="2" s="1"/>
  <c r="P261" i="2" s="1"/>
  <c r="D357" i="43"/>
  <c r="D15" i="43" s="1"/>
  <c r="B261" i="2" s="1"/>
  <c r="O261" i="2" s="1"/>
  <c r="O349" i="43"/>
  <c r="O48" i="43" s="1"/>
  <c r="M302" i="3" s="1"/>
  <c r="N349" i="43"/>
  <c r="N48" i="43" s="1"/>
  <c r="L302" i="3" s="1"/>
  <c r="M349" i="43"/>
  <c r="L349" i="43"/>
  <c r="L48" i="43" s="1"/>
  <c r="J302" i="3" s="1"/>
  <c r="K349" i="43"/>
  <c r="K48" i="43" s="1"/>
  <c r="I302" i="3" s="1"/>
  <c r="J349" i="43"/>
  <c r="J48" i="43" s="1"/>
  <c r="H302" i="3" s="1"/>
  <c r="I349" i="43"/>
  <c r="I48" i="43" s="1"/>
  <c r="G302" i="3" s="1"/>
  <c r="H349" i="43"/>
  <c r="H48" i="43" s="1"/>
  <c r="F302" i="3" s="1"/>
  <c r="G349" i="43"/>
  <c r="G48" i="43" s="1"/>
  <c r="E302" i="3" s="1"/>
  <c r="F349" i="43"/>
  <c r="F48" i="43" s="1"/>
  <c r="D302" i="3" s="1"/>
  <c r="E349" i="43"/>
  <c r="D349" i="43"/>
  <c r="D48" i="43" s="1"/>
  <c r="B302" i="3" s="1"/>
  <c r="O348" i="43"/>
  <c r="O46" i="43" s="1"/>
  <c r="M301" i="3" s="1"/>
  <c r="N348" i="43"/>
  <c r="N46" i="43" s="1"/>
  <c r="L301" i="3" s="1"/>
  <c r="M348" i="43"/>
  <c r="M46" i="43" s="1"/>
  <c r="K301" i="3" s="1"/>
  <c r="L348" i="43"/>
  <c r="L46" i="43" s="1"/>
  <c r="J301" i="3" s="1"/>
  <c r="K348" i="43"/>
  <c r="K46" i="43" s="1"/>
  <c r="I301" i="3" s="1"/>
  <c r="J348" i="43"/>
  <c r="J46" i="43" s="1"/>
  <c r="H301" i="3" s="1"/>
  <c r="I348" i="43"/>
  <c r="H348" i="43"/>
  <c r="H46" i="43" s="1"/>
  <c r="F301" i="3" s="1"/>
  <c r="G348" i="43"/>
  <c r="G46" i="43" s="1"/>
  <c r="E301" i="3" s="1"/>
  <c r="F348" i="43"/>
  <c r="F46" i="43" s="1"/>
  <c r="D301" i="3" s="1"/>
  <c r="E348" i="43"/>
  <c r="E46" i="43" s="1"/>
  <c r="C301" i="3" s="1"/>
  <c r="D348" i="43"/>
  <c r="D46" i="43" s="1"/>
  <c r="B301" i="3" s="1"/>
  <c r="O312" i="43"/>
  <c r="O14" i="43" s="1"/>
  <c r="M260" i="2" s="1"/>
  <c r="Z260" i="2" s="1"/>
  <c r="N312" i="43"/>
  <c r="N14" i="43" s="1"/>
  <c r="L260" i="2" s="1"/>
  <c r="Y260" i="2" s="1"/>
  <c r="M312" i="43"/>
  <c r="L312" i="43"/>
  <c r="L14" i="43" s="1"/>
  <c r="J260" i="2" s="1"/>
  <c r="W260" i="2" s="1"/>
  <c r="K312" i="43"/>
  <c r="K14" i="43" s="1"/>
  <c r="I260" i="2" s="1"/>
  <c r="V260" i="2" s="1"/>
  <c r="J312" i="43"/>
  <c r="J14" i="43" s="1"/>
  <c r="H260" i="2" s="1"/>
  <c r="U260" i="2" s="1"/>
  <c r="I312" i="43"/>
  <c r="H312" i="43"/>
  <c r="H14" i="43" s="1"/>
  <c r="F260" i="2" s="1"/>
  <c r="S260" i="2" s="1"/>
  <c r="G312" i="43"/>
  <c r="G14" i="43" s="1"/>
  <c r="E260" i="2" s="1"/>
  <c r="R260" i="2" s="1"/>
  <c r="F312" i="43"/>
  <c r="F14" i="43" s="1"/>
  <c r="D260" i="2" s="1"/>
  <c r="Q260" i="2" s="1"/>
  <c r="E312" i="43"/>
  <c r="E14" i="43" s="1"/>
  <c r="C260" i="2" s="1"/>
  <c r="P260" i="2" s="1"/>
  <c r="D312" i="43"/>
  <c r="D14" i="43" s="1"/>
  <c r="B260" i="2" s="1"/>
  <c r="O260" i="2" s="1"/>
  <c r="O305" i="43"/>
  <c r="O42" i="43" s="1"/>
  <c r="N305" i="43"/>
  <c r="N42" i="43" s="1"/>
  <c r="M305" i="43"/>
  <c r="L305" i="43"/>
  <c r="L42" i="43" s="1"/>
  <c r="K305" i="43"/>
  <c r="K42" i="43" s="1"/>
  <c r="J305" i="43"/>
  <c r="J42" i="43" s="1"/>
  <c r="I305" i="43"/>
  <c r="I42" i="43" s="1"/>
  <c r="H305" i="43"/>
  <c r="H42" i="43" s="1"/>
  <c r="G305" i="43"/>
  <c r="G42" i="43" s="1"/>
  <c r="F305" i="43"/>
  <c r="F42" i="43" s="1"/>
  <c r="E305" i="43"/>
  <c r="D305" i="43"/>
  <c r="D42" i="43" s="1"/>
  <c r="O304" i="43"/>
  <c r="O39" i="43" s="1"/>
  <c r="M210" i="3" s="1"/>
  <c r="N304" i="43"/>
  <c r="N39" i="43" s="1"/>
  <c r="L210" i="3" s="1"/>
  <c r="M304" i="43"/>
  <c r="M39" i="43" s="1"/>
  <c r="K210" i="3" s="1"/>
  <c r="L304" i="43"/>
  <c r="L39" i="43" s="1"/>
  <c r="J210" i="3" s="1"/>
  <c r="K304" i="43"/>
  <c r="K39" i="43" s="1"/>
  <c r="I210" i="3" s="1"/>
  <c r="J304" i="43"/>
  <c r="J39" i="43" s="1"/>
  <c r="H210" i="3" s="1"/>
  <c r="I304" i="43"/>
  <c r="I39" i="43" s="1"/>
  <c r="G210" i="3" s="1"/>
  <c r="H304" i="43"/>
  <c r="H39" i="43" s="1"/>
  <c r="G304" i="43"/>
  <c r="G39" i="43" s="1"/>
  <c r="E210" i="3" s="1"/>
  <c r="F304" i="43"/>
  <c r="F39" i="43" s="1"/>
  <c r="D210" i="3" s="1"/>
  <c r="E304" i="43"/>
  <c r="D304" i="43"/>
  <c r="D39" i="43" s="1"/>
  <c r="B210" i="3" s="1"/>
  <c r="O288" i="43"/>
  <c r="O13" i="43" s="1"/>
  <c r="M259" i="2" s="1"/>
  <c r="Z259" i="2" s="1"/>
  <c r="N288" i="43"/>
  <c r="N13" i="43" s="1"/>
  <c r="L259" i="2" s="1"/>
  <c r="Y259" i="2" s="1"/>
  <c r="M288" i="43"/>
  <c r="L288" i="43"/>
  <c r="L13" i="43" s="1"/>
  <c r="J259" i="2" s="1"/>
  <c r="W259" i="2" s="1"/>
  <c r="K288" i="43"/>
  <c r="K13" i="43" s="1"/>
  <c r="I259" i="2" s="1"/>
  <c r="V259" i="2" s="1"/>
  <c r="J288" i="43"/>
  <c r="J13" i="43" s="1"/>
  <c r="H259" i="2" s="1"/>
  <c r="U259" i="2" s="1"/>
  <c r="I288" i="43"/>
  <c r="I13" i="43" s="1"/>
  <c r="G259" i="2" s="1"/>
  <c r="T259" i="2" s="1"/>
  <c r="H288" i="43"/>
  <c r="H13" i="43" s="1"/>
  <c r="F259" i="2" s="1"/>
  <c r="S259" i="2" s="1"/>
  <c r="G288" i="43"/>
  <c r="G13" i="43" s="1"/>
  <c r="E259" i="2" s="1"/>
  <c r="R259" i="2" s="1"/>
  <c r="F288" i="43"/>
  <c r="F13" i="43" s="1"/>
  <c r="D259" i="2" s="1"/>
  <c r="Q259" i="2" s="1"/>
  <c r="E288" i="43"/>
  <c r="E13" i="43" s="1"/>
  <c r="C259" i="2" s="1"/>
  <c r="P259" i="2" s="1"/>
  <c r="D288" i="43"/>
  <c r="D13" i="43" s="1"/>
  <c r="B259" i="2" s="1"/>
  <c r="O259" i="2" s="1"/>
  <c r="O281" i="43"/>
  <c r="O51" i="43" s="1"/>
  <c r="N281" i="43"/>
  <c r="N51" i="43" s="1"/>
  <c r="M281" i="43"/>
  <c r="L281" i="43"/>
  <c r="L51" i="43" s="1"/>
  <c r="K281" i="43"/>
  <c r="K51" i="43" s="1"/>
  <c r="J281" i="43"/>
  <c r="J51" i="43" s="1"/>
  <c r="I281" i="43"/>
  <c r="I51" i="43" s="1"/>
  <c r="H281" i="43"/>
  <c r="H51" i="43" s="1"/>
  <c r="G281" i="43"/>
  <c r="G51" i="43" s="1"/>
  <c r="F281" i="43"/>
  <c r="F51" i="43" s="1"/>
  <c r="E281" i="43"/>
  <c r="E51" i="43" s="1"/>
  <c r="D281" i="43"/>
  <c r="D51" i="43" s="1"/>
  <c r="O280" i="43"/>
  <c r="O23" i="43" s="1"/>
  <c r="O25" i="43" s="1"/>
  <c r="M4" i="3" s="1"/>
  <c r="N280" i="43"/>
  <c r="N23" i="43" s="1"/>
  <c r="N25" i="43" s="1"/>
  <c r="L4" i="3" s="1"/>
  <c r="M280" i="43"/>
  <c r="M23" i="43" s="1"/>
  <c r="L280" i="43"/>
  <c r="K280" i="43"/>
  <c r="K23" i="43" s="1"/>
  <c r="K25" i="43" s="1"/>
  <c r="J280" i="43"/>
  <c r="J23" i="43" s="1"/>
  <c r="J25" i="43" s="1"/>
  <c r="H4" i="3" s="1"/>
  <c r="I280" i="43"/>
  <c r="H280" i="43"/>
  <c r="H23" i="43" s="1"/>
  <c r="H25" i="43" s="1"/>
  <c r="F4" i="3" s="1"/>
  <c r="G280" i="43"/>
  <c r="G23" i="43" s="1"/>
  <c r="G25" i="43" s="1"/>
  <c r="F280" i="43"/>
  <c r="F23" i="43" s="1"/>
  <c r="F25" i="43" s="1"/>
  <c r="E280" i="43"/>
  <c r="E23" i="43" s="1"/>
  <c r="D280" i="43"/>
  <c r="D23" i="43" s="1"/>
  <c r="O277" i="43"/>
  <c r="N277" i="43"/>
  <c r="M277" i="43"/>
  <c r="L277" i="43"/>
  <c r="K277" i="43"/>
  <c r="J277" i="43"/>
  <c r="I277" i="43"/>
  <c r="H277" i="43"/>
  <c r="G277" i="43"/>
  <c r="F277" i="43"/>
  <c r="E277" i="43"/>
  <c r="D277" i="43"/>
  <c r="O265" i="43"/>
  <c r="O12" i="43" s="1"/>
  <c r="M258" i="2" s="1"/>
  <c r="Z258" i="2" s="1"/>
  <c r="N265" i="43"/>
  <c r="N12" i="43" s="1"/>
  <c r="L258" i="2" s="1"/>
  <c r="Y258" i="2" s="1"/>
  <c r="M265" i="43"/>
  <c r="M12" i="43" s="1"/>
  <c r="K258" i="2" s="1"/>
  <c r="X258" i="2" s="1"/>
  <c r="L265" i="43"/>
  <c r="L12" i="43" s="1"/>
  <c r="J258" i="2" s="1"/>
  <c r="W258" i="2" s="1"/>
  <c r="K265" i="43"/>
  <c r="K12" i="43" s="1"/>
  <c r="I258" i="2" s="1"/>
  <c r="V258" i="2" s="1"/>
  <c r="J265" i="43"/>
  <c r="J12" i="43" s="1"/>
  <c r="H258" i="2" s="1"/>
  <c r="U258" i="2" s="1"/>
  <c r="I265" i="43"/>
  <c r="H265" i="43"/>
  <c r="H12" i="43" s="1"/>
  <c r="F258" i="2" s="1"/>
  <c r="S258" i="2" s="1"/>
  <c r="G265" i="43"/>
  <c r="G12" i="43" s="1"/>
  <c r="E258" i="2" s="1"/>
  <c r="R258" i="2" s="1"/>
  <c r="F265" i="43"/>
  <c r="F12" i="43" s="1"/>
  <c r="D258" i="2" s="1"/>
  <c r="Q258" i="2" s="1"/>
  <c r="E265" i="43"/>
  <c r="E12" i="43" s="1"/>
  <c r="C258" i="2" s="1"/>
  <c r="P258" i="2" s="1"/>
  <c r="D265" i="43"/>
  <c r="D12" i="43" s="1"/>
  <c r="B258" i="2" s="1"/>
  <c r="O258" i="2" s="1"/>
  <c r="O258" i="43"/>
  <c r="O36" i="43" s="1"/>
  <c r="N258" i="43"/>
  <c r="N36" i="43" s="1"/>
  <c r="M258" i="43"/>
  <c r="M36" i="43" s="1"/>
  <c r="L258" i="43"/>
  <c r="L36" i="43" s="1"/>
  <c r="K258" i="43"/>
  <c r="K36" i="43" s="1"/>
  <c r="J258" i="43"/>
  <c r="J36" i="43" s="1"/>
  <c r="I258" i="43"/>
  <c r="I36" i="43" s="1"/>
  <c r="H258" i="43"/>
  <c r="H36" i="43" s="1"/>
  <c r="G258" i="43"/>
  <c r="G36" i="43" s="1"/>
  <c r="F258" i="43"/>
  <c r="F36" i="43" s="1"/>
  <c r="E258" i="43"/>
  <c r="D258" i="43"/>
  <c r="D36" i="43" s="1"/>
  <c r="O239" i="43"/>
  <c r="O11" i="43" s="1"/>
  <c r="M257" i="2" s="1"/>
  <c r="Z257" i="2" s="1"/>
  <c r="N239" i="43"/>
  <c r="N11" i="43" s="1"/>
  <c r="L257" i="2" s="1"/>
  <c r="Y257" i="2" s="1"/>
  <c r="M239" i="43"/>
  <c r="L239" i="43"/>
  <c r="L11" i="43" s="1"/>
  <c r="J257" i="2" s="1"/>
  <c r="W257" i="2" s="1"/>
  <c r="K239" i="43"/>
  <c r="K11" i="43" s="1"/>
  <c r="I257" i="2" s="1"/>
  <c r="V257" i="2" s="1"/>
  <c r="J239" i="43"/>
  <c r="J11" i="43" s="1"/>
  <c r="H257" i="2" s="1"/>
  <c r="U257" i="2" s="1"/>
  <c r="I239" i="43"/>
  <c r="H239" i="43"/>
  <c r="H11" i="43" s="1"/>
  <c r="F257" i="2" s="1"/>
  <c r="S257" i="2" s="1"/>
  <c r="G239" i="43"/>
  <c r="G11" i="43" s="1"/>
  <c r="E257" i="2" s="1"/>
  <c r="R257" i="2" s="1"/>
  <c r="F239" i="43"/>
  <c r="F11" i="43" s="1"/>
  <c r="D257" i="2" s="1"/>
  <c r="Q257" i="2" s="1"/>
  <c r="E239" i="43"/>
  <c r="E11" i="43" s="1"/>
  <c r="C257" i="2" s="1"/>
  <c r="P257" i="2" s="1"/>
  <c r="D239" i="43"/>
  <c r="D11" i="43" s="1"/>
  <c r="B257" i="2" s="1"/>
  <c r="O257" i="2" s="1"/>
  <c r="O232" i="43"/>
  <c r="O35" i="43" s="1"/>
  <c r="O37" i="43" s="1"/>
  <c r="M187" i="3" s="1"/>
  <c r="N232" i="43"/>
  <c r="N35" i="43" s="1"/>
  <c r="N37" i="43" s="1"/>
  <c r="L187" i="3" s="1"/>
  <c r="M232" i="43"/>
  <c r="M35" i="43" s="1"/>
  <c r="L232" i="43"/>
  <c r="L35" i="43" s="1"/>
  <c r="K232" i="43"/>
  <c r="K35" i="43" s="1"/>
  <c r="K37" i="43" s="1"/>
  <c r="I187" i="3" s="1"/>
  <c r="J232" i="43"/>
  <c r="J35" i="43" s="1"/>
  <c r="I232" i="43"/>
  <c r="I35" i="43" s="1"/>
  <c r="H232" i="43"/>
  <c r="H35" i="43" s="1"/>
  <c r="G232" i="43"/>
  <c r="G35" i="43" s="1"/>
  <c r="G37" i="43" s="1"/>
  <c r="E187" i="3" s="1"/>
  <c r="F232" i="43"/>
  <c r="F35" i="43" s="1"/>
  <c r="E232" i="43"/>
  <c r="E35" i="43" s="1"/>
  <c r="D232" i="43"/>
  <c r="D35" i="43" s="1"/>
  <c r="O231" i="43"/>
  <c r="O33" i="43" s="1"/>
  <c r="M173" i="3" s="1"/>
  <c r="N231" i="43"/>
  <c r="N33" i="43" s="1"/>
  <c r="L173" i="3" s="1"/>
  <c r="M231" i="43"/>
  <c r="L231" i="43"/>
  <c r="L33" i="43" s="1"/>
  <c r="J173" i="3" s="1"/>
  <c r="K231" i="43"/>
  <c r="K33" i="43" s="1"/>
  <c r="I173" i="3" s="1"/>
  <c r="J231" i="43"/>
  <c r="J33" i="43" s="1"/>
  <c r="H173" i="3" s="1"/>
  <c r="I231" i="43"/>
  <c r="I33" i="43" s="1"/>
  <c r="G173" i="3" s="1"/>
  <c r="H231" i="43"/>
  <c r="H33" i="43" s="1"/>
  <c r="F173" i="3" s="1"/>
  <c r="G231" i="43"/>
  <c r="G33" i="43" s="1"/>
  <c r="E173" i="3" s="1"/>
  <c r="F231" i="43"/>
  <c r="F33" i="43" s="1"/>
  <c r="D173" i="3" s="1"/>
  <c r="E231" i="43"/>
  <c r="D231" i="43"/>
  <c r="D33" i="43" s="1"/>
  <c r="B173" i="3" s="1"/>
  <c r="O214" i="43"/>
  <c r="O10" i="43" s="1"/>
  <c r="M256" i="2" s="1"/>
  <c r="Z256" i="2" s="1"/>
  <c r="N214" i="43"/>
  <c r="N10" i="43" s="1"/>
  <c r="L256" i="2" s="1"/>
  <c r="Y256" i="2" s="1"/>
  <c r="M214" i="43"/>
  <c r="L214" i="43"/>
  <c r="K214" i="43"/>
  <c r="K10" i="43" s="1"/>
  <c r="I256" i="2" s="1"/>
  <c r="V256" i="2" s="1"/>
  <c r="J214" i="43"/>
  <c r="J10" i="43" s="1"/>
  <c r="H256" i="2" s="1"/>
  <c r="U256" i="2" s="1"/>
  <c r="I214" i="43"/>
  <c r="I10" i="43" s="1"/>
  <c r="G256" i="2" s="1"/>
  <c r="T256" i="2" s="1"/>
  <c r="H214" i="43"/>
  <c r="H10" i="43" s="1"/>
  <c r="F256" i="2" s="1"/>
  <c r="S256" i="2" s="1"/>
  <c r="G214" i="43"/>
  <c r="G10" i="43" s="1"/>
  <c r="E256" i="2" s="1"/>
  <c r="R256" i="2" s="1"/>
  <c r="F214" i="43"/>
  <c r="F10" i="43" s="1"/>
  <c r="D256" i="2" s="1"/>
  <c r="Q256" i="2" s="1"/>
  <c r="E214" i="43"/>
  <c r="E10" i="43" s="1"/>
  <c r="C256" i="2" s="1"/>
  <c r="P256" i="2" s="1"/>
  <c r="D214" i="43"/>
  <c r="D10" i="43" s="1"/>
  <c r="B256" i="2" s="1"/>
  <c r="O256" i="2" s="1"/>
  <c r="O207" i="43"/>
  <c r="O66" i="43" s="1"/>
  <c r="O68" i="43" s="1"/>
  <c r="M515" i="3" s="1"/>
  <c r="N207" i="43"/>
  <c r="N66" i="43" s="1"/>
  <c r="M207" i="43"/>
  <c r="L207" i="43"/>
  <c r="L66" i="43" s="1"/>
  <c r="K207" i="43"/>
  <c r="K66" i="43" s="1"/>
  <c r="K68" i="43" s="1"/>
  <c r="J207" i="43"/>
  <c r="J66" i="43" s="1"/>
  <c r="J68" i="43" s="1"/>
  <c r="H515" i="3" s="1"/>
  <c r="I207" i="43"/>
  <c r="I66" i="43" s="1"/>
  <c r="H207" i="43"/>
  <c r="H66" i="43" s="1"/>
  <c r="G207" i="43"/>
  <c r="G66" i="43" s="1"/>
  <c r="G68" i="43" s="1"/>
  <c r="E515" i="3" s="1"/>
  <c r="F207" i="43"/>
  <c r="F66" i="43" s="1"/>
  <c r="F68" i="43" s="1"/>
  <c r="D515" i="3" s="1"/>
  <c r="E207" i="43"/>
  <c r="D207" i="43"/>
  <c r="O206" i="43"/>
  <c r="O31" i="43" s="1"/>
  <c r="M159" i="3" s="1"/>
  <c r="N206" i="43"/>
  <c r="N31" i="43" s="1"/>
  <c r="L159" i="3" s="1"/>
  <c r="M206" i="43"/>
  <c r="M31" i="43" s="1"/>
  <c r="K159" i="3" s="1"/>
  <c r="L206" i="43"/>
  <c r="L31" i="43" s="1"/>
  <c r="J159" i="3" s="1"/>
  <c r="K206" i="43"/>
  <c r="K31" i="43" s="1"/>
  <c r="I159" i="3" s="1"/>
  <c r="J206" i="43"/>
  <c r="J31" i="43" s="1"/>
  <c r="H159" i="3" s="1"/>
  <c r="I206" i="43"/>
  <c r="I31" i="43" s="1"/>
  <c r="G159" i="3" s="1"/>
  <c r="H206" i="43"/>
  <c r="H31" i="43" s="1"/>
  <c r="F159" i="3" s="1"/>
  <c r="G206" i="43"/>
  <c r="G31" i="43" s="1"/>
  <c r="E159" i="3" s="1"/>
  <c r="F206" i="43"/>
  <c r="F31" i="43" s="1"/>
  <c r="D159" i="3" s="1"/>
  <c r="E206" i="43"/>
  <c r="E31" i="43" s="1"/>
  <c r="C159" i="3" s="1"/>
  <c r="D206" i="43"/>
  <c r="D31" i="43" s="1"/>
  <c r="B159" i="3" s="1"/>
  <c r="O190" i="43"/>
  <c r="O9" i="43" s="1"/>
  <c r="M255" i="2" s="1"/>
  <c r="Z255" i="2" s="1"/>
  <c r="N190" i="43"/>
  <c r="N9" i="43" s="1"/>
  <c r="L255" i="2" s="1"/>
  <c r="Y255" i="2" s="1"/>
  <c r="M190" i="43"/>
  <c r="M9" i="43" s="1"/>
  <c r="K255" i="2" s="1"/>
  <c r="L190" i="43"/>
  <c r="L9" i="43" s="1"/>
  <c r="J255" i="2" s="1"/>
  <c r="W255" i="2" s="1"/>
  <c r="K190" i="43"/>
  <c r="K9" i="43" s="1"/>
  <c r="I255" i="2" s="1"/>
  <c r="V255" i="2" s="1"/>
  <c r="J190" i="43"/>
  <c r="J9" i="43" s="1"/>
  <c r="H255" i="2" s="1"/>
  <c r="U255" i="2" s="1"/>
  <c r="I190" i="43"/>
  <c r="H190" i="43"/>
  <c r="H9" i="43" s="1"/>
  <c r="F255" i="2" s="1"/>
  <c r="S255" i="2" s="1"/>
  <c r="G190" i="43"/>
  <c r="G9" i="43" s="1"/>
  <c r="E255" i="2" s="1"/>
  <c r="R255" i="2" s="1"/>
  <c r="F190" i="43"/>
  <c r="F9" i="43" s="1"/>
  <c r="D255" i="2" s="1"/>
  <c r="Q255" i="2" s="1"/>
  <c r="E190" i="43"/>
  <c r="D190" i="43"/>
  <c r="D9" i="43" s="1"/>
  <c r="B255" i="2" s="1"/>
  <c r="O255" i="2" s="1"/>
  <c r="O183" i="43"/>
  <c r="O41" i="43" s="1"/>
  <c r="O44" i="43" s="1"/>
  <c r="M285" i="3" s="1"/>
  <c r="N183" i="43"/>
  <c r="N41" i="43" s="1"/>
  <c r="N44" i="43" s="1"/>
  <c r="L285" i="3" s="1"/>
  <c r="M183" i="43"/>
  <c r="M41" i="43" s="1"/>
  <c r="L183" i="43"/>
  <c r="L41" i="43" s="1"/>
  <c r="K183" i="43"/>
  <c r="K41" i="43" s="1"/>
  <c r="K44" i="43" s="1"/>
  <c r="I285" i="3" s="1"/>
  <c r="J183" i="43"/>
  <c r="J41" i="43" s="1"/>
  <c r="J44" i="43" s="1"/>
  <c r="H285" i="3" s="1"/>
  <c r="I183" i="43"/>
  <c r="I41" i="43" s="1"/>
  <c r="H183" i="43"/>
  <c r="H41" i="43" s="1"/>
  <c r="G183" i="43"/>
  <c r="G41" i="43" s="1"/>
  <c r="G44" i="43" s="1"/>
  <c r="E285" i="3" s="1"/>
  <c r="F183" i="43"/>
  <c r="F41" i="43" s="1"/>
  <c r="F44" i="43" s="1"/>
  <c r="D285" i="3" s="1"/>
  <c r="E183" i="43"/>
  <c r="D183" i="43"/>
  <c r="D41" i="43" s="1"/>
  <c r="O182" i="43"/>
  <c r="O29" i="43" s="1"/>
  <c r="M154" i="3" s="1"/>
  <c r="N182" i="43"/>
  <c r="N29" i="43" s="1"/>
  <c r="L154" i="3" s="1"/>
  <c r="M182" i="43"/>
  <c r="M29" i="43" s="1"/>
  <c r="K154" i="3" s="1"/>
  <c r="L182" i="43"/>
  <c r="L29" i="43" s="1"/>
  <c r="J154" i="3" s="1"/>
  <c r="K182" i="43"/>
  <c r="K29" i="43" s="1"/>
  <c r="I154" i="3" s="1"/>
  <c r="J182" i="43"/>
  <c r="J29" i="43" s="1"/>
  <c r="H154" i="3" s="1"/>
  <c r="I182" i="43"/>
  <c r="H182" i="43"/>
  <c r="H29" i="43" s="1"/>
  <c r="F154" i="3" s="1"/>
  <c r="G182" i="43"/>
  <c r="G29" i="43" s="1"/>
  <c r="E154" i="3" s="1"/>
  <c r="F182" i="43"/>
  <c r="F29" i="43" s="1"/>
  <c r="D154" i="3" s="1"/>
  <c r="E182" i="43"/>
  <c r="D182" i="43"/>
  <c r="D29" i="43" s="1"/>
  <c r="O149" i="43"/>
  <c r="O8" i="43" s="1"/>
  <c r="M254" i="2" s="1"/>
  <c r="Z254" i="2" s="1"/>
  <c r="N149" i="43"/>
  <c r="N8" i="43" s="1"/>
  <c r="L254" i="2" s="1"/>
  <c r="M149" i="43"/>
  <c r="M8" i="43" s="1"/>
  <c r="K254" i="2" s="1"/>
  <c r="X254" i="2" s="1"/>
  <c r="L149" i="43"/>
  <c r="L8" i="43" s="1"/>
  <c r="J254" i="2" s="1"/>
  <c r="W254" i="2" s="1"/>
  <c r="K149" i="43"/>
  <c r="K8" i="43" s="1"/>
  <c r="I254" i="2" s="1"/>
  <c r="V254" i="2" s="1"/>
  <c r="J149" i="43"/>
  <c r="J8" i="43" s="1"/>
  <c r="H254" i="2" s="1"/>
  <c r="U254" i="2" s="1"/>
  <c r="I149" i="43"/>
  <c r="H149" i="43"/>
  <c r="H8" i="43" s="1"/>
  <c r="F254" i="2" s="1"/>
  <c r="S254" i="2" s="1"/>
  <c r="G149" i="43"/>
  <c r="G8" i="43" s="1"/>
  <c r="F149" i="43"/>
  <c r="F8" i="43" s="1"/>
  <c r="D254" i="2" s="1"/>
  <c r="Q254" i="2" s="1"/>
  <c r="E149" i="43"/>
  <c r="E8" i="43" s="1"/>
  <c r="C254" i="2" s="1"/>
  <c r="P254" i="2" s="1"/>
  <c r="D149" i="43"/>
  <c r="D8" i="43" s="1"/>
  <c r="B254" i="2" s="1"/>
  <c r="O254" i="2" s="1"/>
  <c r="O140" i="43"/>
  <c r="O54" i="43" s="1"/>
  <c r="O56" i="43" s="1"/>
  <c r="M331" i="3" s="1"/>
  <c r="N140" i="43"/>
  <c r="N54" i="43" s="1"/>
  <c r="N56" i="43" s="1"/>
  <c r="L331" i="3" s="1"/>
  <c r="M140" i="43"/>
  <c r="M54" i="43" s="1"/>
  <c r="L140" i="43"/>
  <c r="L54" i="43" s="1"/>
  <c r="K140" i="43"/>
  <c r="K54" i="43" s="1"/>
  <c r="K56" i="43" s="1"/>
  <c r="I331" i="3" s="1"/>
  <c r="J140" i="43"/>
  <c r="J54" i="43" s="1"/>
  <c r="J56" i="43" s="1"/>
  <c r="H331" i="3" s="1"/>
  <c r="I140" i="43"/>
  <c r="H140" i="43"/>
  <c r="H54" i="43" s="1"/>
  <c r="G140" i="43"/>
  <c r="G54" i="43" s="1"/>
  <c r="G56" i="43" s="1"/>
  <c r="E331" i="3" s="1"/>
  <c r="F140" i="43"/>
  <c r="F54" i="43" s="1"/>
  <c r="F56" i="43" s="1"/>
  <c r="D331" i="3" s="1"/>
  <c r="E140" i="43"/>
  <c r="E54" i="43" s="1"/>
  <c r="D140" i="43"/>
  <c r="D54" i="43" s="1"/>
  <c r="O139" i="43"/>
  <c r="O50" i="43" s="1"/>
  <c r="O52" i="43" s="1"/>
  <c r="M318" i="3" s="1"/>
  <c r="N139" i="43"/>
  <c r="N50" i="43" s="1"/>
  <c r="N52" i="43" s="1"/>
  <c r="L318" i="3" s="1"/>
  <c r="M139" i="43"/>
  <c r="M50" i="43" s="1"/>
  <c r="L139" i="43"/>
  <c r="L50" i="43" s="1"/>
  <c r="K139" i="43"/>
  <c r="K50" i="43" s="1"/>
  <c r="K52" i="43" s="1"/>
  <c r="I318" i="3" s="1"/>
  <c r="J139" i="43"/>
  <c r="J50" i="43" s="1"/>
  <c r="I139" i="43"/>
  <c r="I50" i="43" s="1"/>
  <c r="H139" i="43"/>
  <c r="H50" i="43" s="1"/>
  <c r="G139" i="43"/>
  <c r="G50" i="43" s="1"/>
  <c r="G52" i="43" s="1"/>
  <c r="E318" i="3" s="1"/>
  <c r="F139" i="43"/>
  <c r="F50" i="43" s="1"/>
  <c r="E139" i="43"/>
  <c r="D139" i="43"/>
  <c r="D50" i="43" s="1"/>
  <c r="O138" i="43"/>
  <c r="O27" i="43" s="1"/>
  <c r="N138" i="43"/>
  <c r="N27" i="43" s="1"/>
  <c r="L19" i="3" s="1"/>
  <c r="M138" i="43"/>
  <c r="M27" i="43" s="1"/>
  <c r="K19" i="3" s="1"/>
  <c r="L138" i="43"/>
  <c r="L27" i="43" s="1"/>
  <c r="J19" i="3" s="1"/>
  <c r="K138" i="43"/>
  <c r="K27" i="43" s="1"/>
  <c r="I19" i="3" s="1"/>
  <c r="J138" i="43"/>
  <c r="J27" i="43" s="1"/>
  <c r="H19" i="3" s="1"/>
  <c r="I138" i="43"/>
  <c r="I27" i="43" s="1"/>
  <c r="G19" i="3" s="1"/>
  <c r="H138" i="43"/>
  <c r="H27" i="43" s="1"/>
  <c r="F19" i="3" s="1"/>
  <c r="G138" i="43"/>
  <c r="G27" i="43" s="1"/>
  <c r="E19" i="3" s="1"/>
  <c r="F138" i="43"/>
  <c r="F27" i="43" s="1"/>
  <c r="D19" i="3" s="1"/>
  <c r="E138" i="43"/>
  <c r="D138" i="43"/>
  <c r="D27" i="43" s="1"/>
  <c r="B19" i="3" s="1"/>
  <c r="O136" i="43"/>
  <c r="N136" i="43"/>
  <c r="M136" i="43"/>
  <c r="L136" i="43"/>
  <c r="K136" i="43"/>
  <c r="J136" i="43"/>
  <c r="I136" i="43"/>
  <c r="H136" i="43"/>
  <c r="G136" i="43"/>
  <c r="F136" i="43"/>
  <c r="E136" i="43"/>
  <c r="D136" i="43"/>
  <c r="O131" i="43"/>
  <c r="N131" i="43"/>
  <c r="M131" i="43"/>
  <c r="L131" i="43"/>
  <c r="K131" i="43"/>
  <c r="J131" i="43"/>
  <c r="I131" i="43"/>
  <c r="H131" i="43"/>
  <c r="G131" i="43"/>
  <c r="F131" i="43"/>
  <c r="E131" i="43"/>
  <c r="D131" i="43"/>
  <c r="O127" i="43"/>
  <c r="N127" i="43"/>
  <c r="M127" i="43"/>
  <c r="L127" i="43"/>
  <c r="K127" i="43"/>
  <c r="J127" i="43"/>
  <c r="I127" i="43"/>
  <c r="H127" i="43"/>
  <c r="G127" i="43"/>
  <c r="F127" i="43"/>
  <c r="E127" i="43"/>
  <c r="D127" i="43"/>
  <c r="O123" i="43"/>
  <c r="N123" i="43"/>
  <c r="M123" i="43"/>
  <c r="L123" i="43"/>
  <c r="K123" i="43"/>
  <c r="J123" i="43"/>
  <c r="I123" i="43"/>
  <c r="H123" i="43"/>
  <c r="G123" i="43"/>
  <c r="F123" i="43"/>
  <c r="E123" i="43"/>
  <c r="D123" i="43"/>
  <c r="O111" i="43"/>
  <c r="N111" i="43"/>
  <c r="M111" i="43"/>
  <c r="L111" i="43"/>
  <c r="K111" i="43"/>
  <c r="J111" i="43"/>
  <c r="I111" i="43"/>
  <c r="H111" i="43"/>
  <c r="G111" i="43"/>
  <c r="F111" i="43"/>
  <c r="E111" i="43"/>
  <c r="D111" i="43"/>
  <c r="O108" i="43"/>
  <c r="O7" i="43" s="1"/>
  <c r="N108" i="43"/>
  <c r="N7" i="43" s="1"/>
  <c r="M108" i="43"/>
  <c r="L108" i="43"/>
  <c r="L7" i="43" s="1"/>
  <c r="K108" i="43"/>
  <c r="K7" i="43" s="1"/>
  <c r="K3" i="43" s="1"/>
  <c r="J108" i="43"/>
  <c r="J7" i="43" s="1"/>
  <c r="H253" i="2" s="1"/>
  <c r="U253" i="2" s="1"/>
  <c r="I108" i="43"/>
  <c r="I7" i="43" s="1"/>
  <c r="H108" i="43"/>
  <c r="H7" i="43" s="1"/>
  <c r="G108" i="43"/>
  <c r="G7" i="43" s="1"/>
  <c r="G3" i="43" s="1"/>
  <c r="F108" i="43"/>
  <c r="F7" i="43" s="1"/>
  <c r="E108" i="43"/>
  <c r="E7" i="43" s="1"/>
  <c r="C253" i="2" s="1"/>
  <c r="P253" i="2" s="1"/>
  <c r="D108" i="43"/>
  <c r="D7" i="43" s="1"/>
  <c r="O101" i="43"/>
  <c r="O64" i="43" s="1"/>
  <c r="M430" i="3" s="1"/>
  <c r="N101" i="43"/>
  <c r="N64" i="43" s="1"/>
  <c r="L430" i="3" s="1"/>
  <c r="M101" i="43"/>
  <c r="M64" i="43" s="1"/>
  <c r="K430" i="3" s="1"/>
  <c r="L101" i="43"/>
  <c r="L64" i="43" s="1"/>
  <c r="J430" i="3" s="1"/>
  <c r="K101" i="43"/>
  <c r="K64" i="43" s="1"/>
  <c r="I430" i="3" s="1"/>
  <c r="J101" i="43"/>
  <c r="J64" i="43" s="1"/>
  <c r="H430" i="3" s="1"/>
  <c r="I101" i="43"/>
  <c r="I64" i="43" s="1"/>
  <c r="G430" i="3" s="1"/>
  <c r="H101" i="43"/>
  <c r="H64" i="43" s="1"/>
  <c r="F430" i="3" s="1"/>
  <c r="G101" i="43"/>
  <c r="G64" i="43" s="1"/>
  <c r="E430" i="3" s="1"/>
  <c r="F101" i="43"/>
  <c r="F64" i="43" s="1"/>
  <c r="D430" i="3" s="1"/>
  <c r="E101" i="43"/>
  <c r="E64" i="43" s="1"/>
  <c r="C430" i="3" s="1"/>
  <c r="D101" i="43"/>
  <c r="D64" i="43" s="1"/>
  <c r="O100" i="43"/>
  <c r="O62" i="43" s="1"/>
  <c r="M429" i="3" s="1"/>
  <c r="N100" i="43"/>
  <c r="N62" i="43" s="1"/>
  <c r="L429" i="3" s="1"/>
  <c r="M100" i="43"/>
  <c r="M62" i="43" s="1"/>
  <c r="K429" i="3" s="1"/>
  <c r="L100" i="43"/>
  <c r="K100" i="43"/>
  <c r="K62" i="43" s="1"/>
  <c r="I429" i="3" s="1"/>
  <c r="J100" i="43"/>
  <c r="J62" i="43" s="1"/>
  <c r="H429" i="3" s="1"/>
  <c r="I100" i="43"/>
  <c r="H100" i="43"/>
  <c r="H62" i="43" s="1"/>
  <c r="F429" i="3" s="1"/>
  <c r="G100" i="43"/>
  <c r="G62" i="43" s="1"/>
  <c r="E429" i="3" s="1"/>
  <c r="F100" i="43"/>
  <c r="F62" i="43" s="1"/>
  <c r="D429" i="3" s="1"/>
  <c r="E100" i="43"/>
  <c r="E62" i="43" s="1"/>
  <c r="C429" i="3" s="1"/>
  <c r="D100" i="43"/>
  <c r="D62" i="43" s="1"/>
  <c r="B429" i="3" s="1"/>
  <c r="O99" i="43"/>
  <c r="O58" i="43" s="1"/>
  <c r="O60" i="43" s="1"/>
  <c r="M375" i="3" s="1"/>
  <c r="N99" i="43"/>
  <c r="N58" i="43" s="1"/>
  <c r="N60" i="43" s="1"/>
  <c r="L375" i="3" s="1"/>
  <c r="M99" i="43"/>
  <c r="M58" i="43" s="1"/>
  <c r="L99" i="43"/>
  <c r="L58" i="43" s="1"/>
  <c r="L60" i="43" s="1"/>
  <c r="J375" i="3" s="1"/>
  <c r="K99" i="43"/>
  <c r="K58" i="43" s="1"/>
  <c r="K60" i="43" s="1"/>
  <c r="I375" i="3" s="1"/>
  <c r="J99" i="43"/>
  <c r="J58" i="43" s="1"/>
  <c r="J60" i="43" s="1"/>
  <c r="H375" i="3" s="1"/>
  <c r="I99" i="43"/>
  <c r="I58" i="43" s="1"/>
  <c r="H99" i="43"/>
  <c r="H58" i="43" s="1"/>
  <c r="G99" i="43"/>
  <c r="G58" i="43" s="1"/>
  <c r="G60" i="43" s="1"/>
  <c r="E375" i="3" s="1"/>
  <c r="F99" i="43"/>
  <c r="F58" i="43" s="1"/>
  <c r="F60" i="43" s="1"/>
  <c r="D375" i="3" s="1"/>
  <c r="E99" i="43"/>
  <c r="E58" i="43" s="1"/>
  <c r="D99" i="43"/>
  <c r="D58" i="43" s="1"/>
  <c r="O81" i="43"/>
  <c r="O4" i="43" s="1"/>
  <c r="O20" i="43" s="1"/>
  <c r="N81" i="43"/>
  <c r="N4" i="43" s="1"/>
  <c r="M81" i="43"/>
  <c r="L81" i="43"/>
  <c r="L4" i="43" s="1"/>
  <c r="L20" i="43" s="1"/>
  <c r="K81" i="43"/>
  <c r="K4" i="43" s="1"/>
  <c r="K20" i="43" s="1"/>
  <c r="J81" i="43"/>
  <c r="J4" i="43" s="1"/>
  <c r="J20" i="43" s="1"/>
  <c r="I81" i="43"/>
  <c r="I4" i="43" s="1"/>
  <c r="H81" i="43"/>
  <c r="H4" i="43" s="1"/>
  <c r="H20" i="43" s="1"/>
  <c r="G81" i="43"/>
  <c r="G4" i="43" s="1"/>
  <c r="G20" i="43" s="1"/>
  <c r="F81" i="43"/>
  <c r="F4" i="43" s="1"/>
  <c r="E81" i="43"/>
  <c r="D81" i="43"/>
  <c r="D4" i="43" s="1"/>
  <c r="D67" i="43"/>
  <c r="M66" i="43"/>
  <c r="E66" i="43"/>
  <c r="D66" i="43"/>
  <c r="L62" i="43"/>
  <c r="J429" i="3" s="1"/>
  <c r="I62" i="43"/>
  <c r="G429" i="3" s="1"/>
  <c r="M59" i="43"/>
  <c r="I59" i="43"/>
  <c r="M55" i="43"/>
  <c r="I54" i="43"/>
  <c r="M51" i="43"/>
  <c r="E50" i="43"/>
  <c r="M48" i="43"/>
  <c r="K302" i="3" s="1"/>
  <c r="E48" i="43"/>
  <c r="C302" i="3" s="1"/>
  <c r="I46" i="43"/>
  <c r="G301" i="3" s="1"/>
  <c r="M43" i="43"/>
  <c r="D43" i="43"/>
  <c r="M42" i="43"/>
  <c r="E42" i="43"/>
  <c r="E41" i="43"/>
  <c r="E39" i="43"/>
  <c r="C210" i="3" s="1"/>
  <c r="E36" i="43"/>
  <c r="M33" i="43"/>
  <c r="K173" i="3" s="1"/>
  <c r="E33" i="43"/>
  <c r="I29" i="43"/>
  <c r="G154" i="3" s="1"/>
  <c r="E29" i="43"/>
  <c r="C154" i="3" s="1"/>
  <c r="E27" i="43"/>
  <c r="I24" i="43"/>
  <c r="L23" i="43"/>
  <c r="I23" i="43"/>
  <c r="M17" i="43"/>
  <c r="K263" i="2" s="1"/>
  <c r="X263" i="2" s="1"/>
  <c r="M16" i="43"/>
  <c r="K262" i="2" s="1"/>
  <c r="X262" i="2" s="1"/>
  <c r="L16" i="43"/>
  <c r="J262" i="2" s="1"/>
  <c r="W262" i="2" s="1"/>
  <c r="L15" i="43"/>
  <c r="J261" i="2" s="1"/>
  <c r="W261" i="2" s="1"/>
  <c r="I15" i="43"/>
  <c r="G261" i="2" s="1"/>
  <c r="T261" i="2" s="1"/>
  <c r="M14" i="43"/>
  <c r="K260" i="2" s="1"/>
  <c r="X260" i="2" s="1"/>
  <c r="I14" i="43"/>
  <c r="G260" i="2" s="1"/>
  <c r="T260" i="2" s="1"/>
  <c r="M13" i="43"/>
  <c r="K259" i="2" s="1"/>
  <c r="X259" i="2" s="1"/>
  <c r="I12" i="43"/>
  <c r="G258" i="2" s="1"/>
  <c r="T258" i="2" s="1"/>
  <c r="M11" i="43"/>
  <c r="K257" i="2" s="1"/>
  <c r="X257" i="2" s="1"/>
  <c r="I11" i="43"/>
  <c r="G257" i="2" s="1"/>
  <c r="T257" i="2" s="1"/>
  <c r="M10" i="43"/>
  <c r="K256" i="2" s="1"/>
  <c r="X256" i="2" s="1"/>
  <c r="L10" i="43"/>
  <c r="J256" i="2" s="1"/>
  <c r="W256" i="2" s="1"/>
  <c r="I9" i="43"/>
  <c r="G255" i="2" s="1"/>
  <c r="T255" i="2" s="1"/>
  <c r="E9" i="43"/>
  <c r="C255" i="2" s="1"/>
  <c r="P255" i="2" s="1"/>
  <c r="I8" i="43"/>
  <c r="G254" i="2" s="1"/>
  <c r="T254" i="2" s="1"/>
  <c r="M7" i="43"/>
  <c r="K253" i="2" s="1"/>
  <c r="X253" i="2" s="1"/>
  <c r="M4" i="43"/>
  <c r="M20" i="43" s="1"/>
  <c r="E4" i="43"/>
  <c r="E20" i="43" s="1"/>
  <c r="N13" i="41"/>
  <c r="L13" i="41"/>
  <c r="J13" i="41"/>
  <c r="H13" i="41"/>
  <c r="F13" i="41"/>
  <c r="E13" i="41"/>
  <c r="D13" i="41"/>
  <c r="O13" i="42"/>
  <c r="L200" i="3"/>
  <c r="M13" i="42"/>
  <c r="L13" i="42"/>
  <c r="K13" i="42"/>
  <c r="H200" i="3"/>
  <c r="I13" i="42"/>
  <c r="H13" i="42"/>
  <c r="G13" i="42"/>
  <c r="D200" i="3"/>
  <c r="E13" i="42"/>
  <c r="D13" i="42"/>
  <c r="N8" i="41"/>
  <c r="L8" i="41"/>
  <c r="J8" i="41"/>
  <c r="H8" i="41"/>
  <c r="F8" i="41"/>
  <c r="D8" i="41"/>
  <c r="D9" i="41" s="1"/>
  <c r="O7" i="42"/>
  <c r="N7" i="42"/>
  <c r="N9" i="42" s="1"/>
  <c r="K7" i="42"/>
  <c r="K9" i="42" s="1"/>
  <c r="J7" i="42"/>
  <c r="J9" i="42" s="1"/>
  <c r="G7" i="42"/>
  <c r="F7" i="42"/>
  <c r="F9" i="42" s="1"/>
  <c r="M130" i="2"/>
  <c r="Z130" i="2" s="1"/>
  <c r="N5" i="41"/>
  <c r="M5" i="41"/>
  <c r="L5" i="41"/>
  <c r="K5" i="41"/>
  <c r="J5" i="41"/>
  <c r="I5" i="41"/>
  <c r="H5" i="41"/>
  <c r="G5" i="41"/>
  <c r="F5" i="41"/>
  <c r="E5" i="41"/>
  <c r="D5" i="41"/>
  <c r="O35" i="40"/>
  <c r="N35" i="40"/>
  <c r="M35" i="40"/>
  <c r="L35" i="40"/>
  <c r="K35" i="40"/>
  <c r="J35" i="40"/>
  <c r="I35" i="40"/>
  <c r="H35" i="40"/>
  <c r="G35" i="40"/>
  <c r="F35" i="40"/>
  <c r="E35" i="40"/>
  <c r="D35" i="40"/>
  <c r="O32" i="40"/>
  <c r="N32" i="40"/>
  <c r="M32" i="40"/>
  <c r="L32" i="40"/>
  <c r="K32" i="40"/>
  <c r="J32" i="40"/>
  <c r="I32" i="40"/>
  <c r="H32" i="40"/>
  <c r="G32" i="40"/>
  <c r="F32" i="40"/>
  <c r="E32" i="40"/>
  <c r="D32" i="40"/>
  <c r="O9" i="40"/>
  <c r="M195" i="3" s="1"/>
  <c r="N9" i="40"/>
  <c r="M9" i="40"/>
  <c r="L9" i="40"/>
  <c r="J195" i="3" s="1"/>
  <c r="K9" i="40"/>
  <c r="J9" i="40"/>
  <c r="I9" i="40"/>
  <c r="H9" i="40"/>
  <c r="F195" i="3" s="1"/>
  <c r="G9" i="40"/>
  <c r="F9" i="40"/>
  <c r="E9" i="40"/>
  <c r="D9" i="40"/>
  <c r="B195" i="3" s="1"/>
  <c r="O7" i="40"/>
  <c r="O15" i="40" s="1"/>
  <c r="N7" i="40"/>
  <c r="N13" i="40" s="1"/>
  <c r="M7" i="40"/>
  <c r="M11" i="40" s="1"/>
  <c r="L7" i="40"/>
  <c r="K7" i="40"/>
  <c r="K15" i="40" s="1"/>
  <c r="J7" i="40"/>
  <c r="J13" i="40" s="1"/>
  <c r="I7" i="40"/>
  <c r="I11" i="40" s="1"/>
  <c r="H7" i="40"/>
  <c r="G7" i="40"/>
  <c r="G15" i="40" s="1"/>
  <c r="F7" i="40"/>
  <c r="F13" i="40" s="1"/>
  <c r="E7" i="40"/>
  <c r="E11" i="40" s="1"/>
  <c r="D7" i="40"/>
  <c r="O3" i="40"/>
  <c r="O5" i="40" s="1"/>
  <c r="N3" i="40"/>
  <c r="N5" i="40" s="1"/>
  <c r="M3" i="40"/>
  <c r="M5" i="40" s="1"/>
  <c r="L3" i="40"/>
  <c r="L5" i="40" s="1"/>
  <c r="K3" i="40"/>
  <c r="K5" i="40" s="1"/>
  <c r="J3" i="40"/>
  <c r="J5" i="40" s="1"/>
  <c r="I3" i="40"/>
  <c r="I5" i="40" s="1"/>
  <c r="H3" i="40"/>
  <c r="H5" i="40" s="1"/>
  <c r="G3" i="40"/>
  <c r="G5" i="40" s="1"/>
  <c r="F3" i="40"/>
  <c r="F5" i="40" s="1"/>
  <c r="E3" i="40"/>
  <c r="E5" i="40" s="1"/>
  <c r="D3" i="40"/>
  <c r="D5" i="40" s="1"/>
  <c r="O13" i="11"/>
  <c r="N13" i="11"/>
  <c r="M13" i="11"/>
  <c r="M17" i="10" s="1"/>
  <c r="L13" i="11"/>
  <c r="L17" i="10" s="1"/>
  <c r="K13" i="11"/>
  <c r="J13" i="11"/>
  <c r="I13" i="11"/>
  <c r="I17" i="10" s="1"/>
  <c r="H13" i="11"/>
  <c r="H17" i="10" s="1"/>
  <c r="G13" i="11"/>
  <c r="F13" i="11"/>
  <c r="E13" i="11"/>
  <c r="D13" i="11"/>
  <c r="D17" i="10" s="1"/>
  <c r="O10" i="11"/>
  <c r="N10" i="11"/>
  <c r="M10" i="11"/>
  <c r="L10" i="11"/>
  <c r="L10" i="10" s="1"/>
  <c r="K10" i="11"/>
  <c r="J10" i="11"/>
  <c r="I10" i="11"/>
  <c r="I10" i="10" s="1"/>
  <c r="H10" i="11"/>
  <c r="H10" i="10" s="1"/>
  <c r="G10" i="11"/>
  <c r="F10" i="11"/>
  <c r="E10" i="11"/>
  <c r="E10" i="10" s="1"/>
  <c r="D10" i="11"/>
  <c r="D10" i="10" s="1"/>
  <c r="O7" i="11"/>
  <c r="O19" i="11" s="1"/>
  <c r="N7" i="11"/>
  <c r="N19" i="11" s="1"/>
  <c r="M7" i="11"/>
  <c r="M19" i="11" s="1"/>
  <c r="L7" i="11"/>
  <c r="L15" i="10" s="1"/>
  <c r="K7" i="11"/>
  <c r="K19" i="11" s="1"/>
  <c r="J7" i="11"/>
  <c r="J19" i="11" s="1"/>
  <c r="I7" i="11"/>
  <c r="I19" i="11" s="1"/>
  <c r="H7" i="11"/>
  <c r="H15" i="10" s="1"/>
  <c r="G7" i="11"/>
  <c r="G19" i="11" s="1"/>
  <c r="F7" i="11"/>
  <c r="F19" i="11" s="1"/>
  <c r="E7" i="11"/>
  <c r="E19" i="11" s="1"/>
  <c r="D7" i="11"/>
  <c r="D15" i="10" s="1"/>
  <c r="O3" i="11"/>
  <c r="O5" i="11" s="1"/>
  <c r="N3" i="11"/>
  <c r="N5" i="11" s="1"/>
  <c r="M3" i="11"/>
  <c r="M5" i="11" s="1"/>
  <c r="L3" i="11"/>
  <c r="L5" i="11" s="1"/>
  <c r="K3" i="11"/>
  <c r="I128" i="2" s="1"/>
  <c r="V128" i="2" s="1"/>
  <c r="J3" i="11"/>
  <c r="J5" i="11" s="1"/>
  <c r="I3" i="11"/>
  <c r="I5" i="11" s="1"/>
  <c r="H3" i="11"/>
  <c r="H5" i="11" s="1"/>
  <c r="G3" i="11"/>
  <c r="E128" i="2" s="1"/>
  <c r="R128" i="2" s="1"/>
  <c r="F3" i="11"/>
  <c r="F5" i="11" s="1"/>
  <c r="E3" i="11"/>
  <c r="E5" i="11" s="1"/>
  <c r="D3" i="11"/>
  <c r="D5" i="11" s="1"/>
  <c r="O432" i="39"/>
  <c r="O75" i="39" s="1"/>
  <c r="M513" i="3" s="1"/>
  <c r="N432" i="39"/>
  <c r="N75" i="39" s="1"/>
  <c r="M432" i="39"/>
  <c r="M75" i="39" s="1"/>
  <c r="K513" i="3" s="1"/>
  <c r="L432" i="39"/>
  <c r="L75" i="39" s="1"/>
  <c r="J513" i="3" s="1"/>
  <c r="K432" i="39"/>
  <c r="K75" i="39" s="1"/>
  <c r="I513" i="3" s="1"/>
  <c r="J432" i="39"/>
  <c r="J75" i="39" s="1"/>
  <c r="H513" i="3" s="1"/>
  <c r="I432" i="39"/>
  <c r="I75" i="39" s="1"/>
  <c r="G513" i="3" s="1"/>
  <c r="H432" i="39"/>
  <c r="H75" i="39" s="1"/>
  <c r="F513" i="3" s="1"/>
  <c r="G432" i="39"/>
  <c r="G75" i="39" s="1"/>
  <c r="E513" i="3" s="1"/>
  <c r="F432" i="39"/>
  <c r="F75" i="39" s="1"/>
  <c r="D513" i="3" s="1"/>
  <c r="E432" i="39"/>
  <c r="E75" i="39" s="1"/>
  <c r="C513" i="3" s="1"/>
  <c r="D432" i="39"/>
  <c r="D75" i="39" s="1"/>
  <c r="B513" i="3" s="1"/>
  <c r="O431" i="39"/>
  <c r="O53" i="39" s="1"/>
  <c r="M279" i="3" s="1"/>
  <c r="N431" i="39"/>
  <c r="N53" i="39" s="1"/>
  <c r="L279" i="3" s="1"/>
  <c r="M431" i="39"/>
  <c r="M53" i="39" s="1"/>
  <c r="K279" i="3" s="1"/>
  <c r="L431" i="39"/>
  <c r="L53" i="39" s="1"/>
  <c r="J279" i="3" s="1"/>
  <c r="K431" i="39"/>
  <c r="K53" i="39" s="1"/>
  <c r="I279" i="3" s="1"/>
  <c r="J431" i="39"/>
  <c r="J53" i="39" s="1"/>
  <c r="H279" i="3" s="1"/>
  <c r="I431" i="39"/>
  <c r="I53" i="39" s="1"/>
  <c r="G279" i="3" s="1"/>
  <c r="H431" i="39"/>
  <c r="H53" i="39" s="1"/>
  <c r="F279" i="3" s="1"/>
  <c r="G431" i="39"/>
  <c r="G53" i="39" s="1"/>
  <c r="E279" i="3" s="1"/>
  <c r="F431" i="39"/>
  <c r="F53" i="39" s="1"/>
  <c r="D279" i="3" s="1"/>
  <c r="E431" i="39"/>
  <c r="E53" i="39" s="1"/>
  <c r="C279" i="3" s="1"/>
  <c r="D431" i="39"/>
  <c r="D53" i="39" s="1"/>
  <c r="B279" i="3" s="1"/>
  <c r="O430" i="39"/>
  <c r="O51" i="39" s="1"/>
  <c r="M259" i="3" s="1"/>
  <c r="N430" i="39"/>
  <c r="N51" i="39" s="1"/>
  <c r="L259" i="3" s="1"/>
  <c r="M430" i="39"/>
  <c r="M51" i="39" s="1"/>
  <c r="K259" i="3" s="1"/>
  <c r="L430" i="39"/>
  <c r="L51" i="39" s="1"/>
  <c r="J259" i="3" s="1"/>
  <c r="K430" i="39"/>
  <c r="K51" i="39" s="1"/>
  <c r="I259" i="3" s="1"/>
  <c r="J430" i="39"/>
  <c r="J51" i="39" s="1"/>
  <c r="H259" i="3" s="1"/>
  <c r="I430" i="39"/>
  <c r="I51" i="39" s="1"/>
  <c r="G259" i="3" s="1"/>
  <c r="H430" i="39"/>
  <c r="H51" i="39" s="1"/>
  <c r="F259" i="3" s="1"/>
  <c r="G430" i="39"/>
  <c r="G51" i="39" s="1"/>
  <c r="E259" i="3" s="1"/>
  <c r="F430" i="39"/>
  <c r="F51" i="39" s="1"/>
  <c r="D259" i="3" s="1"/>
  <c r="E430" i="39"/>
  <c r="E51" i="39" s="1"/>
  <c r="C259" i="3" s="1"/>
  <c r="D430" i="39"/>
  <c r="D51" i="39" s="1"/>
  <c r="B259" i="3" s="1"/>
  <c r="O429" i="39"/>
  <c r="O34" i="39" s="1"/>
  <c r="N429" i="39"/>
  <c r="N34" i="39" s="1"/>
  <c r="M429" i="39"/>
  <c r="M34" i="39" s="1"/>
  <c r="L429" i="39"/>
  <c r="L34" i="39" s="1"/>
  <c r="K429" i="39"/>
  <c r="K34" i="39" s="1"/>
  <c r="J429" i="39"/>
  <c r="J34" i="39" s="1"/>
  <c r="I429" i="39"/>
  <c r="I34" i="39" s="1"/>
  <c r="H429" i="39"/>
  <c r="H34" i="39" s="1"/>
  <c r="G429" i="39"/>
  <c r="G34" i="39" s="1"/>
  <c r="F429" i="39"/>
  <c r="F34" i="39" s="1"/>
  <c r="E429" i="39"/>
  <c r="E34" i="39" s="1"/>
  <c r="D429" i="39"/>
  <c r="D34" i="39" s="1"/>
  <c r="O402" i="39"/>
  <c r="O14" i="39" s="1"/>
  <c r="M201" i="2" s="1"/>
  <c r="Z201" i="2" s="1"/>
  <c r="N402" i="39"/>
  <c r="N14" i="39" s="1"/>
  <c r="L201" i="2" s="1"/>
  <c r="Y201" i="2" s="1"/>
  <c r="M402" i="39"/>
  <c r="M14" i="39" s="1"/>
  <c r="K201" i="2" s="1"/>
  <c r="X201" i="2" s="1"/>
  <c r="L402" i="39"/>
  <c r="L14" i="39" s="1"/>
  <c r="J201" i="2" s="1"/>
  <c r="W201" i="2" s="1"/>
  <c r="K402" i="39"/>
  <c r="K14" i="39" s="1"/>
  <c r="I201" i="2" s="1"/>
  <c r="V201" i="2" s="1"/>
  <c r="J402" i="39"/>
  <c r="J14" i="39" s="1"/>
  <c r="H201" i="2" s="1"/>
  <c r="U201" i="2" s="1"/>
  <c r="I402" i="39"/>
  <c r="I14" i="39" s="1"/>
  <c r="G201" i="2" s="1"/>
  <c r="T201" i="2" s="1"/>
  <c r="H402" i="39"/>
  <c r="H14" i="39" s="1"/>
  <c r="F201" i="2" s="1"/>
  <c r="S201" i="2" s="1"/>
  <c r="G402" i="39"/>
  <c r="G14" i="39" s="1"/>
  <c r="E201" i="2" s="1"/>
  <c r="R201" i="2" s="1"/>
  <c r="F402" i="39"/>
  <c r="F14" i="39" s="1"/>
  <c r="D201" i="2" s="1"/>
  <c r="Q201" i="2" s="1"/>
  <c r="E402" i="39"/>
  <c r="E14" i="39" s="1"/>
  <c r="C201" i="2" s="1"/>
  <c r="P201" i="2" s="1"/>
  <c r="D402" i="39"/>
  <c r="D14" i="39" s="1"/>
  <c r="B201" i="2" s="1"/>
  <c r="O201" i="2" s="1"/>
  <c r="O395" i="39"/>
  <c r="N395" i="39"/>
  <c r="M395" i="39"/>
  <c r="M80" i="39" s="1"/>
  <c r="L395" i="39"/>
  <c r="L80" i="39" s="1"/>
  <c r="K395" i="39"/>
  <c r="K80" i="39" s="1"/>
  <c r="J395" i="39"/>
  <c r="J80" i="39" s="1"/>
  <c r="I395" i="39"/>
  <c r="I80" i="39" s="1"/>
  <c r="H395" i="39"/>
  <c r="H80" i="39" s="1"/>
  <c r="G395" i="39"/>
  <c r="G80" i="39" s="1"/>
  <c r="F395" i="39"/>
  <c r="F80" i="39" s="1"/>
  <c r="E395" i="39"/>
  <c r="E80" i="39" s="1"/>
  <c r="D395" i="39"/>
  <c r="D80" i="39" s="1"/>
  <c r="O394" i="39"/>
  <c r="O73" i="39" s="1"/>
  <c r="M453" i="3" s="1"/>
  <c r="N394" i="39"/>
  <c r="N73" i="39" s="1"/>
  <c r="L453" i="3" s="1"/>
  <c r="M394" i="39"/>
  <c r="M73" i="39" s="1"/>
  <c r="K453" i="3" s="1"/>
  <c r="L394" i="39"/>
  <c r="L73" i="39" s="1"/>
  <c r="J453" i="3" s="1"/>
  <c r="K394" i="39"/>
  <c r="K73" i="39" s="1"/>
  <c r="I453" i="3" s="1"/>
  <c r="J394" i="39"/>
  <c r="J73" i="39" s="1"/>
  <c r="H453" i="3" s="1"/>
  <c r="I394" i="39"/>
  <c r="I73" i="39" s="1"/>
  <c r="G453" i="3" s="1"/>
  <c r="H394" i="39"/>
  <c r="G394" i="39"/>
  <c r="G73" i="39" s="1"/>
  <c r="E453" i="3" s="1"/>
  <c r="F394" i="39"/>
  <c r="F73" i="39" s="1"/>
  <c r="D453" i="3" s="1"/>
  <c r="E394" i="39"/>
  <c r="E73" i="39" s="1"/>
  <c r="C453" i="3" s="1"/>
  <c r="D394" i="39"/>
  <c r="D73" i="39" s="1"/>
  <c r="B453" i="3" s="1"/>
  <c r="O393" i="39"/>
  <c r="O19" i="39" s="1"/>
  <c r="M6" i="3" s="1"/>
  <c r="N393" i="39"/>
  <c r="M393" i="39"/>
  <c r="M19" i="39" s="1"/>
  <c r="L393" i="39"/>
  <c r="L19" i="39" s="1"/>
  <c r="K393" i="39"/>
  <c r="K19" i="39" s="1"/>
  <c r="I6" i="3" s="1"/>
  <c r="J393" i="39"/>
  <c r="J19" i="39" s="1"/>
  <c r="H6" i="3" s="1"/>
  <c r="I393" i="39"/>
  <c r="I19" i="39" s="1"/>
  <c r="H393" i="39"/>
  <c r="H19" i="39" s="1"/>
  <c r="G393" i="39"/>
  <c r="G19" i="39" s="1"/>
  <c r="E6" i="3" s="1"/>
  <c r="F393" i="39"/>
  <c r="F19" i="39" s="1"/>
  <c r="D6" i="3" s="1"/>
  <c r="E393" i="39"/>
  <c r="E19" i="39" s="1"/>
  <c r="D393" i="39"/>
  <c r="D19" i="39" s="1"/>
  <c r="O370" i="39"/>
  <c r="O13" i="39" s="1"/>
  <c r="M200" i="2" s="1"/>
  <c r="Z200" i="2" s="1"/>
  <c r="N370" i="39"/>
  <c r="N13" i="39" s="1"/>
  <c r="L200" i="2" s="1"/>
  <c r="Y200" i="2" s="1"/>
  <c r="M370" i="39"/>
  <c r="M13" i="39" s="1"/>
  <c r="K200" i="2" s="1"/>
  <c r="X200" i="2" s="1"/>
  <c r="L370" i="39"/>
  <c r="L13" i="39" s="1"/>
  <c r="J200" i="2" s="1"/>
  <c r="W200" i="2" s="1"/>
  <c r="K370" i="39"/>
  <c r="K13" i="39" s="1"/>
  <c r="I200" i="2" s="1"/>
  <c r="V200" i="2" s="1"/>
  <c r="J370" i="39"/>
  <c r="J13" i="39" s="1"/>
  <c r="H200" i="2" s="1"/>
  <c r="U200" i="2" s="1"/>
  <c r="I370" i="39"/>
  <c r="I13" i="39" s="1"/>
  <c r="G200" i="2" s="1"/>
  <c r="T200" i="2" s="1"/>
  <c r="H370" i="39"/>
  <c r="H13" i="39" s="1"/>
  <c r="F200" i="2" s="1"/>
  <c r="S200" i="2" s="1"/>
  <c r="G370" i="39"/>
  <c r="G13" i="39" s="1"/>
  <c r="E200" i="2" s="1"/>
  <c r="R200" i="2" s="1"/>
  <c r="F370" i="39"/>
  <c r="F13" i="39" s="1"/>
  <c r="D200" i="2" s="1"/>
  <c r="Q200" i="2" s="1"/>
  <c r="E370" i="39"/>
  <c r="E13" i="39" s="1"/>
  <c r="C200" i="2" s="1"/>
  <c r="P200" i="2" s="1"/>
  <c r="D370" i="39"/>
  <c r="D13" i="39" s="1"/>
  <c r="B200" i="2" s="1"/>
  <c r="O200" i="2" s="1"/>
  <c r="O363" i="39"/>
  <c r="O69" i="39" s="1"/>
  <c r="M441" i="3" s="1"/>
  <c r="N363" i="39"/>
  <c r="N69" i="39" s="1"/>
  <c r="L441" i="3" s="1"/>
  <c r="M363" i="39"/>
  <c r="M69" i="39" s="1"/>
  <c r="K441" i="3" s="1"/>
  <c r="L363" i="39"/>
  <c r="L69" i="39" s="1"/>
  <c r="J441" i="3" s="1"/>
  <c r="K363" i="39"/>
  <c r="K69" i="39" s="1"/>
  <c r="I441" i="3" s="1"/>
  <c r="J363" i="39"/>
  <c r="J69" i="39" s="1"/>
  <c r="H441" i="3" s="1"/>
  <c r="I363" i="39"/>
  <c r="I69" i="39" s="1"/>
  <c r="G441" i="3" s="1"/>
  <c r="H363" i="39"/>
  <c r="H69" i="39" s="1"/>
  <c r="F441" i="3" s="1"/>
  <c r="G363" i="39"/>
  <c r="G69" i="39" s="1"/>
  <c r="E441" i="3" s="1"/>
  <c r="F363" i="39"/>
  <c r="F69" i="39" s="1"/>
  <c r="D441" i="3" s="1"/>
  <c r="E363" i="39"/>
  <c r="E69" i="39" s="1"/>
  <c r="C441" i="3" s="1"/>
  <c r="D363" i="39"/>
  <c r="D69" i="39" s="1"/>
  <c r="B441" i="3" s="1"/>
  <c r="O362" i="39"/>
  <c r="O44" i="39" s="1"/>
  <c r="N362" i="39"/>
  <c r="N44" i="39" s="1"/>
  <c r="M362" i="39"/>
  <c r="M44" i="39" s="1"/>
  <c r="L362" i="39"/>
  <c r="L44" i="39" s="1"/>
  <c r="K362" i="39"/>
  <c r="K44" i="39" s="1"/>
  <c r="J362" i="39"/>
  <c r="J44" i="39" s="1"/>
  <c r="I362" i="39"/>
  <c r="I44" i="39" s="1"/>
  <c r="H362" i="39"/>
  <c r="H44" i="39" s="1"/>
  <c r="G362" i="39"/>
  <c r="G44" i="39" s="1"/>
  <c r="F362" i="39"/>
  <c r="F44" i="39" s="1"/>
  <c r="E362" i="39"/>
  <c r="E44" i="39" s="1"/>
  <c r="D362" i="39"/>
  <c r="D44" i="39" s="1"/>
  <c r="O361" i="39"/>
  <c r="O22" i="39" s="1"/>
  <c r="N361" i="39"/>
  <c r="N22" i="39" s="1"/>
  <c r="M361" i="39"/>
  <c r="M22" i="39" s="1"/>
  <c r="L361" i="39"/>
  <c r="L22" i="39" s="1"/>
  <c r="K361" i="39"/>
  <c r="K22" i="39" s="1"/>
  <c r="J361" i="39"/>
  <c r="J22" i="39" s="1"/>
  <c r="I361" i="39"/>
  <c r="I22" i="39" s="1"/>
  <c r="H361" i="39"/>
  <c r="H22" i="39" s="1"/>
  <c r="G361" i="39"/>
  <c r="G22" i="39" s="1"/>
  <c r="F361" i="39"/>
  <c r="F22" i="39" s="1"/>
  <c r="E361" i="39"/>
  <c r="E22" i="39" s="1"/>
  <c r="D361" i="39"/>
  <c r="D22" i="39" s="1"/>
  <c r="O340" i="39"/>
  <c r="O12" i="39" s="1"/>
  <c r="M199" i="2" s="1"/>
  <c r="Z199" i="2" s="1"/>
  <c r="N340" i="39"/>
  <c r="N12" i="39" s="1"/>
  <c r="L199" i="2" s="1"/>
  <c r="Y199" i="2" s="1"/>
  <c r="M340" i="39"/>
  <c r="M12" i="39" s="1"/>
  <c r="K199" i="2" s="1"/>
  <c r="X199" i="2" s="1"/>
  <c r="L340" i="39"/>
  <c r="L12" i="39" s="1"/>
  <c r="J199" i="2" s="1"/>
  <c r="W199" i="2" s="1"/>
  <c r="K340" i="39"/>
  <c r="K12" i="39" s="1"/>
  <c r="I199" i="2" s="1"/>
  <c r="V199" i="2" s="1"/>
  <c r="J340" i="39"/>
  <c r="J12" i="39" s="1"/>
  <c r="H199" i="2" s="1"/>
  <c r="U199" i="2" s="1"/>
  <c r="I340" i="39"/>
  <c r="I12" i="39" s="1"/>
  <c r="G199" i="2" s="1"/>
  <c r="T199" i="2" s="1"/>
  <c r="H340" i="39"/>
  <c r="H12" i="39" s="1"/>
  <c r="F199" i="2" s="1"/>
  <c r="S199" i="2" s="1"/>
  <c r="G340" i="39"/>
  <c r="G12" i="39" s="1"/>
  <c r="E199" i="2" s="1"/>
  <c r="R199" i="2" s="1"/>
  <c r="F340" i="39"/>
  <c r="F12" i="39" s="1"/>
  <c r="D199" i="2" s="1"/>
  <c r="Q199" i="2" s="1"/>
  <c r="E340" i="39"/>
  <c r="E12" i="39" s="1"/>
  <c r="C199" i="2" s="1"/>
  <c r="P199" i="2" s="1"/>
  <c r="D340" i="39"/>
  <c r="D12" i="39" s="1"/>
  <c r="B199" i="2" s="1"/>
  <c r="O199" i="2" s="1"/>
  <c r="O333" i="39"/>
  <c r="O71" i="39" s="1"/>
  <c r="M443" i="3" s="1"/>
  <c r="N333" i="39"/>
  <c r="N71" i="39" s="1"/>
  <c r="L443" i="3" s="1"/>
  <c r="M333" i="39"/>
  <c r="M71" i="39" s="1"/>
  <c r="K443" i="3" s="1"/>
  <c r="L333" i="39"/>
  <c r="L71" i="39" s="1"/>
  <c r="J443" i="3" s="1"/>
  <c r="K333" i="39"/>
  <c r="K71" i="39" s="1"/>
  <c r="I443" i="3" s="1"/>
  <c r="J333" i="39"/>
  <c r="I333" i="39"/>
  <c r="I71" i="39" s="1"/>
  <c r="G443" i="3" s="1"/>
  <c r="H333" i="39"/>
  <c r="H71" i="39" s="1"/>
  <c r="F443" i="3" s="1"/>
  <c r="G333" i="39"/>
  <c r="G71" i="39" s="1"/>
  <c r="E443" i="3" s="1"/>
  <c r="F333" i="39"/>
  <c r="F71" i="39" s="1"/>
  <c r="D443" i="3" s="1"/>
  <c r="E333" i="39"/>
  <c r="E71" i="39" s="1"/>
  <c r="C443" i="3" s="1"/>
  <c r="D333" i="39"/>
  <c r="D71" i="39" s="1"/>
  <c r="B443" i="3" s="1"/>
  <c r="O332" i="39"/>
  <c r="O47" i="39" s="1"/>
  <c r="M212" i="3" s="1"/>
  <c r="N332" i="39"/>
  <c r="N47" i="39" s="1"/>
  <c r="L212" i="3" s="1"/>
  <c r="M332" i="39"/>
  <c r="M47" i="39" s="1"/>
  <c r="K212" i="3" s="1"/>
  <c r="L332" i="39"/>
  <c r="L47" i="39" s="1"/>
  <c r="J212" i="3" s="1"/>
  <c r="K332" i="39"/>
  <c r="K47" i="39" s="1"/>
  <c r="I212" i="3" s="1"/>
  <c r="J332" i="39"/>
  <c r="J47" i="39" s="1"/>
  <c r="H212" i="3" s="1"/>
  <c r="I332" i="39"/>
  <c r="I47" i="39" s="1"/>
  <c r="G212" i="3" s="1"/>
  <c r="H332" i="39"/>
  <c r="H47" i="39" s="1"/>
  <c r="F212" i="3" s="1"/>
  <c r="G332" i="39"/>
  <c r="G47" i="39" s="1"/>
  <c r="E212" i="3" s="1"/>
  <c r="F332" i="39"/>
  <c r="F47" i="39" s="1"/>
  <c r="D212" i="3" s="1"/>
  <c r="E332" i="39"/>
  <c r="E47" i="39" s="1"/>
  <c r="C212" i="3" s="1"/>
  <c r="D332" i="39"/>
  <c r="D47" i="39" s="1"/>
  <c r="B212" i="3" s="1"/>
  <c r="O331" i="39"/>
  <c r="O43" i="39" s="1"/>
  <c r="N331" i="39"/>
  <c r="N43" i="39" s="1"/>
  <c r="N45" i="39" s="1"/>
  <c r="L135" i="3" s="1"/>
  <c r="M331" i="39"/>
  <c r="M43" i="39" s="1"/>
  <c r="M45" i="39" s="1"/>
  <c r="K135" i="3" s="1"/>
  <c r="L331" i="39"/>
  <c r="L43" i="39" s="1"/>
  <c r="K331" i="39"/>
  <c r="K43" i="39" s="1"/>
  <c r="J331" i="39"/>
  <c r="J43" i="39" s="1"/>
  <c r="J45" i="39" s="1"/>
  <c r="H135" i="3" s="1"/>
  <c r="I331" i="39"/>
  <c r="I43" i="39" s="1"/>
  <c r="I45" i="39" s="1"/>
  <c r="G135" i="3" s="1"/>
  <c r="H331" i="39"/>
  <c r="H43" i="39" s="1"/>
  <c r="G331" i="39"/>
  <c r="G43" i="39" s="1"/>
  <c r="F331" i="39"/>
  <c r="F43" i="39" s="1"/>
  <c r="E331" i="39"/>
  <c r="E43" i="39" s="1"/>
  <c r="E45" i="39" s="1"/>
  <c r="C135" i="3" s="1"/>
  <c r="D331" i="39"/>
  <c r="D43" i="39" s="1"/>
  <c r="O330" i="39"/>
  <c r="O41" i="39" s="1"/>
  <c r="M101" i="3" s="1"/>
  <c r="N330" i="39"/>
  <c r="N41" i="39" s="1"/>
  <c r="L101" i="3" s="1"/>
  <c r="M330" i="39"/>
  <c r="M41" i="39" s="1"/>
  <c r="K101" i="3" s="1"/>
  <c r="L330" i="39"/>
  <c r="L41" i="39" s="1"/>
  <c r="J101" i="3" s="1"/>
  <c r="K330" i="39"/>
  <c r="K41" i="39" s="1"/>
  <c r="I101" i="3" s="1"/>
  <c r="J330" i="39"/>
  <c r="J41" i="39" s="1"/>
  <c r="H101" i="3" s="1"/>
  <c r="I330" i="39"/>
  <c r="I41" i="39" s="1"/>
  <c r="G101" i="3" s="1"/>
  <c r="H330" i="39"/>
  <c r="H41" i="39" s="1"/>
  <c r="F101" i="3" s="1"/>
  <c r="G330" i="39"/>
  <c r="G41" i="39" s="1"/>
  <c r="E101" i="3" s="1"/>
  <c r="F330" i="39"/>
  <c r="F41" i="39" s="1"/>
  <c r="D101" i="3" s="1"/>
  <c r="E330" i="39"/>
  <c r="E41" i="39" s="1"/>
  <c r="C101" i="3" s="1"/>
  <c r="D330" i="39"/>
  <c r="D41" i="39" s="1"/>
  <c r="B101" i="3" s="1"/>
  <c r="O307" i="39"/>
  <c r="O11" i="39" s="1"/>
  <c r="M198" i="2" s="1"/>
  <c r="Z198" i="2" s="1"/>
  <c r="N307" i="39"/>
  <c r="N11" i="39" s="1"/>
  <c r="L198" i="2" s="1"/>
  <c r="Y198" i="2" s="1"/>
  <c r="M307" i="39"/>
  <c r="M11" i="39" s="1"/>
  <c r="K198" i="2" s="1"/>
  <c r="X198" i="2" s="1"/>
  <c r="L307" i="39"/>
  <c r="L11" i="39" s="1"/>
  <c r="J198" i="2" s="1"/>
  <c r="W198" i="2" s="1"/>
  <c r="K307" i="39"/>
  <c r="K11" i="39" s="1"/>
  <c r="I198" i="2" s="1"/>
  <c r="V198" i="2" s="1"/>
  <c r="J307" i="39"/>
  <c r="J11" i="39" s="1"/>
  <c r="H198" i="2" s="1"/>
  <c r="U198" i="2" s="1"/>
  <c r="I307" i="39"/>
  <c r="I11" i="39" s="1"/>
  <c r="G198" i="2" s="1"/>
  <c r="T198" i="2" s="1"/>
  <c r="H307" i="39"/>
  <c r="H11" i="39" s="1"/>
  <c r="F198" i="2" s="1"/>
  <c r="S198" i="2" s="1"/>
  <c r="G307" i="39"/>
  <c r="G11" i="39" s="1"/>
  <c r="E198" i="2" s="1"/>
  <c r="R198" i="2" s="1"/>
  <c r="F307" i="39"/>
  <c r="F11" i="39" s="1"/>
  <c r="D198" i="2" s="1"/>
  <c r="Q198" i="2" s="1"/>
  <c r="E307" i="39"/>
  <c r="E11" i="39" s="1"/>
  <c r="C198" i="2" s="1"/>
  <c r="P198" i="2" s="1"/>
  <c r="D307" i="39"/>
  <c r="D11" i="39" s="1"/>
  <c r="B198" i="2" s="1"/>
  <c r="O198" i="2" s="1"/>
  <c r="O300" i="39"/>
  <c r="O77" i="39" s="1"/>
  <c r="M528" i="3" s="1"/>
  <c r="N300" i="39"/>
  <c r="N77" i="39" s="1"/>
  <c r="L528" i="3" s="1"/>
  <c r="M300" i="39"/>
  <c r="M77" i="39" s="1"/>
  <c r="K528" i="3" s="1"/>
  <c r="L300" i="39"/>
  <c r="L77" i="39" s="1"/>
  <c r="J528" i="3" s="1"/>
  <c r="K300" i="39"/>
  <c r="K77" i="39" s="1"/>
  <c r="I528" i="3" s="1"/>
  <c r="J300" i="39"/>
  <c r="J77" i="39" s="1"/>
  <c r="H528" i="3" s="1"/>
  <c r="I300" i="39"/>
  <c r="I77" i="39" s="1"/>
  <c r="G528" i="3" s="1"/>
  <c r="H300" i="39"/>
  <c r="H77" i="39" s="1"/>
  <c r="F528" i="3" s="1"/>
  <c r="G300" i="39"/>
  <c r="G77" i="39" s="1"/>
  <c r="E528" i="3" s="1"/>
  <c r="F300" i="39"/>
  <c r="F77" i="39" s="1"/>
  <c r="D528" i="3" s="1"/>
  <c r="E300" i="39"/>
  <c r="E77" i="39" s="1"/>
  <c r="C528" i="3" s="1"/>
  <c r="D300" i="39"/>
  <c r="D77" i="39" s="1"/>
  <c r="B528" i="3" s="1"/>
  <c r="O299" i="39"/>
  <c r="O67" i="39" s="1"/>
  <c r="M385" i="3" s="1"/>
  <c r="N299" i="39"/>
  <c r="N67" i="39" s="1"/>
  <c r="L385" i="3" s="1"/>
  <c r="M299" i="39"/>
  <c r="M67" i="39" s="1"/>
  <c r="K385" i="3" s="1"/>
  <c r="L299" i="39"/>
  <c r="L67" i="39" s="1"/>
  <c r="J385" i="3" s="1"/>
  <c r="K299" i="39"/>
  <c r="K67" i="39" s="1"/>
  <c r="I385" i="3" s="1"/>
  <c r="J299" i="39"/>
  <c r="J67" i="39" s="1"/>
  <c r="H385" i="3" s="1"/>
  <c r="I299" i="39"/>
  <c r="I67" i="39" s="1"/>
  <c r="G385" i="3" s="1"/>
  <c r="H299" i="39"/>
  <c r="H67" i="39" s="1"/>
  <c r="F385" i="3" s="1"/>
  <c r="G299" i="39"/>
  <c r="G67" i="39" s="1"/>
  <c r="E385" i="3" s="1"/>
  <c r="F299" i="39"/>
  <c r="F67" i="39" s="1"/>
  <c r="D385" i="3" s="1"/>
  <c r="E299" i="39"/>
  <c r="E67" i="39" s="1"/>
  <c r="C385" i="3" s="1"/>
  <c r="D299" i="39"/>
  <c r="D67" i="39" s="1"/>
  <c r="B385" i="3" s="1"/>
  <c r="O298" i="39"/>
  <c r="O26" i="39" s="1"/>
  <c r="N298" i="39"/>
  <c r="N26" i="39" s="1"/>
  <c r="M298" i="39"/>
  <c r="M26" i="39" s="1"/>
  <c r="L298" i="39"/>
  <c r="L26" i="39" s="1"/>
  <c r="K298" i="39"/>
  <c r="K26" i="39" s="1"/>
  <c r="J298" i="39"/>
  <c r="J26" i="39" s="1"/>
  <c r="I298" i="39"/>
  <c r="I26" i="39" s="1"/>
  <c r="H298" i="39"/>
  <c r="H26" i="39" s="1"/>
  <c r="G298" i="39"/>
  <c r="G26" i="39" s="1"/>
  <c r="F298" i="39"/>
  <c r="F26" i="39" s="1"/>
  <c r="E298" i="39"/>
  <c r="E26" i="39" s="1"/>
  <c r="D298" i="39"/>
  <c r="D26" i="39" s="1"/>
  <c r="O283" i="39"/>
  <c r="N283" i="39"/>
  <c r="M283" i="39"/>
  <c r="L283" i="39"/>
  <c r="K283" i="39"/>
  <c r="J283" i="39"/>
  <c r="I283" i="39"/>
  <c r="H283" i="39"/>
  <c r="G283" i="39"/>
  <c r="F283" i="39"/>
  <c r="E283" i="39"/>
  <c r="D283" i="39"/>
  <c r="O274" i="39"/>
  <c r="O10" i="39" s="1"/>
  <c r="M197" i="2" s="1"/>
  <c r="Z197" i="2" s="1"/>
  <c r="N274" i="39"/>
  <c r="M274" i="39"/>
  <c r="M10" i="39" s="1"/>
  <c r="K197" i="2" s="1"/>
  <c r="X197" i="2" s="1"/>
  <c r="L274" i="39"/>
  <c r="L10" i="39" s="1"/>
  <c r="J197" i="2" s="1"/>
  <c r="W197" i="2" s="1"/>
  <c r="K274" i="39"/>
  <c r="K10" i="39" s="1"/>
  <c r="I197" i="2" s="1"/>
  <c r="V197" i="2" s="1"/>
  <c r="J274" i="39"/>
  <c r="J10" i="39" s="1"/>
  <c r="H197" i="2" s="1"/>
  <c r="U197" i="2" s="1"/>
  <c r="I274" i="39"/>
  <c r="I10" i="39" s="1"/>
  <c r="G197" i="2" s="1"/>
  <c r="T197" i="2" s="1"/>
  <c r="H274" i="39"/>
  <c r="H10" i="39" s="1"/>
  <c r="F197" i="2" s="1"/>
  <c r="S197" i="2" s="1"/>
  <c r="G274" i="39"/>
  <c r="G10" i="39" s="1"/>
  <c r="E197" i="2" s="1"/>
  <c r="R197" i="2" s="1"/>
  <c r="F274" i="39"/>
  <c r="F10" i="39" s="1"/>
  <c r="D197" i="2" s="1"/>
  <c r="Q197" i="2" s="1"/>
  <c r="E274" i="39"/>
  <c r="E10" i="39" s="1"/>
  <c r="C197" i="2" s="1"/>
  <c r="P197" i="2" s="1"/>
  <c r="D274" i="39"/>
  <c r="D10" i="39" s="1"/>
  <c r="B197" i="2" s="1"/>
  <c r="O197" i="2" s="1"/>
  <c r="O267" i="39"/>
  <c r="O65" i="39" s="1"/>
  <c r="M371" i="3" s="1"/>
  <c r="N267" i="39"/>
  <c r="N65" i="39" s="1"/>
  <c r="L371" i="3" s="1"/>
  <c r="M267" i="39"/>
  <c r="M65" i="39" s="1"/>
  <c r="K371" i="3" s="1"/>
  <c r="L267" i="39"/>
  <c r="L65" i="39" s="1"/>
  <c r="J371" i="3" s="1"/>
  <c r="K267" i="39"/>
  <c r="K65" i="39" s="1"/>
  <c r="I371" i="3" s="1"/>
  <c r="J267" i="39"/>
  <c r="J65" i="39" s="1"/>
  <c r="H371" i="3" s="1"/>
  <c r="I267" i="39"/>
  <c r="I65" i="39" s="1"/>
  <c r="G371" i="3" s="1"/>
  <c r="H267" i="39"/>
  <c r="H65" i="39" s="1"/>
  <c r="F371" i="3" s="1"/>
  <c r="G267" i="39"/>
  <c r="G65" i="39" s="1"/>
  <c r="E371" i="3" s="1"/>
  <c r="F267" i="39"/>
  <c r="F65" i="39" s="1"/>
  <c r="D371" i="3" s="1"/>
  <c r="E267" i="39"/>
  <c r="E65" i="39" s="1"/>
  <c r="C371" i="3" s="1"/>
  <c r="D267" i="39"/>
  <c r="D65" i="39" s="1"/>
  <c r="B371" i="3" s="1"/>
  <c r="O266" i="39"/>
  <c r="O49" i="39" s="1"/>
  <c r="M221" i="3" s="1"/>
  <c r="N266" i="39"/>
  <c r="M266" i="39"/>
  <c r="M49" i="39" s="1"/>
  <c r="K221" i="3" s="1"/>
  <c r="L266" i="39"/>
  <c r="L49" i="39" s="1"/>
  <c r="J221" i="3" s="1"/>
  <c r="K266" i="39"/>
  <c r="K49" i="39" s="1"/>
  <c r="I221" i="3" s="1"/>
  <c r="J266" i="39"/>
  <c r="J49" i="39" s="1"/>
  <c r="H221" i="3" s="1"/>
  <c r="I266" i="39"/>
  <c r="I49" i="39" s="1"/>
  <c r="G221" i="3" s="1"/>
  <c r="H266" i="39"/>
  <c r="H49" i="39" s="1"/>
  <c r="F221" i="3" s="1"/>
  <c r="G266" i="39"/>
  <c r="G49" i="39" s="1"/>
  <c r="E221" i="3" s="1"/>
  <c r="F266" i="39"/>
  <c r="F49" i="39" s="1"/>
  <c r="D221" i="3" s="1"/>
  <c r="E266" i="39"/>
  <c r="E49" i="39" s="1"/>
  <c r="C221" i="3" s="1"/>
  <c r="D266" i="39"/>
  <c r="D49" i="39" s="1"/>
  <c r="B221" i="3" s="1"/>
  <c r="O244" i="39"/>
  <c r="O9" i="39" s="1"/>
  <c r="M196" i="2" s="1"/>
  <c r="Z196" i="2" s="1"/>
  <c r="N244" i="39"/>
  <c r="N9" i="39" s="1"/>
  <c r="L196" i="2" s="1"/>
  <c r="Y196" i="2" s="1"/>
  <c r="M244" i="39"/>
  <c r="M9" i="39" s="1"/>
  <c r="K196" i="2" s="1"/>
  <c r="X196" i="2" s="1"/>
  <c r="L244" i="39"/>
  <c r="L9" i="39" s="1"/>
  <c r="J196" i="2" s="1"/>
  <c r="W196" i="2" s="1"/>
  <c r="K244" i="39"/>
  <c r="K9" i="39" s="1"/>
  <c r="I196" i="2" s="1"/>
  <c r="V196" i="2" s="1"/>
  <c r="J244" i="39"/>
  <c r="J9" i="39" s="1"/>
  <c r="H196" i="2" s="1"/>
  <c r="U196" i="2" s="1"/>
  <c r="I244" i="39"/>
  <c r="I9" i="39" s="1"/>
  <c r="G196" i="2" s="1"/>
  <c r="T196" i="2" s="1"/>
  <c r="H244" i="39"/>
  <c r="H9" i="39" s="1"/>
  <c r="F196" i="2" s="1"/>
  <c r="S196" i="2" s="1"/>
  <c r="G244" i="39"/>
  <c r="G9" i="39" s="1"/>
  <c r="E196" i="2" s="1"/>
  <c r="R196" i="2" s="1"/>
  <c r="F244" i="39"/>
  <c r="F9" i="39" s="1"/>
  <c r="D196" i="2" s="1"/>
  <c r="Q196" i="2" s="1"/>
  <c r="E244" i="39"/>
  <c r="E9" i="39" s="1"/>
  <c r="C196" i="2" s="1"/>
  <c r="P196" i="2" s="1"/>
  <c r="D244" i="39"/>
  <c r="D9" i="39" s="1"/>
  <c r="B196" i="2" s="1"/>
  <c r="O196" i="2" s="1"/>
  <c r="O237" i="39"/>
  <c r="O63" i="39" s="1"/>
  <c r="M345" i="3" s="1"/>
  <c r="N237" i="39"/>
  <c r="N63" i="39" s="1"/>
  <c r="L345" i="3" s="1"/>
  <c r="M237" i="39"/>
  <c r="M63" i="39" s="1"/>
  <c r="K345" i="3" s="1"/>
  <c r="L237" i="39"/>
  <c r="L63" i="39" s="1"/>
  <c r="J345" i="3" s="1"/>
  <c r="K237" i="39"/>
  <c r="K63" i="39" s="1"/>
  <c r="I345" i="3" s="1"/>
  <c r="J237" i="39"/>
  <c r="J63" i="39" s="1"/>
  <c r="H345" i="3" s="1"/>
  <c r="I237" i="39"/>
  <c r="I63" i="39" s="1"/>
  <c r="G345" i="3" s="1"/>
  <c r="H237" i="39"/>
  <c r="H63" i="39" s="1"/>
  <c r="F345" i="3" s="1"/>
  <c r="G237" i="39"/>
  <c r="G63" i="39" s="1"/>
  <c r="E345" i="3" s="1"/>
  <c r="F237" i="39"/>
  <c r="F63" i="39" s="1"/>
  <c r="D345" i="3" s="1"/>
  <c r="E237" i="39"/>
  <c r="E63" i="39" s="1"/>
  <c r="C345" i="3" s="1"/>
  <c r="D237" i="39"/>
  <c r="D63" i="39" s="1"/>
  <c r="B345" i="3" s="1"/>
  <c r="O236" i="39"/>
  <c r="O61" i="39" s="1"/>
  <c r="M344" i="3" s="1"/>
  <c r="N236" i="39"/>
  <c r="N61" i="39" s="1"/>
  <c r="L344" i="3" s="1"/>
  <c r="M236" i="39"/>
  <c r="M61" i="39" s="1"/>
  <c r="K344" i="3" s="1"/>
  <c r="L236" i="39"/>
  <c r="L61" i="39" s="1"/>
  <c r="J344" i="3" s="1"/>
  <c r="K236" i="39"/>
  <c r="K61" i="39" s="1"/>
  <c r="I344" i="3" s="1"/>
  <c r="J236" i="39"/>
  <c r="J61" i="39" s="1"/>
  <c r="H344" i="3" s="1"/>
  <c r="I236" i="39"/>
  <c r="I61" i="39" s="1"/>
  <c r="G344" i="3" s="1"/>
  <c r="H236" i="39"/>
  <c r="H61" i="39" s="1"/>
  <c r="F344" i="3" s="1"/>
  <c r="G236" i="39"/>
  <c r="G61" i="39" s="1"/>
  <c r="E344" i="3" s="1"/>
  <c r="F236" i="39"/>
  <c r="F61" i="39" s="1"/>
  <c r="D344" i="3" s="1"/>
  <c r="E236" i="39"/>
  <c r="E61" i="39" s="1"/>
  <c r="C344" i="3" s="1"/>
  <c r="D236" i="39"/>
  <c r="D61" i="39" s="1"/>
  <c r="B344" i="3" s="1"/>
  <c r="O235" i="39"/>
  <c r="O21" i="39" s="1"/>
  <c r="N235" i="39"/>
  <c r="N21" i="39" s="1"/>
  <c r="N23" i="39" s="1"/>
  <c r="L11" i="3" s="1"/>
  <c r="M235" i="39"/>
  <c r="M21" i="39" s="1"/>
  <c r="M23" i="39" s="1"/>
  <c r="K11" i="3" s="1"/>
  <c r="L235" i="39"/>
  <c r="L21" i="39" s="1"/>
  <c r="K235" i="39"/>
  <c r="K21" i="39" s="1"/>
  <c r="J235" i="39"/>
  <c r="J21" i="39" s="1"/>
  <c r="J23" i="39" s="1"/>
  <c r="H11" i="3" s="1"/>
  <c r="I235" i="39"/>
  <c r="I21" i="39" s="1"/>
  <c r="I23" i="39" s="1"/>
  <c r="G11" i="3" s="1"/>
  <c r="H235" i="39"/>
  <c r="H21" i="39" s="1"/>
  <c r="G235" i="39"/>
  <c r="G21" i="39" s="1"/>
  <c r="F235" i="39"/>
  <c r="F21" i="39" s="1"/>
  <c r="E235" i="39"/>
  <c r="E21" i="39" s="1"/>
  <c r="E23" i="39" s="1"/>
  <c r="C11" i="3" s="1"/>
  <c r="D235" i="39"/>
  <c r="D21" i="39" s="1"/>
  <c r="O213" i="39"/>
  <c r="O8" i="39" s="1"/>
  <c r="M195" i="2" s="1"/>
  <c r="Z195" i="2" s="1"/>
  <c r="N213" i="39"/>
  <c r="N8" i="39" s="1"/>
  <c r="L195" i="2" s="1"/>
  <c r="Y195" i="2" s="1"/>
  <c r="M213" i="39"/>
  <c r="M8" i="39" s="1"/>
  <c r="K195" i="2" s="1"/>
  <c r="X195" i="2" s="1"/>
  <c r="L213" i="39"/>
  <c r="L8" i="39" s="1"/>
  <c r="J195" i="2" s="1"/>
  <c r="W195" i="2" s="1"/>
  <c r="K213" i="39"/>
  <c r="K8" i="39" s="1"/>
  <c r="I195" i="2" s="1"/>
  <c r="V195" i="2" s="1"/>
  <c r="J213" i="39"/>
  <c r="J8" i="39" s="1"/>
  <c r="H195" i="2" s="1"/>
  <c r="U195" i="2" s="1"/>
  <c r="I213" i="39"/>
  <c r="I8" i="39" s="1"/>
  <c r="G195" i="2" s="1"/>
  <c r="T195" i="2" s="1"/>
  <c r="H213" i="39"/>
  <c r="H8" i="39" s="1"/>
  <c r="F195" i="2" s="1"/>
  <c r="S195" i="2" s="1"/>
  <c r="G213" i="39"/>
  <c r="G8" i="39" s="1"/>
  <c r="E195" i="2" s="1"/>
  <c r="R195" i="2" s="1"/>
  <c r="F213" i="39"/>
  <c r="F8" i="39" s="1"/>
  <c r="D195" i="2" s="1"/>
  <c r="Q195" i="2" s="1"/>
  <c r="E213" i="39"/>
  <c r="E8" i="39" s="1"/>
  <c r="C195" i="2" s="1"/>
  <c r="P195" i="2" s="1"/>
  <c r="D213" i="39"/>
  <c r="D8" i="39" s="1"/>
  <c r="B195" i="2" s="1"/>
  <c r="O195" i="2" s="1"/>
  <c r="O206" i="39"/>
  <c r="O79" i="39" s="1"/>
  <c r="N206" i="39"/>
  <c r="N79" i="39" s="1"/>
  <c r="M206" i="39"/>
  <c r="M79" i="39" s="1"/>
  <c r="M81" i="39" s="1"/>
  <c r="K533" i="3" s="1"/>
  <c r="L206" i="39"/>
  <c r="L79" i="39" s="1"/>
  <c r="K206" i="39"/>
  <c r="K79" i="39" s="1"/>
  <c r="J206" i="39"/>
  <c r="J79" i="39" s="1"/>
  <c r="J81" i="39" s="1"/>
  <c r="H533" i="3" s="1"/>
  <c r="I206" i="39"/>
  <c r="I79" i="39" s="1"/>
  <c r="I81" i="39" s="1"/>
  <c r="G533" i="3" s="1"/>
  <c r="H206" i="39"/>
  <c r="H79" i="39" s="1"/>
  <c r="G206" i="39"/>
  <c r="G79" i="39" s="1"/>
  <c r="F206" i="39"/>
  <c r="F79" i="39" s="1"/>
  <c r="E206" i="39"/>
  <c r="E79" i="39" s="1"/>
  <c r="E81" i="39" s="1"/>
  <c r="C533" i="3" s="1"/>
  <c r="D206" i="39"/>
  <c r="D79" i="39" s="1"/>
  <c r="O205" i="39"/>
  <c r="O59" i="39" s="1"/>
  <c r="M283" i="3" s="1"/>
  <c r="N205" i="39"/>
  <c r="N59" i="39" s="1"/>
  <c r="L283" i="3" s="1"/>
  <c r="M205" i="39"/>
  <c r="M59" i="39" s="1"/>
  <c r="K283" i="3" s="1"/>
  <c r="L205" i="39"/>
  <c r="L59" i="39" s="1"/>
  <c r="J283" i="3" s="1"/>
  <c r="K205" i="39"/>
  <c r="K59" i="39" s="1"/>
  <c r="I283" i="3" s="1"/>
  <c r="J205" i="39"/>
  <c r="J59" i="39" s="1"/>
  <c r="H283" i="3" s="1"/>
  <c r="I205" i="39"/>
  <c r="I59" i="39" s="1"/>
  <c r="G283" i="3" s="1"/>
  <c r="H205" i="39"/>
  <c r="H59" i="39" s="1"/>
  <c r="F283" i="3" s="1"/>
  <c r="G205" i="39"/>
  <c r="G59" i="39" s="1"/>
  <c r="E283" i="3" s="1"/>
  <c r="F205" i="39"/>
  <c r="F59" i="39" s="1"/>
  <c r="D283" i="3" s="1"/>
  <c r="E205" i="39"/>
  <c r="E59" i="39" s="1"/>
  <c r="C283" i="3" s="1"/>
  <c r="D205" i="39"/>
  <c r="D59" i="39" s="1"/>
  <c r="B283" i="3" s="1"/>
  <c r="O204" i="39"/>
  <c r="O57" i="39" s="1"/>
  <c r="M282" i="3" s="1"/>
  <c r="N204" i="39"/>
  <c r="N57" i="39" s="1"/>
  <c r="L282" i="3" s="1"/>
  <c r="M204" i="39"/>
  <c r="M57" i="39" s="1"/>
  <c r="K282" i="3" s="1"/>
  <c r="L204" i="39"/>
  <c r="L57" i="39" s="1"/>
  <c r="J282" i="3" s="1"/>
  <c r="K204" i="39"/>
  <c r="K57" i="39" s="1"/>
  <c r="I282" i="3" s="1"/>
  <c r="J204" i="39"/>
  <c r="J57" i="39" s="1"/>
  <c r="H282" i="3" s="1"/>
  <c r="I204" i="39"/>
  <c r="I57" i="39" s="1"/>
  <c r="G282" i="3" s="1"/>
  <c r="H204" i="39"/>
  <c r="H57" i="39" s="1"/>
  <c r="F282" i="3" s="1"/>
  <c r="G204" i="39"/>
  <c r="G57" i="39" s="1"/>
  <c r="E282" i="3" s="1"/>
  <c r="F204" i="39"/>
  <c r="F57" i="39" s="1"/>
  <c r="D282" i="3" s="1"/>
  <c r="E204" i="39"/>
  <c r="E57" i="39" s="1"/>
  <c r="C282" i="3" s="1"/>
  <c r="D204" i="39"/>
  <c r="D57" i="39" s="1"/>
  <c r="B282" i="3" s="1"/>
  <c r="O203" i="39"/>
  <c r="O55" i="39" s="1"/>
  <c r="M281" i="3" s="1"/>
  <c r="N203" i="39"/>
  <c r="N55" i="39" s="1"/>
  <c r="L281" i="3" s="1"/>
  <c r="M203" i="39"/>
  <c r="M55" i="39" s="1"/>
  <c r="K281" i="3" s="1"/>
  <c r="L203" i="39"/>
  <c r="L55" i="39" s="1"/>
  <c r="J281" i="3" s="1"/>
  <c r="K203" i="39"/>
  <c r="K55" i="39" s="1"/>
  <c r="I281" i="3" s="1"/>
  <c r="J203" i="39"/>
  <c r="J55" i="39" s="1"/>
  <c r="H281" i="3" s="1"/>
  <c r="I203" i="39"/>
  <c r="I55" i="39" s="1"/>
  <c r="G281" i="3" s="1"/>
  <c r="H203" i="39"/>
  <c r="H55" i="39" s="1"/>
  <c r="F281" i="3" s="1"/>
  <c r="G203" i="39"/>
  <c r="G55" i="39" s="1"/>
  <c r="E281" i="3" s="1"/>
  <c r="F203" i="39"/>
  <c r="F55" i="39" s="1"/>
  <c r="D281" i="3" s="1"/>
  <c r="E203" i="39"/>
  <c r="E55" i="39" s="1"/>
  <c r="C281" i="3" s="1"/>
  <c r="D203" i="39"/>
  <c r="D55" i="39" s="1"/>
  <c r="B281" i="3" s="1"/>
  <c r="O202" i="39"/>
  <c r="O25" i="39" s="1"/>
  <c r="N202" i="39"/>
  <c r="N25" i="39" s="1"/>
  <c r="N27" i="39" s="1"/>
  <c r="L45" i="3" s="1"/>
  <c r="M202" i="39"/>
  <c r="M25" i="39" s="1"/>
  <c r="M27" i="39" s="1"/>
  <c r="K45" i="3" s="1"/>
  <c r="L202" i="39"/>
  <c r="L25" i="39" s="1"/>
  <c r="K202" i="39"/>
  <c r="K25" i="39" s="1"/>
  <c r="J202" i="39"/>
  <c r="J25" i="39" s="1"/>
  <c r="J27" i="39" s="1"/>
  <c r="H45" i="3" s="1"/>
  <c r="I202" i="39"/>
  <c r="I25" i="39" s="1"/>
  <c r="I27" i="39" s="1"/>
  <c r="G45" i="3" s="1"/>
  <c r="H202" i="39"/>
  <c r="H25" i="39" s="1"/>
  <c r="G202" i="39"/>
  <c r="G25" i="39" s="1"/>
  <c r="F202" i="39"/>
  <c r="F25" i="39" s="1"/>
  <c r="F27" i="39" s="1"/>
  <c r="D45" i="3" s="1"/>
  <c r="E202" i="39"/>
  <c r="E25" i="39" s="1"/>
  <c r="E27" i="39" s="1"/>
  <c r="C45" i="3" s="1"/>
  <c r="D202" i="39"/>
  <c r="D25" i="39" s="1"/>
  <c r="O198" i="39"/>
  <c r="N198" i="39"/>
  <c r="M198" i="39"/>
  <c r="L198" i="39"/>
  <c r="K198" i="39"/>
  <c r="J198" i="39"/>
  <c r="I198" i="39"/>
  <c r="H198" i="39"/>
  <c r="G198" i="39"/>
  <c r="F198" i="39"/>
  <c r="E198" i="39"/>
  <c r="D198" i="39"/>
  <c r="O190" i="39"/>
  <c r="N190" i="39"/>
  <c r="M190" i="39"/>
  <c r="L190" i="39"/>
  <c r="K190" i="39"/>
  <c r="J190" i="39"/>
  <c r="I190" i="39"/>
  <c r="H190" i="39"/>
  <c r="G190" i="39"/>
  <c r="F190" i="39"/>
  <c r="E190" i="39"/>
  <c r="D190" i="39"/>
  <c r="O187" i="39"/>
  <c r="N187" i="39"/>
  <c r="M187" i="39"/>
  <c r="L187" i="39"/>
  <c r="K187" i="39"/>
  <c r="J187" i="39"/>
  <c r="I187" i="39"/>
  <c r="H187" i="39"/>
  <c r="G187" i="39"/>
  <c r="F187" i="39"/>
  <c r="E187" i="39"/>
  <c r="D187" i="39"/>
  <c r="O177" i="39"/>
  <c r="N177" i="39"/>
  <c r="M177" i="39"/>
  <c r="L177" i="39"/>
  <c r="K177" i="39"/>
  <c r="J177" i="39"/>
  <c r="I177" i="39"/>
  <c r="H177" i="39"/>
  <c r="G177" i="39"/>
  <c r="F177" i="39"/>
  <c r="E177" i="39"/>
  <c r="D177" i="39"/>
  <c r="O172" i="39"/>
  <c r="N172" i="39"/>
  <c r="M172" i="39"/>
  <c r="L172" i="39"/>
  <c r="K172" i="39"/>
  <c r="J172" i="39"/>
  <c r="I172" i="39"/>
  <c r="H172" i="39"/>
  <c r="G172" i="39"/>
  <c r="F172" i="39"/>
  <c r="E172" i="39"/>
  <c r="D172" i="39"/>
  <c r="O167" i="39"/>
  <c r="N167" i="39"/>
  <c r="M167" i="39"/>
  <c r="L167" i="39"/>
  <c r="K167" i="39"/>
  <c r="J167" i="39"/>
  <c r="I167" i="39"/>
  <c r="H167" i="39"/>
  <c r="G167" i="39"/>
  <c r="F167" i="39"/>
  <c r="E167" i="39"/>
  <c r="D167" i="39"/>
  <c r="O164" i="39"/>
  <c r="N164" i="39"/>
  <c r="M164" i="39"/>
  <c r="L164" i="39"/>
  <c r="K164" i="39"/>
  <c r="J164" i="39"/>
  <c r="I164" i="39"/>
  <c r="H164" i="39"/>
  <c r="G164" i="39"/>
  <c r="F164" i="39"/>
  <c r="E164" i="39"/>
  <c r="D164" i="39"/>
  <c r="O160" i="39"/>
  <c r="N160" i="39"/>
  <c r="M160" i="39"/>
  <c r="L160" i="39"/>
  <c r="K160" i="39"/>
  <c r="J160" i="39"/>
  <c r="I160" i="39"/>
  <c r="H160" i="39"/>
  <c r="G160" i="39"/>
  <c r="F160" i="39"/>
  <c r="E160" i="39"/>
  <c r="D160" i="39"/>
  <c r="O157" i="39"/>
  <c r="N157" i="39"/>
  <c r="M157" i="39"/>
  <c r="L157" i="39"/>
  <c r="K157" i="39"/>
  <c r="J157" i="39"/>
  <c r="I157" i="39"/>
  <c r="H157" i="39"/>
  <c r="G157" i="39"/>
  <c r="F157" i="39"/>
  <c r="E157" i="39"/>
  <c r="D157" i="39"/>
  <c r="O150" i="39"/>
  <c r="O7" i="39" s="1"/>
  <c r="M194" i="2" s="1"/>
  <c r="Z194" i="2" s="1"/>
  <c r="N150" i="39"/>
  <c r="N7" i="39" s="1"/>
  <c r="L194" i="2" s="1"/>
  <c r="Y194" i="2" s="1"/>
  <c r="M150" i="39"/>
  <c r="M7" i="39" s="1"/>
  <c r="K194" i="2" s="1"/>
  <c r="X194" i="2" s="1"/>
  <c r="L150" i="39"/>
  <c r="L7" i="39" s="1"/>
  <c r="J194" i="2" s="1"/>
  <c r="W194" i="2" s="1"/>
  <c r="K150" i="39"/>
  <c r="K7" i="39" s="1"/>
  <c r="I194" i="2" s="1"/>
  <c r="V194" i="2" s="1"/>
  <c r="J150" i="39"/>
  <c r="J7" i="39" s="1"/>
  <c r="H194" i="2" s="1"/>
  <c r="U194" i="2" s="1"/>
  <c r="I150" i="39"/>
  <c r="I7" i="39" s="1"/>
  <c r="G194" i="2" s="1"/>
  <c r="T194" i="2" s="1"/>
  <c r="H150" i="39"/>
  <c r="H7" i="39" s="1"/>
  <c r="F194" i="2" s="1"/>
  <c r="S194" i="2" s="1"/>
  <c r="G150" i="39"/>
  <c r="G7" i="39" s="1"/>
  <c r="E194" i="2" s="1"/>
  <c r="R194" i="2" s="1"/>
  <c r="F150" i="39"/>
  <c r="F7" i="39" s="1"/>
  <c r="D194" i="2" s="1"/>
  <c r="Q194" i="2" s="1"/>
  <c r="E150" i="39"/>
  <c r="E7" i="39" s="1"/>
  <c r="C194" i="2" s="1"/>
  <c r="P194" i="2" s="1"/>
  <c r="D150" i="39"/>
  <c r="D7" i="39" s="1"/>
  <c r="B194" i="2" s="1"/>
  <c r="O194" i="2" s="1"/>
  <c r="O143" i="39"/>
  <c r="O39" i="39" s="1"/>
  <c r="M86" i="3" s="1"/>
  <c r="N143" i="39"/>
  <c r="N39" i="39" s="1"/>
  <c r="L86" i="3" s="1"/>
  <c r="M143" i="39"/>
  <c r="M39" i="39" s="1"/>
  <c r="K86" i="3" s="1"/>
  <c r="L143" i="39"/>
  <c r="L39" i="39" s="1"/>
  <c r="J86" i="3" s="1"/>
  <c r="K143" i="39"/>
  <c r="K39" i="39" s="1"/>
  <c r="I86" i="3" s="1"/>
  <c r="J143" i="39"/>
  <c r="J39" i="39" s="1"/>
  <c r="H86" i="3" s="1"/>
  <c r="I143" i="39"/>
  <c r="I39" i="39" s="1"/>
  <c r="G86" i="3" s="1"/>
  <c r="H143" i="39"/>
  <c r="H39" i="39" s="1"/>
  <c r="F86" i="3" s="1"/>
  <c r="G143" i="39"/>
  <c r="G39" i="39" s="1"/>
  <c r="E86" i="3" s="1"/>
  <c r="F143" i="39"/>
  <c r="F39" i="39" s="1"/>
  <c r="D86" i="3" s="1"/>
  <c r="E143" i="39"/>
  <c r="E39" i="39" s="1"/>
  <c r="C86" i="3" s="1"/>
  <c r="D143" i="39"/>
  <c r="D39" i="39" s="1"/>
  <c r="B86" i="3" s="1"/>
  <c r="O142" i="39"/>
  <c r="O37" i="39" s="1"/>
  <c r="M85" i="3" s="1"/>
  <c r="N142" i="39"/>
  <c r="N37" i="39" s="1"/>
  <c r="L85" i="3" s="1"/>
  <c r="M142" i="39"/>
  <c r="M37" i="39" s="1"/>
  <c r="K85" i="3" s="1"/>
  <c r="L142" i="39"/>
  <c r="L37" i="39" s="1"/>
  <c r="J85" i="3" s="1"/>
  <c r="K142" i="39"/>
  <c r="K37" i="39" s="1"/>
  <c r="I85" i="3" s="1"/>
  <c r="J142" i="39"/>
  <c r="J37" i="39" s="1"/>
  <c r="H85" i="3" s="1"/>
  <c r="I142" i="39"/>
  <c r="I37" i="39" s="1"/>
  <c r="G85" i="3" s="1"/>
  <c r="H142" i="39"/>
  <c r="H37" i="39" s="1"/>
  <c r="F85" i="3" s="1"/>
  <c r="G142" i="39"/>
  <c r="G37" i="39" s="1"/>
  <c r="E85" i="3" s="1"/>
  <c r="F142" i="39"/>
  <c r="F37" i="39" s="1"/>
  <c r="D85" i="3" s="1"/>
  <c r="E142" i="39"/>
  <c r="E37" i="39" s="1"/>
  <c r="C85" i="3" s="1"/>
  <c r="D142" i="39"/>
  <c r="D37" i="39" s="1"/>
  <c r="B85" i="3" s="1"/>
  <c r="O123" i="39"/>
  <c r="O6" i="39" s="1"/>
  <c r="N123" i="39"/>
  <c r="N6" i="39" s="1"/>
  <c r="L193" i="2" s="1"/>
  <c r="Y193" i="2" s="1"/>
  <c r="M123" i="39"/>
  <c r="M6" i="39" s="1"/>
  <c r="K193" i="2" s="1"/>
  <c r="X193" i="2" s="1"/>
  <c r="L123" i="39"/>
  <c r="L6" i="39" s="1"/>
  <c r="J193" i="2" s="1"/>
  <c r="W193" i="2" s="1"/>
  <c r="K123" i="39"/>
  <c r="K6" i="39" s="1"/>
  <c r="I193" i="2" s="1"/>
  <c r="V193" i="2" s="1"/>
  <c r="J123" i="39"/>
  <c r="J6" i="39" s="1"/>
  <c r="H193" i="2" s="1"/>
  <c r="U193" i="2" s="1"/>
  <c r="I123" i="39"/>
  <c r="I6" i="39" s="1"/>
  <c r="G193" i="2" s="1"/>
  <c r="T193" i="2" s="1"/>
  <c r="H123" i="39"/>
  <c r="H6" i="39" s="1"/>
  <c r="F193" i="2" s="1"/>
  <c r="G123" i="39"/>
  <c r="G6" i="39" s="1"/>
  <c r="E193" i="2" s="1"/>
  <c r="R193" i="2" s="1"/>
  <c r="F123" i="39"/>
  <c r="F6" i="39" s="1"/>
  <c r="D193" i="2" s="1"/>
  <c r="Q193" i="2" s="1"/>
  <c r="E123" i="39"/>
  <c r="E6" i="39" s="1"/>
  <c r="C193" i="2" s="1"/>
  <c r="P193" i="2" s="1"/>
  <c r="D123" i="39"/>
  <c r="D6" i="39" s="1"/>
  <c r="B193" i="2" s="1"/>
  <c r="O193" i="2" s="1"/>
  <c r="O116" i="39"/>
  <c r="O33" i="39" s="1"/>
  <c r="N116" i="39"/>
  <c r="N33" i="39" s="1"/>
  <c r="M116" i="39"/>
  <c r="M33" i="39" s="1"/>
  <c r="M35" i="39" s="1"/>
  <c r="K54" i="3" s="1"/>
  <c r="L116" i="39"/>
  <c r="L33" i="39" s="1"/>
  <c r="K116" i="39"/>
  <c r="K33" i="39" s="1"/>
  <c r="J116" i="39"/>
  <c r="J33" i="39" s="1"/>
  <c r="J35" i="39" s="1"/>
  <c r="H54" i="3" s="1"/>
  <c r="I116" i="39"/>
  <c r="I33" i="39" s="1"/>
  <c r="I35" i="39" s="1"/>
  <c r="G54" i="3" s="1"/>
  <c r="H116" i="39"/>
  <c r="H33" i="39" s="1"/>
  <c r="G116" i="39"/>
  <c r="G33" i="39" s="1"/>
  <c r="F116" i="39"/>
  <c r="F33" i="39" s="1"/>
  <c r="F35" i="39" s="1"/>
  <c r="D54" i="3" s="1"/>
  <c r="E116" i="39"/>
  <c r="E33" i="39" s="1"/>
  <c r="E35" i="39" s="1"/>
  <c r="C54" i="3" s="1"/>
  <c r="D116" i="39"/>
  <c r="D33" i="39" s="1"/>
  <c r="O115" i="39"/>
  <c r="O31" i="39" s="1"/>
  <c r="M53" i="3" s="1"/>
  <c r="N115" i="39"/>
  <c r="N31" i="39" s="1"/>
  <c r="L53" i="3" s="1"/>
  <c r="M115" i="39"/>
  <c r="M31" i="39" s="1"/>
  <c r="K53" i="3" s="1"/>
  <c r="L115" i="39"/>
  <c r="L31" i="39" s="1"/>
  <c r="J53" i="3" s="1"/>
  <c r="K115" i="39"/>
  <c r="K31" i="39" s="1"/>
  <c r="I53" i="3" s="1"/>
  <c r="J115" i="39"/>
  <c r="J31" i="39" s="1"/>
  <c r="H53" i="3" s="1"/>
  <c r="I115" i="39"/>
  <c r="I31" i="39" s="1"/>
  <c r="G53" i="3" s="1"/>
  <c r="H115" i="39"/>
  <c r="H31" i="39" s="1"/>
  <c r="F53" i="3" s="1"/>
  <c r="G115" i="39"/>
  <c r="G31" i="39" s="1"/>
  <c r="E53" i="3" s="1"/>
  <c r="F115" i="39"/>
  <c r="F31" i="39" s="1"/>
  <c r="D53" i="3" s="1"/>
  <c r="E115" i="39"/>
  <c r="E31" i="39" s="1"/>
  <c r="C53" i="3" s="1"/>
  <c r="D115" i="39"/>
  <c r="D31" i="39" s="1"/>
  <c r="B53" i="3" s="1"/>
  <c r="O114" i="39"/>
  <c r="O29" i="39" s="1"/>
  <c r="M52" i="3" s="1"/>
  <c r="N114" i="39"/>
  <c r="N29" i="39" s="1"/>
  <c r="L52" i="3" s="1"/>
  <c r="M114" i="39"/>
  <c r="M29" i="39" s="1"/>
  <c r="K52" i="3" s="1"/>
  <c r="L114" i="39"/>
  <c r="L29" i="39" s="1"/>
  <c r="J52" i="3" s="1"/>
  <c r="K114" i="39"/>
  <c r="K29" i="39" s="1"/>
  <c r="I52" i="3" s="1"/>
  <c r="J114" i="39"/>
  <c r="J29" i="39" s="1"/>
  <c r="I114" i="39"/>
  <c r="I29" i="39" s="1"/>
  <c r="G52" i="3" s="1"/>
  <c r="H114" i="39"/>
  <c r="H29" i="39" s="1"/>
  <c r="F52" i="3" s="1"/>
  <c r="G114" i="39"/>
  <c r="G29" i="39" s="1"/>
  <c r="E52" i="3" s="1"/>
  <c r="F114" i="39"/>
  <c r="F29" i="39" s="1"/>
  <c r="D52" i="3" s="1"/>
  <c r="E114" i="39"/>
  <c r="E29" i="39" s="1"/>
  <c r="C52" i="3" s="1"/>
  <c r="D114" i="39"/>
  <c r="D29" i="39" s="1"/>
  <c r="B52" i="3" s="1"/>
  <c r="O92" i="39"/>
  <c r="O5" i="39" s="1"/>
  <c r="M192" i="2" s="1"/>
  <c r="N92" i="39"/>
  <c r="N5" i="39" s="1"/>
  <c r="L192" i="2" s="1"/>
  <c r="Y192" i="2" s="1"/>
  <c r="M92" i="39"/>
  <c r="M5" i="39" s="1"/>
  <c r="M3" i="39" s="1"/>
  <c r="L92" i="39"/>
  <c r="L5" i="39" s="1"/>
  <c r="J192" i="2" s="1"/>
  <c r="W192" i="2" s="1"/>
  <c r="K92" i="39"/>
  <c r="K5" i="39" s="1"/>
  <c r="I192" i="2" s="1"/>
  <c r="J92" i="39"/>
  <c r="J5" i="39" s="1"/>
  <c r="I92" i="39"/>
  <c r="I5" i="39" s="1"/>
  <c r="I3" i="39" s="1"/>
  <c r="H92" i="39"/>
  <c r="H5" i="39" s="1"/>
  <c r="G92" i="39"/>
  <c r="G5" i="39" s="1"/>
  <c r="F92" i="39"/>
  <c r="F5" i="39" s="1"/>
  <c r="E92" i="39"/>
  <c r="E5" i="39" s="1"/>
  <c r="E3" i="39" s="1"/>
  <c r="D92" i="39"/>
  <c r="D5" i="39" s="1"/>
  <c r="B192" i="2" s="1"/>
  <c r="O192" i="2" s="1"/>
  <c r="O80" i="39"/>
  <c r="N80" i="39"/>
  <c r="H73" i="39"/>
  <c r="F453" i="3" s="1"/>
  <c r="J71" i="39"/>
  <c r="H443" i="3" s="1"/>
  <c r="N49" i="39"/>
  <c r="L221" i="3" s="1"/>
  <c r="N19" i="39"/>
  <c r="L6" i="3" s="1"/>
  <c r="N10" i="39"/>
  <c r="L197" i="2" s="1"/>
  <c r="Y197" i="2" s="1"/>
  <c r="O236" i="28"/>
  <c r="O26" i="28" s="1"/>
  <c r="N236" i="28"/>
  <c r="N26" i="28" s="1"/>
  <c r="M236" i="28"/>
  <c r="M26" i="28" s="1"/>
  <c r="L236" i="28"/>
  <c r="L26" i="28" s="1"/>
  <c r="K236" i="28"/>
  <c r="J236" i="28"/>
  <c r="J26" i="28" s="1"/>
  <c r="I236" i="28"/>
  <c r="I26" i="28" s="1"/>
  <c r="H236" i="28"/>
  <c r="H26" i="28" s="1"/>
  <c r="G236" i="28"/>
  <c r="F236" i="28"/>
  <c r="F26" i="28" s="1"/>
  <c r="E236" i="28"/>
  <c r="E26" i="28" s="1"/>
  <c r="D236" i="28"/>
  <c r="D26" i="28" s="1"/>
  <c r="O235" i="28"/>
  <c r="O17" i="28" s="1"/>
  <c r="N235" i="28"/>
  <c r="M235" i="28"/>
  <c r="M17" i="28" s="1"/>
  <c r="L235" i="28"/>
  <c r="L17" i="28" s="1"/>
  <c r="K235" i="28"/>
  <c r="J235" i="28"/>
  <c r="I235" i="28"/>
  <c r="I17" i="28" s="1"/>
  <c r="H235" i="28"/>
  <c r="H17" i="28" s="1"/>
  <c r="G235" i="28"/>
  <c r="F235" i="28"/>
  <c r="F17" i="28" s="1"/>
  <c r="E235" i="28"/>
  <c r="E17" i="28" s="1"/>
  <c r="D235" i="28"/>
  <c r="D17" i="28" s="1"/>
  <c r="O213" i="28"/>
  <c r="O10" i="28" s="1"/>
  <c r="M352" i="2" s="1"/>
  <c r="Z352" i="2" s="1"/>
  <c r="N213" i="28"/>
  <c r="N10" i="28" s="1"/>
  <c r="L352" i="2" s="1"/>
  <c r="M213" i="28"/>
  <c r="M10" i="28" s="1"/>
  <c r="K352" i="2" s="1"/>
  <c r="X352" i="2" s="1"/>
  <c r="L213" i="28"/>
  <c r="L10" i="28" s="1"/>
  <c r="J352" i="2" s="1"/>
  <c r="W352" i="2" s="1"/>
  <c r="K213" i="28"/>
  <c r="K10" i="28" s="1"/>
  <c r="I352" i="2" s="1"/>
  <c r="V352" i="2" s="1"/>
  <c r="J213" i="28"/>
  <c r="J10" i="28" s="1"/>
  <c r="I213" i="28"/>
  <c r="I10" i="28" s="1"/>
  <c r="G352" i="2" s="1"/>
  <c r="T352" i="2" s="1"/>
  <c r="H213" i="28"/>
  <c r="H10" i="28" s="1"/>
  <c r="F352" i="2" s="1"/>
  <c r="S352" i="2" s="1"/>
  <c r="G213" i="28"/>
  <c r="F213" i="28"/>
  <c r="F10" i="28" s="1"/>
  <c r="D352" i="2" s="1"/>
  <c r="Q352" i="2" s="1"/>
  <c r="E213" i="28"/>
  <c r="E10" i="28" s="1"/>
  <c r="C352" i="2" s="1"/>
  <c r="P352" i="2" s="1"/>
  <c r="D213" i="28"/>
  <c r="D10" i="28" s="1"/>
  <c r="B352" i="2" s="1"/>
  <c r="O352" i="2" s="1"/>
  <c r="O205" i="28"/>
  <c r="N205" i="28"/>
  <c r="M205" i="28"/>
  <c r="M30" i="28" s="1"/>
  <c r="L205" i="28"/>
  <c r="L30" i="28" s="1"/>
  <c r="K205" i="28"/>
  <c r="J205" i="28"/>
  <c r="J30" i="28" s="1"/>
  <c r="I205" i="28"/>
  <c r="I30" i="28" s="1"/>
  <c r="H205" i="28"/>
  <c r="H30" i="28" s="1"/>
  <c r="G205" i="28"/>
  <c r="F205" i="28"/>
  <c r="F30" i="28" s="1"/>
  <c r="E205" i="28"/>
  <c r="E30" i="28" s="1"/>
  <c r="D205" i="28"/>
  <c r="D30" i="28" s="1"/>
  <c r="O204" i="28"/>
  <c r="N204" i="28"/>
  <c r="N22" i="28" s="1"/>
  <c r="L454" i="3" s="1"/>
  <c r="M204" i="28"/>
  <c r="M22" i="28" s="1"/>
  <c r="K454" i="3" s="1"/>
  <c r="L204" i="28"/>
  <c r="L22" i="28" s="1"/>
  <c r="J454" i="3" s="1"/>
  <c r="K204" i="28"/>
  <c r="K22" i="28" s="1"/>
  <c r="I454" i="3" s="1"/>
  <c r="J204" i="28"/>
  <c r="J22" i="28" s="1"/>
  <c r="H454" i="3" s="1"/>
  <c r="I204" i="28"/>
  <c r="I22" i="28" s="1"/>
  <c r="G454" i="3" s="1"/>
  <c r="H204" i="28"/>
  <c r="H22" i="28" s="1"/>
  <c r="F454" i="3" s="1"/>
  <c r="G204" i="28"/>
  <c r="F204" i="28"/>
  <c r="F22" i="28" s="1"/>
  <c r="D454" i="3" s="1"/>
  <c r="E204" i="28"/>
  <c r="E22" i="28" s="1"/>
  <c r="C454" i="3" s="1"/>
  <c r="D204" i="28"/>
  <c r="D22" i="28" s="1"/>
  <c r="B454" i="3" s="1"/>
  <c r="O202" i="28"/>
  <c r="N202" i="28"/>
  <c r="M202" i="28"/>
  <c r="L202" i="28"/>
  <c r="K202" i="28"/>
  <c r="J202" i="28"/>
  <c r="I202" i="28"/>
  <c r="H202" i="28"/>
  <c r="G202" i="28"/>
  <c r="F202" i="28"/>
  <c r="E202" i="28"/>
  <c r="D202" i="28"/>
  <c r="O185" i="28"/>
  <c r="N185" i="28"/>
  <c r="M185" i="28"/>
  <c r="L185" i="28"/>
  <c r="K185" i="28"/>
  <c r="J185" i="28"/>
  <c r="I185" i="28"/>
  <c r="H185" i="28"/>
  <c r="G185" i="28"/>
  <c r="F185" i="28"/>
  <c r="E185" i="28"/>
  <c r="D185" i="28"/>
  <c r="O171" i="28"/>
  <c r="N171" i="28"/>
  <c r="N9" i="28" s="1"/>
  <c r="M171" i="28"/>
  <c r="M9" i="28" s="1"/>
  <c r="K351" i="2" s="1"/>
  <c r="X351" i="2" s="1"/>
  <c r="L171" i="28"/>
  <c r="L9" i="28" s="1"/>
  <c r="J351" i="2" s="1"/>
  <c r="W351" i="2" s="1"/>
  <c r="K171" i="28"/>
  <c r="J171" i="28"/>
  <c r="J9" i="28" s="1"/>
  <c r="I171" i="28"/>
  <c r="I9" i="28" s="1"/>
  <c r="G351" i="2" s="1"/>
  <c r="T351" i="2" s="1"/>
  <c r="H171" i="28"/>
  <c r="H9" i="28" s="1"/>
  <c r="F351" i="2" s="1"/>
  <c r="S351" i="2" s="1"/>
  <c r="G171" i="28"/>
  <c r="G9" i="28" s="1"/>
  <c r="E351" i="2" s="1"/>
  <c r="R351" i="2" s="1"/>
  <c r="F171" i="28"/>
  <c r="F9" i="28" s="1"/>
  <c r="D351" i="2" s="1"/>
  <c r="Q351" i="2" s="1"/>
  <c r="E171" i="28"/>
  <c r="E9" i="28" s="1"/>
  <c r="C351" i="2" s="1"/>
  <c r="P351" i="2" s="1"/>
  <c r="D171" i="28"/>
  <c r="D9" i="28" s="1"/>
  <c r="B351" i="2" s="1"/>
  <c r="O351" i="2" s="1"/>
  <c r="O164" i="28"/>
  <c r="O25" i="28" s="1"/>
  <c r="N164" i="28"/>
  <c r="N25" i="28" s="1"/>
  <c r="M164" i="28"/>
  <c r="M25" i="28" s="1"/>
  <c r="L164" i="28"/>
  <c r="L25" i="28" s="1"/>
  <c r="K164" i="28"/>
  <c r="J164" i="28"/>
  <c r="J25" i="28" s="1"/>
  <c r="I164" i="28"/>
  <c r="I25" i="28" s="1"/>
  <c r="H164" i="28"/>
  <c r="H25" i="28" s="1"/>
  <c r="G164" i="28"/>
  <c r="F164" i="28"/>
  <c r="F25" i="28" s="1"/>
  <c r="E164" i="28"/>
  <c r="E25" i="28" s="1"/>
  <c r="D164" i="28"/>
  <c r="D25" i="28" s="1"/>
  <c r="O163" i="28"/>
  <c r="N163" i="28"/>
  <c r="N20" i="28" s="1"/>
  <c r="L186" i="3" s="1"/>
  <c r="M163" i="28"/>
  <c r="M20" i="28" s="1"/>
  <c r="K186" i="3" s="1"/>
  <c r="L163" i="28"/>
  <c r="L20" i="28" s="1"/>
  <c r="J186" i="3" s="1"/>
  <c r="K163" i="28"/>
  <c r="J163" i="28"/>
  <c r="J20" i="28" s="1"/>
  <c r="H186" i="3" s="1"/>
  <c r="I163" i="28"/>
  <c r="I20" i="28" s="1"/>
  <c r="G186" i="3" s="1"/>
  <c r="H163" i="28"/>
  <c r="H20" i="28" s="1"/>
  <c r="F186" i="3" s="1"/>
  <c r="G163" i="28"/>
  <c r="G20" i="28" s="1"/>
  <c r="E186" i="3" s="1"/>
  <c r="F163" i="28"/>
  <c r="F20" i="28" s="1"/>
  <c r="D186" i="3" s="1"/>
  <c r="E163" i="28"/>
  <c r="E20" i="28" s="1"/>
  <c r="C186" i="3" s="1"/>
  <c r="D163" i="28"/>
  <c r="D20" i="28" s="1"/>
  <c r="B186" i="3" s="1"/>
  <c r="O143" i="28"/>
  <c r="N143" i="28"/>
  <c r="N8" i="28" s="1"/>
  <c r="L350" i="2" s="1"/>
  <c r="Y350" i="2" s="1"/>
  <c r="M143" i="28"/>
  <c r="M8" i="28" s="1"/>
  <c r="K350" i="2" s="1"/>
  <c r="X350" i="2" s="1"/>
  <c r="L143" i="28"/>
  <c r="L8" i="28" s="1"/>
  <c r="J350" i="2" s="1"/>
  <c r="W350" i="2" s="1"/>
  <c r="K143" i="28"/>
  <c r="J143" i="28"/>
  <c r="J8" i="28" s="1"/>
  <c r="H350" i="2" s="1"/>
  <c r="U350" i="2" s="1"/>
  <c r="I143" i="28"/>
  <c r="I8" i="28" s="1"/>
  <c r="G350" i="2" s="1"/>
  <c r="T350" i="2" s="1"/>
  <c r="H143" i="28"/>
  <c r="H8" i="28" s="1"/>
  <c r="F350" i="2" s="1"/>
  <c r="S350" i="2" s="1"/>
  <c r="G143" i="28"/>
  <c r="F143" i="28"/>
  <c r="F8" i="28" s="1"/>
  <c r="E143" i="28"/>
  <c r="E8" i="28" s="1"/>
  <c r="C350" i="2" s="1"/>
  <c r="P350" i="2" s="1"/>
  <c r="D143" i="28"/>
  <c r="D8" i="28" s="1"/>
  <c r="B350" i="2" s="1"/>
  <c r="O350" i="2" s="1"/>
  <c r="O136" i="28"/>
  <c r="N136" i="28"/>
  <c r="N16" i="28" s="1"/>
  <c r="M136" i="28"/>
  <c r="M16" i="28" s="1"/>
  <c r="M18" i="28" s="1"/>
  <c r="K179" i="3" s="1"/>
  <c r="L136" i="28"/>
  <c r="L16" i="28" s="1"/>
  <c r="K136" i="28"/>
  <c r="J136" i="28"/>
  <c r="J16" i="28" s="1"/>
  <c r="I136" i="28"/>
  <c r="I16" i="28" s="1"/>
  <c r="I18" i="28" s="1"/>
  <c r="G179" i="3" s="1"/>
  <c r="H136" i="28"/>
  <c r="H16" i="28" s="1"/>
  <c r="G136" i="28"/>
  <c r="G16" i="28" s="1"/>
  <c r="F136" i="28"/>
  <c r="F16" i="28" s="1"/>
  <c r="E136" i="28"/>
  <c r="E16" i="28" s="1"/>
  <c r="E18" i="28" s="1"/>
  <c r="C179" i="3" s="1"/>
  <c r="D136" i="28"/>
  <c r="D16" i="28" s="1"/>
  <c r="D18" i="28" s="1"/>
  <c r="B179" i="3" s="1"/>
  <c r="O113" i="28"/>
  <c r="O7" i="28" s="1"/>
  <c r="M349" i="2" s="1"/>
  <c r="Z349" i="2" s="1"/>
  <c r="N113" i="28"/>
  <c r="N7" i="28" s="1"/>
  <c r="M113" i="28"/>
  <c r="M7" i="28" s="1"/>
  <c r="K349" i="2" s="1"/>
  <c r="X349" i="2" s="1"/>
  <c r="L113" i="28"/>
  <c r="L7" i="28" s="1"/>
  <c r="J349" i="2" s="1"/>
  <c r="W349" i="2" s="1"/>
  <c r="K113" i="28"/>
  <c r="J113" i="28"/>
  <c r="J7" i="28" s="1"/>
  <c r="I113" i="28"/>
  <c r="I7" i="28" s="1"/>
  <c r="G349" i="2" s="1"/>
  <c r="T349" i="2" s="1"/>
  <c r="H113" i="28"/>
  <c r="H7" i="28" s="1"/>
  <c r="F349" i="2" s="1"/>
  <c r="S349" i="2" s="1"/>
  <c r="G113" i="28"/>
  <c r="F113" i="28"/>
  <c r="F7" i="28" s="1"/>
  <c r="D349" i="2" s="1"/>
  <c r="Q349" i="2" s="1"/>
  <c r="E113" i="28"/>
  <c r="E7" i="28" s="1"/>
  <c r="C349" i="2" s="1"/>
  <c r="P349" i="2" s="1"/>
  <c r="D113" i="28"/>
  <c r="D7" i="28" s="1"/>
  <c r="B349" i="2" s="1"/>
  <c r="O349" i="2" s="1"/>
  <c r="O106" i="28"/>
  <c r="N106" i="28"/>
  <c r="N29" i="28" s="1"/>
  <c r="M106" i="28"/>
  <c r="M29" i="28" s="1"/>
  <c r="M31" i="28" s="1"/>
  <c r="K465" i="3" s="1"/>
  <c r="L106" i="28"/>
  <c r="L29" i="28" s="1"/>
  <c r="L31" i="28" s="1"/>
  <c r="J465" i="3" s="1"/>
  <c r="K106" i="28"/>
  <c r="K29" i="28" s="1"/>
  <c r="J106" i="28"/>
  <c r="J29" i="28" s="1"/>
  <c r="J31" i="28" s="1"/>
  <c r="H465" i="3" s="1"/>
  <c r="I106" i="28"/>
  <c r="I29" i="28" s="1"/>
  <c r="H106" i="28"/>
  <c r="H29" i="28" s="1"/>
  <c r="H31" i="28" s="1"/>
  <c r="F465" i="3" s="1"/>
  <c r="G106" i="28"/>
  <c r="F106" i="28"/>
  <c r="F29" i="28" s="1"/>
  <c r="E106" i="28"/>
  <c r="E29" i="28" s="1"/>
  <c r="E31" i="28" s="1"/>
  <c r="C465" i="3" s="1"/>
  <c r="D106" i="28"/>
  <c r="D29" i="28" s="1"/>
  <c r="D31" i="28" s="1"/>
  <c r="B465" i="3" s="1"/>
  <c r="O72" i="28"/>
  <c r="O6" i="28" s="1"/>
  <c r="M348" i="2" s="1"/>
  <c r="Z348" i="2" s="1"/>
  <c r="N72" i="28"/>
  <c r="N6" i="28" s="1"/>
  <c r="L348" i="2" s="1"/>
  <c r="Y348" i="2" s="1"/>
  <c r="M72" i="28"/>
  <c r="M6" i="28" s="1"/>
  <c r="K348" i="2" s="1"/>
  <c r="X348" i="2" s="1"/>
  <c r="L72" i="28"/>
  <c r="L6" i="28" s="1"/>
  <c r="J348" i="2" s="1"/>
  <c r="W348" i="2" s="1"/>
  <c r="K72" i="28"/>
  <c r="K6" i="28" s="1"/>
  <c r="I348" i="2" s="1"/>
  <c r="V348" i="2" s="1"/>
  <c r="J72" i="28"/>
  <c r="J6" i="28" s="1"/>
  <c r="H348" i="2" s="1"/>
  <c r="U348" i="2" s="1"/>
  <c r="I72" i="28"/>
  <c r="I6" i="28" s="1"/>
  <c r="G348" i="2" s="1"/>
  <c r="T348" i="2" s="1"/>
  <c r="H72" i="28"/>
  <c r="H6" i="28" s="1"/>
  <c r="F348" i="2" s="1"/>
  <c r="S348" i="2" s="1"/>
  <c r="G72" i="28"/>
  <c r="F72" i="28"/>
  <c r="F6" i="28" s="1"/>
  <c r="E72" i="28"/>
  <c r="E6" i="28" s="1"/>
  <c r="C348" i="2" s="1"/>
  <c r="P348" i="2" s="1"/>
  <c r="D72" i="28"/>
  <c r="D6" i="28" s="1"/>
  <c r="B348" i="2" s="1"/>
  <c r="O348" i="2" s="1"/>
  <c r="O65" i="28"/>
  <c r="O24" i="28" s="1"/>
  <c r="N65" i="28"/>
  <c r="N24" i="28" s="1"/>
  <c r="N27" i="28" s="1"/>
  <c r="L464" i="3" s="1"/>
  <c r="M65" i="28"/>
  <c r="M24" i="28" s="1"/>
  <c r="M27" i="28" s="1"/>
  <c r="K464" i="3" s="1"/>
  <c r="L65" i="28"/>
  <c r="L24" i="28" s="1"/>
  <c r="K65" i="28"/>
  <c r="J65" i="28"/>
  <c r="J24" i="28" s="1"/>
  <c r="J27" i="28" s="1"/>
  <c r="H464" i="3" s="1"/>
  <c r="I65" i="28"/>
  <c r="I24" i="28" s="1"/>
  <c r="I27" i="28" s="1"/>
  <c r="G464" i="3" s="1"/>
  <c r="H65" i="28"/>
  <c r="H24" i="28" s="1"/>
  <c r="H27" i="28" s="1"/>
  <c r="F464" i="3" s="1"/>
  <c r="G65" i="28"/>
  <c r="F65" i="28"/>
  <c r="F24" i="28" s="1"/>
  <c r="F27" i="28" s="1"/>
  <c r="D464" i="3" s="1"/>
  <c r="E65" i="28"/>
  <c r="E24" i="28" s="1"/>
  <c r="E27" i="28" s="1"/>
  <c r="C464" i="3" s="1"/>
  <c r="D65" i="28"/>
  <c r="D24" i="28" s="1"/>
  <c r="O64" i="28"/>
  <c r="N64" i="28"/>
  <c r="N14" i="28" s="1"/>
  <c r="M64" i="28"/>
  <c r="M14" i="28" s="1"/>
  <c r="L64" i="28"/>
  <c r="L14" i="28" s="1"/>
  <c r="K64" i="28"/>
  <c r="J64" i="28"/>
  <c r="J14" i="28" s="1"/>
  <c r="I64" i="28"/>
  <c r="I14" i="28" s="1"/>
  <c r="H64" i="28"/>
  <c r="H14" i="28" s="1"/>
  <c r="F104" i="3" s="1"/>
  <c r="G64" i="28"/>
  <c r="F64" i="28"/>
  <c r="F14" i="28" s="1"/>
  <c r="E64" i="28"/>
  <c r="E14" i="28" s="1"/>
  <c r="D64" i="28"/>
  <c r="D14" i="28" s="1"/>
  <c r="O42" i="28"/>
  <c r="N42" i="28"/>
  <c r="N5" i="28" s="1"/>
  <c r="N3" i="28" s="1"/>
  <c r="N12" i="28" s="1"/>
  <c r="M42" i="28"/>
  <c r="M5" i="28" s="1"/>
  <c r="K347" i="2" s="1"/>
  <c r="L42" i="28"/>
  <c r="L5" i="28" s="1"/>
  <c r="K42" i="28"/>
  <c r="J42" i="28"/>
  <c r="J5" i="28" s="1"/>
  <c r="J3" i="28" s="1"/>
  <c r="J12" i="28" s="1"/>
  <c r="I42" i="28"/>
  <c r="I5" i="28" s="1"/>
  <c r="H42" i="28"/>
  <c r="H5" i="28" s="1"/>
  <c r="F347" i="2" s="1"/>
  <c r="S347" i="2" s="1"/>
  <c r="G42" i="28"/>
  <c r="G5" i="28" s="1"/>
  <c r="E347" i="2" s="1"/>
  <c r="F42" i="28"/>
  <c r="F5" i="28" s="1"/>
  <c r="F3" i="28" s="1"/>
  <c r="F12" i="28" s="1"/>
  <c r="E42" i="28"/>
  <c r="E5" i="28" s="1"/>
  <c r="C347" i="2" s="1"/>
  <c r="D42" i="28"/>
  <c r="D5" i="28" s="1"/>
  <c r="B347" i="2" s="1"/>
  <c r="O347" i="2" s="1"/>
  <c r="O30" i="28"/>
  <c r="N30" i="28"/>
  <c r="K30" i="28"/>
  <c r="G30" i="28"/>
  <c r="O29" i="28"/>
  <c r="O31" i="28" s="1"/>
  <c r="M465" i="3" s="1"/>
  <c r="G29" i="28"/>
  <c r="K26" i="28"/>
  <c r="G26" i="28"/>
  <c r="K25" i="28"/>
  <c r="G25" i="28"/>
  <c r="K24" i="28"/>
  <c r="G24" i="28"/>
  <c r="O22" i="28"/>
  <c r="M454" i="3" s="1"/>
  <c r="G22" i="28"/>
  <c r="E454" i="3" s="1"/>
  <c r="O20" i="28"/>
  <c r="M186" i="3" s="1"/>
  <c r="K20" i="28"/>
  <c r="I186" i="3" s="1"/>
  <c r="N17" i="28"/>
  <c r="K17" i="28"/>
  <c r="J17" i="28"/>
  <c r="G17" i="28"/>
  <c r="O16" i="28"/>
  <c r="K16" i="28"/>
  <c r="O14" i="28"/>
  <c r="K14" i="28"/>
  <c r="I104" i="3" s="1"/>
  <c r="G14" i="28"/>
  <c r="E104" i="3" s="1"/>
  <c r="G10" i="28"/>
  <c r="E352" i="2" s="1"/>
  <c r="R352" i="2" s="1"/>
  <c r="O9" i="28"/>
  <c r="M351" i="2" s="1"/>
  <c r="Z351" i="2" s="1"/>
  <c r="K9" i="28"/>
  <c r="I351" i="2" s="1"/>
  <c r="V351" i="2" s="1"/>
  <c r="O8" i="28"/>
  <c r="M350" i="2" s="1"/>
  <c r="Z350" i="2" s="1"/>
  <c r="K8" i="28"/>
  <c r="I350" i="2" s="1"/>
  <c r="V350" i="2" s="1"/>
  <c r="G8" i="28"/>
  <c r="E350" i="2" s="1"/>
  <c r="R350" i="2" s="1"/>
  <c r="K7" i="28"/>
  <c r="I349" i="2" s="1"/>
  <c r="V349" i="2" s="1"/>
  <c r="G7" i="28"/>
  <c r="E349" i="2" s="1"/>
  <c r="R349" i="2" s="1"/>
  <c r="G6" i="28"/>
  <c r="O5" i="28"/>
  <c r="K5" i="28"/>
  <c r="I347" i="2" s="1"/>
  <c r="O522" i="38"/>
  <c r="N522" i="38"/>
  <c r="N66" i="38" s="1"/>
  <c r="M522" i="38"/>
  <c r="M66" i="38" s="1"/>
  <c r="L522" i="38"/>
  <c r="K522" i="38"/>
  <c r="J522" i="38"/>
  <c r="J66" i="38" s="1"/>
  <c r="I522" i="38"/>
  <c r="I66" i="38" s="1"/>
  <c r="H522" i="38"/>
  <c r="G522" i="38"/>
  <c r="G66" i="38" s="1"/>
  <c r="F522" i="38"/>
  <c r="F66" i="38" s="1"/>
  <c r="E522" i="38"/>
  <c r="E66" i="38" s="1"/>
  <c r="D522" i="38"/>
  <c r="O498" i="38"/>
  <c r="O19" i="38" s="1"/>
  <c r="M29" i="2" s="1"/>
  <c r="Z29" i="2" s="1"/>
  <c r="N498" i="38"/>
  <c r="N19" i="38" s="1"/>
  <c r="L29" i="2" s="1"/>
  <c r="Y29" i="2" s="1"/>
  <c r="M498" i="38"/>
  <c r="M19" i="38" s="1"/>
  <c r="K29" i="2" s="1"/>
  <c r="X29" i="2" s="1"/>
  <c r="L498" i="38"/>
  <c r="K498" i="38"/>
  <c r="K19" i="38" s="1"/>
  <c r="I29" i="2" s="1"/>
  <c r="V29" i="2" s="1"/>
  <c r="J498" i="38"/>
  <c r="J19" i="38" s="1"/>
  <c r="H29" i="2" s="1"/>
  <c r="U29" i="2" s="1"/>
  <c r="I498" i="38"/>
  <c r="I19" i="38" s="1"/>
  <c r="G29" i="2" s="1"/>
  <c r="T29" i="2" s="1"/>
  <c r="H498" i="38"/>
  <c r="G498" i="38"/>
  <c r="G19" i="38" s="1"/>
  <c r="E29" i="2" s="1"/>
  <c r="R29" i="2" s="1"/>
  <c r="F498" i="38"/>
  <c r="F19" i="38" s="1"/>
  <c r="D29" i="2" s="1"/>
  <c r="Q29" i="2" s="1"/>
  <c r="E498" i="38"/>
  <c r="E19" i="38" s="1"/>
  <c r="C29" i="2" s="1"/>
  <c r="P29" i="2" s="1"/>
  <c r="D498" i="38"/>
  <c r="O492" i="38"/>
  <c r="O50" i="38" s="1"/>
  <c r="N492" i="38"/>
  <c r="N50" i="38" s="1"/>
  <c r="M492" i="38"/>
  <c r="M50" i="38" s="1"/>
  <c r="L492" i="38"/>
  <c r="K492" i="38"/>
  <c r="J492" i="38"/>
  <c r="J50" i="38" s="1"/>
  <c r="I492" i="38"/>
  <c r="I50" i="38" s="1"/>
  <c r="H492" i="38"/>
  <c r="G492" i="38"/>
  <c r="G50" i="38" s="1"/>
  <c r="F492" i="38"/>
  <c r="F50" i="38" s="1"/>
  <c r="E492" i="38"/>
  <c r="E50" i="38" s="1"/>
  <c r="D492" i="38"/>
  <c r="O491" i="38"/>
  <c r="O39" i="38" s="1"/>
  <c r="M116" i="3" s="1"/>
  <c r="N491" i="38"/>
  <c r="N39" i="38" s="1"/>
  <c r="L116" i="3" s="1"/>
  <c r="M491" i="38"/>
  <c r="M39" i="38" s="1"/>
  <c r="K116" i="3" s="1"/>
  <c r="L491" i="38"/>
  <c r="K491" i="38"/>
  <c r="K39" i="38" s="1"/>
  <c r="I116" i="3" s="1"/>
  <c r="J491" i="38"/>
  <c r="J39" i="38" s="1"/>
  <c r="H116" i="3" s="1"/>
  <c r="I491" i="38"/>
  <c r="I39" i="38" s="1"/>
  <c r="G116" i="3" s="1"/>
  <c r="H491" i="38"/>
  <c r="G491" i="38"/>
  <c r="F491" i="38"/>
  <c r="F39" i="38" s="1"/>
  <c r="D116" i="3" s="1"/>
  <c r="E491" i="38"/>
  <c r="E39" i="38" s="1"/>
  <c r="C116" i="3" s="1"/>
  <c r="D491" i="38"/>
  <c r="O488" i="38"/>
  <c r="N488" i="38"/>
  <c r="M488" i="38"/>
  <c r="L488" i="38"/>
  <c r="K488" i="38"/>
  <c r="J488" i="38"/>
  <c r="I488" i="38"/>
  <c r="H488" i="38"/>
  <c r="G488" i="38"/>
  <c r="F488" i="38"/>
  <c r="E488" i="38"/>
  <c r="D488" i="38"/>
  <c r="O455" i="38"/>
  <c r="O18" i="38" s="1"/>
  <c r="M28" i="2" s="1"/>
  <c r="Z28" i="2" s="1"/>
  <c r="N455" i="38"/>
  <c r="N18" i="38" s="1"/>
  <c r="L28" i="2" s="1"/>
  <c r="Y28" i="2" s="1"/>
  <c r="M455" i="38"/>
  <c r="M18" i="38" s="1"/>
  <c r="K28" i="2" s="1"/>
  <c r="X28" i="2" s="1"/>
  <c r="L455" i="38"/>
  <c r="K455" i="38"/>
  <c r="K18" i="38" s="1"/>
  <c r="I28" i="2" s="1"/>
  <c r="V28" i="2" s="1"/>
  <c r="J455" i="38"/>
  <c r="J18" i="38" s="1"/>
  <c r="H28" i="2" s="1"/>
  <c r="U28" i="2" s="1"/>
  <c r="I455" i="38"/>
  <c r="I18" i="38" s="1"/>
  <c r="G28" i="2" s="1"/>
  <c r="T28" i="2" s="1"/>
  <c r="H455" i="38"/>
  <c r="G455" i="38"/>
  <c r="G18" i="38" s="1"/>
  <c r="E28" i="2" s="1"/>
  <c r="R28" i="2" s="1"/>
  <c r="F455" i="38"/>
  <c r="F18" i="38" s="1"/>
  <c r="D28" i="2" s="1"/>
  <c r="Q28" i="2" s="1"/>
  <c r="E455" i="38"/>
  <c r="E18" i="38" s="1"/>
  <c r="C28" i="2" s="1"/>
  <c r="P28" i="2" s="1"/>
  <c r="D455" i="38"/>
  <c r="O448" i="38"/>
  <c r="N448" i="38"/>
  <c r="N61" i="38" s="1"/>
  <c r="M448" i="38"/>
  <c r="M61" i="38" s="1"/>
  <c r="L448" i="38"/>
  <c r="K448" i="38"/>
  <c r="K61" i="38" s="1"/>
  <c r="J448" i="38"/>
  <c r="J61" i="38" s="1"/>
  <c r="I448" i="38"/>
  <c r="I61" i="38" s="1"/>
  <c r="H448" i="38"/>
  <c r="G448" i="38"/>
  <c r="G61" i="38" s="1"/>
  <c r="F448" i="38"/>
  <c r="F61" i="38" s="1"/>
  <c r="E448" i="38"/>
  <c r="E61" i="38" s="1"/>
  <c r="D448" i="38"/>
  <c r="O447" i="38"/>
  <c r="O58" i="38" s="1"/>
  <c r="N447" i="38"/>
  <c r="N58" i="38" s="1"/>
  <c r="M447" i="38"/>
  <c r="M58" i="38" s="1"/>
  <c r="L447" i="38"/>
  <c r="K447" i="38"/>
  <c r="K58" i="38" s="1"/>
  <c r="J447" i="38"/>
  <c r="J58" i="38" s="1"/>
  <c r="I447" i="38"/>
  <c r="I58" i="38" s="1"/>
  <c r="H447" i="38"/>
  <c r="G447" i="38"/>
  <c r="F447" i="38"/>
  <c r="F58" i="38" s="1"/>
  <c r="E447" i="38"/>
  <c r="E58" i="38" s="1"/>
  <c r="D447" i="38"/>
  <c r="O441" i="38"/>
  <c r="N441" i="38"/>
  <c r="M441" i="38"/>
  <c r="L441" i="38"/>
  <c r="K441" i="38"/>
  <c r="J441" i="38"/>
  <c r="I441" i="38"/>
  <c r="H441" i="38"/>
  <c r="G441" i="38"/>
  <c r="F441" i="38"/>
  <c r="E441" i="38"/>
  <c r="D441" i="38"/>
  <c r="O430" i="38"/>
  <c r="O17" i="38" s="1"/>
  <c r="M27" i="2" s="1"/>
  <c r="Z27" i="2" s="1"/>
  <c r="N430" i="38"/>
  <c r="N17" i="38" s="1"/>
  <c r="L27" i="2" s="1"/>
  <c r="Y27" i="2" s="1"/>
  <c r="M430" i="38"/>
  <c r="M17" i="38" s="1"/>
  <c r="K27" i="2" s="1"/>
  <c r="X27" i="2" s="1"/>
  <c r="L430" i="38"/>
  <c r="K430" i="38"/>
  <c r="K17" i="38" s="1"/>
  <c r="I27" i="2" s="1"/>
  <c r="V27" i="2" s="1"/>
  <c r="J430" i="38"/>
  <c r="J17" i="38" s="1"/>
  <c r="H27" i="2" s="1"/>
  <c r="U27" i="2" s="1"/>
  <c r="I430" i="38"/>
  <c r="I17" i="38" s="1"/>
  <c r="G27" i="2" s="1"/>
  <c r="T27" i="2" s="1"/>
  <c r="H430" i="38"/>
  <c r="G430" i="38"/>
  <c r="G17" i="38" s="1"/>
  <c r="F430" i="38"/>
  <c r="F17" i="38" s="1"/>
  <c r="D27" i="2" s="1"/>
  <c r="Q27" i="2" s="1"/>
  <c r="E430" i="38"/>
  <c r="E17" i="38" s="1"/>
  <c r="C27" i="2" s="1"/>
  <c r="P27" i="2" s="1"/>
  <c r="D430" i="38"/>
  <c r="O423" i="38"/>
  <c r="N423" i="38"/>
  <c r="N79" i="38" s="1"/>
  <c r="M423" i="38"/>
  <c r="M79" i="38" s="1"/>
  <c r="L423" i="38"/>
  <c r="K423" i="38"/>
  <c r="J423" i="38"/>
  <c r="J79" i="38" s="1"/>
  <c r="I423" i="38"/>
  <c r="I79" i="38" s="1"/>
  <c r="H423" i="38"/>
  <c r="G423" i="38"/>
  <c r="G79" i="38" s="1"/>
  <c r="F423" i="38"/>
  <c r="F79" i="38" s="1"/>
  <c r="E423" i="38"/>
  <c r="E79" i="38" s="1"/>
  <c r="D423" i="38"/>
  <c r="O422" i="38"/>
  <c r="N422" i="38"/>
  <c r="N54" i="38" s="1"/>
  <c r="M422" i="38"/>
  <c r="M54" i="38" s="1"/>
  <c r="L422" i="38"/>
  <c r="K422" i="38"/>
  <c r="K54" i="38" s="1"/>
  <c r="J422" i="38"/>
  <c r="J54" i="38" s="1"/>
  <c r="I422" i="38"/>
  <c r="I54" i="38" s="1"/>
  <c r="H422" i="38"/>
  <c r="G422" i="38"/>
  <c r="G54" i="38" s="1"/>
  <c r="F422" i="38"/>
  <c r="F54" i="38" s="1"/>
  <c r="E422" i="38"/>
  <c r="E54" i="38" s="1"/>
  <c r="D422" i="38"/>
  <c r="O403" i="38"/>
  <c r="O16" i="38" s="1"/>
  <c r="M26" i="2" s="1"/>
  <c r="Z26" i="2" s="1"/>
  <c r="N403" i="38"/>
  <c r="N16" i="38" s="1"/>
  <c r="L26" i="2" s="1"/>
  <c r="Y26" i="2" s="1"/>
  <c r="M403" i="38"/>
  <c r="M16" i="38" s="1"/>
  <c r="K26" i="2" s="1"/>
  <c r="X26" i="2" s="1"/>
  <c r="L403" i="38"/>
  <c r="K403" i="38"/>
  <c r="J403" i="38"/>
  <c r="J16" i="38" s="1"/>
  <c r="H26" i="2" s="1"/>
  <c r="U26" i="2" s="1"/>
  <c r="I403" i="38"/>
  <c r="I16" i="38" s="1"/>
  <c r="G26" i="2" s="1"/>
  <c r="T26" i="2" s="1"/>
  <c r="H403" i="38"/>
  <c r="G403" i="38"/>
  <c r="G16" i="38" s="1"/>
  <c r="F403" i="38"/>
  <c r="F16" i="38" s="1"/>
  <c r="D26" i="2" s="1"/>
  <c r="Q26" i="2" s="1"/>
  <c r="E403" i="38"/>
  <c r="E16" i="38" s="1"/>
  <c r="C26" i="2" s="1"/>
  <c r="P26" i="2" s="1"/>
  <c r="D403" i="38"/>
  <c r="O396" i="38"/>
  <c r="O46" i="38" s="1"/>
  <c r="N396" i="38"/>
  <c r="N46" i="38" s="1"/>
  <c r="M396" i="38"/>
  <c r="M46" i="38" s="1"/>
  <c r="L396" i="38"/>
  <c r="K396" i="38"/>
  <c r="K46" i="38" s="1"/>
  <c r="J396" i="38"/>
  <c r="J46" i="38" s="1"/>
  <c r="I396" i="38"/>
  <c r="I46" i="38" s="1"/>
  <c r="H396" i="38"/>
  <c r="G396" i="38"/>
  <c r="G46" i="38" s="1"/>
  <c r="F396" i="38"/>
  <c r="F46" i="38" s="1"/>
  <c r="E396" i="38"/>
  <c r="E46" i="38" s="1"/>
  <c r="D396" i="38"/>
  <c r="O383" i="38"/>
  <c r="O15" i="38" s="1"/>
  <c r="N383" i="38"/>
  <c r="N15" i="38" s="1"/>
  <c r="L25" i="2" s="1"/>
  <c r="Y25" i="2" s="1"/>
  <c r="M383" i="38"/>
  <c r="M15" i="38" s="1"/>
  <c r="K25" i="2" s="1"/>
  <c r="X25" i="2" s="1"/>
  <c r="L383" i="38"/>
  <c r="K383" i="38"/>
  <c r="J383" i="38"/>
  <c r="J15" i="38" s="1"/>
  <c r="H25" i="2" s="1"/>
  <c r="U25" i="2" s="1"/>
  <c r="I383" i="38"/>
  <c r="I15" i="38" s="1"/>
  <c r="G25" i="2" s="1"/>
  <c r="T25" i="2" s="1"/>
  <c r="H383" i="38"/>
  <c r="G383" i="38"/>
  <c r="G15" i="38" s="1"/>
  <c r="E25" i="2" s="1"/>
  <c r="R25" i="2" s="1"/>
  <c r="F383" i="38"/>
  <c r="F15" i="38" s="1"/>
  <c r="D25" i="2" s="1"/>
  <c r="Q25" i="2" s="1"/>
  <c r="E383" i="38"/>
  <c r="E15" i="38" s="1"/>
  <c r="C25" i="2" s="1"/>
  <c r="P25" i="2" s="1"/>
  <c r="D383" i="38"/>
  <c r="O375" i="38"/>
  <c r="N375" i="38"/>
  <c r="N45" i="38" s="1"/>
  <c r="N47" i="38" s="1"/>
  <c r="L203" i="3" s="1"/>
  <c r="M375" i="38"/>
  <c r="M45" i="38" s="1"/>
  <c r="M47" i="38" s="1"/>
  <c r="K203" i="3" s="1"/>
  <c r="L375" i="38"/>
  <c r="K375" i="38"/>
  <c r="K45" i="38" s="1"/>
  <c r="K47" i="38" s="1"/>
  <c r="I203" i="3" s="1"/>
  <c r="J375" i="38"/>
  <c r="J45" i="38" s="1"/>
  <c r="I375" i="38"/>
  <c r="I45" i="38" s="1"/>
  <c r="I47" i="38" s="1"/>
  <c r="G203" i="3" s="1"/>
  <c r="H375" i="38"/>
  <c r="G375" i="38"/>
  <c r="G45" i="38" s="1"/>
  <c r="F375" i="38"/>
  <c r="F45" i="38" s="1"/>
  <c r="F47" i="38" s="1"/>
  <c r="D203" i="3" s="1"/>
  <c r="E375" i="38"/>
  <c r="E45" i="38" s="1"/>
  <c r="D375" i="38"/>
  <c r="O374" i="38"/>
  <c r="N374" i="38"/>
  <c r="N43" i="38" s="1"/>
  <c r="L167" i="3" s="1"/>
  <c r="M374" i="38"/>
  <c r="M43" i="38" s="1"/>
  <c r="K167" i="3" s="1"/>
  <c r="L374" i="38"/>
  <c r="K374" i="38"/>
  <c r="K43" i="38" s="1"/>
  <c r="I167" i="3" s="1"/>
  <c r="J374" i="38"/>
  <c r="J43" i="38" s="1"/>
  <c r="H167" i="3" s="1"/>
  <c r="I374" i="38"/>
  <c r="I43" i="38" s="1"/>
  <c r="G167" i="3" s="1"/>
  <c r="H374" i="38"/>
  <c r="G374" i="38"/>
  <c r="G43" i="38" s="1"/>
  <c r="E167" i="3" s="1"/>
  <c r="F374" i="38"/>
  <c r="F43" i="38" s="1"/>
  <c r="D167" i="3" s="1"/>
  <c r="E374" i="38"/>
  <c r="E43" i="38" s="1"/>
  <c r="C167" i="3" s="1"/>
  <c r="D374" i="38"/>
  <c r="O373" i="38"/>
  <c r="O32" i="38" s="1"/>
  <c r="N373" i="38"/>
  <c r="N32" i="38" s="1"/>
  <c r="M373" i="38"/>
  <c r="M32" i="38" s="1"/>
  <c r="L373" i="38"/>
  <c r="K373" i="38"/>
  <c r="K32" i="38" s="1"/>
  <c r="J373" i="38"/>
  <c r="J32" i="38" s="1"/>
  <c r="I373" i="38"/>
  <c r="I32" i="38" s="1"/>
  <c r="H373" i="38"/>
  <c r="H32" i="38" s="1"/>
  <c r="G373" i="38"/>
  <c r="G32" i="38" s="1"/>
  <c r="F373" i="38"/>
  <c r="F32" i="38" s="1"/>
  <c r="E373" i="38"/>
  <c r="E32" i="38" s="1"/>
  <c r="D373" i="38"/>
  <c r="O349" i="38"/>
  <c r="N349" i="38"/>
  <c r="M349" i="38"/>
  <c r="L349" i="38"/>
  <c r="K349" i="38"/>
  <c r="J349" i="38"/>
  <c r="I349" i="38"/>
  <c r="H349" i="38"/>
  <c r="G349" i="38"/>
  <c r="F349" i="38"/>
  <c r="E349" i="38"/>
  <c r="D349" i="38"/>
  <c r="O337" i="38"/>
  <c r="O14" i="38" s="1"/>
  <c r="N337" i="38"/>
  <c r="N14" i="38" s="1"/>
  <c r="L24" i="2" s="1"/>
  <c r="Y24" i="2" s="1"/>
  <c r="M337" i="38"/>
  <c r="M14" i="38" s="1"/>
  <c r="K24" i="2" s="1"/>
  <c r="X24" i="2" s="1"/>
  <c r="L337" i="38"/>
  <c r="K337" i="38"/>
  <c r="K14" i="38" s="1"/>
  <c r="J337" i="38"/>
  <c r="J14" i="38" s="1"/>
  <c r="H24" i="2" s="1"/>
  <c r="U24" i="2" s="1"/>
  <c r="I337" i="38"/>
  <c r="I14" i="38" s="1"/>
  <c r="G24" i="2" s="1"/>
  <c r="T24" i="2" s="1"/>
  <c r="H337" i="38"/>
  <c r="G337" i="38"/>
  <c r="G14" i="38" s="1"/>
  <c r="E24" i="2" s="1"/>
  <c r="R24" i="2" s="1"/>
  <c r="F337" i="38"/>
  <c r="F14" i="38" s="1"/>
  <c r="D24" i="2" s="1"/>
  <c r="Q24" i="2" s="1"/>
  <c r="E337" i="38"/>
  <c r="E14" i="38" s="1"/>
  <c r="C24" i="2" s="1"/>
  <c r="P24" i="2" s="1"/>
  <c r="D337" i="38"/>
  <c r="O330" i="38"/>
  <c r="O78" i="38" s="1"/>
  <c r="N330" i="38"/>
  <c r="N78" i="38" s="1"/>
  <c r="M330" i="38"/>
  <c r="M78" i="38" s="1"/>
  <c r="L330" i="38"/>
  <c r="K330" i="38"/>
  <c r="J330" i="38"/>
  <c r="J78" i="38" s="1"/>
  <c r="I330" i="38"/>
  <c r="I78" i="38" s="1"/>
  <c r="H330" i="38"/>
  <c r="H78" i="38" s="1"/>
  <c r="G330" i="38"/>
  <c r="G78" i="38" s="1"/>
  <c r="F330" i="38"/>
  <c r="F78" i="38" s="1"/>
  <c r="E330" i="38"/>
  <c r="E78" i="38" s="1"/>
  <c r="D330" i="38"/>
  <c r="D78" i="38" s="1"/>
  <c r="O329" i="38"/>
  <c r="O49" i="38" s="1"/>
  <c r="N329" i="38"/>
  <c r="N49" i="38" s="1"/>
  <c r="N51" i="38" s="1"/>
  <c r="L208" i="3" s="1"/>
  <c r="M329" i="38"/>
  <c r="M49" i="38" s="1"/>
  <c r="L329" i="38"/>
  <c r="K329" i="38"/>
  <c r="J329" i="38"/>
  <c r="J49" i="38" s="1"/>
  <c r="J51" i="38" s="1"/>
  <c r="H208" i="3" s="1"/>
  <c r="I329" i="38"/>
  <c r="I49" i="38" s="1"/>
  <c r="H329" i="38"/>
  <c r="H49" i="38" s="1"/>
  <c r="G329" i="38"/>
  <c r="G49" i="38" s="1"/>
  <c r="G51" i="38" s="1"/>
  <c r="E208" i="3" s="1"/>
  <c r="F329" i="38"/>
  <c r="F49" i="38" s="1"/>
  <c r="F51" i="38" s="1"/>
  <c r="D208" i="3" s="1"/>
  <c r="E329" i="38"/>
  <c r="E49" i="38" s="1"/>
  <c r="E51" i="38" s="1"/>
  <c r="C208" i="3" s="1"/>
  <c r="D329" i="38"/>
  <c r="D49" i="38" s="1"/>
  <c r="O328" i="38"/>
  <c r="O41" i="38" s="1"/>
  <c r="M118" i="3" s="1"/>
  <c r="N328" i="38"/>
  <c r="N41" i="38" s="1"/>
  <c r="L118" i="3" s="1"/>
  <c r="M328" i="38"/>
  <c r="M41" i="38" s="1"/>
  <c r="K118" i="3" s="1"/>
  <c r="L328" i="38"/>
  <c r="L41" i="38" s="1"/>
  <c r="J118" i="3" s="1"/>
  <c r="K328" i="38"/>
  <c r="J328" i="38"/>
  <c r="J41" i="38" s="1"/>
  <c r="H118" i="3" s="1"/>
  <c r="I328" i="38"/>
  <c r="I41" i="38" s="1"/>
  <c r="G118" i="3" s="1"/>
  <c r="H328" i="38"/>
  <c r="H41" i="38" s="1"/>
  <c r="F118" i="3" s="1"/>
  <c r="G328" i="38"/>
  <c r="G41" i="38" s="1"/>
  <c r="E118" i="3" s="1"/>
  <c r="F328" i="38"/>
  <c r="F41" i="38" s="1"/>
  <c r="D118" i="3" s="1"/>
  <c r="E328" i="38"/>
  <c r="E41" i="38" s="1"/>
  <c r="C118" i="3" s="1"/>
  <c r="D328" i="38"/>
  <c r="O319" i="38"/>
  <c r="N319" i="38"/>
  <c r="M319" i="38"/>
  <c r="L319" i="38"/>
  <c r="K319" i="38"/>
  <c r="J319" i="38"/>
  <c r="I319" i="38"/>
  <c r="H319" i="38"/>
  <c r="G319" i="38"/>
  <c r="F319" i="38"/>
  <c r="E319" i="38"/>
  <c r="D319" i="38"/>
  <c r="O312" i="38"/>
  <c r="N312" i="38"/>
  <c r="M312" i="38"/>
  <c r="L312" i="38"/>
  <c r="K312" i="38"/>
  <c r="J312" i="38"/>
  <c r="I312" i="38"/>
  <c r="H312" i="38"/>
  <c r="G312" i="38"/>
  <c r="F312" i="38"/>
  <c r="E312" i="38"/>
  <c r="D312" i="38"/>
  <c r="O306" i="38"/>
  <c r="N306" i="38"/>
  <c r="M306" i="38"/>
  <c r="L306" i="38"/>
  <c r="K306" i="38"/>
  <c r="J306" i="38"/>
  <c r="I306" i="38"/>
  <c r="H306" i="38"/>
  <c r="G306" i="38"/>
  <c r="F306" i="38"/>
  <c r="E306" i="38"/>
  <c r="D306" i="38"/>
  <c r="O303" i="38"/>
  <c r="O13" i="38" s="1"/>
  <c r="M23" i="2" s="1"/>
  <c r="Z23" i="2" s="1"/>
  <c r="N303" i="38"/>
  <c r="N13" i="38" s="1"/>
  <c r="L23" i="2" s="1"/>
  <c r="Y23" i="2" s="1"/>
  <c r="M303" i="38"/>
  <c r="M13" i="38" s="1"/>
  <c r="K23" i="2" s="1"/>
  <c r="X23" i="2" s="1"/>
  <c r="L303" i="38"/>
  <c r="K303" i="38"/>
  <c r="K13" i="38" s="1"/>
  <c r="I23" i="2" s="1"/>
  <c r="V23" i="2" s="1"/>
  <c r="J303" i="38"/>
  <c r="J13" i="38" s="1"/>
  <c r="H23" i="2" s="1"/>
  <c r="U23" i="2" s="1"/>
  <c r="I303" i="38"/>
  <c r="I13" i="38" s="1"/>
  <c r="G23" i="2" s="1"/>
  <c r="T23" i="2" s="1"/>
  <c r="H303" i="38"/>
  <c r="H13" i="38" s="1"/>
  <c r="G303" i="38"/>
  <c r="G13" i="38" s="1"/>
  <c r="E23" i="2" s="1"/>
  <c r="R23" i="2" s="1"/>
  <c r="F303" i="38"/>
  <c r="F13" i="38" s="1"/>
  <c r="D23" i="2" s="1"/>
  <c r="Q23" i="2" s="1"/>
  <c r="E303" i="38"/>
  <c r="E13" i="38" s="1"/>
  <c r="C23" i="2" s="1"/>
  <c r="P23" i="2" s="1"/>
  <c r="D303" i="38"/>
  <c r="D13" i="38" s="1"/>
  <c r="B23" i="2" s="1"/>
  <c r="O23" i="2" s="1"/>
  <c r="O295" i="38"/>
  <c r="O65" i="38" s="1"/>
  <c r="N295" i="38"/>
  <c r="N65" i="38" s="1"/>
  <c r="N67" i="38" s="1"/>
  <c r="L384" i="3" s="1"/>
  <c r="M295" i="38"/>
  <c r="M65" i="38" s="1"/>
  <c r="L295" i="38"/>
  <c r="K295" i="38"/>
  <c r="J295" i="38"/>
  <c r="J65" i="38" s="1"/>
  <c r="J67" i="38" s="1"/>
  <c r="H384" i="3" s="1"/>
  <c r="I295" i="38"/>
  <c r="I65" i="38" s="1"/>
  <c r="H295" i="38"/>
  <c r="H65" i="38" s="1"/>
  <c r="G295" i="38"/>
  <c r="G65" i="38" s="1"/>
  <c r="G67" i="38" s="1"/>
  <c r="E384" i="3" s="1"/>
  <c r="F295" i="38"/>
  <c r="F65" i="38" s="1"/>
  <c r="F67" i="38" s="1"/>
  <c r="D384" i="3" s="1"/>
  <c r="E295" i="38"/>
  <c r="E65" i="38" s="1"/>
  <c r="E67" i="38" s="1"/>
  <c r="C384" i="3" s="1"/>
  <c r="D295" i="38"/>
  <c r="O294" i="38"/>
  <c r="O53" i="38" s="1"/>
  <c r="N294" i="38"/>
  <c r="N53" i="38" s="1"/>
  <c r="N55" i="38" s="1"/>
  <c r="L280" i="3" s="1"/>
  <c r="M294" i="38"/>
  <c r="M53" i="38" s="1"/>
  <c r="L294" i="38"/>
  <c r="K294" i="38"/>
  <c r="K53" i="38" s="1"/>
  <c r="J294" i="38"/>
  <c r="J53" i="38" s="1"/>
  <c r="J55" i="38" s="1"/>
  <c r="H280" i="3" s="1"/>
  <c r="I294" i="38"/>
  <c r="I53" i="38" s="1"/>
  <c r="H294" i="38"/>
  <c r="H53" i="38" s="1"/>
  <c r="G294" i="38"/>
  <c r="G53" i="38" s="1"/>
  <c r="G55" i="38" s="1"/>
  <c r="E280" i="3" s="1"/>
  <c r="F294" i="38"/>
  <c r="F53" i="38" s="1"/>
  <c r="F55" i="38" s="1"/>
  <c r="D280" i="3" s="1"/>
  <c r="E294" i="38"/>
  <c r="E53" i="38" s="1"/>
  <c r="E55" i="38" s="1"/>
  <c r="C280" i="3" s="1"/>
  <c r="D294" i="38"/>
  <c r="D53" i="38" s="1"/>
  <c r="O293" i="38"/>
  <c r="O37" i="38" s="1"/>
  <c r="M102" i="3" s="1"/>
  <c r="N293" i="38"/>
  <c r="N37" i="38" s="1"/>
  <c r="L102" i="3" s="1"/>
  <c r="M293" i="38"/>
  <c r="M37" i="38" s="1"/>
  <c r="K102" i="3" s="1"/>
  <c r="L293" i="38"/>
  <c r="L37" i="38" s="1"/>
  <c r="J102" i="3" s="1"/>
  <c r="K293" i="38"/>
  <c r="K37" i="38" s="1"/>
  <c r="I102" i="3" s="1"/>
  <c r="J293" i="38"/>
  <c r="J37" i="38" s="1"/>
  <c r="H102" i="3" s="1"/>
  <c r="I293" i="38"/>
  <c r="I37" i="38" s="1"/>
  <c r="G102" i="3" s="1"/>
  <c r="H293" i="38"/>
  <c r="H37" i="38" s="1"/>
  <c r="F102" i="3" s="1"/>
  <c r="G293" i="38"/>
  <c r="G37" i="38" s="1"/>
  <c r="E102" i="3" s="1"/>
  <c r="F293" i="38"/>
  <c r="F37" i="38" s="1"/>
  <c r="D102" i="3" s="1"/>
  <c r="E293" i="38"/>
  <c r="E37" i="38" s="1"/>
  <c r="C102" i="3" s="1"/>
  <c r="D293" i="38"/>
  <c r="D37" i="38" s="1"/>
  <c r="B102" i="3" s="1"/>
  <c r="O267" i="38"/>
  <c r="O12" i="38" s="1"/>
  <c r="M22" i="2" s="1"/>
  <c r="Z22" i="2" s="1"/>
  <c r="N267" i="38"/>
  <c r="N12" i="38" s="1"/>
  <c r="L22" i="2" s="1"/>
  <c r="Y22" i="2" s="1"/>
  <c r="M267" i="38"/>
  <c r="M12" i="38" s="1"/>
  <c r="K22" i="2" s="1"/>
  <c r="X22" i="2" s="1"/>
  <c r="L267" i="38"/>
  <c r="K267" i="38"/>
  <c r="J267" i="38"/>
  <c r="J12" i="38" s="1"/>
  <c r="H22" i="2" s="1"/>
  <c r="U22" i="2" s="1"/>
  <c r="I267" i="38"/>
  <c r="I12" i="38" s="1"/>
  <c r="G22" i="2" s="1"/>
  <c r="T22" i="2" s="1"/>
  <c r="H267" i="38"/>
  <c r="H12" i="38" s="1"/>
  <c r="G267" i="38"/>
  <c r="G12" i="38" s="1"/>
  <c r="E22" i="2" s="1"/>
  <c r="R22" i="2" s="1"/>
  <c r="F267" i="38"/>
  <c r="F12" i="38" s="1"/>
  <c r="D22" i="2" s="1"/>
  <c r="Q22" i="2" s="1"/>
  <c r="E267" i="38"/>
  <c r="E12" i="38" s="1"/>
  <c r="C22" i="2" s="1"/>
  <c r="P22" i="2" s="1"/>
  <c r="D267" i="38"/>
  <c r="O260" i="38"/>
  <c r="N260" i="38"/>
  <c r="N35" i="38" s="1"/>
  <c r="L96" i="3" s="1"/>
  <c r="M260" i="38"/>
  <c r="M35" i="38" s="1"/>
  <c r="K96" i="3" s="1"/>
  <c r="L260" i="38"/>
  <c r="K260" i="38"/>
  <c r="K35" i="38" s="1"/>
  <c r="I96" i="3" s="1"/>
  <c r="J260" i="38"/>
  <c r="J35" i="38" s="1"/>
  <c r="H96" i="3" s="1"/>
  <c r="I260" i="38"/>
  <c r="I35" i="38" s="1"/>
  <c r="G96" i="3" s="1"/>
  <c r="H260" i="38"/>
  <c r="G260" i="38"/>
  <c r="G35" i="38" s="1"/>
  <c r="E96" i="3" s="1"/>
  <c r="F260" i="38"/>
  <c r="F35" i="38" s="1"/>
  <c r="D96" i="3" s="1"/>
  <c r="E260" i="38"/>
  <c r="E35" i="38" s="1"/>
  <c r="C96" i="3" s="1"/>
  <c r="D260" i="38"/>
  <c r="D35" i="38" s="1"/>
  <c r="B96" i="3" s="1"/>
  <c r="O244" i="38"/>
  <c r="O11" i="38" s="1"/>
  <c r="M21" i="2" s="1"/>
  <c r="Z21" i="2" s="1"/>
  <c r="N244" i="38"/>
  <c r="N11" i="38" s="1"/>
  <c r="L21" i="2" s="1"/>
  <c r="Y21" i="2" s="1"/>
  <c r="M244" i="38"/>
  <c r="M11" i="38" s="1"/>
  <c r="K21" i="2" s="1"/>
  <c r="X21" i="2" s="1"/>
  <c r="L244" i="38"/>
  <c r="L11" i="38" s="1"/>
  <c r="K244" i="38"/>
  <c r="K11" i="38" s="1"/>
  <c r="I21" i="2" s="1"/>
  <c r="V21" i="2" s="1"/>
  <c r="J244" i="38"/>
  <c r="J11" i="38" s="1"/>
  <c r="H21" i="2" s="1"/>
  <c r="U21" i="2" s="1"/>
  <c r="I244" i="38"/>
  <c r="I11" i="38" s="1"/>
  <c r="G21" i="2" s="1"/>
  <c r="T21" i="2" s="1"/>
  <c r="H244" i="38"/>
  <c r="G244" i="38"/>
  <c r="G11" i="38" s="1"/>
  <c r="F244" i="38"/>
  <c r="F11" i="38" s="1"/>
  <c r="D21" i="2" s="1"/>
  <c r="Q21" i="2" s="1"/>
  <c r="E244" i="38"/>
  <c r="E11" i="38" s="1"/>
  <c r="C21" i="2" s="1"/>
  <c r="P21" i="2" s="1"/>
  <c r="D244" i="38"/>
  <c r="D11" i="38" s="1"/>
  <c r="B21" i="2" s="1"/>
  <c r="O21" i="2" s="1"/>
  <c r="O237" i="38"/>
  <c r="N237" i="38"/>
  <c r="N31" i="38" s="1"/>
  <c r="N33" i="38" s="1"/>
  <c r="L68" i="3" s="1"/>
  <c r="M237" i="38"/>
  <c r="M31" i="38" s="1"/>
  <c r="L237" i="38"/>
  <c r="L31" i="38" s="1"/>
  <c r="K237" i="38"/>
  <c r="K31" i="38" s="1"/>
  <c r="K33" i="38" s="1"/>
  <c r="J237" i="38"/>
  <c r="J31" i="38" s="1"/>
  <c r="J33" i="38" s="1"/>
  <c r="H68" i="3" s="1"/>
  <c r="I237" i="38"/>
  <c r="I31" i="38" s="1"/>
  <c r="I33" i="38" s="1"/>
  <c r="G68" i="3" s="1"/>
  <c r="H237" i="38"/>
  <c r="G237" i="38"/>
  <c r="G31" i="38" s="1"/>
  <c r="G33" i="38" s="1"/>
  <c r="E68" i="3" s="1"/>
  <c r="F237" i="38"/>
  <c r="F31" i="38" s="1"/>
  <c r="F33" i="38" s="1"/>
  <c r="D68" i="3" s="1"/>
  <c r="E237" i="38"/>
  <c r="E31" i="38" s="1"/>
  <c r="D237" i="38"/>
  <c r="O220" i="38"/>
  <c r="O10" i="38" s="1"/>
  <c r="M20" i="2" s="1"/>
  <c r="Z20" i="2" s="1"/>
  <c r="N220" i="38"/>
  <c r="N10" i="38" s="1"/>
  <c r="L20" i="2" s="1"/>
  <c r="Y20" i="2" s="1"/>
  <c r="M220" i="38"/>
  <c r="M10" i="38" s="1"/>
  <c r="K20" i="2" s="1"/>
  <c r="X20" i="2" s="1"/>
  <c r="L220" i="38"/>
  <c r="L10" i="38" s="1"/>
  <c r="J20" i="2" s="1"/>
  <c r="W20" i="2" s="1"/>
  <c r="K220" i="38"/>
  <c r="K10" i="38" s="1"/>
  <c r="I20" i="2" s="1"/>
  <c r="V20" i="2" s="1"/>
  <c r="J220" i="38"/>
  <c r="J10" i="38" s="1"/>
  <c r="H20" i="2" s="1"/>
  <c r="U20" i="2" s="1"/>
  <c r="I220" i="38"/>
  <c r="I10" i="38" s="1"/>
  <c r="G20" i="2" s="1"/>
  <c r="T20" i="2" s="1"/>
  <c r="H220" i="38"/>
  <c r="H10" i="38" s="1"/>
  <c r="F20" i="2" s="1"/>
  <c r="S20" i="2" s="1"/>
  <c r="G220" i="38"/>
  <c r="G10" i="38" s="1"/>
  <c r="F220" i="38"/>
  <c r="F10" i="38" s="1"/>
  <c r="D20" i="2" s="1"/>
  <c r="Q20" i="2" s="1"/>
  <c r="E220" i="38"/>
  <c r="E10" i="38" s="1"/>
  <c r="C20" i="2" s="1"/>
  <c r="P20" i="2" s="1"/>
  <c r="D220" i="38"/>
  <c r="O213" i="38"/>
  <c r="O77" i="38" s="1"/>
  <c r="N213" i="38"/>
  <c r="N77" i="38" s="1"/>
  <c r="N80" i="38" s="1"/>
  <c r="L519" i="3" s="1"/>
  <c r="M213" i="38"/>
  <c r="M77" i="38" s="1"/>
  <c r="L213" i="38"/>
  <c r="K213" i="38"/>
  <c r="K77" i="38" s="1"/>
  <c r="J213" i="38"/>
  <c r="J77" i="38" s="1"/>
  <c r="J80" i="38" s="1"/>
  <c r="H519" i="3" s="1"/>
  <c r="I213" i="38"/>
  <c r="I77" i="38" s="1"/>
  <c r="H213" i="38"/>
  <c r="G213" i="38"/>
  <c r="G77" i="38" s="1"/>
  <c r="F213" i="38"/>
  <c r="F77" i="38" s="1"/>
  <c r="F80" i="38" s="1"/>
  <c r="D519" i="3" s="1"/>
  <c r="E213" i="38"/>
  <c r="E77" i="38" s="1"/>
  <c r="D213" i="38"/>
  <c r="D77" i="38" s="1"/>
  <c r="O212" i="38"/>
  <c r="O29" i="38" s="1"/>
  <c r="N212" i="38"/>
  <c r="N29" i="38" s="1"/>
  <c r="L64" i="3" s="1"/>
  <c r="M212" i="38"/>
  <c r="M29" i="38" s="1"/>
  <c r="K64" i="3" s="1"/>
  <c r="L212" i="38"/>
  <c r="L29" i="38" s="1"/>
  <c r="J64" i="3" s="1"/>
  <c r="K212" i="38"/>
  <c r="J212" i="38"/>
  <c r="J29" i="38" s="1"/>
  <c r="H64" i="3" s="1"/>
  <c r="I212" i="38"/>
  <c r="I29" i="38" s="1"/>
  <c r="G64" i="3" s="1"/>
  <c r="H212" i="38"/>
  <c r="H29" i="38" s="1"/>
  <c r="F64" i="3" s="1"/>
  <c r="G212" i="38"/>
  <c r="G29" i="38" s="1"/>
  <c r="E64" i="3" s="1"/>
  <c r="F212" i="38"/>
  <c r="F29" i="38" s="1"/>
  <c r="D64" i="3" s="1"/>
  <c r="E212" i="38"/>
  <c r="E29" i="38" s="1"/>
  <c r="C64" i="3" s="1"/>
  <c r="D212" i="38"/>
  <c r="D29" i="38" s="1"/>
  <c r="B64" i="3" s="1"/>
  <c r="O201" i="38"/>
  <c r="N201" i="38"/>
  <c r="M201" i="38"/>
  <c r="L201" i="38"/>
  <c r="K201" i="38"/>
  <c r="J201" i="38"/>
  <c r="I201" i="38"/>
  <c r="H201" i="38"/>
  <c r="G201" i="38"/>
  <c r="F201" i="38"/>
  <c r="E201" i="38"/>
  <c r="D201" i="38"/>
  <c r="O192" i="38"/>
  <c r="N192" i="38"/>
  <c r="M192" i="38"/>
  <c r="L192" i="38"/>
  <c r="K192" i="38"/>
  <c r="J192" i="38"/>
  <c r="I192" i="38"/>
  <c r="H192" i="38"/>
  <c r="G192" i="38"/>
  <c r="F192" i="38"/>
  <c r="E192" i="38"/>
  <c r="D192" i="38"/>
  <c r="O188" i="38"/>
  <c r="N188" i="38"/>
  <c r="M188" i="38"/>
  <c r="L188" i="38"/>
  <c r="K188" i="38"/>
  <c r="J188" i="38"/>
  <c r="I188" i="38"/>
  <c r="H188" i="38"/>
  <c r="G188" i="38"/>
  <c r="F188" i="38"/>
  <c r="E188" i="38"/>
  <c r="D188" i="38"/>
  <c r="O178" i="38"/>
  <c r="O9" i="38" s="1"/>
  <c r="M19" i="2" s="1"/>
  <c r="Z19" i="2" s="1"/>
  <c r="N178" i="38"/>
  <c r="N9" i="38" s="1"/>
  <c r="L19" i="2" s="1"/>
  <c r="Y19" i="2" s="1"/>
  <c r="M178" i="38"/>
  <c r="M9" i="38" s="1"/>
  <c r="K19" i="2" s="1"/>
  <c r="X19" i="2" s="1"/>
  <c r="L178" i="38"/>
  <c r="L9" i="38" s="1"/>
  <c r="J19" i="2" s="1"/>
  <c r="W19" i="2" s="1"/>
  <c r="K178" i="38"/>
  <c r="K9" i="38" s="1"/>
  <c r="I19" i="2" s="1"/>
  <c r="V19" i="2" s="1"/>
  <c r="J178" i="38"/>
  <c r="J9" i="38" s="1"/>
  <c r="H19" i="2" s="1"/>
  <c r="U19" i="2" s="1"/>
  <c r="I178" i="38"/>
  <c r="I9" i="38" s="1"/>
  <c r="G19" i="2" s="1"/>
  <c r="T19" i="2" s="1"/>
  <c r="H178" i="38"/>
  <c r="G178" i="38"/>
  <c r="G9" i="38" s="1"/>
  <c r="E19" i="2" s="1"/>
  <c r="R19" i="2" s="1"/>
  <c r="F178" i="38"/>
  <c r="F9" i="38" s="1"/>
  <c r="D19" i="2" s="1"/>
  <c r="Q19" i="2" s="1"/>
  <c r="E178" i="38"/>
  <c r="E9" i="38" s="1"/>
  <c r="C19" i="2" s="1"/>
  <c r="P19" i="2" s="1"/>
  <c r="D178" i="38"/>
  <c r="D9" i="38" s="1"/>
  <c r="B19" i="2" s="1"/>
  <c r="O19" i="2" s="1"/>
  <c r="O170" i="38"/>
  <c r="N170" i="38"/>
  <c r="N69" i="38" s="1"/>
  <c r="M170" i="38"/>
  <c r="M69" i="38" s="1"/>
  <c r="L170" i="38"/>
  <c r="K170" i="38"/>
  <c r="J170" i="38"/>
  <c r="J69" i="38" s="1"/>
  <c r="I170" i="38"/>
  <c r="I69" i="38" s="1"/>
  <c r="H170" i="38"/>
  <c r="H69" i="38" s="1"/>
  <c r="G170" i="38"/>
  <c r="G69" i="38" s="1"/>
  <c r="F170" i="38"/>
  <c r="F69" i="38" s="1"/>
  <c r="E170" i="38"/>
  <c r="E69" i="38" s="1"/>
  <c r="D170" i="38"/>
  <c r="O169" i="38"/>
  <c r="O57" i="38" s="1"/>
  <c r="O59" i="38" s="1"/>
  <c r="M362" i="3" s="1"/>
  <c r="N169" i="38"/>
  <c r="N57" i="38" s="1"/>
  <c r="N59" i="38" s="1"/>
  <c r="L362" i="3" s="1"/>
  <c r="M169" i="38"/>
  <c r="M57" i="38" s="1"/>
  <c r="L169" i="38"/>
  <c r="K169" i="38"/>
  <c r="K57" i="38" s="1"/>
  <c r="K59" i="38" s="1"/>
  <c r="I362" i="3" s="1"/>
  <c r="J169" i="38"/>
  <c r="J57" i="38" s="1"/>
  <c r="J59" i="38" s="1"/>
  <c r="H362" i="3" s="1"/>
  <c r="I169" i="38"/>
  <c r="I57" i="38" s="1"/>
  <c r="I59" i="38" s="1"/>
  <c r="G362" i="3" s="1"/>
  <c r="H169" i="38"/>
  <c r="G169" i="38"/>
  <c r="G57" i="38" s="1"/>
  <c r="F169" i="38"/>
  <c r="F57" i="38" s="1"/>
  <c r="F59" i="38" s="1"/>
  <c r="D362" i="3" s="1"/>
  <c r="E169" i="38"/>
  <c r="E57" i="38" s="1"/>
  <c r="E59" i="38" s="1"/>
  <c r="C362" i="3" s="1"/>
  <c r="D169" i="38"/>
  <c r="O168" i="38"/>
  <c r="O27" i="38" s="1"/>
  <c r="M18" i="3" s="1"/>
  <c r="N168" i="38"/>
  <c r="N27" i="38" s="1"/>
  <c r="M168" i="38"/>
  <c r="M27" i="38" s="1"/>
  <c r="L168" i="38"/>
  <c r="K168" i="38"/>
  <c r="K27" i="38" s="1"/>
  <c r="I18" i="3" s="1"/>
  <c r="J168" i="38"/>
  <c r="J27" i="38" s="1"/>
  <c r="H18" i="3" s="1"/>
  <c r="I168" i="38"/>
  <c r="I27" i="38" s="1"/>
  <c r="G18" i="3" s="1"/>
  <c r="H168" i="38"/>
  <c r="G168" i="38"/>
  <c r="F168" i="38"/>
  <c r="F27" i="38" s="1"/>
  <c r="E168" i="38"/>
  <c r="E27" i="38" s="1"/>
  <c r="C18" i="3" s="1"/>
  <c r="D168" i="38"/>
  <c r="D27" i="38" s="1"/>
  <c r="B18" i="3" s="1"/>
  <c r="O150" i="38"/>
  <c r="O8" i="38" s="1"/>
  <c r="N150" i="38"/>
  <c r="N8" i="38" s="1"/>
  <c r="N3" i="38" s="1"/>
  <c r="M150" i="38"/>
  <c r="M8" i="38" s="1"/>
  <c r="K18" i="2" s="1"/>
  <c r="L150" i="38"/>
  <c r="L8" i="38" s="1"/>
  <c r="J18" i="2" s="1"/>
  <c r="W18" i="2" s="1"/>
  <c r="K150" i="38"/>
  <c r="K8" i="38" s="1"/>
  <c r="I18" i="2" s="1"/>
  <c r="J150" i="38"/>
  <c r="J8" i="38" s="1"/>
  <c r="H18" i="2" s="1"/>
  <c r="I150" i="38"/>
  <c r="I8" i="38" s="1"/>
  <c r="G18" i="2" s="1"/>
  <c r="T18" i="2" s="1"/>
  <c r="H150" i="38"/>
  <c r="H8" i="38" s="1"/>
  <c r="F18" i="2" s="1"/>
  <c r="G150" i="38"/>
  <c r="G8" i="38" s="1"/>
  <c r="F150" i="38"/>
  <c r="F8" i="38" s="1"/>
  <c r="E150" i="38"/>
  <c r="E8" i="38" s="1"/>
  <c r="C18" i="2" s="1"/>
  <c r="D150" i="38"/>
  <c r="O143" i="38"/>
  <c r="O75" i="38" s="1"/>
  <c r="M469" i="3" s="1"/>
  <c r="N143" i="38"/>
  <c r="N75" i="38" s="1"/>
  <c r="L469" i="3" s="1"/>
  <c r="M143" i="38"/>
  <c r="M75" i="38" s="1"/>
  <c r="K469" i="3" s="1"/>
  <c r="L143" i="38"/>
  <c r="L75" i="38" s="1"/>
  <c r="J469" i="3" s="1"/>
  <c r="K143" i="38"/>
  <c r="K75" i="38" s="1"/>
  <c r="I469" i="3" s="1"/>
  <c r="J143" i="38"/>
  <c r="J75" i="38" s="1"/>
  <c r="H469" i="3" s="1"/>
  <c r="I143" i="38"/>
  <c r="I75" i="38" s="1"/>
  <c r="G469" i="3" s="1"/>
  <c r="H143" i="38"/>
  <c r="G143" i="38"/>
  <c r="G75" i="38" s="1"/>
  <c r="E469" i="3" s="1"/>
  <c r="F143" i="38"/>
  <c r="F75" i="38" s="1"/>
  <c r="D469" i="3" s="1"/>
  <c r="E143" i="38"/>
  <c r="E75" i="38" s="1"/>
  <c r="C469" i="3" s="1"/>
  <c r="D143" i="38"/>
  <c r="D75" i="38" s="1"/>
  <c r="B469" i="3" s="1"/>
  <c r="O142" i="38"/>
  <c r="O70" i="38" s="1"/>
  <c r="N142" i="38"/>
  <c r="N70" i="38" s="1"/>
  <c r="M142" i="38"/>
  <c r="M70" i="38" s="1"/>
  <c r="L142" i="38"/>
  <c r="L70" i="38" s="1"/>
  <c r="K142" i="38"/>
  <c r="K70" i="38" s="1"/>
  <c r="J142" i="38"/>
  <c r="J70" i="38" s="1"/>
  <c r="I142" i="38"/>
  <c r="I70" i="38" s="1"/>
  <c r="H142" i="38"/>
  <c r="G142" i="38"/>
  <c r="G70" i="38" s="1"/>
  <c r="F142" i="38"/>
  <c r="F70" i="38" s="1"/>
  <c r="E142" i="38"/>
  <c r="E70" i="38" s="1"/>
  <c r="D142" i="38"/>
  <c r="D70" i="38" s="1"/>
  <c r="O120" i="38"/>
  <c r="O5" i="38" s="1"/>
  <c r="M32" i="2" s="1"/>
  <c r="Z32" i="2" s="1"/>
  <c r="N120" i="38"/>
  <c r="N5" i="38" s="1"/>
  <c r="M120" i="38"/>
  <c r="M5" i="38" s="1"/>
  <c r="L120" i="38"/>
  <c r="L5" i="38" s="1"/>
  <c r="J32" i="2" s="1"/>
  <c r="W32" i="2" s="1"/>
  <c r="K120" i="38"/>
  <c r="K5" i="38" s="1"/>
  <c r="I32" i="2" s="1"/>
  <c r="J120" i="38"/>
  <c r="J5" i="38" s="1"/>
  <c r="I120" i="38"/>
  <c r="I5" i="38" s="1"/>
  <c r="H120" i="38"/>
  <c r="H5" i="38" s="1"/>
  <c r="F32" i="2" s="1"/>
  <c r="S32" i="2" s="1"/>
  <c r="G120" i="38"/>
  <c r="G5" i="38" s="1"/>
  <c r="E32" i="2" s="1"/>
  <c r="R32" i="2" s="1"/>
  <c r="F120" i="38"/>
  <c r="F5" i="38" s="1"/>
  <c r="E120" i="38"/>
  <c r="E5" i="38" s="1"/>
  <c r="D120" i="38"/>
  <c r="O113" i="38"/>
  <c r="O73" i="38" s="1"/>
  <c r="M431" i="3" s="1"/>
  <c r="N113" i="38"/>
  <c r="N73" i="38" s="1"/>
  <c r="L431" i="3" s="1"/>
  <c r="M113" i="38"/>
  <c r="M73" i="38" s="1"/>
  <c r="K431" i="3" s="1"/>
  <c r="L113" i="38"/>
  <c r="L73" i="38" s="1"/>
  <c r="J431" i="3" s="1"/>
  <c r="K113" i="38"/>
  <c r="K73" i="38" s="1"/>
  <c r="I431" i="3" s="1"/>
  <c r="J113" i="38"/>
  <c r="J73" i="38" s="1"/>
  <c r="H431" i="3" s="1"/>
  <c r="I113" i="38"/>
  <c r="I73" i="38" s="1"/>
  <c r="G431" i="3" s="1"/>
  <c r="H113" i="38"/>
  <c r="H73" i="38" s="1"/>
  <c r="F431" i="3" s="1"/>
  <c r="G113" i="38"/>
  <c r="G73" i="38" s="1"/>
  <c r="E431" i="3" s="1"/>
  <c r="F113" i="38"/>
  <c r="F73" i="38" s="1"/>
  <c r="D431" i="3" s="1"/>
  <c r="E113" i="38"/>
  <c r="E73" i="38" s="1"/>
  <c r="C431" i="3" s="1"/>
  <c r="D113" i="38"/>
  <c r="O112" i="38"/>
  <c r="O62" i="38" s="1"/>
  <c r="N112" i="38"/>
  <c r="N62" i="38" s="1"/>
  <c r="M112" i="38"/>
  <c r="M62" i="38" s="1"/>
  <c r="L112" i="38"/>
  <c r="K112" i="38"/>
  <c r="K62" i="38" s="1"/>
  <c r="K63" i="38" s="1"/>
  <c r="I373" i="3" s="1"/>
  <c r="J112" i="38"/>
  <c r="J62" i="38" s="1"/>
  <c r="I112" i="38"/>
  <c r="I62" i="38" s="1"/>
  <c r="H112" i="38"/>
  <c r="H62" i="38" s="1"/>
  <c r="G112" i="38"/>
  <c r="G62" i="38" s="1"/>
  <c r="F112" i="38"/>
  <c r="F62" i="38" s="1"/>
  <c r="E112" i="38"/>
  <c r="E62" i="38" s="1"/>
  <c r="D112" i="38"/>
  <c r="O93" i="38"/>
  <c r="O4" i="38" s="1"/>
  <c r="N93" i="38"/>
  <c r="N4" i="38" s="1"/>
  <c r="M93" i="38"/>
  <c r="M4" i="38" s="1"/>
  <c r="M22" i="38" s="1"/>
  <c r="L93" i="38"/>
  <c r="L4" i="38" s="1"/>
  <c r="L22" i="38" s="1"/>
  <c r="K93" i="38"/>
  <c r="J93" i="38"/>
  <c r="J4" i="38" s="1"/>
  <c r="I93" i="38"/>
  <c r="I4" i="38" s="1"/>
  <c r="H93" i="38"/>
  <c r="G93" i="38"/>
  <c r="G4" i="38" s="1"/>
  <c r="G22" i="38" s="1"/>
  <c r="F93" i="38"/>
  <c r="F4" i="38" s="1"/>
  <c r="E93" i="38"/>
  <c r="E4" i="38" s="1"/>
  <c r="C31" i="2" s="1"/>
  <c r="P31" i="2" s="1"/>
  <c r="D93" i="38"/>
  <c r="O79" i="38"/>
  <c r="L79" i="38"/>
  <c r="K79" i="38"/>
  <c r="H79" i="38"/>
  <c r="D79" i="38"/>
  <c r="L78" i="38"/>
  <c r="K78" i="38"/>
  <c r="L77" i="38"/>
  <c r="H77" i="38"/>
  <c r="H75" i="38"/>
  <c r="F469" i="3" s="1"/>
  <c r="D73" i="38"/>
  <c r="B431" i="3" s="1"/>
  <c r="H70" i="38"/>
  <c r="O69" i="38"/>
  <c r="L69" i="38"/>
  <c r="K69" i="38"/>
  <c r="D69" i="38"/>
  <c r="O66" i="38"/>
  <c r="L66" i="38"/>
  <c r="K66" i="38"/>
  <c r="H66" i="38"/>
  <c r="D66" i="38"/>
  <c r="L65" i="38"/>
  <c r="K65" i="38"/>
  <c r="D65" i="38"/>
  <c r="L62" i="38"/>
  <c r="D62" i="38"/>
  <c r="O61" i="38"/>
  <c r="L61" i="38"/>
  <c r="H61" i="38"/>
  <c r="D61" i="38"/>
  <c r="L58" i="38"/>
  <c r="H58" i="38"/>
  <c r="G58" i="38"/>
  <c r="D58" i="38"/>
  <c r="L57" i="38"/>
  <c r="H57" i="38"/>
  <c r="D57" i="38"/>
  <c r="O54" i="38"/>
  <c r="L54" i="38"/>
  <c r="H54" i="38"/>
  <c r="D54" i="38"/>
  <c r="L53" i="38"/>
  <c r="L50" i="38"/>
  <c r="K50" i="38"/>
  <c r="H50" i="38"/>
  <c r="D50" i="38"/>
  <c r="L49" i="38"/>
  <c r="L51" i="38" s="1"/>
  <c r="J208" i="3" s="1"/>
  <c r="K49" i="38"/>
  <c r="L46" i="38"/>
  <c r="H46" i="38"/>
  <c r="D46" i="38"/>
  <c r="O45" i="38"/>
  <c r="O47" i="38" s="1"/>
  <c r="M203" i="3" s="1"/>
  <c r="L45" i="38"/>
  <c r="H45" i="38"/>
  <c r="D45" i="38"/>
  <c r="D47" i="38" s="1"/>
  <c r="B203" i="3" s="1"/>
  <c r="O43" i="38"/>
  <c r="M167" i="3" s="1"/>
  <c r="L43" i="38"/>
  <c r="J167" i="3" s="1"/>
  <c r="H43" i="38"/>
  <c r="D43" i="38"/>
  <c r="B167" i="3" s="1"/>
  <c r="K41" i="38"/>
  <c r="I118" i="3" s="1"/>
  <c r="D41" i="38"/>
  <c r="B118" i="3" s="1"/>
  <c r="L39" i="38"/>
  <c r="J116" i="3" s="1"/>
  <c r="H39" i="38"/>
  <c r="F116" i="3" s="1"/>
  <c r="G39" i="38"/>
  <c r="E116" i="3" s="1"/>
  <c r="D39" i="38"/>
  <c r="B116" i="3" s="1"/>
  <c r="O35" i="38"/>
  <c r="M96" i="3" s="1"/>
  <c r="L35" i="38"/>
  <c r="J96" i="3" s="1"/>
  <c r="H35" i="38"/>
  <c r="F96" i="3" s="1"/>
  <c r="L32" i="38"/>
  <c r="D32" i="38"/>
  <c r="O31" i="38"/>
  <c r="H31" i="38"/>
  <c r="D31" i="38"/>
  <c r="K29" i="38"/>
  <c r="I64" i="3" s="1"/>
  <c r="L27" i="38"/>
  <c r="J18" i="3" s="1"/>
  <c r="H27" i="38"/>
  <c r="F18" i="3" s="1"/>
  <c r="G27" i="38"/>
  <c r="E18" i="3" s="1"/>
  <c r="L19" i="38"/>
  <c r="J29" i="2" s="1"/>
  <c r="W29" i="2" s="1"/>
  <c r="H19" i="38"/>
  <c r="F29" i="2" s="1"/>
  <c r="S29" i="2" s="1"/>
  <c r="D19" i="38"/>
  <c r="B29" i="2" s="1"/>
  <c r="O29" i="2" s="1"/>
  <c r="L18" i="38"/>
  <c r="J28" i="2" s="1"/>
  <c r="W28" i="2" s="1"/>
  <c r="H18" i="38"/>
  <c r="F28" i="2" s="1"/>
  <c r="S28" i="2" s="1"/>
  <c r="D18" i="38"/>
  <c r="B28" i="2" s="1"/>
  <c r="O28" i="2" s="1"/>
  <c r="L17" i="38"/>
  <c r="H17" i="38"/>
  <c r="F27" i="2" s="1"/>
  <c r="S27" i="2" s="1"/>
  <c r="D17" i="38"/>
  <c r="L16" i="38"/>
  <c r="J26" i="2" s="1"/>
  <c r="W26" i="2" s="1"/>
  <c r="K16" i="38"/>
  <c r="I26" i="2" s="1"/>
  <c r="V26" i="2" s="1"/>
  <c r="H16" i="38"/>
  <c r="F26" i="2" s="1"/>
  <c r="S26" i="2" s="1"/>
  <c r="D16" i="38"/>
  <c r="L15" i="38"/>
  <c r="J25" i="2" s="1"/>
  <c r="W25" i="2" s="1"/>
  <c r="K15" i="38"/>
  <c r="I25" i="2" s="1"/>
  <c r="V25" i="2" s="1"/>
  <c r="H15" i="38"/>
  <c r="F25" i="2" s="1"/>
  <c r="S25" i="2" s="1"/>
  <c r="D15" i="38"/>
  <c r="L14" i="38"/>
  <c r="J24" i="2" s="1"/>
  <c r="W24" i="2" s="1"/>
  <c r="H14" i="38"/>
  <c r="F24" i="2" s="1"/>
  <c r="S24" i="2" s="1"/>
  <c r="D14" i="38"/>
  <c r="L13" i="38"/>
  <c r="J23" i="2" s="1"/>
  <c r="W23" i="2" s="1"/>
  <c r="L12" i="38"/>
  <c r="J22" i="2" s="1"/>
  <c r="W22" i="2" s="1"/>
  <c r="K12" i="38"/>
  <c r="I22" i="2" s="1"/>
  <c r="V22" i="2" s="1"/>
  <c r="D12" i="38"/>
  <c r="B22" i="2" s="1"/>
  <c r="H11" i="38"/>
  <c r="F21" i="2" s="1"/>
  <c r="S21" i="2" s="1"/>
  <c r="D10" i="38"/>
  <c r="B20" i="2" s="1"/>
  <c r="O20" i="2" s="1"/>
  <c r="H9" i="38"/>
  <c r="F19" i="2" s="1"/>
  <c r="S19" i="2" s="1"/>
  <c r="D8" i="38"/>
  <c r="B18" i="2" s="1"/>
  <c r="O18" i="2" s="1"/>
  <c r="D5" i="38"/>
  <c r="B32" i="2" s="1"/>
  <c r="O32" i="2" s="1"/>
  <c r="K4" i="38"/>
  <c r="H4" i="38"/>
  <c r="H22" i="38" s="1"/>
  <c r="D4" i="38"/>
  <c r="D22" i="38" s="1"/>
  <c r="M166" i="3"/>
  <c r="K166" i="3"/>
  <c r="M165" i="3"/>
  <c r="L165" i="3"/>
  <c r="K165" i="3"/>
  <c r="J165" i="3"/>
  <c r="I165" i="3"/>
  <c r="G165" i="3"/>
  <c r="F165" i="3"/>
  <c r="D165" i="3"/>
  <c r="C165" i="3"/>
  <c r="B165" i="3"/>
  <c r="O17" i="36"/>
  <c r="N13" i="36"/>
  <c r="M17" i="36"/>
  <c r="L15" i="36"/>
  <c r="K13" i="36"/>
  <c r="J13" i="36"/>
  <c r="I17" i="36"/>
  <c r="H15" i="36"/>
  <c r="G13" i="36"/>
  <c r="F13" i="36"/>
  <c r="E17" i="36"/>
  <c r="D15" i="36"/>
  <c r="O5" i="36"/>
  <c r="N5" i="36"/>
  <c r="M5" i="36"/>
  <c r="L5" i="36"/>
  <c r="I127" i="2"/>
  <c r="V127" i="2" s="1"/>
  <c r="J5" i="36"/>
  <c r="I5" i="36"/>
  <c r="H5" i="36"/>
  <c r="E127" i="2"/>
  <c r="R127" i="2" s="1"/>
  <c r="F5" i="36"/>
  <c r="E5" i="36"/>
  <c r="D5" i="36"/>
  <c r="O255" i="37"/>
  <c r="O41" i="37" s="1"/>
  <c r="M497" i="3" s="1"/>
  <c r="N255" i="37"/>
  <c r="N41" i="37" s="1"/>
  <c r="L497" i="3" s="1"/>
  <c r="M255" i="37"/>
  <c r="L255" i="37"/>
  <c r="L41" i="37" s="1"/>
  <c r="J497" i="3" s="1"/>
  <c r="K255" i="37"/>
  <c r="K41" i="37" s="1"/>
  <c r="I497" i="3" s="1"/>
  <c r="J255" i="37"/>
  <c r="J41" i="37" s="1"/>
  <c r="H497" i="3" s="1"/>
  <c r="I255" i="37"/>
  <c r="H255" i="37"/>
  <c r="G255" i="37"/>
  <c r="G41" i="37" s="1"/>
  <c r="E497" i="3" s="1"/>
  <c r="F255" i="37"/>
  <c r="F41" i="37" s="1"/>
  <c r="D497" i="3" s="1"/>
  <c r="E255" i="37"/>
  <c r="E41" i="37" s="1"/>
  <c r="C497" i="3" s="1"/>
  <c r="D255" i="37"/>
  <c r="D41" i="37" s="1"/>
  <c r="B497" i="3" s="1"/>
  <c r="O254" i="37"/>
  <c r="O38" i="37" s="1"/>
  <c r="N254" i="37"/>
  <c r="N38" i="37" s="1"/>
  <c r="M254" i="37"/>
  <c r="L254" i="37"/>
  <c r="K254" i="37"/>
  <c r="K38" i="37" s="1"/>
  <c r="J254" i="37"/>
  <c r="J38" i="37" s="1"/>
  <c r="I254" i="37"/>
  <c r="I38" i="37" s="1"/>
  <c r="H254" i="37"/>
  <c r="H38" i="37" s="1"/>
  <c r="G254" i="37"/>
  <c r="G38" i="37" s="1"/>
  <c r="F254" i="37"/>
  <c r="F38" i="37" s="1"/>
  <c r="E254" i="37"/>
  <c r="E38" i="37" s="1"/>
  <c r="D254" i="37"/>
  <c r="O253" i="37"/>
  <c r="O28" i="37" s="1"/>
  <c r="N253" i="37"/>
  <c r="N28" i="37" s="1"/>
  <c r="M253" i="37"/>
  <c r="M28" i="37" s="1"/>
  <c r="L253" i="37"/>
  <c r="L28" i="37" s="1"/>
  <c r="K253" i="37"/>
  <c r="K28" i="37" s="1"/>
  <c r="J253" i="37"/>
  <c r="J28" i="37" s="1"/>
  <c r="I253" i="37"/>
  <c r="H253" i="37"/>
  <c r="G253" i="37"/>
  <c r="G28" i="37" s="1"/>
  <c r="F253" i="37"/>
  <c r="F28" i="37" s="1"/>
  <c r="E253" i="37"/>
  <c r="E28" i="37" s="1"/>
  <c r="D253" i="37"/>
  <c r="D28" i="37" s="1"/>
  <c r="O252" i="37"/>
  <c r="O18" i="37" s="1"/>
  <c r="N252" i="37"/>
  <c r="N18" i="37" s="1"/>
  <c r="M252" i="37"/>
  <c r="L252" i="37"/>
  <c r="K252" i="37"/>
  <c r="K18" i="37" s="1"/>
  <c r="J252" i="37"/>
  <c r="J18" i="37" s="1"/>
  <c r="I252" i="37"/>
  <c r="I18" i="37" s="1"/>
  <c r="H252" i="37"/>
  <c r="H18" i="37" s="1"/>
  <c r="G252" i="37"/>
  <c r="G18" i="37" s="1"/>
  <c r="F252" i="37"/>
  <c r="F18" i="37" s="1"/>
  <c r="E252" i="37"/>
  <c r="E18" i="37" s="1"/>
  <c r="D252" i="37"/>
  <c r="O242" i="37"/>
  <c r="N242" i="37"/>
  <c r="M242" i="37"/>
  <c r="L242" i="37"/>
  <c r="K242" i="37"/>
  <c r="J242" i="37"/>
  <c r="I242" i="37"/>
  <c r="H242" i="37"/>
  <c r="G242" i="37"/>
  <c r="F242" i="37"/>
  <c r="E242" i="37"/>
  <c r="D242" i="37"/>
  <c r="O238" i="37"/>
  <c r="N238" i="37"/>
  <c r="M238" i="37"/>
  <c r="L238" i="37"/>
  <c r="K238" i="37"/>
  <c r="J238" i="37"/>
  <c r="I238" i="37"/>
  <c r="H238" i="37"/>
  <c r="G238" i="37"/>
  <c r="F238" i="37"/>
  <c r="E238" i="37"/>
  <c r="D238" i="37"/>
  <c r="O234" i="37"/>
  <c r="N234" i="37"/>
  <c r="M234" i="37"/>
  <c r="L234" i="37"/>
  <c r="K234" i="37"/>
  <c r="J234" i="37"/>
  <c r="I234" i="37"/>
  <c r="H234" i="37"/>
  <c r="G234" i="37"/>
  <c r="F234" i="37"/>
  <c r="E234" i="37"/>
  <c r="D234" i="37"/>
  <c r="O229" i="37"/>
  <c r="N229" i="37"/>
  <c r="M229" i="37"/>
  <c r="L229" i="37"/>
  <c r="K229" i="37"/>
  <c r="J229" i="37"/>
  <c r="I229" i="37"/>
  <c r="H229" i="37"/>
  <c r="G229" i="37"/>
  <c r="F229" i="37"/>
  <c r="E229" i="37"/>
  <c r="D229" i="37"/>
  <c r="O225" i="37"/>
  <c r="N225" i="37"/>
  <c r="M225" i="37"/>
  <c r="L225" i="37"/>
  <c r="K225" i="37"/>
  <c r="J225" i="37"/>
  <c r="I225" i="37"/>
  <c r="H225" i="37"/>
  <c r="G225" i="37"/>
  <c r="F225" i="37"/>
  <c r="E225" i="37"/>
  <c r="D225" i="37"/>
  <c r="O211" i="37"/>
  <c r="N211" i="37"/>
  <c r="M211" i="37"/>
  <c r="L211" i="37"/>
  <c r="K211" i="37"/>
  <c r="J211" i="37"/>
  <c r="I211" i="37"/>
  <c r="H211" i="37"/>
  <c r="G211" i="37"/>
  <c r="F211" i="37"/>
  <c r="E211" i="37"/>
  <c r="D211" i="37"/>
  <c r="O198" i="37"/>
  <c r="N198" i="37"/>
  <c r="M198" i="37"/>
  <c r="L198" i="37"/>
  <c r="K198" i="37"/>
  <c r="J198" i="37"/>
  <c r="I198" i="37"/>
  <c r="H198" i="37"/>
  <c r="G198" i="37"/>
  <c r="F198" i="37"/>
  <c r="E198" i="37"/>
  <c r="D198" i="37"/>
  <c r="O195" i="37"/>
  <c r="O11" i="37" s="1"/>
  <c r="M248" i="2" s="1"/>
  <c r="Z248" i="2" s="1"/>
  <c r="N195" i="37"/>
  <c r="N11" i="37" s="1"/>
  <c r="L248" i="2" s="1"/>
  <c r="Y248" i="2" s="1"/>
  <c r="M195" i="37"/>
  <c r="L195" i="37"/>
  <c r="K195" i="37"/>
  <c r="K11" i="37" s="1"/>
  <c r="I248" i="2" s="1"/>
  <c r="V248" i="2" s="1"/>
  <c r="J195" i="37"/>
  <c r="J11" i="37" s="1"/>
  <c r="H248" i="2" s="1"/>
  <c r="U248" i="2" s="1"/>
  <c r="I195" i="37"/>
  <c r="H195" i="37"/>
  <c r="H11" i="37" s="1"/>
  <c r="F248" i="2" s="1"/>
  <c r="S248" i="2" s="1"/>
  <c r="G195" i="37"/>
  <c r="G11" i="37" s="1"/>
  <c r="E248" i="2" s="1"/>
  <c r="R248" i="2" s="1"/>
  <c r="F195" i="37"/>
  <c r="F11" i="37" s="1"/>
  <c r="D248" i="2" s="1"/>
  <c r="Q248" i="2" s="1"/>
  <c r="E195" i="37"/>
  <c r="E11" i="37" s="1"/>
  <c r="C248" i="2" s="1"/>
  <c r="P248" i="2" s="1"/>
  <c r="D195" i="37"/>
  <c r="D11" i="37" s="1"/>
  <c r="B248" i="2" s="1"/>
  <c r="O248" i="2" s="1"/>
  <c r="O188" i="37"/>
  <c r="O32" i="37" s="1"/>
  <c r="N188" i="37"/>
  <c r="N32" i="37" s="1"/>
  <c r="M188" i="37"/>
  <c r="M32" i="37" s="1"/>
  <c r="L188" i="37"/>
  <c r="L32" i="37" s="1"/>
  <c r="K188" i="37"/>
  <c r="K32" i="37" s="1"/>
  <c r="J188" i="37"/>
  <c r="J32" i="37" s="1"/>
  <c r="I188" i="37"/>
  <c r="H188" i="37"/>
  <c r="G188" i="37"/>
  <c r="G32" i="37" s="1"/>
  <c r="F188" i="37"/>
  <c r="F32" i="37" s="1"/>
  <c r="E188" i="37"/>
  <c r="E32" i="37" s="1"/>
  <c r="D188" i="37"/>
  <c r="D32" i="37" s="1"/>
  <c r="O187" i="37"/>
  <c r="O17" i="37" s="1"/>
  <c r="O19" i="37" s="1"/>
  <c r="N187" i="37"/>
  <c r="N17" i="37" s="1"/>
  <c r="M187" i="37"/>
  <c r="M17" i="37" s="1"/>
  <c r="L187" i="37"/>
  <c r="L17" i="37" s="1"/>
  <c r="K187" i="37"/>
  <c r="K17" i="37" s="1"/>
  <c r="K19" i="37" s="1"/>
  <c r="I31" i="3" s="1"/>
  <c r="J187" i="37"/>
  <c r="J17" i="37" s="1"/>
  <c r="I187" i="37"/>
  <c r="H187" i="37"/>
  <c r="H17" i="37" s="1"/>
  <c r="G187" i="37"/>
  <c r="G17" i="37" s="1"/>
  <c r="G19" i="37" s="1"/>
  <c r="E31" i="3" s="1"/>
  <c r="F187" i="37"/>
  <c r="F17" i="37" s="1"/>
  <c r="F19" i="37" s="1"/>
  <c r="E187" i="37"/>
  <c r="E17" i="37" s="1"/>
  <c r="D187" i="37"/>
  <c r="D17" i="37" s="1"/>
  <c r="O183" i="37"/>
  <c r="N183" i="37"/>
  <c r="M183" i="37"/>
  <c r="L183" i="37"/>
  <c r="K183" i="37"/>
  <c r="J183" i="37"/>
  <c r="I183" i="37"/>
  <c r="H183" i="37"/>
  <c r="G183" i="37"/>
  <c r="F183" i="37"/>
  <c r="E183" i="37"/>
  <c r="D183" i="37"/>
  <c r="O175" i="37"/>
  <c r="N175" i="37"/>
  <c r="M175" i="37"/>
  <c r="L175" i="37"/>
  <c r="K175" i="37"/>
  <c r="J175" i="37"/>
  <c r="I175" i="37"/>
  <c r="H175" i="37"/>
  <c r="G175" i="37"/>
  <c r="F175" i="37"/>
  <c r="E175" i="37"/>
  <c r="D175" i="37"/>
  <c r="O160" i="37"/>
  <c r="O10" i="37" s="1"/>
  <c r="N160" i="37"/>
  <c r="N10" i="37" s="1"/>
  <c r="L247" i="2" s="1"/>
  <c r="Y247" i="2" s="1"/>
  <c r="M160" i="37"/>
  <c r="M10" i="37" s="1"/>
  <c r="K247" i="2" s="1"/>
  <c r="X247" i="2" s="1"/>
  <c r="L160" i="37"/>
  <c r="L10" i="37" s="1"/>
  <c r="J247" i="2" s="1"/>
  <c r="W247" i="2" s="1"/>
  <c r="K160" i="37"/>
  <c r="K10" i="37" s="1"/>
  <c r="I247" i="2" s="1"/>
  <c r="V247" i="2" s="1"/>
  <c r="J160" i="37"/>
  <c r="J10" i="37" s="1"/>
  <c r="H247" i="2" s="1"/>
  <c r="U247" i="2" s="1"/>
  <c r="I160" i="37"/>
  <c r="I10" i="37" s="1"/>
  <c r="G247" i="2" s="1"/>
  <c r="T247" i="2" s="1"/>
  <c r="H160" i="37"/>
  <c r="H10" i="37" s="1"/>
  <c r="F247" i="2" s="1"/>
  <c r="S247" i="2" s="1"/>
  <c r="G160" i="37"/>
  <c r="G10" i="37" s="1"/>
  <c r="E247" i="2" s="1"/>
  <c r="R247" i="2" s="1"/>
  <c r="F160" i="37"/>
  <c r="F10" i="37" s="1"/>
  <c r="D247" i="2" s="1"/>
  <c r="Q247" i="2" s="1"/>
  <c r="E160" i="37"/>
  <c r="D160" i="37"/>
  <c r="O153" i="37"/>
  <c r="O37" i="37" s="1"/>
  <c r="N153" i="37"/>
  <c r="N37" i="37" s="1"/>
  <c r="N39" i="37" s="1"/>
  <c r="L260" i="3" s="1"/>
  <c r="M153" i="37"/>
  <c r="M37" i="37" s="1"/>
  <c r="L153" i="37"/>
  <c r="L37" i="37" s="1"/>
  <c r="K153" i="37"/>
  <c r="K37" i="37" s="1"/>
  <c r="K39" i="37" s="1"/>
  <c r="I260" i="3" s="1"/>
  <c r="J153" i="37"/>
  <c r="J37" i="37" s="1"/>
  <c r="I153" i="37"/>
  <c r="H153" i="37"/>
  <c r="G153" i="37"/>
  <c r="G37" i="37" s="1"/>
  <c r="G39" i="37" s="1"/>
  <c r="E260" i="3" s="1"/>
  <c r="F153" i="37"/>
  <c r="F37" i="37" s="1"/>
  <c r="E153" i="37"/>
  <c r="E37" i="37" s="1"/>
  <c r="D153" i="37"/>
  <c r="D37" i="37" s="1"/>
  <c r="O152" i="37"/>
  <c r="O22" i="37" s="1"/>
  <c r="N152" i="37"/>
  <c r="N22" i="37" s="1"/>
  <c r="M152" i="37"/>
  <c r="M22" i="37" s="1"/>
  <c r="L152" i="37"/>
  <c r="K152" i="37"/>
  <c r="K22" i="37" s="1"/>
  <c r="J152" i="37"/>
  <c r="J22" i="37" s="1"/>
  <c r="I152" i="37"/>
  <c r="H152" i="37"/>
  <c r="H22" i="37" s="1"/>
  <c r="G152" i="37"/>
  <c r="G22" i="37" s="1"/>
  <c r="F152" i="37"/>
  <c r="F22" i="37" s="1"/>
  <c r="E152" i="37"/>
  <c r="D152" i="37"/>
  <c r="O129" i="37"/>
  <c r="O9" i="37" s="1"/>
  <c r="M246" i="2" s="1"/>
  <c r="Z246" i="2" s="1"/>
  <c r="N129" i="37"/>
  <c r="N9" i="37" s="1"/>
  <c r="L246" i="2" s="1"/>
  <c r="Y246" i="2" s="1"/>
  <c r="M129" i="37"/>
  <c r="M9" i="37" s="1"/>
  <c r="K246" i="2" s="1"/>
  <c r="X246" i="2" s="1"/>
  <c r="L129" i="37"/>
  <c r="L9" i="37" s="1"/>
  <c r="J246" i="2" s="1"/>
  <c r="W246" i="2" s="1"/>
  <c r="K129" i="37"/>
  <c r="K9" i="37" s="1"/>
  <c r="I246" i="2" s="1"/>
  <c r="V246" i="2" s="1"/>
  <c r="J129" i="37"/>
  <c r="J9" i="37" s="1"/>
  <c r="H246" i="2" s="1"/>
  <c r="U246" i="2" s="1"/>
  <c r="I129" i="37"/>
  <c r="I9" i="37" s="1"/>
  <c r="G246" i="2" s="1"/>
  <c r="T246" i="2" s="1"/>
  <c r="H129" i="37"/>
  <c r="G129" i="37"/>
  <c r="G9" i="37" s="1"/>
  <c r="E246" i="2" s="1"/>
  <c r="R246" i="2" s="1"/>
  <c r="F129" i="37"/>
  <c r="F9" i="37" s="1"/>
  <c r="D246" i="2" s="1"/>
  <c r="Q246" i="2" s="1"/>
  <c r="E129" i="37"/>
  <c r="E9" i="37" s="1"/>
  <c r="C246" i="2" s="1"/>
  <c r="P246" i="2" s="1"/>
  <c r="D129" i="37"/>
  <c r="D9" i="37" s="1"/>
  <c r="B246" i="2" s="1"/>
  <c r="O246" i="2" s="1"/>
  <c r="O122" i="37"/>
  <c r="O31" i="37" s="1"/>
  <c r="N122" i="37"/>
  <c r="N31" i="37" s="1"/>
  <c r="M122" i="37"/>
  <c r="M31" i="37" s="1"/>
  <c r="L122" i="37"/>
  <c r="K122" i="37"/>
  <c r="K31" i="37" s="1"/>
  <c r="K33" i="37" s="1"/>
  <c r="I209" i="3" s="1"/>
  <c r="J122" i="37"/>
  <c r="J31" i="37" s="1"/>
  <c r="I122" i="37"/>
  <c r="I31" i="37" s="1"/>
  <c r="H122" i="37"/>
  <c r="H31" i="37" s="1"/>
  <c r="G122" i="37"/>
  <c r="G31" i="37" s="1"/>
  <c r="G33" i="37" s="1"/>
  <c r="E209" i="3" s="1"/>
  <c r="F122" i="37"/>
  <c r="F31" i="37" s="1"/>
  <c r="F33" i="37" s="1"/>
  <c r="D209" i="3" s="1"/>
  <c r="E122" i="37"/>
  <c r="E31" i="37" s="1"/>
  <c r="D122" i="37"/>
  <c r="D31" i="37" s="1"/>
  <c r="O104" i="37"/>
  <c r="O8" i="37" s="1"/>
  <c r="M245" i="2" s="1"/>
  <c r="Z245" i="2" s="1"/>
  <c r="N104" i="37"/>
  <c r="N8" i="37" s="1"/>
  <c r="L245" i="2" s="1"/>
  <c r="Y245" i="2" s="1"/>
  <c r="M104" i="37"/>
  <c r="L104" i="37"/>
  <c r="L8" i="37" s="1"/>
  <c r="J245" i="2" s="1"/>
  <c r="W245" i="2" s="1"/>
  <c r="K104" i="37"/>
  <c r="K8" i="37" s="1"/>
  <c r="I245" i="2" s="1"/>
  <c r="V245" i="2" s="1"/>
  <c r="J104" i="37"/>
  <c r="J8" i="37" s="1"/>
  <c r="H245" i="2" s="1"/>
  <c r="U245" i="2" s="1"/>
  <c r="I104" i="37"/>
  <c r="H104" i="37"/>
  <c r="H8" i="37" s="1"/>
  <c r="G104" i="37"/>
  <c r="G8" i="37" s="1"/>
  <c r="E245" i="2" s="1"/>
  <c r="R245" i="2" s="1"/>
  <c r="F104" i="37"/>
  <c r="F8" i="37" s="1"/>
  <c r="D245" i="2" s="1"/>
  <c r="Q245" i="2" s="1"/>
  <c r="E104" i="37"/>
  <c r="E8" i="37" s="1"/>
  <c r="C245" i="2" s="1"/>
  <c r="P245" i="2" s="1"/>
  <c r="D104" i="37"/>
  <c r="D8" i="37" s="1"/>
  <c r="B245" i="2" s="1"/>
  <c r="O97" i="37"/>
  <c r="O27" i="37" s="1"/>
  <c r="O29" i="37" s="1"/>
  <c r="M158" i="3" s="1"/>
  <c r="N97" i="37"/>
  <c r="N27" i="37" s="1"/>
  <c r="N29" i="37" s="1"/>
  <c r="L158" i="3" s="1"/>
  <c r="M97" i="37"/>
  <c r="M27" i="37" s="1"/>
  <c r="L97" i="37"/>
  <c r="K97" i="37"/>
  <c r="K27" i="37" s="1"/>
  <c r="K29" i="37" s="1"/>
  <c r="I158" i="3" s="1"/>
  <c r="J97" i="37"/>
  <c r="J27" i="37" s="1"/>
  <c r="J29" i="37" s="1"/>
  <c r="H158" i="3" s="1"/>
  <c r="I97" i="37"/>
  <c r="I27" i="37" s="1"/>
  <c r="H97" i="37"/>
  <c r="H27" i="37" s="1"/>
  <c r="G97" i="37"/>
  <c r="G27" i="37" s="1"/>
  <c r="G29" i="37" s="1"/>
  <c r="E158" i="3" s="1"/>
  <c r="F97" i="37"/>
  <c r="F27" i="37" s="1"/>
  <c r="E97" i="37"/>
  <c r="E27" i="37" s="1"/>
  <c r="D97" i="37"/>
  <c r="O86" i="37"/>
  <c r="O7" i="37" s="1"/>
  <c r="M244" i="2" s="1"/>
  <c r="N86" i="37"/>
  <c r="N7" i="37" s="1"/>
  <c r="M86" i="37"/>
  <c r="M7" i="37" s="1"/>
  <c r="K244" i="2" s="1"/>
  <c r="X244" i="2" s="1"/>
  <c r="L86" i="37"/>
  <c r="K86" i="37"/>
  <c r="K7" i="37" s="1"/>
  <c r="J86" i="37"/>
  <c r="J7" i="37" s="1"/>
  <c r="H244" i="2" s="1"/>
  <c r="I86" i="37"/>
  <c r="I7" i="37" s="1"/>
  <c r="G244" i="2" s="1"/>
  <c r="H86" i="37"/>
  <c r="H7" i="37" s="1"/>
  <c r="F244" i="2" s="1"/>
  <c r="G86" i="37"/>
  <c r="G7" i="37" s="1"/>
  <c r="E244" i="2" s="1"/>
  <c r="F86" i="37"/>
  <c r="F7" i="37" s="1"/>
  <c r="D244" i="2" s="1"/>
  <c r="E86" i="37"/>
  <c r="D86" i="37"/>
  <c r="O79" i="37"/>
  <c r="O35" i="37" s="1"/>
  <c r="M229" i="3" s="1"/>
  <c r="N79" i="37"/>
  <c r="N35" i="37" s="1"/>
  <c r="L229" i="3" s="1"/>
  <c r="M79" i="37"/>
  <c r="M35" i="37" s="1"/>
  <c r="K229" i="3" s="1"/>
  <c r="L79" i="37"/>
  <c r="L35" i="37" s="1"/>
  <c r="J229" i="3" s="1"/>
  <c r="K79" i="37"/>
  <c r="K35" i="37" s="1"/>
  <c r="I229" i="3" s="1"/>
  <c r="J79" i="37"/>
  <c r="J35" i="37" s="1"/>
  <c r="H229" i="3" s="1"/>
  <c r="I79" i="37"/>
  <c r="I35" i="37" s="1"/>
  <c r="G229" i="3" s="1"/>
  <c r="H79" i="37"/>
  <c r="H35" i="37" s="1"/>
  <c r="F229" i="3" s="1"/>
  <c r="G79" i="37"/>
  <c r="G35" i="37" s="1"/>
  <c r="E229" i="3" s="1"/>
  <c r="F79" i="37"/>
  <c r="F35" i="37" s="1"/>
  <c r="D229" i="3" s="1"/>
  <c r="E79" i="37"/>
  <c r="E35" i="37" s="1"/>
  <c r="C229" i="3" s="1"/>
  <c r="D79" i="37"/>
  <c r="D35" i="37" s="1"/>
  <c r="B229" i="3" s="1"/>
  <c r="O78" i="37"/>
  <c r="O25" i="37" s="1"/>
  <c r="M72" i="3" s="1"/>
  <c r="N78" i="37"/>
  <c r="N25" i="37" s="1"/>
  <c r="L72" i="3" s="1"/>
  <c r="M78" i="37"/>
  <c r="M25" i="37" s="1"/>
  <c r="K72" i="3" s="1"/>
  <c r="L78" i="37"/>
  <c r="L25" i="37" s="1"/>
  <c r="J72" i="3" s="1"/>
  <c r="K78" i="37"/>
  <c r="K25" i="37" s="1"/>
  <c r="I72" i="3" s="1"/>
  <c r="J78" i="37"/>
  <c r="J25" i="37" s="1"/>
  <c r="H72" i="3" s="1"/>
  <c r="I78" i="37"/>
  <c r="I25" i="37" s="1"/>
  <c r="G72" i="3" s="1"/>
  <c r="H78" i="37"/>
  <c r="H25" i="37" s="1"/>
  <c r="F72" i="3" s="1"/>
  <c r="G78" i="37"/>
  <c r="G25" i="37" s="1"/>
  <c r="E72" i="3" s="1"/>
  <c r="F78" i="37"/>
  <c r="F25" i="37" s="1"/>
  <c r="D72" i="3" s="1"/>
  <c r="E78" i="37"/>
  <c r="D78" i="37"/>
  <c r="D25" i="37" s="1"/>
  <c r="B72" i="3" s="1"/>
  <c r="O77" i="37"/>
  <c r="O21" i="37" s="1"/>
  <c r="N77" i="37"/>
  <c r="N21" i="37" s="1"/>
  <c r="N23" i="37" s="1"/>
  <c r="L71" i="3" s="1"/>
  <c r="M77" i="37"/>
  <c r="M21" i="37" s="1"/>
  <c r="L77" i="37"/>
  <c r="L21" i="37" s="1"/>
  <c r="K77" i="37"/>
  <c r="K21" i="37" s="1"/>
  <c r="J77" i="37"/>
  <c r="J21" i="37" s="1"/>
  <c r="I77" i="37"/>
  <c r="I21" i="37" s="1"/>
  <c r="H77" i="37"/>
  <c r="G77" i="37"/>
  <c r="G21" i="37" s="1"/>
  <c r="F77" i="37"/>
  <c r="F21" i="37" s="1"/>
  <c r="F23" i="37" s="1"/>
  <c r="D71" i="3" s="1"/>
  <c r="E77" i="37"/>
  <c r="E21" i="37" s="1"/>
  <c r="D77" i="37"/>
  <c r="D21" i="37" s="1"/>
  <c r="O54" i="37"/>
  <c r="O4" i="37" s="1"/>
  <c r="N54" i="37"/>
  <c r="N4" i="37" s="1"/>
  <c r="M54" i="37"/>
  <c r="M4" i="37" s="1"/>
  <c r="L54" i="37"/>
  <c r="L4" i="37" s="1"/>
  <c r="L14" i="37" s="1"/>
  <c r="K54" i="37"/>
  <c r="K4" i="37" s="1"/>
  <c r="J54" i="37"/>
  <c r="J4" i="37" s="1"/>
  <c r="J14" i="37" s="1"/>
  <c r="I54" i="37"/>
  <c r="I4" i="37" s="1"/>
  <c r="H54" i="37"/>
  <c r="G54" i="37"/>
  <c r="G4" i="37" s="1"/>
  <c r="F54" i="37"/>
  <c r="F4" i="37" s="1"/>
  <c r="E54" i="37"/>
  <c r="E4" i="37" s="1"/>
  <c r="D54" i="37"/>
  <c r="D4" i="37" s="1"/>
  <c r="M41" i="37"/>
  <c r="K497" i="3" s="1"/>
  <c r="I41" i="37"/>
  <c r="G497" i="3" s="1"/>
  <c r="H41" i="37"/>
  <c r="F497" i="3" s="1"/>
  <c r="M38" i="37"/>
  <c r="L38" i="37"/>
  <c r="D38" i="37"/>
  <c r="I37" i="37"/>
  <c r="H37" i="37"/>
  <c r="I32" i="37"/>
  <c r="H32" i="37"/>
  <c r="L31" i="37"/>
  <c r="I28" i="37"/>
  <c r="H28" i="37"/>
  <c r="L27" i="37"/>
  <c r="D27" i="37"/>
  <c r="E25" i="37"/>
  <c r="C72" i="3" s="1"/>
  <c r="L22" i="37"/>
  <c r="I22" i="37"/>
  <c r="E22" i="37"/>
  <c r="D22" i="37"/>
  <c r="H21" i="37"/>
  <c r="M18" i="37"/>
  <c r="L18" i="37"/>
  <c r="D18" i="37"/>
  <c r="I17" i="37"/>
  <c r="M11" i="37"/>
  <c r="K248" i="2" s="1"/>
  <c r="X248" i="2" s="1"/>
  <c r="L11" i="37"/>
  <c r="J248" i="2" s="1"/>
  <c r="W248" i="2" s="1"/>
  <c r="I11" i="37"/>
  <c r="G248" i="2" s="1"/>
  <c r="T248" i="2" s="1"/>
  <c r="E10" i="37"/>
  <c r="C247" i="2" s="1"/>
  <c r="P247" i="2" s="1"/>
  <c r="D10" i="37"/>
  <c r="B247" i="2" s="1"/>
  <c r="O247" i="2" s="1"/>
  <c r="H9" i="37"/>
  <c r="F246" i="2" s="1"/>
  <c r="S246" i="2" s="1"/>
  <c r="M8" i="37"/>
  <c r="I8" i="37"/>
  <c r="L7" i="37"/>
  <c r="J244" i="2" s="1"/>
  <c r="W244" i="2" s="1"/>
  <c r="E7" i="37"/>
  <c r="C244" i="2" s="1"/>
  <c r="D7" i="37"/>
  <c r="B244" i="2" s="1"/>
  <c r="O244" i="2" s="1"/>
  <c r="H4" i="37"/>
  <c r="H14" i="37" s="1"/>
  <c r="L150" i="3"/>
  <c r="K150" i="3"/>
  <c r="H150" i="3"/>
  <c r="G150" i="3"/>
  <c r="D150" i="3"/>
  <c r="C150" i="3"/>
  <c r="L149" i="3"/>
  <c r="K149" i="3"/>
  <c r="H149" i="3"/>
  <c r="G149" i="3"/>
  <c r="E149" i="3"/>
  <c r="D149" i="3"/>
  <c r="C149" i="3"/>
  <c r="O17" i="35"/>
  <c r="N13" i="35"/>
  <c r="M17" i="35"/>
  <c r="L17" i="35"/>
  <c r="K17" i="35"/>
  <c r="J17" i="35"/>
  <c r="I17" i="35"/>
  <c r="H17" i="35"/>
  <c r="G17" i="35"/>
  <c r="F17" i="35"/>
  <c r="D17" i="35"/>
  <c r="O5" i="35"/>
  <c r="K126" i="2"/>
  <c r="X126" i="2" s="1"/>
  <c r="G126" i="2"/>
  <c r="T126" i="2" s="1"/>
  <c r="C126" i="2"/>
  <c r="P126" i="2" s="1"/>
  <c r="O156" i="34"/>
  <c r="N156" i="34"/>
  <c r="M156" i="34"/>
  <c r="L156" i="34"/>
  <c r="K156" i="34"/>
  <c r="J156" i="34"/>
  <c r="I156" i="34"/>
  <c r="H156" i="34"/>
  <c r="G156" i="34"/>
  <c r="F156" i="34"/>
  <c r="E156" i="34"/>
  <c r="D156" i="34"/>
  <c r="O155" i="34"/>
  <c r="N155" i="34"/>
  <c r="M155" i="34"/>
  <c r="L155" i="34"/>
  <c r="K155" i="34"/>
  <c r="J155" i="34"/>
  <c r="I155" i="34"/>
  <c r="H155" i="34"/>
  <c r="G155" i="34"/>
  <c r="F155" i="34"/>
  <c r="E155" i="34"/>
  <c r="D155" i="34"/>
  <c r="O154" i="34"/>
  <c r="N154" i="34"/>
  <c r="M154" i="34"/>
  <c r="L154" i="34"/>
  <c r="K154" i="34"/>
  <c r="J154" i="34"/>
  <c r="I154" i="34"/>
  <c r="H154" i="34"/>
  <c r="G154" i="34"/>
  <c r="F154" i="34"/>
  <c r="E154" i="34"/>
  <c r="D154" i="34"/>
  <c r="O153" i="34"/>
  <c r="N153" i="34"/>
  <c r="M153" i="34"/>
  <c r="L153" i="34"/>
  <c r="K153" i="34"/>
  <c r="J153" i="34"/>
  <c r="I153" i="34"/>
  <c r="H153" i="34"/>
  <c r="G153" i="34"/>
  <c r="F153" i="34"/>
  <c r="E153" i="34"/>
  <c r="D153" i="34"/>
  <c r="O152" i="34"/>
  <c r="N152" i="34"/>
  <c r="M152" i="34"/>
  <c r="L152" i="34"/>
  <c r="K152" i="34"/>
  <c r="J152" i="34"/>
  <c r="I152" i="34"/>
  <c r="H152" i="34"/>
  <c r="G152" i="34"/>
  <c r="F152" i="34"/>
  <c r="E152" i="34"/>
  <c r="D152" i="34"/>
  <c r="O151" i="34"/>
  <c r="N151" i="34"/>
  <c r="M151" i="34"/>
  <c r="L151" i="34"/>
  <c r="K151" i="34"/>
  <c r="J151" i="34"/>
  <c r="I151" i="34"/>
  <c r="H151" i="34"/>
  <c r="G151" i="34"/>
  <c r="F151" i="34"/>
  <c r="E151" i="34"/>
  <c r="D151" i="34"/>
  <c r="O147" i="34"/>
  <c r="N147" i="34"/>
  <c r="M147" i="34"/>
  <c r="L147" i="34"/>
  <c r="K147" i="34"/>
  <c r="J147" i="34"/>
  <c r="I147" i="34"/>
  <c r="H147" i="34"/>
  <c r="G147" i="34"/>
  <c r="F147" i="34"/>
  <c r="E147" i="34"/>
  <c r="D147" i="34"/>
  <c r="O141" i="34"/>
  <c r="N141" i="34"/>
  <c r="M141" i="34"/>
  <c r="L141" i="34"/>
  <c r="K141" i="34"/>
  <c r="J141" i="34"/>
  <c r="I141" i="34"/>
  <c r="H141" i="34"/>
  <c r="G141" i="34"/>
  <c r="F141" i="34"/>
  <c r="E141" i="34"/>
  <c r="D141" i="34"/>
  <c r="O115" i="34"/>
  <c r="N115" i="34"/>
  <c r="M115" i="34"/>
  <c r="L115" i="34"/>
  <c r="K115" i="34"/>
  <c r="J115" i="34"/>
  <c r="I115" i="34"/>
  <c r="H115" i="34"/>
  <c r="G115" i="34"/>
  <c r="F115" i="34"/>
  <c r="E115" i="34"/>
  <c r="D115" i="34"/>
  <c r="O111" i="34"/>
  <c r="N111" i="34"/>
  <c r="M111" i="34"/>
  <c r="L111" i="34"/>
  <c r="K111" i="34"/>
  <c r="J111" i="34"/>
  <c r="I111" i="34"/>
  <c r="H111" i="34"/>
  <c r="G111" i="34"/>
  <c r="F111" i="34"/>
  <c r="E111" i="34"/>
  <c r="D111" i="34"/>
  <c r="O103" i="34"/>
  <c r="N103" i="34"/>
  <c r="M103" i="34"/>
  <c r="L103" i="34"/>
  <c r="K103" i="34"/>
  <c r="J103" i="34"/>
  <c r="I103" i="34"/>
  <c r="H103" i="34"/>
  <c r="G103" i="34"/>
  <c r="F103" i="34"/>
  <c r="E103" i="34"/>
  <c r="D103" i="34"/>
  <c r="O86" i="34"/>
  <c r="N86" i="34"/>
  <c r="M86" i="34"/>
  <c r="L86" i="34"/>
  <c r="K86" i="34"/>
  <c r="J86" i="34"/>
  <c r="I86" i="34"/>
  <c r="H86" i="34"/>
  <c r="G86" i="34"/>
  <c r="F86" i="34"/>
  <c r="E86" i="34"/>
  <c r="D86" i="34"/>
  <c r="O73" i="34"/>
  <c r="O4" i="34" s="1"/>
  <c r="N73" i="34"/>
  <c r="N4" i="34" s="1"/>
  <c r="M73" i="34"/>
  <c r="L73" i="34"/>
  <c r="L4" i="34" s="1"/>
  <c r="K73" i="34"/>
  <c r="K4" i="34" s="1"/>
  <c r="J73" i="34"/>
  <c r="J4" i="34" s="1"/>
  <c r="I73" i="34"/>
  <c r="H73" i="34"/>
  <c r="H4" i="34" s="1"/>
  <c r="G73" i="34"/>
  <c r="G4" i="34" s="1"/>
  <c r="F73" i="34"/>
  <c r="F4" i="34" s="1"/>
  <c r="E73" i="34"/>
  <c r="D73" i="34"/>
  <c r="D4" i="34" s="1"/>
  <c r="B156" i="2" s="1"/>
  <c r="O156" i="2" s="1"/>
  <c r="O66" i="34"/>
  <c r="N66" i="34"/>
  <c r="M66" i="34"/>
  <c r="L66" i="34"/>
  <c r="K66" i="34"/>
  <c r="J66" i="34"/>
  <c r="I66" i="34"/>
  <c r="H66" i="34"/>
  <c r="G66" i="34"/>
  <c r="F66" i="34"/>
  <c r="E66" i="34"/>
  <c r="D66" i="34"/>
  <c r="O65" i="34"/>
  <c r="N65" i="34"/>
  <c r="M65" i="34"/>
  <c r="L65" i="34"/>
  <c r="K65" i="34"/>
  <c r="J65" i="34"/>
  <c r="I65" i="34"/>
  <c r="H65" i="34"/>
  <c r="G65" i="34"/>
  <c r="F65" i="34"/>
  <c r="E65" i="34"/>
  <c r="D65" i="34"/>
  <c r="O57" i="34"/>
  <c r="N57" i="34"/>
  <c r="M57" i="34"/>
  <c r="L57" i="34"/>
  <c r="K57" i="34"/>
  <c r="J57" i="34"/>
  <c r="I57" i="34"/>
  <c r="H57" i="34"/>
  <c r="G57" i="34"/>
  <c r="F57" i="34"/>
  <c r="E57" i="34"/>
  <c r="D57" i="34"/>
  <c r="O43" i="34"/>
  <c r="N43" i="34"/>
  <c r="M43" i="34"/>
  <c r="L43" i="34"/>
  <c r="K43" i="34"/>
  <c r="J43" i="34"/>
  <c r="I43" i="34"/>
  <c r="H43" i="34"/>
  <c r="G43" i="34"/>
  <c r="F43" i="34"/>
  <c r="E43" i="34"/>
  <c r="D43" i="34"/>
  <c r="O39" i="34"/>
  <c r="O3" i="34" s="1"/>
  <c r="O7" i="34" s="1"/>
  <c r="N39" i="34"/>
  <c r="M39" i="34"/>
  <c r="L39" i="34"/>
  <c r="L3" i="34" s="1"/>
  <c r="K39" i="34"/>
  <c r="K3" i="34" s="1"/>
  <c r="I155" i="2" s="1"/>
  <c r="J39" i="34"/>
  <c r="J3" i="34" s="1"/>
  <c r="J5" i="34" s="1"/>
  <c r="J9" i="34" s="1"/>
  <c r="I39" i="34"/>
  <c r="I3" i="34" s="1"/>
  <c r="H39" i="34"/>
  <c r="H3" i="34" s="1"/>
  <c r="H7" i="34" s="1"/>
  <c r="G39" i="34"/>
  <c r="G3" i="34" s="1"/>
  <c r="E155" i="2" s="1"/>
  <c r="R155" i="2" s="1"/>
  <c r="F39" i="34"/>
  <c r="E39" i="34"/>
  <c r="D39" i="34"/>
  <c r="D3" i="34" s="1"/>
  <c r="O24" i="34"/>
  <c r="N24" i="34"/>
  <c r="M24" i="34"/>
  <c r="L24" i="34"/>
  <c r="K24" i="34"/>
  <c r="J24" i="34"/>
  <c r="I24" i="34"/>
  <c r="H24" i="34"/>
  <c r="G24" i="34"/>
  <c r="F24" i="34"/>
  <c r="E24" i="34"/>
  <c r="D24" i="34"/>
  <c r="O23" i="34"/>
  <c r="O25" i="34" s="1"/>
  <c r="M389" i="3" s="1"/>
  <c r="N23" i="34"/>
  <c r="N25" i="34" s="1"/>
  <c r="M23" i="34"/>
  <c r="M25" i="34" s="1"/>
  <c r="K389" i="3" s="1"/>
  <c r="L23" i="34"/>
  <c r="L25" i="34" s="1"/>
  <c r="K23" i="34"/>
  <c r="K25" i="34" s="1"/>
  <c r="I389" i="3" s="1"/>
  <c r="J23" i="34"/>
  <c r="J25" i="34" s="1"/>
  <c r="I23" i="34"/>
  <c r="I25" i="34" s="1"/>
  <c r="H23" i="34"/>
  <c r="H25" i="34" s="1"/>
  <c r="G23" i="34"/>
  <c r="G25" i="34" s="1"/>
  <c r="E389" i="3" s="1"/>
  <c r="F23" i="34"/>
  <c r="F25" i="34" s="1"/>
  <c r="E23" i="34"/>
  <c r="E25" i="34" s="1"/>
  <c r="D23" i="34"/>
  <c r="D25" i="34" s="1"/>
  <c r="O21" i="34"/>
  <c r="M330" i="3" s="1"/>
  <c r="N21" i="34"/>
  <c r="L330" i="3" s="1"/>
  <c r="M21" i="34"/>
  <c r="L21" i="34"/>
  <c r="K21" i="34"/>
  <c r="I330" i="3" s="1"/>
  <c r="J21" i="34"/>
  <c r="H330" i="3" s="1"/>
  <c r="I21" i="34"/>
  <c r="H21" i="34"/>
  <c r="F330" i="3" s="1"/>
  <c r="G21" i="34"/>
  <c r="E330" i="3" s="1"/>
  <c r="F21" i="34"/>
  <c r="D330" i="3" s="1"/>
  <c r="E21" i="34"/>
  <c r="C330" i="3" s="1"/>
  <c r="D21" i="34"/>
  <c r="B330" i="3" s="1"/>
  <c r="O19" i="34"/>
  <c r="M314" i="3" s="1"/>
  <c r="N19" i="34"/>
  <c r="L314" i="3" s="1"/>
  <c r="M19" i="34"/>
  <c r="L19" i="34"/>
  <c r="J314" i="3" s="1"/>
  <c r="K19" i="34"/>
  <c r="I314" i="3" s="1"/>
  <c r="J19" i="34"/>
  <c r="I19" i="34"/>
  <c r="H19" i="34"/>
  <c r="F314" i="3" s="1"/>
  <c r="G19" i="34"/>
  <c r="E314" i="3" s="1"/>
  <c r="F19" i="34"/>
  <c r="D314" i="3" s="1"/>
  <c r="E19" i="34"/>
  <c r="C314" i="3" s="1"/>
  <c r="D19" i="34"/>
  <c r="B314" i="3" s="1"/>
  <c r="O17" i="34"/>
  <c r="M151" i="3" s="1"/>
  <c r="N17" i="34"/>
  <c r="L151" i="3" s="1"/>
  <c r="M17" i="34"/>
  <c r="K151" i="3" s="1"/>
  <c r="L17" i="34"/>
  <c r="J151" i="3" s="1"/>
  <c r="K17" i="34"/>
  <c r="I151" i="3" s="1"/>
  <c r="J17" i="34"/>
  <c r="H151" i="3" s="1"/>
  <c r="I17" i="34"/>
  <c r="H17" i="34"/>
  <c r="G17" i="34"/>
  <c r="E151" i="3" s="1"/>
  <c r="F17" i="34"/>
  <c r="D151" i="3" s="1"/>
  <c r="E17" i="34"/>
  <c r="C151" i="3" s="1"/>
  <c r="D17" i="34"/>
  <c r="B151" i="3" s="1"/>
  <c r="O15" i="34"/>
  <c r="N15" i="34"/>
  <c r="M15" i="34"/>
  <c r="L15" i="34"/>
  <c r="J132" i="3" s="1"/>
  <c r="K15" i="34"/>
  <c r="I132" i="3" s="1"/>
  <c r="J15" i="34"/>
  <c r="H132" i="3" s="1"/>
  <c r="I15" i="34"/>
  <c r="H15" i="34"/>
  <c r="F132" i="3" s="1"/>
  <c r="G15" i="34"/>
  <c r="E132" i="3" s="1"/>
  <c r="F15" i="34"/>
  <c r="E15" i="34"/>
  <c r="C132" i="3" s="1"/>
  <c r="D15" i="34"/>
  <c r="B132" i="3" s="1"/>
  <c r="O13" i="34"/>
  <c r="M115" i="3" s="1"/>
  <c r="N13" i="34"/>
  <c r="L115" i="3" s="1"/>
  <c r="M13" i="34"/>
  <c r="L13" i="34"/>
  <c r="J115" i="3" s="1"/>
  <c r="K13" i="34"/>
  <c r="I115" i="3" s="1"/>
  <c r="J13" i="34"/>
  <c r="I13" i="34"/>
  <c r="H13" i="34"/>
  <c r="F115" i="3" s="1"/>
  <c r="G13" i="34"/>
  <c r="E115" i="3" s="1"/>
  <c r="F13" i="34"/>
  <c r="D115" i="3" s="1"/>
  <c r="E13" i="34"/>
  <c r="D13" i="34"/>
  <c r="B115" i="3" s="1"/>
  <c r="O11" i="34"/>
  <c r="M43" i="3" s="1"/>
  <c r="N11" i="34"/>
  <c r="N27" i="34" s="1"/>
  <c r="M11" i="34"/>
  <c r="L11" i="34"/>
  <c r="L29" i="34" s="1"/>
  <c r="K11" i="34"/>
  <c r="K27" i="34" s="1"/>
  <c r="J11" i="34"/>
  <c r="J27" i="34" s="1"/>
  <c r="I11" i="34"/>
  <c r="G43" i="3" s="1"/>
  <c r="H11" i="34"/>
  <c r="H29" i="34" s="1"/>
  <c r="G11" i="34"/>
  <c r="G27" i="34" s="1"/>
  <c r="F11" i="34"/>
  <c r="F27" i="34" s="1"/>
  <c r="E11" i="34"/>
  <c r="D11" i="34"/>
  <c r="D29" i="34" s="1"/>
  <c r="M4" i="34"/>
  <c r="M8" i="34" s="1"/>
  <c r="I4" i="34"/>
  <c r="I8" i="34" s="1"/>
  <c r="E4" i="34"/>
  <c r="E8" i="34" s="1"/>
  <c r="N3" i="34"/>
  <c r="N5" i="34" s="1"/>
  <c r="N9" i="34" s="1"/>
  <c r="M3" i="34"/>
  <c r="M7" i="34" s="1"/>
  <c r="F3" i="34"/>
  <c r="F5" i="34" s="1"/>
  <c r="F9" i="34" s="1"/>
  <c r="E3" i="34"/>
  <c r="E7" i="34" s="1"/>
  <c r="O187" i="33"/>
  <c r="O29" i="33" s="1"/>
  <c r="M505" i="3" s="1"/>
  <c r="N187" i="33"/>
  <c r="M187" i="33"/>
  <c r="L187" i="33"/>
  <c r="L29" i="33" s="1"/>
  <c r="J505" i="3" s="1"/>
  <c r="K187" i="33"/>
  <c r="K29" i="33" s="1"/>
  <c r="I505" i="3" s="1"/>
  <c r="J187" i="33"/>
  <c r="I187" i="33"/>
  <c r="H187" i="33"/>
  <c r="H29" i="33" s="1"/>
  <c r="G187" i="33"/>
  <c r="G29" i="33" s="1"/>
  <c r="E505" i="3" s="1"/>
  <c r="F187" i="33"/>
  <c r="E187" i="33"/>
  <c r="D187" i="33"/>
  <c r="O186" i="33"/>
  <c r="O27" i="33" s="1"/>
  <c r="M410" i="3" s="1"/>
  <c r="N186" i="33"/>
  <c r="M186" i="33"/>
  <c r="M27" i="33" s="1"/>
  <c r="K410" i="3" s="1"/>
  <c r="L186" i="33"/>
  <c r="L27" i="33" s="1"/>
  <c r="J410" i="3" s="1"/>
  <c r="K186" i="33"/>
  <c r="K27" i="33" s="1"/>
  <c r="I410" i="3" s="1"/>
  <c r="J186" i="33"/>
  <c r="I186" i="33"/>
  <c r="H186" i="33"/>
  <c r="H27" i="33" s="1"/>
  <c r="G186" i="33"/>
  <c r="G27" i="33" s="1"/>
  <c r="E410" i="3" s="1"/>
  <c r="F186" i="33"/>
  <c r="E186" i="33"/>
  <c r="D186" i="33"/>
  <c r="D27" i="33" s="1"/>
  <c r="B410" i="3" s="1"/>
  <c r="O185" i="33"/>
  <c r="O23" i="33" s="1"/>
  <c r="M313" i="3" s="1"/>
  <c r="N185" i="33"/>
  <c r="M185" i="33"/>
  <c r="L185" i="33"/>
  <c r="L23" i="33" s="1"/>
  <c r="J313" i="3" s="1"/>
  <c r="K185" i="33"/>
  <c r="K23" i="33" s="1"/>
  <c r="I313" i="3" s="1"/>
  <c r="J185" i="33"/>
  <c r="I185" i="33"/>
  <c r="H185" i="33"/>
  <c r="G185" i="33"/>
  <c r="G23" i="33" s="1"/>
  <c r="E313" i="3" s="1"/>
  <c r="F185" i="33"/>
  <c r="E185" i="33"/>
  <c r="E23" i="33" s="1"/>
  <c r="D185" i="33"/>
  <c r="D23" i="33" s="1"/>
  <c r="B313" i="3" s="1"/>
  <c r="O184" i="33"/>
  <c r="O20" i="33" s="1"/>
  <c r="N184" i="33"/>
  <c r="M184" i="33"/>
  <c r="L184" i="33"/>
  <c r="L20" i="33" s="1"/>
  <c r="K184" i="33"/>
  <c r="K20" i="33" s="1"/>
  <c r="J184" i="33"/>
  <c r="I184" i="33"/>
  <c r="H184" i="33"/>
  <c r="H20" i="33" s="1"/>
  <c r="G184" i="33"/>
  <c r="G20" i="33" s="1"/>
  <c r="F184" i="33"/>
  <c r="E184" i="33"/>
  <c r="D184" i="33"/>
  <c r="O183" i="33"/>
  <c r="O16" i="33" s="1"/>
  <c r="N183" i="33"/>
  <c r="M183" i="33"/>
  <c r="L183" i="33"/>
  <c r="K183" i="33"/>
  <c r="J183" i="33"/>
  <c r="I183" i="33"/>
  <c r="H183" i="33"/>
  <c r="G183" i="33"/>
  <c r="F183" i="33"/>
  <c r="E183" i="33"/>
  <c r="D183" i="33"/>
  <c r="O177" i="33"/>
  <c r="N177" i="33"/>
  <c r="M177" i="33"/>
  <c r="L177" i="33"/>
  <c r="K177" i="33"/>
  <c r="J177" i="33"/>
  <c r="I177" i="33"/>
  <c r="H177" i="33"/>
  <c r="G177" i="33"/>
  <c r="F177" i="33"/>
  <c r="E177" i="33"/>
  <c r="D177" i="33"/>
  <c r="O172" i="33"/>
  <c r="N172" i="33"/>
  <c r="M172" i="33"/>
  <c r="L172" i="33"/>
  <c r="K172" i="33"/>
  <c r="J172" i="33"/>
  <c r="I172" i="33"/>
  <c r="H172" i="33"/>
  <c r="G172" i="33"/>
  <c r="F172" i="33"/>
  <c r="E172" i="33"/>
  <c r="D172" i="33"/>
  <c r="O168" i="33"/>
  <c r="N168" i="33"/>
  <c r="M168" i="33"/>
  <c r="L168" i="33"/>
  <c r="K168" i="33"/>
  <c r="J168" i="33"/>
  <c r="I168" i="33"/>
  <c r="H168" i="33"/>
  <c r="G168" i="33"/>
  <c r="F168" i="33"/>
  <c r="E168" i="33"/>
  <c r="D168" i="33"/>
  <c r="O165" i="33"/>
  <c r="N165" i="33"/>
  <c r="M165" i="33"/>
  <c r="L165" i="33"/>
  <c r="K165" i="33"/>
  <c r="J165" i="33"/>
  <c r="I165" i="33"/>
  <c r="H165" i="33"/>
  <c r="G165" i="33"/>
  <c r="F165" i="33"/>
  <c r="E165" i="33"/>
  <c r="D165" i="33"/>
  <c r="O154" i="33"/>
  <c r="N154" i="33"/>
  <c r="M154" i="33"/>
  <c r="L154" i="33"/>
  <c r="K154" i="33"/>
  <c r="J154" i="33"/>
  <c r="I154" i="33"/>
  <c r="H154" i="33"/>
  <c r="G154" i="33"/>
  <c r="F154" i="33"/>
  <c r="E154" i="33"/>
  <c r="D154" i="33"/>
  <c r="O146" i="33"/>
  <c r="N146" i="33"/>
  <c r="M146" i="33"/>
  <c r="L146" i="33"/>
  <c r="K146" i="33"/>
  <c r="J146" i="33"/>
  <c r="I146" i="33"/>
  <c r="H146" i="33"/>
  <c r="G146" i="33"/>
  <c r="F146" i="33"/>
  <c r="E146" i="33"/>
  <c r="D146" i="33"/>
  <c r="O125" i="33"/>
  <c r="N125" i="33"/>
  <c r="M125" i="33"/>
  <c r="L125" i="33"/>
  <c r="K125" i="33"/>
  <c r="J125" i="33"/>
  <c r="I125" i="33"/>
  <c r="H125" i="33"/>
  <c r="G125" i="33"/>
  <c r="F125" i="33"/>
  <c r="E125" i="33"/>
  <c r="D125" i="33"/>
  <c r="O122" i="33"/>
  <c r="N122" i="33"/>
  <c r="M122" i="33"/>
  <c r="L122" i="33"/>
  <c r="K122" i="33"/>
  <c r="J122" i="33"/>
  <c r="I122" i="33"/>
  <c r="H122" i="33"/>
  <c r="G122" i="33"/>
  <c r="F122" i="33"/>
  <c r="E122" i="33"/>
  <c r="D122" i="33"/>
  <c r="O117" i="33"/>
  <c r="N117" i="33"/>
  <c r="M117" i="33"/>
  <c r="L117" i="33"/>
  <c r="K117" i="33"/>
  <c r="J117" i="33"/>
  <c r="I117" i="33"/>
  <c r="H117" i="33"/>
  <c r="G117" i="33"/>
  <c r="F117" i="33"/>
  <c r="E117" i="33"/>
  <c r="D117" i="33"/>
  <c r="O109" i="33"/>
  <c r="O4" i="33" s="1"/>
  <c r="N109" i="33"/>
  <c r="M109" i="33"/>
  <c r="L109" i="33"/>
  <c r="L4" i="33" s="1"/>
  <c r="K109" i="33"/>
  <c r="K4" i="33" s="1"/>
  <c r="J109" i="33"/>
  <c r="I109" i="33"/>
  <c r="H109" i="33"/>
  <c r="H4" i="33" s="1"/>
  <c r="H8" i="33" s="1"/>
  <c r="G109" i="33"/>
  <c r="G4" i="33" s="1"/>
  <c r="F109" i="33"/>
  <c r="E109" i="33"/>
  <c r="D109" i="33"/>
  <c r="O104" i="33"/>
  <c r="O25" i="33" s="1"/>
  <c r="M355" i="3" s="1"/>
  <c r="N104" i="33"/>
  <c r="M104" i="33"/>
  <c r="L104" i="33"/>
  <c r="K104" i="33"/>
  <c r="K25" i="33" s="1"/>
  <c r="I355" i="3" s="1"/>
  <c r="J104" i="33"/>
  <c r="I104" i="33"/>
  <c r="I25" i="33" s="1"/>
  <c r="H104" i="33"/>
  <c r="H25" i="33" s="1"/>
  <c r="F355" i="3" s="1"/>
  <c r="G104" i="33"/>
  <c r="G25" i="33" s="1"/>
  <c r="E355" i="3" s="1"/>
  <c r="F104" i="33"/>
  <c r="E104" i="33"/>
  <c r="D104" i="33"/>
  <c r="D25" i="33" s="1"/>
  <c r="B355" i="3" s="1"/>
  <c r="O103" i="33"/>
  <c r="O19" i="33" s="1"/>
  <c r="N103" i="33"/>
  <c r="M103" i="33"/>
  <c r="M19" i="33" s="1"/>
  <c r="L103" i="33"/>
  <c r="L19" i="33" s="1"/>
  <c r="K103" i="33"/>
  <c r="K19" i="33" s="1"/>
  <c r="K21" i="33" s="1"/>
  <c r="I289" i="3" s="1"/>
  <c r="J103" i="33"/>
  <c r="I103" i="33"/>
  <c r="H103" i="33"/>
  <c r="H19" i="33" s="1"/>
  <c r="G103" i="33"/>
  <c r="G19" i="33" s="1"/>
  <c r="G21" i="33" s="1"/>
  <c r="E289" i="3" s="1"/>
  <c r="F103" i="33"/>
  <c r="E103" i="33"/>
  <c r="D103" i="33"/>
  <c r="D19" i="33" s="1"/>
  <c r="O102" i="33"/>
  <c r="O15" i="33" s="1"/>
  <c r="N102" i="33"/>
  <c r="M102" i="33"/>
  <c r="M15" i="33" s="1"/>
  <c r="M17" i="33" s="1"/>
  <c r="K112" i="3" s="1"/>
  <c r="L102" i="33"/>
  <c r="L15" i="33" s="1"/>
  <c r="K102" i="33"/>
  <c r="K15" i="33" s="1"/>
  <c r="J102" i="33"/>
  <c r="I102" i="33"/>
  <c r="H102" i="33"/>
  <c r="H15" i="33" s="1"/>
  <c r="G102" i="33"/>
  <c r="G15" i="33" s="1"/>
  <c r="F102" i="33"/>
  <c r="E102" i="33"/>
  <c r="D102" i="33"/>
  <c r="D15" i="33" s="1"/>
  <c r="O101" i="33"/>
  <c r="O13" i="33" s="1"/>
  <c r="M59" i="3" s="1"/>
  <c r="N101" i="33"/>
  <c r="M101" i="33"/>
  <c r="L101" i="33"/>
  <c r="K101" i="33"/>
  <c r="K13" i="33" s="1"/>
  <c r="I59" i="3" s="1"/>
  <c r="J101" i="33"/>
  <c r="I101" i="33"/>
  <c r="I13" i="33" s="1"/>
  <c r="G59" i="3" s="1"/>
  <c r="H101" i="33"/>
  <c r="H13" i="33" s="1"/>
  <c r="F59" i="3" s="1"/>
  <c r="G101" i="33"/>
  <c r="G13" i="33" s="1"/>
  <c r="E59" i="3" s="1"/>
  <c r="F101" i="33"/>
  <c r="E101" i="33"/>
  <c r="D101" i="33"/>
  <c r="D13" i="33" s="1"/>
  <c r="B59" i="3" s="1"/>
  <c r="O100" i="33"/>
  <c r="O11" i="33" s="1"/>
  <c r="M58" i="3" s="1"/>
  <c r="N100" i="33"/>
  <c r="M100" i="33"/>
  <c r="L100" i="33"/>
  <c r="L11" i="33" s="1"/>
  <c r="J58" i="3" s="1"/>
  <c r="K100" i="33"/>
  <c r="K11" i="33" s="1"/>
  <c r="J100" i="33"/>
  <c r="I100" i="33"/>
  <c r="H100" i="33"/>
  <c r="G100" i="33"/>
  <c r="G11" i="33" s="1"/>
  <c r="F100" i="33"/>
  <c r="E100" i="33"/>
  <c r="E11" i="33" s="1"/>
  <c r="D100" i="33"/>
  <c r="D11" i="33" s="1"/>
  <c r="B58" i="3" s="1"/>
  <c r="O95" i="33"/>
  <c r="N95" i="33"/>
  <c r="M95" i="33"/>
  <c r="L95" i="33"/>
  <c r="K95" i="33"/>
  <c r="J95" i="33"/>
  <c r="I95" i="33"/>
  <c r="H95" i="33"/>
  <c r="G95" i="33"/>
  <c r="F95" i="33"/>
  <c r="E95" i="33"/>
  <c r="D95" i="33"/>
  <c r="N83" i="33"/>
  <c r="M83" i="33"/>
  <c r="L83" i="33"/>
  <c r="K83" i="33"/>
  <c r="J83" i="33"/>
  <c r="I83" i="33"/>
  <c r="H83" i="33"/>
  <c r="G83" i="33"/>
  <c r="F83" i="33"/>
  <c r="E83" i="33"/>
  <c r="D83" i="33"/>
  <c r="O80" i="33"/>
  <c r="N80" i="33"/>
  <c r="M80" i="33"/>
  <c r="L80" i="33"/>
  <c r="K80" i="33"/>
  <c r="J80" i="33"/>
  <c r="I80" i="33"/>
  <c r="H80" i="33"/>
  <c r="G80" i="33"/>
  <c r="F80" i="33"/>
  <c r="E80" i="33"/>
  <c r="D80" i="33"/>
  <c r="O71" i="33"/>
  <c r="N71" i="33"/>
  <c r="M71" i="33"/>
  <c r="L71" i="33"/>
  <c r="K71" i="33"/>
  <c r="J71" i="33"/>
  <c r="I71" i="33"/>
  <c r="H71" i="33"/>
  <c r="G71" i="33"/>
  <c r="F71" i="33"/>
  <c r="E71" i="33"/>
  <c r="D71" i="33"/>
  <c r="O67" i="33"/>
  <c r="N67" i="33"/>
  <c r="M67" i="33"/>
  <c r="L67" i="33"/>
  <c r="K67" i="33"/>
  <c r="J67" i="33"/>
  <c r="I67" i="33"/>
  <c r="H67" i="33"/>
  <c r="G67" i="33"/>
  <c r="F67" i="33"/>
  <c r="E67" i="33"/>
  <c r="D67" i="33"/>
  <c r="O62" i="33"/>
  <c r="N62" i="33"/>
  <c r="M62" i="33"/>
  <c r="L62" i="33"/>
  <c r="K62" i="33"/>
  <c r="J62" i="33"/>
  <c r="I62" i="33"/>
  <c r="H62" i="33"/>
  <c r="G62" i="33"/>
  <c r="F62" i="33"/>
  <c r="E62" i="33"/>
  <c r="D62" i="33"/>
  <c r="O58" i="33"/>
  <c r="N58" i="33"/>
  <c r="M58" i="33"/>
  <c r="L58" i="33"/>
  <c r="K58" i="33"/>
  <c r="J58" i="33"/>
  <c r="I58" i="33"/>
  <c r="H58" i="33"/>
  <c r="G58" i="33"/>
  <c r="F58" i="33"/>
  <c r="E58" i="33"/>
  <c r="D58" i="33"/>
  <c r="O54" i="33"/>
  <c r="N54" i="33"/>
  <c r="M54" i="33"/>
  <c r="L54" i="33"/>
  <c r="K54" i="33"/>
  <c r="J54" i="33"/>
  <c r="I54" i="33"/>
  <c r="H54" i="33"/>
  <c r="G54" i="33"/>
  <c r="F54" i="33"/>
  <c r="E54" i="33"/>
  <c r="D54" i="33"/>
  <c r="O48" i="33"/>
  <c r="N48" i="33"/>
  <c r="M48" i="33"/>
  <c r="L48" i="33"/>
  <c r="K48" i="33"/>
  <c r="J48" i="33"/>
  <c r="I48" i="33"/>
  <c r="H48" i="33"/>
  <c r="G48" i="33"/>
  <c r="F48" i="33"/>
  <c r="E48" i="33"/>
  <c r="D48" i="33"/>
  <c r="O45" i="33"/>
  <c r="N45" i="33"/>
  <c r="M45" i="33"/>
  <c r="L45" i="33"/>
  <c r="K45" i="33"/>
  <c r="J45" i="33"/>
  <c r="I45" i="33"/>
  <c r="H45" i="33"/>
  <c r="G45" i="33"/>
  <c r="F45" i="33"/>
  <c r="E45" i="33"/>
  <c r="D45" i="33"/>
  <c r="O42" i="33"/>
  <c r="O3" i="33" s="1"/>
  <c r="M344" i="2" s="1"/>
  <c r="Z344" i="2" s="1"/>
  <c r="N42" i="33"/>
  <c r="N3" i="33" s="1"/>
  <c r="M42" i="33"/>
  <c r="L42" i="33"/>
  <c r="L3" i="33" s="1"/>
  <c r="K42" i="33"/>
  <c r="K3" i="33" s="1"/>
  <c r="I344" i="2" s="1"/>
  <c r="V344" i="2" s="1"/>
  <c r="J42" i="33"/>
  <c r="J3" i="33" s="1"/>
  <c r="I42" i="33"/>
  <c r="H42" i="33"/>
  <c r="G42" i="33"/>
  <c r="G3" i="33" s="1"/>
  <c r="E344" i="2" s="1"/>
  <c r="R344" i="2" s="1"/>
  <c r="F42" i="33"/>
  <c r="F3" i="33" s="1"/>
  <c r="E42" i="33"/>
  <c r="D42" i="33"/>
  <c r="N29" i="33"/>
  <c r="L505" i="3" s="1"/>
  <c r="M29" i="33"/>
  <c r="K505" i="3" s="1"/>
  <c r="J29" i="33"/>
  <c r="I29" i="33"/>
  <c r="G505" i="3" s="1"/>
  <c r="F29" i="33"/>
  <c r="E29" i="33"/>
  <c r="D29" i="33"/>
  <c r="B505" i="3" s="1"/>
  <c r="N27" i="33"/>
  <c r="J27" i="33"/>
  <c r="H410" i="3" s="1"/>
  <c r="I27" i="33"/>
  <c r="F27" i="33"/>
  <c r="E27" i="33"/>
  <c r="C410" i="3" s="1"/>
  <c r="N25" i="33"/>
  <c r="L355" i="3" s="1"/>
  <c r="M25" i="33"/>
  <c r="L25" i="33"/>
  <c r="J355" i="3" s="1"/>
  <c r="J25" i="33"/>
  <c r="H355" i="3" s="1"/>
  <c r="F25" i="33"/>
  <c r="D355" i="3" s="1"/>
  <c r="E25" i="33"/>
  <c r="C355" i="3" s="1"/>
  <c r="N23" i="33"/>
  <c r="M23" i="33"/>
  <c r="K313" i="3" s="1"/>
  <c r="J23" i="33"/>
  <c r="I23" i="33"/>
  <c r="H23" i="33"/>
  <c r="F313" i="3" s="1"/>
  <c r="F23" i="33"/>
  <c r="N20" i="33"/>
  <c r="M20" i="33"/>
  <c r="J20" i="33"/>
  <c r="I20" i="33"/>
  <c r="F20" i="33"/>
  <c r="E20" i="33"/>
  <c r="D20" i="33"/>
  <c r="N19" i="33"/>
  <c r="J19" i="33"/>
  <c r="J21" i="33" s="1"/>
  <c r="H289" i="3" s="1"/>
  <c r="I19" i="33"/>
  <c r="F19" i="33"/>
  <c r="F21" i="33" s="1"/>
  <c r="D289" i="3" s="1"/>
  <c r="E19" i="33"/>
  <c r="N16" i="33"/>
  <c r="M16" i="33"/>
  <c r="L16" i="33"/>
  <c r="K16" i="33"/>
  <c r="J16" i="33"/>
  <c r="I16" i="33"/>
  <c r="H16" i="33"/>
  <c r="G16" i="33"/>
  <c r="F16" i="33"/>
  <c r="E16" i="33"/>
  <c r="D16" i="33"/>
  <c r="N15" i="33"/>
  <c r="N17" i="33" s="1"/>
  <c r="L112" i="3" s="1"/>
  <c r="J15" i="33"/>
  <c r="J17" i="33" s="1"/>
  <c r="H112" i="3" s="1"/>
  <c r="I15" i="33"/>
  <c r="I17" i="33" s="1"/>
  <c r="G112" i="3" s="1"/>
  <c r="F15" i="33"/>
  <c r="F17" i="33" s="1"/>
  <c r="D112" i="3" s="1"/>
  <c r="E15" i="33"/>
  <c r="E17" i="33" s="1"/>
  <c r="C112" i="3" s="1"/>
  <c r="N13" i="33"/>
  <c r="M13" i="33"/>
  <c r="L13" i="33"/>
  <c r="J59" i="3" s="1"/>
  <c r="J13" i="33"/>
  <c r="H59" i="3" s="1"/>
  <c r="F13" i="33"/>
  <c r="E13" i="33"/>
  <c r="C59" i="3" s="1"/>
  <c r="N11" i="33"/>
  <c r="M11" i="33"/>
  <c r="J11" i="33"/>
  <c r="I11" i="33"/>
  <c r="H11" i="33"/>
  <c r="F58" i="3" s="1"/>
  <c r="F11" i="33"/>
  <c r="D58" i="3" s="1"/>
  <c r="N4" i="33"/>
  <c r="N8" i="33" s="1"/>
  <c r="M4" i="33"/>
  <c r="J4" i="33"/>
  <c r="J8" i="33" s="1"/>
  <c r="I4" i="33"/>
  <c r="I8" i="33" s="1"/>
  <c r="F4" i="33"/>
  <c r="F8" i="33" s="1"/>
  <c r="E4" i="33"/>
  <c r="E8" i="33" s="1"/>
  <c r="D4" i="33"/>
  <c r="D8" i="33" s="1"/>
  <c r="M3" i="33"/>
  <c r="M7" i="33" s="1"/>
  <c r="I3" i="33"/>
  <c r="I7" i="33" s="1"/>
  <c r="H3" i="33"/>
  <c r="E3" i="33"/>
  <c r="E7" i="33" s="1"/>
  <c r="D3" i="33"/>
  <c r="O399" i="27"/>
  <c r="O54" i="27" s="1"/>
  <c r="N399" i="27"/>
  <c r="N54" i="27" s="1"/>
  <c r="M399" i="27"/>
  <c r="M54" i="27" s="1"/>
  <c r="L399" i="27"/>
  <c r="L54" i="27" s="1"/>
  <c r="K399" i="27"/>
  <c r="K54" i="27" s="1"/>
  <c r="J399" i="27"/>
  <c r="J54" i="27" s="1"/>
  <c r="I399" i="27"/>
  <c r="I54" i="27" s="1"/>
  <c r="H399" i="27"/>
  <c r="H54" i="27" s="1"/>
  <c r="G399" i="27"/>
  <c r="G54" i="27" s="1"/>
  <c r="F399" i="27"/>
  <c r="F54" i="27" s="1"/>
  <c r="E399" i="27"/>
  <c r="E54" i="27" s="1"/>
  <c r="D399" i="27"/>
  <c r="D54" i="27" s="1"/>
  <c r="O398" i="27"/>
  <c r="O26" i="27" s="1"/>
  <c r="N398" i="27"/>
  <c r="N26" i="27" s="1"/>
  <c r="M398" i="27"/>
  <c r="M26" i="27" s="1"/>
  <c r="L398" i="27"/>
  <c r="L26" i="27" s="1"/>
  <c r="K398" i="27"/>
  <c r="K26" i="27" s="1"/>
  <c r="J398" i="27"/>
  <c r="J26" i="27" s="1"/>
  <c r="I398" i="27"/>
  <c r="I26" i="27" s="1"/>
  <c r="H398" i="27"/>
  <c r="H26" i="27" s="1"/>
  <c r="G398" i="27"/>
  <c r="G26" i="27" s="1"/>
  <c r="F398" i="27"/>
  <c r="F26" i="27" s="1"/>
  <c r="E398" i="27"/>
  <c r="E26" i="27" s="1"/>
  <c r="D398" i="27"/>
  <c r="D26" i="27" s="1"/>
  <c r="O380" i="27"/>
  <c r="N380" i="27"/>
  <c r="M380" i="27"/>
  <c r="L380" i="27"/>
  <c r="K380" i="27"/>
  <c r="J380" i="27"/>
  <c r="I380" i="27"/>
  <c r="H380" i="27"/>
  <c r="G380" i="27"/>
  <c r="F380" i="27"/>
  <c r="E380" i="27"/>
  <c r="D380" i="27"/>
  <c r="O376" i="27"/>
  <c r="O15" i="27" s="1"/>
  <c r="M337" i="2" s="1"/>
  <c r="Z337" i="2" s="1"/>
  <c r="N376" i="27"/>
  <c r="N15" i="27" s="1"/>
  <c r="L337" i="2" s="1"/>
  <c r="Y337" i="2" s="1"/>
  <c r="M376" i="27"/>
  <c r="M15" i="27" s="1"/>
  <c r="K337" i="2" s="1"/>
  <c r="X337" i="2" s="1"/>
  <c r="L376" i="27"/>
  <c r="L15" i="27" s="1"/>
  <c r="J337" i="2" s="1"/>
  <c r="W337" i="2" s="1"/>
  <c r="K376" i="27"/>
  <c r="K15" i="27" s="1"/>
  <c r="I337" i="2" s="1"/>
  <c r="V337" i="2" s="1"/>
  <c r="J376" i="27"/>
  <c r="J15" i="27" s="1"/>
  <c r="H337" i="2" s="1"/>
  <c r="U337" i="2" s="1"/>
  <c r="I376" i="27"/>
  <c r="I15" i="27" s="1"/>
  <c r="G337" i="2" s="1"/>
  <c r="T337" i="2" s="1"/>
  <c r="H376" i="27"/>
  <c r="H15" i="27" s="1"/>
  <c r="F337" i="2" s="1"/>
  <c r="S337" i="2" s="1"/>
  <c r="G376" i="27"/>
  <c r="G15" i="27" s="1"/>
  <c r="E337" i="2" s="1"/>
  <c r="R337" i="2" s="1"/>
  <c r="F376" i="27"/>
  <c r="F15" i="27" s="1"/>
  <c r="D337" i="2" s="1"/>
  <c r="Q337" i="2" s="1"/>
  <c r="E376" i="27"/>
  <c r="D376" i="27"/>
  <c r="D15" i="27" s="1"/>
  <c r="B337" i="2" s="1"/>
  <c r="O337" i="2" s="1"/>
  <c r="O369" i="27"/>
  <c r="O53" i="27" s="1"/>
  <c r="O55" i="27" s="1"/>
  <c r="M474" i="3" s="1"/>
  <c r="N369" i="27"/>
  <c r="N53" i="27" s="1"/>
  <c r="M369" i="27"/>
  <c r="M53" i="27" s="1"/>
  <c r="L369" i="27"/>
  <c r="L53" i="27" s="1"/>
  <c r="K369" i="27"/>
  <c r="K53" i="27" s="1"/>
  <c r="K55" i="27" s="1"/>
  <c r="I474" i="3" s="1"/>
  <c r="J369" i="27"/>
  <c r="J53" i="27" s="1"/>
  <c r="J55" i="27" s="1"/>
  <c r="H474" i="3" s="1"/>
  <c r="I369" i="27"/>
  <c r="I53" i="27" s="1"/>
  <c r="H369" i="27"/>
  <c r="H53" i="27" s="1"/>
  <c r="H55" i="27" s="1"/>
  <c r="F474" i="3" s="1"/>
  <c r="G369" i="27"/>
  <c r="G53" i="27" s="1"/>
  <c r="G55" i="27" s="1"/>
  <c r="E474" i="3" s="1"/>
  <c r="F369" i="27"/>
  <c r="F53" i="27" s="1"/>
  <c r="E369" i="27"/>
  <c r="E53" i="27" s="1"/>
  <c r="E55" i="27" s="1"/>
  <c r="C474" i="3" s="1"/>
  <c r="D369" i="27"/>
  <c r="D53" i="27" s="1"/>
  <c r="O351" i="27"/>
  <c r="O14" i="27" s="1"/>
  <c r="M336" i="2" s="1"/>
  <c r="Z336" i="2" s="1"/>
  <c r="N351" i="27"/>
  <c r="N14" i="27" s="1"/>
  <c r="L336" i="2" s="1"/>
  <c r="Y336" i="2" s="1"/>
  <c r="M351" i="27"/>
  <c r="M14" i="27" s="1"/>
  <c r="K336" i="2" s="1"/>
  <c r="X336" i="2" s="1"/>
  <c r="L351" i="27"/>
  <c r="L14" i="27" s="1"/>
  <c r="J336" i="2" s="1"/>
  <c r="W336" i="2" s="1"/>
  <c r="K351" i="27"/>
  <c r="K14" i="27" s="1"/>
  <c r="I336" i="2" s="1"/>
  <c r="V336" i="2" s="1"/>
  <c r="J351" i="27"/>
  <c r="I351" i="27"/>
  <c r="I14" i="27" s="1"/>
  <c r="G336" i="2" s="1"/>
  <c r="T336" i="2" s="1"/>
  <c r="H351" i="27"/>
  <c r="H14" i="27" s="1"/>
  <c r="F336" i="2" s="1"/>
  <c r="S336" i="2" s="1"/>
  <c r="G351" i="27"/>
  <c r="G14" i="27" s="1"/>
  <c r="E336" i="2" s="1"/>
  <c r="R336" i="2" s="1"/>
  <c r="F351" i="27"/>
  <c r="F14" i="27" s="1"/>
  <c r="D336" i="2" s="1"/>
  <c r="Q336" i="2" s="1"/>
  <c r="E351" i="27"/>
  <c r="E14" i="27" s="1"/>
  <c r="C336" i="2" s="1"/>
  <c r="P336" i="2" s="1"/>
  <c r="D351" i="27"/>
  <c r="D14" i="27" s="1"/>
  <c r="B336" i="2" s="1"/>
  <c r="O336" i="2" s="1"/>
  <c r="O342" i="27"/>
  <c r="O35" i="27" s="1"/>
  <c r="M309" i="3" s="1"/>
  <c r="N342" i="27"/>
  <c r="N35" i="27" s="1"/>
  <c r="L309" i="3" s="1"/>
  <c r="M342" i="27"/>
  <c r="M35" i="27" s="1"/>
  <c r="K309" i="3" s="1"/>
  <c r="L342" i="27"/>
  <c r="L35" i="27" s="1"/>
  <c r="J309" i="3" s="1"/>
  <c r="K342" i="27"/>
  <c r="K35" i="27" s="1"/>
  <c r="I309" i="3" s="1"/>
  <c r="J342" i="27"/>
  <c r="J35" i="27" s="1"/>
  <c r="H309" i="3" s="1"/>
  <c r="I342" i="27"/>
  <c r="H342" i="27"/>
  <c r="H35" i="27" s="1"/>
  <c r="F309" i="3" s="1"/>
  <c r="G342" i="27"/>
  <c r="G35" i="27" s="1"/>
  <c r="E309" i="3" s="1"/>
  <c r="F342" i="27"/>
  <c r="F35" i="27" s="1"/>
  <c r="D309" i="3" s="1"/>
  <c r="E342" i="27"/>
  <c r="E35" i="27" s="1"/>
  <c r="C309" i="3" s="1"/>
  <c r="D342" i="27"/>
  <c r="D35" i="27" s="1"/>
  <c r="B309" i="3" s="1"/>
  <c r="O341" i="27"/>
  <c r="O25" i="27" s="1"/>
  <c r="N341" i="27"/>
  <c r="N25" i="27" s="1"/>
  <c r="M341" i="27"/>
  <c r="M25" i="27" s="1"/>
  <c r="L341" i="27"/>
  <c r="L25" i="27" s="1"/>
  <c r="K341" i="27"/>
  <c r="K25" i="27" s="1"/>
  <c r="J341" i="27"/>
  <c r="J25" i="27" s="1"/>
  <c r="I341" i="27"/>
  <c r="I25" i="27" s="1"/>
  <c r="H341" i="27"/>
  <c r="H25" i="27" s="1"/>
  <c r="G341" i="27"/>
  <c r="G25" i="27" s="1"/>
  <c r="F341" i="27"/>
  <c r="F25" i="27" s="1"/>
  <c r="E341" i="27"/>
  <c r="E25" i="27" s="1"/>
  <c r="D341" i="27"/>
  <c r="D25" i="27" s="1"/>
  <c r="O317" i="27"/>
  <c r="N317" i="27"/>
  <c r="M317" i="27"/>
  <c r="L317" i="27"/>
  <c r="K317" i="27"/>
  <c r="J317" i="27"/>
  <c r="I317" i="27"/>
  <c r="H317" i="27"/>
  <c r="G317" i="27"/>
  <c r="F317" i="27"/>
  <c r="E317" i="27"/>
  <c r="D317" i="27"/>
  <c r="O313" i="27"/>
  <c r="O13" i="27" s="1"/>
  <c r="M335" i="2" s="1"/>
  <c r="Z335" i="2" s="1"/>
  <c r="N313" i="27"/>
  <c r="N13" i="27" s="1"/>
  <c r="L335" i="2" s="1"/>
  <c r="Y335" i="2" s="1"/>
  <c r="M313" i="27"/>
  <c r="L313" i="27"/>
  <c r="L13" i="27" s="1"/>
  <c r="J335" i="2" s="1"/>
  <c r="W335" i="2" s="1"/>
  <c r="K313" i="27"/>
  <c r="K13" i="27" s="1"/>
  <c r="I335" i="2" s="1"/>
  <c r="V335" i="2" s="1"/>
  <c r="J313" i="27"/>
  <c r="J13" i="27" s="1"/>
  <c r="H335" i="2" s="1"/>
  <c r="U335" i="2" s="1"/>
  <c r="I313" i="27"/>
  <c r="I13" i="27" s="1"/>
  <c r="G335" i="2" s="1"/>
  <c r="T335" i="2" s="1"/>
  <c r="H313" i="27"/>
  <c r="H13" i="27" s="1"/>
  <c r="F335" i="2" s="1"/>
  <c r="S335" i="2" s="1"/>
  <c r="G313" i="27"/>
  <c r="G13" i="27" s="1"/>
  <c r="E335" i="2" s="1"/>
  <c r="R335" i="2" s="1"/>
  <c r="F313" i="27"/>
  <c r="F13" i="27" s="1"/>
  <c r="D335" i="2" s="1"/>
  <c r="Q335" i="2" s="1"/>
  <c r="E313" i="27"/>
  <c r="E13" i="27" s="1"/>
  <c r="C335" i="2" s="1"/>
  <c r="P335" i="2" s="1"/>
  <c r="D313" i="27"/>
  <c r="D13" i="27" s="1"/>
  <c r="B335" i="2" s="1"/>
  <c r="O335" i="2" s="1"/>
  <c r="O306" i="27"/>
  <c r="O57" i="27" s="1"/>
  <c r="N306" i="27"/>
  <c r="N57" i="27" s="1"/>
  <c r="M306" i="27"/>
  <c r="M57" i="27" s="1"/>
  <c r="L306" i="27"/>
  <c r="L57" i="27" s="1"/>
  <c r="K306" i="27"/>
  <c r="K57" i="27" s="1"/>
  <c r="J306" i="27"/>
  <c r="J57" i="27" s="1"/>
  <c r="I306" i="27"/>
  <c r="I57" i="27" s="1"/>
  <c r="H306" i="27"/>
  <c r="H57" i="27" s="1"/>
  <c r="G306" i="27"/>
  <c r="G57" i="27" s="1"/>
  <c r="F306" i="27"/>
  <c r="F57" i="27" s="1"/>
  <c r="E306" i="27"/>
  <c r="D306" i="27"/>
  <c r="D57" i="27" s="1"/>
  <c r="O305" i="27"/>
  <c r="O44" i="27" s="1"/>
  <c r="N305" i="27"/>
  <c r="N44" i="27" s="1"/>
  <c r="M305" i="27"/>
  <c r="L305" i="27"/>
  <c r="L44" i="27" s="1"/>
  <c r="K305" i="27"/>
  <c r="K44" i="27" s="1"/>
  <c r="J305" i="27"/>
  <c r="J44" i="27" s="1"/>
  <c r="I305" i="27"/>
  <c r="I44" i="27" s="1"/>
  <c r="H305" i="27"/>
  <c r="H44" i="27" s="1"/>
  <c r="G305" i="27"/>
  <c r="G44" i="27" s="1"/>
  <c r="F305" i="27"/>
  <c r="F44" i="27" s="1"/>
  <c r="E305" i="27"/>
  <c r="E44" i="27" s="1"/>
  <c r="D305" i="27"/>
  <c r="D44" i="27" s="1"/>
  <c r="O294" i="27"/>
  <c r="N294" i="27"/>
  <c r="M294" i="27"/>
  <c r="L294" i="27"/>
  <c r="K294" i="27"/>
  <c r="J294" i="27"/>
  <c r="I294" i="27"/>
  <c r="H294" i="27"/>
  <c r="G294" i="27"/>
  <c r="F294" i="27"/>
  <c r="E294" i="27"/>
  <c r="D294" i="27"/>
  <c r="O281" i="27"/>
  <c r="O12" i="27" s="1"/>
  <c r="M334" i="2" s="1"/>
  <c r="Z334" i="2" s="1"/>
  <c r="N281" i="27"/>
  <c r="N12" i="27" s="1"/>
  <c r="L334" i="2" s="1"/>
  <c r="Y334" i="2" s="1"/>
  <c r="M281" i="27"/>
  <c r="M12" i="27" s="1"/>
  <c r="K334" i="2" s="1"/>
  <c r="X334" i="2" s="1"/>
  <c r="L281" i="27"/>
  <c r="L12" i="27" s="1"/>
  <c r="J334" i="2" s="1"/>
  <c r="W334" i="2" s="1"/>
  <c r="K281" i="27"/>
  <c r="K12" i="27" s="1"/>
  <c r="I334" i="2" s="1"/>
  <c r="V334" i="2" s="1"/>
  <c r="J281" i="27"/>
  <c r="J12" i="27" s="1"/>
  <c r="H334" i="2" s="1"/>
  <c r="U334" i="2" s="1"/>
  <c r="I281" i="27"/>
  <c r="I12" i="27" s="1"/>
  <c r="G334" i="2" s="1"/>
  <c r="T334" i="2" s="1"/>
  <c r="H281" i="27"/>
  <c r="H12" i="27" s="1"/>
  <c r="F334" i="2" s="1"/>
  <c r="S334" i="2" s="1"/>
  <c r="G281" i="27"/>
  <c r="G12" i="27" s="1"/>
  <c r="E334" i="2" s="1"/>
  <c r="R334" i="2" s="1"/>
  <c r="F281" i="27"/>
  <c r="F12" i="27" s="1"/>
  <c r="D334" i="2" s="1"/>
  <c r="Q334" i="2" s="1"/>
  <c r="E281" i="27"/>
  <c r="E12" i="27" s="1"/>
  <c r="C334" i="2" s="1"/>
  <c r="P334" i="2" s="1"/>
  <c r="D281" i="27"/>
  <c r="D12" i="27" s="1"/>
  <c r="B334" i="2" s="1"/>
  <c r="O334" i="2" s="1"/>
  <c r="O274" i="27"/>
  <c r="O37" i="27" s="1"/>
  <c r="M312" i="3" s="1"/>
  <c r="N274" i="27"/>
  <c r="N37" i="27" s="1"/>
  <c r="L312" i="3" s="1"/>
  <c r="M274" i="27"/>
  <c r="M37" i="27" s="1"/>
  <c r="K312" i="3" s="1"/>
  <c r="L274" i="27"/>
  <c r="L37" i="27" s="1"/>
  <c r="J312" i="3" s="1"/>
  <c r="K274" i="27"/>
  <c r="K37" i="27" s="1"/>
  <c r="I312" i="3" s="1"/>
  <c r="J274" i="27"/>
  <c r="J37" i="27" s="1"/>
  <c r="H312" i="3" s="1"/>
  <c r="I274" i="27"/>
  <c r="I37" i="27" s="1"/>
  <c r="G312" i="3" s="1"/>
  <c r="H274" i="27"/>
  <c r="H37" i="27" s="1"/>
  <c r="F312" i="3" s="1"/>
  <c r="G274" i="27"/>
  <c r="G37" i="27" s="1"/>
  <c r="E312" i="3" s="1"/>
  <c r="F274" i="27"/>
  <c r="F37" i="27" s="1"/>
  <c r="D312" i="3" s="1"/>
  <c r="E274" i="27"/>
  <c r="E37" i="27" s="1"/>
  <c r="C312" i="3" s="1"/>
  <c r="D274" i="27"/>
  <c r="D37" i="27" s="1"/>
  <c r="B312" i="3" s="1"/>
  <c r="O247" i="27"/>
  <c r="O11" i="27" s="1"/>
  <c r="M333" i="2" s="1"/>
  <c r="Z333" i="2" s="1"/>
  <c r="N247" i="27"/>
  <c r="N11" i="27" s="1"/>
  <c r="L333" i="2" s="1"/>
  <c r="Y333" i="2" s="1"/>
  <c r="M247" i="27"/>
  <c r="M11" i="27" s="1"/>
  <c r="K333" i="2" s="1"/>
  <c r="X333" i="2" s="1"/>
  <c r="L247" i="27"/>
  <c r="L11" i="27" s="1"/>
  <c r="J333" i="2" s="1"/>
  <c r="W333" i="2" s="1"/>
  <c r="K247" i="27"/>
  <c r="K11" i="27" s="1"/>
  <c r="I333" i="2" s="1"/>
  <c r="V333" i="2" s="1"/>
  <c r="J247" i="27"/>
  <c r="J11" i="27" s="1"/>
  <c r="H333" i="2" s="1"/>
  <c r="U333" i="2" s="1"/>
  <c r="I247" i="27"/>
  <c r="I11" i="27" s="1"/>
  <c r="G333" i="2" s="1"/>
  <c r="T333" i="2" s="1"/>
  <c r="H247" i="27"/>
  <c r="H11" i="27" s="1"/>
  <c r="F333" i="2" s="1"/>
  <c r="S333" i="2" s="1"/>
  <c r="G247" i="27"/>
  <c r="G11" i="27" s="1"/>
  <c r="E333" i="2" s="1"/>
  <c r="R333" i="2" s="1"/>
  <c r="F247" i="27"/>
  <c r="F11" i="27" s="1"/>
  <c r="D333" i="2" s="1"/>
  <c r="Q333" i="2" s="1"/>
  <c r="E247" i="27"/>
  <c r="E11" i="27" s="1"/>
  <c r="C333" i="2" s="1"/>
  <c r="P333" i="2" s="1"/>
  <c r="D247" i="27"/>
  <c r="D11" i="27" s="1"/>
  <c r="B333" i="2" s="1"/>
  <c r="O333" i="2" s="1"/>
  <c r="O238" i="27"/>
  <c r="O48" i="27" s="1"/>
  <c r="N238" i="27"/>
  <c r="N48" i="27" s="1"/>
  <c r="M238" i="27"/>
  <c r="M48" i="27" s="1"/>
  <c r="L238" i="27"/>
  <c r="L48" i="27" s="1"/>
  <c r="K238" i="27"/>
  <c r="K48" i="27" s="1"/>
  <c r="J238" i="27"/>
  <c r="J48" i="27" s="1"/>
  <c r="I238" i="27"/>
  <c r="H238" i="27"/>
  <c r="H48" i="27" s="1"/>
  <c r="G238" i="27"/>
  <c r="G48" i="27" s="1"/>
  <c r="F238" i="27"/>
  <c r="F48" i="27" s="1"/>
  <c r="E238" i="27"/>
  <c r="E48" i="27" s="1"/>
  <c r="D238" i="27"/>
  <c r="D48" i="27" s="1"/>
  <c r="O237" i="27"/>
  <c r="O24" i="27" s="1"/>
  <c r="N237" i="27"/>
  <c r="N24" i="27" s="1"/>
  <c r="M237" i="27"/>
  <c r="M24" i="27" s="1"/>
  <c r="L237" i="27"/>
  <c r="L24" i="27" s="1"/>
  <c r="K237" i="27"/>
  <c r="K24" i="27" s="1"/>
  <c r="J237" i="27"/>
  <c r="J24" i="27" s="1"/>
  <c r="I237" i="27"/>
  <c r="I24" i="27" s="1"/>
  <c r="H237" i="27"/>
  <c r="H24" i="27" s="1"/>
  <c r="G237" i="27"/>
  <c r="G24" i="27" s="1"/>
  <c r="F237" i="27"/>
  <c r="F24" i="27" s="1"/>
  <c r="E237" i="27"/>
  <c r="E24" i="27" s="1"/>
  <c r="D237" i="27"/>
  <c r="D24" i="27" s="1"/>
  <c r="O211" i="27"/>
  <c r="O10" i="27" s="1"/>
  <c r="M332" i="2" s="1"/>
  <c r="Z332" i="2" s="1"/>
  <c r="N211" i="27"/>
  <c r="N10" i="27" s="1"/>
  <c r="L332" i="2" s="1"/>
  <c r="Y332" i="2" s="1"/>
  <c r="M211" i="27"/>
  <c r="L211" i="27"/>
  <c r="L10" i="27" s="1"/>
  <c r="J332" i="2" s="1"/>
  <c r="W332" i="2" s="1"/>
  <c r="K211" i="27"/>
  <c r="K10" i="27" s="1"/>
  <c r="I332" i="2" s="1"/>
  <c r="V332" i="2" s="1"/>
  <c r="J211" i="27"/>
  <c r="J10" i="27" s="1"/>
  <c r="H332" i="2" s="1"/>
  <c r="U332" i="2" s="1"/>
  <c r="I211" i="27"/>
  <c r="I10" i="27" s="1"/>
  <c r="G332" i="2" s="1"/>
  <c r="T332" i="2" s="1"/>
  <c r="H211" i="27"/>
  <c r="H10" i="27" s="1"/>
  <c r="F332" i="2" s="1"/>
  <c r="S332" i="2" s="1"/>
  <c r="G211" i="27"/>
  <c r="G10" i="27" s="1"/>
  <c r="E332" i="2" s="1"/>
  <c r="R332" i="2" s="1"/>
  <c r="F211" i="27"/>
  <c r="F10" i="27" s="1"/>
  <c r="D332" i="2" s="1"/>
  <c r="Q332" i="2" s="1"/>
  <c r="E211" i="27"/>
  <c r="E10" i="27" s="1"/>
  <c r="C332" i="2" s="1"/>
  <c r="P332" i="2" s="1"/>
  <c r="D211" i="27"/>
  <c r="D10" i="27" s="1"/>
  <c r="B332" i="2" s="1"/>
  <c r="O332" i="2" s="1"/>
  <c r="O204" i="27"/>
  <c r="O33" i="27" s="1"/>
  <c r="M172" i="3" s="1"/>
  <c r="N204" i="27"/>
  <c r="N33" i="27" s="1"/>
  <c r="L172" i="3" s="1"/>
  <c r="M204" i="27"/>
  <c r="M33" i="27" s="1"/>
  <c r="K172" i="3" s="1"/>
  <c r="L204" i="27"/>
  <c r="L33" i="27" s="1"/>
  <c r="J172" i="3" s="1"/>
  <c r="K204" i="27"/>
  <c r="K33" i="27" s="1"/>
  <c r="I172" i="3" s="1"/>
  <c r="J204" i="27"/>
  <c r="J33" i="27" s="1"/>
  <c r="H172" i="3" s="1"/>
  <c r="I204" i="27"/>
  <c r="I33" i="27" s="1"/>
  <c r="G172" i="3" s="1"/>
  <c r="H204" i="27"/>
  <c r="H33" i="27" s="1"/>
  <c r="F172" i="3" s="1"/>
  <c r="G204" i="27"/>
  <c r="G33" i="27" s="1"/>
  <c r="E172" i="3" s="1"/>
  <c r="F204" i="27"/>
  <c r="F33" i="27" s="1"/>
  <c r="D172" i="3" s="1"/>
  <c r="E204" i="27"/>
  <c r="D204" i="27"/>
  <c r="D33" i="27" s="1"/>
  <c r="B172" i="3" s="1"/>
  <c r="O203" i="27"/>
  <c r="O30" i="27" s="1"/>
  <c r="N203" i="27"/>
  <c r="N30" i="27" s="1"/>
  <c r="M203" i="27"/>
  <c r="M30" i="27" s="1"/>
  <c r="L203" i="27"/>
  <c r="L30" i="27" s="1"/>
  <c r="K203" i="27"/>
  <c r="K30" i="27" s="1"/>
  <c r="J203" i="27"/>
  <c r="J30" i="27" s="1"/>
  <c r="I203" i="27"/>
  <c r="H203" i="27"/>
  <c r="H30" i="27" s="1"/>
  <c r="G203" i="27"/>
  <c r="G30" i="27" s="1"/>
  <c r="F203" i="27"/>
  <c r="F30" i="27" s="1"/>
  <c r="E203" i="27"/>
  <c r="E30" i="27" s="1"/>
  <c r="D203" i="27"/>
  <c r="D30" i="27" s="1"/>
  <c r="O201" i="27"/>
  <c r="N201" i="27"/>
  <c r="M201" i="27"/>
  <c r="L201" i="27"/>
  <c r="K201" i="27"/>
  <c r="J201" i="27"/>
  <c r="I201" i="27"/>
  <c r="H201" i="27"/>
  <c r="G201" i="27"/>
  <c r="F201" i="27"/>
  <c r="E201" i="27"/>
  <c r="D201" i="27"/>
  <c r="O197" i="27"/>
  <c r="N197" i="27"/>
  <c r="M197" i="27"/>
  <c r="L197" i="27"/>
  <c r="K197" i="27"/>
  <c r="J197" i="27"/>
  <c r="I197" i="27"/>
  <c r="H197" i="27"/>
  <c r="G197" i="27"/>
  <c r="F197" i="27"/>
  <c r="E197" i="27"/>
  <c r="D197" i="27"/>
  <c r="O193" i="27"/>
  <c r="N193" i="27"/>
  <c r="M193" i="27"/>
  <c r="L193" i="27"/>
  <c r="K193" i="27"/>
  <c r="J193" i="27"/>
  <c r="I193" i="27"/>
  <c r="H193" i="27"/>
  <c r="G193" i="27"/>
  <c r="F193" i="27"/>
  <c r="E193" i="27"/>
  <c r="D193" i="27"/>
  <c r="O182" i="27"/>
  <c r="O9" i="27" s="1"/>
  <c r="M331" i="2" s="1"/>
  <c r="Z331" i="2" s="1"/>
  <c r="N182" i="27"/>
  <c r="N9" i="27" s="1"/>
  <c r="L331" i="2" s="1"/>
  <c r="Y331" i="2" s="1"/>
  <c r="M182" i="27"/>
  <c r="M9" i="27" s="1"/>
  <c r="K331" i="2" s="1"/>
  <c r="X331" i="2" s="1"/>
  <c r="L182" i="27"/>
  <c r="L9" i="27" s="1"/>
  <c r="J331" i="2" s="1"/>
  <c r="W331" i="2" s="1"/>
  <c r="K182" i="27"/>
  <c r="K9" i="27" s="1"/>
  <c r="I331" i="2" s="1"/>
  <c r="V331" i="2" s="1"/>
  <c r="J182" i="27"/>
  <c r="J9" i="27" s="1"/>
  <c r="H331" i="2" s="1"/>
  <c r="U331" i="2" s="1"/>
  <c r="I182" i="27"/>
  <c r="I9" i="27" s="1"/>
  <c r="G331" i="2" s="1"/>
  <c r="T331" i="2" s="1"/>
  <c r="H182" i="27"/>
  <c r="H9" i="27" s="1"/>
  <c r="F331" i="2" s="1"/>
  <c r="S331" i="2" s="1"/>
  <c r="G182" i="27"/>
  <c r="G9" i="27" s="1"/>
  <c r="E331" i="2" s="1"/>
  <c r="R331" i="2" s="1"/>
  <c r="F182" i="27"/>
  <c r="F9" i="27" s="1"/>
  <c r="D331" i="2" s="1"/>
  <c r="Q331" i="2" s="1"/>
  <c r="E182" i="27"/>
  <c r="D182" i="27"/>
  <c r="D9" i="27" s="1"/>
  <c r="B331" i="2" s="1"/>
  <c r="O331" i="2" s="1"/>
  <c r="O175" i="27"/>
  <c r="O47" i="27" s="1"/>
  <c r="O49" i="27" s="1"/>
  <c r="M470" i="3" s="1"/>
  <c r="N175" i="27"/>
  <c r="N47" i="27" s="1"/>
  <c r="M175" i="27"/>
  <c r="M47" i="27" s="1"/>
  <c r="L175" i="27"/>
  <c r="L47" i="27" s="1"/>
  <c r="L49" i="27" s="1"/>
  <c r="J470" i="3" s="1"/>
  <c r="K175" i="27"/>
  <c r="K47" i="27" s="1"/>
  <c r="K49" i="27" s="1"/>
  <c r="I470" i="3" s="1"/>
  <c r="J175" i="27"/>
  <c r="J47" i="27" s="1"/>
  <c r="I175" i="27"/>
  <c r="I47" i="27" s="1"/>
  <c r="H175" i="27"/>
  <c r="H47" i="27" s="1"/>
  <c r="G175" i="27"/>
  <c r="G47" i="27" s="1"/>
  <c r="G49" i="27" s="1"/>
  <c r="E470" i="3" s="1"/>
  <c r="F175" i="27"/>
  <c r="F47" i="27" s="1"/>
  <c r="F49" i="27" s="1"/>
  <c r="D470" i="3" s="1"/>
  <c r="E175" i="27"/>
  <c r="E47" i="27" s="1"/>
  <c r="D175" i="27"/>
  <c r="D47" i="27" s="1"/>
  <c r="O174" i="27"/>
  <c r="O29" i="27" s="1"/>
  <c r="O31" i="27" s="1"/>
  <c r="M152" i="3" s="1"/>
  <c r="N174" i="27"/>
  <c r="N29" i="27" s="1"/>
  <c r="M174" i="27"/>
  <c r="M29" i="27" s="1"/>
  <c r="L174" i="27"/>
  <c r="L29" i="27" s="1"/>
  <c r="K174" i="27"/>
  <c r="K29" i="27" s="1"/>
  <c r="K31" i="27" s="1"/>
  <c r="I152" i="3" s="1"/>
  <c r="J174" i="27"/>
  <c r="J29" i="27" s="1"/>
  <c r="I174" i="27"/>
  <c r="I29" i="27" s="1"/>
  <c r="H174" i="27"/>
  <c r="H29" i="27" s="1"/>
  <c r="G174" i="27"/>
  <c r="G29" i="27" s="1"/>
  <c r="G31" i="27" s="1"/>
  <c r="E152" i="3" s="1"/>
  <c r="F174" i="27"/>
  <c r="F29" i="27" s="1"/>
  <c r="E174" i="27"/>
  <c r="E29" i="27" s="1"/>
  <c r="D174" i="27"/>
  <c r="D29" i="27" s="1"/>
  <c r="O173" i="27"/>
  <c r="O23" i="27" s="1"/>
  <c r="O27" i="27" s="1"/>
  <c r="M97" i="3" s="1"/>
  <c r="N173" i="27"/>
  <c r="N23" i="27" s="1"/>
  <c r="M173" i="27"/>
  <c r="M23" i="27" s="1"/>
  <c r="L173" i="27"/>
  <c r="L23" i="27" s="1"/>
  <c r="K173" i="27"/>
  <c r="K23" i="27" s="1"/>
  <c r="K27" i="27" s="1"/>
  <c r="J173" i="27"/>
  <c r="I173" i="27"/>
  <c r="H173" i="27"/>
  <c r="H23" i="27" s="1"/>
  <c r="G173" i="27"/>
  <c r="G23" i="27" s="1"/>
  <c r="G27" i="27" s="1"/>
  <c r="F173" i="27"/>
  <c r="F23" i="27" s="1"/>
  <c r="E173" i="27"/>
  <c r="E23" i="27" s="1"/>
  <c r="D173" i="27"/>
  <c r="D23" i="27" s="1"/>
  <c r="O166" i="27"/>
  <c r="N166" i="27"/>
  <c r="M166" i="27"/>
  <c r="L166" i="27"/>
  <c r="K166" i="27"/>
  <c r="J166" i="27"/>
  <c r="I166" i="27"/>
  <c r="H166" i="27"/>
  <c r="G166" i="27"/>
  <c r="F166" i="27"/>
  <c r="E166" i="27"/>
  <c r="D166" i="27"/>
  <c r="O148" i="27"/>
  <c r="N148" i="27"/>
  <c r="M148" i="27"/>
  <c r="L148" i="27"/>
  <c r="K148" i="27"/>
  <c r="J148" i="27"/>
  <c r="I148" i="27"/>
  <c r="H148" i="27"/>
  <c r="G148" i="27"/>
  <c r="F148" i="27"/>
  <c r="E148" i="27"/>
  <c r="D148" i="27"/>
  <c r="O137" i="27"/>
  <c r="O8" i="27" s="1"/>
  <c r="O3" i="27" s="1"/>
  <c r="O17" i="27" s="1"/>
  <c r="N137" i="27"/>
  <c r="N8" i="27" s="1"/>
  <c r="L330" i="2" s="1"/>
  <c r="M137" i="27"/>
  <c r="M8" i="27" s="1"/>
  <c r="K330" i="2" s="1"/>
  <c r="L137" i="27"/>
  <c r="L8" i="27" s="1"/>
  <c r="J330" i="2" s="1"/>
  <c r="K137" i="27"/>
  <c r="K8" i="27" s="1"/>
  <c r="K3" i="27" s="1"/>
  <c r="J137" i="27"/>
  <c r="J8" i="27" s="1"/>
  <c r="H330" i="2" s="1"/>
  <c r="U330" i="2" s="1"/>
  <c r="I137" i="27"/>
  <c r="I8" i="27" s="1"/>
  <c r="G330" i="2" s="1"/>
  <c r="H137" i="27"/>
  <c r="H8" i="27" s="1"/>
  <c r="G137" i="27"/>
  <c r="G8" i="27" s="1"/>
  <c r="F137" i="27"/>
  <c r="F8" i="27" s="1"/>
  <c r="E137" i="27"/>
  <c r="E8" i="27" s="1"/>
  <c r="C330" i="2" s="1"/>
  <c r="D137" i="27"/>
  <c r="D8" i="27" s="1"/>
  <c r="O130" i="27"/>
  <c r="O58" i="27" s="1"/>
  <c r="N130" i="27"/>
  <c r="N58" i="27" s="1"/>
  <c r="M130" i="27"/>
  <c r="M58" i="27" s="1"/>
  <c r="L130" i="27"/>
  <c r="L58" i="27" s="1"/>
  <c r="K130" i="27"/>
  <c r="K58" i="27" s="1"/>
  <c r="J130" i="27"/>
  <c r="J58" i="27" s="1"/>
  <c r="I130" i="27"/>
  <c r="I58" i="27" s="1"/>
  <c r="H130" i="27"/>
  <c r="H58" i="27" s="1"/>
  <c r="G130" i="27"/>
  <c r="G58" i="27" s="1"/>
  <c r="F130" i="27"/>
  <c r="F58" i="27" s="1"/>
  <c r="E130" i="27"/>
  <c r="E58" i="27" s="1"/>
  <c r="D130" i="27"/>
  <c r="D58" i="27" s="1"/>
  <c r="O129" i="27"/>
  <c r="O51" i="27" s="1"/>
  <c r="M473" i="3" s="1"/>
  <c r="N129" i="27"/>
  <c r="N51" i="27" s="1"/>
  <c r="L473" i="3" s="1"/>
  <c r="M129" i="27"/>
  <c r="M51" i="27" s="1"/>
  <c r="K473" i="3" s="1"/>
  <c r="L129" i="27"/>
  <c r="L51" i="27" s="1"/>
  <c r="J473" i="3" s="1"/>
  <c r="K129" i="27"/>
  <c r="K51" i="27" s="1"/>
  <c r="I473" i="3" s="1"/>
  <c r="J129" i="27"/>
  <c r="J51" i="27" s="1"/>
  <c r="H473" i="3" s="1"/>
  <c r="I129" i="27"/>
  <c r="I51" i="27" s="1"/>
  <c r="G473" i="3" s="1"/>
  <c r="H129" i="27"/>
  <c r="H51" i="27" s="1"/>
  <c r="F473" i="3" s="1"/>
  <c r="G129" i="27"/>
  <c r="G51" i="27" s="1"/>
  <c r="E473" i="3" s="1"/>
  <c r="F129" i="27"/>
  <c r="F51" i="27" s="1"/>
  <c r="D473" i="3" s="1"/>
  <c r="E129" i="27"/>
  <c r="E51" i="27" s="1"/>
  <c r="C473" i="3" s="1"/>
  <c r="D129" i="27"/>
  <c r="D51" i="27" s="1"/>
  <c r="B473" i="3" s="1"/>
  <c r="O120" i="27"/>
  <c r="N120" i="27"/>
  <c r="M120" i="27"/>
  <c r="L120" i="27"/>
  <c r="K120" i="27"/>
  <c r="J120" i="27"/>
  <c r="I120" i="27"/>
  <c r="H120" i="27"/>
  <c r="G120" i="27"/>
  <c r="F120" i="27"/>
  <c r="E120" i="27"/>
  <c r="D120" i="27"/>
  <c r="O117" i="27"/>
  <c r="N117" i="27"/>
  <c r="M117" i="27"/>
  <c r="L117" i="27"/>
  <c r="K117" i="27"/>
  <c r="J117" i="27"/>
  <c r="I117" i="27"/>
  <c r="H117" i="27"/>
  <c r="G117" i="27"/>
  <c r="F117" i="27"/>
  <c r="E117" i="27"/>
  <c r="D117" i="27"/>
  <c r="O110" i="27"/>
  <c r="N110" i="27"/>
  <c r="M110" i="27"/>
  <c r="L110" i="27"/>
  <c r="K110" i="27"/>
  <c r="J110" i="27"/>
  <c r="I110" i="27"/>
  <c r="H110" i="27"/>
  <c r="G110" i="27"/>
  <c r="F110" i="27"/>
  <c r="E110" i="27"/>
  <c r="D110" i="27"/>
  <c r="O107" i="27"/>
  <c r="N107" i="27"/>
  <c r="M107" i="27"/>
  <c r="L107" i="27"/>
  <c r="K107" i="27"/>
  <c r="J107" i="27"/>
  <c r="I107" i="27"/>
  <c r="H107" i="27"/>
  <c r="G107" i="27"/>
  <c r="F107" i="27"/>
  <c r="E107" i="27"/>
  <c r="D107" i="27"/>
  <c r="O103" i="27"/>
  <c r="O5" i="27" s="1"/>
  <c r="N103" i="27"/>
  <c r="N5" i="27" s="1"/>
  <c r="M103" i="27"/>
  <c r="M5" i="27" s="1"/>
  <c r="M20" i="27" s="1"/>
  <c r="L103" i="27"/>
  <c r="L5" i="27" s="1"/>
  <c r="J340" i="2" s="1"/>
  <c r="W340" i="2" s="1"/>
  <c r="K103" i="27"/>
  <c r="K5" i="27" s="1"/>
  <c r="J103" i="27"/>
  <c r="J5" i="27" s="1"/>
  <c r="J20" i="27" s="1"/>
  <c r="I103" i="27"/>
  <c r="I5" i="27" s="1"/>
  <c r="I20" i="27" s="1"/>
  <c r="H103" i="27"/>
  <c r="H5" i="27" s="1"/>
  <c r="F340" i="2" s="1"/>
  <c r="S340" i="2" s="1"/>
  <c r="G103" i="27"/>
  <c r="G5" i="27" s="1"/>
  <c r="F103" i="27"/>
  <c r="F5" i="27" s="1"/>
  <c r="E103" i="27"/>
  <c r="E5" i="27" s="1"/>
  <c r="E20" i="27" s="1"/>
  <c r="D103" i="27"/>
  <c r="D5" i="27" s="1"/>
  <c r="B340" i="2" s="1"/>
  <c r="O340" i="2" s="1"/>
  <c r="O96" i="27"/>
  <c r="O43" i="27" s="1"/>
  <c r="O45" i="27" s="1"/>
  <c r="M424" i="3" s="1"/>
  <c r="N96" i="27"/>
  <c r="N43" i="27" s="1"/>
  <c r="M96" i="27"/>
  <c r="M43" i="27" s="1"/>
  <c r="L96" i="27"/>
  <c r="L43" i="27" s="1"/>
  <c r="K96" i="27"/>
  <c r="K43" i="27" s="1"/>
  <c r="K45" i="27" s="1"/>
  <c r="I424" i="3" s="1"/>
  <c r="J96" i="27"/>
  <c r="J43" i="27" s="1"/>
  <c r="I96" i="27"/>
  <c r="I43" i="27" s="1"/>
  <c r="H96" i="27"/>
  <c r="H43" i="27" s="1"/>
  <c r="G96" i="27"/>
  <c r="G43" i="27" s="1"/>
  <c r="G45" i="27" s="1"/>
  <c r="E424" i="3" s="1"/>
  <c r="F96" i="27"/>
  <c r="F43" i="27" s="1"/>
  <c r="E96" i="27"/>
  <c r="E43" i="27" s="1"/>
  <c r="D96" i="27"/>
  <c r="D43" i="27" s="1"/>
  <c r="O95" i="27"/>
  <c r="O41" i="27" s="1"/>
  <c r="M354" i="3" s="1"/>
  <c r="N95" i="27"/>
  <c r="N41" i="27" s="1"/>
  <c r="L354" i="3" s="1"/>
  <c r="M95" i="27"/>
  <c r="M41" i="27" s="1"/>
  <c r="K354" i="3" s="1"/>
  <c r="L95" i="27"/>
  <c r="L41" i="27" s="1"/>
  <c r="J354" i="3" s="1"/>
  <c r="K95" i="27"/>
  <c r="K41" i="27" s="1"/>
  <c r="I354" i="3" s="1"/>
  <c r="J95" i="27"/>
  <c r="J41" i="27" s="1"/>
  <c r="H354" i="3" s="1"/>
  <c r="I95" i="27"/>
  <c r="H95" i="27"/>
  <c r="H41" i="27" s="1"/>
  <c r="F354" i="3" s="1"/>
  <c r="G95" i="27"/>
  <c r="G41" i="27" s="1"/>
  <c r="E354" i="3" s="1"/>
  <c r="F95" i="27"/>
  <c r="F41" i="27" s="1"/>
  <c r="D354" i="3" s="1"/>
  <c r="E95" i="27"/>
  <c r="E41" i="27" s="1"/>
  <c r="C354" i="3" s="1"/>
  <c r="D95" i="27"/>
  <c r="D41" i="27" s="1"/>
  <c r="B354" i="3" s="1"/>
  <c r="O94" i="27"/>
  <c r="O39" i="27" s="1"/>
  <c r="M353" i="3" s="1"/>
  <c r="N94" i="27"/>
  <c r="N39" i="27" s="1"/>
  <c r="L353" i="3" s="1"/>
  <c r="M94" i="27"/>
  <c r="M39" i="27" s="1"/>
  <c r="K353" i="3" s="1"/>
  <c r="L94" i="27"/>
  <c r="L39" i="27" s="1"/>
  <c r="J353" i="3" s="1"/>
  <c r="K94" i="27"/>
  <c r="K39" i="27" s="1"/>
  <c r="I353" i="3" s="1"/>
  <c r="J94" i="27"/>
  <c r="J39" i="27" s="1"/>
  <c r="H353" i="3" s="1"/>
  <c r="I94" i="27"/>
  <c r="I39" i="27" s="1"/>
  <c r="G353" i="3" s="1"/>
  <c r="H94" i="27"/>
  <c r="H39" i="27" s="1"/>
  <c r="F353" i="3" s="1"/>
  <c r="G94" i="27"/>
  <c r="G39" i="27" s="1"/>
  <c r="E353" i="3" s="1"/>
  <c r="F94" i="27"/>
  <c r="F39" i="27" s="1"/>
  <c r="D353" i="3" s="1"/>
  <c r="E94" i="27"/>
  <c r="E39" i="27" s="1"/>
  <c r="C353" i="3" s="1"/>
  <c r="D94" i="27"/>
  <c r="D39" i="27" s="1"/>
  <c r="B353" i="3" s="1"/>
  <c r="O72" i="27"/>
  <c r="O4" i="27" s="1"/>
  <c r="M339" i="2" s="1"/>
  <c r="N72" i="27"/>
  <c r="N4" i="27" s="1"/>
  <c r="M72" i="27"/>
  <c r="M4" i="27" s="1"/>
  <c r="L72" i="27"/>
  <c r="L4" i="27" s="1"/>
  <c r="K72" i="27"/>
  <c r="K4" i="27" s="1"/>
  <c r="J72" i="27"/>
  <c r="J4" i="27" s="1"/>
  <c r="J18" i="27" s="1"/>
  <c r="I72" i="27"/>
  <c r="I4" i="27" s="1"/>
  <c r="H72" i="27"/>
  <c r="H4" i="27" s="1"/>
  <c r="G72" i="27"/>
  <c r="G4" i="27" s="1"/>
  <c r="F72" i="27"/>
  <c r="F4" i="27" s="1"/>
  <c r="F18" i="27" s="1"/>
  <c r="E72" i="27"/>
  <c r="E4" i="27" s="1"/>
  <c r="E18" i="27" s="1"/>
  <c r="D72" i="27"/>
  <c r="D4" i="27" s="1"/>
  <c r="E57" i="27"/>
  <c r="I48" i="27"/>
  <c r="M44" i="27"/>
  <c r="I41" i="27"/>
  <c r="G354" i="3" s="1"/>
  <c r="I35" i="27"/>
  <c r="G309" i="3" s="1"/>
  <c r="E33" i="27"/>
  <c r="C172" i="3" s="1"/>
  <c r="I30" i="27"/>
  <c r="J23" i="27"/>
  <c r="I23" i="27"/>
  <c r="E15" i="27"/>
  <c r="C337" i="2" s="1"/>
  <c r="P337" i="2" s="1"/>
  <c r="J14" i="27"/>
  <c r="H336" i="2" s="1"/>
  <c r="U336" i="2" s="1"/>
  <c r="M13" i="27"/>
  <c r="K335" i="2" s="1"/>
  <c r="X335" i="2" s="1"/>
  <c r="M10" i="27"/>
  <c r="K332" i="2" s="1"/>
  <c r="X332" i="2" s="1"/>
  <c r="E9" i="27"/>
  <c r="C331" i="2" s="1"/>
  <c r="P331" i="2" s="1"/>
  <c r="O338" i="26"/>
  <c r="O49" i="26" s="1"/>
  <c r="M409" i="3" s="1"/>
  <c r="N338" i="26"/>
  <c r="N49" i="26" s="1"/>
  <c r="L409" i="3" s="1"/>
  <c r="M338" i="26"/>
  <c r="M49" i="26" s="1"/>
  <c r="K409" i="3" s="1"/>
  <c r="L338" i="26"/>
  <c r="L49" i="26" s="1"/>
  <c r="J409" i="3" s="1"/>
  <c r="K338" i="26"/>
  <c r="K49" i="26" s="1"/>
  <c r="I409" i="3" s="1"/>
  <c r="J338" i="26"/>
  <c r="J49" i="26" s="1"/>
  <c r="H409" i="3" s="1"/>
  <c r="I338" i="26"/>
  <c r="I49" i="26" s="1"/>
  <c r="G409" i="3" s="1"/>
  <c r="H338" i="26"/>
  <c r="H49" i="26" s="1"/>
  <c r="F409" i="3" s="1"/>
  <c r="G338" i="26"/>
  <c r="G49" i="26" s="1"/>
  <c r="E409" i="3" s="1"/>
  <c r="F338" i="26"/>
  <c r="F49" i="26" s="1"/>
  <c r="D409" i="3" s="1"/>
  <c r="E338" i="26"/>
  <c r="D338" i="26"/>
  <c r="D49" i="26" s="1"/>
  <c r="B409" i="3" s="1"/>
  <c r="O321" i="26"/>
  <c r="O14" i="26" s="1"/>
  <c r="M74" i="2" s="1"/>
  <c r="Z74" i="2" s="1"/>
  <c r="N321" i="26"/>
  <c r="N14" i="26" s="1"/>
  <c r="L74" i="2" s="1"/>
  <c r="Y74" i="2" s="1"/>
  <c r="M321" i="26"/>
  <c r="M14" i="26" s="1"/>
  <c r="K74" i="2" s="1"/>
  <c r="X74" i="2" s="1"/>
  <c r="L321" i="26"/>
  <c r="K321" i="26"/>
  <c r="K14" i="26" s="1"/>
  <c r="I74" i="2" s="1"/>
  <c r="V74" i="2" s="1"/>
  <c r="J321" i="26"/>
  <c r="I321" i="26"/>
  <c r="I14" i="26" s="1"/>
  <c r="G74" i="2" s="1"/>
  <c r="T74" i="2" s="1"/>
  <c r="H321" i="26"/>
  <c r="H14" i="26" s="1"/>
  <c r="F74" i="2" s="1"/>
  <c r="S74" i="2" s="1"/>
  <c r="G321" i="26"/>
  <c r="G14" i="26" s="1"/>
  <c r="E74" i="2" s="1"/>
  <c r="R74" i="2" s="1"/>
  <c r="F321" i="26"/>
  <c r="F14" i="26" s="1"/>
  <c r="D74" i="2" s="1"/>
  <c r="Q74" i="2" s="1"/>
  <c r="E321" i="26"/>
  <c r="E14" i="26" s="1"/>
  <c r="C74" i="2" s="1"/>
  <c r="P74" i="2" s="1"/>
  <c r="D321" i="26"/>
  <c r="D14" i="26" s="1"/>
  <c r="B74" i="2" s="1"/>
  <c r="O74" i="2" s="1"/>
  <c r="O314" i="26"/>
  <c r="O46" i="26" s="1"/>
  <c r="N314" i="26"/>
  <c r="N46" i="26" s="1"/>
  <c r="M314" i="26"/>
  <c r="M46" i="26" s="1"/>
  <c r="L314" i="26"/>
  <c r="L46" i="26" s="1"/>
  <c r="K314" i="26"/>
  <c r="K46" i="26" s="1"/>
  <c r="J314" i="26"/>
  <c r="J46" i="26" s="1"/>
  <c r="I314" i="26"/>
  <c r="I46" i="26" s="1"/>
  <c r="H314" i="26"/>
  <c r="H46" i="26" s="1"/>
  <c r="G314" i="26"/>
  <c r="G46" i="26" s="1"/>
  <c r="F314" i="26"/>
  <c r="F46" i="26" s="1"/>
  <c r="E314" i="26"/>
  <c r="E46" i="26" s="1"/>
  <c r="D314" i="26"/>
  <c r="D46" i="26" s="1"/>
  <c r="O313" i="26"/>
  <c r="O23" i="26" s="1"/>
  <c r="N313" i="26"/>
  <c r="N23" i="26" s="1"/>
  <c r="M313" i="26"/>
  <c r="L313" i="26"/>
  <c r="K313" i="26"/>
  <c r="K23" i="26" s="1"/>
  <c r="J313" i="26"/>
  <c r="J23" i="26" s="1"/>
  <c r="I313" i="26"/>
  <c r="I23" i="26" s="1"/>
  <c r="H313" i="26"/>
  <c r="H23" i="26" s="1"/>
  <c r="G313" i="26"/>
  <c r="G23" i="26" s="1"/>
  <c r="F313" i="26"/>
  <c r="F23" i="26" s="1"/>
  <c r="E313" i="26"/>
  <c r="E23" i="26" s="1"/>
  <c r="D313" i="26"/>
  <c r="D23" i="26" s="1"/>
  <c r="O304" i="26"/>
  <c r="N304" i="26"/>
  <c r="M304" i="26"/>
  <c r="L304" i="26"/>
  <c r="K304" i="26"/>
  <c r="J304" i="26"/>
  <c r="I304" i="26"/>
  <c r="H304" i="26"/>
  <c r="G304" i="26"/>
  <c r="F304" i="26"/>
  <c r="E304" i="26"/>
  <c r="D304" i="26"/>
  <c r="O299" i="26"/>
  <c r="N299" i="26"/>
  <c r="M299" i="26"/>
  <c r="L299" i="26"/>
  <c r="K299" i="26"/>
  <c r="J299" i="26"/>
  <c r="I299" i="26"/>
  <c r="H299" i="26"/>
  <c r="G299" i="26"/>
  <c r="F299" i="26"/>
  <c r="E299" i="26"/>
  <c r="D299" i="26"/>
  <c r="O283" i="26"/>
  <c r="O13" i="26" s="1"/>
  <c r="M73" i="2" s="1"/>
  <c r="Z73" i="2" s="1"/>
  <c r="N283" i="26"/>
  <c r="N13" i="26" s="1"/>
  <c r="L73" i="2" s="1"/>
  <c r="Y73" i="2" s="1"/>
  <c r="M283" i="26"/>
  <c r="L283" i="26"/>
  <c r="L13" i="26" s="1"/>
  <c r="J73" i="2" s="1"/>
  <c r="W73" i="2" s="1"/>
  <c r="K283" i="26"/>
  <c r="K13" i="26" s="1"/>
  <c r="I73" i="2" s="1"/>
  <c r="V73" i="2" s="1"/>
  <c r="J283" i="26"/>
  <c r="J13" i="26" s="1"/>
  <c r="H73" i="2" s="1"/>
  <c r="U73" i="2" s="1"/>
  <c r="I283" i="26"/>
  <c r="I13" i="26" s="1"/>
  <c r="G73" i="2" s="1"/>
  <c r="T73" i="2" s="1"/>
  <c r="H283" i="26"/>
  <c r="H13" i="26" s="1"/>
  <c r="F73" i="2" s="1"/>
  <c r="S73" i="2" s="1"/>
  <c r="G283" i="26"/>
  <c r="G13" i="26" s="1"/>
  <c r="E73" i="2" s="1"/>
  <c r="R73" i="2" s="1"/>
  <c r="F283" i="26"/>
  <c r="F13" i="26" s="1"/>
  <c r="D73" i="2" s="1"/>
  <c r="Q73" i="2" s="1"/>
  <c r="E283" i="26"/>
  <c r="E13" i="26" s="1"/>
  <c r="C73" i="2" s="1"/>
  <c r="P73" i="2" s="1"/>
  <c r="D283" i="26"/>
  <c r="D13" i="26" s="1"/>
  <c r="B73" i="2" s="1"/>
  <c r="O73" i="2" s="1"/>
  <c r="O276" i="26"/>
  <c r="O38" i="26" s="1"/>
  <c r="M222" i="3" s="1"/>
  <c r="N276" i="26"/>
  <c r="N38" i="26" s="1"/>
  <c r="L222" i="3" s="1"/>
  <c r="M276" i="26"/>
  <c r="M38" i="26" s="1"/>
  <c r="K222" i="3" s="1"/>
  <c r="L276" i="26"/>
  <c r="L38" i="26" s="1"/>
  <c r="J222" i="3" s="1"/>
  <c r="K276" i="26"/>
  <c r="K38" i="26" s="1"/>
  <c r="I222" i="3" s="1"/>
  <c r="J276" i="26"/>
  <c r="J38" i="26" s="1"/>
  <c r="H222" i="3" s="1"/>
  <c r="I276" i="26"/>
  <c r="H276" i="26"/>
  <c r="H38" i="26" s="1"/>
  <c r="F222" i="3" s="1"/>
  <c r="G276" i="26"/>
  <c r="G38" i="26" s="1"/>
  <c r="E222" i="3" s="1"/>
  <c r="F276" i="26"/>
  <c r="F38" i="26" s="1"/>
  <c r="D222" i="3" s="1"/>
  <c r="E276" i="26"/>
  <c r="E38" i="26" s="1"/>
  <c r="C222" i="3" s="1"/>
  <c r="D276" i="26"/>
  <c r="D38" i="26" s="1"/>
  <c r="B222" i="3" s="1"/>
  <c r="O246" i="26"/>
  <c r="O12" i="26" s="1"/>
  <c r="M72" i="2" s="1"/>
  <c r="Z72" i="2" s="1"/>
  <c r="N246" i="26"/>
  <c r="N12" i="26" s="1"/>
  <c r="L72" i="2" s="1"/>
  <c r="Y72" i="2" s="1"/>
  <c r="M246" i="26"/>
  <c r="M12" i="26" s="1"/>
  <c r="K72" i="2" s="1"/>
  <c r="X72" i="2" s="1"/>
  <c r="L246" i="26"/>
  <c r="L12" i="26" s="1"/>
  <c r="J72" i="2" s="1"/>
  <c r="W72" i="2" s="1"/>
  <c r="K246" i="26"/>
  <c r="K12" i="26" s="1"/>
  <c r="I72" i="2" s="1"/>
  <c r="V72" i="2" s="1"/>
  <c r="J246" i="26"/>
  <c r="J12" i="26" s="1"/>
  <c r="H72" i="2" s="1"/>
  <c r="U72" i="2" s="1"/>
  <c r="I246" i="26"/>
  <c r="H246" i="26"/>
  <c r="H12" i="26" s="1"/>
  <c r="F72" i="2" s="1"/>
  <c r="S72" i="2" s="1"/>
  <c r="G246" i="26"/>
  <c r="G12" i="26" s="1"/>
  <c r="E72" i="2" s="1"/>
  <c r="R72" i="2" s="1"/>
  <c r="F246" i="26"/>
  <c r="F12" i="26" s="1"/>
  <c r="D72" i="2" s="1"/>
  <c r="Q72" i="2" s="1"/>
  <c r="E246" i="26"/>
  <c r="E12" i="26" s="1"/>
  <c r="C72" i="2" s="1"/>
  <c r="P72" i="2" s="1"/>
  <c r="D246" i="26"/>
  <c r="D12" i="26" s="1"/>
  <c r="B72" i="2" s="1"/>
  <c r="O72" i="2" s="1"/>
  <c r="O239" i="26"/>
  <c r="O42" i="26" s="1"/>
  <c r="N239" i="26"/>
  <c r="N42" i="26" s="1"/>
  <c r="M239" i="26"/>
  <c r="L239" i="26"/>
  <c r="L42" i="26" s="1"/>
  <c r="K239" i="26"/>
  <c r="K42" i="26" s="1"/>
  <c r="J239" i="26"/>
  <c r="J42" i="26" s="1"/>
  <c r="I239" i="26"/>
  <c r="I42" i="26" s="1"/>
  <c r="H239" i="26"/>
  <c r="H42" i="26" s="1"/>
  <c r="G239" i="26"/>
  <c r="G42" i="26" s="1"/>
  <c r="F239" i="26"/>
  <c r="F42" i="26" s="1"/>
  <c r="E239" i="26"/>
  <c r="E42" i="26" s="1"/>
  <c r="D239" i="26"/>
  <c r="D42" i="26" s="1"/>
  <c r="O238" i="26"/>
  <c r="O36" i="26" s="1"/>
  <c r="M169" i="3" s="1"/>
  <c r="N238" i="26"/>
  <c r="N36" i="26" s="1"/>
  <c r="L169" i="3" s="1"/>
  <c r="M238" i="26"/>
  <c r="M36" i="26" s="1"/>
  <c r="K169" i="3" s="1"/>
  <c r="L238" i="26"/>
  <c r="L36" i="26" s="1"/>
  <c r="J169" i="3" s="1"/>
  <c r="K238" i="26"/>
  <c r="K36" i="26" s="1"/>
  <c r="I169" i="3" s="1"/>
  <c r="J238" i="26"/>
  <c r="J36" i="26" s="1"/>
  <c r="H169" i="3" s="1"/>
  <c r="I238" i="26"/>
  <c r="I36" i="26" s="1"/>
  <c r="G169" i="3" s="1"/>
  <c r="H238" i="26"/>
  <c r="H36" i="26" s="1"/>
  <c r="F169" i="3" s="1"/>
  <c r="G238" i="26"/>
  <c r="G36" i="26" s="1"/>
  <c r="E169" i="3" s="1"/>
  <c r="F238" i="26"/>
  <c r="F36" i="26" s="1"/>
  <c r="D169" i="3" s="1"/>
  <c r="E238" i="26"/>
  <c r="D238" i="26"/>
  <c r="D36" i="26" s="1"/>
  <c r="B169" i="3" s="1"/>
  <c r="O217" i="26"/>
  <c r="O11" i="26" s="1"/>
  <c r="M71" i="2" s="1"/>
  <c r="Z71" i="2" s="1"/>
  <c r="N217" i="26"/>
  <c r="N11" i="26" s="1"/>
  <c r="L71" i="2" s="1"/>
  <c r="Y71" i="2" s="1"/>
  <c r="M217" i="26"/>
  <c r="L217" i="26"/>
  <c r="L11" i="26" s="1"/>
  <c r="J71" i="2" s="1"/>
  <c r="W71" i="2" s="1"/>
  <c r="K217" i="26"/>
  <c r="K11" i="26" s="1"/>
  <c r="I71" i="2" s="1"/>
  <c r="V71" i="2" s="1"/>
  <c r="J217" i="26"/>
  <c r="J11" i="26" s="1"/>
  <c r="I217" i="26"/>
  <c r="I11" i="26" s="1"/>
  <c r="G71" i="2" s="1"/>
  <c r="T71" i="2" s="1"/>
  <c r="H217" i="26"/>
  <c r="H11" i="26" s="1"/>
  <c r="F71" i="2" s="1"/>
  <c r="S71" i="2" s="1"/>
  <c r="G217" i="26"/>
  <c r="G11" i="26" s="1"/>
  <c r="E71" i="2" s="1"/>
  <c r="R71" i="2" s="1"/>
  <c r="F217" i="26"/>
  <c r="F11" i="26" s="1"/>
  <c r="D71" i="2" s="1"/>
  <c r="Q71" i="2" s="1"/>
  <c r="E217" i="26"/>
  <c r="E11" i="26" s="1"/>
  <c r="C71" i="2" s="1"/>
  <c r="P71" i="2" s="1"/>
  <c r="D217" i="26"/>
  <c r="D11" i="26" s="1"/>
  <c r="B71" i="2" s="1"/>
  <c r="O71" i="2" s="1"/>
  <c r="O210" i="26"/>
  <c r="O29" i="26" s="1"/>
  <c r="N210" i="26"/>
  <c r="N29" i="26" s="1"/>
  <c r="M210" i="26"/>
  <c r="L210" i="26"/>
  <c r="L29" i="26" s="1"/>
  <c r="K210" i="26"/>
  <c r="K29" i="26" s="1"/>
  <c r="J210" i="26"/>
  <c r="J29" i="26" s="1"/>
  <c r="I210" i="26"/>
  <c r="I29" i="26" s="1"/>
  <c r="H210" i="26"/>
  <c r="H29" i="26" s="1"/>
  <c r="G210" i="26"/>
  <c r="G29" i="26" s="1"/>
  <c r="F210" i="26"/>
  <c r="F29" i="26" s="1"/>
  <c r="E210" i="26"/>
  <c r="E29" i="26" s="1"/>
  <c r="D210" i="26"/>
  <c r="D29" i="26" s="1"/>
  <c r="O183" i="26"/>
  <c r="O10" i="26" s="1"/>
  <c r="M70" i="2" s="1"/>
  <c r="Z70" i="2" s="1"/>
  <c r="N183" i="26"/>
  <c r="N10" i="26" s="1"/>
  <c r="L70" i="2" s="1"/>
  <c r="Y70" i="2" s="1"/>
  <c r="M183" i="26"/>
  <c r="M10" i="26" s="1"/>
  <c r="K70" i="2" s="1"/>
  <c r="X70" i="2" s="1"/>
  <c r="L183" i="26"/>
  <c r="L10" i="26" s="1"/>
  <c r="J70" i="2" s="1"/>
  <c r="W70" i="2" s="1"/>
  <c r="K183" i="26"/>
  <c r="K10" i="26" s="1"/>
  <c r="I70" i="2" s="1"/>
  <c r="V70" i="2" s="1"/>
  <c r="J183" i="26"/>
  <c r="J10" i="26" s="1"/>
  <c r="H70" i="2" s="1"/>
  <c r="U70" i="2" s="1"/>
  <c r="I183" i="26"/>
  <c r="I10" i="26" s="1"/>
  <c r="G70" i="2" s="1"/>
  <c r="T70" i="2" s="1"/>
  <c r="H183" i="26"/>
  <c r="H10" i="26" s="1"/>
  <c r="F70" i="2" s="1"/>
  <c r="S70" i="2" s="1"/>
  <c r="G183" i="26"/>
  <c r="G10" i="26" s="1"/>
  <c r="E70" i="2" s="1"/>
  <c r="R70" i="2" s="1"/>
  <c r="F183" i="26"/>
  <c r="F10" i="26" s="1"/>
  <c r="D70" i="2" s="1"/>
  <c r="Q70" i="2" s="1"/>
  <c r="E183" i="26"/>
  <c r="D183" i="26"/>
  <c r="D10" i="26" s="1"/>
  <c r="B70" i="2" s="1"/>
  <c r="O70" i="2" s="1"/>
  <c r="O176" i="26"/>
  <c r="O45" i="26" s="1"/>
  <c r="O47" i="26" s="1"/>
  <c r="M317" i="3" s="1"/>
  <c r="N176" i="26"/>
  <c r="N45" i="26" s="1"/>
  <c r="N47" i="26" s="1"/>
  <c r="L317" i="3" s="1"/>
  <c r="M176" i="26"/>
  <c r="L176" i="26"/>
  <c r="L45" i="26" s="1"/>
  <c r="K176" i="26"/>
  <c r="K45" i="26" s="1"/>
  <c r="K47" i="26" s="1"/>
  <c r="I317" i="3" s="1"/>
  <c r="J176" i="26"/>
  <c r="J45" i="26" s="1"/>
  <c r="I176" i="26"/>
  <c r="H176" i="26"/>
  <c r="H45" i="26" s="1"/>
  <c r="G176" i="26"/>
  <c r="G45" i="26" s="1"/>
  <c r="G47" i="26" s="1"/>
  <c r="E317" i="3" s="1"/>
  <c r="F176" i="26"/>
  <c r="F45" i="26" s="1"/>
  <c r="E176" i="26"/>
  <c r="E45" i="26" s="1"/>
  <c r="D176" i="26"/>
  <c r="D45" i="26" s="1"/>
  <c r="D47" i="26" s="1"/>
  <c r="O175" i="26"/>
  <c r="O26" i="26" s="1"/>
  <c r="M106" i="3" s="1"/>
  <c r="N175" i="26"/>
  <c r="N26" i="26" s="1"/>
  <c r="L106" i="3" s="1"/>
  <c r="M175" i="26"/>
  <c r="M26" i="26" s="1"/>
  <c r="K106" i="3" s="1"/>
  <c r="L175" i="26"/>
  <c r="L26" i="26" s="1"/>
  <c r="J106" i="3" s="1"/>
  <c r="K175" i="26"/>
  <c r="K26" i="26" s="1"/>
  <c r="I106" i="3" s="1"/>
  <c r="J175" i="26"/>
  <c r="J26" i="26" s="1"/>
  <c r="H106" i="3" s="1"/>
  <c r="I175" i="26"/>
  <c r="H175" i="26"/>
  <c r="G175" i="26"/>
  <c r="G26" i="26" s="1"/>
  <c r="E106" i="3" s="1"/>
  <c r="F175" i="26"/>
  <c r="F26" i="26" s="1"/>
  <c r="D106" i="3" s="1"/>
  <c r="E175" i="26"/>
  <c r="E26" i="26" s="1"/>
  <c r="C106" i="3" s="1"/>
  <c r="D175" i="26"/>
  <c r="D26" i="26" s="1"/>
  <c r="B106" i="3" s="1"/>
  <c r="O154" i="26"/>
  <c r="O9" i="26" s="1"/>
  <c r="M69" i="2" s="1"/>
  <c r="Z69" i="2" s="1"/>
  <c r="N154" i="26"/>
  <c r="N9" i="26" s="1"/>
  <c r="L69" i="2" s="1"/>
  <c r="Y69" i="2" s="1"/>
  <c r="M154" i="26"/>
  <c r="L154" i="26"/>
  <c r="L9" i="26" s="1"/>
  <c r="J69" i="2" s="1"/>
  <c r="W69" i="2" s="1"/>
  <c r="K154" i="26"/>
  <c r="K9" i="26" s="1"/>
  <c r="I69" i="2" s="1"/>
  <c r="V69" i="2" s="1"/>
  <c r="J154" i="26"/>
  <c r="J9" i="26" s="1"/>
  <c r="I154" i="26"/>
  <c r="I9" i="26" s="1"/>
  <c r="G69" i="2" s="1"/>
  <c r="T69" i="2" s="1"/>
  <c r="H154" i="26"/>
  <c r="H9" i="26" s="1"/>
  <c r="F69" i="2" s="1"/>
  <c r="S69" i="2" s="1"/>
  <c r="G154" i="26"/>
  <c r="G9" i="26" s="1"/>
  <c r="E69" i="2" s="1"/>
  <c r="R69" i="2" s="1"/>
  <c r="F154" i="26"/>
  <c r="F9" i="26" s="1"/>
  <c r="D69" i="2" s="1"/>
  <c r="Q69" i="2" s="1"/>
  <c r="E154" i="26"/>
  <c r="D154" i="26"/>
  <c r="D9" i="26" s="1"/>
  <c r="B69" i="2" s="1"/>
  <c r="O69" i="2" s="1"/>
  <c r="O146" i="26"/>
  <c r="O22" i="26" s="1"/>
  <c r="O24" i="26" s="1"/>
  <c r="M51" i="3" s="1"/>
  <c r="N146" i="26"/>
  <c r="N22" i="26" s="1"/>
  <c r="N24" i="26" s="1"/>
  <c r="L51" i="3" s="1"/>
  <c r="M146" i="26"/>
  <c r="M22" i="26" s="1"/>
  <c r="L146" i="26"/>
  <c r="L22" i="26" s="1"/>
  <c r="K146" i="26"/>
  <c r="K22" i="26" s="1"/>
  <c r="K24" i="26" s="1"/>
  <c r="I51" i="3" s="1"/>
  <c r="J146" i="26"/>
  <c r="J22" i="26" s="1"/>
  <c r="J24" i="26" s="1"/>
  <c r="I146" i="26"/>
  <c r="I22" i="26" s="1"/>
  <c r="H146" i="26"/>
  <c r="H22" i="26" s="1"/>
  <c r="G146" i="26"/>
  <c r="G22" i="26" s="1"/>
  <c r="G24" i="26" s="1"/>
  <c r="E51" i="3" s="1"/>
  <c r="F146" i="26"/>
  <c r="F22" i="26" s="1"/>
  <c r="E146" i="26"/>
  <c r="E22" i="26" s="1"/>
  <c r="D146" i="26"/>
  <c r="D22" i="26" s="1"/>
  <c r="O127" i="26"/>
  <c r="O8" i="26" s="1"/>
  <c r="M68" i="2" s="1"/>
  <c r="Z68" i="2" s="1"/>
  <c r="N127" i="26"/>
  <c r="N8" i="26" s="1"/>
  <c r="L68" i="2" s="1"/>
  <c r="Y68" i="2" s="1"/>
  <c r="M127" i="26"/>
  <c r="M8" i="26" s="1"/>
  <c r="K68" i="2" s="1"/>
  <c r="X68" i="2" s="1"/>
  <c r="L127" i="26"/>
  <c r="L8" i="26" s="1"/>
  <c r="J68" i="2" s="1"/>
  <c r="W68" i="2" s="1"/>
  <c r="K127" i="26"/>
  <c r="K8" i="26" s="1"/>
  <c r="I68" i="2" s="1"/>
  <c r="V68" i="2" s="1"/>
  <c r="J127" i="26"/>
  <c r="J8" i="26" s="1"/>
  <c r="H68" i="2" s="1"/>
  <c r="U68" i="2" s="1"/>
  <c r="I127" i="26"/>
  <c r="I8" i="26" s="1"/>
  <c r="G68" i="2" s="1"/>
  <c r="T68" i="2" s="1"/>
  <c r="H127" i="26"/>
  <c r="H8" i="26" s="1"/>
  <c r="F68" i="2" s="1"/>
  <c r="S68" i="2" s="1"/>
  <c r="G127" i="26"/>
  <c r="G8" i="26" s="1"/>
  <c r="E68" i="2" s="1"/>
  <c r="R68" i="2" s="1"/>
  <c r="F127" i="26"/>
  <c r="F8" i="26" s="1"/>
  <c r="D68" i="2" s="1"/>
  <c r="Q68" i="2" s="1"/>
  <c r="E127" i="26"/>
  <c r="E8" i="26" s="1"/>
  <c r="C68" i="2" s="1"/>
  <c r="P68" i="2" s="1"/>
  <c r="D127" i="26"/>
  <c r="D8" i="26" s="1"/>
  <c r="B68" i="2" s="1"/>
  <c r="O68" i="2" s="1"/>
  <c r="O119" i="26"/>
  <c r="O40" i="26" s="1"/>
  <c r="N119" i="26"/>
  <c r="N40" i="26" s="1"/>
  <c r="M119" i="26"/>
  <c r="M40" i="26" s="1"/>
  <c r="L119" i="26"/>
  <c r="L40" i="26" s="1"/>
  <c r="K119" i="26"/>
  <c r="K40" i="26" s="1"/>
  <c r="J119" i="26"/>
  <c r="J40" i="26" s="1"/>
  <c r="I119" i="26"/>
  <c r="I40" i="26" s="1"/>
  <c r="H119" i="26"/>
  <c r="H40" i="26" s="1"/>
  <c r="G119" i="26"/>
  <c r="G40" i="26" s="1"/>
  <c r="F119" i="26"/>
  <c r="F40" i="26" s="1"/>
  <c r="E119" i="26"/>
  <c r="D119" i="26"/>
  <c r="D40" i="26" s="1"/>
  <c r="O118" i="26"/>
  <c r="O28" i="26" s="1"/>
  <c r="O30" i="26" s="1"/>
  <c r="M138" i="3" s="1"/>
  <c r="N118" i="26"/>
  <c r="N28" i="26" s="1"/>
  <c r="M118" i="26"/>
  <c r="M28" i="26" s="1"/>
  <c r="L118" i="26"/>
  <c r="L28" i="26" s="1"/>
  <c r="K118" i="26"/>
  <c r="K28" i="26" s="1"/>
  <c r="K30" i="26" s="1"/>
  <c r="I138" i="3" s="1"/>
  <c r="J118" i="26"/>
  <c r="J28" i="26" s="1"/>
  <c r="J30" i="26" s="1"/>
  <c r="H138" i="3" s="1"/>
  <c r="I118" i="26"/>
  <c r="H118" i="26"/>
  <c r="H28" i="26" s="1"/>
  <c r="G118" i="26"/>
  <c r="G28" i="26" s="1"/>
  <c r="G30" i="26" s="1"/>
  <c r="E138" i="3" s="1"/>
  <c r="F118" i="26"/>
  <c r="F28" i="26" s="1"/>
  <c r="F30" i="26" s="1"/>
  <c r="D138" i="3" s="1"/>
  <c r="E118" i="26"/>
  <c r="E28" i="26" s="1"/>
  <c r="D118" i="26"/>
  <c r="D28" i="26" s="1"/>
  <c r="O117" i="26"/>
  <c r="O20" i="26" s="1"/>
  <c r="M7" i="3" s="1"/>
  <c r="N117" i="26"/>
  <c r="N20" i="26" s="1"/>
  <c r="L7" i="3" s="1"/>
  <c r="M117" i="26"/>
  <c r="M20" i="26" s="1"/>
  <c r="L117" i="26"/>
  <c r="L20" i="26" s="1"/>
  <c r="J7" i="3" s="1"/>
  <c r="K117" i="26"/>
  <c r="K20" i="26" s="1"/>
  <c r="J117" i="26"/>
  <c r="J20" i="26" s="1"/>
  <c r="H7" i="3" s="1"/>
  <c r="I117" i="26"/>
  <c r="I20" i="26" s="1"/>
  <c r="H117" i="26"/>
  <c r="H20" i="26" s="1"/>
  <c r="F7" i="3" s="1"/>
  <c r="G117" i="26"/>
  <c r="G20" i="26" s="1"/>
  <c r="F117" i="26"/>
  <c r="F20" i="26" s="1"/>
  <c r="D7" i="3" s="1"/>
  <c r="E117" i="26"/>
  <c r="E20" i="26" s="1"/>
  <c r="D117" i="26"/>
  <c r="D20" i="26" s="1"/>
  <c r="B7" i="3" s="1"/>
  <c r="O107" i="26"/>
  <c r="N107" i="26"/>
  <c r="M107" i="26"/>
  <c r="L107" i="26"/>
  <c r="K107" i="26"/>
  <c r="J107" i="26"/>
  <c r="I107" i="26"/>
  <c r="H107" i="26"/>
  <c r="G107" i="26"/>
  <c r="F107" i="26"/>
  <c r="E107" i="26"/>
  <c r="D107" i="26"/>
  <c r="O90" i="26"/>
  <c r="O7" i="26" s="1"/>
  <c r="N90" i="26"/>
  <c r="N7" i="26" s="1"/>
  <c r="L67" i="2" s="1"/>
  <c r="M90" i="26"/>
  <c r="M7" i="26" s="1"/>
  <c r="K67" i="2" s="1"/>
  <c r="L90" i="26"/>
  <c r="L7" i="26" s="1"/>
  <c r="J67" i="2" s="1"/>
  <c r="K90" i="26"/>
  <c r="K7" i="26" s="1"/>
  <c r="J90" i="26"/>
  <c r="J7" i="26" s="1"/>
  <c r="I90" i="26"/>
  <c r="I7" i="26" s="1"/>
  <c r="G67" i="2" s="1"/>
  <c r="H90" i="26"/>
  <c r="H7" i="26" s="1"/>
  <c r="G90" i="26"/>
  <c r="G7" i="26" s="1"/>
  <c r="F90" i="26"/>
  <c r="F7" i="26" s="1"/>
  <c r="D67" i="2" s="1"/>
  <c r="Q67" i="2" s="1"/>
  <c r="E90" i="26"/>
  <c r="D90" i="26"/>
  <c r="D7" i="26" s="1"/>
  <c r="B67" i="2" s="1"/>
  <c r="O67" i="2" s="1"/>
  <c r="O83" i="26"/>
  <c r="O41" i="26" s="1"/>
  <c r="O43" i="26" s="1"/>
  <c r="M288" i="3" s="1"/>
  <c r="N83" i="26"/>
  <c r="N41" i="26" s="1"/>
  <c r="M83" i="26"/>
  <c r="L83" i="26"/>
  <c r="L41" i="26" s="1"/>
  <c r="K83" i="26"/>
  <c r="K41" i="26" s="1"/>
  <c r="J83" i="26"/>
  <c r="J41" i="26" s="1"/>
  <c r="I83" i="26"/>
  <c r="H83" i="26"/>
  <c r="H41" i="26" s="1"/>
  <c r="G83" i="26"/>
  <c r="G41" i="26" s="1"/>
  <c r="F83" i="26"/>
  <c r="F41" i="26" s="1"/>
  <c r="E83" i="26"/>
  <c r="E41" i="26" s="1"/>
  <c r="D83" i="26"/>
  <c r="D41" i="26" s="1"/>
  <c r="O82" i="26"/>
  <c r="O34" i="26" s="1"/>
  <c r="N82" i="26"/>
  <c r="N34" i="26" s="1"/>
  <c r="L137" i="3" s="1"/>
  <c r="M82" i="26"/>
  <c r="M34" i="26" s="1"/>
  <c r="K137" i="3" s="1"/>
  <c r="L82" i="26"/>
  <c r="L34" i="26" s="1"/>
  <c r="J137" i="3" s="1"/>
  <c r="K82" i="26"/>
  <c r="K34" i="26" s="1"/>
  <c r="I137" i="3" s="1"/>
  <c r="J82" i="26"/>
  <c r="J34" i="26" s="1"/>
  <c r="H137" i="3" s="1"/>
  <c r="I82" i="26"/>
  <c r="I34" i="26" s="1"/>
  <c r="G137" i="3" s="1"/>
  <c r="H82" i="26"/>
  <c r="H34" i="26" s="1"/>
  <c r="F137" i="3" s="1"/>
  <c r="G82" i="26"/>
  <c r="G34" i="26" s="1"/>
  <c r="E137" i="3" s="1"/>
  <c r="F82" i="26"/>
  <c r="F34" i="26" s="1"/>
  <c r="D137" i="3" s="1"/>
  <c r="E82" i="26"/>
  <c r="D82" i="26"/>
  <c r="D34" i="26" s="1"/>
  <c r="B137" i="3" s="1"/>
  <c r="O81" i="26"/>
  <c r="O32" i="26" s="1"/>
  <c r="M136" i="3" s="1"/>
  <c r="N81" i="26"/>
  <c r="N32" i="26" s="1"/>
  <c r="L136" i="3" s="1"/>
  <c r="M81" i="26"/>
  <c r="L81" i="26"/>
  <c r="L32" i="26" s="1"/>
  <c r="J136" i="3" s="1"/>
  <c r="K81" i="26"/>
  <c r="K32" i="26" s="1"/>
  <c r="I136" i="3" s="1"/>
  <c r="J81" i="26"/>
  <c r="J32" i="26" s="1"/>
  <c r="H136" i="3" s="1"/>
  <c r="I81" i="26"/>
  <c r="I32" i="26" s="1"/>
  <c r="G136" i="3" s="1"/>
  <c r="H81" i="26"/>
  <c r="H32" i="26" s="1"/>
  <c r="F136" i="3" s="1"/>
  <c r="G81" i="26"/>
  <c r="G32" i="26" s="1"/>
  <c r="E136" i="3" s="1"/>
  <c r="F81" i="26"/>
  <c r="F32" i="26" s="1"/>
  <c r="D136" i="3" s="1"/>
  <c r="E81" i="26"/>
  <c r="E32" i="26" s="1"/>
  <c r="C136" i="3" s="1"/>
  <c r="D81" i="26"/>
  <c r="D32" i="26" s="1"/>
  <c r="B136" i="3" s="1"/>
  <c r="O62" i="26"/>
  <c r="O4" i="26" s="1"/>
  <c r="M76" i="2" s="1"/>
  <c r="N62" i="26"/>
  <c r="N4" i="26" s="1"/>
  <c r="N17" i="26" s="1"/>
  <c r="M62" i="26"/>
  <c r="M4" i="26" s="1"/>
  <c r="M17" i="26" s="1"/>
  <c r="L62" i="26"/>
  <c r="L4" i="26" s="1"/>
  <c r="K62" i="26"/>
  <c r="K4" i="26" s="1"/>
  <c r="J62" i="26"/>
  <c r="J4" i="26" s="1"/>
  <c r="I62" i="26"/>
  <c r="I4" i="26" s="1"/>
  <c r="H62" i="26"/>
  <c r="H4" i="26" s="1"/>
  <c r="H17" i="26" s="1"/>
  <c r="G62" i="26"/>
  <c r="G4" i="26" s="1"/>
  <c r="F62" i="26"/>
  <c r="E62" i="26"/>
  <c r="E4" i="26" s="1"/>
  <c r="E17" i="26" s="1"/>
  <c r="D62" i="26"/>
  <c r="D4" i="26" s="1"/>
  <c r="E49" i="26"/>
  <c r="C409" i="3" s="1"/>
  <c r="M45" i="26"/>
  <c r="I45" i="26"/>
  <c r="M42" i="26"/>
  <c r="M41" i="26"/>
  <c r="I41" i="26"/>
  <c r="E40" i="26"/>
  <c r="I38" i="26"/>
  <c r="G222" i="3" s="1"/>
  <c r="E36" i="26"/>
  <c r="C169" i="3" s="1"/>
  <c r="E34" i="26"/>
  <c r="C137" i="3" s="1"/>
  <c r="M32" i="26"/>
  <c r="K136" i="3" s="1"/>
  <c r="M29" i="26"/>
  <c r="I28" i="26"/>
  <c r="I26" i="26"/>
  <c r="G106" i="3" s="1"/>
  <c r="H26" i="26"/>
  <c r="F106" i="3" s="1"/>
  <c r="M23" i="26"/>
  <c r="L23" i="26"/>
  <c r="L14" i="26"/>
  <c r="J74" i="2" s="1"/>
  <c r="W74" i="2" s="1"/>
  <c r="J14" i="26"/>
  <c r="H74" i="2" s="1"/>
  <c r="U74" i="2" s="1"/>
  <c r="M13" i="26"/>
  <c r="K73" i="2" s="1"/>
  <c r="X73" i="2" s="1"/>
  <c r="I12" i="26"/>
  <c r="G72" i="2" s="1"/>
  <c r="T72" i="2" s="1"/>
  <c r="M11" i="26"/>
  <c r="K71" i="2" s="1"/>
  <c r="X71" i="2" s="1"/>
  <c r="E10" i="26"/>
  <c r="C70" i="2" s="1"/>
  <c r="P70" i="2" s="1"/>
  <c r="M9" i="26"/>
  <c r="K69" i="2" s="1"/>
  <c r="X69" i="2" s="1"/>
  <c r="E9" i="26"/>
  <c r="C69" i="2" s="1"/>
  <c r="P69" i="2" s="1"/>
  <c r="E7" i="26"/>
  <c r="C67" i="2" s="1"/>
  <c r="P67" i="2" s="1"/>
  <c r="F4" i="26"/>
  <c r="F17" i="26" s="1"/>
  <c r="O221" i="25"/>
  <c r="O29" i="25" s="1"/>
  <c r="M511" i="3" s="1"/>
  <c r="N221" i="25"/>
  <c r="M221" i="25"/>
  <c r="M29" i="25" s="1"/>
  <c r="K511" i="3" s="1"/>
  <c r="L221" i="25"/>
  <c r="L29" i="25" s="1"/>
  <c r="J511" i="3" s="1"/>
  <c r="K221" i="25"/>
  <c r="K29" i="25" s="1"/>
  <c r="I511" i="3" s="1"/>
  <c r="J221" i="25"/>
  <c r="J29" i="25" s="1"/>
  <c r="H511" i="3" s="1"/>
  <c r="I221" i="25"/>
  <c r="I29" i="25" s="1"/>
  <c r="G511" i="3" s="1"/>
  <c r="H221" i="25"/>
  <c r="H29" i="25" s="1"/>
  <c r="F511" i="3" s="1"/>
  <c r="G221" i="25"/>
  <c r="G29" i="25" s="1"/>
  <c r="E511" i="3" s="1"/>
  <c r="F221" i="25"/>
  <c r="E221" i="25"/>
  <c r="E29" i="25" s="1"/>
  <c r="C511" i="3" s="1"/>
  <c r="D221" i="25"/>
  <c r="D29" i="25" s="1"/>
  <c r="B511" i="3" s="1"/>
  <c r="O220" i="25"/>
  <c r="O15" i="25" s="1"/>
  <c r="N220" i="25"/>
  <c r="N15" i="25" s="1"/>
  <c r="M220" i="25"/>
  <c r="M15" i="25" s="1"/>
  <c r="L220" i="25"/>
  <c r="L15" i="25" s="1"/>
  <c r="K220" i="25"/>
  <c r="K15" i="25" s="1"/>
  <c r="J220" i="25"/>
  <c r="J15" i="25" s="1"/>
  <c r="I220" i="25"/>
  <c r="I15" i="25" s="1"/>
  <c r="H220" i="25"/>
  <c r="H15" i="25" s="1"/>
  <c r="G220" i="25"/>
  <c r="G15" i="25" s="1"/>
  <c r="F220" i="25"/>
  <c r="F15" i="25" s="1"/>
  <c r="E220" i="25"/>
  <c r="E15" i="25" s="1"/>
  <c r="D220" i="25"/>
  <c r="D15" i="25" s="1"/>
  <c r="N204" i="25"/>
  <c r="M204" i="25"/>
  <c r="L204" i="25"/>
  <c r="K204" i="25"/>
  <c r="J204" i="25"/>
  <c r="I204" i="25"/>
  <c r="H204" i="25"/>
  <c r="G204" i="25"/>
  <c r="F204" i="25"/>
  <c r="E204" i="25"/>
  <c r="D204" i="25"/>
  <c r="O198" i="25"/>
  <c r="O10" i="25" s="1"/>
  <c r="M189" i="2" s="1"/>
  <c r="Z189" i="2" s="1"/>
  <c r="N198" i="25"/>
  <c r="N10" i="25" s="1"/>
  <c r="L189" i="2" s="1"/>
  <c r="Y189" i="2" s="1"/>
  <c r="M198" i="25"/>
  <c r="M10" i="25" s="1"/>
  <c r="K189" i="2" s="1"/>
  <c r="X189" i="2" s="1"/>
  <c r="L198" i="25"/>
  <c r="L10" i="25" s="1"/>
  <c r="J189" i="2" s="1"/>
  <c r="W189" i="2" s="1"/>
  <c r="K198" i="25"/>
  <c r="K10" i="25" s="1"/>
  <c r="I189" i="2" s="1"/>
  <c r="V189" i="2" s="1"/>
  <c r="J198" i="25"/>
  <c r="J10" i="25" s="1"/>
  <c r="H189" i="2" s="1"/>
  <c r="U189" i="2" s="1"/>
  <c r="I198" i="25"/>
  <c r="I10" i="25" s="1"/>
  <c r="G189" i="2" s="1"/>
  <c r="T189" i="2" s="1"/>
  <c r="H198" i="25"/>
  <c r="H10" i="25" s="1"/>
  <c r="F189" i="2" s="1"/>
  <c r="S189" i="2" s="1"/>
  <c r="G198" i="25"/>
  <c r="G10" i="25" s="1"/>
  <c r="E189" i="2" s="1"/>
  <c r="R189" i="2" s="1"/>
  <c r="F198" i="25"/>
  <c r="F10" i="25" s="1"/>
  <c r="D189" i="2" s="1"/>
  <c r="Q189" i="2" s="1"/>
  <c r="E198" i="25"/>
  <c r="E10" i="25" s="1"/>
  <c r="C189" i="2" s="1"/>
  <c r="P189" i="2" s="1"/>
  <c r="D198" i="25"/>
  <c r="D10" i="25" s="1"/>
  <c r="B189" i="2" s="1"/>
  <c r="O189" i="2" s="1"/>
  <c r="O191" i="25"/>
  <c r="O26" i="25" s="1"/>
  <c r="N191" i="25"/>
  <c r="N26" i="25" s="1"/>
  <c r="M191" i="25"/>
  <c r="M26" i="25" s="1"/>
  <c r="L191" i="25"/>
  <c r="L26" i="25" s="1"/>
  <c r="K191" i="25"/>
  <c r="K26" i="25" s="1"/>
  <c r="J191" i="25"/>
  <c r="J26" i="25" s="1"/>
  <c r="I191" i="25"/>
  <c r="I26" i="25" s="1"/>
  <c r="H191" i="25"/>
  <c r="H26" i="25" s="1"/>
  <c r="G191" i="25"/>
  <c r="G26" i="25" s="1"/>
  <c r="F191" i="25"/>
  <c r="F26" i="25" s="1"/>
  <c r="E191" i="25"/>
  <c r="E26" i="25" s="1"/>
  <c r="D191" i="25"/>
  <c r="D26" i="25" s="1"/>
  <c r="O159" i="25"/>
  <c r="O9" i="25" s="1"/>
  <c r="M188" i="2" s="1"/>
  <c r="Z188" i="2" s="1"/>
  <c r="N159" i="25"/>
  <c r="N9" i="25" s="1"/>
  <c r="L188" i="2" s="1"/>
  <c r="Y188" i="2" s="1"/>
  <c r="M159" i="25"/>
  <c r="M9" i="25" s="1"/>
  <c r="L159" i="25"/>
  <c r="L9" i="25" s="1"/>
  <c r="J188" i="2" s="1"/>
  <c r="W188" i="2" s="1"/>
  <c r="K159" i="25"/>
  <c r="K9" i="25" s="1"/>
  <c r="I188" i="2" s="1"/>
  <c r="V188" i="2" s="1"/>
  <c r="J159" i="25"/>
  <c r="J9" i="25" s="1"/>
  <c r="H188" i="2" s="1"/>
  <c r="U188" i="2" s="1"/>
  <c r="I159" i="25"/>
  <c r="I9" i="25" s="1"/>
  <c r="G188" i="2" s="1"/>
  <c r="T188" i="2" s="1"/>
  <c r="H159" i="25"/>
  <c r="H9" i="25" s="1"/>
  <c r="F188" i="2" s="1"/>
  <c r="S188" i="2" s="1"/>
  <c r="G159" i="25"/>
  <c r="G9" i="25" s="1"/>
  <c r="E188" i="2" s="1"/>
  <c r="R188" i="2" s="1"/>
  <c r="F159" i="25"/>
  <c r="F9" i="25" s="1"/>
  <c r="D188" i="2" s="1"/>
  <c r="Q188" i="2" s="1"/>
  <c r="E159" i="25"/>
  <c r="E9" i="25" s="1"/>
  <c r="D159" i="25"/>
  <c r="D9" i="25" s="1"/>
  <c r="O152" i="25"/>
  <c r="O21" i="25" s="1"/>
  <c r="N152" i="25"/>
  <c r="N21" i="25" s="1"/>
  <c r="M152" i="25"/>
  <c r="M21" i="25" s="1"/>
  <c r="L152" i="25"/>
  <c r="L21" i="25" s="1"/>
  <c r="K152" i="25"/>
  <c r="K21" i="25" s="1"/>
  <c r="J152" i="25"/>
  <c r="J21" i="25" s="1"/>
  <c r="I152" i="25"/>
  <c r="I21" i="25" s="1"/>
  <c r="H152" i="25"/>
  <c r="H21" i="25" s="1"/>
  <c r="G152" i="25"/>
  <c r="G21" i="25" s="1"/>
  <c r="F152" i="25"/>
  <c r="F21" i="25" s="1"/>
  <c r="E152" i="25"/>
  <c r="E21" i="25" s="1"/>
  <c r="D152" i="25"/>
  <c r="D21" i="25" s="1"/>
  <c r="O133" i="25"/>
  <c r="O8" i="25" s="1"/>
  <c r="M187" i="2" s="1"/>
  <c r="Z187" i="2" s="1"/>
  <c r="N133" i="25"/>
  <c r="N8" i="25" s="1"/>
  <c r="L187" i="2" s="1"/>
  <c r="Y187" i="2" s="1"/>
  <c r="M133" i="25"/>
  <c r="M8" i="25" s="1"/>
  <c r="K187" i="2" s="1"/>
  <c r="X187" i="2" s="1"/>
  <c r="L133" i="25"/>
  <c r="L8" i="25" s="1"/>
  <c r="J187" i="2" s="1"/>
  <c r="W187" i="2" s="1"/>
  <c r="K133" i="25"/>
  <c r="K8" i="25" s="1"/>
  <c r="I187" i="2" s="1"/>
  <c r="V187" i="2" s="1"/>
  <c r="J133" i="25"/>
  <c r="J8" i="25" s="1"/>
  <c r="H187" i="2" s="1"/>
  <c r="U187" i="2" s="1"/>
  <c r="I133" i="25"/>
  <c r="H133" i="25"/>
  <c r="H8" i="25" s="1"/>
  <c r="F187" i="2" s="1"/>
  <c r="S187" i="2" s="1"/>
  <c r="G133" i="25"/>
  <c r="G8" i="25" s="1"/>
  <c r="E187" i="2" s="1"/>
  <c r="R187" i="2" s="1"/>
  <c r="F133" i="25"/>
  <c r="F8" i="25" s="1"/>
  <c r="D187" i="2" s="1"/>
  <c r="Q187" i="2" s="1"/>
  <c r="E133" i="25"/>
  <c r="E8" i="25" s="1"/>
  <c r="C187" i="2" s="1"/>
  <c r="P187" i="2" s="1"/>
  <c r="D133" i="25"/>
  <c r="D8" i="25" s="1"/>
  <c r="B187" i="2" s="1"/>
  <c r="O187" i="2" s="1"/>
  <c r="O126" i="25"/>
  <c r="O25" i="25" s="1"/>
  <c r="N126" i="25"/>
  <c r="N25" i="25" s="1"/>
  <c r="M126" i="25"/>
  <c r="M25" i="25" s="1"/>
  <c r="L126" i="25"/>
  <c r="L25" i="25" s="1"/>
  <c r="K126" i="25"/>
  <c r="K25" i="25" s="1"/>
  <c r="J126" i="25"/>
  <c r="J25" i="25" s="1"/>
  <c r="I126" i="25"/>
  <c r="H126" i="25"/>
  <c r="G126" i="25"/>
  <c r="G25" i="25" s="1"/>
  <c r="F126" i="25"/>
  <c r="F25" i="25" s="1"/>
  <c r="E126" i="25"/>
  <c r="E25" i="25" s="1"/>
  <c r="D126" i="25"/>
  <c r="D25" i="25" s="1"/>
  <c r="O125" i="25"/>
  <c r="O18" i="25" s="1"/>
  <c r="M94" i="3" s="1"/>
  <c r="N125" i="25"/>
  <c r="N18" i="25" s="1"/>
  <c r="L94" i="3" s="1"/>
  <c r="M125" i="25"/>
  <c r="M18" i="25" s="1"/>
  <c r="K94" i="3" s="1"/>
  <c r="L125" i="25"/>
  <c r="L18" i="25" s="1"/>
  <c r="J94" i="3" s="1"/>
  <c r="K125" i="25"/>
  <c r="K18" i="25" s="1"/>
  <c r="I94" i="3" s="1"/>
  <c r="J125" i="25"/>
  <c r="J18" i="25" s="1"/>
  <c r="H94" i="3" s="1"/>
  <c r="I125" i="25"/>
  <c r="I18" i="25" s="1"/>
  <c r="G94" i="3" s="1"/>
  <c r="H125" i="25"/>
  <c r="H18" i="25" s="1"/>
  <c r="F94" i="3" s="1"/>
  <c r="G125" i="25"/>
  <c r="G18" i="25" s="1"/>
  <c r="E94" i="3" s="1"/>
  <c r="F125" i="25"/>
  <c r="F18" i="25" s="1"/>
  <c r="D94" i="3" s="1"/>
  <c r="E125" i="25"/>
  <c r="E18" i="25" s="1"/>
  <c r="D125" i="25"/>
  <c r="D18" i="25" s="1"/>
  <c r="B94" i="3" s="1"/>
  <c r="O123" i="25"/>
  <c r="N123" i="25"/>
  <c r="M123" i="25"/>
  <c r="L123" i="25"/>
  <c r="K123" i="25"/>
  <c r="J123" i="25"/>
  <c r="I123" i="25"/>
  <c r="H123" i="25"/>
  <c r="G123" i="25"/>
  <c r="F123" i="25"/>
  <c r="E123" i="25"/>
  <c r="D123" i="25"/>
  <c r="O120" i="25"/>
  <c r="N120" i="25"/>
  <c r="M120" i="25"/>
  <c r="L120" i="25"/>
  <c r="K120" i="25"/>
  <c r="J120" i="25"/>
  <c r="I120" i="25"/>
  <c r="H120" i="25"/>
  <c r="G120" i="25"/>
  <c r="F120" i="25"/>
  <c r="E120" i="25"/>
  <c r="D120" i="25"/>
  <c r="O107" i="25"/>
  <c r="N107" i="25"/>
  <c r="M107" i="25"/>
  <c r="L107" i="25"/>
  <c r="K107" i="25"/>
  <c r="J107" i="25"/>
  <c r="I107" i="25"/>
  <c r="H107" i="25"/>
  <c r="G107" i="25"/>
  <c r="F107" i="25"/>
  <c r="E107" i="25"/>
  <c r="D107" i="25"/>
  <c r="O104" i="25"/>
  <c r="O7" i="25" s="1"/>
  <c r="M186" i="2" s="1"/>
  <c r="Z186" i="2" s="1"/>
  <c r="N104" i="25"/>
  <c r="N7" i="25" s="1"/>
  <c r="L186" i="2" s="1"/>
  <c r="Y186" i="2" s="1"/>
  <c r="M104" i="25"/>
  <c r="M7" i="25" s="1"/>
  <c r="K186" i="2" s="1"/>
  <c r="X186" i="2" s="1"/>
  <c r="L104" i="25"/>
  <c r="L7" i="25" s="1"/>
  <c r="J186" i="2" s="1"/>
  <c r="W186" i="2" s="1"/>
  <c r="K104" i="25"/>
  <c r="K7" i="25" s="1"/>
  <c r="I186" i="2" s="1"/>
  <c r="V186" i="2" s="1"/>
  <c r="J104" i="25"/>
  <c r="J7" i="25" s="1"/>
  <c r="H186" i="2" s="1"/>
  <c r="U186" i="2" s="1"/>
  <c r="I104" i="25"/>
  <c r="I7" i="25" s="1"/>
  <c r="G186" i="2" s="1"/>
  <c r="T186" i="2" s="1"/>
  <c r="H104" i="25"/>
  <c r="H7" i="25" s="1"/>
  <c r="F186" i="2" s="1"/>
  <c r="S186" i="2" s="1"/>
  <c r="G104" i="25"/>
  <c r="G7" i="25" s="1"/>
  <c r="E186" i="2" s="1"/>
  <c r="R186" i="2" s="1"/>
  <c r="F104" i="25"/>
  <c r="F7" i="25" s="1"/>
  <c r="D186" i="2" s="1"/>
  <c r="Q186" i="2" s="1"/>
  <c r="E104" i="25"/>
  <c r="D104" i="25"/>
  <c r="D7" i="25" s="1"/>
  <c r="B186" i="2" s="1"/>
  <c r="O186" i="2" s="1"/>
  <c r="O97" i="25"/>
  <c r="O14" i="25" s="1"/>
  <c r="N97" i="25"/>
  <c r="N14" i="25" s="1"/>
  <c r="M97" i="25"/>
  <c r="M14" i="25" s="1"/>
  <c r="L97" i="25"/>
  <c r="L14" i="25" s="1"/>
  <c r="K97" i="25"/>
  <c r="K14" i="25" s="1"/>
  <c r="J97" i="25"/>
  <c r="J14" i="25" s="1"/>
  <c r="I97" i="25"/>
  <c r="H97" i="25"/>
  <c r="H14" i="25" s="1"/>
  <c r="G97" i="25"/>
  <c r="G14" i="25" s="1"/>
  <c r="F97" i="25"/>
  <c r="F14" i="25" s="1"/>
  <c r="E97" i="25"/>
  <c r="E14" i="25" s="1"/>
  <c r="D97" i="25"/>
  <c r="D14" i="25" s="1"/>
  <c r="O82" i="25"/>
  <c r="O6" i="25" s="1"/>
  <c r="M185" i="2" s="1"/>
  <c r="Z185" i="2" s="1"/>
  <c r="N82" i="25"/>
  <c r="N6" i="25" s="1"/>
  <c r="L185" i="2" s="1"/>
  <c r="Y185" i="2" s="1"/>
  <c r="M82" i="25"/>
  <c r="L82" i="25"/>
  <c r="L6" i="25" s="1"/>
  <c r="K82" i="25"/>
  <c r="K6" i="25" s="1"/>
  <c r="I185" i="2" s="1"/>
  <c r="V185" i="2" s="1"/>
  <c r="J82" i="25"/>
  <c r="J6" i="25" s="1"/>
  <c r="H185" i="2" s="1"/>
  <c r="U185" i="2" s="1"/>
  <c r="I82" i="25"/>
  <c r="I6" i="25" s="1"/>
  <c r="G185" i="2" s="1"/>
  <c r="T185" i="2" s="1"/>
  <c r="H82" i="25"/>
  <c r="H6" i="25" s="1"/>
  <c r="F185" i="2" s="1"/>
  <c r="S185" i="2" s="1"/>
  <c r="G82" i="25"/>
  <c r="G6" i="25" s="1"/>
  <c r="E185" i="2" s="1"/>
  <c r="R185" i="2" s="1"/>
  <c r="F82" i="25"/>
  <c r="F6" i="25" s="1"/>
  <c r="D185" i="2" s="1"/>
  <c r="Q185" i="2" s="1"/>
  <c r="E82" i="25"/>
  <c r="E6" i="25" s="1"/>
  <c r="C185" i="2" s="1"/>
  <c r="P185" i="2" s="1"/>
  <c r="D82" i="25"/>
  <c r="D6" i="25" s="1"/>
  <c r="B185" i="2" s="1"/>
  <c r="O185" i="2" s="1"/>
  <c r="O75" i="25"/>
  <c r="O31" i="25" s="1"/>
  <c r="M527" i="3" s="1"/>
  <c r="N75" i="25"/>
  <c r="N31" i="25" s="1"/>
  <c r="L527" i="3" s="1"/>
  <c r="M75" i="25"/>
  <c r="M31" i="25" s="1"/>
  <c r="K527" i="3" s="1"/>
  <c r="L75" i="25"/>
  <c r="L31" i="25" s="1"/>
  <c r="J527" i="3" s="1"/>
  <c r="K75" i="25"/>
  <c r="K31" i="25" s="1"/>
  <c r="I527" i="3" s="1"/>
  <c r="J75" i="25"/>
  <c r="J31" i="25" s="1"/>
  <c r="H527" i="3" s="1"/>
  <c r="I75" i="25"/>
  <c r="I31" i="25" s="1"/>
  <c r="G527" i="3" s="1"/>
  <c r="H75" i="25"/>
  <c r="H31" i="25" s="1"/>
  <c r="F527" i="3" s="1"/>
  <c r="G75" i="25"/>
  <c r="G31" i="25" s="1"/>
  <c r="E527" i="3" s="1"/>
  <c r="F75" i="25"/>
  <c r="F31" i="25" s="1"/>
  <c r="D527" i="3" s="1"/>
  <c r="E75" i="25"/>
  <c r="E31" i="25" s="1"/>
  <c r="C527" i="3" s="1"/>
  <c r="D75" i="25"/>
  <c r="D31" i="25" s="1"/>
  <c r="B527" i="3" s="1"/>
  <c r="O74" i="25"/>
  <c r="O24" i="25" s="1"/>
  <c r="O27" i="25" s="1"/>
  <c r="N74" i="25"/>
  <c r="N24" i="25" s="1"/>
  <c r="M74" i="25"/>
  <c r="M24" i="25" s="1"/>
  <c r="L74" i="25"/>
  <c r="L24" i="25" s="1"/>
  <c r="K74" i="25"/>
  <c r="K24" i="25" s="1"/>
  <c r="K27" i="25" s="1"/>
  <c r="I351" i="3" s="1"/>
  <c r="J74" i="25"/>
  <c r="J24" i="25" s="1"/>
  <c r="I74" i="25"/>
  <c r="I24" i="25" s="1"/>
  <c r="H74" i="25"/>
  <c r="H24" i="25" s="1"/>
  <c r="G74" i="25"/>
  <c r="G24" i="25" s="1"/>
  <c r="G27" i="25" s="1"/>
  <c r="E351" i="3" s="1"/>
  <c r="F74" i="25"/>
  <c r="F24" i="25" s="1"/>
  <c r="E74" i="25"/>
  <c r="E24" i="25" s="1"/>
  <c r="D74" i="25"/>
  <c r="D24" i="25" s="1"/>
  <c r="O73" i="25"/>
  <c r="O20" i="25" s="1"/>
  <c r="N73" i="25"/>
  <c r="N20" i="25" s="1"/>
  <c r="N22" i="25" s="1"/>
  <c r="L121" i="3" s="1"/>
  <c r="M73" i="25"/>
  <c r="L73" i="25"/>
  <c r="K73" i="25"/>
  <c r="K20" i="25" s="1"/>
  <c r="K22" i="25" s="1"/>
  <c r="I121" i="3" s="1"/>
  <c r="J73" i="25"/>
  <c r="J20" i="25" s="1"/>
  <c r="J22" i="25" s="1"/>
  <c r="H121" i="3" s="1"/>
  <c r="I73" i="25"/>
  <c r="I20" i="25" s="1"/>
  <c r="H73" i="25"/>
  <c r="H20" i="25" s="1"/>
  <c r="G73" i="25"/>
  <c r="G20" i="25" s="1"/>
  <c r="G22" i="25" s="1"/>
  <c r="E121" i="3" s="1"/>
  <c r="F73" i="25"/>
  <c r="F20" i="25" s="1"/>
  <c r="F22" i="25" s="1"/>
  <c r="D121" i="3" s="1"/>
  <c r="E73" i="25"/>
  <c r="E20" i="25" s="1"/>
  <c r="D73" i="25"/>
  <c r="D20" i="25" s="1"/>
  <c r="D22" i="25" s="1"/>
  <c r="B121" i="3" s="1"/>
  <c r="O71" i="25"/>
  <c r="N71" i="25"/>
  <c r="M71" i="25"/>
  <c r="L71" i="25"/>
  <c r="K71" i="25"/>
  <c r="J71" i="25"/>
  <c r="I71" i="25"/>
  <c r="H71" i="25"/>
  <c r="G71" i="25"/>
  <c r="F71" i="25"/>
  <c r="E71" i="25"/>
  <c r="D71" i="25"/>
  <c r="O58" i="25"/>
  <c r="N58" i="25"/>
  <c r="M58" i="25"/>
  <c r="L58" i="25"/>
  <c r="K58" i="25"/>
  <c r="J58" i="25"/>
  <c r="I58" i="25"/>
  <c r="H58" i="25"/>
  <c r="G58" i="25"/>
  <c r="F58" i="25"/>
  <c r="E58" i="25"/>
  <c r="D58" i="25"/>
  <c r="O45" i="25"/>
  <c r="N45" i="25"/>
  <c r="M45" i="25"/>
  <c r="L45" i="25"/>
  <c r="K45" i="25"/>
  <c r="J45" i="25"/>
  <c r="I45" i="25"/>
  <c r="H45" i="25"/>
  <c r="G45" i="25"/>
  <c r="F45" i="25"/>
  <c r="E45" i="25"/>
  <c r="D45" i="25"/>
  <c r="O42" i="25"/>
  <c r="O5" i="25" s="1"/>
  <c r="N42" i="25"/>
  <c r="N5" i="25" s="1"/>
  <c r="L184" i="2" s="1"/>
  <c r="M42" i="25"/>
  <c r="M5" i="25" s="1"/>
  <c r="L42" i="25"/>
  <c r="L5" i="25" s="1"/>
  <c r="J184" i="2" s="1"/>
  <c r="K42" i="25"/>
  <c r="K5" i="25" s="1"/>
  <c r="J42" i="25"/>
  <c r="J5" i="25" s="1"/>
  <c r="H184" i="2" s="1"/>
  <c r="I42" i="25"/>
  <c r="I5" i="25" s="1"/>
  <c r="G184" i="2" s="1"/>
  <c r="H42" i="25"/>
  <c r="H5" i="25" s="1"/>
  <c r="H3" i="25" s="1"/>
  <c r="H12" i="25" s="1"/>
  <c r="G42" i="25"/>
  <c r="G5" i="25" s="1"/>
  <c r="F42" i="25"/>
  <c r="F5" i="25" s="1"/>
  <c r="D184" i="2" s="1"/>
  <c r="E42" i="25"/>
  <c r="E5" i="25" s="1"/>
  <c r="D42" i="25"/>
  <c r="D5" i="25" s="1"/>
  <c r="N29" i="25"/>
  <c r="L511" i="3" s="1"/>
  <c r="F29" i="25"/>
  <c r="D511" i="3" s="1"/>
  <c r="I25" i="25"/>
  <c r="H25" i="25"/>
  <c r="M20" i="25"/>
  <c r="L20" i="25"/>
  <c r="L22" i="25" s="1"/>
  <c r="J121" i="3" s="1"/>
  <c r="I14" i="25"/>
  <c r="I8" i="25"/>
  <c r="G187" i="2" s="1"/>
  <c r="T187" i="2" s="1"/>
  <c r="E7" i="25"/>
  <c r="C186" i="2" s="1"/>
  <c r="P186" i="2" s="1"/>
  <c r="M6" i="25"/>
  <c r="K185" i="2" s="1"/>
  <c r="X185" i="2" s="1"/>
  <c r="O54" i="24"/>
  <c r="N54" i="24"/>
  <c r="M54" i="24"/>
  <c r="L54" i="24"/>
  <c r="K54" i="24"/>
  <c r="J54" i="24"/>
  <c r="I54" i="24"/>
  <c r="H54" i="24"/>
  <c r="G54" i="24"/>
  <c r="F54" i="24"/>
  <c r="E54" i="24"/>
  <c r="D54" i="24"/>
  <c r="O49" i="24"/>
  <c r="N49" i="24"/>
  <c r="M49" i="24"/>
  <c r="L49" i="24"/>
  <c r="K49" i="24"/>
  <c r="J49" i="24"/>
  <c r="I49" i="24"/>
  <c r="H49" i="24"/>
  <c r="G49" i="24"/>
  <c r="F49" i="24"/>
  <c r="E49" i="24"/>
  <c r="D49" i="24"/>
  <c r="O44" i="24"/>
  <c r="N44" i="24"/>
  <c r="M44" i="24"/>
  <c r="L44" i="24"/>
  <c r="K44" i="24"/>
  <c r="J44" i="24"/>
  <c r="I44" i="24"/>
  <c r="H44" i="24"/>
  <c r="G44" i="24"/>
  <c r="F44" i="24"/>
  <c r="E44" i="24"/>
  <c r="D44" i="24"/>
  <c r="O41" i="24"/>
  <c r="N41" i="24"/>
  <c r="M41" i="24"/>
  <c r="L41" i="24"/>
  <c r="K41" i="24"/>
  <c r="J41" i="24"/>
  <c r="I41" i="24"/>
  <c r="H41" i="24"/>
  <c r="G41" i="24"/>
  <c r="F41" i="24"/>
  <c r="E41" i="24"/>
  <c r="D41" i="24"/>
  <c r="O27" i="24"/>
  <c r="N27" i="24"/>
  <c r="M27" i="24"/>
  <c r="L27" i="24"/>
  <c r="K27" i="24"/>
  <c r="J27" i="24"/>
  <c r="I27" i="24"/>
  <c r="H27" i="24"/>
  <c r="G27" i="24"/>
  <c r="F27" i="24"/>
  <c r="E27" i="24"/>
  <c r="D27" i="24"/>
  <c r="J17" i="24"/>
  <c r="F17" i="24"/>
  <c r="O11" i="24"/>
  <c r="M130" i="3" s="1"/>
  <c r="N11" i="24"/>
  <c r="M11" i="24"/>
  <c r="L11" i="24"/>
  <c r="J130" i="3" s="1"/>
  <c r="K11" i="24"/>
  <c r="I130" i="3" s="1"/>
  <c r="J11" i="24"/>
  <c r="I11" i="24"/>
  <c r="H11" i="24"/>
  <c r="G11" i="24"/>
  <c r="E130" i="3" s="1"/>
  <c r="F11" i="24"/>
  <c r="E11" i="24"/>
  <c r="D11" i="24"/>
  <c r="B130" i="3" s="1"/>
  <c r="O9" i="24"/>
  <c r="M129" i="3" s="1"/>
  <c r="N9" i="24"/>
  <c r="M9" i="24"/>
  <c r="L9" i="24"/>
  <c r="K9" i="24"/>
  <c r="J9" i="24"/>
  <c r="I9" i="24"/>
  <c r="H9" i="24"/>
  <c r="G9" i="24"/>
  <c r="F9" i="24"/>
  <c r="E9" i="24"/>
  <c r="D9" i="24"/>
  <c r="O7" i="24"/>
  <c r="M128" i="3" s="1"/>
  <c r="N7" i="24"/>
  <c r="N13" i="24" s="1"/>
  <c r="M7" i="24"/>
  <c r="M17" i="24" s="1"/>
  <c r="L7" i="24"/>
  <c r="L15" i="24" s="1"/>
  <c r="K7" i="24"/>
  <c r="K13" i="24" s="1"/>
  <c r="J7" i="24"/>
  <c r="J13" i="24" s="1"/>
  <c r="I7" i="24"/>
  <c r="I17" i="24" s="1"/>
  <c r="H7" i="24"/>
  <c r="H15" i="24" s="1"/>
  <c r="G7" i="24"/>
  <c r="G13" i="24" s="1"/>
  <c r="F7" i="24"/>
  <c r="F13" i="24" s="1"/>
  <c r="E7" i="24"/>
  <c r="E17" i="24" s="1"/>
  <c r="D7" i="24"/>
  <c r="D15" i="24" s="1"/>
  <c r="O3" i="24"/>
  <c r="M125" i="2" s="1"/>
  <c r="Z125" i="2" s="1"/>
  <c r="N3" i="24"/>
  <c r="N5" i="24" s="1"/>
  <c r="M3" i="24"/>
  <c r="M5" i="24" s="1"/>
  <c r="L3" i="24"/>
  <c r="L5" i="24" s="1"/>
  <c r="K3" i="24"/>
  <c r="I125" i="2" s="1"/>
  <c r="V125" i="2" s="1"/>
  <c r="J3" i="24"/>
  <c r="J5" i="24" s="1"/>
  <c r="I3" i="24"/>
  <c r="I5" i="24" s="1"/>
  <c r="H3" i="24"/>
  <c r="H5" i="24" s="1"/>
  <c r="G3" i="24"/>
  <c r="G5" i="24" s="1"/>
  <c r="F3" i="24"/>
  <c r="F5" i="24" s="1"/>
  <c r="E3" i="24"/>
  <c r="E5" i="24" s="1"/>
  <c r="D3" i="24"/>
  <c r="D5" i="24" s="1"/>
  <c r="O166" i="23"/>
  <c r="O19" i="23" s="1"/>
  <c r="N166" i="23"/>
  <c r="N19" i="23" s="1"/>
  <c r="M166" i="23"/>
  <c r="M19" i="23" s="1"/>
  <c r="L166" i="23"/>
  <c r="L19" i="23" s="1"/>
  <c r="K166" i="23"/>
  <c r="K19" i="23" s="1"/>
  <c r="J166" i="23"/>
  <c r="J19" i="23" s="1"/>
  <c r="I166" i="23"/>
  <c r="I19" i="23" s="1"/>
  <c r="H166" i="23"/>
  <c r="H19" i="23" s="1"/>
  <c r="G166" i="23"/>
  <c r="G19" i="23" s="1"/>
  <c r="F166" i="23"/>
  <c r="F19" i="23" s="1"/>
  <c r="E166" i="23"/>
  <c r="E19" i="23" s="1"/>
  <c r="D166" i="23"/>
  <c r="D19" i="23" s="1"/>
  <c r="O159" i="23"/>
  <c r="O4" i="23" s="1"/>
  <c r="M327" i="2" s="1"/>
  <c r="Z327" i="2" s="1"/>
  <c r="N159" i="23"/>
  <c r="N4" i="23" s="1"/>
  <c r="L327" i="2" s="1"/>
  <c r="Y327" i="2" s="1"/>
  <c r="M159" i="23"/>
  <c r="M4" i="23" s="1"/>
  <c r="K327" i="2" s="1"/>
  <c r="X327" i="2" s="1"/>
  <c r="L159" i="23"/>
  <c r="K159" i="23"/>
  <c r="K4" i="23" s="1"/>
  <c r="I327" i="2" s="1"/>
  <c r="V327" i="2" s="1"/>
  <c r="J159" i="23"/>
  <c r="J4" i="23" s="1"/>
  <c r="H327" i="2" s="1"/>
  <c r="U327" i="2" s="1"/>
  <c r="I159" i="23"/>
  <c r="I4" i="23" s="1"/>
  <c r="G327" i="2" s="1"/>
  <c r="H159" i="23"/>
  <c r="H4" i="23" s="1"/>
  <c r="F327" i="2" s="1"/>
  <c r="S327" i="2" s="1"/>
  <c r="G159" i="23"/>
  <c r="G4" i="23" s="1"/>
  <c r="E327" i="2" s="1"/>
  <c r="R327" i="2" s="1"/>
  <c r="F159" i="23"/>
  <c r="F4" i="23" s="1"/>
  <c r="D327" i="2" s="1"/>
  <c r="Q327" i="2" s="1"/>
  <c r="E159" i="23"/>
  <c r="E4" i="23" s="1"/>
  <c r="C327" i="2" s="1"/>
  <c r="P327" i="2" s="1"/>
  <c r="D159" i="23"/>
  <c r="D4" i="23" s="1"/>
  <c r="B327" i="2" s="1"/>
  <c r="O327" i="2" s="1"/>
  <c r="O18" i="23"/>
  <c r="K18" i="23"/>
  <c r="J18" i="23"/>
  <c r="I18" i="23"/>
  <c r="H18" i="23"/>
  <c r="G18" i="23"/>
  <c r="F18" i="23"/>
  <c r="D18" i="23"/>
  <c r="O12" i="23"/>
  <c r="M311" i="3" s="1"/>
  <c r="N12" i="23"/>
  <c r="L311" i="3" s="1"/>
  <c r="M12" i="23"/>
  <c r="K311" i="3" s="1"/>
  <c r="L12" i="23"/>
  <c r="J311" i="3" s="1"/>
  <c r="K12" i="23"/>
  <c r="I311" i="3" s="1"/>
  <c r="J12" i="23"/>
  <c r="H311" i="3" s="1"/>
  <c r="I12" i="23"/>
  <c r="G311" i="3" s="1"/>
  <c r="H12" i="23"/>
  <c r="F311" i="3" s="1"/>
  <c r="G12" i="23"/>
  <c r="E311" i="3" s="1"/>
  <c r="F12" i="23"/>
  <c r="D311" i="3" s="1"/>
  <c r="E12" i="23"/>
  <c r="C311" i="3" s="1"/>
  <c r="D12" i="23"/>
  <c r="B311" i="3" s="1"/>
  <c r="O129" i="23"/>
  <c r="O16" i="23" s="1"/>
  <c r="M435" i="3" s="1"/>
  <c r="N129" i="23"/>
  <c r="N16" i="23" s="1"/>
  <c r="L435" i="3" s="1"/>
  <c r="M129" i="23"/>
  <c r="M16" i="23" s="1"/>
  <c r="K435" i="3" s="1"/>
  <c r="L129" i="23"/>
  <c r="L16" i="23" s="1"/>
  <c r="J435" i="3" s="1"/>
  <c r="K129" i="23"/>
  <c r="K16" i="23" s="1"/>
  <c r="I435" i="3" s="1"/>
  <c r="J129" i="23"/>
  <c r="J16" i="23" s="1"/>
  <c r="H435" i="3" s="1"/>
  <c r="I129" i="23"/>
  <c r="I16" i="23" s="1"/>
  <c r="G435" i="3" s="1"/>
  <c r="H129" i="23"/>
  <c r="H16" i="23" s="1"/>
  <c r="F435" i="3" s="1"/>
  <c r="G129" i="23"/>
  <c r="G16" i="23" s="1"/>
  <c r="E435" i="3" s="1"/>
  <c r="F129" i="23"/>
  <c r="F16" i="23" s="1"/>
  <c r="D435" i="3" s="1"/>
  <c r="E129" i="23"/>
  <c r="E16" i="23" s="1"/>
  <c r="C435" i="3" s="1"/>
  <c r="D129" i="23"/>
  <c r="D16" i="23" s="1"/>
  <c r="B435" i="3" s="1"/>
  <c r="O123" i="23"/>
  <c r="N123" i="23"/>
  <c r="M123" i="23"/>
  <c r="L123" i="23"/>
  <c r="K123" i="23"/>
  <c r="J123" i="23"/>
  <c r="I123" i="23"/>
  <c r="H123" i="23"/>
  <c r="G123" i="23"/>
  <c r="F123" i="23"/>
  <c r="E123" i="23"/>
  <c r="D123" i="23"/>
  <c r="O112" i="23"/>
  <c r="N112" i="23"/>
  <c r="M112" i="23"/>
  <c r="L112" i="23"/>
  <c r="K112" i="23"/>
  <c r="J112" i="23"/>
  <c r="I112" i="23"/>
  <c r="H112" i="23"/>
  <c r="G112" i="23"/>
  <c r="F112" i="23"/>
  <c r="E112" i="23"/>
  <c r="D112" i="23"/>
  <c r="O109" i="23"/>
  <c r="N109" i="23"/>
  <c r="M109" i="23"/>
  <c r="L109" i="23"/>
  <c r="K109" i="23"/>
  <c r="J109" i="23"/>
  <c r="I109" i="23"/>
  <c r="H109" i="23"/>
  <c r="G109" i="23"/>
  <c r="F109" i="23"/>
  <c r="E109" i="23"/>
  <c r="D109" i="23"/>
  <c r="O98" i="23"/>
  <c r="O14" i="23" s="1"/>
  <c r="M412" i="3" s="1"/>
  <c r="N98" i="23"/>
  <c r="N14" i="23" s="1"/>
  <c r="L412" i="3" s="1"/>
  <c r="M98" i="23"/>
  <c r="M14" i="23" s="1"/>
  <c r="K412" i="3" s="1"/>
  <c r="L98" i="23"/>
  <c r="L14" i="23" s="1"/>
  <c r="J412" i="3" s="1"/>
  <c r="K98" i="23"/>
  <c r="K14" i="23" s="1"/>
  <c r="I412" i="3" s="1"/>
  <c r="J98" i="23"/>
  <c r="J14" i="23" s="1"/>
  <c r="H412" i="3" s="1"/>
  <c r="I98" i="23"/>
  <c r="I14" i="23" s="1"/>
  <c r="G412" i="3" s="1"/>
  <c r="H98" i="23"/>
  <c r="H14" i="23" s="1"/>
  <c r="F412" i="3" s="1"/>
  <c r="G98" i="23"/>
  <c r="G14" i="23" s="1"/>
  <c r="E412" i="3" s="1"/>
  <c r="F98" i="23"/>
  <c r="F14" i="23" s="1"/>
  <c r="D412" i="3" s="1"/>
  <c r="E98" i="23"/>
  <c r="E14" i="23" s="1"/>
  <c r="C412" i="3" s="1"/>
  <c r="D98" i="23"/>
  <c r="D14" i="23" s="1"/>
  <c r="B412" i="3" s="1"/>
  <c r="O87" i="23"/>
  <c r="N87" i="23"/>
  <c r="M87" i="23"/>
  <c r="L87" i="23"/>
  <c r="K87" i="23"/>
  <c r="J87" i="23"/>
  <c r="I87" i="23"/>
  <c r="H87" i="23"/>
  <c r="G87" i="23"/>
  <c r="F87" i="23"/>
  <c r="E87" i="23"/>
  <c r="D87" i="23"/>
  <c r="O71" i="23"/>
  <c r="O22" i="23" s="1"/>
  <c r="M477" i="3" s="1"/>
  <c r="N71" i="23"/>
  <c r="N22" i="23" s="1"/>
  <c r="L477" i="3" s="1"/>
  <c r="M71" i="23"/>
  <c r="M22" i="23" s="1"/>
  <c r="K477" i="3" s="1"/>
  <c r="L71" i="23"/>
  <c r="L22" i="23" s="1"/>
  <c r="J477" i="3" s="1"/>
  <c r="K71" i="23"/>
  <c r="K22" i="23" s="1"/>
  <c r="I477" i="3" s="1"/>
  <c r="J71" i="23"/>
  <c r="J22" i="23" s="1"/>
  <c r="H477" i="3" s="1"/>
  <c r="I71" i="23"/>
  <c r="I22" i="23" s="1"/>
  <c r="G477" i="3" s="1"/>
  <c r="H71" i="23"/>
  <c r="H22" i="23" s="1"/>
  <c r="F477" i="3" s="1"/>
  <c r="G71" i="23"/>
  <c r="G22" i="23" s="1"/>
  <c r="E477" i="3" s="1"/>
  <c r="F71" i="23"/>
  <c r="F22" i="23" s="1"/>
  <c r="D477" i="3" s="1"/>
  <c r="E71" i="23"/>
  <c r="E22" i="23" s="1"/>
  <c r="C477" i="3" s="1"/>
  <c r="D71" i="23"/>
  <c r="D22" i="23" s="1"/>
  <c r="B477" i="3" s="1"/>
  <c r="O65" i="23"/>
  <c r="N65" i="23"/>
  <c r="M65" i="23"/>
  <c r="L65" i="23"/>
  <c r="K65" i="23"/>
  <c r="J65" i="23"/>
  <c r="I65" i="23"/>
  <c r="H65" i="23"/>
  <c r="G65" i="23"/>
  <c r="F65" i="23"/>
  <c r="E65" i="23"/>
  <c r="D65" i="23"/>
  <c r="N55" i="23"/>
  <c r="M55" i="23"/>
  <c r="L55" i="23"/>
  <c r="K55" i="23"/>
  <c r="J55" i="23"/>
  <c r="I55" i="23"/>
  <c r="H55" i="23"/>
  <c r="G55" i="23"/>
  <c r="F55" i="23"/>
  <c r="E55" i="23"/>
  <c r="D55" i="23"/>
  <c r="O49" i="23"/>
  <c r="O10" i="23" s="1"/>
  <c r="N49" i="23"/>
  <c r="N10" i="23" s="1"/>
  <c r="L90" i="3" s="1"/>
  <c r="M49" i="23"/>
  <c r="M10" i="23" s="1"/>
  <c r="K90" i="3" s="1"/>
  <c r="L49" i="23"/>
  <c r="L10" i="23" s="1"/>
  <c r="K49" i="23"/>
  <c r="K10" i="23" s="1"/>
  <c r="J49" i="23"/>
  <c r="J10" i="23" s="1"/>
  <c r="H90" i="3" s="1"/>
  <c r="I49" i="23"/>
  <c r="I10" i="23" s="1"/>
  <c r="G90" i="3" s="1"/>
  <c r="H49" i="23"/>
  <c r="H10" i="23" s="1"/>
  <c r="G49" i="23"/>
  <c r="G10" i="23" s="1"/>
  <c r="F49" i="23"/>
  <c r="F10" i="23" s="1"/>
  <c r="D90" i="3" s="1"/>
  <c r="E49" i="23"/>
  <c r="E10" i="23" s="1"/>
  <c r="C90" i="3" s="1"/>
  <c r="D49" i="23"/>
  <c r="D10" i="23" s="1"/>
  <c r="N18" i="23"/>
  <c r="M18" i="23"/>
  <c r="L18" i="23"/>
  <c r="E18" i="23"/>
  <c r="L4" i="23"/>
  <c r="J327" i="2" s="1"/>
  <c r="W327" i="2" s="1"/>
  <c r="O3" i="23"/>
  <c r="M326" i="2" s="1"/>
  <c r="N3" i="23"/>
  <c r="M3" i="23"/>
  <c r="L3" i="23"/>
  <c r="J326" i="2" s="1"/>
  <c r="K3" i="23"/>
  <c r="J3" i="23"/>
  <c r="I3" i="23"/>
  <c r="H3" i="23"/>
  <c r="F326" i="2" s="1"/>
  <c r="G3" i="23"/>
  <c r="F3" i="23"/>
  <c r="E3" i="23"/>
  <c r="D3" i="23"/>
  <c r="B326" i="2" s="1"/>
  <c r="M6" i="20"/>
  <c r="M7" i="20" s="1"/>
  <c r="I6" i="20"/>
  <c r="I7" i="20" s="1"/>
  <c r="H6" i="20"/>
  <c r="E6" i="20"/>
  <c r="E7" i="20" s="1"/>
  <c r="O5" i="20"/>
  <c r="O7" i="21" s="1"/>
  <c r="N5" i="20"/>
  <c r="N7" i="21" s="1"/>
  <c r="N9" i="21" s="1"/>
  <c r="M5" i="20"/>
  <c r="M7" i="21" s="1"/>
  <c r="M9" i="21" s="1"/>
  <c r="L5" i="20"/>
  <c r="L7" i="21" s="1"/>
  <c r="L9" i="21" s="1"/>
  <c r="K5" i="20"/>
  <c r="K7" i="21" s="1"/>
  <c r="K9" i="21" s="1"/>
  <c r="J5" i="20"/>
  <c r="J7" i="21" s="1"/>
  <c r="J9" i="21" s="1"/>
  <c r="I5" i="20"/>
  <c r="I7" i="21" s="1"/>
  <c r="I9" i="21" s="1"/>
  <c r="H5" i="20"/>
  <c r="H7" i="21" s="1"/>
  <c r="H9" i="21" s="1"/>
  <c r="G5" i="20"/>
  <c r="G7" i="21" s="1"/>
  <c r="G9" i="21" s="1"/>
  <c r="F5" i="20"/>
  <c r="F7" i="21" s="1"/>
  <c r="F9" i="21" s="1"/>
  <c r="E5" i="20"/>
  <c r="E7" i="21" s="1"/>
  <c r="E9" i="21" s="1"/>
  <c r="D5" i="20"/>
  <c r="D7" i="21" s="1"/>
  <c r="D9" i="21" s="1"/>
  <c r="O3" i="20"/>
  <c r="M151" i="2" s="1"/>
  <c r="Z151" i="2" s="1"/>
  <c r="N3" i="20"/>
  <c r="M3" i="20"/>
  <c r="L3" i="20"/>
  <c r="K3" i="20"/>
  <c r="I151" i="2" s="1"/>
  <c r="J3" i="20"/>
  <c r="I3" i="20"/>
  <c r="H3" i="20"/>
  <c r="G3" i="20"/>
  <c r="E151" i="2" s="1"/>
  <c r="F3" i="20"/>
  <c r="E3" i="20"/>
  <c r="D3" i="20"/>
  <c r="O229" i="19"/>
  <c r="N229" i="19"/>
  <c r="M229" i="19"/>
  <c r="L229" i="19"/>
  <c r="K229" i="19"/>
  <c r="J229" i="19"/>
  <c r="I229" i="19"/>
  <c r="H229" i="19"/>
  <c r="G229" i="19"/>
  <c r="F229" i="19"/>
  <c r="E229" i="19"/>
  <c r="D229" i="19"/>
  <c r="O228" i="19"/>
  <c r="O25" i="19" s="1"/>
  <c r="M199" i="3" s="1"/>
  <c r="N228" i="19"/>
  <c r="N25" i="19" s="1"/>
  <c r="L199" i="3" s="1"/>
  <c r="M228" i="19"/>
  <c r="L228" i="19"/>
  <c r="K228" i="19"/>
  <c r="K25" i="19" s="1"/>
  <c r="I199" i="3" s="1"/>
  <c r="J228" i="19"/>
  <c r="J25" i="19" s="1"/>
  <c r="H199" i="3" s="1"/>
  <c r="I228" i="19"/>
  <c r="I25" i="19" s="1"/>
  <c r="G199" i="3" s="1"/>
  <c r="H228" i="19"/>
  <c r="G228" i="19"/>
  <c r="G25" i="19" s="1"/>
  <c r="E199" i="3" s="1"/>
  <c r="F228" i="19"/>
  <c r="F25" i="19" s="1"/>
  <c r="D199" i="3" s="1"/>
  <c r="E228" i="19"/>
  <c r="D228" i="19"/>
  <c r="O219" i="19"/>
  <c r="N219" i="19"/>
  <c r="M219" i="19"/>
  <c r="L219" i="19"/>
  <c r="K219" i="19"/>
  <c r="J219" i="19"/>
  <c r="I219" i="19"/>
  <c r="H219" i="19"/>
  <c r="G219" i="19"/>
  <c r="F219" i="19"/>
  <c r="E219" i="19"/>
  <c r="D219" i="19"/>
  <c r="O216" i="19"/>
  <c r="N216" i="19"/>
  <c r="M216" i="19"/>
  <c r="L216" i="19"/>
  <c r="K216" i="19"/>
  <c r="J216" i="19"/>
  <c r="I216" i="19"/>
  <c r="H216" i="19"/>
  <c r="G216" i="19"/>
  <c r="F216" i="19"/>
  <c r="E216" i="19"/>
  <c r="D216" i="19"/>
  <c r="O207" i="19"/>
  <c r="N207" i="19"/>
  <c r="M207" i="19"/>
  <c r="L207" i="19"/>
  <c r="K207" i="19"/>
  <c r="J207" i="19"/>
  <c r="I207" i="19"/>
  <c r="H207" i="19"/>
  <c r="G207" i="19"/>
  <c r="F207" i="19"/>
  <c r="E207" i="19"/>
  <c r="D207" i="19"/>
  <c r="O202" i="19"/>
  <c r="O5" i="19" s="1"/>
  <c r="M180" i="2" s="1"/>
  <c r="Z180" i="2" s="1"/>
  <c r="N202" i="19"/>
  <c r="N5" i="19" s="1"/>
  <c r="M202" i="19"/>
  <c r="M5" i="19" s="1"/>
  <c r="M10" i="19" s="1"/>
  <c r="L202" i="19"/>
  <c r="K202" i="19"/>
  <c r="K5" i="19" s="1"/>
  <c r="K10" i="19" s="1"/>
  <c r="J202" i="19"/>
  <c r="J5" i="19" s="1"/>
  <c r="I202" i="19"/>
  <c r="H202" i="19"/>
  <c r="G202" i="19"/>
  <c r="G5" i="19" s="1"/>
  <c r="F202" i="19"/>
  <c r="F5" i="19" s="1"/>
  <c r="E202" i="19"/>
  <c r="E5" i="19" s="1"/>
  <c r="E10" i="19" s="1"/>
  <c r="D202" i="19"/>
  <c r="D5" i="19" s="1"/>
  <c r="D10" i="19" s="1"/>
  <c r="O195" i="19"/>
  <c r="N195" i="19"/>
  <c r="M195" i="19"/>
  <c r="L195" i="19"/>
  <c r="K195" i="19"/>
  <c r="J195" i="19"/>
  <c r="I195" i="19"/>
  <c r="H195" i="19"/>
  <c r="G195" i="19"/>
  <c r="F195" i="19"/>
  <c r="E195" i="19"/>
  <c r="D195" i="19"/>
  <c r="O194" i="19"/>
  <c r="O30" i="19" s="1"/>
  <c r="N194" i="19"/>
  <c r="N30" i="19" s="1"/>
  <c r="M194" i="19"/>
  <c r="M30" i="19" s="1"/>
  <c r="L194" i="19"/>
  <c r="K194" i="19"/>
  <c r="K30" i="19" s="1"/>
  <c r="J194" i="19"/>
  <c r="J30" i="19" s="1"/>
  <c r="I194" i="19"/>
  <c r="H194" i="19"/>
  <c r="G194" i="19"/>
  <c r="G30" i="19" s="1"/>
  <c r="F194" i="19"/>
  <c r="F30" i="19" s="1"/>
  <c r="E194" i="19"/>
  <c r="E30" i="19" s="1"/>
  <c r="D194" i="19"/>
  <c r="O193" i="19"/>
  <c r="O23" i="19" s="1"/>
  <c r="M162" i="3" s="1"/>
  <c r="N193" i="19"/>
  <c r="N23" i="19" s="1"/>
  <c r="L162" i="3" s="1"/>
  <c r="M193" i="19"/>
  <c r="M23" i="19" s="1"/>
  <c r="K162" i="3" s="1"/>
  <c r="L193" i="19"/>
  <c r="K193" i="19"/>
  <c r="K23" i="19" s="1"/>
  <c r="I162" i="3" s="1"/>
  <c r="J193" i="19"/>
  <c r="J23" i="19" s="1"/>
  <c r="H162" i="3" s="1"/>
  <c r="I193" i="19"/>
  <c r="H193" i="19"/>
  <c r="G193" i="19"/>
  <c r="G23" i="19" s="1"/>
  <c r="E162" i="3" s="1"/>
  <c r="F193" i="19"/>
  <c r="F23" i="19" s="1"/>
  <c r="D162" i="3" s="1"/>
  <c r="E193" i="19"/>
  <c r="E23" i="19" s="1"/>
  <c r="C162" i="3" s="1"/>
  <c r="D193" i="19"/>
  <c r="O192" i="19"/>
  <c r="O20" i="19" s="1"/>
  <c r="N192" i="19"/>
  <c r="N20" i="19" s="1"/>
  <c r="M192" i="19"/>
  <c r="L192" i="19"/>
  <c r="K192" i="19"/>
  <c r="K20" i="19" s="1"/>
  <c r="J192" i="19"/>
  <c r="J20" i="19" s="1"/>
  <c r="I192" i="19"/>
  <c r="I20" i="19" s="1"/>
  <c r="H192" i="19"/>
  <c r="G192" i="19"/>
  <c r="G20" i="19" s="1"/>
  <c r="F192" i="19"/>
  <c r="F20" i="19" s="1"/>
  <c r="E192" i="19"/>
  <c r="D192" i="19"/>
  <c r="O191" i="19"/>
  <c r="O13" i="19" s="1"/>
  <c r="M114" i="3" s="1"/>
  <c r="N191" i="19"/>
  <c r="N13" i="19" s="1"/>
  <c r="M191" i="19"/>
  <c r="L191" i="19"/>
  <c r="K191" i="19"/>
  <c r="K13" i="19" s="1"/>
  <c r="I114" i="3" s="1"/>
  <c r="J191" i="19"/>
  <c r="J13" i="19" s="1"/>
  <c r="I191" i="19"/>
  <c r="I13" i="19" s="1"/>
  <c r="G114" i="3" s="1"/>
  <c r="H191" i="19"/>
  <c r="G191" i="19"/>
  <c r="G13" i="19" s="1"/>
  <c r="E114" i="3" s="1"/>
  <c r="F191" i="19"/>
  <c r="F13" i="19" s="1"/>
  <c r="E191" i="19"/>
  <c r="D191" i="19"/>
  <c r="O186" i="19"/>
  <c r="N186" i="19"/>
  <c r="M186" i="19"/>
  <c r="L186" i="19"/>
  <c r="K186" i="19"/>
  <c r="J186" i="19"/>
  <c r="I186" i="19"/>
  <c r="H186" i="19"/>
  <c r="G186" i="19"/>
  <c r="F186" i="19"/>
  <c r="E186" i="19"/>
  <c r="D186" i="19"/>
  <c r="O177" i="19"/>
  <c r="N177" i="19"/>
  <c r="M177" i="19"/>
  <c r="L177" i="19"/>
  <c r="K177" i="19"/>
  <c r="J177" i="19"/>
  <c r="I177" i="19"/>
  <c r="H177" i="19"/>
  <c r="G177" i="19"/>
  <c r="F177" i="19"/>
  <c r="E177" i="19"/>
  <c r="D177" i="19"/>
  <c r="O171" i="19"/>
  <c r="N171" i="19"/>
  <c r="M171" i="19"/>
  <c r="L171" i="19"/>
  <c r="K171" i="19"/>
  <c r="J171" i="19"/>
  <c r="I171" i="19"/>
  <c r="H171" i="19"/>
  <c r="G171" i="19"/>
  <c r="F171" i="19"/>
  <c r="E171" i="19"/>
  <c r="D171" i="19"/>
  <c r="O164" i="19"/>
  <c r="N164" i="19"/>
  <c r="M164" i="19"/>
  <c r="L164" i="19"/>
  <c r="K164" i="19"/>
  <c r="J164" i="19"/>
  <c r="I164" i="19"/>
  <c r="H164" i="19"/>
  <c r="G164" i="19"/>
  <c r="F164" i="19"/>
  <c r="E164" i="19"/>
  <c r="D164" i="19"/>
  <c r="O161" i="19"/>
  <c r="N161" i="19"/>
  <c r="M161" i="19"/>
  <c r="L161" i="19"/>
  <c r="K161" i="19"/>
  <c r="J161" i="19"/>
  <c r="I161" i="19"/>
  <c r="H161" i="19"/>
  <c r="G161" i="19"/>
  <c r="F161" i="19"/>
  <c r="E161" i="19"/>
  <c r="D161" i="19"/>
  <c r="O157" i="19"/>
  <c r="N157" i="19"/>
  <c r="M157" i="19"/>
  <c r="L157" i="19"/>
  <c r="K157" i="19"/>
  <c r="J157" i="19"/>
  <c r="I157" i="19"/>
  <c r="H157" i="19"/>
  <c r="G157" i="19"/>
  <c r="F157" i="19"/>
  <c r="E157" i="19"/>
  <c r="D157" i="19"/>
  <c r="O147" i="19"/>
  <c r="N147" i="19"/>
  <c r="M147" i="19"/>
  <c r="L147" i="19"/>
  <c r="K147" i="19"/>
  <c r="J147" i="19"/>
  <c r="I147" i="19"/>
  <c r="H147" i="19"/>
  <c r="G147" i="19"/>
  <c r="F147" i="19"/>
  <c r="E147" i="19"/>
  <c r="D147" i="19"/>
  <c r="O136" i="19"/>
  <c r="N136" i="19"/>
  <c r="M136" i="19"/>
  <c r="L136" i="19"/>
  <c r="K136" i="19"/>
  <c r="J136" i="19"/>
  <c r="I136" i="19"/>
  <c r="H136" i="19"/>
  <c r="G136" i="19"/>
  <c r="F136" i="19"/>
  <c r="E136" i="19"/>
  <c r="D136" i="19"/>
  <c r="O131" i="19"/>
  <c r="N131" i="19"/>
  <c r="M131" i="19"/>
  <c r="L131" i="19"/>
  <c r="K131" i="19"/>
  <c r="J131" i="19"/>
  <c r="I131" i="19"/>
  <c r="H131" i="19"/>
  <c r="G131" i="19"/>
  <c r="F131" i="19"/>
  <c r="E131" i="19"/>
  <c r="D131" i="19"/>
  <c r="O128" i="19"/>
  <c r="N128" i="19"/>
  <c r="M128" i="19"/>
  <c r="L128" i="19"/>
  <c r="K128" i="19"/>
  <c r="J128" i="19"/>
  <c r="I128" i="19"/>
  <c r="H128" i="19"/>
  <c r="G128" i="19"/>
  <c r="F128" i="19"/>
  <c r="E128" i="19"/>
  <c r="D128" i="19"/>
  <c r="O124" i="19"/>
  <c r="N124" i="19"/>
  <c r="M124" i="19"/>
  <c r="L124" i="19"/>
  <c r="K124" i="19"/>
  <c r="J124" i="19"/>
  <c r="I124" i="19"/>
  <c r="H124" i="19"/>
  <c r="G124" i="19"/>
  <c r="F124" i="19"/>
  <c r="E124" i="19"/>
  <c r="D124" i="19"/>
  <c r="O118" i="19"/>
  <c r="O4" i="19" s="1"/>
  <c r="O9" i="19" s="1"/>
  <c r="N118" i="19"/>
  <c r="N4" i="19" s="1"/>
  <c r="M118" i="19"/>
  <c r="M4" i="19" s="1"/>
  <c r="L118" i="19"/>
  <c r="K118" i="19"/>
  <c r="K4" i="19" s="1"/>
  <c r="K9" i="19" s="1"/>
  <c r="J118" i="19"/>
  <c r="J4" i="19" s="1"/>
  <c r="I118" i="19"/>
  <c r="I4" i="19" s="1"/>
  <c r="I9" i="19" s="1"/>
  <c r="H118" i="19"/>
  <c r="G118" i="19"/>
  <c r="G4" i="19" s="1"/>
  <c r="F118" i="19"/>
  <c r="F4" i="19" s="1"/>
  <c r="E118" i="19"/>
  <c r="E4" i="19" s="1"/>
  <c r="D118" i="19"/>
  <c r="O111" i="19"/>
  <c r="O29" i="19" s="1"/>
  <c r="N111" i="19"/>
  <c r="N29" i="19" s="1"/>
  <c r="N31" i="19" s="1"/>
  <c r="L461" i="3" s="1"/>
  <c r="M111" i="19"/>
  <c r="L111" i="19"/>
  <c r="K111" i="19"/>
  <c r="K29" i="19" s="1"/>
  <c r="J111" i="19"/>
  <c r="J29" i="19" s="1"/>
  <c r="J31" i="19" s="1"/>
  <c r="H461" i="3" s="1"/>
  <c r="I111" i="19"/>
  <c r="I29" i="19" s="1"/>
  <c r="I31" i="19" s="1"/>
  <c r="G461" i="3" s="1"/>
  <c r="H111" i="19"/>
  <c r="G111" i="19"/>
  <c r="G29" i="19" s="1"/>
  <c r="G31" i="19" s="1"/>
  <c r="E461" i="3" s="1"/>
  <c r="F111" i="19"/>
  <c r="F29" i="19" s="1"/>
  <c r="F31" i="19" s="1"/>
  <c r="D461" i="3" s="1"/>
  <c r="E111" i="19"/>
  <c r="D111" i="19"/>
  <c r="O110" i="19"/>
  <c r="O27" i="19" s="1"/>
  <c r="M276" i="3" s="1"/>
  <c r="N110" i="19"/>
  <c r="N27" i="19" s="1"/>
  <c r="L276" i="3" s="1"/>
  <c r="M110" i="19"/>
  <c r="M27" i="19" s="1"/>
  <c r="K276" i="3" s="1"/>
  <c r="L110" i="19"/>
  <c r="K110" i="19"/>
  <c r="K27" i="19" s="1"/>
  <c r="I276" i="3" s="1"/>
  <c r="J110" i="19"/>
  <c r="J27" i="19" s="1"/>
  <c r="H276" i="3" s="1"/>
  <c r="I110" i="19"/>
  <c r="H110" i="19"/>
  <c r="G110" i="19"/>
  <c r="G27" i="19" s="1"/>
  <c r="E276" i="3" s="1"/>
  <c r="F110" i="19"/>
  <c r="F27" i="19" s="1"/>
  <c r="D276" i="3" s="1"/>
  <c r="E110" i="19"/>
  <c r="E27" i="19" s="1"/>
  <c r="C276" i="3" s="1"/>
  <c r="D110" i="19"/>
  <c r="O109" i="19"/>
  <c r="O19" i="19" s="1"/>
  <c r="N109" i="19"/>
  <c r="N19" i="19" s="1"/>
  <c r="N21" i="19" s="1"/>
  <c r="L160" i="3" s="1"/>
  <c r="M109" i="19"/>
  <c r="M19" i="19" s="1"/>
  <c r="L109" i="19"/>
  <c r="K109" i="19"/>
  <c r="K19" i="19" s="1"/>
  <c r="J109" i="19"/>
  <c r="J19" i="19" s="1"/>
  <c r="J21" i="19" s="1"/>
  <c r="H160" i="3" s="1"/>
  <c r="I109" i="19"/>
  <c r="H109" i="19"/>
  <c r="G109" i="19"/>
  <c r="G19" i="19" s="1"/>
  <c r="G21" i="19" s="1"/>
  <c r="F109" i="19"/>
  <c r="F19" i="19" s="1"/>
  <c r="F21" i="19" s="1"/>
  <c r="D160" i="3" s="1"/>
  <c r="E109" i="19"/>
  <c r="E19" i="19" s="1"/>
  <c r="D109" i="19"/>
  <c r="O108" i="19"/>
  <c r="O17" i="19" s="1"/>
  <c r="M127" i="3" s="1"/>
  <c r="N108" i="19"/>
  <c r="N17" i="19" s="1"/>
  <c r="L127" i="3" s="1"/>
  <c r="M108" i="19"/>
  <c r="L108" i="19"/>
  <c r="K108" i="19"/>
  <c r="K17" i="19" s="1"/>
  <c r="I127" i="3" s="1"/>
  <c r="J108" i="19"/>
  <c r="J17" i="19" s="1"/>
  <c r="H127" i="3" s="1"/>
  <c r="I108" i="19"/>
  <c r="I17" i="19" s="1"/>
  <c r="G127" i="3" s="1"/>
  <c r="H108" i="19"/>
  <c r="G108" i="19"/>
  <c r="G17" i="19" s="1"/>
  <c r="E127" i="3" s="1"/>
  <c r="F108" i="19"/>
  <c r="F17" i="19" s="1"/>
  <c r="D127" i="3" s="1"/>
  <c r="E108" i="19"/>
  <c r="D108" i="19"/>
  <c r="O107" i="19"/>
  <c r="O15" i="19" s="1"/>
  <c r="M120" i="3" s="1"/>
  <c r="N107" i="19"/>
  <c r="N15" i="19" s="1"/>
  <c r="L120" i="3" s="1"/>
  <c r="M107" i="19"/>
  <c r="M15" i="19" s="1"/>
  <c r="L107" i="19"/>
  <c r="K107" i="19"/>
  <c r="K15" i="19" s="1"/>
  <c r="I120" i="3" s="1"/>
  <c r="J107" i="19"/>
  <c r="J15" i="19" s="1"/>
  <c r="H120" i="3" s="1"/>
  <c r="I107" i="19"/>
  <c r="H107" i="19"/>
  <c r="G107" i="19"/>
  <c r="G15" i="19" s="1"/>
  <c r="E120" i="3" s="1"/>
  <c r="F107" i="19"/>
  <c r="F15" i="19" s="1"/>
  <c r="D120" i="3" s="1"/>
  <c r="E107" i="19"/>
  <c r="E15" i="19" s="1"/>
  <c r="C120" i="3" s="1"/>
  <c r="D107" i="19"/>
  <c r="O77" i="19"/>
  <c r="N77" i="19"/>
  <c r="M77" i="19"/>
  <c r="L77" i="19"/>
  <c r="K77" i="19"/>
  <c r="J77" i="19"/>
  <c r="I77" i="19"/>
  <c r="H77" i="19"/>
  <c r="G77" i="19"/>
  <c r="F77" i="19"/>
  <c r="E77" i="19"/>
  <c r="D77" i="19"/>
  <c r="O56" i="19"/>
  <c r="N56" i="19"/>
  <c r="M56" i="19"/>
  <c r="L56" i="19"/>
  <c r="K56" i="19"/>
  <c r="J56" i="19"/>
  <c r="I56" i="19"/>
  <c r="H56" i="19"/>
  <c r="G56" i="19"/>
  <c r="F56" i="19"/>
  <c r="E56" i="19"/>
  <c r="D56" i="19"/>
  <c r="O49" i="19"/>
  <c r="O3" i="19" s="1"/>
  <c r="N49" i="19"/>
  <c r="N3" i="19" s="1"/>
  <c r="M49" i="19"/>
  <c r="M3" i="19" s="1"/>
  <c r="L49" i="19"/>
  <c r="K49" i="19"/>
  <c r="J49" i="19"/>
  <c r="J3" i="19" s="1"/>
  <c r="I49" i="19"/>
  <c r="H49" i="19"/>
  <c r="H3" i="19" s="1"/>
  <c r="G49" i="19"/>
  <c r="G3" i="19" s="1"/>
  <c r="E178" i="2" s="1"/>
  <c r="F49" i="19"/>
  <c r="F3" i="19" s="1"/>
  <c r="E49" i="19"/>
  <c r="E3" i="19" s="1"/>
  <c r="E8" i="19" s="1"/>
  <c r="D49" i="19"/>
  <c r="O34" i="19"/>
  <c r="N34" i="19"/>
  <c r="M34" i="19"/>
  <c r="L34" i="19"/>
  <c r="K34" i="19"/>
  <c r="J34" i="19"/>
  <c r="I34" i="19"/>
  <c r="H34" i="19"/>
  <c r="G34" i="19"/>
  <c r="F34" i="19"/>
  <c r="E34" i="19"/>
  <c r="D34" i="19"/>
  <c r="O33" i="19"/>
  <c r="N33" i="19"/>
  <c r="N35" i="19" s="1"/>
  <c r="L498" i="3" s="1"/>
  <c r="M33" i="19"/>
  <c r="M35" i="19" s="1"/>
  <c r="K498" i="3" s="1"/>
  <c r="L33" i="19"/>
  <c r="L35" i="19" s="1"/>
  <c r="J498" i="3" s="1"/>
  <c r="K33" i="19"/>
  <c r="K35" i="19" s="1"/>
  <c r="I498" i="3" s="1"/>
  <c r="J33" i="19"/>
  <c r="J35" i="19" s="1"/>
  <c r="H498" i="3" s="1"/>
  <c r="I33" i="19"/>
  <c r="I35" i="19" s="1"/>
  <c r="G498" i="3" s="1"/>
  <c r="H33" i="19"/>
  <c r="H35" i="19" s="1"/>
  <c r="F498" i="3" s="1"/>
  <c r="G33" i="19"/>
  <c r="G35" i="19" s="1"/>
  <c r="E498" i="3" s="1"/>
  <c r="F33" i="19"/>
  <c r="F35" i="19" s="1"/>
  <c r="D498" i="3" s="1"/>
  <c r="E33" i="19"/>
  <c r="E35" i="19" s="1"/>
  <c r="C498" i="3" s="1"/>
  <c r="D33" i="19"/>
  <c r="D35" i="19" s="1"/>
  <c r="B498" i="3" s="1"/>
  <c r="L30" i="19"/>
  <c r="I30" i="19"/>
  <c r="H30" i="19"/>
  <c r="D30" i="19"/>
  <c r="M29" i="19"/>
  <c r="L29" i="19"/>
  <c r="H29" i="19"/>
  <c r="E29" i="19"/>
  <c r="D29" i="19"/>
  <c r="L27" i="19"/>
  <c r="J276" i="3" s="1"/>
  <c r="I27" i="19"/>
  <c r="G276" i="3" s="1"/>
  <c r="H27" i="19"/>
  <c r="F276" i="3" s="1"/>
  <c r="D27" i="19"/>
  <c r="B276" i="3" s="1"/>
  <c r="M25" i="19"/>
  <c r="K199" i="3" s="1"/>
  <c r="L25" i="19"/>
  <c r="J199" i="3" s="1"/>
  <c r="H25" i="19"/>
  <c r="F199" i="3" s="1"/>
  <c r="E25" i="19"/>
  <c r="C199" i="3" s="1"/>
  <c r="D25" i="19"/>
  <c r="B199" i="3" s="1"/>
  <c r="L23" i="19"/>
  <c r="I23" i="19"/>
  <c r="G162" i="3" s="1"/>
  <c r="H23" i="19"/>
  <c r="F162" i="3" s="1"/>
  <c r="D23" i="19"/>
  <c r="M20" i="19"/>
  <c r="L20" i="19"/>
  <c r="H20" i="19"/>
  <c r="E20" i="19"/>
  <c r="D20" i="19"/>
  <c r="L19" i="19"/>
  <c r="L21" i="19" s="1"/>
  <c r="J160" i="3" s="1"/>
  <c r="I19" i="19"/>
  <c r="H19" i="19"/>
  <c r="D19" i="19"/>
  <c r="D21" i="19" s="1"/>
  <c r="B160" i="3" s="1"/>
  <c r="M17" i="19"/>
  <c r="K127" i="3" s="1"/>
  <c r="L17" i="19"/>
  <c r="H17" i="19"/>
  <c r="F127" i="3" s="1"/>
  <c r="E17" i="19"/>
  <c r="C127" i="3" s="1"/>
  <c r="D17" i="19"/>
  <c r="B127" i="3" s="1"/>
  <c r="L15" i="19"/>
  <c r="J120" i="3" s="1"/>
  <c r="I15" i="19"/>
  <c r="H15" i="19"/>
  <c r="D15" i="19"/>
  <c r="B120" i="3" s="1"/>
  <c r="M13" i="19"/>
  <c r="K114" i="3" s="1"/>
  <c r="L13" i="19"/>
  <c r="H13" i="19"/>
  <c r="E13" i="19"/>
  <c r="C114" i="3" s="1"/>
  <c r="D13" i="19"/>
  <c r="L5" i="19"/>
  <c r="L10" i="19" s="1"/>
  <c r="I5" i="19"/>
  <c r="H5" i="19"/>
  <c r="L4" i="19"/>
  <c r="L9" i="19" s="1"/>
  <c r="H4" i="19"/>
  <c r="H9" i="19" s="1"/>
  <c r="D4" i="19"/>
  <c r="D9" i="19" s="1"/>
  <c r="L3" i="19"/>
  <c r="K3" i="19"/>
  <c r="K6" i="19" s="1"/>
  <c r="K11" i="19" s="1"/>
  <c r="I3" i="19"/>
  <c r="I8" i="19" s="1"/>
  <c r="D3" i="19"/>
  <c r="M224" i="3"/>
  <c r="L224" i="3"/>
  <c r="K224" i="3"/>
  <c r="I224" i="3"/>
  <c r="H224" i="3"/>
  <c r="G224" i="3"/>
  <c r="E224" i="3"/>
  <c r="D224" i="3"/>
  <c r="C224" i="3"/>
  <c r="O17" i="14"/>
  <c r="N17" i="14"/>
  <c r="M17" i="14"/>
  <c r="L17" i="14"/>
  <c r="K17" i="14"/>
  <c r="J17" i="14"/>
  <c r="I17" i="14"/>
  <c r="H17" i="14"/>
  <c r="F17" i="14"/>
  <c r="E17" i="14"/>
  <c r="D17" i="14"/>
  <c r="O5" i="14"/>
  <c r="N5" i="14"/>
  <c r="K124" i="2"/>
  <c r="X124" i="2" s="1"/>
  <c r="L5" i="14"/>
  <c r="K5" i="14"/>
  <c r="J5" i="14"/>
  <c r="G124" i="2"/>
  <c r="T124" i="2" s="1"/>
  <c r="H5" i="14"/>
  <c r="G5" i="14"/>
  <c r="F5" i="14"/>
  <c r="C124" i="2"/>
  <c r="P124" i="2" s="1"/>
  <c r="D5" i="14"/>
  <c r="O256" i="13"/>
  <c r="O36" i="13" s="1"/>
  <c r="N256" i="13"/>
  <c r="N36" i="13" s="1"/>
  <c r="M256" i="13"/>
  <c r="L256" i="13"/>
  <c r="L36" i="13" s="1"/>
  <c r="K256" i="13"/>
  <c r="K36" i="13" s="1"/>
  <c r="J256" i="13"/>
  <c r="J36" i="13" s="1"/>
  <c r="I256" i="13"/>
  <c r="I36" i="13" s="1"/>
  <c r="H256" i="13"/>
  <c r="H36" i="13" s="1"/>
  <c r="G256" i="13"/>
  <c r="G36" i="13" s="1"/>
  <c r="F256" i="13"/>
  <c r="F36" i="13" s="1"/>
  <c r="E256" i="13"/>
  <c r="E36" i="13" s="1"/>
  <c r="D256" i="13"/>
  <c r="D36" i="13" s="1"/>
  <c r="O255" i="13"/>
  <c r="O32" i="13" s="1"/>
  <c r="N255" i="13"/>
  <c r="N32" i="13" s="1"/>
  <c r="M255" i="13"/>
  <c r="M32" i="13" s="1"/>
  <c r="L255" i="13"/>
  <c r="L32" i="13" s="1"/>
  <c r="K255" i="13"/>
  <c r="K32" i="13" s="1"/>
  <c r="J255" i="13"/>
  <c r="J32" i="13" s="1"/>
  <c r="I255" i="13"/>
  <c r="I32" i="13" s="1"/>
  <c r="H255" i="13"/>
  <c r="H32" i="13" s="1"/>
  <c r="G255" i="13"/>
  <c r="G32" i="13" s="1"/>
  <c r="F255" i="13"/>
  <c r="F32" i="13" s="1"/>
  <c r="E255" i="13"/>
  <c r="E32" i="13" s="1"/>
  <c r="D255" i="13"/>
  <c r="D32" i="13" s="1"/>
  <c r="O244" i="13"/>
  <c r="N244" i="13"/>
  <c r="M244" i="13"/>
  <c r="L244" i="13"/>
  <c r="K244" i="13"/>
  <c r="J244" i="13"/>
  <c r="I244" i="13"/>
  <c r="H244" i="13"/>
  <c r="G244" i="13"/>
  <c r="F244" i="13"/>
  <c r="E244" i="13"/>
  <c r="D244" i="13"/>
  <c r="O225" i="13"/>
  <c r="O11" i="13" s="1"/>
  <c r="M13" i="2" s="1"/>
  <c r="Z13" i="2" s="1"/>
  <c r="N225" i="13"/>
  <c r="N11" i="13" s="1"/>
  <c r="L13" i="2" s="1"/>
  <c r="Y13" i="2" s="1"/>
  <c r="M225" i="13"/>
  <c r="M11" i="13" s="1"/>
  <c r="K13" i="2" s="1"/>
  <c r="X13" i="2" s="1"/>
  <c r="L225" i="13"/>
  <c r="L11" i="13" s="1"/>
  <c r="J13" i="2" s="1"/>
  <c r="W13" i="2" s="1"/>
  <c r="K225" i="13"/>
  <c r="K11" i="13" s="1"/>
  <c r="I13" i="2" s="1"/>
  <c r="V13" i="2" s="1"/>
  <c r="J225" i="13"/>
  <c r="I225" i="13"/>
  <c r="H225" i="13"/>
  <c r="H11" i="13" s="1"/>
  <c r="F13" i="2" s="1"/>
  <c r="S13" i="2" s="1"/>
  <c r="G225" i="13"/>
  <c r="G11" i="13" s="1"/>
  <c r="E13" i="2" s="1"/>
  <c r="R13" i="2" s="1"/>
  <c r="F225" i="13"/>
  <c r="F11" i="13" s="1"/>
  <c r="D13" i="2" s="1"/>
  <c r="Q13" i="2" s="1"/>
  <c r="E225" i="13"/>
  <c r="E11" i="13" s="1"/>
  <c r="C13" i="2" s="1"/>
  <c r="P13" i="2" s="1"/>
  <c r="D225" i="13"/>
  <c r="D11" i="13" s="1"/>
  <c r="B13" i="2" s="1"/>
  <c r="O13" i="2" s="1"/>
  <c r="O19" i="13"/>
  <c r="M231" i="3" s="1"/>
  <c r="N19" i="13"/>
  <c r="L231" i="3" s="1"/>
  <c r="M19" i="13"/>
  <c r="K231" i="3" s="1"/>
  <c r="L19" i="13"/>
  <c r="J231" i="3" s="1"/>
  <c r="K19" i="13"/>
  <c r="I231" i="3" s="1"/>
  <c r="J19" i="13"/>
  <c r="H231" i="3" s="1"/>
  <c r="H19" i="13"/>
  <c r="F231" i="3" s="1"/>
  <c r="G19" i="13"/>
  <c r="E231" i="3" s="1"/>
  <c r="D19" i="13"/>
  <c r="B231" i="3" s="1"/>
  <c r="O203" i="13"/>
  <c r="O25" i="13" s="1"/>
  <c r="N203" i="13"/>
  <c r="N25" i="13" s="1"/>
  <c r="M203" i="13"/>
  <c r="M25" i="13" s="1"/>
  <c r="L203" i="13"/>
  <c r="L25" i="13" s="1"/>
  <c r="K203" i="13"/>
  <c r="K25" i="13" s="1"/>
  <c r="J203" i="13"/>
  <c r="J25" i="13" s="1"/>
  <c r="I203" i="13"/>
  <c r="I25" i="13" s="1"/>
  <c r="H203" i="13"/>
  <c r="H25" i="13" s="1"/>
  <c r="G203" i="13"/>
  <c r="G25" i="13" s="1"/>
  <c r="F203" i="13"/>
  <c r="F25" i="13" s="1"/>
  <c r="E203" i="13"/>
  <c r="E25" i="13" s="1"/>
  <c r="D203" i="13"/>
  <c r="D25" i="13" s="1"/>
  <c r="O199" i="13"/>
  <c r="N199" i="13"/>
  <c r="M199" i="13"/>
  <c r="L199" i="13"/>
  <c r="K199" i="13"/>
  <c r="J199" i="13"/>
  <c r="I199" i="13"/>
  <c r="H199" i="13"/>
  <c r="G199" i="13"/>
  <c r="F199" i="13"/>
  <c r="E199" i="13"/>
  <c r="D199" i="13"/>
  <c r="O193" i="13"/>
  <c r="N193" i="13"/>
  <c r="M193" i="13"/>
  <c r="L193" i="13"/>
  <c r="K193" i="13"/>
  <c r="J193" i="13"/>
  <c r="I193" i="13"/>
  <c r="H193" i="13"/>
  <c r="G193" i="13"/>
  <c r="F193" i="13"/>
  <c r="E193" i="13"/>
  <c r="D193" i="13"/>
  <c r="O190" i="13"/>
  <c r="N190" i="13"/>
  <c r="M190" i="13"/>
  <c r="L190" i="13"/>
  <c r="K190" i="13"/>
  <c r="J190" i="13"/>
  <c r="I190" i="13"/>
  <c r="H190" i="13"/>
  <c r="G190" i="13"/>
  <c r="F190" i="13"/>
  <c r="E190" i="13"/>
  <c r="D190" i="13"/>
  <c r="O182" i="13"/>
  <c r="N182" i="13"/>
  <c r="M182" i="13"/>
  <c r="L182" i="13"/>
  <c r="K182" i="13"/>
  <c r="J182" i="13"/>
  <c r="I182" i="13"/>
  <c r="H182" i="13"/>
  <c r="G182" i="13"/>
  <c r="F182" i="13"/>
  <c r="E182" i="13"/>
  <c r="D182" i="13"/>
  <c r="O10" i="13"/>
  <c r="M12" i="2" s="1"/>
  <c r="Z12" i="2" s="1"/>
  <c r="N10" i="13"/>
  <c r="L12" i="2" s="1"/>
  <c r="Y12" i="2" s="1"/>
  <c r="M10" i="13"/>
  <c r="K12" i="2" s="1"/>
  <c r="X12" i="2" s="1"/>
  <c r="L10" i="13"/>
  <c r="J12" i="2" s="1"/>
  <c r="W12" i="2" s="1"/>
  <c r="K10" i="13"/>
  <c r="I12" i="2" s="1"/>
  <c r="V12" i="2" s="1"/>
  <c r="J10" i="13"/>
  <c r="H12" i="2" s="1"/>
  <c r="U12" i="2" s="1"/>
  <c r="I10" i="13"/>
  <c r="G12" i="2" s="1"/>
  <c r="T12" i="2" s="1"/>
  <c r="H10" i="13"/>
  <c r="F12" i="2" s="1"/>
  <c r="S12" i="2" s="1"/>
  <c r="G10" i="13"/>
  <c r="E12" i="2" s="1"/>
  <c r="R12" i="2" s="1"/>
  <c r="F10" i="13"/>
  <c r="D12" i="2" s="1"/>
  <c r="Q12" i="2" s="1"/>
  <c r="E10" i="13"/>
  <c r="C12" i="2" s="1"/>
  <c r="P12" i="2" s="1"/>
  <c r="D10" i="13"/>
  <c r="B12" i="2" s="1"/>
  <c r="O12" i="2" s="1"/>
  <c r="O172" i="13"/>
  <c r="O22" i="13" s="1"/>
  <c r="N172" i="13"/>
  <c r="N22" i="13" s="1"/>
  <c r="M172" i="13"/>
  <c r="M22" i="13" s="1"/>
  <c r="L172" i="13"/>
  <c r="L22" i="13" s="1"/>
  <c r="K172" i="13"/>
  <c r="K22" i="13" s="1"/>
  <c r="J172" i="13"/>
  <c r="J22" i="13" s="1"/>
  <c r="I172" i="13"/>
  <c r="I22" i="13" s="1"/>
  <c r="H172" i="13"/>
  <c r="H22" i="13" s="1"/>
  <c r="G172" i="13"/>
  <c r="G22" i="13" s="1"/>
  <c r="F172" i="13"/>
  <c r="F22" i="13" s="1"/>
  <c r="E172" i="13"/>
  <c r="E22" i="13" s="1"/>
  <c r="D172" i="13"/>
  <c r="D22" i="13" s="1"/>
  <c r="O146" i="13"/>
  <c r="O9" i="13" s="1"/>
  <c r="M11" i="2" s="1"/>
  <c r="Z11" i="2" s="1"/>
  <c r="N146" i="13"/>
  <c r="N9" i="13" s="1"/>
  <c r="L11" i="2" s="1"/>
  <c r="Y11" i="2" s="1"/>
  <c r="M146" i="13"/>
  <c r="M9" i="13" s="1"/>
  <c r="K11" i="2" s="1"/>
  <c r="X11" i="2" s="1"/>
  <c r="L146" i="13"/>
  <c r="L9" i="13" s="1"/>
  <c r="J11" i="2" s="1"/>
  <c r="W11" i="2" s="1"/>
  <c r="K146" i="13"/>
  <c r="K9" i="13" s="1"/>
  <c r="I11" i="2" s="1"/>
  <c r="V11" i="2" s="1"/>
  <c r="J146" i="13"/>
  <c r="J9" i="13" s="1"/>
  <c r="H11" i="2" s="1"/>
  <c r="U11" i="2" s="1"/>
  <c r="I146" i="13"/>
  <c r="I9" i="13" s="1"/>
  <c r="G11" i="2" s="1"/>
  <c r="T11" i="2" s="1"/>
  <c r="H146" i="13"/>
  <c r="H9" i="13" s="1"/>
  <c r="F11" i="2" s="1"/>
  <c r="S11" i="2" s="1"/>
  <c r="G146" i="13"/>
  <c r="G9" i="13" s="1"/>
  <c r="E11" i="2" s="1"/>
  <c r="R11" i="2" s="1"/>
  <c r="F146" i="13"/>
  <c r="F9" i="13" s="1"/>
  <c r="D11" i="2" s="1"/>
  <c r="Q11" i="2" s="1"/>
  <c r="E146" i="13"/>
  <c r="E9" i="13" s="1"/>
  <c r="C11" i="2" s="1"/>
  <c r="P11" i="2" s="1"/>
  <c r="D146" i="13"/>
  <c r="D9" i="13" s="1"/>
  <c r="B11" i="2" s="1"/>
  <c r="O11" i="2" s="1"/>
  <c r="O35" i="13"/>
  <c r="N35" i="13"/>
  <c r="L35" i="13"/>
  <c r="K35" i="13"/>
  <c r="J35" i="13"/>
  <c r="J37" i="13" s="1"/>
  <c r="H411" i="3" s="1"/>
  <c r="H35" i="13"/>
  <c r="G35" i="13"/>
  <c r="F35" i="13"/>
  <c r="E35" i="13"/>
  <c r="D35" i="13"/>
  <c r="O21" i="13"/>
  <c r="N21" i="13"/>
  <c r="L21" i="13"/>
  <c r="K21" i="13"/>
  <c r="J21" i="13"/>
  <c r="I21" i="13"/>
  <c r="H21" i="13"/>
  <c r="G21" i="13"/>
  <c r="F21" i="13"/>
  <c r="D21" i="13"/>
  <c r="O135" i="13"/>
  <c r="N135" i="13"/>
  <c r="M135" i="13"/>
  <c r="L135" i="13"/>
  <c r="K135" i="13"/>
  <c r="J135" i="13"/>
  <c r="I135" i="13"/>
  <c r="H135" i="13"/>
  <c r="G135" i="13"/>
  <c r="F135" i="13"/>
  <c r="E135" i="13"/>
  <c r="D135" i="13"/>
  <c r="O8" i="13"/>
  <c r="M10" i="2" s="1"/>
  <c r="Z10" i="2" s="1"/>
  <c r="N8" i="13"/>
  <c r="L10" i="2" s="1"/>
  <c r="Y10" i="2" s="1"/>
  <c r="L8" i="13"/>
  <c r="J10" i="2" s="1"/>
  <c r="W10" i="2" s="1"/>
  <c r="K8" i="13"/>
  <c r="I10" i="2" s="1"/>
  <c r="V10" i="2" s="1"/>
  <c r="J8" i="13"/>
  <c r="H10" i="2" s="1"/>
  <c r="U10" i="2" s="1"/>
  <c r="I8" i="13"/>
  <c r="G10" i="2" s="1"/>
  <c r="T10" i="2" s="1"/>
  <c r="H8" i="13"/>
  <c r="F10" i="2" s="1"/>
  <c r="S10" i="2" s="1"/>
  <c r="G8" i="13"/>
  <c r="E10" i="2" s="1"/>
  <c r="R10" i="2" s="1"/>
  <c r="F8" i="13"/>
  <c r="D10" i="2" s="1"/>
  <c r="Q10" i="2" s="1"/>
  <c r="E8" i="13"/>
  <c r="C10" i="2" s="1"/>
  <c r="P10" i="2" s="1"/>
  <c r="D8" i="13"/>
  <c r="B10" i="2" s="1"/>
  <c r="O10" i="2" s="1"/>
  <c r="O107" i="13"/>
  <c r="O31" i="13" s="1"/>
  <c r="N107" i="13"/>
  <c r="N31" i="13" s="1"/>
  <c r="N33" i="13" s="1"/>
  <c r="L408" i="3" s="1"/>
  <c r="M107" i="13"/>
  <c r="L107" i="13"/>
  <c r="L31" i="13" s="1"/>
  <c r="K107" i="13"/>
  <c r="K31" i="13" s="1"/>
  <c r="J107" i="13"/>
  <c r="J31" i="13" s="1"/>
  <c r="J33" i="13" s="1"/>
  <c r="H408" i="3" s="1"/>
  <c r="I107" i="13"/>
  <c r="I31" i="13" s="1"/>
  <c r="H107" i="13"/>
  <c r="H31" i="13" s="1"/>
  <c r="G107" i="13"/>
  <c r="G31" i="13" s="1"/>
  <c r="F107" i="13"/>
  <c r="F31" i="13" s="1"/>
  <c r="F33" i="13" s="1"/>
  <c r="D408" i="3" s="1"/>
  <c r="E107" i="13"/>
  <c r="E31" i="13" s="1"/>
  <c r="D107" i="13"/>
  <c r="D31" i="13" s="1"/>
  <c r="O106" i="13"/>
  <c r="O17" i="13" s="1"/>
  <c r="M91" i="3" s="1"/>
  <c r="N106" i="13"/>
  <c r="N17" i="13" s="1"/>
  <c r="M106" i="13"/>
  <c r="M17" i="13" s="1"/>
  <c r="K91" i="3" s="1"/>
  <c r="L106" i="13"/>
  <c r="L17" i="13" s="1"/>
  <c r="J91" i="3" s="1"/>
  <c r="K106" i="13"/>
  <c r="K17" i="13" s="1"/>
  <c r="I91" i="3" s="1"/>
  <c r="J106" i="13"/>
  <c r="J17" i="13" s="1"/>
  <c r="I106" i="13"/>
  <c r="H106" i="13"/>
  <c r="H17" i="13" s="1"/>
  <c r="F91" i="3" s="1"/>
  <c r="G106" i="13"/>
  <c r="G17" i="13" s="1"/>
  <c r="F106" i="13"/>
  <c r="F17" i="13" s="1"/>
  <c r="E106" i="13"/>
  <c r="E17" i="13" s="1"/>
  <c r="C91" i="3" s="1"/>
  <c r="D106" i="13"/>
  <c r="D17" i="13" s="1"/>
  <c r="B91" i="3" s="1"/>
  <c r="O101" i="13"/>
  <c r="N101" i="13"/>
  <c r="M101" i="13"/>
  <c r="L101" i="13"/>
  <c r="K101" i="13"/>
  <c r="J101" i="13"/>
  <c r="I101" i="13"/>
  <c r="H101" i="13"/>
  <c r="G101" i="13"/>
  <c r="F101" i="13"/>
  <c r="E101" i="13"/>
  <c r="D101" i="13"/>
  <c r="O93" i="13"/>
  <c r="N93" i="13"/>
  <c r="M93" i="13"/>
  <c r="L93" i="13"/>
  <c r="K93" i="13"/>
  <c r="J93" i="13"/>
  <c r="I93" i="13"/>
  <c r="H93" i="13"/>
  <c r="G93" i="13"/>
  <c r="F93" i="13"/>
  <c r="E93" i="13"/>
  <c r="D93" i="13"/>
  <c r="O86" i="13"/>
  <c r="O7" i="13" s="1"/>
  <c r="N86" i="13"/>
  <c r="N7" i="13" s="1"/>
  <c r="M86" i="13"/>
  <c r="L86" i="13"/>
  <c r="L7" i="13" s="1"/>
  <c r="J9" i="2" s="1"/>
  <c r="K86" i="13"/>
  <c r="K7" i="13" s="1"/>
  <c r="J86" i="13"/>
  <c r="J7" i="13" s="1"/>
  <c r="I86" i="13"/>
  <c r="I7" i="13" s="1"/>
  <c r="G9" i="2" s="1"/>
  <c r="H86" i="13"/>
  <c r="H7" i="13" s="1"/>
  <c r="F9" i="2" s="1"/>
  <c r="G86" i="13"/>
  <c r="G7" i="13" s="1"/>
  <c r="E9" i="2" s="1"/>
  <c r="F86" i="13"/>
  <c r="F7" i="13" s="1"/>
  <c r="E86" i="13"/>
  <c r="E7" i="13" s="1"/>
  <c r="C9" i="2" s="1"/>
  <c r="D86" i="13"/>
  <c r="D7" i="13" s="1"/>
  <c r="O79" i="13"/>
  <c r="O29" i="13" s="1"/>
  <c r="M352" i="3" s="1"/>
  <c r="N79" i="13"/>
  <c r="N29" i="13" s="1"/>
  <c r="L352" i="3" s="1"/>
  <c r="M79" i="13"/>
  <c r="L79" i="13"/>
  <c r="L29" i="13" s="1"/>
  <c r="J352" i="3" s="1"/>
  <c r="K79" i="13"/>
  <c r="K29" i="13" s="1"/>
  <c r="I352" i="3" s="1"/>
  <c r="J79" i="13"/>
  <c r="J29" i="13" s="1"/>
  <c r="H352" i="3" s="1"/>
  <c r="I79" i="13"/>
  <c r="I29" i="13" s="1"/>
  <c r="G352" i="3" s="1"/>
  <c r="H79" i="13"/>
  <c r="H29" i="13" s="1"/>
  <c r="F352" i="3" s="1"/>
  <c r="G79" i="13"/>
  <c r="G29" i="13" s="1"/>
  <c r="E352" i="3" s="1"/>
  <c r="F79" i="13"/>
  <c r="F29" i="13" s="1"/>
  <c r="D352" i="3" s="1"/>
  <c r="E79" i="13"/>
  <c r="E29" i="13" s="1"/>
  <c r="C352" i="3" s="1"/>
  <c r="D79" i="13"/>
  <c r="D29" i="13" s="1"/>
  <c r="B352" i="3" s="1"/>
  <c r="O78" i="13"/>
  <c r="O26" i="13" s="1"/>
  <c r="N78" i="13"/>
  <c r="N26" i="13" s="1"/>
  <c r="M78" i="13"/>
  <c r="M26" i="13" s="1"/>
  <c r="L78" i="13"/>
  <c r="L26" i="13" s="1"/>
  <c r="K78" i="13"/>
  <c r="K26" i="13" s="1"/>
  <c r="J78" i="13"/>
  <c r="J26" i="13" s="1"/>
  <c r="I78" i="13"/>
  <c r="H78" i="13"/>
  <c r="H26" i="13" s="1"/>
  <c r="G78" i="13"/>
  <c r="G26" i="13" s="1"/>
  <c r="F78" i="13"/>
  <c r="F26" i="13" s="1"/>
  <c r="E78" i="13"/>
  <c r="E26" i="13" s="1"/>
  <c r="D78" i="13"/>
  <c r="D26" i="13" s="1"/>
  <c r="O63" i="13"/>
  <c r="N63" i="13"/>
  <c r="M63" i="13"/>
  <c r="L63" i="13"/>
  <c r="K63" i="13"/>
  <c r="J63" i="13"/>
  <c r="I63" i="13"/>
  <c r="H63" i="13"/>
  <c r="G63" i="13"/>
  <c r="F63" i="13"/>
  <c r="E63" i="13"/>
  <c r="D63" i="13"/>
  <c r="O60" i="13"/>
  <c r="N60" i="13"/>
  <c r="M60" i="13"/>
  <c r="L60" i="13"/>
  <c r="K60" i="13"/>
  <c r="J60" i="13"/>
  <c r="I60" i="13"/>
  <c r="H60" i="13"/>
  <c r="G60" i="13"/>
  <c r="F60" i="13"/>
  <c r="E60" i="13"/>
  <c r="D60" i="13"/>
  <c r="O50" i="13"/>
  <c r="O4" i="13" s="1"/>
  <c r="N50" i="13"/>
  <c r="N4" i="13" s="1"/>
  <c r="L15" i="2" s="1"/>
  <c r="Y15" i="2" s="1"/>
  <c r="M50" i="13"/>
  <c r="L50" i="13"/>
  <c r="L4" i="13" s="1"/>
  <c r="K50" i="13"/>
  <c r="K4" i="13" s="1"/>
  <c r="J50" i="13"/>
  <c r="J4" i="13" s="1"/>
  <c r="J14" i="13" s="1"/>
  <c r="I50" i="13"/>
  <c r="I4" i="13" s="1"/>
  <c r="I14" i="13" s="1"/>
  <c r="H50" i="13"/>
  <c r="H4" i="13" s="1"/>
  <c r="H14" i="13" s="1"/>
  <c r="G50" i="13"/>
  <c r="G4" i="13" s="1"/>
  <c r="E15" i="2" s="1"/>
  <c r="R15" i="2" s="1"/>
  <c r="F50" i="13"/>
  <c r="F4" i="13" s="1"/>
  <c r="F14" i="13" s="1"/>
  <c r="E50" i="13"/>
  <c r="E4" i="13" s="1"/>
  <c r="E14" i="13" s="1"/>
  <c r="D50" i="13"/>
  <c r="D4" i="13" s="1"/>
  <c r="M36" i="13"/>
  <c r="M35" i="13"/>
  <c r="I35" i="13"/>
  <c r="M31" i="13"/>
  <c r="M29" i="13"/>
  <c r="K352" i="3" s="1"/>
  <c r="I26" i="13"/>
  <c r="M21" i="13"/>
  <c r="E21" i="13"/>
  <c r="I19" i="13"/>
  <c r="G231" i="3" s="1"/>
  <c r="F19" i="13"/>
  <c r="D231" i="3" s="1"/>
  <c r="E19" i="13"/>
  <c r="C231" i="3" s="1"/>
  <c r="I17" i="13"/>
  <c r="G91" i="3" s="1"/>
  <c r="J11" i="13"/>
  <c r="H13" i="2" s="1"/>
  <c r="U13" i="2" s="1"/>
  <c r="I11" i="13"/>
  <c r="G13" i="2" s="1"/>
  <c r="T13" i="2" s="1"/>
  <c r="M8" i="13"/>
  <c r="M7" i="13"/>
  <c r="K9" i="2" s="1"/>
  <c r="M4" i="13"/>
  <c r="M14" i="13" s="1"/>
  <c r="O88" i="18"/>
  <c r="N88" i="18"/>
  <c r="M88" i="18"/>
  <c r="L88" i="18"/>
  <c r="K88" i="18"/>
  <c r="J88" i="18"/>
  <c r="I88" i="18"/>
  <c r="H88" i="18"/>
  <c r="G88" i="18"/>
  <c r="F88" i="18"/>
  <c r="E88" i="18"/>
  <c r="D88" i="18"/>
  <c r="O85" i="18"/>
  <c r="N85" i="18"/>
  <c r="M85" i="18"/>
  <c r="L85" i="18"/>
  <c r="K85" i="18"/>
  <c r="J85" i="18"/>
  <c r="I85" i="18"/>
  <c r="H85" i="18"/>
  <c r="G85" i="18"/>
  <c r="F85" i="18"/>
  <c r="E85" i="18"/>
  <c r="D85" i="18"/>
  <c r="O76" i="18"/>
  <c r="N76" i="18"/>
  <c r="M76" i="18"/>
  <c r="L76" i="18"/>
  <c r="K76" i="18"/>
  <c r="J76" i="18"/>
  <c r="I76" i="18"/>
  <c r="H76" i="18"/>
  <c r="G76" i="18"/>
  <c r="F76" i="18"/>
  <c r="E76" i="18"/>
  <c r="D76" i="18"/>
  <c r="O70" i="18"/>
  <c r="N70" i="18"/>
  <c r="M70" i="18"/>
  <c r="L70" i="18"/>
  <c r="K70" i="18"/>
  <c r="J70" i="18"/>
  <c r="I70" i="18"/>
  <c r="H70" i="18"/>
  <c r="G70" i="18"/>
  <c r="F70" i="18"/>
  <c r="E70" i="18"/>
  <c r="D70" i="18"/>
  <c r="O38" i="18"/>
  <c r="N38" i="18"/>
  <c r="M38" i="18"/>
  <c r="L38" i="18"/>
  <c r="K38" i="18"/>
  <c r="J38" i="18"/>
  <c r="I38" i="18"/>
  <c r="H38" i="18"/>
  <c r="G38" i="18"/>
  <c r="F38" i="18"/>
  <c r="E38" i="18"/>
  <c r="D38" i="18"/>
  <c r="O34" i="18"/>
  <c r="N34" i="18"/>
  <c r="M34" i="18"/>
  <c r="L34" i="18"/>
  <c r="K34" i="18"/>
  <c r="J34" i="18"/>
  <c r="I34" i="18"/>
  <c r="H34" i="18"/>
  <c r="G34" i="18"/>
  <c r="F34" i="18"/>
  <c r="E34" i="18"/>
  <c r="D34" i="18"/>
  <c r="O31" i="18"/>
  <c r="N31" i="18"/>
  <c r="M31" i="18"/>
  <c r="L31" i="18"/>
  <c r="K31" i="18"/>
  <c r="J31" i="18"/>
  <c r="I31" i="18"/>
  <c r="H31" i="18"/>
  <c r="G31" i="18"/>
  <c r="F31" i="18"/>
  <c r="E31" i="18"/>
  <c r="D31" i="18"/>
  <c r="O15" i="18"/>
  <c r="M530" i="3" s="1"/>
  <c r="N15" i="18"/>
  <c r="L530" i="3" s="1"/>
  <c r="M15" i="18"/>
  <c r="K530" i="3" s="1"/>
  <c r="L15" i="18"/>
  <c r="J530" i="3" s="1"/>
  <c r="K15" i="18"/>
  <c r="J15" i="18"/>
  <c r="H530" i="3" s="1"/>
  <c r="I15" i="18"/>
  <c r="G530" i="3" s="1"/>
  <c r="H15" i="18"/>
  <c r="F530" i="3" s="1"/>
  <c r="G15" i="18"/>
  <c r="E530" i="3" s="1"/>
  <c r="F15" i="18"/>
  <c r="D530" i="3" s="1"/>
  <c r="E15" i="18"/>
  <c r="C530" i="3" s="1"/>
  <c r="D15" i="18"/>
  <c r="B530" i="3" s="1"/>
  <c r="O13" i="18"/>
  <c r="N13" i="18"/>
  <c r="L105" i="3" s="1"/>
  <c r="M13" i="18"/>
  <c r="K105" i="3" s="1"/>
  <c r="L13" i="18"/>
  <c r="J105" i="3" s="1"/>
  <c r="K13" i="18"/>
  <c r="I105" i="3" s="1"/>
  <c r="J13" i="18"/>
  <c r="H105" i="3" s="1"/>
  <c r="I13" i="18"/>
  <c r="G105" i="3" s="1"/>
  <c r="H13" i="18"/>
  <c r="F105" i="3" s="1"/>
  <c r="G13" i="18"/>
  <c r="E105" i="3" s="1"/>
  <c r="F13" i="18"/>
  <c r="D105" i="3" s="1"/>
  <c r="E13" i="18"/>
  <c r="C105" i="3" s="1"/>
  <c r="D13" i="18"/>
  <c r="B105" i="3" s="1"/>
  <c r="O11" i="18"/>
  <c r="M82" i="3" s="1"/>
  <c r="N11" i="18"/>
  <c r="L82" i="3" s="1"/>
  <c r="M11" i="18"/>
  <c r="K82" i="3" s="1"/>
  <c r="L11" i="18"/>
  <c r="J82" i="3" s="1"/>
  <c r="K11" i="18"/>
  <c r="I82" i="3" s="1"/>
  <c r="J11" i="18"/>
  <c r="H82" i="3" s="1"/>
  <c r="I11" i="18"/>
  <c r="G82" i="3" s="1"/>
  <c r="H11" i="18"/>
  <c r="F82" i="3" s="1"/>
  <c r="G11" i="18"/>
  <c r="E82" i="3" s="1"/>
  <c r="F11" i="18"/>
  <c r="D82" i="3" s="1"/>
  <c r="E11" i="18"/>
  <c r="C82" i="3" s="1"/>
  <c r="D11" i="18"/>
  <c r="B82" i="3" s="1"/>
  <c r="O9" i="18"/>
  <c r="M24" i="3" s="1"/>
  <c r="N9" i="18"/>
  <c r="L24" i="3" s="1"/>
  <c r="M9" i="18"/>
  <c r="K24" i="3" s="1"/>
  <c r="L9" i="18"/>
  <c r="J24" i="3" s="1"/>
  <c r="K9" i="18"/>
  <c r="I24" i="3" s="1"/>
  <c r="J9" i="18"/>
  <c r="H24" i="3" s="1"/>
  <c r="I9" i="18"/>
  <c r="G24" i="3" s="1"/>
  <c r="H9" i="18"/>
  <c r="F24" i="3" s="1"/>
  <c r="G9" i="18"/>
  <c r="F9" i="18"/>
  <c r="D24" i="3" s="1"/>
  <c r="E9" i="18"/>
  <c r="C24" i="3" s="1"/>
  <c r="D9" i="18"/>
  <c r="B24" i="3" s="1"/>
  <c r="O7" i="18"/>
  <c r="N7" i="18"/>
  <c r="M7" i="18"/>
  <c r="K12" i="3" s="1"/>
  <c r="L7" i="18"/>
  <c r="K7" i="18"/>
  <c r="K21" i="18" s="1"/>
  <c r="J7" i="18"/>
  <c r="J21" i="18" s="1"/>
  <c r="I7" i="18"/>
  <c r="I19" i="18" s="1"/>
  <c r="H7" i="18"/>
  <c r="H21" i="18" s="1"/>
  <c r="G7" i="18"/>
  <c r="G21" i="18" s="1"/>
  <c r="F7" i="18"/>
  <c r="E7" i="18"/>
  <c r="E21" i="18" s="1"/>
  <c r="D7" i="18"/>
  <c r="O3" i="18"/>
  <c r="O5" i="18" s="1"/>
  <c r="N3" i="18"/>
  <c r="N5" i="18" s="1"/>
  <c r="M3" i="18"/>
  <c r="M5" i="18" s="1"/>
  <c r="L3" i="18"/>
  <c r="L5" i="18" s="1"/>
  <c r="K3" i="18"/>
  <c r="K5" i="18" s="1"/>
  <c r="J3" i="18"/>
  <c r="J5" i="18" s="1"/>
  <c r="I3" i="18"/>
  <c r="I5" i="18" s="1"/>
  <c r="H3" i="18"/>
  <c r="H5" i="18" s="1"/>
  <c r="G3" i="18"/>
  <c r="G5" i="18" s="1"/>
  <c r="F3" i="18"/>
  <c r="F5" i="18" s="1"/>
  <c r="E3" i="18"/>
  <c r="E5" i="18" s="1"/>
  <c r="D3" i="18"/>
  <c r="D5" i="18" s="1"/>
  <c r="N18" i="15"/>
  <c r="O17" i="15"/>
  <c r="N17" i="15"/>
  <c r="M17" i="15"/>
  <c r="L17" i="15"/>
  <c r="L11" i="16" s="1"/>
  <c r="K17" i="15"/>
  <c r="K11" i="16" s="1"/>
  <c r="J17" i="15"/>
  <c r="I17" i="15"/>
  <c r="H17" i="15"/>
  <c r="H11" i="16" s="1"/>
  <c r="G17" i="15"/>
  <c r="G11" i="16" s="1"/>
  <c r="F17" i="15"/>
  <c r="E17" i="15"/>
  <c r="D17" i="15"/>
  <c r="D11" i="16" s="1"/>
  <c r="E13" i="15"/>
  <c r="O11" i="15"/>
  <c r="O19" i="16" s="1"/>
  <c r="N11" i="15"/>
  <c r="N19" i="16" s="1"/>
  <c r="M11" i="15"/>
  <c r="M19" i="16" s="1"/>
  <c r="L11" i="15"/>
  <c r="L19" i="16" s="1"/>
  <c r="K11" i="15"/>
  <c r="K19" i="16" s="1"/>
  <c r="J11" i="15"/>
  <c r="J19" i="16" s="1"/>
  <c r="I11" i="15"/>
  <c r="I19" i="16" s="1"/>
  <c r="H11" i="15"/>
  <c r="H19" i="16" s="1"/>
  <c r="G11" i="15"/>
  <c r="G19" i="16" s="1"/>
  <c r="F11" i="15"/>
  <c r="F19" i="16" s="1"/>
  <c r="E11" i="15"/>
  <c r="E19" i="16" s="1"/>
  <c r="D11" i="15"/>
  <c r="D19" i="16" s="1"/>
  <c r="O9" i="15"/>
  <c r="M78" i="3" s="1"/>
  <c r="N9" i="15"/>
  <c r="N17" i="16" s="1"/>
  <c r="M9" i="15"/>
  <c r="M17" i="16" s="1"/>
  <c r="L9" i="15"/>
  <c r="L17" i="16" s="1"/>
  <c r="K9" i="15"/>
  <c r="K17" i="16" s="1"/>
  <c r="J9" i="15"/>
  <c r="J17" i="16" s="1"/>
  <c r="I9" i="15"/>
  <c r="G78" i="3" s="1"/>
  <c r="H9" i="15"/>
  <c r="H17" i="16" s="1"/>
  <c r="G9" i="15"/>
  <c r="G17" i="16" s="1"/>
  <c r="F9" i="15"/>
  <c r="F17" i="16" s="1"/>
  <c r="E9" i="15"/>
  <c r="E17" i="16" s="1"/>
  <c r="D9" i="15"/>
  <c r="D17" i="16" s="1"/>
  <c r="O7" i="15"/>
  <c r="N7" i="15"/>
  <c r="M7" i="15"/>
  <c r="M21" i="15" s="1"/>
  <c r="L7" i="15"/>
  <c r="K7" i="15"/>
  <c r="J7" i="15"/>
  <c r="I7" i="15"/>
  <c r="I15" i="16" s="1"/>
  <c r="H7" i="15"/>
  <c r="G7" i="15"/>
  <c r="F7" i="15"/>
  <c r="E7" i="15"/>
  <c r="E15" i="16" s="1"/>
  <c r="D7" i="15"/>
  <c r="O3" i="15"/>
  <c r="O5" i="15" s="1"/>
  <c r="N3" i="15"/>
  <c r="N5" i="15" s="1"/>
  <c r="M3" i="15"/>
  <c r="M5" i="15" s="1"/>
  <c r="L3" i="15"/>
  <c r="L5" i="15" s="1"/>
  <c r="K3" i="15"/>
  <c r="K5" i="15" s="1"/>
  <c r="J3" i="15"/>
  <c r="J5" i="15" s="1"/>
  <c r="I3" i="15"/>
  <c r="I5" i="15" s="1"/>
  <c r="H3" i="15"/>
  <c r="H5" i="15" s="1"/>
  <c r="G3" i="15"/>
  <c r="G5" i="15" s="1"/>
  <c r="F3" i="15"/>
  <c r="F5" i="15" s="1"/>
  <c r="E3" i="15"/>
  <c r="E5" i="15" s="1"/>
  <c r="D3" i="15"/>
  <c r="D5" i="15" s="1"/>
  <c r="O57" i="17"/>
  <c r="N57" i="17"/>
  <c r="M57" i="17"/>
  <c r="L57" i="17"/>
  <c r="K57" i="17"/>
  <c r="J57" i="17"/>
  <c r="I57" i="17"/>
  <c r="H57" i="17"/>
  <c r="G57" i="17"/>
  <c r="F57" i="17"/>
  <c r="E57" i="17"/>
  <c r="D57" i="17"/>
  <c r="O31" i="17"/>
  <c r="N31" i="17"/>
  <c r="M31" i="17"/>
  <c r="L31" i="17"/>
  <c r="K31" i="17"/>
  <c r="J31" i="17"/>
  <c r="I31" i="17"/>
  <c r="H31" i="17"/>
  <c r="G31" i="17"/>
  <c r="F31" i="17"/>
  <c r="E31" i="17"/>
  <c r="D31" i="17"/>
  <c r="O26" i="17"/>
  <c r="N26" i="17"/>
  <c r="M26" i="17"/>
  <c r="L26" i="17"/>
  <c r="K26" i="17"/>
  <c r="J26" i="17"/>
  <c r="I26" i="17"/>
  <c r="H26" i="17"/>
  <c r="G26" i="17"/>
  <c r="F26" i="17"/>
  <c r="E26" i="17"/>
  <c r="D26" i="17"/>
  <c r="O13" i="17"/>
  <c r="M76" i="3" s="1"/>
  <c r="N13" i="17"/>
  <c r="M13" i="17"/>
  <c r="K76" i="3" s="1"/>
  <c r="L13" i="17"/>
  <c r="J76" i="3" s="1"/>
  <c r="K13" i="17"/>
  <c r="I76" i="3" s="1"/>
  <c r="J13" i="17"/>
  <c r="I13" i="17"/>
  <c r="G76" i="3" s="1"/>
  <c r="H13" i="17"/>
  <c r="F76" i="3" s="1"/>
  <c r="G13" i="17"/>
  <c r="E76" i="3" s="1"/>
  <c r="F13" i="17"/>
  <c r="E13" i="17"/>
  <c r="C76" i="3" s="1"/>
  <c r="D13" i="17"/>
  <c r="B76" i="3" s="1"/>
  <c r="O11" i="17"/>
  <c r="M75" i="3" s="1"/>
  <c r="N11" i="17"/>
  <c r="M11" i="17"/>
  <c r="L11" i="17"/>
  <c r="J75" i="3" s="1"/>
  <c r="K11" i="17"/>
  <c r="J11" i="17"/>
  <c r="I11" i="17"/>
  <c r="H11" i="17"/>
  <c r="F75" i="3" s="1"/>
  <c r="G11" i="17"/>
  <c r="E75" i="3" s="1"/>
  <c r="F11" i="17"/>
  <c r="E11" i="17"/>
  <c r="D11" i="17"/>
  <c r="B75" i="3" s="1"/>
  <c r="O9" i="17"/>
  <c r="M74" i="3" s="1"/>
  <c r="N9" i="17"/>
  <c r="M9" i="17"/>
  <c r="K74" i="3" s="1"/>
  <c r="L9" i="17"/>
  <c r="J74" i="3" s="1"/>
  <c r="K9" i="17"/>
  <c r="I74" i="3" s="1"/>
  <c r="J9" i="17"/>
  <c r="I9" i="17"/>
  <c r="G74" i="3" s="1"/>
  <c r="H9" i="17"/>
  <c r="F74" i="3" s="1"/>
  <c r="G9" i="17"/>
  <c r="E74" i="3" s="1"/>
  <c r="F9" i="17"/>
  <c r="E9" i="17"/>
  <c r="C74" i="3" s="1"/>
  <c r="D9" i="17"/>
  <c r="B74" i="3" s="1"/>
  <c r="O7" i="17"/>
  <c r="M73" i="3" s="1"/>
  <c r="N7" i="17"/>
  <c r="N15" i="17" s="1"/>
  <c r="M7" i="17"/>
  <c r="M15" i="17" s="1"/>
  <c r="L7" i="17"/>
  <c r="L19" i="17" s="1"/>
  <c r="K7" i="17"/>
  <c r="K17" i="17" s="1"/>
  <c r="J7" i="17"/>
  <c r="J15" i="17" s="1"/>
  <c r="I7" i="17"/>
  <c r="I15" i="17" s="1"/>
  <c r="H7" i="17"/>
  <c r="H19" i="17" s="1"/>
  <c r="G7" i="17"/>
  <c r="G17" i="17" s="1"/>
  <c r="F7" i="17"/>
  <c r="F15" i="17" s="1"/>
  <c r="E7" i="17"/>
  <c r="E15" i="17" s="1"/>
  <c r="D7" i="17"/>
  <c r="D19" i="17" s="1"/>
  <c r="O3" i="17"/>
  <c r="M321" i="2" s="1"/>
  <c r="Z321" i="2" s="1"/>
  <c r="N3" i="17"/>
  <c r="L321" i="2" s="1"/>
  <c r="Y321" i="2" s="1"/>
  <c r="M3" i="17"/>
  <c r="M5" i="17" s="1"/>
  <c r="L3" i="17"/>
  <c r="K3" i="17"/>
  <c r="K5" i="17" s="1"/>
  <c r="J3" i="17"/>
  <c r="H321" i="2" s="1"/>
  <c r="U321" i="2" s="1"/>
  <c r="I3" i="17"/>
  <c r="I5" i="17" s="1"/>
  <c r="H3" i="17"/>
  <c r="G3" i="17"/>
  <c r="G5" i="17" s="1"/>
  <c r="F3" i="17"/>
  <c r="D321" i="2" s="1"/>
  <c r="Q321" i="2" s="1"/>
  <c r="E3" i="17"/>
  <c r="E5" i="17" s="1"/>
  <c r="D3" i="17"/>
  <c r="N7" i="14"/>
  <c r="M7" i="14"/>
  <c r="K7" i="14"/>
  <c r="J7" i="14"/>
  <c r="I7" i="14"/>
  <c r="G7" i="14"/>
  <c r="F7" i="14"/>
  <c r="E7" i="14"/>
  <c r="D7" i="14"/>
  <c r="D9" i="14" s="1"/>
  <c r="N15" i="14"/>
  <c r="M15" i="14"/>
  <c r="J66" i="3"/>
  <c r="K15" i="14"/>
  <c r="J15" i="14"/>
  <c r="I15" i="14"/>
  <c r="H15" i="14"/>
  <c r="G15" i="14"/>
  <c r="F15" i="14"/>
  <c r="E15" i="14"/>
  <c r="B66" i="3"/>
  <c r="O18" i="12"/>
  <c r="N13" i="14"/>
  <c r="M13" i="14"/>
  <c r="J65" i="3"/>
  <c r="K13" i="14"/>
  <c r="J13" i="14"/>
  <c r="F65" i="3"/>
  <c r="G13" i="14"/>
  <c r="F13" i="14"/>
  <c r="E13" i="14"/>
  <c r="B65" i="3"/>
  <c r="O6" i="12"/>
  <c r="I122" i="2"/>
  <c r="V122" i="2" s="1"/>
  <c r="H122" i="2"/>
  <c r="O55" i="10"/>
  <c r="N55" i="10"/>
  <c r="M55" i="10"/>
  <c r="L55" i="10"/>
  <c r="K55" i="10"/>
  <c r="J55" i="10"/>
  <c r="I55" i="10"/>
  <c r="H55" i="10"/>
  <c r="G55" i="10"/>
  <c r="F55" i="10"/>
  <c r="E55" i="10"/>
  <c r="D55" i="10"/>
  <c r="O51" i="10"/>
  <c r="N51" i="10"/>
  <c r="M51" i="10"/>
  <c r="L51" i="10"/>
  <c r="K51" i="10"/>
  <c r="J51" i="10"/>
  <c r="I51" i="10"/>
  <c r="H51" i="10"/>
  <c r="G51" i="10"/>
  <c r="F51" i="10"/>
  <c r="E51" i="10"/>
  <c r="D51" i="10"/>
  <c r="O46" i="10"/>
  <c r="N46" i="10"/>
  <c r="M46" i="10"/>
  <c r="L46" i="10"/>
  <c r="K46" i="10"/>
  <c r="J46" i="10"/>
  <c r="I46" i="10"/>
  <c r="H46" i="10"/>
  <c r="G46" i="10"/>
  <c r="F46" i="10"/>
  <c r="E46" i="10"/>
  <c r="D46" i="10"/>
  <c r="O42" i="10"/>
  <c r="N42" i="10"/>
  <c r="M42" i="10"/>
  <c r="L42" i="10"/>
  <c r="K42" i="10"/>
  <c r="J42" i="10"/>
  <c r="I42" i="10"/>
  <c r="H42" i="10"/>
  <c r="G42" i="10"/>
  <c r="F42" i="10"/>
  <c r="E42" i="10"/>
  <c r="D42" i="10"/>
  <c r="O39" i="10"/>
  <c r="N39" i="10"/>
  <c r="M39" i="10"/>
  <c r="L39" i="10"/>
  <c r="K39" i="10"/>
  <c r="J39" i="10"/>
  <c r="I39" i="10"/>
  <c r="H39" i="10"/>
  <c r="G39" i="10"/>
  <c r="F39" i="10"/>
  <c r="E39" i="10"/>
  <c r="D39" i="10"/>
  <c r="O36" i="10"/>
  <c r="N36" i="10"/>
  <c r="M36" i="10"/>
  <c r="L36" i="10"/>
  <c r="K36" i="10"/>
  <c r="J36" i="10"/>
  <c r="I36" i="10"/>
  <c r="H36" i="10"/>
  <c r="G36" i="10"/>
  <c r="F36" i="10"/>
  <c r="E36" i="10"/>
  <c r="D36" i="10"/>
  <c r="O29" i="10"/>
  <c r="N29" i="10"/>
  <c r="M29" i="10"/>
  <c r="L29" i="10"/>
  <c r="K29" i="10"/>
  <c r="J29" i="10"/>
  <c r="I29" i="10"/>
  <c r="H29" i="10"/>
  <c r="G29" i="10"/>
  <c r="F29" i="10"/>
  <c r="E29" i="10"/>
  <c r="D29" i="10"/>
  <c r="O17" i="10"/>
  <c r="N17" i="10"/>
  <c r="K17" i="10"/>
  <c r="J17" i="10"/>
  <c r="G17" i="10"/>
  <c r="F17" i="10"/>
  <c r="E17" i="10"/>
  <c r="O15" i="10"/>
  <c r="N15" i="10"/>
  <c r="K15" i="10"/>
  <c r="J15" i="10"/>
  <c r="G15" i="10"/>
  <c r="F15" i="10"/>
  <c r="O13" i="10"/>
  <c r="O17" i="11" s="1"/>
  <c r="N13" i="10"/>
  <c r="N17" i="11" s="1"/>
  <c r="M13" i="10"/>
  <c r="M17" i="11" s="1"/>
  <c r="L13" i="10"/>
  <c r="L17" i="11" s="1"/>
  <c r="K13" i="10"/>
  <c r="K17" i="11" s="1"/>
  <c r="J13" i="10"/>
  <c r="J17" i="11" s="1"/>
  <c r="I13" i="10"/>
  <c r="I17" i="11" s="1"/>
  <c r="H13" i="10"/>
  <c r="H17" i="11" s="1"/>
  <c r="G13" i="10"/>
  <c r="G17" i="11" s="1"/>
  <c r="F13" i="10"/>
  <c r="F17" i="11" s="1"/>
  <c r="E13" i="10"/>
  <c r="E17" i="11" s="1"/>
  <c r="D13" i="10"/>
  <c r="D17" i="11" s="1"/>
  <c r="O10" i="10"/>
  <c r="N10" i="10"/>
  <c r="M10" i="10"/>
  <c r="K10" i="10"/>
  <c r="J10" i="10"/>
  <c r="G10" i="10"/>
  <c r="F10" i="10"/>
  <c r="O9" i="10"/>
  <c r="O9" i="11" s="1"/>
  <c r="O11" i="11" s="1"/>
  <c r="N9" i="10"/>
  <c r="N9" i="11" s="1"/>
  <c r="N11" i="11" s="1"/>
  <c r="M9" i="10"/>
  <c r="M9" i="11" s="1"/>
  <c r="L9" i="10"/>
  <c r="K9" i="10"/>
  <c r="K9" i="11" s="1"/>
  <c r="K11" i="11" s="1"/>
  <c r="J9" i="10"/>
  <c r="J11" i="10" s="1"/>
  <c r="H170" i="3" s="1"/>
  <c r="I9" i="10"/>
  <c r="H9" i="10"/>
  <c r="G9" i="10"/>
  <c r="G9" i="11" s="1"/>
  <c r="G11" i="11" s="1"/>
  <c r="F9" i="10"/>
  <c r="E9" i="10"/>
  <c r="D9" i="10"/>
  <c r="O7" i="10"/>
  <c r="N7" i="10"/>
  <c r="N15" i="11" s="1"/>
  <c r="M7" i="10"/>
  <c r="L7" i="10"/>
  <c r="K7" i="10"/>
  <c r="J7" i="10"/>
  <c r="J15" i="11" s="1"/>
  <c r="I7" i="10"/>
  <c r="H7" i="10"/>
  <c r="G7" i="10"/>
  <c r="F7" i="10"/>
  <c r="F15" i="11" s="1"/>
  <c r="E7" i="10"/>
  <c r="D7" i="10"/>
  <c r="O3" i="10"/>
  <c r="O5" i="10" s="1"/>
  <c r="N3" i="10"/>
  <c r="N5" i="10" s="1"/>
  <c r="M3" i="10"/>
  <c r="M5" i="10" s="1"/>
  <c r="L3" i="10"/>
  <c r="L5" i="10" s="1"/>
  <c r="K3" i="10"/>
  <c r="K5" i="10" s="1"/>
  <c r="J3" i="10"/>
  <c r="J5" i="10" s="1"/>
  <c r="I3" i="10"/>
  <c r="I5" i="10" s="1"/>
  <c r="H3" i="10"/>
  <c r="H5" i="10" s="1"/>
  <c r="G3" i="10"/>
  <c r="G5" i="10" s="1"/>
  <c r="F3" i="10"/>
  <c r="F5" i="10" s="1"/>
  <c r="E3" i="10"/>
  <c r="E5" i="10" s="1"/>
  <c r="D3" i="10"/>
  <c r="D5" i="10" s="1"/>
  <c r="O236" i="9"/>
  <c r="N236" i="9"/>
  <c r="M236" i="9"/>
  <c r="M45" i="9" s="1"/>
  <c r="L236" i="9"/>
  <c r="L45" i="9" s="1"/>
  <c r="K236" i="9"/>
  <c r="J236" i="9"/>
  <c r="J45" i="9" s="1"/>
  <c r="I236" i="9"/>
  <c r="I45" i="9" s="1"/>
  <c r="H236" i="9"/>
  <c r="H45" i="9" s="1"/>
  <c r="G236" i="9"/>
  <c r="F236" i="9"/>
  <c r="E236" i="9"/>
  <c r="E45" i="9" s="1"/>
  <c r="D236" i="9"/>
  <c r="D45" i="9" s="1"/>
  <c r="O235" i="9"/>
  <c r="N235" i="9"/>
  <c r="N30" i="9" s="1"/>
  <c r="M235" i="9"/>
  <c r="M30" i="9" s="1"/>
  <c r="L235" i="9"/>
  <c r="L30" i="9" s="1"/>
  <c r="K235" i="9"/>
  <c r="J235" i="9"/>
  <c r="J30" i="9" s="1"/>
  <c r="I235" i="9"/>
  <c r="I30" i="9" s="1"/>
  <c r="H235" i="9"/>
  <c r="H30" i="9" s="1"/>
  <c r="G235" i="9"/>
  <c r="F235" i="9"/>
  <c r="F30" i="9" s="1"/>
  <c r="E235" i="9"/>
  <c r="E30" i="9" s="1"/>
  <c r="D235" i="9"/>
  <c r="D30" i="9" s="1"/>
  <c r="O234" i="9"/>
  <c r="N234" i="9"/>
  <c r="N24" i="9" s="1"/>
  <c r="M234" i="9"/>
  <c r="M24" i="9" s="1"/>
  <c r="L234" i="9"/>
  <c r="L24" i="9" s="1"/>
  <c r="K234" i="9"/>
  <c r="K24" i="9" s="1"/>
  <c r="J234" i="9"/>
  <c r="J24" i="9" s="1"/>
  <c r="I234" i="9"/>
  <c r="I24" i="9" s="1"/>
  <c r="H234" i="9"/>
  <c r="H24" i="9" s="1"/>
  <c r="G234" i="9"/>
  <c r="F234" i="9"/>
  <c r="F24" i="9" s="1"/>
  <c r="E234" i="9"/>
  <c r="E24" i="9" s="1"/>
  <c r="D234" i="9"/>
  <c r="D24" i="9" s="1"/>
  <c r="O233" i="9"/>
  <c r="N233" i="9"/>
  <c r="N20" i="9" s="1"/>
  <c r="M233" i="9"/>
  <c r="M20" i="9" s="1"/>
  <c r="L233" i="9"/>
  <c r="L20" i="9" s="1"/>
  <c r="K233" i="9"/>
  <c r="J233" i="9"/>
  <c r="J20" i="9" s="1"/>
  <c r="I233" i="9"/>
  <c r="I20" i="9" s="1"/>
  <c r="H233" i="9"/>
  <c r="H20" i="9" s="1"/>
  <c r="G233" i="9"/>
  <c r="F233" i="9"/>
  <c r="F20" i="9" s="1"/>
  <c r="E233" i="9"/>
  <c r="E20" i="9" s="1"/>
  <c r="D233" i="9"/>
  <c r="D20" i="9" s="1"/>
  <c r="O206" i="9"/>
  <c r="O8" i="9" s="1"/>
  <c r="N206" i="9"/>
  <c r="N8" i="9" s="1"/>
  <c r="N16" i="9" s="1"/>
  <c r="M206" i="9"/>
  <c r="M8" i="9" s="1"/>
  <c r="L206" i="9"/>
  <c r="L8" i="9" s="1"/>
  <c r="L16" i="9" s="1"/>
  <c r="K206" i="9"/>
  <c r="J206" i="9"/>
  <c r="J8" i="9" s="1"/>
  <c r="J16" i="9" s="1"/>
  <c r="I206" i="9"/>
  <c r="I8" i="9" s="1"/>
  <c r="H206" i="9"/>
  <c r="H8" i="9" s="1"/>
  <c r="H16" i="9" s="1"/>
  <c r="G206" i="9"/>
  <c r="G8" i="9" s="1"/>
  <c r="F206" i="9"/>
  <c r="F8" i="9" s="1"/>
  <c r="D237" i="2" s="1"/>
  <c r="Q237" i="2" s="1"/>
  <c r="E206" i="9"/>
  <c r="E8" i="9" s="1"/>
  <c r="D206" i="9"/>
  <c r="D8" i="9" s="1"/>
  <c r="D16" i="9" s="1"/>
  <c r="O199" i="9"/>
  <c r="N199" i="9"/>
  <c r="M199" i="9"/>
  <c r="M41" i="9" s="1"/>
  <c r="L199" i="9"/>
  <c r="L41" i="9" s="1"/>
  <c r="K199" i="9"/>
  <c r="J199" i="9"/>
  <c r="J41" i="9" s="1"/>
  <c r="I199" i="9"/>
  <c r="I41" i="9" s="1"/>
  <c r="H199" i="9"/>
  <c r="H41" i="9" s="1"/>
  <c r="G199" i="9"/>
  <c r="F199" i="9"/>
  <c r="E199" i="9"/>
  <c r="E41" i="9" s="1"/>
  <c r="D199" i="9"/>
  <c r="D41" i="9" s="1"/>
  <c r="O198" i="9"/>
  <c r="O23" i="9" s="1"/>
  <c r="N198" i="9"/>
  <c r="N23" i="9" s="1"/>
  <c r="M198" i="9"/>
  <c r="M23" i="9" s="1"/>
  <c r="L198" i="9"/>
  <c r="L23" i="9" s="1"/>
  <c r="L25" i="9" s="1"/>
  <c r="J277" i="3" s="1"/>
  <c r="K198" i="9"/>
  <c r="J198" i="9"/>
  <c r="J23" i="9" s="1"/>
  <c r="I198" i="9"/>
  <c r="I23" i="9" s="1"/>
  <c r="H198" i="9"/>
  <c r="H23" i="9" s="1"/>
  <c r="H25" i="9" s="1"/>
  <c r="F277" i="3" s="1"/>
  <c r="G198" i="9"/>
  <c r="G23" i="9" s="1"/>
  <c r="F198" i="9"/>
  <c r="F23" i="9" s="1"/>
  <c r="E198" i="9"/>
  <c r="E23" i="9" s="1"/>
  <c r="D198" i="9"/>
  <c r="D23" i="9" s="1"/>
  <c r="O177" i="9"/>
  <c r="N177" i="9"/>
  <c r="N7" i="9" s="1"/>
  <c r="N15" i="9" s="1"/>
  <c r="M177" i="9"/>
  <c r="M7" i="9" s="1"/>
  <c r="M15" i="9" s="1"/>
  <c r="L177" i="9"/>
  <c r="L7" i="9" s="1"/>
  <c r="L15" i="9" s="1"/>
  <c r="K177" i="9"/>
  <c r="K7" i="9" s="1"/>
  <c r="J177" i="9"/>
  <c r="J7" i="9" s="1"/>
  <c r="J15" i="9" s="1"/>
  <c r="I177" i="9"/>
  <c r="I7" i="9" s="1"/>
  <c r="I15" i="9" s="1"/>
  <c r="H177" i="9"/>
  <c r="H7" i="9" s="1"/>
  <c r="H15" i="9" s="1"/>
  <c r="G177" i="9"/>
  <c r="F177" i="9"/>
  <c r="F7" i="9" s="1"/>
  <c r="F15" i="9" s="1"/>
  <c r="E177" i="9"/>
  <c r="E7" i="9" s="1"/>
  <c r="D177" i="9"/>
  <c r="D7" i="9" s="1"/>
  <c r="D15" i="9" s="1"/>
  <c r="O170" i="9"/>
  <c r="N170" i="9"/>
  <c r="N44" i="9" s="1"/>
  <c r="M170" i="9"/>
  <c r="M44" i="9" s="1"/>
  <c r="L170" i="9"/>
  <c r="L44" i="9" s="1"/>
  <c r="L46" i="9" s="1"/>
  <c r="J522" i="3" s="1"/>
  <c r="K170" i="9"/>
  <c r="J170" i="9"/>
  <c r="I170" i="9"/>
  <c r="I44" i="9" s="1"/>
  <c r="H170" i="9"/>
  <c r="H44" i="9" s="1"/>
  <c r="H46" i="9" s="1"/>
  <c r="F522" i="3" s="1"/>
  <c r="G170" i="9"/>
  <c r="F170" i="9"/>
  <c r="F44" i="9" s="1"/>
  <c r="E170" i="9"/>
  <c r="E44" i="9" s="1"/>
  <c r="E46" i="9" s="1"/>
  <c r="C522" i="3" s="1"/>
  <c r="D170" i="9"/>
  <c r="D44" i="9" s="1"/>
  <c r="D46" i="9" s="1"/>
  <c r="B522" i="3" s="1"/>
  <c r="O169" i="9"/>
  <c r="N169" i="9"/>
  <c r="N34" i="9" s="1"/>
  <c r="M169" i="9"/>
  <c r="M34" i="9" s="1"/>
  <c r="L169" i="9"/>
  <c r="L34" i="9" s="1"/>
  <c r="K169" i="9"/>
  <c r="J169" i="9"/>
  <c r="J34" i="9" s="1"/>
  <c r="I169" i="9"/>
  <c r="I34" i="9" s="1"/>
  <c r="H169" i="9"/>
  <c r="H34" i="9" s="1"/>
  <c r="G169" i="9"/>
  <c r="F169" i="9"/>
  <c r="F34" i="9" s="1"/>
  <c r="E169" i="9"/>
  <c r="E34" i="9" s="1"/>
  <c r="D169" i="9"/>
  <c r="D34" i="9" s="1"/>
  <c r="O168" i="9"/>
  <c r="O27" i="9" s="1"/>
  <c r="M304" i="3" s="1"/>
  <c r="N168" i="9"/>
  <c r="N27" i="9" s="1"/>
  <c r="L304" i="3" s="1"/>
  <c r="M168" i="9"/>
  <c r="M27" i="9" s="1"/>
  <c r="K304" i="3" s="1"/>
  <c r="L168" i="9"/>
  <c r="L27" i="9" s="1"/>
  <c r="J304" i="3" s="1"/>
  <c r="K168" i="9"/>
  <c r="J168" i="9"/>
  <c r="I168" i="9"/>
  <c r="I27" i="9" s="1"/>
  <c r="G304" i="3" s="1"/>
  <c r="H168" i="9"/>
  <c r="H27" i="9" s="1"/>
  <c r="F304" i="3" s="1"/>
  <c r="G168" i="9"/>
  <c r="F168" i="9"/>
  <c r="F27" i="9" s="1"/>
  <c r="D304" i="3" s="1"/>
  <c r="E168" i="9"/>
  <c r="E27" i="9" s="1"/>
  <c r="C304" i="3" s="1"/>
  <c r="D168" i="9"/>
  <c r="D27" i="9" s="1"/>
  <c r="B304" i="3" s="1"/>
  <c r="O145" i="9"/>
  <c r="N145" i="9"/>
  <c r="M145" i="9"/>
  <c r="L145" i="9"/>
  <c r="K145" i="9"/>
  <c r="J145" i="9"/>
  <c r="I145" i="9"/>
  <c r="H145" i="9"/>
  <c r="G145" i="9"/>
  <c r="F145" i="9"/>
  <c r="E145" i="9"/>
  <c r="D145" i="9"/>
  <c r="O141" i="9"/>
  <c r="N141" i="9"/>
  <c r="M141" i="9"/>
  <c r="L141" i="9"/>
  <c r="K141" i="9"/>
  <c r="J141" i="9"/>
  <c r="I141" i="9"/>
  <c r="H141" i="9"/>
  <c r="G141" i="9"/>
  <c r="F141" i="9"/>
  <c r="E141" i="9"/>
  <c r="D141" i="9"/>
  <c r="O138" i="9"/>
  <c r="O6" i="9" s="1"/>
  <c r="N138" i="9"/>
  <c r="N6" i="9" s="1"/>
  <c r="L235" i="2" s="1"/>
  <c r="Y235" i="2" s="1"/>
  <c r="M138" i="9"/>
  <c r="M6" i="9" s="1"/>
  <c r="M14" i="9" s="1"/>
  <c r="L138" i="9"/>
  <c r="L6" i="9" s="1"/>
  <c r="L14" i="9" s="1"/>
  <c r="K138" i="9"/>
  <c r="J138" i="9"/>
  <c r="J6" i="9" s="1"/>
  <c r="J14" i="9" s="1"/>
  <c r="I138" i="9"/>
  <c r="I6" i="9" s="1"/>
  <c r="I14" i="9" s="1"/>
  <c r="H138" i="9"/>
  <c r="H6" i="9" s="1"/>
  <c r="H14" i="9" s="1"/>
  <c r="G138" i="9"/>
  <c r="G6" i="9" s="1"/>
  <c r="F138" i="9"/>
  <c r="F6" i="9" s="1"/>
  <c r="D235" i="2" s="1"/>
  <c r="Q235" i="2" s="1"/>
  <c r="E138" i="9"/>
  <c r="E6" i="9" s="1"/>
  <c r="E14" i="9" s="1"/>
  <c r="D138" i="9"/>
  <c r="D6" i="9" s="1"/>
  <c r="D14" i="9" s="1"/>
  <c r="O131" i="9"/>
  <c r="O40" i="9" s="1"/>
  <c r="N131" i="9"/>
  <c r="N40" i="9" s="1"/>
  <c r="M131" i="9"/>
  <c r="M40" i="9" s="1"/>
  <c r="L131" i="9"/>
  <c r="L40" i="9" s="1"/>
  <c r="K131" i="9"/>
  <c r="J131" i="9"/>
  <c r="J40" i="9" s="1"/>
  <c r="I131" i="9"/>
  <c r="I40" i="9" s="1"/>
  <c r="H131" i="9"/>
  <c r="H40" i="9" s="1"/>
  <c r="G131" i="9"/>
  <c r="F131" i="9"/>
  <c r="F40" i="9" s="1"/>
  <c r="E131" i="9"/>
  <c r="E40" i="9" s="1"/>
  <c r="D131" i="9"/>
  <c r="D40" i="9" s="1"/>
  <c r="O130" i="9"/>
  <c r="O37" i="9" s="1"/>
  <c r="M404" i="3" s="1"/>
  <c r="N130" i="9"/>
  <c r="M130" i="9"/>
  <c r="M37" i="9" s="1"/>
  <c r="K404" i="3" s="1"/>
  <c r="L130" i="9"/>
  <c r="L37" i="9" s="1"/>
  <c r="J404" i="3" s="1"/>
  <c r="K130" i="9"/>
  <c r="J130" i="9"/>
  <c r="J37" i="9" s="1"/>
  <c r="H404" i="3" s="1"/>
  <c r="I130" i="9"/>
  <c r="I37" i="9" s="1"/>
  <c r="G404" i="3" s="1"/>
  <c r="H130" i="9"/>
  <c r="H37" i="9" s="1"/>
  <c r="F404" i="3" s="1"/>
  <c r="G130" i="9"/>
  <c r="G37" i="9" s="1"/>
  <c r="E404" i="3" s="1"/>
  <c r="F130" i="9"/>
  <c r="F37" i="9" s="1"/>
  <c r="D404" i="3" s="1"/>
  <c r="E130" i="9"/>
  <c r="E37" i="9" s="1"/>
  <c r="C404" i="3" s="1"/>
  <c r="D130" i="9"/>
  <c r="D37" i="9" s="1"/>
  <c r="B404" i="3" s="1"/>
  <c r="O113" i="9"/>
  <c r="O5" i="9" s="1"/>
  <c r="O13" i="9" s="1"/>
  <c r="N113" i="9"/>
  <c r="N5" i="9" s="1"/>
  <c r="M113" i="9"/>
  <c r="M5" i="9" s="1"/>
  <c r="M13" i="9" s="1"/>
  <c r="L113" i="9"/>
  <c r="L5" i="9" s="1"/>
  <c r="L13" i="9" s="1"/>
  <c r="K113" i="9"/>
  <c r="K5" i="9" s="1"/>
  <c r="J113" i="9"/>
  <c r="J5" i="9" s="1"/>
  <c r="H234" i="2" s="1"/>
  <c r="U234" i="2" s="1"/>
  <c r="I113" i="9"/>
  <c r="I5" i="9" s="1"/>
  <c r="I13" i="9" s="1"/>
  <c r="H113" i="9"/>
  <c r="H5" i="9" s="1"/>
  <c r="H13" i="9" s="1"/>
  <c r="G113" i="9"/>
  <c r="F113" i="9"/>
  <c r="F5" i="9" s="1"/>
  <c r="F13" i="9" s="1"/>
  <c r="E113" i="9"/>
  <c r="E5" i="9" s="1"/>
  <c r="E13" i="9" s="1"/>
  <c r="D113" i="9"/>
  <c r="D5" i="9" s="1"/>
  <c r="D13" i="9" s="1"/>
  <c r="O106" i="9"/>
  <c r="O33" i="9" s="1"/>
  <c r="N106" i="9"/>
  <c r="N33" i="9" s="1"/>
  <c r="M106" i="9"/>
  <c r="M33" i="9" s="1"/>
  <c r="M35" i="9" s="1"/>
  <c r="K364" i="3" s="1"/>
  <c r="L106" i="9"/>
  <c r="L33" i="9" s="1"/>
  <c r="L35" i="9" s="1"/>
  <c r="J364" i="3" s="1"/>
  <c r="K106" i="9"/>
  <c r="J106" i="9"/>
  <c r="I106" i="9"/>
  <c r="I33" i="9" s="1"/>
  <c r="I35" i="9" s="1"/>
  <c r="G364" i="3" s="1"/>
  <c r="H106" i="9"/>
  <c r="H33" i="9" s="1"/>
  <c r="H35" i="9" s="1"/>
  <c r="F364" i="3" s="1"/>
  <c r="G106" i="9"/>
  <c r="G33" i="9" s="1"/>
  <c r="F106" i="9"/>
  <c r="F33" i="9" s="1"/>
  <c r="E106" i="9"/>
  <c r="E33" i="9" s="1"/>
  <c r="E35" i="9" s="1"/>
  <c r="C364" i="3" s="1"/>
  <c r="D106" i="9"/>
  <c r="D33" i="9" s="1"/>
  <c r="D35" i="9" s="1"/>
  <c r="B364" i="3" s="1"/>
  <c r="O105" i="9"/>
  <c r="O29" i="9" s="1"/>
  <c r="N105" i="9"/>
  <c r="M105" i="9"/>
  <c r="M29" i="9" s="1"/>
  <c r="M31" i="9" s="1"/>
  <c r="K363" i="3" s="1"/>
  <c r="L105" i="9"/>
  <c r="L29" i="9" s="1"/>
  <c r="L31" i="9" s="1"/>
  <c r="J363" i="3" s="1"/>
  <c r="K105" i="9"/>
  <c r="J105" i="9"/>
  <c r="J29" i="9" s="1"/>
  <c r="I105" i="9"/>
  <c r="I29" i="9" s="1"/>
  <c r="I31" i="9" s="1"/>
  <c r="G363" i="3" s="1"/>
  <c r="H105" i="9"/>
  <c r="H29" i="9" s="1"/>
  <c r="H31" i="9" s="1"/>
  <c r="F363" i="3" s="1"/>
  <c r="G105" i="9"/>
  <c r="G29" i="9" s="1"/>
  <c r="F105" i="9"/>
  <c r="F29" i="9" s="1"/>
  <c r="E105" i="9"/>
  <c r="E29" i="9" s="1"/>
  <c r="E31" i="9" s="1"/>
  <c r="C363" i="3" s="1"/>
  <c r="D105" i="9"/>
  <c r="D29" i="9" s="1"/>
  <c r="D31" i="9" s="1"/>
  <c r="B363" i="3" s="1"/>
  <c r="O87" i="9"/>
  <c r="O4" i="9" s="1"/>
  <c r="N87" i="9"/>
  <c r="N4" i="9" s="1"/>
  <c r="N12" i="9" s="1"/>
  <c r="M87" i="9"/>
  <c r="M4" i="9" s="1"/>
  <c r="M12" i="9" s="1"/>
  <c r="L87" i="9"/>
  <c r="L4" i="9" s="1"/>
  <c r="L12" i="9" s="1"/>
  <c r="K87" i="9"/>
  <c r="J87" i="9"/>
  <c r="J4" i="9" s="1"/>
  <c r="J12" i="9" s="1"/>
  <c r="I87" i="9"/>
  <c r="I4" i="9" s="1"/>
  <c r="I12" i="9" s="1"/>
  <c r="H87" i="9"/>
  <c r="H4" i="9" s="1"/>
  <c r="H12" i="9" s="1"/>
  <c r="G87" i="9"/>
  <c r="G4" i="9" s="1"/>
  <c r="F87" i="9"/>
  <c r="F4" i="9" s="1"/>
  <c r="D233" i="2" s="1"/>
  <c r="Q233" i="2" s="1"/>
  <c r="E87" i="9"/>
  <c r="E4" i="9" s="1"/>
  <c r="D87" i="9"/>
  <c r="D4" i="9" s="1"/>
  <c r="D12" i="9" s="1"/>
  <c r="O80" i="9"/>
  <c r="N80" i="9"/>
  <c r="N39" i="9" s="1"/>
  <c r="M80" i="9"/>
  <c r="M39" i="9" s="1"/>
  <c r="M42" i="9" s="1"/>
  <c r="K516" i="3" s="1"/>
  <c r="L80" i="9"/>
  <c r="L39" i="9" s="1"/>
  <c r="L42" i="9" s="1"/>
  <c r="J516" i="3" s="1"/>
  <c r="K80" i="9"/>
  <c r="K39" i="9" s="1"/>
  <c r="J80" i="9"/>
  <c r="J39" i="9" s="1"/>
  <c r="I80" i="9"/>
  <c r="I39" i="9" s="1"/>
  <c r="I42" i="9" s="1"/>
  <c r="G516" i="3" s="1"/>
  <c r="H80" i="9"/>
  <c r="H39" i="9" s="1"/>
  <c r="H42" i="9" s="1"/>
  <c r="F516" i="3" s="1"/>
  <c r="G80" i="9"/>
  <c r="G39" i="9" s="1"/>
  <c r="F80" i="9"/>
  <c r="F39" i="9" s="1"/>
  <c r="E80" i="9"/>
  <c r="E39" i="9" s="1"/>
  <c r="E42" i="9" s="1"/>
  <c r="C516" i="3" s="1"/>
  <c r="D80" i="9"/>
  <c r="D39" i="9" s="1"/>
  <c r="D42" i="9" s="1"/>
  <c r="B516" i="3" s="1"/>
  <c r="O79" i="9"/>
  <c r="N79" i="9"/>
  <c r="N19" i="9" s="1"/>
  <c r="M79" i="9"/>
  <c r="M19" i="9" s="1"/>
  <c r="M21" i="9" s="1"/>
  <c r="K60" i="3" s="1"/>
  <c r="L79" i="9"/>
  <c r="L19" i="9" s="1"/>
  <c r="K79" i="9"/>
  <c r="K19" i="9" s="1"/>
  <c r="J79" i="9"/>
  <c r="J19" i="9" s="1"/>
  <c r="I79" i="9"/>
  <c r="I19" i="9" s="1"/>
  <c r="I21" i="9" s="1"/>
  <c r="H79" i="9"/>
  <c r="H19" i="9" s="1"/>
  <c r="H21" i="9" s="1"/>
  <c r="G79" i="9"/>
  <c r="F79" i="9"/>
  <c r="F19" i="9" s="1"/>
  <c r="E79" i="9"/>
  <c r="E19" i="9" s="1"/>
  <c r="E21" i="9" s="1"/>
  <c r="D79" i="9"/>
  <c r="D19" i="9" s="1"/>
  <c r="D21" i="9" s="1"/>
  <c r="O59" i="9"/>
  <c r="N59" i="9"/>
  <c r="N3" i="9" s="1"/>
  <c r="L232" i="2" s="1"/>
  <c r="M59" i="9"/>
  <c r="M3" i="9" s="1"/>
  <c r="M9" i="9" s="1"/>
  <c r="M17" i="9" s="1"/>
  <c r="L59" i="9"/>
  <c r="L3" i="9" s="1"/>
  <c r="K59" i="9"/>
  <c r="K3" i="9" s="1"/>
  <c r="I232" i="2" s="1"/>
  <c r="J59" i="9"/>
  <c r="J3" i="9" s="1"/>
  <c r="J11" i="9" s="1"/>
  <c r="I59" i="9"/>
  <c r="I3" i="9" s="1"/>
  <c r="I11" i="9" s="1"/>
  <c r="H59" i="9"/>
  <c r="H3" i="9" s="1"/>
  <c r="H11" i="9" s="1"/>
  <c r="G59" i="9"/>
  <c r="G3" i="9" s="1"/>
  <c r="F59" i="9"/>
  <c r="F3" i="9" s="1"/>
  <c r="E59" i="9"/>
  <c r="E3" i="9" s="1"/>
  <c r="E9" i="9" s="1"/>
  <c r="E17" i="9" s="1"/>
  <c r="D59" i="9"/>
  <c r="D3" i="9" s="1"/>
  <c r="O45" i="9"/>
  <c r="N45" i="9"/>
  <c r="K45" i="9"/>
  <c r="G45" i="9"/>
  <c r="F45" i="9"/>
  <c r="O44" i="9"/>
  <c r="O46" i="9" s="1"/>
  <c r="M522" i="3" s="1"/>
  <c r="K44" i="9"/>
  <c r="J44" i="9"/>
  <c r="G44" i="9"/>
  <c r="G46" i="9" s="1"/>
  <c r="E522" i="3" s="1"/>
  <c r="O41" i="9"/>
  <c r="N41" i="9"/>
  <c r="K41" i="9"/>
  <c r="G41" i="9"/>
  <c r="F41" i="9"/>
  <c r="K40" i="9"/>
  <c r="G40" i="9"/>
  <c r="O39" i="9"/>
  <c r="N37" i="9"/>
  <c r="L404" i="3" s="1"/>
  <c r="K37" i="9"/>
  <c r="I404" i="3" s="1"/>
  <c r="O34" i="9"/>
  <c r="K34" i="9"/>
  <c r="G34" i="9"/>
  <c r="K33" i="9"/>
  <c r="J33" i="9"/>
  <c r="O30" i="9"/>
  <c r="K30" i="9"/>
  <c r="G30" i="9"/>
  <c r="N29" i="9"/>
  <c r="K29" i="9"/>
  <c r="K27" i="9"/>
  <c r="I304" i="3" s="1"/>
  <c r="J27" i="9"/>
  <c r="H304" i="3" s="1"/>
  <c r="G27" i="9"/>
  <c r="E304" i="3" s="1"/>
  <c r="O24" i="9"/>
  <c r="G24" i="9"/>
  <c r="K23" i="9"/>
  <c r="O20" i="9"/>
  <c r="K20" i="9"/>
  <c r="G20" i="9"/>
  <c r="O19" i="9"/>
  <c r="G19" i="9"/>
  <c r="K8" i="9"/>
  <c r="K16" i="9" s="1"/>
  <c r="O7" i="9"/>
  <c r="O15" i="9" s="1"/>
  <c r="G7" i="9"/>
  <c r="G15" i="9" s="1"/>
  <c r="K6" i="9"/>
  <c r="K14" i="9" s="1"/>
  <c r="G5" i="9"/>
  <c r="G13" i="9" s="1"/>
  <c r="K4" i="9"/>
  <c r="I233" i="2" s="1"/>
  <c r="V233" i="2" s="1"/>
  <c r="O3" i="9"/>
  <c r="O11" i="9" s="1"/>
  <c r="O165" i="7"/>
  <c r="O17" i="7" s="1"/>
  <c r="N165" i="7"/>
  <c r="N17" i="7" s="1"/>
  <c r="M165" i="7"/>
  <c r="M17" i="7" s="1"/>
  <c r="L165" i="7"/>
  <c r="L17" i="7" s="1"/>
  <c r="K165" i="7"/>
  <c r="K17" i="7" s="1"/>
  <c r="J165" i="7"/>
  <c r="J17" i="7" s="1"/>
  <c r="I165" i="7"/>
  <c r="I17" i="7" s="1"/>
  <c r="H165" i="7"/>
  <c r="H17" i="7" s="1"/>
  <c r="G165" i="7"/>
  <c r="F165" i="7"/>
  <c r="F17" i="7" s="1"/>
  <c r="E165" i="7"/>
  <c r="E17" i="7" s="1"/>
  <c r="D165" i="7"/>
  <c r="D17" i="7" s="1"/>
  <c r="O164" i="7"/>
  <c r="O15" i="7" s="1"/>
  <c r="M274" i="3" s="1"/>
  <c r="N164" i="7"/>
  <c r="N15" i="7" s="1"/>
  <c r="L274" i="3" s="1"/>
  <c r="M164" i="7"/>
  <c r="M15" i="7" s="1"/>
  <c r="K274" i="3" s="1"/>
  <c r="L164" i="7"/>
  <c r="L15" i="7" s="1"/>
  <c r="J274" i="3" s="1"/>
  <c r="K164" i="7"/>
  <c r="K15" i="7" s="1"/>
  <c r="I274" i="3" s="1"/>
  <c r="J164" i="7"/>
  <c r="J15" i="7" s="1"/>
  <c r="H274" i="3" s="1"/>
  <c r="I164" i="7"/>
  <c r="I15" i="7" s="1"/>
  <c r="G274" i="3" s="1"/>
  <c r="H164" i="7"/>
  <c r="H15" i="7" s="1"/>
  <c r="F274" i="3" s="1"/>
  <c r="G164" i="7"/>
  <c r="G15" i="7" s="1"/>
  <c r="E274" i="3" s="1"/>
  <c r="F164" i="7"/>
  <c r="F15" i="7" s="1"/>
  <c r="D274" i="3" s="1"/>
  <c r="E164" i="7"/>
  <c r="E15" i="7" s="1"/>
  <c r="C274" i="3" s="1"/>
  <c r="D164" i="7"/>
  <c r="D15" i="7" s="1"/>
  <c r="B274" i="3" s="1"/>
  <c r="O143" i="7"/>
  <c r="O5" i="7" s="1"/>
  <c r="O10" i="7" s="1"/>
  <c r="N143" i="7"/>
  <c r="N5" i="7" s="1"/>
  <c r="M143" i="7"/>
  <c r="M5" i="7" s="1"/>
  <c r="L143" i="7"/>
  <c r="L5" i="7" s="1"/>
  <c r="L10" i="7" s="1"/>
  <c r="K143" i="7"/>
  <c r="J143" i="7"/>
  <c r="J5" i="7" s="1"/>
  <c r="I143" i="7"/>
  <c r="I5" i="7" s="1"/>
  <c r="H143" i="7"/>
  <c r="H5" i="7" s="1"/>
  <c r="H10" i="7" s="1"/>
  <c r="G143" i="7"/>
  <c r="G5" i="7" s="1"/>
  <c r="G10" i="7" s="1"/>
  <c r="F143" i="7"/>
  <c r="F5" i="7" s="1"/>
  <c r="E143" i="7"/>
  <c r="E5" i="7" s="1"/>
  <c r="D143" i="7"/>
  <c r="D5" i="7" s="1"/>
  <c r="D10" i="7" s="1"/>
  <c r="O136" i="7"/>
  <c r="O29" i="7" s="1"/>
  <c r="M423" i="3" s="1"/>
  <c r="N136" i="7"/>
  <c r="O135" i="7"/>
  <c r="N135" i="7"/>
  <c r="N26" i="7" s="1"/>
  <c r="M135" i="7"/>
  <c r="M26" i="7" s="1"/>
  <c r="L135" i="7"/>
  <c r="L26" i="7" s="1"/>
  <c r="K135" i="7"/>
  <c r="K26" i="7" s="1"/>
  <c r="J135" i="7"/>
  <c r="J26" i="7" s="1"/>
  <c r="I135" i="7"/>
  <c r="I26" i="7" s="1"/>
  <c r="H135" i="7"/>
  <c r="H26" i="7" s="1"/>
  <c r="G135" i="7"/>
  <c r="G26" i="7" s="1"/>
  <c r="F135" i="7"/>
  <c r="F26" i="7" s="1"/>
  <c r="E135" i="7"/>
  <c r="E26" i="7" s="1"/>
  <c r="D135" i="7"/>
  <c r="D26" i="7" s="1"/>
  <c r="O134" i="7"/>
  <c r="N134" i="7"/>
  <c r="N22" i="7" s="1"/>
  <c r="M134" i="7"/>
  <c r="M22" i="7" s="1"/>
  <c r="L134" i="7"/>
  <c r="L22" i="7" s="1"/>
  <c r="K134" i="7"/>
  <c r="K22" i="7" s="1"/>
  <c r="J134" i="7"/>
  <c r="J22" i="7" s="1"/>
  <c r="I134" i="7"/>
  <c r="I22" i="7" s="1"/>
  <c r="H134" i="7"/>
  <c r="H22" i="7" s="1"/>
  <c r="G134" i="7"/>
  <c r="G22" i="7" s="1"/>
  <c r="F134" i="7"/>
  <c r="E134" i="7"/>
  <c r="D134" i="7"/>
  <c r="D22" i="7" s="1"/>
  <c r="O133" i="7"/>
  <c r="N133" i="7"/>
  <c r="N18" i="7" s="1"/>
  <c r="M133" i="7"/>
  <c r="M18" i="7" s="1"/>
  <c r="L133" i="7"/>
  <c r="L18" i="7" s="1"/>
  <c r="K133" i="7"/>
  <c r="K18" i="7" s="1"/>
  <c r="J133" i="7"/>
  <c r="J18" i="7" s="1"/>
  <c r="I133" i="7"/>
  <c r="I18" i="7" s="1"/>
  <c r="H133" i="7"/>
  <c r="H18" i="7" s="1"/>
  <c r="G133" i="7"/>
  <c r="G18" i="7" s="1"/>
  <c r="F133" i="7"/>
  <c r="F18" i="7" s="1"/>
  <c r="E133" i="7"/>
  <c r="E18" i="7" s="1"/>
  <c r="D133" i="7"/>
  <c r="D18" i="7" s="1"/>
  <c r="M136" i="7"/>
  <c r="M29" i="7" s="1"/>
  <c r="K423" i="3" s="1"/>
  <c r="L136" i="7"/>
  <c r="L29" i="7" s="1"/>
  <c r="J423" i="3" s="1"/>
  <c r="K136" i="7"/>
  <c r="K29" i="7" s="1"/>
  <c r="I423" i="3" s="1"/>
  <c r="J136" i="7"/>
  <c r="J29" i="7" s="1"/>
  <c r="H423" i="3" s="1"/>
  <c r="I136" i="7"/>
  <c r="I29" i="7" s="1"/>
  <c r="G423" i="3" s="1"/>
  <c r="H136" i="7"/>
  <c r="H29" i="7" s="1"/>
  <c r="F423" i="3" s="1"/>
  <c r="G136" i="7"/>
  <c r="G29" i="7" s="1"/>
  <c r="E423" i="3" s="1"/>
  <c r="F136" i="7"/>
  <c r="F29" i="7" s="1"/>
  <c r="D423" i="3" s="1"/>
  <c r="E136" i="7"/>
  <c r="E29" i="7" s="1"/>
  <c r="C423" i="3" s="1"/>
  <c r="D136" i="7"/>
  <c r="D29" i="7" s="1"/>
  <c r="B423" i="3" s="1"/>
  <c r="O92" i="7"/>
  <c r="O4" i="7" s="1"/>
  <c r="O9" i="7" s="1"/>
  <c r="N92" i="7"/>
  <c r="N4" i="7" s="1"/>
  <c r="M92" i="7"/>
  <c r="M4" i="7" s="1"/>
  <c r="L92" i="7"/>
  <c r="L4" i="7" s="1"/>
  <c r="L9" i="7" s="1"/>
  <c r="K92" i="7"/>
  <c r="K4" i="7" s="1"/>
  <c r="K9" i="7" s="1"/>
  <c r="J92" i="7"/>
  <c r="J4" i="7" s="1"/>
  <c r="I92" i="7"/>
  <c r="I4" i="7" s="1"/>
  <c r="H92" i="7"/>
  <c r="G92" i="7"/>
  <c r="G4" i="7" s="1"/>
  <c r="G9" i="7" s="1"/>
  <c r="F92" i="7"/>
  <c r="F4" i="7" s="1"/>
  <c r="E92" i="7"/>
  <c r="E4" i="7" s="1"/>
  <c r="E9" i="7" s="1"/>
  <c r="D92" i="7"/>
  <c r="D4" i="7" s="1"/>
  <c r="D9" i="7" s="1"/>
  <c r="O85" i="7"/>
  <c r="O25" i="7" s="1"/>
  <c r="N85" i="7"/>
  <c r="N25" i="7" s="1"/>
  <c r="N27" i="7" s="1"/>
  <c r="L315" i="3" s="1"/>
  <c r="M85" i="7"/>
  <c r="M25" i="7" s="1"/>
  <c r="L85" i="7"/>
  <c r="L25" i="7" s="1"/>
  <c r="L27" i="7" s="1"/>
  <c r="J315" i="3" s="1"/>
  <c r="K85" i="7"/>
  <c r="K25" i="7" s="1"/>
  <c r="J85" i="7"/>
  <c r="J25" i="7" s="1"/>
  <c r="J27" i="7" s="1"/>
  <c r="H315" i="3" s="1"/>
  <c r="I85" i="7"/>
  <c r="I25" i="7" s="1"/>
  <c r="H85" i="7"/>
  <c r="H25" i="7" s="1"/>
  <c r="G85" i="7"/>
  <c r="G25" i="7" s="1"/>
  <c r="F85" i="7"/>
  <c r="F25" i="7" s="1"/>
  <c r="E85" i="7"/>
  <c r="E25" i="7" s="1"/>
  <c r="D85" i="7"/>
  <c r="D25" i="7" s="1"/>
  <c r="O84" i="7"/>
  <c r="O21" i="7" s="1"/>
  <c r="N84" i="7"/>
  <c r="N21" i="7" s="1"/>
  <c r="N23" i="7" s="1"/>
  <c r="L287" i="3" s="1"/>
  <c r="M84" i="7"/>
  <c r="M21" i="7" s="1"/>
  <c r="L84" i="7"/>
  <c r="L21" i="7" s="1"/>
  <c r="L23" i="7" s="1"/>
  <c r="J287" i="3" s="1"/>
  <c r="K84" i="7"/>
  <c r="K21" i="7" s="1"/>
  <c r="J84" i="7"/>
  <c r="J21" i="7" s="1"/>
  <c r="J23" i="7" s="1"/>
  <c r="H287" i="3" s="1"/>
  <c r="I84" i="7"/>
  <c r="I21" i="7" s="1"/>
  <c r="H84" i="7"/>
  <c r="H21" i="7" s="1"/>
  <c r="H23" i="7" s="1"/>
  <c r="F287" i="3" s="1"/>
  <c r="G84" i="7"/>
  <c r="G21" i="7" s="1"/>
  <c r="F84" i="7"/>
  <c r="F21" i="7" s="1"/>
  <c r="E84" i="7"/>
  <c r="E21" i="7" s="1"/>
  <c r="D84" i="7"/>
  <c r="D21" i="7" s="1"/>
  <c r="D23" i="7" s="1"/>
  <c r="B287" i="3" s="1"/>
  <c r="O83" i="7"/>
  <c r="O13" i="7" s="1"/>
  <c r="N83" i="7"/>
  <c r="N13" i="7" s="1"/>
  <c r="M83" i="7"/>
  <c r="M13" i="7" s="1"/>
  <c r="K26" i="3" s="1"/>
  <c r="L83" i="7"/>
  <c r="L13" i="7" s="1"/>
  <c r="K83" i="7"/>
  <c r="K13" i="7" s="1"/>
  <c r="I26" i="3" s="1"/>
  <c r="J83" i="7"/>
  <c r="J13" i="7" s="1"/>
  <c r="H26" i="3" s="1"/>
  <c r="I83" i="7"/>
  <c r="I13" i="7" s="1"/>
  <c r="H83" i="7"/>
  <c r="H13" i="7" s="1"/>
  <c r="G83" i="7"/>
  <c r="G13" i="7" s="1"/>
  <c r="E26" i="3" s="1"/>
  <c r="F83" i="7"/>
  <c r="F13" i="7" s="1"/>
  <c r="D26" i="3" s="1"/>
  <c r="E83" i="7"/>
  <c r="E13" i="7" s="1"/>
  <c r="C26" i="3" s="1"/>
  <c r="D83" i="7"/>
  <c r="D13" i="7" s="1"/>
  <c r="O69" i="7"/>
  <c r="N69" i="7"/>
  <c r="M69" i="7"/>
  <c r="L69" i="7"/>
  <c r="K69" i="7"/>
  <c r="J69" i="7"/>
  <c r="I69" i="7"/>
  <c r="H69" i="7"/>
  <c r="G69" i="7"/>
  <c r="F69" i="7"/>
  <c r="E69" i="7"/>
  <c r="D69" i="7"/>
  <c r="O61" i="7"/>
  <c r="N61" i="7"/>
  <c r="M61" i="7"/>
  <c r="L61" i="7"/>
  <c r="K61" i="7"/>
  <c r="J61" i="7"/>
  <c r="I61" i="7"/>
  <c r="H61" i="7"/>
  <c r="G61" i="7"/>
  <c r="F61" i="7"/>
  <c r="E61" i="7"/>
  <c r="D61" i="7"/>
  <c r="O58" i="7"/>
  <c r="N58" i="7"/>
  <c r="M58" i="7"/>
  <c r="L58" i="7"/>
  <c r="K58" i="7"/>
  <c r="J58" i="7"/>
  <c r="I58" i="7"/>
  <c r="H58" i="7"/>
  <c r="G58" i="7"/>
  <c r="F58" i="7"/>
  <c r="E58" i="7"/>
  <c r="D58" i="7"/>
  <c r="O55" i="7"/>
  <c r="N55" i="7"/>
  <c r="M55" i="7"/>
  <c r="L55" i="7"/>
  <c r="K55" i="7"/>
  <c r="J55" i="7"/>
  <c r="I55" i="7"/>
  <c r="H55" i="7"/>
  <c r="G55" i="7"/>
  <c r="F55" i="7"/>
  <c r="E55" i="7"/>
  <c r="D55" i="7"/>
  <c r="O50" i="7"/>
  <c r="N50" i="7"/>
  <c r="M50" i="7"/>
  <c r="L50" i="7"/>
  <c r="K50" i="7"/>
  <c r="J50" i="7"/>
  <c r="I50" i="7"/>
  <c r="H50" i="7"/>
  <c r="G50" i="7"/>
  <c r="F50" i="7"/>
  <c r="E50" i="7"/>
  <c r="D50" i="7"/>
  <c r="O43" i="7"/>
  <c r="O3" i="7" s="1"/>
  <c r="O8" i="7" s="1"/>
  <c r="N43" i="7"/>
  <c r="N3" i="7" s="1"/>
  <c r="M43" i="7"/>
  <c r="M3" i="7" s="1"/>
  <c r="K4" i="2" s="1"/>
  <c r="L43" i="7"/>
  <c r="L3" i="7" s="1"/>
  <c r="L8" i="7" s="1"/>
  <c r="K43" i="7"/>
  <c r="K3" i="7" s="1"/>
  <c r="J43" i="7"/>
  <c r="J3" i="7" s="1"/>
  <c r="I43" i="7"/>
  <c r="I3" i="7" s="1"/>
  <c r="G4" i="2" s="1"/>
  <c r="H43" i="7"/>
  <c r="G43" i="7"/>
  <c r="G3" i="7" s="1"/>
  <c r="F43" i="7"/>
  <c r="F3" i="7" s="1"/>
  <c r="E43" i="7"/>
  <c r="E3" i="7" s="1"/>
  <c r="D43" i="7"/>
  <c r="D3" i="7" s="1"/>
  <c r="D8" i="7" s="1"/>
  <c r="N29" i="7"/>
  <c r="L423" i="3" s="1"/>
  <c r="F22" i="7"/>
  <c r="E22" i="7"/>
  <c r="G17" i="7"/>
  <c r="K5" i="7"/>
  <c r="K10" i="7" s="1"/>
  <c r="H4" i="7"/>
  <c r="H9" i="7" s="1"/>
  <c r="H3" i="7"/>
  <c r="H8" i="7" s="1"/>
  <c r="O36" i="6"/>
  <c r="N36" i="6"/>
  <c r="M36" i="6"/>
  <c r="L36" i="6"/>
  <c r="K36" i="6"/>
  <c r="J36" i="6"/>
  <c r="I36" i="6"/>
  <c r="H36" i="6"/>
  <c r="G36" i="6"/>
  <c r="F36" i="6"/>
  <c r="E36" i="6"/>
  <c r="D36" i="6"/>
  <c r="O9" i="6"/>
  <c r="M320" i="3" s="1"/>
  <c r="N9" i="6"/>
  <c r="L320" i="3" s="1"/>
  <c r="M9" i="6"/>
  <c r="K320" i="3" s="1"/>
  <c r="L9" i="6"/>
  <c r="K9" i="6"/>
  <c r="J9" i="6"/>
  <c r="H320" i="3" s="1"/>
  <c r="I9" i="6"/>
  <c r="G320" i="3" s="1"/>
  <c r="H9" i="6"/>
  <c r="G9" i="6"/>
  <c r="E320" i="3" s="1"/>
  <c r="F9" i="6"/>
  <c r="D320" i="3" s="1"/>
  <c r="E9" i="6"/>
  <c r="C320" i="3" s="1"/>
  <c r="D9" i="6"/>
  <c r="O7" i="6"/>
  <c r="M21" i="3" s="1"/>
  <c r="N7" i="6"/>
  <c r="N15" i="6" s="1"/>
  <c r="M7" i="6"/>
  <c r="M13" i="6" s="1"/>
  <c r="L7" i="6"/>
  <c r="L11" i="6" s="1"/>
  <c r="K7" i="6"/>
  <c r="K11" i="6" s="1"/>
  <c r="J7" i="6"/>
  <c r="J15" i="6" s="1"/>
  <c r="I7" i="6"/>
  <c r="I13" i="6" s="1"/>
  <c r="H7" i="6"/>
  <c r="H11" i="6" s="1"/>
  <c r="G7" i="6"/>
  <c r="G11" i="6" s="1"/>
  <c r="F7" i="6"/>
  <c r="F15" i="6" s="1"/>
  <c r="E7" i="6"/>
  <c r="E13" i="6" s="1"/>
  <c r="D7" i="6"/>
  <c r="D11" i="6" s="1"/>
  <c r="O3" i="6"/>
  <c r="O5" i="6" s="1"/>
  <c r="N3" i="6"/>
  <c r="N5" i="6" s="1"/>
  <c r="M3" i="6"/>
  <c r="M5" i="6" s="1"/>
  <c r="L3" i="6"/>
  <c r="L5" i="6" s="1"/>
  <c r="K3" i="6"/>
  <c r="K5" i="6" s="1"/>
  <c r="J3" i="6"/>
  <c r="J5" i="6" s="1"/>
  <c r="I3" i="6"/>
  <c r="I5" i="6" s="1"/>
  <c r="H3" i="6"/>
  <c r="H5" i="6" s="1"/>
  <c r="G3" i="6"/>
  <c r="G5" i="6" s="1"/>
  <c r="F3" i="6"/>
  <c r="F5" i="6" s="1"/>
  <c r="E3" i="6"/>
  <c r="E5" i="6" s="1"/>
  <c r="D3" i="6"/>
  <c r="D5" i="6" s="1"/>
  <c r="M215" i="3"/>
  <c r="L215" i="3"/>
  <c r="K215" i="3"/>
  <c r="J215" i="3"/>
  <c r="I215" i="3"/>
  <c r="H215" i="3"/>
  <c r="G215" i="3"/>
  <c r="F215" i="3"/>
  <c r="E215" i="3"/>
  <c r="D215" i="3"/>
  <c r="C215" i="3"/>
  <c r="B215" i="3"/>
  <c r="M177" i="3"/>
  <c r="L177" i="3"/>
  <c r="K177" i="3"/>
  <c r="J177" i="3"/>
  <c r="I177" i="3"/>
  <c r="H177" i="3"/>
  <c r="G177" i="3"/>
  <c r="F177" i="3"/>
  <c r="E177" i="3"/>
  <c r="D177" i="3"/>
  <c r="C177" i="3"/>
  <c r="B177" i="3"/>
  <c r="N17" i="5"/>
  <c r="M15" i="5"/>
  <c r="L13" i="5"/>
  <c r="K13" i="5"/>
  <c r="J17" i="5"/>
  <c r="I15" i="5"/>
  <c r="H13" i="5"/>
  <c r="G13" i="5"/>
  <c r="F17" i="5"/>
  <c r="E15" i="5"/>
  <c r="D13" i="5"/>
  <c r="O5" i="5"/>
  <c r="K120" i="2"/>
  <c r="X120" i="2" s="1"/>
  <c r="J120" i="2"/>
  <c r="W120" i="2" s="1"/>
  <c r="G120" i="2"/>
  <c r="T120" i="2" s="1"/>
  <c r="C120" i="2"/>
  <c r="P120" i="2" s="1"/>
  <c r="B120" i="2"/>
  <c r="O120" i="2" s="1"/>
  <c r="N15" i="4"/>
  <c r="M15" i="4"/>
  <c r="L15" i="4"/>
  <c r="J15" i="4"/>
  <c r="I15" i="4"/>
  <c r="H15" i="4"/>
  <c r="F15" i="4"/>
  <c r="E15" i="4"/>
  <c r="D15" i="4"/>
  <c r="N13" i="4"/>
  <c r="M13" i="4"/>
  <c r="L13" i="4"/>
  <c r="J13" i="4"/>
  <c r="I13" i="4"/>
  <c r="H13" i="4"/>
  <c r="F13" i="4"/>
  <c r="E13" i="4"/>
  <c r="D13" i="4"/>
  <c r="N10" i="4"/>
  <c r="M10" i="4"/>
  <c r="L10" i="4"/>
  <c r="J10" i="4"/>
  <c r="I10" i="4"/>
  <c r="H10" i="4"/>
  <c r="F10" i="4"/>
  <c r="E10" i="4"/>
  <c r="D10" i="4"/>
  <c r="O9" i="4"/>
  <c r="N9" i="4"/>
  <c r="M9" i="4"/>
  <c r="M11" i="8" s="1"/>
  <c r="M13" i="8" s="1"/>
  <c r="L9" i="4"/>
  <c r="L11" i="8" s="1"/>
  <c r="L13" i="8" s="1"/>
  <c r="K9" i="4"/>
  <c r="J9" i="4"/>
  <c r="I9" i="4"/>
  <c r="I11" i="8" s="1"/>
  <c r="I13" i="8" s="1"/>
  <c r="H9" i="4"/>
  <c r="H11" i="8" s="1"/>
  <c r="H13" i="8" s="1"/>
  <c r="G9" i="4"/>
  <c r="F9" i="4"/>
  <c r="F11" i="4" s="1"/>
  <c r="D131" i="3" s="1"/>
  <c r="E9" i="4"/>
  <c r="E11" i="8" s="1"/>
  <c r="E13" i="8" s="1"/>
  <c r="D9" i="4"/>
  <c r="D11" i="8" s="1"/>
  <c r="D13" i="8" s="1"/>
  <c r="O7" i="4"/>
  <c r="N7" i="4"/>
  <c r="M7" i="4"/>
  <c r="M15" i="8" s="1"/>
  <c r="L7" i="4"/>
  <c r="L15" i="8" s="1"/>
  <c r="K7" i="4"/>
  <c r="J7" i="4"/>
  <c r="I7" i="4"/>
  <c r="I15" i="8" s="1"/>
  <c r="H7" i="4"/>
  <c r="H15" i="8" s="1"/>
  <c r="G7" i="4"/>
  <c r="F7" i="4"/>
  <c r="F15" i="8" s="1"/>
  <c r="E7" i="4"/>
  <c r="E15" i="8" s="1"/>
  <c r="D7" i="4"/>
  <c r="D15" i="8" s="1"/>
  <c r="O3" i="4"/>
  <c r="M119" i="2" s="1"/>
  <c r="Z119" i="2" s="1"/>
  <c r="N3" i="4"/>
  <c r="N5" i="4" s="1"/>
  <c r="M3" i="4"/>
  <c r="K119" i="2" s="1"/>
  <c r="X119" i="2" s="1"/>
  <c r="L3" i="4"/>
  <c r="J119" i="2" s="1"/>
  <c r="W119" i="2" s="1"/>
  <c r="K3" i="4"/>
  <c r="K5" i="4" s="1"/>
  <c r="J3" i="4"/>
  <c r="J5" i="4" s="1"/>
  <c r="I3" i="4"/>
  <c r="G119" i="2" s="1"/>
  <c r="T119" i="2" s="1"/>
  <c r="H3" i="4"/>
  <c r="F119" i="2" s="1"/>
  <c r="S119" i="2" s="1"/>
  <c r="G3" i="4"/>
  <c r="E119" i="2" s="1"/>
  <c r="R119" i="2" s="1"/>
  <c r="F3" i="4"/>
  <c r="F5" i="4" s="1"/>
  <c r="E3" i="4"/>
  <c r="C119" i="2" s="1"/>
  <c r="P119" i="2" s="1"/>
  <c r="D3" i="4"/>
  <c r="B119" i="2" s="1"/>
  <c r="O119" i="2" s="1"/>
  <c r="M563" i="3"/>
  <c r="L563" i="3"/>
  <c r="M562" i="3"/>
  <c r="L562" i="3"/>
  <c r="M561" i="3"/>
  <c r="L561" i="3"/>
  <c r="M560" i="3"/>
  <c r="L560" i="3"/>
  <c r="M559" i="3"/>
  <c r="L559" i="3"/>
  <c r="M558" i="3"/>
  <c r="L558" i="3"/>
  <c r="M557" i="3"/>
  <c r="L557" i="3"/>
  <c r="M556" i="3"/>
  <c r="L556" i="3"/>
  <c r="K544" i="3"/>
  <c r="K563" i="3" s="1"/>
  <c r="J544" i="3"/>
  <c r="J563" i="3" s="1"/>
  <c r="I544" i="3"/>
  <c r="I563" i="3" s="1"/>
  <c r="H544" i="3"/>
  <c r="H563" i="3" s="1"/>
  <c r="G544" i="3"/>
  <c r="G563" i="3" s="1"/>
  <c r="F544" i="3"/>
  <c r="F563" i="3" s="1"/>
  <c r="E544" i="3"/>
  <c r="E563" i="3" s="1"/>
  <c r="D544" i="3"/>
  <c r="D563" i="3" s="1"/>
  <c r="C544" i="3"/>
  <c r="C563" i="3" s="1"/>
  <c r="B544" i="3"/>
  <c r="B563" i="3" s="1"/>
  <c r="L306" i="3"/>
  <c r="I306" i="3"/>
  <c r="H306" i="3"/>
  <c r="E306" i="3"/>
  <c r="A306" i="3"/>
  <c r="L305" i="3"/>
  <c r="J305" i="3"/>
  <c r="H305" i="3"/>
  <c r="F305" i="3"/>
  <c r="E305" i="3"/>
  <c r="D305" i="3"/>
  <c r="B305" i="3"/>
  <c r="A305" i="3"/>
  <c r="H446" i="3"/>
  <c r="E446" i="3"/>
  <c r="A446" i="3"/>
  <c r="A518" i="3"/>
  <c r="L359" i="3"/>
  <c r="A359" i="3"/>
  <c r="A47" i="3"/>
  <c r="K517" i="3"/>
  <c r="A517" i="3"/>
  <c r="L28" i="3"/>
  <c r="K28" i="3"/>
  <c r="J28" i="3"/>
  <c r="I28" i="3"/>
  <c r="H28" i="3"/>
  <c r="G28" i="3"/>
  <c r="F28" i="3"/>
  <c r="E28" i="3"/>
  <c r="D28" i="3"/>
  <c r="C28" i="3"/>
  <c r="B28" i="3"/>
  <c r="A28" i="3"/>
  <c r="I247" i="3"/>
  <c r="A247" i="3"/>
  <c r="D335" i="3"/>
  <c r="A335" i="3"/>
  <c r="K293" i="3"/>
  <c r="C293" i="3"/>
  <c r="A293" i="3"/>
  <c r="I5" i="3"/>
  <c r="H5" i="3"/>
  <c r="E5" i="3"/>
  <c r="D5" i="3"/>
  <c r="A5" i="3"/>
  <c r="L190" i="3"/>
  <c r="D190" i="3"/>
  <c r="A190" i="3"/>
  <c r="A527" i="3"/>
  <c r="L388" i="3"/>
  <c r="D388" i="3"/>
  <c r="A388" i="3"/>
  <c r="A220" i="3"/>
  <c r="H254" i="3"/>
  <c r="G254" i="3"/>
  <c r="D254" i="3"/>
  <c r="B254" i="3"/>
  <c r="A254" i="3"/>
  <c r="M525" i="3"/>
  <c r="L525" i="3"/>
  <c r="I525" i="3"/>
  <c r="H525" i="3"/>
  <c r="E525" i="3"/>
  <c r="D525" i="3"/>
  <c r="A525" i="3"/>
  <c r="M146" i="3"/>
  <c r="L146" i="3"/>
  <c r="I146" i="3"/>
  <c r="H146" i="3"/>
  <c r="E146" i="3"/>
  <c r="D146" i="3"/>
  <c r="B146" i="3"/>
  <c r="A146" i="3"/>
  <c r="A378" i="3"/>
  <c r="M361" i="3"/>
  <c r="K361" i="3"/>
  <c r="J361" i="3"/>
  <c r="I361" i="3"/>
  <c r="G361" i="3"/>
  <c r="F361" i="3"/>
  <c r="E361" i="3"/>
  <c r="C361" i="3"/>
  <c r="B361" i="3"/>
  <c r="A361" i="3"/>
  <c r="A121" i="3"/>
  <c r="G151" i="3"/>
  <c r="F151" i="3"/>
  <c r="A151" i="3"/>
  <c r="J21" i="3"/>
  <c r="D21" i="3"/>
  <c r="A21" i="3"/>
  <c r="M164" i="3"/>
  <c r="L164" i="3"/>
  <c r="K164" i="3"/>
  <c r="I164" i="3"/>
  <c r="H164" i="3"/>
  <c r="E164" i="3"/>
  <c r="D164" i="3"/>
  <c r="A164" i="3"/>
  <c r="A113" i="3"/>
  <c r="M523" i="3"/>
  <c r="L523" i="3"/>
  <c r="K523" i="3"/>
  <c r="I523" i="3"/>
  <c r="H523" i="3"/>
  <c r="G523" i="3"/>
  <c r="E523" i="3"/>
  <c r="D523" i="3"/>
  <c r="C523" i="3"/>
  <c r="A523" i="3"/>
  <c r="M145" i="3"/>
  <c r="L145" i="3"/>
  <c r="J145" i="3"/>
  <c r="I145" i="3"/>
  <c r="H145" i="3"/>
  <c r="E145" i="3"/>
  <c r="D145" i="3"/>
  <c r="A145" i="3"/>
  <c r="L488" i="3"/>
  <c r="K488" i="3"/>
  <c r="J488" i="3"/>
  <c r="I488" i="3"/>
  <c r="H488" i="3"/>
  <c r="G488" i="3"/>
  <c r="F488" i="3"/>
  <c r="E488" i="3"/>
  <c r="D488" i="3"/>
  <c r="C488" i="3"/>
  <c r="B488" i="3"/>
  <c r="A488" i="3"/>
  <c r="M503" i="3"/>
  <c r="L503" i="3"/>
  <c r="K503" i="3"/>
  <c r="I503" i="3"/>
  <c r="H503" i="3"/>
  <c r="G503" i="3"/>
  <c r="E503" i="3"/>
  <c r="D503" i="3"/>
  <c r="C503" i="3"/>
  <c r="A503" i="3"/>
  <c r="L336" i="3"/>
  <c r="H336" i="3"/>
  <c r="D336" i="3"/>
  <c r="A336" i="3"/>
  <c r="A264" i="3"/>
  <c r="L242" i="3"/>
  <c r="J242" i="3"/>
  <c r="H242" i="3"/>
  <c r="F242" i="3"/>
  <c r="D242" i="3"/>
  <c r="B242" i="3"/>
  <c r="A242" i="3"/>
  <c r="M150" i="3"/>
  <c r="J150" i="3"/>
  <c r="I150" i="3"/>
  <c r="F150" i="3"/>
  <c r="E150" i="3"/>
  <c r="B150" i="3"/>
  <c r="A150" i="3"/>
  <c r="M490" i="3"/>
  <c r="L490" i="3"/>
  <c r="K490" i="3"/>
  <c r="I490" i="3"/>
  <c r="H490" i="3"/>
  <c r="G490" i="3"/>
  <c r="E490" i="3"/>
  <c r="D490" i="3"/>
  <c r="C490" i="3"/>
  <c r="A490" i="3"/>
  <c r="L246" i="3"/>
  <c r="H246" i="3"/>
  <c r="E246" i="3"/>
  <c r="C246" i="3"/>
  <c r="A246" i="3"/>
  <c r="A268" i="3"/>
  <c r="M418" i="3"/>
  <c r="L418" i="3"/>
  <c r="J418" i="3"/>
  <c r="I418" i="3"/>
  <c r="F418" i="3"/>
  <c r="E418" i="3"/>
  <c r="B418" i="3"/>
  <c r="A418" i="3"/>
  <c r="A46" i="3"/>
  <c r="G440" i="3"/>
  <c r="B440" i="3"/>
  <c r="A440" i="3"/>
  <c r="I524" i="3"/>
  <c r="E524" i="3"/>
  <c r="A524" i="3"/>
  <c r="L49" i="3"/>
  <c r="K49" i="3"/>
  <c r="J49" i="3"/>
  <c r="I49" i="3"/>
  <c r="H49" i="3"/>
  <c r="G49" i="3"/>
  <c r="F49" i="3"/>
  <c r="E49" i="3"/>
  <c r="D49" i="3"/>
  <c r="C49" i="3"/>
  <c r="B49" i="3"/>
  <c r="A49" i="3"/>
  <c r="A212" i="3"/>
  <c r="A83" i="3"/>
  <c r="C94" i="3"/>
  <c r="A94" i="3"/>
  <c r="K269" i="3"/>
  <c r="G269" i="3"/>
  <c r="A269" i="3"/>
  <c r="G33" i="3"/>
  <c r="A33" i="3"/>
  <c r="H448" i="3"/>
  <c r="C448" i="3"/>
  <c r="A448" i="3"/>
  <c r="K258" i="3"/>
  <c r="J258" i="3"/>
  <c r="G258" i="3"/>
  <c r="F258" i="3"/>
  <c r="C258" i="3"/>
  <c r="B258" i="3"/>
  <c r="A258" i="3"/>
  <c r="A108" i="3"/>
  <c r="M183" i="3"/>
  <c r="J183" i="3"/>
  <c r="I183" i="3"/>
  <c r="F183" i="3"/>
  <c r="E183" i="3"/>
  <c r="B183" i="3"/>
  <c r="A183" i="3"/>
  <c r="A15" i="3"/>
  <c r="A70" i="3"/>
  <c r="K510" i="3"/>
  <c r="G510" i="3"/>
  <c r="C510" i="3"/>
  <c r="A510" i="3"/>
  <c r="A366" i="3"/>
  <c r="H255" i="3"/>
  <c r="E255" i="3"/>
  <c r="D255" i="3"/>
  <c r="A255" i="3"/>
  <c r="G389" i="3"/>
  <c r="C389" i="3"/>
  <c r="A389" i="3"/>
  <c r="A349" i="3"/>
  <c r="M32" i="3"/>
  <c r="J32" i="3"/>
  <c r="I32" i="3"/>
  <c r="H32" i="3"/>
  <c r="F32" i="3"/>
  <c r="E32" i="3"/>
  <c r="B32" i="3"/>
  <c r="A32" i="3"/>
  <c r="J365" i="3"/>
  <c r="G365" i="3"/>
  <c r="A365" i="3"/>
  <c r="M504" i="3"/>
  <c r="L504" i="3"/>
  <c r="K504" i="3"/>
  <c r="I504" i="3"/>
  <c r="H504" i="3"/>
  <c r="G504" i="3"/>
  <c r="E504" i="3"/>
  <c r="D504" i="3"/>
  <c r="C504" i="3"/>
  <c r="A504" i="3"/>
  <c r="K343" i="3"/>
  <c r="J343" i="3"/>
  <c r="G343" i="3"/>
  <c r="F343" i="3"/>
  <c r="E343" i="3"/>
  <c r="C343" i="3"/>
  <c r="B343" i="3"/>
  <c r="A343" i="3"/>
  <c r="L245" i="3"/>
  <c r="H245" i="3"/>
  <c r="D245" i="3"/>
  <c r="A245" i="3"/>
  <c r="L78" i="3"/>
  <c r="H78" i="3"/>
  <c r="D78" i="3"/>
  <c r="A78" i="3"/>
  <c r="A138" i="3"/>
  <c r="L35" i="3"/>
  <c r="K35" i="3"/>
  <c r="I35" i="3"/>
  <c r="H35" i="3"/>
  <c r="G35" i="3"/>
  <c r="E35" i="3"/>
  <c r="D35" i="3"/>
  <c r="C35" i="3"/>
  <c r="A35" i="3"/>
  <c r="A397" i="3"/>
  <c r="L166" i="3"/>
  <c r="J166" i="3"/>
  <c r="I166" i="3"/>
  <c r="H166" i="3"/>
  <c r="G166" i="3"/>
  <c r="F166" i="3"/>
  <c r="E166" i="3"/>
  <c r="D166" i="3"/>
  <c r="C166" i="3"/>
  <c r="B166" i="3"/>
  <c r="A166" i="3"/>
  <c r="C239" i="3"/>
  <c r="A239" i="3"/>
  <c r="A261" i="3"/>
  <c r="I252" i="3"/>
  <c r="H252" i="3"/>
  <c r="G252" i="3"/>
  <c r="D252" i="3"/>
  <c r="A252" i="3"/>
  <c r="A443" i="3"/>
  <c r="A103" i="3"/>
  <c r="L230" i="3"/>
  <c r="H230" i="3"/>
  <c r="F230" i="3"/>
  <c r="A230" i="3"/>
  <c r="K444" i="3"/>
  <c r="J444" i="3"/>
  <c r="G444" i="3"/>
  <c r="F444" i="3"/>
  <c r="C444" i="3"/>
  <c r="B444" i="3"/>
  <c r="A444" i="3"/>
  <c r="L132" i="3"/>
  <c r="K132" i="3"/>
  <c r="G132" i="3"/>
  <c r="D132" i="3"/>
  <c r="A132" i="3"/>
  <c r="A289" i="3"/>
  <c r="J238" i="3"/>
  <c r="F238" i="3"/>
  <c r="A238" i="3"/>
  <c r="D161" i="3"/>
  <c r="A161" i="3"/>
  <c r="G270" i="3"/>
  <c r="A270" i="3"/>
  <c r="C514" i="3"/>
  <c r="A514" i="3"/>
  <c r="A351" i="3"/>
  <c r="M494" i="3"/>
  <c r="J494" i="3"/>
  <c r="I494" i="3"/>
  <c r="F494" i="3"/>
  <c r="E494" i="3"/>
  <c r="B494" i="3"/>
  <c r="A494" i="3"/>
  <c r="A299" i="3"/>
  <c r="M485" i="3"/>
  <c r="L485" i="3"/>
  <c r="K485" i="3"/>
  <c r="I485" i="3"/>
  <c r="H485" i="3"/>
  <c r="G485" i="3"/>
  <c r="E485" i="3"/>
  <c r="D485" i="3"/>
  <c r="C485" i="3"/>
  <c r="A485" i="3"/>
  <c r="A180" i="3"/>
  <c r="M339" i="3"/>
  <c r="L339" i="3"/>
  <c r="K339" i="3"/>
  <c r="J339" i="3"/>
  <c r="I339" i="3"/>
  <c r="H339" i="3"/>
  <c r="G339" i="3"/>
  <c r="F339" i="3"/>
  <c r="E339" i="3"/>
  <c r="D339" i="3"/>
  <c r="C339" i="3"/>
  <c r="B339" i="3"/>
  <c r="A339" i="3"/>
  <c r="K484" i="3"/>
  <c r="G484" i="3"/>
  <c r="F484" i="3"/>
  <c r="A484" i="3"/>
  <c r="A337" i="3"/>
  <c r="L307" i="3"/>
  <c r="J307" i="3"/>
  <c r="I307" i="3"/>
  <c r="H307" i="3"/>
  <c r="F307" i="3"/>
  <c r="E307" i="3"/>
  <c r="D307" i="3"/>
  <c r="B307" i="3"/>
  <c r="A307" i="3"/>
  <c r="A511" i="3"/>
  <c r="A135" i="3"/>
  <c r="A203" i="3"/>
  <c r="B394" i="3"/>
  <c r="A394" i="3"/>
  <c r="M486" i="3"/>
  <c r="L486" i="3"/>
  <c r="K486" i="3"/>
  <c r="I486" i="3"/>
  <c r="H486" i="3"/>
  <c r="G486" i="3"/>
  <c r="E486" i="3"/>
  <c r="D486" i="3"/>
  <c r="C486" i="3"/>
  <c r="A486" i="3"/>
  <c r="M481" i="3"/>
  <c r="L481" i="3"/>
  <c r="K481" i="3"/>
  <c r="J481" i="3"/>
  <c r="I481" i="3"/>
  <c r="H481" i="3"/>
  <c r="G481" i="3"/>
  <c r="F481" i="3"/>
  <c r="E481" i="3"/>
  <c r="D481" i="3"/>
  <c r="C481" i="3"/>
  <c r="B481" i="3"/>
  <c r="A481" i="3"/>
  <c r="M340" i="3"/>
  <c r="L340" i="3"/>
  <c r="K340" i="3"/>
  <c r="J340" i="3"/>
  <c r="I340" i="3"/>
  <c r="H340" i="3"/>
  <c r="G340" i="3"/>
  <c r="F340" i="3"/>
  <c r="E340" i="3"/>
  <c r="D340" i="3"/>
  <c r="C340" i="3"/>
  <c r="B340" i="3"/>
  <c r="A340" i="3"/>
  <c r="K314" i="3"/>
  <c r="H314" i="3"/>
  <c r="G314" i="3"/>
  <c r="A314" i="3"/>
  <c r="L308" i="3"/>
  <c r="H308" i="3"/>
  <c r="E308" i="3"/>
  <c r="D308" i="3"/>
  <c r="A308" i="3"/>
  <c r="A241" i="3"/>
  <c r="L34" i="3"/>
  <c r="I34" i="3"/>
  <c r="H34" i="3"/>
  <c r="E34" i="3"/>
  <c r="D34" i="3"/>
  <c r="B34" i="3"/>
  <c r="A34" i="3"/>
  <c r="K487" i="3"/>
  <c r="J487" i="3"/>
  <c r="I487" i="3"/>
  <c r="G487" i="3"/>
  <c r="F487" i="3"/>
  <c r="E487" i="3"/>
  <c r="C487" i="3"/>
  <c r="B487" i="3"/>
  <c r="A487" i="3"/>
  <c r="A288" i="3"/>
  <c r="A438" i="3"/>
  <c r="A170" i="3"/>
  <c r="M25" i="3"/>
  <c r="L25" i="3"/>
  <c r="I25" i="3"/>
  <c r="H25" i="3"/>
  <c r="E25" i="3"/>
  <c r="D25" i="3"/>
  <c r="A25" i="3"/>
  <c r="A274" i="3"/>
  <c r="M48" i="3"/>
  <c r="J48" i="3"/>
  <c r="I48" i="3"/>
  <c r="F48" i="3"/>
  <c r="E48" i="3"/>
  <c r="B48" i="3"/>
  <c r="A48" i="3"/>
  <c r="K395" i="3"/>
  <c r="A395" i="3"/>
  <c r="H52" i="3"/>
  <c r="A52" i="3"/>
  <c r="L346" i="3"/>
  <c r="K346" i="3"/>
  <c r="H346" i="3"/>
  <c r="D346" i="3"/>
  <c r="C346" i="3"/>
  <c r="A346" i="3"/>
  <c r="A447" i="3"/>
  <c r="L253" i="3"/>
  <c r="I253" i="3"/>
  <c r="H253" i="3"/>
  <c r="G253" i="3"/>
  <c r="A253" i="3"/>
  <c r="A250" i="3"/>
  <c r="A275" i="3"/>
  <c r="A375" i="3"/>
  <c r="J16" i="3"/>
  <c r="A16" i="3"/>
  <c r="K297" i="3"/>
  <c r="A297" i="3"/>
  <c r="A11" i="3"/>
  <c r="L43" i="3"/>
  <c r="K43" i="3"/>
  <c r="D43" i="3"/>
  <c r="C43" i="3"/>
  <c r="A43" i="3"/>
  <c r="H165" i="3"/>
  <c r="E165" i="3"/>
  <c r="A165" i="3"/>
  <c r="A431" i="3"/>
  <c r="B196" i="3"/>
  <c r="A196" i="3"/>
  <c r="G449" i="3"/>
  <c r="A449" i="3"/>
  <c r="A328" i="3"/>
  <c r="M228" i="3"/>
  <c r="J228" i="3"/>
  <c r="I228" i="3"/>
  <c r="F228" i="3"/>
  <c r="E228" i="3"/>
  <c r="D228" i="3"/>
  <c r="B228" i="3"/>
  <c r="A228" i="3"/>
  <c r="A342" i="3"/>
  <c r="A17" i="3"/>
  <c r="A461" i="3"/>
  <c r="M125" i="3"/>
  <c r="L125" i="3"/>
  <c r="I125" i="3"/>
  <c r="H125" i="3"/>
  <c r="E125" i="3"/>
  <c r="D125" i="3"/>
  <c r="A125" i="3"/>
  <c r="M248" i="3"/>
  <c r="K248" i="3"/>
  <c r="J248" i="3"/>
  <c r="I248" i="3"/>
  <c r="G248" i="3"/>
  <c r="F248" i="3"/>
  <c r="E248" i="3"/>
  <c r="C248" i="3"/>
  <c r="B248" i="3"/>
  <c r="A248" i="3"/>
  <c r="F396" i="3"/>
  <c r="E396" i="3"/>
  <c r="A396" i="3"/>
  <c r="A85" i="3"/>
  <c r="A463" i="3"/>
  <c r="A353" i="3"/>
  <c r="A96" i="3"/>
  <c r="A53" i="3"/>
  <c r="M535" i="3"/>
  <c r="L535" i="3"/>
  <c r="K535" i="3"/>
  <c r="J535" i="3"/>
  <c r="I535" i="3"/>
  <c r="H535" i="3"/>
  <c r="G535" i="3"/>
  <c r="F535" i="3"/>
  <c r="E535" i="3"/>
  <c r="D535" i="3"/>
  <c r="C535" i="3"/>
  <c r="B535" i="3"/>
  <c r="A535" i="3"/>
  <c r="L62" i="3"/>
  <c r="H62" i="3"/>
  <c r="A62" i="3"/>
  <c r="A475" i="3"/>
  <c r="K468" i="3"/>
  <c r="J468" i="3"/>
  <c r="I468" i="3"/>
  <c r="G468" i="3"/>
  <c r="F468" i="3"/>
  <c r="E468" i="3"/>
  <c r="C468" i="3"/>
  <c r="B468" i="3"/>
  <c r="A468" i="3"/>
  <c r="A191" i="3"/>
  <c r="A273" i="3"/>
  <c r="A322" i="3"/>
  <c r="A26" i="3"/>
  <c r="A131" i="3"/>
  <c r="B430" i="3"/>
  <c r="A430" i="3"/>
  <c r="J162" i="3"/>
  <c r="B162" i="3"/>
  <c r="A162" i="3"/>
  <c r="K358" i="3"/>
  <c r="J358" i="3"/>
  <c r="G358" i="3"/>
  <c r="F358" i="3"/>
  <c r="E358" i="3"/>
  <c r="C358" i="3"/>
  <c r="B358" i="3"/>
  <c r="A358" i="3"/>
  <c r="A100" i="3"/>
  <c r="A71" i="3"/>
  <c r="J321" i="3"/>
  <c r="I321" i="3"/>
  <c r="F321" i="3"/>
  <c r="B321" i="3"/>
  <c r="A321" i="3"/>
  <c r="K357" i="3"/>
  <c r="J357" i="3"/>
  <c r="G357" i="3"/>
  <c r="F357" i="3"/>
  <c r="C357" i="3"/>
  <c r="B357" i="3"/>
  <c r="A357" i="3"/>
  <c r="K207" i="3"/>
  <c r="J207" i="3"/>
  <c r="G207" i="3"/>
  <c r="F207" i="3"/>
  <c r="E207" i="3"/>
  <c r="C207" i="3"/>
  <c r="B207" i="3"/>
  <c r="A207" i="3"/>
  <c r="J390" i="3"/>
  <c r="C390" i="3"/>
  <c r="A390" i="3"/>
  <c r="L198" i="3"/>
  <c r="H198" i="3"/>
  <c r="D198" i="3"/>
  <c r="A198" i="3"/>
  <c r="J211" i="3"/>
  <c r="F211" i="3"/>
  <c r="B211" i="3"/>
  <c r="A211" i="3"/>
  <c r="L450" i="3"/>
  <c r="K450" i="3"/>
  <c r="H450" i="3"/>
  <c r="G450" i="3"/>
  <c r="D450" i="3"/>
  <c r="C450" i="3"/>
  <c r="A450" i="3"/>
  <c r="A116" i="3"/>
  <c r="A350" i="3"/>
  <c r="A56" i="3"/>
  <c r="A519" i="3"/>
  <c r="A311" i="3"/>
  <c r="A4" i="3"/>
  <c r="L197" i="3"/>
  <c r="F197" i="3"/>
  <c r="D197" i="3"/>
  <c r="C197" i="3"/>
  <c r="A197" i="3"/>
  <c r="A7" i="3"/>
  <c r="A142" i="3"/>
  <c r="A302" i="3"/>
  <c r="L483" i="3"/>
  <c r="K483" i="3"/>
  <c r="H483" i="3"/>
  <c r="D483" i="3"/>
  <c r="A483" i="3"/>
  <c r="A18" i="3"/>
  <c r="A442" i="3"/>
  <c r="A106" i="3"/>
  <c r="K237" i="3"/>
  <c r="J237" i="3"/>
  <c r="G237" i="3"/>
  <c r="F237" i="3"/>
  <c r="C237" i="3"/>
  <c r="B237" i="3"/>
  <c r="A237" i="3"/>
  <c r="A90" i="3"/>
  <c r="A44" i="3"/>
  <c r="A309" i="3"/>
  <c r="M421" i="3"/>
  <c r="L421" i="3"/>
  <c r="K421" i="3"/>
  <c r="J421" i="3"/>
  <c r="I421" i="3"/>
  <c r="H421" i="3"/>
  <c r="G421" i="3"/>
  <c r="F421" i="3"/>
  <c r="E421" i="3"/>
  <c r="D421" i="3"/>
  <c r="C421" i="3"/>
  <c r="B421" i="3"/>
  <c r="A421" i="3"/>
  <c r="A379" i="3"/>
  <c r="M148" i="3"/>
  <c r="J148" i="3"/>
  <c r="I148" i="3"/>
  <c r="F148" i="3"/>
  <c r="B148" i="3"/>
  <c r="A148" i="3"/>
  <c r="M206" i="3"/>
  <c r="J206" i="3"/>
  <c r="A206" i="3"/>
  <c r="B392" i="3"/>
  <c r="A392" i="3"/>
  <c r="A498" i="3"/>
  <c r="I40" i="3"/>
  <c r="G40" i="3"/>
  <c r="E40" i="3"/>
  <c r="C40" i="3"/>
  <c r="B40" i="3"/>
  <c r="A40" i="3"/>
  <c r="L73" i="3"/>
  <c r="K73" i="3"/>
  <c r="H73" i="3"/>
  <c r="G73" i="3"/>
  <c r="D73" i="3"/>
  <c r="C73" i="3"/>
  <c r="A73" i="3"/>
  <c r="A294" i="3"/>
  <c r="M458" i="3"/>
  <c r="K458" i="3"/>
  <c r="J458" i="3"/>
  <c r="I458" i="3"/>
  <c r="G458" i="3"/>
  <c r="E458" i="3"/>
  <c r="C458" i="3"/>
  <c r="A458" i="3"/>
  <c r="K439" i="3"/>
  <c r="A439" i="3"/>
  <c r="I360" i="3"/>
  <c r="H360" i="3"/>
  <c r="E360" i="3"/>
  <c r="D360" i="3"/>
  <c r="A360" i="3"/>
  <c r="A433" i="3"/>
  <c r="A501" i="3"/>
  <c r="I515" i="3"/>
  <c r="A515" i="3"/>
  <c r="A466" i="3"/>
  <c r="M374" i="3"/>
  <c r="L374" i="3"/>
  <c r="K374" i="3"/>
  <c r="J374" i="3"/>
  <c r="I374" i="3"/>
  <c r="H374" i="3"/>
  <c r="G374" i="3"/>
  <c r="F374" i="3"/>
  <c r="E374" i="3"/>
  <c r="D374" i="3"/>
  <c r="C374" i="3"/>
  <c r="B374" i="3"/>
  <c r="A374" i="3"/>
  <c r="A232" i="3"/>
  <c r="M205" i="3"/>
  <c r="J205" i="3"/>
  <c r="I205" i="3"/>
  <c r="A205" i="3"/>
  <c r="C432" i="3"/>
  <c r="B432" i="3"/>
  <c r="A432" i="3"/>
  <c r="F347" i="3"/>
  <c r="A347" i="3"/>
  <c r="K143" i="3"/>
  <c r="A143" i="3"/>
  <c r="H460" i="3"/>
  <c r="G460" i="3"/>
  <c r="A460" i="3"/>
  <c r="K472" i="3"/>
  <c r="J472" i="3"/>
  <c r="I472" i="3"/>
  <c r="G472" i="3"/>
  <c r="F472" i="3"/>
  <c r="E472" i="3"/>
  <c r="C472" i="3"/>
  <c r="B472" i="3"/>
  <c r="A472" i="3"/>
  <c r="J320" i="3"/>
  <c r="I320" i="3"/>
  <c r="F320" i="3"/>
  <c r="B320" i="3"/>
  <c r="A320" i="3"/>
  <c r="F210" i="3"/>
  <c r="A210" i="3"/>
  <c r="A169" i="3"/>
  <c r="M105" i="3"/>
  <c r="A105" i="3"/>
  <c r="L63" i="3"/>
  <c r="H63" i="3"/>
  <c r="D63" i="3"/>
  <c r="B63" i="3"/>
  <c r="A63" i="3"/>
  <c r="A185" i="3"/>
  <c r="K115" i="3"/>
  <c r="H115" i="3"/>
  <c r="G115" i="3"/>
  <c r="C115" i="3"/>
  <c r="A115" i="3"/>
  <c r="K451" i="3"/>
  <c r="J451" i="3"/>
  <c r="G451" i="3"/>
  <c r="F451" i="3"/>
  <c r="C451" i="3"/>
  <c r="B451" i="3"/>
  <c r="A451" i="3"/>
  <c r="A260" i="3"/>
  <c r="L491" i="3"/>
  <c r="K491" i="3"/>
  <c r="J491" i="3"/>
  <c r="I491" i="3"/>
  <c r="H491" i="3"/>
  <c r="G491" i="3"/>
  <c r="F491" i="3"/>
  <c r="E491" i="3"/>
  <c r="D491" i="3"/>
  <c r="C491" i="3"/>
  <c r="B491" i="3"/>
  <c r="A491" i="3"/>
  <c r="A184" i="3"/>
  <c r="A380" i="3"/>
  <c r="A262" i="3"/>
  <c r="A179" i="3"/>
  <c r="L38" i="3"/>
  <c r="K38" i="3"/>
  <c r="I38" i="3"/>
  <c r="H38" i="3"/>
  <c r="G38" i="3"/>
  <c r="E38" i="3"/>
  <c r="D38" i="3"/>
  <c r="C38" i="3"/>
  <c r="A38" i="3"/>
  <c r="A112" i="3"/>
  <c r="L233" i="3"/>
  <c r="J233" i="3"/>
  <c r="I233" i="3"/>
  <c r="H233" i="3"/>
  <c r="F233" i="3"/>
  <c r="E233" i="3"/>
  <c r="D233" i="3"/>
  <c r="B233" i="3"/>
  <c r="A233" i="3"/>
  <c r="J217" i="3"/>
  <c r="F217" i="3"/>
  <c r="E217" i="3"/>
  <c r="B217" i="3"/>
  <c r="A217" i="3"/>
  <c r="A219" i="3"/>
  <c r="K23" i="3"/>
  <c r="J23" i="3"/>
  <c r="I23" i="3"/>
  <c r="G23" i="3"/>
  <c r="F23" i="3"/>
  <c r="E23" i="3"/>
  <c r="C23" i="3"/>
  <c r="B23" i="3"/>
  <c r="A23" i="3"/>
  <c r="A80" i="3"/>
  <c r="A429" i="3"/>
  <c r="H117" i="3"/>
  <c r="A117" i="3"/>
  <c r="L387" i="3"/>
  <c r="J387" i="3"/>
  <c r="A387" i="3"/>
  <c r="A136" i="3"/>
  <c r="A317" i="3"/>
  <c r="A412" i="3"/>
  <c r="A199" i="3"/>
  <c r="A189" i="3"/>
  <c r="K330" i="3"/>
  <c r="J330" i="3"/>
  <c r="G330" i="3"/>
  <c r="A330" i="3"/>
  <c r="M95" i="3"/>
  <c r="K95" i="3"/>
  <c r="I95" i="3"/>
  <c r="E95" i="3"/>
  <c r="A95" i="3"/>
  <c r="A333" i="3"/>
  <c r="A424" i="3"/>
  <c r="A208" i="3"/>
  <c r="A376" i="3"/>
  <c r="M456" i="3"/>
  <c r="L456" i="3"/>
  <c r="J456" i="3"/>
  <c r="I456" i="3"/>
  <c r="F456" i="3"/>
  <c r="E456" i="3"/>
  <c r="D456" i="3"/>
  <c r="B456" i="3"/>
  <c r="A456" i="3"/>
  <c r="A137" i="3"/>
  <c r="A344" i="3"/>
  <c r="M536" i="3"/>
  <c r="L536" i="3"/>
  <c r="K536" i="3"/>
  <c r="J536" i="3"/>
  <c r="I536" i="3"/>
  <c r="H536" i="3"/>
  <c r="G536" i="3"/>
  <c r="F536" i="3"/>
  <c r="E536" i="3"/>
  <c r="D536" i="3"/>
  <c r="C536" i="3"/>
  <c r="B536" i="3"/>
  <c r="A536" i="3"/>
  <c r="M149" i="3"/>
  <c r="J149" i="3"/>
  <c r="I149" i="3"/>
  <c r="F149" i="3"/>
  <c r="B149" i="3"/>
  <c r="A149" i="3"/>
  <c r="L243" i="3"/>
  <c r="D243" i="3"/>
  <c r="A243" i="3"/>
  <c r="L39" i="3"/>
  <c r="J39" i="3"/>
  <c r="I39" i="3"/>
  <c r="H39" i="3"/>
  <c r="E39" i="3"/>
  <c r="D39" i="3"/>
  <c r="A39" i="3"/>
  <c r="L74" i="3"/>
  <c r="H74" i="3"/>
  <c r="D74" i="3"/>
  <c r="A74" i="3"/>
  <c r="L493" i="3"/>
  <c r="K493" i="3"/>
  <c r="J493" i="3"/>
  <c r="H493" i="3"/>
  <c r="G493" i="3"/>
  <c r="F493" i="3"/>
  <c r="D493" i="3"/>
  <c r="C493" i="3"/>
  <c r="B493" i="3"/>
  <c r="A493" i="3"/>
  <c r="A280" i="3"/>
  <c r="A97" i="3"/>
  <c r="A352" i="3"/>
  <c r="A453" i="3"/>
  <c r="A441" i="3"/>
  <c r="A174" i="3"/>
  <c r="G193" i="3"/>
  <c r="A193" i="3"/>
  <c r="L419" i="3"/>
  <c r="K419" i="3"/>
  <c r="D419" i="3"/>
  <c r="A419" i="3"/>
  <c r="A301" i="3"/>
  <c r="N240" i="3"/>
  <c r="L240" i="3"/>
  <c r="A240" i="3"/>
  <c r="A81" i="3"/>
  <c r="A177" i="3"/>
  <c r="L124" i="3"/>
  <c r="K124" i="3"/>
  <c r="I124" i="3"/>
  <c r="E124" i="3"/>
  <c r="D124" i="3"/>
  <c r="C124" i="3"/>
  <c r="A124" i="3"/>
  <c r="A434" i="3"/>
  <c r="C381" i="3"/>
  <c r="A381" i="3"/>
  <c r="A507" i="3"/>
  <c r="A54" i="3"/>
  <c r="A345" i="3"/>
  <c r="A213" i="3"/>
  <c r="A422" i="3"/>
  <c r="I367" i="3"/>
  <c r="A367" i="3"/>
  <c r="L334" i="3"/>
  <c r="I334" i="3"/>
  <c r="H334" i="3"/>
  <c r="G334" i="3"/>
  <c r="E334" i="3"/>
  <c r="A334" i="3"/>
  <c r="A531" i="3"/>
  <c r="C502" i="3"/>
  <c r="A502" i="3"/>
  <c r="L42" i="3"/>
  <c r="K42" i="3"/>
  <c r="I42" i="3"/>
  <c r="H42" i="3"/>
  <c r="G42" i="3"/>
  <c r="E42" i="3"/>
  <c r="D42" i="3"/>
  <c r="C42" i="3"/>
  <c r="A42" i="3"/>
  <c r="J139" i="3"/>
  <c r="I139" i="3"/>
  <c r="F139" i="3"/>
  <c r="E139" i="3"/>
  <c r="B139" i="3"/>
  <c r="A139" i="3"/>
  <c r="A6" i="3"/>
  <c r="I92" i="3"/>
  <c r="A92" i="3"/>
  <c r="A326" i="3"/>
  <c r="J526" i="3"/>
  <c r="I526" i="3"/>
  <c r="E526" i="3"/>
  <c r="A526" i="3"/>
  <c r="M79" i="3"/>
  <c r="E79" i="3"/>
  <c r="B79" i="3"/>
  <c r="A79" i="3"/>
  <c r="A156" i="3"/>
  <c r="M214" i="3"/>
  <c r="L214" i="3"/>
  <c r="I214" i="3"/>
  <c r="H214" i="3"/>
  <c r="D214" i="3"/>
  <c r="A214" i="3"/>
  <c r="E377" i="3"/>
  <c r="A377" i="3"/>
  <c r="A285" i="3"/>
  <c r="A187" i="3"/>
  <c r="K200" i="3"/>
  <c r="J200" i="3"/>
  <c r="G200" i="3"/>
  <c r="A200" i="3"/>
  <c r="A312" i="3"/>
  <c r="L61" i="3"/>
  <c r="I61" i="3"/>
  <c r="H61" i="3"/>
  <c r="D61" i="3"/>
  <c r="A61" i="3"/>
  <c r="A45" i="3"/>
  <c r="K521" i="3"/>
  <c r="C521" i="3"/>
  <c r="A521" i="3"/>
  <c r="A222" i="3"/>
  <c r="L410" i="3"/>
  <c r="G410" i="3"/>
  <c r="F410" i="3"/>
  <c r="D410" i="3"/>
  <c r="A410" i="3"/>
  <c r="A348" i="3"/>
  <c r="M176" i="3"/>
  <c r="L176" i="3"/>
  <c r="K176" i="3"/>
  <c r="J176" i="3"/>
  <c r="I176" i="3"/>
  <c r="H176" i="3"/>
  <c r="G176" i="3"/>
  <c r="F176" i="3"/>
  <c r="E176" i="3"/>
  <c r="D176" i="3"/>
  <c r="C176" i="3"/>
  <c r="B176" i="3"/>
  <c r="A176" i="3"/>
  <c r="A160" i="3"/>
  <c r="A279" i="3"/>
  <c r="A407" i="3"/>
  <c r="F141" i="3"/>
  <c r="A141" i="3"/>
  <c r="B154" i="3"/>
  <c r="A154" i="3"/>
  <c r="K355" i="3"/>
  <c r="G355" i="3"/>
  <c r="A355" i="3"/>
  <c r="H399" i="3"/>
  <c r="D399" i="3"/>
  <c r="A399" i="3"/>
  <c r="L58" i="3"/>
  <c r="K58" i="3"/>
  <c r="H58" i="3"/>
  <c r="G58" i="3"/>
  <c r="C58" i="3"/>
  <c r="A58" i="3"/>
  <c r="L59" i="3"/>
  <c r="K59" i="3"/>
  <c r="D59" i="3"/>
  <c r="A59" i="3"/>
  <c r="A298" i="3"/>
  <c r="L126" i="3"/>
  <c r="J126" i="3"/>
  <c r="I126" i="3"/>
  <c r="H126" i="3"/>
  <c r="F126" i="3"/>
  <c r="E126" i="3"/>
  <c r="D126" i="3"/>
  <c r="B126" i="3"/>
  <c r="A126" i="3"/>
  <c r="F167" i="3"/>
  <c r="A167" i="3"/>
  <c r="A229" i="3"/>
  <c r="A266" i="3"/>
  <c r="M192" i="3"/>
  <c r="L192" i="3"/>
  <c r="I192" i="3"/>
  <c r="H192" i="3"/>
  <c r="E192" i="3"/>
  <c r="D192" i="3"/>
  <c r="C192" i="3"/>
  <c r="A192" i="3"/>
  <c r="A51" i="3"/>
  <c r="A473" i="3"/>
  <c r="M235" i="3"/>
  <c r="L235" i="3"/>
  <c r="J235" i="3"/>
  <c r="I235" i="3"/>
  <c r="H235" i="3"/>
  <c r="E235" i="3"/>
  <c r="D235" i="3"/>
  <c r="A235" i="3"/>
  <c r="M386" i="3"/>
  <c r="L386" i="3"/>
  <c r="I386" i="3"/>
  <c r="E386" i="3"/>
  <c r="D386" i="3"/>
  <c r="A386" i="3"/>
  <c r="A101" i="3"/>
  <c r="C509" i="3"/>
  <c r="A509" i="3"/>
  <c r="A373" i="3"/>
  <c r="A516" i="3"/>
  <c r="A364" i="3"/>
  <c r="M64" i="3"/>
  <c r="A64" i="3"/>
  <c r="A114" i="3"/>
  <c r="L459" i="3"/>
  <c r="K459" i="3"/>
  <c r="H459" i="3"/>
  <c r="G459" i="3"/>
  <c r="D459" i="3"/>
  <c r="C459" i="3"/>
  <c r="A459" i="3"/>
  <c r="K55" i="3"/>
  <c r="G55" i="3"/>
  <c r="C55" i="3"/>
  <c r="A55" i="3"/>
  <c r="L123" i="3"/>
  <c r="I123" i="3"/>
  <c r="H123" i="3"/>
  <c r="G123" i="3"/>
  <c r="E123" i="3"/>
  <c r="D123" i="3"/>
  <c r="C123" i="3"/>
  <c r="A123" i="3"/>
  <c r="M478" i="3"/>
  <c r="I478" i="3"/>
  <c r="F478" i="3"/>
  <c r="A478" i="3"/>
  <c r="M84" i="3"/>
  <c r="L84" i="3"/>
  <c r="E84" i="3"/>
  <c r="D84" i="3"/>
  <c r="A84" i="3"/>
  <c r="K257" i="3"/>
  <c r="J257" i="3"/>
  <c r="G257" i="3"/>
  <c r="F257" i="3"/>
  <c r="C257" i="3"/>
  <c r="B257" i="3"/>
  <c r="A257" i="3"/>
  <c r="A86" i="3"/>
  <c r="L513" i="3"/>
  <c r="A513" i="3"/>
  <c r="A68" i="3"/>
  <c r="L263" i="3"/>
  <c r="H263" i="3"/>
  <c r="G263" i="3"/>
  <c r="A263" i="3"/>
  <c r="A181" i="3"/>
  <c r="A417" i="3"/>
  <c r="M480" i="3"/>
  <c r="I480" i="3"/>
  <c r="F480" i="3"/>
  <c r="E480" i="3"/>
  <c r="B480" i="3"/>
  <c r="A480" i="3"/>
  <c r="A144" i="3"/>
  <c r="C436" i="3"/>
  <c r="A436" i="3"/>
  <c r="A303" i="3"/>
  <c r="K445" i="3"/>
  <c r="J445" i="3"/>
  <c r="G445" i="3"/>
  <c r="F445" i="3"/>
  <c r="C445" i="3"/>
  <c r="B445" i="3"/>
  <c r="A445" i="3"/>
  <c r="A284" i="3"/>
  <c r="A216" i="3"/>
  <c r="A413" i="3"/>
  <c r="A278" i="3"/>
  <c r="A182" i="3"/>
  <c r="L420" i="3"/>
  <c r="A420" i="3"/>
  <c r="A276" i="3"/>
  <c r="A382" i="3"/>
  <c r="A223" i="3"/>
  <c r="A319" i="3"/>
  <c r="A528" i="3"/>
  <c r="A204" i="3"/>
  <c r="A14" i="3"/>
  <c r="A77" i="3"/>
  <c r="I532" i="3"/>
  <c r="F532" i="3"/>
  <c r="E532" i="3"/>
  <c r="B532" i="3"/>
  <c r="A532" i="3"/>
  <c r="A283" i="3"/>
  <c r="A533" i="3"/>
  <c r="H110" i="3"/>
  <c r="D110" i="3"/>
  <c r="A110" i="3"/>
  <c r="A158" i="3"/>
  <c r="E24" i="3"/>
  <c r="A24" i="3"/>
  <c r="A477" i="3"/>
  <c r="A282" i="3"/>
  <c r="M476" i="3"/>
  <c r="L476" i="3"/>
  <c r="H476" i="3"/>
  <c r="A476" i="3"/>
  <c r="A104" i="3"/>
  <c r="L313" i="3"/>
  <c r="H313" i="3"/>
  <c r="G313" i="3"/>
  <c r="D313" i="3"/>
  <c r="C313" i="3"/>
  <c r="A313" i="3"/>
  <c r="J292" i="3"/>
  <c r="I292" i="3"/>
  <c r="E292" i="3"/>
  <c r="B292" i="3"/>
  <c r="A292" i="3"/>
  <c r="C265" i="3"/>
  <c r="A265" i="3"/>
  <c r="A259" i="3"/>
  <c r="A529" i="3"/>
  <c r="M327" i="3"/>
  <c r="J327" i="3"/>
  <c r="I327" i="3"/>
  <c r="F327" i="3"/>
  <c r="E327" i="3"/>
  <c r="B327" i="3"/>
  <c r="A327" i="3"/>
  <c r="H88" i="3"/>
  <c r="E88" i="3"/>
  <c r="D88" i="3"/>
  <c r="A88" i="3"/>
  <c r="A354" i="3"/>
  <c r="M405" i="3"/>
  <c r="L405" i="3"/>
  <c r="K405" i="3"/>
  <c r="I405" i="3"/>
  <c r="H405" i="3"/>
  <c r="G405" i="3"/>
  <c r="E405" i="3"/>
  <c r="D405" i="3"/>
  <c r="C405" i="3"/>
  <c r="A405" i="3"/>
  <c r="A402" i="3"/>
  <c r="A391" i="3"/>
  <c r="I109" i="3"/>
  <c r="E109" i="3"/>
  <c r="A109" i="3"/>
  <c r="L37" i="3"/>
  <c r="K37" i="3"/>
  <c r="I37" i="3"/>
  <c r="H37" i="3"/>
  <c r="G37" i="3"/>
  <c r="D37" i="3"/>
  <c r="C37" i="3"/>
  <c r="A37" i="3"/>
  <c r="A469" i="3"/>
  <c r="A363" i="3"/>
  <c r="A277" i="3"/>
  <c r="C427" i="3"/>
  <c r="B427" i="3"/>
  <c r="A427" i="3"/>
  <c r="A300" i="3"/>
  <c r="M50" i="3"/>
  <c r="L50" i="3"/>
  <c r="J50" i="3"/>
  <c r="I50" i="3"/>
  <c r="H50" i="3"/>
  <c r="F50" i="3"/>
  <c r="E50" i="3"/>
  <c r="D50" i="3"/>
  <c r="B50" i="3"/>
  <c r="A50" i="3"/>
  <c r="A215" i="3"/>
  <c r="A134" i="3"/>
  <c r="A60" i="3"/>
  <c r="A91" i="3"/>
  <c r="A201" i="3"/>
  <c r="A186" i="3"/>
  <c r="A398" i="3"/>
  <c r="L428" i="3"/>
  <c r="K428" i="3"/>
  <c r="I428" i="3"/>
  <c r="E428" i="3"/>
  <c r="A428" i="3"/>
  <c r="A471" i="3"/>
  <c r="A318" i="3"/>
  <c r="A338" i="3"/>
  <c r="A111" i="3"/>
  <c r="A368" i="3"/>
  <c r="L30" i="3"/>
  <c r="G30" i="3"/>
  <c r="D30" i="3"/>
  <c r="A30" i="3"/>
  <c r="K256" i="3"/>
  <c r="J256" i="3"/>
  <c r="G256" i="3"/>
  <c r="F256" i="3"/>
  <c r="E256" i="3"/>
  <c r="C256" i="3"/>
  <c r="B256" i="3"/>
  <c r="A256" i="3"/>
  <c r="K9" i="3"/>
  <c r="A9" i="3"/>
  <c r="I530" i="3"/>
  <c r="A530" i="3"/>
  <c r="F332" i="3"/>
  <c r="A332" i="3"/>
  <c r="C173" i="3"/>
  <c r="A173" i="3"/>
  <c r="A426" i="3"/>
  <c r="A474" i="3"/>
  <c r="L36" i="3"/>
  <c r="K36" i="3"/>
  <c r="I36" i="3"/>
  <c r="H36" i="3"/>
  <c r="G36" i="3"/>
  <c r="E36" i="3"/>
  <c r="D36" i="3"/>
  <c r="C36" i="3"/>
  <c r="A36" i="3"/>
  <c r="K171" i="3"/>
  <c r="A171" i="3"/>
  <c r="M244" i="3"/>
  <c r="L244" i="3"/>
  <c r="J244" i="3"/>
  <c r="I244" i="3"/>
  <c r="H244" i="3"/>
  <c r="F244" i="3"/>
  <c r="E244" i="3"/>
  <c r="D244" i="3"/>
  <c r="B244" i="3"/>
  <c r="A244" i="3"/>
  <c r="L163" i="3"/>
  <c r="I163" i="3"/>
  <c r="E163" i="3"/>
  <c r="D163" i="3"/>
  <c r="A163" i="3"/>
  <c r="L128" i="3"/>
  <c r="K128" i="3"/>
  <c r="H128" i="3"/>
  <c r="E128" i="3"/>
  <c r="D128" i="3"/>
  <c r="C128" i="3"/>
  <c r="A128" i="3"/>
  <c r="M508" i="3"/>
  <c r="H508" i="3"/>
  <c r="A508" i="3"/>
  <c r="A209" i="3"/>
  <c r="F393" i="3"/>
  <c r="E393" i="3"/>
  <c r="A393" i="3"/>
  <c r="A175" i="3"/>
  <c r="A72" i="3"/>
  <c r="A362" i="3"/>
  <c r="A437" i="3"/>
  <c r="L225" i="3"/>
  <c r="K225" i="3"/>
  <c r="H225" i="3"/>
  <c r="G225" i="3"/>
  <c r="D225" i="3"/>
  <c r="C225" i="3"/>
  <c r="A225" i="3"/>
  <c r="A98" i="3"/>
  <c r="M157" i="3"/>
  <c r="I157" i="3"/>
  <c r="E157" i="3"/>
  <c r="A157" i="3"/>
  <c r="C20" i="3"/>
  <c r="A20" i="3"/>
  <c r="A423" i="3"/>
  <c r="A371" i="3"/>
  <c r="M372" i="3"/>
  <c r="A372" i="3"/>
  <c r="A65" i="3"/>
  <c r="A370" i="3"/>
  <c r="A383" i="3"/>
  <c r="A425" i="3"/>
  <c r="M341" i="3"/>
  <c r="L341" i="3"/>
  <c r="K341" i="3"/>
  <c r="I341" i="3"/>
  <c r="H341" i="3"/>
  <c r="G341" i="3"/>
  <c r="E341" i="3"/>
  <c r="D341" i="3"/>
  <c r="C341" i="3"/>
  <c r="A341" i="3"/>
  <c r="A409" i="3"/>
  <c r="B271" i="3"/>
  <c r="A271" i="3"/>
  <c r="A467" i="3"/>
  <c r="A118" i="3"/>
  <c r="A93" i="3"/>
  <c r="A272" i="3"/>
  <c r="K22" i="3"/>
  <c r="I22" i="3"/>
  <c r="H22" i="3"/>
  <c r="D22" i="3"/>
  <c r="A22" i="3"/>
  <c r="A99" i="3"/>
  <c r="A147" i="3"/>
  <c r="L325" i="3"/>
  <c r="K325" i="3"/>
  <c r="J325" i="3"/>
  <c r="I325" i="3"/>
  <c r="H325" i="3"/>
  <c r="G325" i="3"/>
  <c r="F325" i="3"/>
  <c r="E325" i="3"/>
  <c r="D325" i="3"/>
  <c r="C325" i="3"/>
  <c r="B325" i="3"/>
  <c r="A325" i="3"/>
  <c r="A218" i="3"/>
  <c r="I455" i="3"/>
  <c r="E455" i="3"/>
  <c r="D455" i="3"/>
  <c r="A455" i="3"/>
  <c r="A435" i="3"/>
  <c r="K267" i="3"/>
  <c r="A267" i="3"/>
  <c r="L499" i="3"/>
  <c r="D499" i="3"/>
  <c r="A499" i="3"/>
  <c r="A202" i="3"/>
  <c r="A465" i="3"/>
  <c r="J127" i="3"/>
  <c r="A127" i="3"/>
  <c r="A221" i="3"/>
  <c r="A188" i="3"/>
  <c r="L41" i="3"/>
  <c r="K41" i="3"/>
  <c r="I41" i="3"/>
  <c r="H41" i="3"/>
  <c r="G41" i="3"/>
  <c r="E41" i="3"/>
  <c r="D41" i="3"/>
  <c r="C41" i="3"/>
  <c r="A41" i="3"/>
  <c r="L324" i="3"/>
  <c r="K324" i="3"/>
  <c r="H324" i="3"/>
  <c r="G324" i="3"/>
  <c r="D324" i="3"/>
  <c r="C324" i="3"/>
  <c r="A324" i="3"/>
  <c r="M534" i="3"/>
  <c r="L534" i="3"/>
  <c r="I534" i="3"/>
  <c r="F534" i="3"/>
  <c r="A534" i="3"/>
  <c r="A133" i="3"/>
  <c r="A172" i="3"/>
  <c r="A8" i="3"/>
  <c r="I496" i="3"/>
  <c r="A496" i="3"/>
  <c r="J224" i="3"/>
  <c r="F224" i="3"/>
  <c r="B224" i="3"/>
  <c r="A224" i="3"/>
  <c r="A414" i="3"/>
  <c r="I66" i="3"/>
  <c r="E66" i="3"/>
  <c r="A66" i="3"/>
  <c r="A102" i="3"/>
  <c r="F120" i="3"/>
  <c r="A120" i="3"/>
  <c r="A470" i="3"/>
  <c r="A155" i="3"/>
  <c r="L75" i="3"/>
  <c r="K75" i="3"/>
  <c r="I75" i="3"/>
  <c r="H75" i="3"/>
  <c r="G75" i="3"/>
  <c r="D75" i="3"/>
  <c r="C75" i="3"/>
  <c r="A75" i="3"/>
  <c r="I457" i="3"/>
  <c r="A457" i="3"/>
  <c r="A168" i="3"/>
  <c r="M452" i="3"/>
  <c r="L452" i="3"/>
  <c r="K452" i="3"/>
  <c r="I452" i="3"/>
  <c r="H452" i="3"/>
  <c r="G452" i="3"/>
  <c r="E452" i="3"/>
  <c r="D452" i="3"/>
  <c r="C452" i="3"/>
  <c r="A452" i="3"/>
  <c r="L195" i="3"/>
  <c r="K195" i="3"/>
  <c r="I195" i="3"/>
  <c r="H195" i="3"/>
  <c r="G195" i="3"/>
  <c r="E195" i="3"/>
  <c r="D195" i="3"/>
  <c r="C195" i="3"/>
  <c r="A195" i="3"/>
  <c r="L140" i="3"/>
  <c r="H140" i="3"/>
  <c r="A140" i="3"/>
  <c r="A401" i="3"/>
  <c r="A159" i="3"/>
  <c r="A31" i="3"/>
  <c r="A57" i="3"/>
  <c r="I251" i="3"/>
  <c r="H251" i="3"/>
  <c r="E251" i="3"/>
  <c r="D251" i="3"/>
  <c r="A251" i="3"/>
  <c r="J479" i="3"/>
  <c r="B479" i="3"/>
  <c r="A479" i="3"/>
  <c r="L130" i="3"/>
  <c r="K130" i="3"/>
  <c r="H130" i="3"/>
  <c r="G130" i="3"/>
  <c r="F130" i="3"/>
  <c r="D130" i="3"/>
  <c r="C130" i="3"/>
  <c r="A130" i="3"/>
  <c r="H505" i="3"/>
  <c r="F505" i="3"/>
  <c r="D505" i="3"/>
  <c r="C505" i="3"/>
  <c r="A505" i="3"/>
  <c r="A464" i="3"/>
  <c r="C19" i="3"/>
  <c r="A19" i="3"/>
  <c r="A67" i="3"/>
  <c r="A290" i="3"/>
  <c r="L107" i="3"/>
  <c r="J107" i="3"/>
  <c r="I107" i="3"/>
  <c r="H107" i="3"/>
  <c r="F107" i="3"/>
  <c r="E107" i="3"/>
  <c r="D107" i="3"/>
  <c r="A107" i="3"/>
  <c r="F400" i="3"/>
  <c r="A400" i="3"/>
  <c r="A82" i="3"/>
  <c r="A404" i="3"/>
  <c r="A369" i="3"/>
  <c r="A331" i="3"/>
  <c r="M512" i="3"/>
  <c r="L512" i="3"/>
  <c r="K512" i="3"/>
  <c r="J512" i="3"/>
  <c r="I512" i="3"/>
  <c r="H512" i="3"/>
  <c r="G512" i="3"/>
  <c r="F512" i="3"/>
  <c r="E512" i="3"/>
  <c r="D512" i="3"/>
  <c r="C512" i="3"/>
  <c r="B512" i="3"/>
  <c r="A512" i="3"/>
  <c r="L234" i="3"/>
  <c r="J234" i="3"/>
  <c r="I234" i="3"/>
  <c r="H234" i="3"/>
  <c r="F234" i="3"/>
  <c r="E234" i="3"/>
  <c r="D234" i="3"/>
  <c r="B234" i="3"/>
  <c r="A234" i="3"/>
  <c r="A520" i="3"/>
  <c r="A500" i="3"/>
  <c r="L286" i="3"/>
  <c r="K286" i="3"/>
  <c r="I286" i="3"/>
  <c r="H286" i="3"/>
  <c r="G286" i="3"/>
  <c r="E286" i="3"/>
  <c r="D286" i="3"/>
  <c r="C286" i="3"/>
  <c r="A286" i="3"/>
  <c r="A495" i="3"/>
  <c r="A497" i="3"/>
  <c r="A69" i="3"/>
  <c r="A316" i="3"/>
  <c r="A304" i="3"/>
  <c r="A323" i="3"/>
  <c r="H226" i="3"/>
  <c r="A226" i="3"/>
  <c r="M291" i="3"/>
  <c r="L291" i="3"/>
  <c r="K291" i="3"/>
  <c r="J291" i="3"/>
  <c r="I291" i="3"/>
  <c r="H291" i="3"/>
  <c r="G291" i="3"/>
  <c r="F291" i="3"/>
  <c r="E291" i="3"/>
  <c r="D291" i="3"/>
  <c r="C291" i="3"/>
  <c r="B291" i="3"/>
  <c r="A291" i="3"/>
  <c r="A454" i="3"/>
  <c r="K249" i="3"/>
  <c r="G249" i="3"/>
  <c r="C249" i="3"/>
  <c r="A249" i="3"/>
  <c r="A522" i="3"/>
  <c r="L119" i="3"/>
  <c r="K119" i="3"/>
  <c r="I119" i="3"/>
  <c r="H119" i="3"/>
  <c r="E119" i="3"/>
  <c r="D119" i="3"/>
  <c r="A119" i="3"/>
  <c r="L310" i="3"/>
  <c r="I310" i="3"/>
  <c r="E310" i="3"/>
  <c r="D310" i="3"/>
  <c r="A310" i="3"/>
  <c r="A122" i="3"/>
  <c r="A406" i="3"/>
  <c r="A231" i="3"/>
  <c r="M194" i="3"/>
  <c r="L194" i="3"/>
  <c r="K194" i="3"/>
  <c r="I194" i="3"/>
  <c r="H194" i="3"/>
  <c r="G194" i="3"/>
  <c r="E194" i="3"/>
  <c r="D194" i="3"/>
  <c r="C194" i="3"/>
  <c r="A194" i="3"/>
  <c r="L153" i="3"/>
  <c r="K153" i="3"/>
  <c r="H153" i="3"/>
  <c r="G153" i="3"/>
  <c r="D153" i="3"/>
  <c r="C153" i="3"/>
  <c r="A153" i="3"/>
  <c r="A227" i="3"/>
  <c r="A384" i="3"/>
  <c r="M482" i="3"/>
  <c r="L482" i="3"/>
  <c r="K482" i="3"/>
  <c r="I482" i="3"/>
  <c r="H482" i="3"/>
  <c r="G482" i="3"/>
  <c r="E482" i="3"/>
  <c r="D482" i="3"/>
  <c r="C482" i="3"/>
  <c r="A482" i="3"/>
  <c r="M492" i="3"/>
  <c r="L492" i="3"/>
  <c r="K492" i="3"/>
  <c r="I492" i="3"/>
  <c r="H492" i="3"/>
  <c r="G492" i="3"/>
  <c r="E492" i="3"/>
  <c r="D492" i="3"/>
  <c r="C492" i="3"/>
  <c r="A492" i="3"/>
  <c r="L129" i="3"/>
  <c r="K129" i="3"/>
  <c r="J129" i="3"/>
  <c r="I129" i="3"/>
  <c r="H129" i="3"/>
  <c r="G129" i="3"/>
  <c r="F129" i="3"/>
  <c r="E129" i="3"/>
  <c r="D129" i="3"/>
  <c r="C129" i="3"/>
  <c r="B129" i="3"/>
  <c r="A129" i="3"/>
  <c r="A411" i="3"/>
  <c r="A152" i="3"/>
  <c r="A385" i="3"/>
  <c r="J415" i="3"/>
  <c r="F415" i="3"/>
  <c r="A415" i="3"/>
  <c r="C12" i="3"/>
  <c r="A12" i="3"/>
  <c r="L462" i="3"/>
  <c r="I462" i="3"/>
  <c r="H462" i="3"/>
  <c r="F462" i="3"/>
  <c r="D462" i="3"/>
  <c r="B462" i="3"/>
  <c r="A462" i="3"/>
  <c r="A287" i="3"/>
  <c r="L76" i="3"/>
  <c r="H76" i="3"/>
  <c r="D76" i="3"/>
  <c r="A76" i="3"/>
  <c r="A408" i="3"/>
  <c r="F13" i="3"/>
  <c r="A13" i="3"/>
  <c r="A178" i="3"/>
  <c r="L29" i="3"/>
  <c r="K29" i="3"/>
  <c r="J29" i="3"/>
  <c r="I29" i="3"/>
  <c r="H29" i="3"/>
  <c r="G29" i="3"/>
  <c r="F29" i="3"/>
  <c r="E29" i="3"/>
  <c r="D29" i="3"/>
  <c r="C29" i="3"/>
  <c r="B29" i="3"/>
  <c r="A29" i="3"/>
  <c r="L89" i="3"/>
  <c r="J89" i="3"/>
  <c r="I89" i="3"/>
  <c r="H89" i="3"/>
  <c r="F89" i="3"/>
  <c r="E89" i="3"/>
  <c r="D89" i="3"/>
  <c r="B89" i="3"/>
  <c r="A89" i="3"/>
  <c r="A315" i="3"/>
  <c r="A87" i="3"/>
  <c r="H416" i="3"/>
  <c r="A416" i="3"/>
  <c r="A489" i="3"/>
  <c r="A10" i="3"/>
  <c r="L295" i="3"/>
  <c r="K295" i="3"/>
  <c r="I295" i="3"/>
  <c r="H295" i="3"/>
  <c r="G295" i="3"/>
  <c r="E295" i="3"/>
  <c r="D295" i="3"/>
  <c r="C295" i="3"/>
  <c r="A295" i="3"/>
  <c r="L356" i="3"/>
  <c r="K356" i="3"/>
  <c r="J356" i="3"/>
  <c r="H356" i="3"/>
  <c r="G356" i="3"/>
  <c r="F356" i="3"/>
  <c r="D356" i="3"/>
  <c r="C356" i="3"/>
  <c r="B356" i="3"/>
  <c r="A356" i="3"/>
  <c r="L27" i="3"/>
  <c r="J27" i="3"/>
  <c r="I27" i="3"/>
  <c r="H27" i="3"/>
  <c r="F27" i="3"/>
  <c r="E27" i="3"/>
  <c r="D27" i="3"/>
  <c r="B27" i="3"/>
  <c r="A27" i="3"/>
  <c r="M506" i="3"/>
  <c r="L506" i="3"/>
  <c r="K506" i="3"/>
  <c r="I506" i="3"/>
  <c r="H506" i="3"/>
  <c r="G506" i="3"/>
  <c r="E506" i="3"/>
  <c r="D506" i="3"/>
  <c r="C506" i="3"/>
  <c r="A506" i="3"/>
  <c r="A403" i="3"/>
  <c r="A281" i="3"/>
  <c r="A329" i="3"/>
  <c r="L296" i="3"/>
  <c r="K296" i="3"/>
  <c r="I296" i="3"/>
  <c r="H296" i="3"/>
  <c r="G296" i="3"/>
  <c r="E296" i="3"/>
  <c r="D296" i="3"/>
  <c r="C296" i="3"/>
  <c r="A296" i="3"/>
  <c r="L236" i="3"/>
  <c r="K236" i="3"/>
  <c r="H236" i="3"/>
  <c r="G236" i="3"/>
  <c r="D236" i="3"/>
  <c r="C236" i="3"/>
  <c r="A236" i="3"/>
  <c r="H442" i="2"/>
  <c r="U442" i="2" s="1"/>
  <c r="D442" i="2"/>
  <c r="Q442" i="2" s="1"/>
  <c r="H441" i="2"/>
  <c r="U441" i="2" s="1"/>
  <c r="D441" i="2"/>
  <c r="Q441" i="2" s="1"/>
  <c r="L440" i="2"/>
  <c r="Y440" i="2" s="1"/>
  <c r="I440" i="2"/>
  <c r="V440" i="2" s="1"/>
  <c r="E440" i="2"/>
  <c r="R440" i="2" s="1"/>
  <c r="D440" i="2"/>
  <c r="Q440" i="2" s="1"/>
  <c r="M439" i="2"/>
  <c r="Z439" i="2" s="1"/>
  <c r="H439" i="2"/>
  <c r="U439" i="2" s="1"/>
  <c r="E439" i="2"/>
  <c r="R439" i="2" s="1"/>
  <c r="M438" i="2"/>
  <c r="L438" i="2"/>
  <c r="I438" i="2"/>
  <c r="H438" i="2"/>
  <c r="D438" i="2"/>
  <c r="K435" i="2"/>
  <c r="X435" i="2" s="1"/>
  <c r="G435" i="2"/>
  <c r="T435" i="2" s="1"/>
  <c r="F435" i="2"/>
  <c r="S435" i="2" s="1"/>
  <c r="C435" i="2"/>
  <c r="P435" i="2" s="1"/>
  <c r="F432" i="2"/>
  <c r="M429" i="2"/>
  <c r="Z429" i="2" s="1"/>
  <c r="L429" i="2"/>
  <c r="Y429" i="2" s="1"/>
  <c r="K429" i="2"/>
  <c r="X429" i="2" s="1"/>
  <c r="I429" i="2"/>
  <c r="V429" i="2" s="1"/>
  <c r="H429" i="2"/>
  <c r="U429" i="2" s="1"/>
  <c r="G429" i="2"/>
  <c r="T429" i="2" s="1"/>
  <c r="E429" i="2"/>
  <c r="R429" i="2" s="1"/>
  <c r="D429" i="2"/>
  <c r="Q429" i="2" s="1"/>
  <c r="C429" i="2"/>
  <c r="P429" i="2" s="1"/>
  <c r="H427" i="2"/>
  <c r="U427" i="2" s="1"/>
  <c r="G427" i="2"/>
  <c r="T427" i="2" s="1"/>
  <c r="D427" i="2"/>
  <c r="Q427" i="2" s="1"/>
  <c r="D426" i="2"/>
  <c r="Q426" i="2" s="1"/>
  <c r="C426" i="2"/>
  <c r="P426" i="2" s="1"/>
  <c r="D425" i="2"/>
  <c r="Q425" i="2" s="1"/>
  <c r="K424" i="2"/>
  <c r="X424" i="2" s="1"/>
  <c r="H424" i="2"/>
  <c r="U424" i="2" s="1"/>
  <c r="L423" i="2"/>
  <c r="Y423" i="2" s="1"/>
  <c r="H423" i="2"/>
  <c r="U423" i="2" s="1"/>
  <c r="D423" i="2"/>
  <c r="Q423" i="2" s="1"/>
  <c r="C423" i="2"/>
  <c r="P423" i="2" s="1"/>
  <c r="L422" i="2"/>
  <c r="K422" i="2"/>
  <c r="X422" i="2" s="1"/>
  <c r="H422" i="2"/>
  <c r="U422" i="2" s="1"/>
  <c r="D422" i="2"/>
  <c r="Q422" i="2" s="1"/>
  <c r="C422" i="2"/>
  <c r="P422" i="2" s="1"/>
  <c r="L421" i="2"/>
  <c r="Y421" i="2" s="1"/>
  <c r="H421" i="2"/>
  <c r="U421" i="2" s="1"/>
  <c r="L418" i="2"/>
  <c r="Y418" i="2" s="1"/>
  <c r="H418" i="2"/>
  <c r="U418" i="2" s="1"/>
  <c r="D418" i="2"/>
  <c r="Q418" i="2" s="1"/>
  <c r="C418" i="2"/>
  <c r="K417" i="2"/>
  <c r="X417" i="2" s="1"/>
  <c r="H417" i="2"/>
  <c r="U417" i="2" s="1"/>
  <c r="D417" i="2"/>
  <c r="Q417" i="2" s="1"/>
  <c r="L416" i="2"/>
  <c r="Y416" i="2" s="1"/>
  <c r="H415" i="2"/>
  <c r="U415" i="2" s="1"/>
  <c r="J408" i="2"/>
  <c r="W408" i="2" s="1"/>
  <c r="I408" i="2"/>
  <c r="V408" i="2" s="1"/>
  <c r="F408" i="2"/>
  <c r="S408" i="2" s="1"/>
  <c r="E408" i="2"/>
  <c r="R408" i="2" s="1"/>
  <c r="B408" i="2"/>
  <c r="O408" i="2" s="1"/>
  <c r="M407" i="2"/>
  <c r="Z407" i="2" s="1"/>
  <c r="L407" i="2"/>
  <c r="Y407" i="2" s="1"/>
  <c r="J407" i="2"/>
  <c r="W407" i="2" s="1"/>
  <c r="I407" i="2"/>
  <c r="V407" i="2" s="1"/>
  <c r="H407" i="2"/>
  <c r="U407" i="2" s="1"/>
  <c r="F407" i="2"/>
  <c r="S407" i="2" s="1"/>
  <c r="E407" i="2"/>
  <c r="R407" i="2" s="1"/>
  <c r="D407" i="2"/>
  <c r="Q407" i="2" s="1"/>
  <c r="B407" i="2"/>
  <c r="O407" i="2" s="1"/>
  <c r="L406" i="2"/>
  <c r="Y406" i="2" s="1"/>
  <c r="J406" i="2"/>
  <c r="W406" i="2" s="1"/>
  <c r="I406" i="2"/>
  <c r="V406" i="2" s="1"/>
  <c r="H406" i="2"/>
  <c r="U406" i="2" s="1"/>
  <c r="F406" i="2"/>
  <c r="S406" i="2" s="1"/>
  <c r="E406" i="2"/>
  <c r="R406" i="2" s="1"/>
  <c r="D406" i="2"/>
  <c r="Q406" i="2" s="1"/>
  <c r="B406" i="2"/>
  <c r="O406" i="2" s="1"/>
  <c r="L405" i="2"/>
  <c r="Y405" i="2" s="1"/>
  <c r="J405" i="2"/>
  <c r="W405" i="2" s="1"/>
  <c r="I405" i="2"/>
  <c r="V405" i="2" s="1"/>
  <c r="H405" i="2"/>
  <c r="U405" i="2" s="1"/>
  <c r="F405" i="2"/>
  <c r="S405" i="2" s="1"/>
  <c r="E405" i="2"/>
  <c r="R405" i="2" s="1"/>
  <c r="D405" i="2"/>
  <c r="Q405" i="2" s="1"/>
  <c r="B405" i="2"/>
  <c r="O405" i="2" s="1"/>
  <c r="M404" i="2"/>
  <c r="Z404" i="2" s="1"/>
  <c r="J404" i="2"/>
  <c r="I404" i="2"/>
  <c r="V404" i="2" s="1"/>
  <c r="F404" i="2"/>
  <c r="E404" i="2"/>
  <c r="R404" i="2" s="1"/>
  <c r="B404" i="2"/>
  <c r="L403" i="2"/>
  <c r="Y403" i="2" s="1"/>
  <c r="J403" i="2"/>
  <c r="W403" i="2" s="1"/>
  <c r="I403" i="2"/>
  <c r="F403" i="2"/>
  <c r="S403" i="2" s="1"/>
  <c r="E403" i="2"/>
  <c r="B403" i="2"/>
  <c r="O403" i="2" s="1"/>
  <c r="M400" i="2"/>
  <c r="Z400" i="2" s="1"/>
  <c r="L400" i="2"/>
  <c r="Y400" i="2" s="1"/>
  <c r="K400" i="2"/>
  <c r="X400" i="2" s="1"/>
  <c r="I400" i="2"/>
  <c r="V400" i="2" s="1"/>
  <c r="H400" i="2"/>
  <c r="U400" i="2" s="1"/>
  <c r="G400" i="2"/>
  <c r="T400" i="2" s="1"/>
  <c r="E400" i="2"/>
  <c r="R400" i="2" s="1"/>
  <c r="D400" i="2"/>
  <c r="Q400" i="2" s="1"/>
  <c r="C400" i="2"/>
  <c r="P400" i="2" s="1"/>
  <c r="M399" i="2"/>
  <c r="Z399" i="2" s="1"/>
  <c r="L399" i="2"/>
  <c r="Y399" i="2" s="1"/>
  <c r="K399" i="2"/>
  <c r="X399" i="2" s="1"/>
  <c r="I399" i="2"/>
  <c r="V399" i="2" s="1"/>
  <c r="H399" i="2"/>
  <c r="U399" i="2" s="1"/>
  <c r="G399" i="2"/>
  <c r="T399" i="2" s="1"/>
  <c r="E399" i="2"/>
  <c r="R399" i="2" s="1"/>
  <c r="D399" i="2"/>
  <c r="Q399" i="2" s="1"/>
  <c r="C399" i="2"/>
  <c r="P399" i="2" s="1"/>
  <c r="M398" i="2"/>
  <c r="Z398" i="2" s="1"/>
  <c r="L398" i="2"/>
  <c r="Y398" i="2" s="1"/>
  <c r="K398" i="2"/>
  <c r="X398" i="2" s="1"/>
  <c r="I398" i="2"/>
  <c r="V398" i="2" s="1"/>
  <c r="H398" i="2"/>
  <c r="U398" i="2" s="1"/>
  <c r="G398" i="2"/>
  <c r="T398" i="2" s="1"/>
  <c r="E398" i="2"/>
  <c r="R398" i="2" s="1"/>
  <c r="D398" i="2"/>
  <c r="Q398" i="2" s="1"/>
  <c r="C398" i="2"/>
  <c r="P398" i="2" s="1"/>
  <c r="L397" i="2"/>
  <c r="Y397" i="2" s="1"/>
  <c r="K397" i="2"/>
  <c r="X397" i="2" s="1"/>
  <c r="I397" i="2"/>
  <c r="V397" i="2" s="1"/>
  <c r="H397" i="2"/>
  <c r="U397" i="2" s="1"/>
  <c r="G397" i="2"/>
  <c r="T397" i="2" s="1"/>
  <c r="E397" i="2"/>
  <c r="R397" i="2" s="1"/>
  <c r="D397" i="2"/>
  <c r="Q397" i="2" s="1"/>
  <c r="C397" i="2"/>
  <c r="P397" i="2" s="1"/>
  <c r="L396" i="2"/>
  <c r="Y396" i="2" s="1"/>
  <c r="K396" i="2"/>
  <c r="X396" i="2" s="1"/>
  <c r="J396" i="2"/>
  <c r="W396" i="2" s="1"/>
  <c r="I396" i="2"/>
  <c r="V396" i="2" s="1"/>
  <c r="H396" i="2"/>
  <c r="U396" i="2" s="1"/>
  <c r="G396" i="2"/>
  <c r="T396" i="2" s="1"/>
  <c r="F396" i="2"/>
  <c r="S396" i="2" s="1"/>
  <c r="E396" i="2"/>
  <c r="R396" i="2" s="1"/>
  <c r="D396" i="2"/>
  <c r="Q396" i="2" s="1"/>
  <c r="C396" i="2"/>
  <c r="P396" i="2" s="1"/>
  <c r="B396" i="2"/>
  <c r="O396" i="2" s="1"/>
  <c r="L395" i="2"/>
  <c r="Y395" i="2" s="1"/>
  <c r="K395" i="2"/>
  <c r="X395" i="2" s="1"/>
  <c r="I395" i="2"/>
  <c r="V395" i="2" s="1"/>
  <c r="G395" i="2"/>
  <c r="T395" i="2" s="1"/>
  <c r="E395" i="2"/>
  <c r="R395" i="2" s="1"/>
  <c r="D395" i="2"/>
  <c r="Q395" i="2" s="1"/>
  <c r="C395" i="2"/>
  <c r="P395" i="2" s="1"/>
  <c r="L394" i="2"/>
  <c r="K394" i="2"/>
  <c r="I394" i="2"/>
  <c r="H394" i="2"/>
  <c r="G394" i="2"/>
  <c r="E394" i="2"/>
  <c r="R394" i="2" s="1"/>
  <c r="D394" i="2"/>
  <c r="K391" i="2"/>
  <c r="X391" i="2" s="1"/>
  <c r="J391" i="2"/>
  <c r="W391" i="2" s="1"/>
  <c r="G391" i="2"/>
  <c r="T391" i="2" s="1"/>
  <c r="F391" i="2"/>
  <c r="S391" i="2" s="1"/>
  <c r="C391" i="2"/>
  <c r="P391" i="2" s="1"/>
  <c r="B391" i="2"/>
  <c r="O391" i="2" s="1"/>
  <c r="L390" i="2"/>
  <c r="Y390" i="2" s="1"/>
  <c r="J390" i="2"/>
  <c r="W390" i="2" s="1"/>
  <c r="H390" i="2"/>
  <c r="U390" i="2" s="1"/>
  <c r="F390" i="2"/>
  <c r="S390" i="2" s="1"/>
  <c r="D390" i="2"/>
  <c r="Q390" i="2" s="1"/>
  <c r="B390" i="2"/>
  <c r="O390" i="2" s="1"/>
  <c r="L389" i="2"/>
  <c r="Y389" i="2" s="1"/>
  <c r="K389" i="2"/>
  <c r="X389" i="2" s="1"/>
  <c r="H389" i="2"/>
  <c r="U389" i="2" s="1"/>
  <c r="G389" i="2"/>
  <c r="T389" i="2" s="1"/>
  <c r="D389" i="2"/>
  <c r="Q389" i="2" s="1"/>
  <c r="C389" i="2"/>
  <c r="P389" i="2" s="1"/>
  <c r="L388" i="2"/>
  <c r="Y388" i="2" s="1"/>
  <c r="K388" i="2"/>
  <c r="X388" i="2" s="1"/>
  <c r="J388" i="2"/>
  <c r="H388" i="2"/>
  <c r="U388" i="2" s="1"/>
  <c r="G388" i="2"/>
  <c r="T388" i="2" s="1"/>
  <c r="F388" i="2"/>
  <c r="D388" i="2"/>
  <c r="Q388" i="2" s="1"/>
  <c r="C388" i="2"/>
  <c r="P388" i="2" s="1"/>
  <c r="B388" i="2"/>
  <c r="O388" i="2" s="1"/>
  <c r="L387" i="2"/>
  <c r="Y387" i="2" s="1"/>
  <c r="K387" i="2"/>
  <c r="X387" i="2" s="1"/>
  <c r="J387" i="2"/>
  <c r="W387" i="2" s="1"/>
  <c r="H387" i="2"/>
  <c r="U387" i="2" s="1"/>
  <c r="G387" i="2"/>
  <c r="T387" i="2" s="1"/>
  <c r="F387" i="2"/>
  <c r="S387" i="2" s="1"/>
  <c r="D387" i="2"/>
  <c r="Q387" i="2" s="1"/>
  <c r="C387" i="2"/>
  <c r="P387" i="2" s="1"/>
  <c r="B387" i="2"/>
  <c r="O387" i="2" s="1"/>
  <c r="K384" i="2"/>
  <c r="X384" i="2" s="1"/>
  <c r="I384" i="2"/>
  <c r="V384" i="2" s="1"/>
  <c r="E384" i="2"/>
  <c r="R384" i="2" s="1"/>
  <c r="D384" i="2"/>
  <c r="Q384" i="2" s="1"/>
  <c r="M382" i="2"/>
  <c r="Z382" i="2" s="1"/>
  <c r="I382" i="2"/>
  <c r="V382" i="2" s="1"/>
  <c r="H382" i="2"/>
  <c r="U382" i="2" s="1"/>
  <c r="E382" i="2"/>
  <c r="R382" i="2" s="1"/>
  <c r="D382" i="2"/>
  <c r="Q382" i="2" s="1"/>
  <c r="M381" i="2"/>
  <c r="Z381" i="2" s="1"/>
  <c r="L381" i="2"/>
  <c r="Y381" i="2" s="1"/>
  <c r="K381" i="2"/>
  <c r="X381" i="2" s="1"/>
  <c r="I381" i="2"/>
  <c r="V381" i="2" s="1"/>
  <c r="D381" i="2"/>
  <c r="Q381" i="2" s="1"/>
  <c r="L380" i="2"/>
  <c r="Y380" i="2" s="1"/>
  <c r="I380" i="2"/>
  <c r="V380" i="2" s="1"/>
  <c r="D380" i="2"/>
  <c r="Q380" i="2" s="1"/>
  <c r="M379" i="2"/>
  <c r="Z379" i="2" s="1"/>
  <c r="I379" i="2"/>
  <c r="V379" i="2" s="1"/>
  <c r="H379" i="2"/>
  <c r="U379" i="2" s="1"/>
  <c r="E379" i="2"/>
  <c r="R379" i="2" s="1"/>
  <c r="L378" i="2"/>
  <c r="Y378" i="2" s="1"/>
  <c r="I378" i="2"/>
  <c r="V378" i="2" s="1"/>
  <c r="E378" i="2"/>
  <c r="R378" i="2" s="1"/>
  <c r="D378" i="2"/>
  <c r="Q378" i="2" s="1"/>
  <c r="I377" i="2"/>
  <c r="V377" i="2" s="1"/>
  <c r="D377" i="2"/>
  <c r="Q377" i="2" s="1"/>
  <c r="C377" i="2"/>
  <c r="P377" i="2" s="1"/>
  <c r="M376" i="2"/>
  <c r="Z376" i="2" s="1"/>
  <c r="I376" i="2"/>
  <c r="V376" i="2" s="1"/>
  <c r="D376" i="2"/>
  <c r="Q376" i="2" s="1"/>
  <c r="B376" i="2"/>
  <c r="O376" i="2" s="1"/>
  <c r="M375" i="2"/>
  <c r="Z375" i="2" s="1"/>
  <c r="L375" i="2"/>
  <c r="Y375" i="2" s="1"/>
  <c r="I375" i="2"/>
  <c r="V375" i="2" s="1"/>
  <c r="F372" i="2"/>
  <c r="S372" i="2" s="1"/>
  <c r="F371" i="2"/>
  <c r="L369" i="2"/>
  <c r="Y369" i="2" s="1"/>
  <c r="I369" i="2"/>
  <c r="V369" i="2" s="1"/>
  <c r="H369" i="2"/>
  <c r="U369" i="2" s="1"/>
  <c r="D369" i="2"/>
  <c r="Q369" i="2" s="1"/>
  <c r="I362" i="2"/>
  <c r="M361" i="2"/>
  <c r="Z361" i="2" s="1"/>
  <c r="L361" i="2"/>
  <c r="Y361" i="2" s="1"/>
  <c r="K361" i="2"/>
  <c r="X361" i="2" s="1"/>
  <c r="J361" i="2"/>
  <c r="W361" i="2" s="1"/>
  <c r="I361" i="2"/>
  <c r="V361" i="2" s="1"/>
  <c r="H361" i="2"/>
  <c r="U361" i="2" s="1"/>
  <c r="G361" i="2"/>
  <c r="T361" i="2" s="1"/>
  <c r="F361" i="2"/>
  <c r="S361" i="2" s="1"/>
  <c r="E361" i="2"/>
  <c r="R361" i="2" s="1"/>
  <c r="D361" i="2"/>
  <c r="Q361" i="2" s="1"/>
  <c r="C361" i="2"/>
  <c r="P361" i="2" s="1"/>
  <c r="B361" i="2"/>
  <c r="O361" i="2" s="1"/>
  <c r="L358" i="2"/>
  <c r="Y358" i="2" s="1"/>
  <c r="F357" i="2"/>
  <c r="S357" i="2" s="1"/>
  <c r="B357" i="2"/>
  <c r="O357" i="2" s="1"/>
  <c r="J356" i="2"/>
  <c r="H356" i="2"/>
  <c r="U356" i="2" s="1"/>
  <c r="B356" i="2"/>
  <c r="I355" i="2"/>
  <c r="V355" i="2" s="1"/>
  <c r="F355" i="2"/>
  <c r="S355" i="2" s="1"/>
  <c r="E355" i="2"/>
  <c r="D355" i="2"/>
  <c r="Q355" i="2" s="1"/>
  <c r="Y352" i="2"/>
  <c r="H352" i="2"/>
  <c r="U352" i="2" s="1"/>
  <c r="L351" i="2"/>
  <c r="Y351" i="2" s="1"/>
  <c r="H351" i="2"/>
  <c r="U351" i="2" s="1"/>
  <c r="D350" i="2"/>
  <c r="Q350" i="2" s="1"/>
  <c r="L349" i="2"/>
  <c r="Y349" i="2" s="1"/>
  <c r="H349" i="2"/>
  <c r="U349" i="2" s="1"/>
  <c r="E348" i="2"/>
  <c r="R348" i="2" s="1"/>
  <c r="D348" i="2"/>
  <c r="Q348" i="2" s="1"/>
  <c r="V347" i="2"/>
  <c r="G344" i="2"/>
  <c r="T344" i="2" s="1"/>
  <c r="C344" i="2"/>
  <c r="P344" i="2" s="1"/>
  <c r="L343" i="2"/>
  <c r="H343" i="2"/>
  <c r="D343" i="2"/>
  <c r="L323" i="2"/>
  <c r="Y323" i="2" s="1"/>
  <c r="J323" i="2"/>
  <c r="W323" i="2" s="1"/>
  <c r="I323" i="2"/>
  <c r="V323" i="2" s="1"/>
  <c r="H323" i="2"/>
  <c r="U323" i="2" s="1"/>
  <c r="F323" i="2"/>
  <c r="S323" i="2" s="1"/>
  <c r="E323" i="2"/>
  <c r="R323" i="2" s="1"/>
  <c r="D323" i="2"/>
  <c r="Q323" i="2" s="1"/>
  <c r="B323" i="2"/>
  <c r="O323" i="2" s="1"/>
  <c r="M322" i="2"/>
  <c r="Z322" i="2" s="1"/>
  <c r="L322" i="2"/>
  <c r="Y322" i="2" s="1"/>
  <c r="K322" i="2"/>
  <c r="X322" i="2" s="1"/>
  <c r="J322" i="2"/>
  <c r="W322" i="2" s="1"/>
  <c r="I322" i="2"/>
  <c r="V322" i="2" s="1"/>
  <c r="H322" i="2"/>
  <c r="U322" i="2" s="1"/>
  <c r="G322" i="2"/>
  <c r="T322" i="2" s="1"/>
  <c r="F322" i="2"/>
  <c r="S322" i="2" s="1"/>
  <c r="E322" i="2"/>
  <c r="R322" i="2" s="1"/>
  <c r="D322" i="2"/>
  <c r="Q322" i="2" s="1"/>
  <c r="C322" i="2"/>
  <c r="P322" i="2" s="1"/>
  <c r="B322" i="2"/>
  <c r="O322" i="2" s="1"/>
  <c r="K321" i="2"/>
  <c r="X321" i="2" s="1"/>
  <c r="I321" i="2"/>
  <c r="V321" i="2" s="1"/>
  <c r="G321" i="2"/>
  <c r="T321" i="2" s="1"/>
  <c r="C321" i="2"/>
  <c r="P321" i="2" s="1"/>
  <c r="M320" i="2"/>
  <c r="L320" i="2"/>
  <c r="K320" i="2"/>
  <c r="J320" i="2"/>
  <c r="I320" i="2"/>
  <c r="H320" i="2"/>
  <c r="G320" i="2"/>
  <c r="F320" i="2"/>
  <c r="S320" i="2" s="1"/>
  <c r="E320" i="2"/>
  <c r="D320" i="2"/>
  <c r="C320" i="2"/>
  <c r="B320" i="2"/>
  <c r="O320" i="2" s="1"/>
  <c r="L313" i="2"/>
  <c r="Y313" i="2" s="1"/>
  <c r="H313" i="2"/>
  <c r="U313" i="2" s="1"/>
  <c r="F313" i="2"/>
  <c r="S313" i="2" s="1"/>
  <c r="D313" i="2"/>
  <c r="Q313" i="2" s="1"/>
  <c r="B313" i="2"/>
  <c r="O313" i="2" s="1"/>
  <c r="J312" i="2"/>
  <c r="W312" i="2" s="1"/>
  <c r="H312" i="2"/>
  <c r="U312" i="2" s="1"/>
  <c r="F312" i="2"/>
  <c r="S312" i="2" s="1"/>
  <c r="D312" i="2"/>
  <c r="Q312" i="2" s="1"/>
  <c r="B312" i="2"/>
  <c r="O312" i="2" s="1"/>
  <c r="J311" i="2"/>
  <c r="W311" i="2" s="1"/>
  <c r="I311" i="2"/>
  <c r="V311" i="2" s="1"/>
  <c r="F311" i="2"/>
  <c r="S311" i="2" s="1"/>
  <c r="E311" i="2"/>
  <c r="R311" i="2" s="1"/>
  <c r="B311" i="2"/>
  <c r="O311" i="2" s="1"/>
  <c r="M310" i="2"/>
  <c r="Z310" i="2" s="1"/>
  <c r="J310" i="2"/>
  <c r="W310" i="2" s="1"/>
  <c r="I310" i="2"/>
  <c r="V310" i="2" s="1"/>
  <c r="E310" i="2"/>
  <c r="R310" i="2" s="1"/>
  <c r="B310" i="2"/>
  <c r="O310" i="2" s="1"/>
  <c r="M309" i="2"/>
  <c r="Z309" i="2" s="1"/>
  <c r="J309" i="2"/>
  <c r="W309" i="2" s="1"/>
  <c r="I309" i="2"/>
  <c r="V309" i="2" s="1"/>
  <c r="F309" i="2"/>
  <c r="S309" i="2" s="1"/>
  <c r="E309" i="2"/>
  <c r="R309" i="2" s="1"/>
  <c r="B309" i="2"/>
  <c r="O309" i="2" s="1"/>
  <c r="L308" i="2"/>
  <c r="J308" i="2"/>
  <c r="W308" i="2" s="1"/>
  <c r="I308" i="2"/>
  <c r="H308" i="2"/>
  <c r="F308" i="2"/>
  <c r="S308" i="2" s="1"/>
  <c r="E308" i="2"/>
  <c r="D308" i="2"/>
  <c r="B308" i="2"/>
  <c r="O308" i="2" s="1"/>
  <c r="M307" i="2"/>
  <c r="Z307" i="2" s="1"/>
  <c r="L307" i="2"/>
  <c r="Y307" i="2" s="1"/>
  <c r="J307" i="2"/>
  <c r="I307" i="2"/>
  <c r="V307" i="2" s="1"/>
  <c r="H307" i="2"/>
  <c r="U307" i="2" s="1"/>
  <c r="F307" i="2"/>
  <c r="E307" i="2"/>
  <c r="R307" i="2" s="1"/>
  <c r="D307" i="2"/>
  <c r="Q307" i="2" s="1"/>
  <c r="B307" i="2"/>
  <c r="K304" i="2"/>
  <c r="X304" i="2" s="1"/>
  <c r="G304" i="2"/>
  <c r="T304" i="2" s="1"/>
  <c r="F304" i="2"/>
  <c r="S304" i="2" s="1"/>
  <c r="C304" i="2"/>
  <c r="P304" i="2" s="1"/>
  <c r="K303" i="2"/>
  <c r="X303" i="2" s="1"/>
  <c r="C303" i="2"/>
  <c r="P303" i="2" s="1"/>
  <c r="J302" i="2"/>
  <c r="W302" i="2" s="1"/>
  <c r="G302" i="2"/>
  <c r="T302" i="2" s="1"/>
  <c r="F302" i="2"/>
  <c r="S302" i="2" s="1"/>
  <c r="E302" i="2"/>
  <c r="R302" i="2" s="1"/>
  <c r="B302" i="2"/>
  <c r="O302" i="2" s="1"/>
  <c r="G301" i="2"/>
  <c r="T301" i="2" s="1"/>
  <c r="F301" i="2"/>
  <c r="S301" i="2" s="1"/>
  <c r="C301" i="2"/>
  <c r="P301" i="2" s="1"/>
  <c r="B301" i="2"/>
  <c r="O301" i="2" s="1"/>
  <c r="G300" i="2"/>
  <c r="T300" i="2" s="1"/>
  <c r="F300" i="2"/>
  <c r="S300" i="2" s="1"/>
  <c r="G299" i="2"/>
  <c r="T299" i="2" s="1"/>
  <c r="C299" i="2"/>
  <c r="P299" i="2" s="1"/>
  <c r="B299" i="2"/>
  <c r="O299" i="2" s="1"/>
  <c r="G298" i="2"/>
  <c r="T298" i="2" s="1"/>
  <c r="F298" i="2"/>
  <c r="S298" i="2" s="1"/>
  <c r="C298" i="2"/>
  <c r="P298" i="2" s="1"/>
  <c r="B298" i="2"/>
  <c r="O298" i="2" s="1"/>
  <c r="K297" i="2"/>
  <c r="X297" i="2" s="1"/>
  <c r="J297" i="2"/>
  <c r="W297" i="2" s="1"/>
  <c r="G297" i="2"/>
  <c r="T297" i="2" s="1"/>
  <c r="F297" i="2"/>
  <c r="S297" i="2" s="1"/>
  <c r="C297" i="2"/>
  <c r="P297" i="2" s="1"/>
  <c r="B297" i="2"/>
  <c r="O297" i="2" s="1"/>
  <c r="G296" i="2"/>
  <c r="T296" i="2" s="1"/>
  <c r="C296" i="2"/>
  <c r="P296" i="2" s="1"/>
  <c r="B296" i="2"/>
  <c r="O296" i="2" s="1"/>
  <c r="G295" i="2"/>
  <c r="T295" i="2" s="1"/>
  <c r="C295" i="2"/>
  <c r="P295" i="2" s="1"/>
  <c r="B295" i="2"/>
  <c r="O295" i="2" s="1"/>
  <c r="G294" i="2"/>
  <c r="C294" i="2"/>
  <c r="B294" i="2"/>
  <c r="D290" i="2"/>
  <c r="Q290" i="2" s="1"/>
  <c r="J288" i="2"/>
  <c r="W288" i="2" s="1"/>
  <c r="F287" i="2"/>
  <c r="B279" i="2"/>
  <c r="O279" i="2" s="1"/>
  <c r="L278" i="2"/>
  <c r="Y278" i="2" s="1"/>
  <c r="B271" i="2"/>
  <c r="M269" i="2"/>
  <c r="Z269" i="2" s="1"/>
  <c r="L269" i="2"/>
  <c r="I269" i="2"/>
  <c r="H269" i="2"/>
  <c r="E269" i="2"/>
  <c r="R269" i="2" s="1"/>
  <c r="D269" i="2"/>
  <c r="L265" i="2"/>
  <c r="Y265" i="2" s="1"/>
  <c r="J265" i="2"/>
  <c r="W265" i="2" s="1"/>
  <c r="I265" i="2"/>
  <c r="V265" i="2" s="1"/>
  <c r="H265" i="2"/>
  <c r="U265" i="2" s="1"/>
  <c r="F265" i="2"/>
  <c r="S265" i="2" s="1"/>
  <c r="D265" i="2"/>
  <c r="Q265" i="2" s="1"/>
  <c r="B265" i="2"/>
  <c r="O265" i="2" s="1"/>
  <c r="E254" i="2"/>
  <c r="R254" i="2" s="1"/>
  <c r="G245" i="2"/>
  <c r="T245" i="2" s="1"/>
  <c r="L241" i="2"/>
  <c r="Y241" i="2" s="1"/>
  <c r="K241" i="2"/>
  <c r="X241" i="2" s="1"/>
  <c r="I241" i="2"/>
  <c r="V241" i="2" s="1"/>
  <c r="H241" i="2"/>
  <c r="U241" i="2" s="1"/>
  <c r="G241" i="2"/>
  <c r="T241" i="2" s="1"/>
  <c r="E241" i="2"/>
  <c r="R241" i="2" s="1"/>
  <c r="D241" i="2"/>
  <c r="Q241" i="2" s="1"/>
  <c r="C241" i="2"/>
  <c r="P241" i="2" s="1"/>
  <c r="K225" i="2"/>
  <c r="X225" i="2" s="1"/>
  <c r="G225" i="2"/>
  <c r="T225" i="2" s="1"/>
  <c r="F225" i="2"/>
  <c r="S225" i="2" s="1"/>
  <c r="G224" i="2"/>
  <c r="T224" i="2" s="1"/>
  <c r="C224" i="2"/>
  <c r="P224" i="2" s="1"/>
  <c r="C223" i="2"/>
  <c r="P223" i="2" s="1"/>
  <c r="C222" i="2"/>
  <c r="P222" i="2" s="1"/>
  <c r="J212" i="2"/>
  <c r="W212" i="2" s="1"/>
  <c r="F209" i="2"/>
  <c r="S209" i="2" s="1"/>
  <c r="K188" i="2"/>
  <c r="X188" i="2" s="1"/>
  <c r="C188" i="2"/>
  <c r="P188" i="2" s="1"/>
  <c r="B188" i="2"/>
  <c r="O188" i="2" s="1"/>
  <c r="J185" i="2"/>
  <c r="W185" i="2" s="1"/>
  <c r="L181" i="2"/>
  <c r="Y181" i="2" s="1"/>
  <c r="K181" i="2"/>
  <c r="X181" i="2" s="1"/>
  <c r="J181" i="2"/>
  <c r="W181" i="2" s="1"/>
  <c r="H181" i="2"/>
  <c r="U181" i="2" s="1"/>
  <c r="G181" i="2"/>
  <c r="T181" i="2" s="1"/>
  <c r="F181" i="2"/>
  <c r="S181" i="2" s="1"/>
  <c r="D181" i="2"/>
  <c r="Q181" i="2" s="1"/>
  <c r="C181" i="2"/>
  <c r="P181" i="2" s="1"/>
  <c r="B181" i="2"/>
  <c r="O181" i="2" s="1"/>
  <c r="M171" i="2"/>
  <c r="Z171" i="2" s="1"/>
  <c r="L171" i="2"/>
  <c r="Y171" i="2" s="1"/>
  <c r="I171" i="2"/>
  <c r="V171" i="2" s="1"/>
  <c r="H171" i="2"/>
  <c r="U171" i="2" s="1"/>
  <c r="G171" i="2"/>
  <c r="T171" i="2" s="1"/>
  <c r="F171" i="2"/>
  <c r="S171" i="2" s="1"/>
  <c r="E171" i="2"/>
  <c r="R171" i="2" s="1"/>
  <c r="C171" i="2"/>
  <c r="P171" i="2" s="1"/>
  <c r="B171" i="2"/>
  <c r="O171" i="2" s="1"/>
  <c r="L170" i="2"/>
  <c r="Y170" i="2" s="1"/>
  <c r="H170" i="2"/>
  <c r="U170" i="2" s="1"/>
  <c r="F170" i="2"/>
  <c r="S170" i="2" s="1"/>
  <c r="E170" i="2"/>
  <c r="R170" i="2" s="1"/>
  <c r="D170" i="2"/>
  <c r="Q170" i="2" s="1"/>
  <c r="B170" i="2"/>
  <c r="O170" i="2" s="1"/>
  <c r="L169" i="2"/>
  <c r="Y169" i="2" s="1"/>
  <c r="J169" i="2"/>
  <c r="W169" i="2" s="1"/>
  <c r="I169" i="2"/>
  <c r="V169" i="2" s="1"/>
  <c r="H169" i="2"/>
  <c r="U169" i="2" s="1"/>
  <c r="F169" i="2"/>
  <c r="S169" i="2" s="1"/>
  <c r="E169" i="2"/>
  <c r="R169" i="2" s="1"/>
  <c r="B169" i="2"/>
  <c r="O169" i="2" s="1"/>
  <c r="L168" i="2"/>
  <c r="Y168" i="2" s="1"/>
  <c r="J168" i="2"/>
  <c r="W168" i="2" s="1"/>
  <c r="I168" i="2"/>
  <c r="V168" i="2" s="1"/>
  <c r="H168" i="2"/>
  <c r="U168" i="2" s="1"/>
  <c r="F168" i="2"/>
  <c r="S168" i="2" s="1"/>
  <c r="E168" i="2"/>
  <c r="R168" i="2" s="1"/>
  <c r="D168" i="2"/>
  <c r="Q168" i="2" s="1"/>
  <c r="B168" i="2"/>
  <c r="O168" i="2" s="1"/>
  <c r="J167" i="2"/>
  <c r="I167" i="2"/>
  <c r="H167" i="2"/>
  <c r="F167" i="2"/>
  <c r="E167" i="2"/>
  <c r="D167" i="2"/>
  <c r="B167" i="2"/>
  <c r="L165" i="2"/>
  <c r="Y165" i="2" s="1"/>
  <c r="J165" i="2"/>
  <c r="W165" i="2" s="1"/>
  <c r="I165" i="2"/>
  <c r="V165" i="2" s="1"/>
  <c r="H165" i="2"/>
  <c r="U165" i="2" s="1"/>
  <c r="F165" i="2"/>
  <c r="S165" i="2" s="1"/>
  <c r="E165" i="2"/>
  <c r="R165" i="2" s="1"/>
  <c r="D165" i="2"/>
  <c r="Q165" i="2" s="1"/>
  <c r="B165" i="2"/>
  <c r="O165" i="2" s="1"/>
  <c r="J162" i="2"/>
  <c r="W162" i="2" s="1"/>
  <c r="I162" i="2"/>
  <c r="V162" i="2" s="1"/>
  <c r="F162" i="2"/>
  <c r="S162" i="2" s="1"/>
  <c r="E162" i="2"/>
  <c r="R162" i="2" s="1"/>
  <c r="B162" i="2"/>
  <c r="O162" i="2" s="1"/>
  <c r="G161" i="2"/>
  <c r="T161" i="2" s="1"/>
  <c r="F161" i="2"/>
  <c r="S161" i="2" s="1"/>
  <c r="K160" i="2"/>
  <c r="X160" i="2" s="1"/>
  <c r="C160" i="2"/>
  <c r="P160" i="2" s="1"/>
  <c r="M159" i="2"/>
  <c r="L159" i="2"/>
  <c r="Y159" i="2" s="1"/>
  <c r="K159" i="2"/>
  <c r="J159" i="2"/>
  <c r="W159" i="2" s="1"/>
  <c r="I159" i="2"/>
  <c r="V159" i="2" s="1"/>
  <c r="H159" i="2"/>
  <c r="U159" i="2" s="1"/>
  <c r="G159" i="2"/>
  <c r="F159" i="2"/>
  <c r="S159" i="2" s="1"/>
  <c r="E159" i="2"/>
  <c r="R159" i="2" s="1"/>
  <c r="D159" i="2"/>
  <c r="Q159" i="2" s="1"/>
  <c r="C159" i="2"/>
  <c r="B159" i="2"/>
  <c r="O159" i="2" s="1"/>
  <c r="F156" i="2"/>
  <c r="S156" i="2" s="1"/>
  <c r="W151" i="2"/>
  <c r="V151" i="2"/>
  <c r="S151" i="2"/>
  <c r="R151" i="2"/>
  <c r="O151" i="2"/>
  <c r="L151" i="2"/>
  <c r="Y151" i="2" s="1"/>
  <c r="K151" i="2"/>
  <c r="X151" i="2" s="1"/>
  <c r="J151" i="2"/>
  <c r="H151" i="2"/>
  <c r="U151" i="2" s="1"/>
  <c r="G151" i="2"/>
  <c r="T151" i="2" s="1"/>
  <c r="F151" i="2"/>
  <c r="D151" i="2"/>
  <c r="Q151" i="2" s="1"/>
  <c r="C151" i="2"/>
  <c r="P151" i="2" s="1"/>
  <c r="B151" i="2"/>
  <c r="L150" i="2"/>
  <c r="Y150" i="2" s="1"/>
  <c r="I150" i="2"/>
  <c r="V150" i="2" s="1"/>
  <c r="E150" i="2"/>
  <c r="R150" i="2" s="1"/>
  <c r="D150" i="2"/>
  <c r="Q150" i="2" s="1"/>
  <c r="R149" i="2"/>
  <c r="L149" i="2"/>
  <c r="Y149" i="2" s="1"/>
  <c r="J149" i="2"/>
  <c r="W149" i="2" s="1"/>
  <c r="I149" i="2"/>
  <c r="V149" i="2" s="1"/>
  <c r="H149" i="2"/>
  <c r="U149" i="2" s="1"/>
  <c r="F149" i="2"/>
  <c r="S149" i="2" s="1"/>
  <c r="E149" i="2"/>
  <c r="D149" i="2"/>
  <c r="Q149" i="2" s="1"/>
  <c r="B149" i="2"/>
  <c r="O149" i="2" s="1"/>
  <c r="L148" i="2"/>
  <c r="Y148" i="2" s="1"/>
  <c r="K148" i="2"/>
  <c r="X148" i="2" s="1"/>
  <c r="J148" i="2"/>
  <c r="W148" i="2" s="1"/>
  <c r="H148" i="2"/>
  <c r="U148" i="2" s="1"/>
  <c r="G148" i="2"/>
  <c r="T148" i="2" s="1"/>
  <c r="F148" i="2"/>
  <c r="S148" i="2" s="1"/>
  <c r="D148" i="2"/>
  <c r="Q148" i="2" s="1"/>
  <c r="C148" i="2"/>
  <c r="P148" i="2" s="1"/>
  <c r="B148" i="2"/>
  <c r="O148" i="2" s="1"/>
  <c r="K147" i="2"/>
  <c r="X147" i="2" s="1"/>
  <c r="J147" i="2"/>
  <c r="W147" i="2" s="1"/>
  <c r="I147" i="2"/>
  <c r="V147" i="2" s="1"/>
  <c r="G147" i="2"/>
  <c r="T147" i="2" s="1"/>
  <c r="F147" i="2"/>
  <c r="S147" i="2" s="1"/>
  <c r="E147" i="2"/>
  <c r="R147" i="2" s="1"/>
  <c r="C147" i="2"/>
  <c r="P147" i="2" s="1"/>
  <c r="B147" i="2"/>
  <c r="O147" i="2" s="1"/>
  <c r="M146" i="2"/>
  <c r="Z146" i="2" s="1"/>
  <c r="I146" i="2"/>
  <c r="V146" i="2" s="1"/>
  <c r="E146" i="2"/>
  <c r="R146" i="2" s="1"/>
  <c r="L145" i="2"/>
  <c r="Y145" i="2" s="1"/>
  <c r="K145" i="2"/>
  <c r="X145" i="2" s="1"/>
  <c r="I145" i="2"/>
  <c r="V145" i="2" s="1"/>
  <c r="H145" i="2"/>
  <c r="U145" i="2" s="1"/>
  <c r="G145" i="2"/>
  <c r="T145" i="2" s="1"/>
  <c r="E145" i="2"/>
  <c r="R145" i="2" s="1"/>
  <c r="D145" i="2"/>
  <c r="Q145" i="2" s="1"/>
  <c r="C145" i="2"/>
  <c r="P145" i="2" s="1"/>
  <c r="K143" i="2"/>
  <c r="X143" i="2" s="1"/>
  <c r="J143" i="2"/>
  <c r="W143" i="2" s="1"/>
  <c r="I143" i="2"/>
  <c r="V143" i="2" s="1"/>
  <c r="G143" i="2"/>
  <c r="T143" i="2" s="1"/>
  <c r="F143" i="2"/>
  <c r="S143" i="2" s="1"/>
  <c r="E143" i="2"/>
  <c r="R143" i="2" s="1"/>
  <c r="C143" i="2"/>
  <c r="P143" i="2" s="1"/>
  <c r="B143" i="2"/>
  <c r="O143" i="2" s="1"/>
  <c r="K142" i="2"/>
  <c r="X142" i="2" s="1"/>
  <c r="G142" i="2"/>
  <c r="T142" i="2" s="1"/>
  <c r="C142" i="2"/>
  <c r="P142" i="2" s="1"/>
  <c r="H140" i="2"/>
  <c r="U140" i="2" s="1"/>
  <c r="D140" i="2"/>
  <c r="Q140" i="2" s="1"/>
  <c r="M139" i="2"/>
  <c r="Z139" i="2" s="1"/>
  <c r="L139" i="2"/>
  <c r="Y139" i="2" s="1"/>
  <c r="K139" i="2"/>
  <c r="X139" i="2" s="1"/>
  <c r="J139" i="2"/>
  <c r="W139" i="2" s="1"/>
  <c r="I139" i="2"/>
  <c r="V139" i="2" s="1"/>
  <c r="H139" i="2"/>
  <c r="U139" i="2" s="1"/>
  <c r="G139" i="2"/>
  <c r="T139" i="2" s="1"/>
  <c r="F139" i="2"/>
  <c r="S139" i="2" s="1"/>
  <c r="E139" i="2"/>
  <c r="R139" i="2" s="1"/>
  <c r="D139" i="2"/>
  <c r="Q139" i="2" s="1"/>
  <c r="C139" i="2"/>
  <c r="P139" i="2" s="1"/>
  <c r="B139" i="2"/>
  <c r="O139" i="2" s="1"/>
  <c r="M138" i="2"/>
  <c r="Z138" i="2" s="1"/>
  <c r="L138" i="2"/>
  <c r="Y138" i="2" s="1"/>
  <c r="K138" i="2"/>
  <c r="X138" i="2" s="1"/>
  <c r="I138" i="2"/>
  <c r="V138" i="2" s="1"/>
  <c r="H138" i="2"/>
  <c r="U138" i="2" s="1"/>
  <c r="G138" i="2"/>
  <c r="T138" i="2" s="1"/>
  <c r="E138" i="2"/>
  <c r="R138" i="2" s="1"/>
  <c r="D138" i="2"/>
  <c r="Q138" i="2" s="1"/>
  <c r="C138" i="2"/>
  <c r="P138" i="2" s="1"/>
  <c r="M137" i="2"/>
  <c r="Z137" i="2" s="1"/>
  <c r="L137" i="2"/>
  <c r="Y137" i="2" s="1"/>
  <c r="I137" i="2"/>
  <c r="V137" i="2" s="1"/>
  <c r="H137" i="2"/>
  <c r="U137" i="2" s="1"/>
  <c r="E137" i="2"/>
  <c r="R137" i="2" s="1"/>
  <c r="D137" i="2"/>
  <c r="Q137" i="2" s="1"/>
  <c r="J136" i="2"/>
  <c r="W136" i="2" s="1"/>
  <c r="F136" i="2"/>
  <c r="S136" i="2" s="1"/>
  <c r="E136" i="2"/>
  <c r="R136" i="2" s="1"/>
  <c r="H135" i="2"/>
  <c r="U135" i="2" s="1"/>
  <c r="J134" i="2"/>
  <c r="W134" i="2" s="1"/>
  <c r="I134" i="2"/>
  <c r="V134" i="2" s="1"/>
  <c r="B134" i="2"/>
  <c r="O134" i="2" s="1"/>
  <c r="M133" i="2"/>
  <c r="Z133" i="2" s="1"/>
  <c r="K133" i="2"/>
  <c r="X133" i="2" s="1"/>
  <c r="J133" i="2"/>
  <c r="W133" i="2" s="1"/>
  <c r="I133" i="2"/>
  <c r="V133" i="2" s="1"/>
  <c r="G133" i="2"/>
  <c r="T133" i="2" s="1"/>
  <c r="F133" i="2"/>
  <c r="S133" i="2" s="1"/>
  <c r="E133" i="2"/>
  <c r="R133" i="2" s="1"/>
  <c r="C133" i="2"/>
  <c r="P133" i="2" s="1"/>
  <c r="B133" i="2"/>
  <c r="O133" i="2" s="1"/>
  <c r="M132" i="2"/>
  <c r="Z132" i="2" s="1"/>
  <c r="F132" i="2"/>
  <c r="S132" i="2" s="1"/>
  <c r="E132" i="2"/>
  <c r="R132" i="2" s="1"/>
  <c r="H131" i="2"/>
  <c r="U131" i="2" s="1"/>
  <c r="D130" i="2"/>
  <c r="Q130" i="2" s="1"/>
  <c r="M129" i="2"/>
  <c r="Z129" i="2" s="1"/>
  <c r="L129" i="2"/>
  <c r="Y129" i="2" s="1"/>
  <c r="K129" i="2"/>
  <c r="X129" i="2" s="1"/>
  <c r="J129" i="2"/>
  <c r="W129" i="2" s="1"/>
  <c r="I129" i="2"/>
  <c r="V129" i="2" s="1"/>
  <c r="H129" i="2"/>
  <c r="U129" i="2" s="1"/>
  <c r="G129" i="2"/>
  <c r="T129" i="2" s="1"/>
  <c r="F129" i="2"/>
  <c r="S129" i="2" s="1"/>
  <c r="E129" i="2"/>
  <c r="R129" i="2" s="1"/>
  <c r="D129" i="2"/>
  <c r="Q129" i="2" s="1"/>
  <c r="C129" i="2"/>
  <c r="P129" i="2" s="1"/>
  <c r="B129" i="2"/>
  <c r="O129" i="2" s="1"/>
  <c r="L128" i="2"/>
  <c r="Y128" i="2" s="1"/>
  <c r="J128" i="2"/>
  <c r="W128" i="2" s="1"/>
  <c r="H128" i="2"/>
  <c r="U128" i="2" s="1"/>
  <c r="F128" i="2"/>
  <c r="S128" i="2" s="1"/>
  <c r="D128" i="2"/>
  <c r="Q128" i="2" s="1"/>
  <c r="C128" i="2"/>
  <c r="P128" i="2" s="1"/>
  <c r="B128" i="2"/>
  <c r="O128" i="2" s="1"/>
  <c r="L127" i="2"/>
  <c r="Y127" i="2" s="1"/>
  <c r="F127" i="2"/>
  <c r="S127" i="2" s="1"/>
  <c r="D127" i="2"/>
  <c r="Q127" i="2" s="1"/>
  <c r="B127" i="2"/>
  <c r="O127" i="2" s="1"/>
  <c r="J126" i="2"/>
  <c r="W126" i="2" s="1"/>
  <c r="F126" i="2"/>
  <c r="S126" i="2" s="1"/>
  <c r="L125" i="2"/>
  <c r="Y125" i="2" s="1"/>
  <c r="K125" i="2"/>
  <c r="X125" i="2" s="1"/>
  <c r="J125" i="2"/>
  <c r="W125" i="2" s="1"/>
  <c r="H125" i="2"/>
  <c r="U125" i="2" s="1"/>
  <c r="F125" i="2"/>
  <c r="S125" i="2" s="1"/>
  <c r="D125" i="2"/>
  <c r="Q125" i="2" s="1"/>
  <c r="C125" i="2"/>
  <c r="P125" i="2" s="1"/>
  <c r="B125" i="2"/>
  <c r="O125" i="2" s="1"/>
  <c r="L124" i="2"/>
  <c r="Y124" i="2" s="1"/>
  <c r="I124" i="2"/>
  <c r="V124" i="2" s="1"/>
  <c r="H124" i="2"/>
  <c r="U124" i="2" s="1"/>
  <c r="E124" i="2"/>
  <c r="R124" i="2" s="1"/>
  <c r="D124" i="2"/>
  <c r="Q124" i="2" s="1"/>
  <c r="B124" i="2"/>
  <c r="O124" i="2" s="1"/>
  <c r="M123" i="2"/>
  <c r="Z123" i="2" s="1"/>
  <c r="L123" i="2"/>
  <c r="Y123" i="2" s="1"/>
  <c r="K123" i="2"/>
  <c r="X123" i="2" s="1"/>
  <c r="J123" i="2"/>
  <c r="W123" i="2" s="1"/>
  <c r="I123" i="2"/>
  <c r="V123" i="2" s="1"/>
  <c r="H123" i="2"/>
  <c r="U123" i="2" s="1"/>
  <c r="G123" i="2"/>
  <c r="T123" i="2" s="1"/>
  <c r="F123" i="2"/>
  <c r="S123" i="2" s="1"/>
  <c r="E123" i="2"/>
  <c r="R123" i="2" s="1"/>
  <c r="D123" i="2"/>
  <c r="Q123" i="2" s="1"/>
  <c r="C123" i="2"/>
  <c r="P123" i="2" s="1"/>
  <c r="B123" i="2"/>
  <c r="O123" i="2" s="1"/>
  <c r="K121" i="2"/>
  <c r="X121" i="2" s="1"/>
  <c r="J121" i="2"/>
  <c r="W121" i="2" s="1"/>
  <c r="F121" i="2"/>
  <c r="S121" i="2" s="1"/>
  <c r="C121" i="2"/>
  <c r="P121" i="2" s="1"/>
  <c r="B121" i="2"/>
  <c r="O121" i="2" s="1"/>
  <c r="L120" i="2"/>
  <c r="Y120" i="2" s="1"/>
  <c r="H120" i="2"/>
  <c r="U120" i="2" s="1"/>
  <c r="D120" i="2"/>
  <c r="Q120" i="2" s="1"/>
  <c r="L112" i="2"/>
  <c r="K112" i="2"/>
  <c r="J112" i="2"/>
  <c r="H112" i="2"/>
  <c r="G112" i="2"/>
  <c r="F112" i="2"/>
  <c r="D112" i="2"/>
  <c r="C112" i="2"/>
  <c r="B112" i="2"/>
  <c r="C108" i="2"/>
  <c r="P108" i="2" s="1"/>
  <c r="K107" i="2"/>
  <c r="X107" i="2" s="1"/>
  <c r="J105" i="2"/>
  <c r="W105" i="2" s="1"/>
  <c r="F105" i="2"/>
  <c r="S105" i="2" s="1"/>
  <c r="B105" i="2"/>
  <c r="O105" i="2" s="1"/>
  <c r="L101" i="2"/>
  <c r="Y101" i="2" s="1"/>
  <c r="H101" i="2"/>
  <c r="U101" i="2" s="1"/>
  <c r="L100" i="2"/>
  <c r="B96" i="2"/>
  <c r="O96" i="2" s="1"/>
  <c r="B95" i="2"/>
  <c r="O95" i="2" s="1"/>
  <c r="J88" i="2"/>
  <c r="W88" i="2" s="1"/>
  <c r="L87" i="2"/>
  <c r="Y87" i="2" s="1"/>
  <c r="J87" i="2"/>
  <c r="W87" i="2" s="1"/>
  <c r="I87" i="2"/>
  <c r="H87" i="2"/>
  <c r="U87" i="2" s="1"/>
  <c r="F87" i="2"/>
  <c r="S87" i="2" s="1"/>
  <c r="D87" i="2"/>
  <c r="Q87" i="2" s="1"/>
  <c r="B87" i="2"/>
  <c r="O87" i="2" s="1"/>
  <c r="F83" i="2"/>
  <c r="S83" i="2" s="1"/>
  <c r="B83" i="2"/>
  <c r="O83" i="2" s="1"/>
  <c r="J82" i="2"/>
  <c r="W82" i="2" s="1"/>
  <c r="F82" i="2"/>
  <c r="S82" i="2" s="1"/>
  <c r="B82" i="2"/>
  <c r="O82" i="2" s="1"/>
  <c r="J81" i="2"/>
  <c r="W81" i="2" s="1"/>
  <c r="F81" i="2"/>
  <c r="S81" i="2" s="1"/>
  <c r="B81" i="2"/>
  <c r="O81" i="2" s="1"/>
  <c r="J80" i="2"/>
  <c r="W80" i="2" s="1"/>
  <c r="F80" i="2"/>
  <c r="S80" i="2" s="1"/>
  <c r="B80" i="2"/>
  <c r="O80" i="2" s="1"/>
  <c r="J79" i="2"/>
  <c r="F79" i="2"/>
  <c r="B79" i="2"/>
  <c r="L76" i="2"/>
  <c r="Y76" i="2" s="1"/>
  <c r="H71" i="2"/>
  <c r="U71" i="2" s="1"/>
  <c r="H69" i="2"/>
  <c r="U69" i="2" s="1"/>
  <c r="L59" i="2"/>
  <c r="Y59" i="2" s="1"/>
  <c r="J59" i="2"/>
  <c r="W59" i="2" s="1"/>
  <c r="I59" i="2"/>
  <c r="V59" i="2" s="1"/>
  <c r="H59" i="2"/>
  <c r="U59" i="2" s="1"/>
  <c r="E59" i="2"/>
  <c r="R59" i="2" s="1"/>
  <c r="D59" i="2"/>
  <c r="Q59" i="2" s="1"/>
  <c r="M58" i="2"/>
  <c r="Z58" i="2" s="1"/>
  <c r="L58" i="2"/>
  <c r="Y58" i="2" s="1"/>
  <c r="I58" i="2"/>
  <c r="V58" i="2" s="1"/>
  <c r="H58" i="2"/>
  <c r="U58" i="2" s="1"/>
  <c r="F58" i="2"/>
  <c r="S58" i="2" s="1"/>
  <c r="E58" i="2"/>
  <c r="R58" i="2" s="1"/>
  <c r="D58" i="2"/>
  <c r="Q58" i="2" s="1"/>
  <c r="L57" i="2"/>
  <c r="Y57" i="2" s="1"/>
  <c r="I57" i="2"/>
  <c r="V57" i="2" s="1"/>
  <c r="H57" i="2"/>
  <c r="U57" i="2" s="1"/>
  <c r="G57" i="2"/>
  <c r="T57" i="2" s="1"/>
  <c r="E57" i="2"/>
  <c r="R57" i="2" s="1"/>
  <c r="M56" i="2"/>
  <c r="H56" i="2"/>
  <c r="E56" i="2"/>
  <c r="R56" i="2" s="1"/>
  <c r="D56" i="2"/>
  <c r="J31" i="2"/>
  <c r="W31" i="2" s="1"/>
  <c r="J27" i="2"/>
  <c r="W27" i="2" s="1"/>
  <c r="E27" i="2"/>
  <c r="R27" i="2" s="1"/>
  <c r="B27" i="2"/>
  <c r="O27" i="2" s="1"/>
  <c r="E26" i="2"/>
  <c r="R26" i="2" s="1"/>
  <c r="B26" i="2"/>
  <c r="O26" i="2" s="1"/>
  <c r="M25" i="2"/>
  <c r="Z25" i="2" s="1"/>
  <c r="B25" i="2"/>
  <c r="O25" i="2" s="1"/>
  <c r="M24" i="2"/>
  <c r="Z24" i="2" s="1"/>
  <c r="I24" i="2"/>
  <c r="V24" i="2" s="1"/>
  <c r="B24" i="2"/>
  <c r="O24" i="2" s="1"/>
  <c r="F23" i="2"/>
  <c r="S23" i="2" s="1"/>
  <c r="F22" i="2"/>
  <c r="S22" i="2" s="1"/>
  <c r="J21" i="2"/>
  <c r="W21" i="2" s="1"/>
  <c r="E21" i="2"/>
  <c r="R21" i="2" s="1"/>
  <c r="E20" i="2"/>
  <c r="R20" i="2" s="1"/>
  <c r="M18" i="2"/>
  <c r="N13" i="9" l="1"/>
  <c r="L234" i="2"/>
  <c r="Y234" i="2" s="1"/>
  <c r="N46" i="9"/>
  <c r="L522" i="3" s="1"/>
  <c r="B95" i="3"/>
  <c r="N95" i="3" s="1"/>
  <c r="C95" i="3"/>
  <c r="G146" i="2"/>
  <c r="T146" i="2" s="1"/>
  <c r="C146" i="2"/>
  <c r="P146" i="2" s="1"/>
  <c r="K146" i="2"/>
  <c r="X146" i="2" s="1"/>
  <c r="G95" i="3"/>
  <c r="B146" i="2"/>
  <c r="O146" i="2" s="1"/>
  <c r="J95" i="3"/>
  <c r="J146" i="2"/>
  <c r="W146" i="2" s="1"/>
  <c r="F146" i="2"/>
  <c r="S146" i="2" s="1"/>
  <c r="F95" i="3"/>
  <c r="M13" i="44"/>
  <c r="J226" i="3"/>
  <c r="C131" i="2"/>
  <c r="P131" i="2" s="1"/>
  <c r="K131" i="2"/>
  <c r="X131" i="2" s="1"/>
  <c r="D131" i="2"/>
  <c r="Q131" i="2" s="1"/>
  <c r="L131" i="2"/>
  <c r="Y131" i="2" s="1"/>
  <c r="L226" i="3"/>
  <c r="G131" i="2"/>
  <c r="T131" i="2" s="1"/>
  <c r="D226" i="3"/>
  <c r="F13" i="44"/>
  <c r="I226" i="3"/>
  <c r="M131" i="2"/>
  <c r="Z131" i="2" s="1"/>
  <c r="I131" i="2"/>
  <c r="V131" i="2" s="1"/>
  <c r="J13" i="44"/>
  <c r="E131" i="2"/>
  <c r="R131" i="2" s="1"/>
  <c r="E226" i="3"/>
  <c r="K15" i="44"/>
  <c r="M8" i="19"/>
  <c r="K178" i="2"/>
  <c r="M9" i="19"/>
  <c r="K179" i="2"/>
  <c r="X179" i="2" s="1"/>
  <c r="J180" i="2"/>
  <c r="W180" i="2" s="1"/>
  <c r="G178" i="2"/>
  <c r="E321" i="2"/>
  <c r="R321" i="2" s="1"/>
  <c r="D32" i="3"/>
  <c r="I343" i="3"/>
  <c r="L32" i="3"/>
  <c r="G23" i="7"/>
  <c r="E287" i="3" s="1"/>
  <c r="G27" i="7"/>
  <c r="E315" i="3" s="1"/>
  <c r="K27" i="7"/>
  <c r="I315" i="3" s="1"/>
  <c r="E21" i="3"/>
  <c r="L21" i="3"/>
  <c r="G13" i="6"/>
  <c r="L15" i="6"/>
  <c r="F21" i="3"/>
  <c r="D15" i="6"/>
  <c r="K15" i="6"/>
  <c r="I21" i="3"/>
  <c r="G15" i="6"/>
  <c r="D5" i="68"/>
  <c r="D9" i="68" s="1"/>
  <c r="B160" i="2"/>
  <c r="D23" i="68"/>
  <c r="B293" i="3"/>
  <c r="N293" i="3" s="1"/>
  <c r="E12" i="9"/>
  <c r="C233" i="2"/>
  <c r="P233" i="2" s="1"/>
  <c r="M46" i="9"/>
  <c r="K522" i="3" s="1"/>
  <c r="E15" i="9"/>
  <c r="C236" i="2"/>
  <c r="P236" i="2" s="1"/>
  <c r="I15" i="11"/>
  <c r="G32" i="3"/>
  <c r="H10" i="19"/>
  <c r="F180" i="2"/>
  <c r="S180" i="2" s="1"/>
  <c r="H6" i="19"/>
  <c r="H11" i="19" s="1"/>
  <c r="I5" i="42"/>
  <c r="G137" i="2"/>
  <c r="T137" i="2" s="1"/>
  <c r="I15" i="42"/>
  <c r="I8" i="41"/>
  <c r="I13" i="41"/>
  <c r="G242" i="3"/>
  <c r="G17" i="62"/>
  <c r="G15" i="62"/>
  <c r="K17" i="62"/>
  <c r="K15" i="62"/>
  <c r="I256" i="3"/>
  <c r="L5" i="68"/>
  <c r="L9" i="68" s="1"/>
  <c r="J160" i="2"/>
  <c r="L23" i="68"/>
  <c r="L15" i="68"/>
  <c r="D8" i="68"/>
  <c r="B161" i="2"/>
  <c r="O161" i="2" s="1"/>
  <c r="D15" i="69"/>
  <c r="B295" i="3"/>
  <c r="L15" i="69"/>
  <c r="J296" i="3"/>
  <c r="D5" i="72"/>
  <c r="B142" i="2"/>
  <c r="O142" i="2" s="1"/>
  <c r="L5" i="72"/>
  <c r="J142" i="2"/>
  <c r="W142" i="2" s="1"/>
  <c r="L15" i="72"/>
  <c r="J153" i="3"/>
  <c r="L13" i="72"/>
  <c r="I5" i="65"/>
  <c r="G165" i="2"/>
  <c r="T165" i="2" s="1"/>
  <c r="E87" i="2"/>
  <c r="J23" i="37"/>
  <c r="H71" i="3" s="1"/>
  <c r="H9" i="58"/>
  <c r="H23" i="58" s="1"/>
  <c r="H15" i="59"/>
  <c r="F452" i="3"/>
  <c r="H17" i="59"/>
  <c r="F482" i="3"/>
  <c r="G5" i="76"/>
  <c r="E265" i="2"/>
  <c r="R265" i="2" s="1"/>
  <c r="O5" i="76"/>
  <c r="M265" i="2"/>
  <c r="Z265" i="2" s="1"/>
  <c r="G15" i="76"/>
  <c r="G13" i="76"/>
  <c r="E357" i="3"/>
  <c r="K15" i="76"/>
  <c r="K13" i="76"/>
  <c r="O15" i="76"/>
  <c r="M357" i="3"/>
  <c r="F5" i="78"/>
  <c r="D143" i="2"/>
  <c r="Q143" i="2" s="1"/>
  <c r="J5" i="78"/>
  <c r="H143" i="2"/>
  <c r="U143" i="2" s="1"/>
  <c r="N5" i="78"/>
  <c r="L143" i="2"/>
  <c r="Y143" i="2" s="1"/>
  <c r="F9" i="78"/>
  <c r="F21" i="78"/>
  <c r="J9" i="78"/>
  <c r="J25" i="78" s="1"/>
  <c r="J21" i="78"/>
  <c r="N9" i="78"/>
  <c r="N21" i="78"/>
  <c r="K26" i="82"/>
  <c r="I265" i="3" s="1"/>
  <c r="E15" i="11"/>
  <c r="C32" i="3"/>
  <c r="M15" i="11"/>
  <c r="K32" i="3"/>
  <c r="E15" i="42"/>
  <c r="E8" i="41"/>
  <c r="K23" i="31"/>
  <c r="I217" i="2"/>
  <c r="V217" i="2" s="1"/>
  <c r="O17" i="62"/>
  <c r="M256" i="3"/>
  <c r="H5" i="68"/>
  <c r="H9" i="68" s="1"/>
  <c r="H7" i="68"/>
  <c r="F160" i="2"/>
  <c r="S160" i="2" s="1"/>
  <c r="L8" i="68"/>
  <c r="J161" i="2"/>
  <c r="W161" i="2" s="1"/>
  <c r="H15" i="69"/>
  <c r="F296" i="3"/>
  <c r="D15" i="72"/>
  <c r="B153" i="3"/>
  <c r="H15" i="72"/>
  <c r="H13" i="72"/>
  <c r="E5" i="65"/>
  <c r="C165" i="2"/>
  <c r="P165" i="2" s="1"/>
  <c r="M5" i="65"/>
  <c r="K165" i="2"/>
  <c r="X165" i="2" s="1"/>
  <c r="N3" i="89"/>
  <c r="L167" i="2"/>
  <c r="C137" i="2"/>
  <c r="P137" i="2" s="1"/>
  <c r="B343" i="2"/>
  <c r="D11" i="44"/>
  <c r="B226" i="3"/>
  <c r="D11" i="59"/>
  <c r="D13" i="59" s="1"/>
  <c r="D23" i="59" s="1"/>
  <c r="D19" i="58"/>
  <c r="D9" i="58"/>
  <c r="D15" i="59"/>
  <c r="B452" i="3"/>
  <c r="N452" i="3" s="1"/>
  <c r="D17" i="59"/>
  <c r="B482" i="3"/>
  <c r="L19" i="58"/>
  <c r="G121" i="2"/>
  <c r="T121" i="2" s="1"/>
  <c r="K137" i="2"/>
  <c r="X137" i="2" s="1"/>
  <c r="G160" i="2"/>
  <c r="T160" i="2" s="1"/>
  <c r="F153" i="3"/>
  <c r="D5" i="17"/>
  <c r="B321" i="2"/>
  <c r="O321" i="2" s="1"/>
  <c r="H5" i="17"/>
  <c r="F321" i="2"/>
  <c r="S321" i="2" s="1"/>
  <c r="L5" i="17"/>
  <c r="J321" i="2"/>
  <c r="W321" i="2" s="1"/>
  <c r="D15" i="16"/>
  <c r="B25" i="3"/>
  <c r="H15" i="16"/>
  <c r="F25" i="3"/>
  <c r="L15" i="16"/>
  <c r="J25" i="3"/>
  <c r="F21" i="18"/>
  <c r="D12" i="3"/>
  <c r="N21" i="18"/>
  <c r="L12" i="3"/>
  <c r="E9" i="19"/>
  <c r="C179" i="2"/>
  <c r="P179" i="2" s="1"/>
  <c r="D17" i="33"/>
  <c r="B112" i="3" s="1"/>
  <c r="D21" i="33"/>
  <c r="B289" i="3" s="1"/>
  <c r="L8" i="33"/>
  <c r="J343" i="2"/>
  <c r="E11" i="52"/>
  <c r="C417" i="2"/>
  <c r="P417" i="2" s="1"/>
  <c r="N11" i="52"/>
  <c r="L417" i="2"/>
  <c r="Y417" i="2" s="1"/>
  <c r="M12" i="52"/>
  <c r="K418" i="2"/>
  <c r="D5" i="60"/>
  <c r="D9" i="60" s="1"/>
  <c r="B371" i="2"/>
  <c r="H25" i="60"/>
  <c r="F273" i="3"/>
  <c r="D8" i="60"/>
  <c r="B372" i="2"/>
  <c r="O372" i="2" s="1"/>
  <c r="L8" i="60"/>
  <c r="J372" i="2"/>
  <c r="W372" i="2" s="1"/>
  <c r="M15" i="42"/>
  <c r="M8" i="41"/>
  <c r="M13" i="41"/>
  <c r="K242" i="3"/>
  <c r="H11" i="44"/>
  <c r="F226" i="3"/>
  <c r="H11" i="59"/>
  <c r="H13" i="59" s="1"/>
  <c r="H23" i="59" s="1"/>
  <c r="H19" i="58"/>
  <c r="L9" i="58"/>
  <c r="J147" i="3" s="1"/>
  <c r="L15" i="59"/>
  <c r="L23" i="59" s="1"/>
  <c r="J452" i="3"/>
  <c r="L17" i="59"/>
  <c r="J482" i="3"/>
  <c r="I19" i="68"/>
  <c r="G293" i="3"/>
  <c r="M8" i="68"/>
  <c r="K161" i="2"/>
  <c r="X161" i="2" s="1"/>
  <c r="M87" i="2"/>
  <c r="F142" i="2"/>
  <c r="S142" i="2" s="1"/>
  <c r="B241" i="2"/>
  <c r="O241" i="2" s="1"/>
  <c r="F241" i="2"/>
  <c r="S241" i="2" s="1"/>
  <c r="J241" i="2"/>
  <c r="W241" i="2" s="1"/>
  <c r="I357" i="3"/>
  <c r="J293" i="3"/>
  <c r="D5" i="33"/>
  <c r="D9" i="33" s="1"/>
  <c r="B344" i="2"/>
  <c r="O344" i="2" s="1"/>
  <c r="L5" i="33"/>
  <c r="L9" i="33" s="1"/>
  <c r="J344" i="2"/>
  <c r="W344" i="2" s="1"/>
  <c r="D11" i="40"/>
  <c r="B194" i="3"/>
  <c r="H11" i="40"/>
  <c r="F194" i="3"/>
  <c r="L11" i="40"/>
  <c r="J194" i="3"/>
  <c r="G5" i="47"/>
  <c r="E369" i="2"/>
  <c r="R369" i="2" s="1"/>
  <c r="O5" i="47"/>
  <c r="M369" i="2"/>
  <c r="Z369" i="2" s="1"/>
  <c r="G11" i="47"/>
  <c r="G15" i="47"/>
  <c r="G13" i="47"/>
  <c r="K11" i="47"/>
  <c r="I217" i="3"/>
  <c r="K15" i="47"/>
  <c r="J13" i="6"/>
  <c r="F11" i="10"/>
  <c r="D170" i="3" s="1"/>
  <c r="D31" i="19"/>
  <c r="B461" i="3" s="1"/>
  <c r="L31" i="19"/>
  <c r="J461" i="3" s="1"/>
  <c r="G31" i="28"/>
  <c r="E465" i="3" s="1"/>
  <c r="F13" i="47"/>
  <c r="N13" i="47"/>
  <c r="G20" i="49"/>
  <c r="K56" i="49"/>
  <c r="I501" i="3" s="1"/>
  <c r="J15" i="55"/>
  <c r="J13" i="56"/>
  <c r="N15" i="55"/>
  <c r="N13" i="56"/>
  <c r="N19" i="56" s="1"/>
  <c r="M5" i="68"/>
  <c r="M9" i="68" s="1"/>
  <c r="E19" i="68"/>
  <c r="I11" i="69"/>
  <c r="M11" i="69"/>
  <c r="E11" i="72"/>
  <c r="E15" i="72"/>
  <c r="I11" i="72"/>
  <c r="I13" i="72"/>
  <c r="M11" i="72"/>
  <c r="M15" i="72"/>
  <c r="E13" i="72"/>
  <c r="H15" i="92"/>
  <c r="H13" i="92"/>
  <c r="L15" i="92"/>
  <c r="L13" i="92"/>
  <c r="D13" i="92"/>
  <c r="I19" i="71"/>
  <c r="G369" i="3" s="1"/>
  <c r="E17" i="73"/>
  <c r="E15" i="73"/>
  <c r="M17" i="73"/>
  <c r="M15" i="73"/>
  <c r="E19" i="59"/>
  <c r="E15" i="58"/>
  <c r="I19" i="59"/>
  <c r="I15" i="58"/>
  <c r="M19" i="59"/>
  <c r="M15" i="58"/>
  <c r="C89" i="3"/>
  <c r="E17" i="58"/>
  <c r="G89" i="3"/>
  <c r="I17" i="58"/>
  <c r="K89" i="3"/>
  <c r="M17" i="58"/>
  <c r="K11" i="59"/>
  <c r="K13" i="59" s="1"/>
  <c r="K21" i="59" s="1"/>
  <c r="D15" i="86"/>
  <c r="D13" i="86"/>
  <c r="H15" i="86"/>
  <c r="H11" i="86"/>
  <c r="L15" i="86"/>
  <c r="L13" i="86"/>
  <c r="D11" i="86"/>
  <c r="H13" i="86"/>
  <c r="I324" i="2"/>
  <c r="V324" i="2" s="1"/>
  <c r="B21" i="3"/>
  <c r="N21" i="3" s="1"/>
  <c r="H21" i="3"/>
  <c r="K13" i="6"/>
  <c r="H15" i="6"/>
  <c r="I21" i="19"/>
  <c r="G160" i="3" s="1"/>
  <c r="E31" i="19"/>
  <c r="C461" i="3" s="1"/>
  <c r="M31" i="19"/>
  <c r="K461" i="3" s="1"/>
  <c r="H7" i="20"/>
  <c r="N17" i="24"/>
  <c r="N13" i="44"/>
  <c r="D15" i="47"/>
  <c r="L15" i="47"/>
  <c r="K15" i="55"/>
  <c r="F9" i="58"/>
  <c r="J9" i="58"/>
  <c r="N9" i="58"/>
  <c r="J19" i="58"/>
  <c r="D17" i="62"/>
  <c r="I19" i="65"/>
  <c r="L44" i="89"/>
  <c r="D13" i="65"/>
  <c r="B220" i="3" s="1"/>
  <c r="D12" i="89"/>
  <c r="D11" i="89"/>
  <c r="B409" i="2"/>
  <c r="O409" i="2" s="1"/>
  <c r="F13" i="6"/>
  <c r="N13" i="6"/>
  <c r="H5" i="33"/>
  <c r="H9" i="33" s="1"/>
  <c r="M5" i="33"/>
  <c r="M9" i="33" s="1"/>
  <c r="N21" i="33"/>
  <c r="L289" i="3" s="1"/>
  <c r="M21" i="33"/>
  <c r="K289" i="3" s="1"/>
  <c r="G15" i="44"/>
  <c r="J13" i="47"/>
  <c r="O19" i="58"/>
  <c r="O11" i="59"/>
  <c r="G9" i="58"/>
  <c r="K9" i="58"/>
  <c r="K21" i="58" s="1"/>
  <c r="H17" i="62"/>
  <c r="H33" i="64"/>
  <c r="F403" i="3" s="1"/>
  <c r="M13" i="72"/>
  <c r="E19" i="65"/>
  <c r="F13" i="56"/>
  <c r="G44" i="82"/>
  <c r="E447" i="3" s="1"/>
  <c r="G34" i="82"/>
  <c r="E439" i="3" s="1"/>
  <c r="G38" i="82"/>
  <c r="E440" i="3" s="1"/>
  <c r="G15" i="83"/>
  <c r="G13" i="83"/>
  <c r="K15" i="83"/>
  <c r="K13" i="83"/>
  <c r="I26" i="87"/>
  <c r="N3" i="30"/>
  <c r="N8" i="30" s="1"/>
  <c r="J14" i="30"/>
  <c r="F21" i="65"/>
  <c r="J21" i="65"/>
  <c r="N21" i="65"/>
  <c r="L13" i="65"/>
  <c r="J220" i="3" s="1"/>
  <c r="E13" i="92"/>
  <c r="E15" i="92"/>
  <c r="M15" i="92"/>
  <c r="F19" i="71"/>
  <c r="N19" i="71"/>
  <c r="L369" i="3" s="1"/>
  <c r="L15" i="76"/>
  <c r="G9" i="78"/>
  <c r="F17" i="78"/>
  <c r="F11" i="79"/>
  <c r="F13" i="79" s="1"/>
  <c r="D264" i="3" s="1"/>
  <c r="N17" i="78"/>
  <c r="N11" i="79"/>
  <c r="D25" i="60"/>
  <c r="K14" i="70"/>
  <c r="K32" i="70" s="1"/>
  <c r="G24" i="70"/>
  <c r="E500" i="3" s="1"/>
  <c r="F21" i="59"/>
  <c r="F19" i="59"/>
  <c r="J21" i="59"/>
  <c r="N21" i="59"/>
  <c r="M11" i="59"/>
  <c r="M13" i="59" s="1"/>
  <c r="N34" i="82"/>
  <c r="L439" i="3" s="1"/>
  <c r="J38" i="82"/>
  <c r="H440" i="3" s="1"/>
  <c r="F44" i="82"/>
  <c r="D447" i="3" s="1"/>
  <c r="F51" i="82"/>
  <c r="D449" i="3" s="1"/>
  <c r="L26" i="87"/>
  <c r="J168" i="3" s="1"/>
  <c r="D32" i="87"/>
  <c r="B193" i="3" s="1"/>
  <c r="D54" i="87"/>
  <c r="B521" i="3" s="1"/>
  <c r="L54" i="87"/>
  <c r="J521" i="3" s="1"/>
  <c r="D36" i="87"/>
  <c r="B298" i="3" s="1"/>
  <c r="D21" i="87"/>
  <c r="B155" i="3" s="1"/>
  <c r="H21" i="87"/>
  <c r="F155" i="3" s="1"/>
  <c r="L21" i="87"/>
  <c r="J155" i="3" s="1"/>
  <c r="L13" i="85"/>
  <c r="J11" i="69"/>
  <c r="N11" i="69"/>
  <c r="G17" i="65"/>
  <c r="K17" i="65"/>
  <c r="K20" i="89"/>
  <c r="F13" i="92"/>
  <c r="F15" i="92"/>
  <c r="N15" i="92"/>
  <c r="F17" i="73"/>
  <c r="J17" i="75"/>
  <c r="F11" i="55"/>
  <c r="E23" i="60"/>
  <c r="I23" i="60"/>
  <c r="M23" i="60"/>
  <c r="D18" i="70"/>
  <c r="B406" i="3" s="1"/>
  <c r="L24" i="70"/>
  <c r="J500" i="3" s="1"/>
  <c r="D13" i="80"/>
  <c r="D17" i="80"/>
  <c r="G15" i="80"/>
  <c r="G23" i="59"/>
  <c r="K23" i="59"/>
  <c r="I11" i="59"/>
  <c r="I13" i="59" s="1"/>
  <c r="E3" i="87"/>
  <c r="E17" i="87" s="1"/>
  <c r="M26" i="87"/>
  <c r="K168" i="3" s="1"/>
  <c r="I36" i="87"/>
  <c r="G298" i="3" s="1"/>
  <c r="E36" i="87"/>
  <c r="C298" i="3" s="1"/>
  <c r="I21" i="87"/>
  <c r="G155" i="3" s="1"/>
  <c r="E15" i="85"/>
  <c r="K3" i="89"/>
  <c r="J13" i="65"/>
  <c r="H220" i="3" s="1"/>
  <c r="N13" i="65"/>
  <c r="L220" i="3" s="1"/>
  <c r="F26" i="89"/>
  <c r="D239" i="3" s="1"/>
  <c r="J44" i="89"/>
  <c r="I3" i="32"/>
  <c r="K11" i="55"/>
  <c r="E9" i="58"/>
  <c r="E21" i="58" s="1"/>
  <c r="I9" i="58"/>
  <c r="M9" i="58"/>
  <c r="E19" i="58"/>
  <c r="G15" i="68"/>
  <c r="G23" i="68" s="1"/>
  <c r="K13" i="69"/>
  <c r="F15" i="72"/>
  <c r="N15" i="72"/>
  <c r="H13" i="65"/>
  <c r="F220" i="3" s="1"/>
  <c r="M13" i="92"/>
  <c r="I15" i="92"/>
  <c r="J17" i="73"/>
  <c r="F17" i="75"/>
  <c r="D15" i="76"/>
  <c r="E21" i="78"/>
  <c r="E7" i="79"/>
  <c r="E9" i="79" s="1"/>
  <c r="I21" i="78"/>
  <c r="I7" i="79"/>
  <c r="M21" i="78"/>
  <c r="M7" i="79"/>
  <c r="K15" i="80"/>
  <c r="N19" i="59"/>
  <c r="J26" i="82"/>
  <c r="H265" i="3" s="1"/>
  <c r="N26" i="82"/>
  <c r="L265" i="3" s="1"/>
  <c r="F55" i="82"/>
  <c r="D460" i="3" s="1"/>
  <c r="N55" i="82"/>
  <c r="L460" i="3" s="1"/>
  <c r="J51" i="82"/>
  <c r="H449" i="3" s="1"/>
  <c r="G13" i="86"/>
  <c r="G15" i="86"/>
  <c r="K13" i="86"/>
  <c r="K15" i="86"/>
  <c r="K11" i="86"/>
  <c r="D44" i="89"/>
  <c r="L26" i="89"/>
  <c r="J239" i="3" s="1"/>
  <c r="D48" i="89"/>
  <c r="G48" i="89"/>
  <c r="D13" i="83"/>
  <c r="L13" i="83"/>
  <c r="J20" i="84"/>
  <c r="H98" i="3" s="1"/>
  <c r="F26" i="84"/>
  <c r="D420" i="3" s="1"/>
  <c r="K54" i="87"/>
  <c r="I521" i="3" s="1"/>
  <c r="D13" i="88"/>
  <c r="H26" i="89"/>
  <c r="F239" i="3" s="1"/>
  <c r="F3" i="32"/>
  <c r="F11" i="32" s="1"/>
  <c r="N21" i="32"/>
  <c r="L328" i="3" s="1"/>
  <c r="J25" i="32"/>
  <c r="H342" i="3" s="1"/>
  <c r="J29" i="32"/>
  <c r="H379" i="3" s="1"/>
  <c r="N17" i="32"/>
  <c r="N37" i="32" s="1"/>
  <c r="F3" i="93"/>
  <c r="F13" i="93" s="1"/>
  <c r="N3" i="93"/>
  <c r="N13" i="93" s="1"/>
  <c r="F77" i="93"/>
  <c r="N77" i="93"/>
  <c r="N47" i="93"/>
  <c r="L196" i="3" s="1"/>
  <c r="F79" i="93"/>
  <c r="J79" i="93"/>
  <c r="J77" i="93"/>
  <c r="C404" i="2"/>
  <c r="P404" i="2" s="1"/>
  <c r="E3" i="96"/>
  <c r="E12" i="96" s="1"/>
  <c r="D15" i="83"/>
  <c r="L15" i="83"/>
  <c r="G32" i="87"/>
  <c r="E193" i="3" s="1"/>
  <c r="K36" i="87"/>
  <c r="I298" i="3" s="1"/>
  <c r="O54" i="87"/>
  <c r="M521" i="3" s="1"/>
  <c r="H13" i="88"/>
  <c r="M15" i="88"/>
  <c r="G17" i="90"/>
  <c r="G15" i="90"/>
  <c r="E21" i="32"/>
  <c r="C328" i="3" s="1"/>
  <c r="E13" i="65"/>
  <c r="C220" i="3" s="1"/>
  <c r="I13" i="65"/>
  <c r="G220" i="3" s="1"/>
  <c r="M13" i="65"/>
  <c r="K220" i="3" s="1"/>
  <c r="F21" i="79"/>
  <c r="J21" i="79"/>
  <c r="N21" i="79"/>
  <c r="D17" i="90"/>
  <c r="I13" i="91"/>
  <c r="N15" i="91"/>
  <c r="L21" i="32"/>
  <c r="J328" i="3" s="1"/>
  <c r="G25" i="32"/>
  <c r="E342" i="3" s="1"/>
  <c r="L25" i="32"/>
  <c r="J342" i="3" s="1"/>
  <c r="K79" i="93"/>
  <c r="F29" i="94"/>
  <c r="D156" i="3" s="1"/>
  <c r="N19" i="94"/>
  <c r="J39" i="94"/>
  <c r="H529" i="3" s="1"/>
  <c r="N39" i="94"/>
  <c r="L529" i="3" s="1"/>
  <c r="I3" i="96"/>
  <c r="I12" i="96" s="1"/>
  <c r="L3" i="32"/>
  <c r="E3" i="32"/>
  <c r="E12" i="32" s="1"/>
  <c r="M29" i="32"/>
  <c r="K379" i="3" s="1"/>
  <c r="I3" i="93"/>
  <c r="I13" i="93" s="1"/>
  <c r="D3" i="94"/>
  <c r="D13" i="94" s="1"/>
  <c r="K3" i="94"/>
  <c r="K13" i="94" s="1"/>
  <c r="G19" i="94"/>
  <c r="L3" i="94"/>
  <c r="L13" i="94" s="1"/>
  <c r="D33" i="94"/>
  <c r="B227" i="3" s="1"/>
  <c r="G3" i="95"/>
  <c r="G11" i="95" s="1"/>
  <c r="K3" i="95"/>
  <c r="K11" i="95" s="1"/>
  <c r="K49" i="95"/>
  <c r="D403" i="2"/>
  <c r="Q403" i="2" s="1"/>
  <c r="F3" i="96"/>
  <c r="F12" i="96" s="1"/>
  <c r="H403" i="2"/>
  <c r="U403" i="2" s="1"/>
  <c r="J3" i="96"/>
  <c r="J12" i="96" s="1"/>
  <c r="F15" i="97"/>
  <c r="F13" i="97"/>
  <c r="J15" i="97"/>
  <c r="J13" i="97"/>
  <c r="N15" i="97"/>
  <c r="N13" i="97"/>
  <c r="D21" i="79"/>
  <c r="H21" i="79"/>
  <c r="L21" i="79"/>
  <c r="L17" i="90"/>
  <c r="F15" i="91"/>
  <c r="H3" i="32"/>
  <c r="I17" i="32"/>
  <c r="D21" i="32"/>
  <c r="B328" i="3" s="1"/>
  <c r="I21" i="32"/>
  <c r="G328" i="3" s="1"/>
  <c r="D25" i="32"/>
  <c r="B342" i="3" s="1"/>
  <c r="O25" i="32"/>
  <c r="M342" i="3" s="1"/>
  <c r="I29" i="32"/>
  <c r="G379" i="3" s="1"/>
  <c r="G7" i="20"/>
  <c r="K7" i="20"/>
  <c r="J33" i="94"/>
  <c r="H227" i="3" s="1"/>
  <c r="G17" i="32"/>
  <c r="K17" i="32"/>
  <c r="K3" i="93"/>
  <c r="K13" i="93" s="1"/>
  <c r="G47" i="93"/>
  <c r="E196" i="3" s="1"/>
  <c r="L71" i="93"/>
  <c r="H29" i="94"/>
  <c r="F156" i="3" s="1"/>
  <c r="H19" i="94"/>
  <c r="F3" i="95"/>
  <c r="F11" i="95" s="1"/>
  <c r="M3" i="93"/>
  <c r="M13" i="93" s="1"/>
  <c r="I47" i="93"/>
  <c r="G196" i="3" s="1"/>
  <c r="H71" i="93"/>
  <c r="M71" i="93"/>
  <c r="K524" i="3" s="1"/>
  <c r="H3" i="94"/>
  <c r="H13" i="94" s="1"/>
  <c r="D19" i="94"/>
  <c r="L29" i="94"/>
  <c r="J156" i="3" s="1"/>
  <c r="D20" i="96"/>
  <c r="D34" i="96" s="1"/>
  <c r="L19" i="94"/>
  <c r="D29" i="94"/>
  <c r="B156" i="3" s="1"/>
  <c r="D39" i="94"/>
  <c r="B529" i="3" s="1"/>
  <c r="H39" i="94"/>
  <c r="F529" i="3" s="1"/>
  <c r="L39" i="94"/>
  <c r="J529" i="3" s="1"/>
  <c r="N49" i="95"/>
  <c r="O21" i="61"/>
  <c r="G15" i="97"/>
  <c r="N33" i="94"/>
  <c r="L227" i="3" s="1"/>
  <c r="N3" i="95"/>
  <c r="N11" i="95" s="1"/>
  <c r="K15" i="97"/>
  <c r="D135" i="2"/>
  <c r="Q135" i="2" s="1"/>
  <c r="M135" i="2"/>
  <c r="Z135" i="2" s="1"/>
  <c r="B67" i="3"/>
  <c r="I67" i="3"/>
  <c r="E135" i="2"/>
  <c r="R135" i="2" s="1"/>
  <c r="B135" i="2"/>
  <c r="O135" i="2" s="1"/>
  <c r="L15" i="51"/>
  <c r="J135" i="2"/>
  <c r="W135" i="2" s="1"/>
  <c r="F67" i="3"/>
  <c r="F135" i="2"/>
  <c r="S135" i="2" s="1"/>
  <c r="J67" i="3"/>
  <c r="C67" i="3"/>
  <c r="K67" i="3"/>
  <c r="L135" i="2"/>
  <c r="Y135" i="2" s="1"/>
  <c r="H15" i="51"/>
  <c r="I11" i="51"/>
  <c r="D15" i="51"/>
  <c r="N9" i="56"/>
  <c r="K144" i="2"/>
  <c r="X144" i="2" s="1"/>
  <c r="I479" i="3"/>
  <c r="J10" i="55"/>
  <c r="J11" i="55" s="1"/>
  <c r="F9" i="56"/>
  <c r="C144" i="2"/>
  <c r="P144" i="2" s="1"/>
  <c r="F13" i="55"/>
  <c r="F17" i="55" s="1"/>
  <c r="G144" i="2"/>
  <c r="T144" i="2" s="1"/>
  <c r="J13" i="55"/>
  <c r="H144" i="2"/>
  <c r="U144" i="2" s="1"/>
  <c r="O10" i="55"/>
  <c r="O11" i="55" s="1"/>
  <c r="O17" i="55" s="1"/>
  <c r="G10" i="55"/>
  <c r="G11" i="55" s="1"/>
  <c r="G17" i="55" s="1"/>
  <c r="D144" i="2"/>
  <c r="Q144" i="2" s="1"/>
  <c r="E479" i="3"/>
  <c r="G9" i="56"/>
  <c r="G19" i="56" s="1"/>
  <c r="K9" i="56"/>
  <c r="K17" i="56" s="1"/>
  <c r="L144" i="2"/>
  <c r="Y144" i="2" s="1"/>
  <c r="F479" i="3"/>
  <c r="H9" i="56"/>
  <c r="H17" i="56" s="1"/>
  <c r="L9" i="56"/>
  <c r="L19" i="56" s="1"/>
  <c r="D9" i="56"/>
  <c r="D17" i="56" s="1"/>
  <c r="F37" i="13"/>
  <c r="D411" i="3" s="1"/>
  <c r="N37" i="13"/>
  <c r="L411" i="3" s="1"/>
  <c r="H150" i="2"/>
  <c r="U150" i="2" s="1"/>
  <c r="G150" i="2"/>
  <c r="T150" i="2" s="1"/>
  <c r="G15" i="21"/>
  <c r="I113" i="3"/>
  <c r="C150" i="2"/>
  <c r="P150" i="2" s="1"/>
  <c r="K150" i="2"/>
  <c r="X150" i="2" s="1"/>
  <c r="K109" i="3"/>
  <c r="H362" i="2"/>
  <c r="H363" i="2" s="1"/>
  <c r="U363" i="2" s="1"/>
  <c r="D109" i="3"/>
  <c r="L109" i="3"/>
  <c r="M109" i="3"/>
  <c r="M362" i="2"/>
  <c r="M363" i="2" s="1"/>
  <c r="Z363" i="2" s="1"/>
  <c r="C297" i="3"/>
  <c r="G297" i="3"/>
  <c r="E13" i="67"/>
  <c r="H297" i="3"/>
  <c r="F15" i="67"/>
  <c r="J15" i="67"/>
  <c r="N15" i="67"/>
  <c r="D297" i="3"/>
  <c r="L297" i="3"/>
  <c r="D514" i="3"/>
  <c r="L514" i="3"/>
  <c r="E15" i="67"/>
  <c r="I15" i="67"/>
  <c r="M15" i="67"/>
  <c r="M13" i="67"/>
  <c r="B141" i="2"/>
  <c r="O141" i="2" s="1"/>
  <c r="H13" i="67"/>
  <c r="F141" i="2"/>
  <c r="S141" i="2" s="1"/>
  <c r="I13" i="67"/>
  <c r="J141" i="2"/>
  <c r="W141" i="2" s="1"/>
  <c r="L13" i="67"/>
  <c r="D13" i="67"/>
  <c r="K141" i="2"/>
  <c r="X141" i="2" s="1"/>
  <c r="C141" i="2"/>
  <c r="P141" i="2" s="1"/>
  <c r="G141" i="2"/>
  <c r="T141" i="2" s="1"/>
  <c r="C200" i="3"/>
  <c r="K130" i="2"/>
  <c r="X130" i="2" s="1"/>
  <c r="F200" i="3"/>
  <c r="L130" i="2"/>
  <c r="Y130" i="2" s="1"/>
  <c r="C130" i="2"/>
  <c r="P130" i="2" s="1"/>
  <c r="H9" i="41"/>
  <c r="H17" i="41" s="1"/>
  <c r="I130" i="2"/>
  <c r="V130" i="2" s="1"/>
  <c r="E200" i="3"/>
  <c r="G130" i="2"/>
  <c r="T130" i="2" s="1"/>
  <c r="B200" i="3"/>
  <c r="M200" i="3"/>
  <c r="P200" i="3" s="1"/>
  <c r="I200" i="3"/>
  <c r="L9" i="41"/>
  <c r="L19" i="41" s="1"/>
  <c r="E130" i="2"/>
  <c r="R130" i="2" s="1"/>
  <c r="E15" i="41"/>
  <c r="I15" i="41"/>
  <c r="M15" i="41"/>
  <c r="H130" i="2"/>
  <c r="U130" i="2" s="1"/>
  <c r="F15" i="41"/>
  <c r="J15" i="41"/>
  <c r="N15" i="41"/>
  <c r="L110" i="3"/>
  <c r="E120" i="2"/>
  <c r="R120" i="2" s="1"/>
  <c r="M120" i="2"/>
  <c r="Z120" i="2" s="1"/>
  <c r="O17" i="5"/>
  <c r="J15" i="5"/>
  <c r="L136" i="2"/>
  <c r="Y136" i="2" s="1"/>
  <c r="M237" i="3"/>
  <c r="Q237" i="3" s="1"/>
  <c r="H15" i="54"/>
  <c r="H136" i="2"/>
  <c r="U136" i="2" s="1"/>
  <c r="D136" i="2"/>
  <c r="Q136" i="2" s="1"/>
  <c r="B136" i="2"/>
  <c r="O136" i="2" s="1"/>
  <c r="F269" i="2"/>
  <c r="S269" i="2" s="1"/>
  <c r="J269" i="2"/>
  <c r="B269" i="2"/>
  <c r="K13" i="51"/>
  <c r="I135" i="2"/>
  <c r="V135" i="2" s="1"/>
  <c r="E67" i="3"/>
  <c r="D13" i="51"/>
  <c r="L13" i="51"/>
  <c r="I15" i="51"/>
  <c r="G13" i="51"/>
  <c r="G67" i="3"/>
  <c r="M67" i="3"/>
  <c r="Q67" i="3" s="1"/>
  <c r="H13" i="51"/>
  <c r="E15" i="51"/>
  <c r="M15" i="51"/>
  <c r="F23" i="13"/>
  <c r="D316" i="3" s="1"/>
  <c r="C556" i="3"/>
  <c r="G556" i="3"/>
  <c r="K556" i="3"/>
  <c r="C557" i="3"/>
  <c r="G557" i="3"/>
  <c r="K557" i="3"/>
  <c r="C558" i="3"/>
  <c r="G558" i="3"/>
  <c r="K558" i="3"/>
  <c r="C559" i="3"/>
  <c r="G559" i="3"/>
  <c r="K559" i="3"/>
  <c r="C560" i="3"/>
  <c r="G560" i="3"/>
  <c r="K560" i="3"/>
  <c r="C561" i="3"/>
  <c r="G561" i="3"/>
  <c r="K561" i="3"/>
  <c r="C562" i="3"/>
  <c r="G562" i="3"/>
  <c r="K562" i="3"/>
  <c r="D556" i="3"/>
  <c r="H556" i="3"/>
  <c r="D557" i="3"/>
  <c r="H557" i="3"/>
  <c r="D558" i="3"/>
  <c r="H558" i="3"/>
  <c r="D559" i="3"/>
  <c r="H559" i="3"/>
  <c r="D560" i="3"/>
  <c r="H560" i="3"/>
  <c r="D561" i="3"/>
  <c r="H561" i="3"/>
  <c r="D562" i="3"/>
  <c r="H562" i="3"/>
  <c r="E556" i="3"/>
  <c r="I556" i="3"/>
  <c r="E557" i="3"/>
  <c r="I557" i="3"/>
  <c r="E558" i="3"/>
  <c r="I558" i="3"/>
  <c r="E559" i="3"/>
  <c r="I559" i="3"/>
  <c r="E560" i="3"/>
  <c r="I560" i="3"/>
  <c r="E561" i="3"/>
  <c r="I561" i="3"/>
  <c r="E562" i="3"/>
  <c r="I562" i="3"/>
  <c r="B556" i="3"/>
  <c r="F556" i="3"/>
  <c r="J556" i="3"/>
  <c r="B557" i="3"/>
  <c r="F557" i="3"/>
  <c r="J557" i="3"/>
  <c r="B558" i="3"/>
  <c r="F558" i="3"/>
  <c r="J558" i="3"/>
  <c r="B559" i="3"/>
  <c r="F559" i="3"/>
  <c r="J559" i="3"/>
  <c r="B560" i="3"/>
  <c r="F560" i="3"/>
  <c r="J560" i="3"/>
  <c r="B561" i="3"/>
  <c r="F561" i="3"/>
  <c r="J561" i="3"/>
  <c r="B562" i="3"/>
  <c r="F562" i="3"/>
  <c r="J562" i="3"/>
  <c r="I16" i="25"/>
  <c r="F16" i="25"/>
  <c r="D17" i="3" s="1"/>
  <c r="J16" i="25"/>
  <c r="N16" i="25"/>
  <c r="L17" i="3" s="1"/>
  <c r="F184" i="2"/>
  <c r="F190" i="2" s="1"/>
  <c r="S190" i="2" s="1"/>
  <c r="O18" i="7"/>
  <c r="O26" i="7"/>
  <c r="O27" i="7" s="1"/>
  <c r="M315" i="3" s="1"/>
  <c r="O22" i="7"/>
  <c r="O23" i="7" s="1"/>
  <c r="M287" i="3" s="1"/>
  <c r="E19" i="7"/>
  <c r="E17" i="17"/>
  <c r="J17" i="17"/>
  <c r="E19" i="17"/>
  <c r="M19" i="17"/>
  <c r="E324" i="2"/>
  <c r="R324" i="2" s="1"/>
  <c r="F17" i="17"/>
  <c r="L17" i="17"/>
  <c r="F19" i="17"/>
  <c r="N19" i="17"/>
  <c r="H17" i="17"/>
  <c r="M17" i="17"/>
  <c r="I19" i="17"/>
  <c r="D17" i="17"/>
  <c r="I17" i="17"/>
  <c r="N17" i="17"/>
  <c r="J19" i="17"/>
  <c r="P194" i="3"/>
  <c r="Q194" i="3"/>
  <c r="P534" i="3"/>
  <c r="Q534" i="3"/>
  <c r="P341" i="3"/>
  <c r="Q341" i="3"/>
  <c r="P508" i="3"/>
  <c r="Q508" i="3"/>
  <c r="P256" i="3"/>
  <c r="Q256" i="3"/>
  <c r="P192" i="3"/>
  <c r="Q192" i="3"/>
  <c r="P139" i="3"/>
  <c r="Q139" i="3"/>
  <c r="P149" i="3"/>
  <c r="Q149" i="3"/>
  <c r="P95" i="3"/>
  <c r="Q95" i="3"/>
  <c r="P320" i="3"/>
  <c r="Q320" i="3"/>
  <c r="P148" i="3"/>
  <c r="Q148" i="3"/>
  <c r="P421" i="3"/>
  <c r="Q421" i="3"/>
  <c r="P237" i="3"/>
  <c r="P358" i="3"/>
  <c r="Q358" i="3"/>
  <c r="P248" i="3"/>
  <c r="Q248" i="3"/>
  <c r="P125" i="3"/>
  <c r="Q125" i="3"/>
  <c r="P228" i="3"/>
  <c r="Q228" i="3"/>
  <c r="P48" i="3"/>
  <c r="Q48" i="3"/>
  <c r="P340" i="3"/>
  <c r="Q340" i="3"/>
  <c r="P510" i="3"/>
  <c r="Q510" i="3"/>
  <c r="P183" i="3"/>
  <c r="Q183" i="3"/>
  <c r="P145" i="3"/>
  <c r="Q145" i="3"/>
  <c r="P146" i="3"/>
  <c r="Q146" i="3"/>
  <c r="P525" i="3"/>
  <c r="Q525" i="3"/>
  <c r="P274" i="3"/>
  <c r="Q274" i="3"/>
  <c r="P224" i="3"/>
  <c r="Q224" i="3"/>
  <c r="P136" i="3"/>
  <c r="Q136" i="3"/>
  <c r="P288" i="3"/>
  <c r="Q288" i="3"/>
  <c r="P7" i="3"/>
  <c r="Q7" i="3"/>
  <c r="P138" i="3"/>
  <c r="Q138" i="3"/>
  <c r="P51" i="3"/>
  <c r="Q51" i="3"/>
  <c r="P106" i="3"/>
  <c r="Q106" i="3"/>
  <c r="P317" i="3"/>
  <c r="Q317" i="3"/>
  <c r="P169" i="3"/>
  <c r="Q169" i="3"/>
  <c r="P222" i="3"/>
  <c r="Q222" i="3"/>
  <c r="P409" i="3"/>
  <c r="Q409" i="3"/>
  <c r="P72" i="3"/>
  <c r="Q72" i="3"/>
  <c r="P229" i="3"/>
  <c r="Q229" i="3"/>
  <c r="P158" i="3"/>
  <c r="Q158" i="3"/>
  <c r="P497" i="3"/>
  <c r="Q497" i="3"/>
  <c r="P166" i="3"/>
  <c r="Q166" i="3"/>
  <c r="P96" i="3"/>
  <c r="Q96" i="3"/>
  <c r="P431" i="3"/>
  <c r="Q431" i="3"/>
  <c r="P469" i="3"/>
  <c r="Q469" i="3"/>
  <c r="Q18" i="3"/>
  <c r="P18" i="3"/>
  <c r="P362" i="3"/>
  <c r="Q362" i="3"/>
  <c r="P102" i="3"/>
  <c r="Q102" i="3"/>
  <c r="P118" i="3"/>
  <c r="Q118" i="3"/>
  <c r="P116" i="3"/>
  <c r="Q116" i="3"/>
  <c r="P52" i="3"/>
  <c r="Q52" i="3"/>
  <c r="P53" i="3"/>
  <c r="Q53" i="3"/>
  <c r="P85" i="3"/>
  <c r="Q85" i="3"/>
  <c r="P86" i="3"/>
  <c r="Q86" i="3"/>
  <c r="P281" i="3"/>
  <c r="Q281" i="3"/>
  <c r="P282" i="3"/>
  <c r="Q282" i="3"/>
  <c r="P283" i="3"/>
  <c r="Q283" i="3"/>
  <c r="P344" i="3"/>
  <c r="Q344" i="3"/>
  <c r="P345" i="3"/>
  <c r="Q345" i="3"/>
  <c r="P221" i="3"/>
  <c r="Q221" i="3"/>
  <c r="P371" i="3"/>
  <c r="Q371" i="3"/>
  <c r="P385" i="3"/>
  <c r="Q385" i="3"/>
  <c r="P528" i="3"/>
  <c r="Q528" i="3"/>
  <c r="P101" i="3"/>
  <c r="Q101" i="3"/>
  <c r="P212" i="3"/>
  <c r="Q212" i="3"/>
  <c r="P443" i="3"/>
  <c r="Q443" i="3"/>
  <c r="P441" i="3"/>
  <c r="Q441" i="3"/>
  <c r="P6" i="3"/>
  <c r="Q6" i="3"/>
  <c r="P453" i="3"/>
  <c r="Q453" i="3"/>
  <c r="P259" i="3"/>
  <c r="Q259" i="3"/>
  <c r="P279" i="3"/>
  <c r="Q279" i="3"/>
  <c r="P513" i="3"/>
  <c r="Q513" i="3"/>
  <c r="P195" i="3"/>
  <c r="Q195" i="3"/>
  <c r="P207" i="3"/>
  <c r="Q207" i="3"/>
  <c r="P211" i="3"/>
  <c r="Q211" i="3"/>
  <c r="P236" i="3"/>
  <c r="Q236" i="3"/>
  <c r="P238" i="3"/>
  <c r="Q238" i="3"/>
  <c r="P185" i="3"/>
  <c r="Q185" i="3"/>
  <c r="P414" i="3"/>
  <c r="Q414" i="3"/>
  <c r="P271" i="3"/>
  <c r="Q271" i="3"/>
  <c r="P202" i="3"/>
  <c r="Q202" i="3"/>
  <c r="P57" i="3"/>
  <c r="Q57" i="3"/>
  <c r="P332" i="3"/>
  <c r="Q332" i="3"/>
  <c r="P272" i="3"/>
  <c r="Q272" i="3"/>
  <c r="P266" i="3"/>
  <c r="Q266" i="3"/>
  <c r="P188" i="3"/>
  <c r="Q188" i="3"/>
  <c r="P122" i="3"/>
  <c r="Q122" i="3"/>
  <c r="P134" i="3"/>
  <c r="Q134" i="3"/>
  <c r="P243" i="3"/>
  <c r="Q243" i="3"/>
  <c r="P335" i="3"/>
  <c r="Q335" i="3"/>
  <c r="P336" i="3"/>
  <c r="Q336" i="3"/>
  <c r="P416" i="3"/>
  <c r="Q416" i="3"/>
  <c r="P369" i="3"/>
  <c r="Q369" i="3"/>
  <c r="P467" i="3"/>
  <c r="Q467" i="3"/>
  <c r="P204" i="3"/>
  <c r="Q204" i="3"/>
  <c r="P387" i="3"/>
  <c r="Q387" i="3"/>
  <c r="P398" i="3"/>
  <c r="Q398" i="3"/>
  <c r="P20" i="3"/>
  <c r="Q20" i="3"/>
  <c r="P81" i="3"/>
  <c r="Q81" i="3"/>
  <c r="P184" i="3"/>
  <c r="Q184" i="3"/>
  <c r="P284" i="3"/>
  <c r="Q284" i="3"/>
  <c r="P382" i="3"/>
  <c r="Q382" i="3"/>
  <c r="P378" i="3"/>
  <c r="Q378" i="3"/>
  <c r="P15" i="3"/>
  <c r="Q15" i="3"/>
  <c r="P16" i="3"/>
  <c r="Q16" i="3"/>
  <c r="P141" i="3"/>
  <c r="Q141" i="3"/>
  <c r="P395" i="3"/>
  <c r="Q395" i="3"/>
  <c r="P393" i="3"/>
  <c r="Q393" i="3"/>
  <c r="P396" i="3"/>
  <c r="Q396" i="3"/>
  <c r="P394" i="3"/>
  <c r="Q394" i="3"/>
  <c r="P27" i="3"/>
  <c r="Q27" i="3"/>
  <c r="P89" i="3"/>
  <c r="Q89" i="3"/>
  <c r="P92" i="3"/>
  <c r="Q92" i="3"/>
  <c r="P171" i="3"/>
  <c r="Q171" i="3"/>
  <c r="P451" i="3"/>
  <c r="Q451" i="3"/>
  <c r="P493" i="3"/>
  <c r="Q493" i="3"/>
  <c r="P5" i="3"/>
  <c r="Q5" i="3"/>
  <c r="P61" i="3"/>
  <c r="Q61" i="3"/>
  <c r="P88" i="3"/>
  <c r="Q88" i="3"/>
  <c r="P230" i="3"/>
  <c r="Q230" i="3"/>
  <c r="P492" i="3"/>
  <c r="Q492" i="3"/>
  <c r="P479" i="3"/>
  <c r="Q479" i="3"/>
  <c r="P452" i="3"/>
  <c r="Q452" i="3"/>
  <c r="P244" i="3"/>
  <c r="Q244" i="3"/>
  <c r="P327" i="3"/>
  <c r="Q327" i="3"/>
  <c r="P84" i="3"/>
  <c r="Q84" i="3"/>
  <c r="P79" i="3"/>
  <c r="Q79" i="3"/>
  <c r="P456" i="3"/>
  <c r="Q456" i="3"/>
  <c r="P205" i="3"/>
  <c r="Q205" i="3"/>
  <c r="P374" i="3"/>
  <c r="Q374" i="3"/>
  <c r="P206" i="3"/>
  <c r="Q206" i="3"/>
  <c r="P44" i="3"/>
  <c r="Q44" i="3"/>
  <c r="P357" i="3"/>
  <c r="Q357" i="3"/>
  <c r="P321" i="3"/>
  <c r="Q321" i="3"/>
  <c r="P25" i="3"/>
  <c r="Q25" i="3"/>
  <c r="P486" i="3"/>
  <c r="Q486" i="3"/>
  <c r="P339" i="3"/>
  <c r="Q339" i="3"/>
  <c r="P494" i="3"/>
  <c r="Q494" i="3"/>
  <c r="P258" i="3"/>
  <c r="Q258" i="3"/>
  <c r="P490" i="3"/>
  <c r="Q490" i="3"/>
  <c r="P150" i="3"/>
  <c r="Q150" i="3"/>
  <c r="P361" i="3"/>
  <c r="Q361" i="3"/>
  <c r="P177" i="3"/>
  <c r="Q177" i="3"/>
  <c r="P215" i="3"/>
  <c r="Q215" i="3"/>
  <c r="P404" i="3"/>
  <c r="Q404" i="3"/>
  <c r="P304" i="3"/>
  <c r="Q304" i="3"/>
  <c r="P78" i="3"/>
  <c r="Q78" i="3"/>
  <c r="P120" i="3"/>
  <c r="Q120" i="3"/>
  <c r="P127" i="3"/>
  <c r="Q127" i="3"/>
  <c r="P276" i="3"/>
  <c r="Q276" i="3"/>
  <c r="P114" i="3"/>
  <c r="Q114" i="3"/>
  <c r="P162" i="3"/>
  <c r="Q162" i="3"/>
  <c r="P199" i="3"/>
  <c r="Q199" i="3"/>
  <c r="P213" i="3"/>
  <c r="Q213" i="3"/>
  <c r="P218" i="3"/>
  <c r="Q218" i="3"/>
  <c r="P219" i="3"/>
  <c r="Q219" i="3"/>
  <c r="P47" i="3"/>
  <c r="Q47" i="3"/>
  <c r="P365" i="3"/>
  <c r="Q365" i="3"/>
  <c r="P295" i="3"/>
  <c r="Q295" i="3"/>
  <c r="P296" i="3"/>
  <c r="Q296" i="3"/>
  <c r="P49" i="3"/>
  <c r="Q49" i="3"/>
  <c r="P488" i="3"/>
  <c r="Q488" i="3"/>
  <c r="P397" i="3"/>
  <c r="Q397" i="3"/>
  <c r="P419" i="3"/>
  <c r="Q419" i="3"/>
  <c r="P455" i="3"/>
  <c r="Q455" i="3"/>
  <c r="P298" i="3"/>
  <c r="Q298" i="3"/>
  <c r="P521" i="3"/>
  <c r="Q521" i="3"/>
  <c r="P367" i="3"/>
  <c r="Q367" i="3"/>
  <c r="P433" i="3"/>
  <c r="Q433" i="3"/>
  <c r="P427" i="3"/>
  <c r="Q427" i="3"/>
  <c r="P23" i="3"/>
  <c r="Q23" i="3"/>
  <c r="P472" i="3"/>
  <c r="Q472" i="3"/>
  <c r="P35" i="3"/>
  <c r="Q35" i="3"/>
  <c r="P450" i="3"/>
  <c r="Q450" i="3"/>
  <c r="P524" i="3"/>
  <c r="Q524" i="3"/>
  <c r="P63" i="3"/>
  <c r="Q63" i="3"/>
  <c r="P140" i="3"/>
  <c r="Q140" i="3"/>
  <c r="P251" i="3"/>
  <c r="Q251" i="3"/>
  <c r="P520" i="3"/>
  <c r="Q520" i="3"/>
  <c r="P512" i="3"/>
  <c r="Q512" i="3"/>
  <c r="P157" i="3"/>
  <c r="Q157" i="3"/>
  <c r="P175" i="3"/>
  <c r="Q175" i="3"/>
  <c r="P50" i="3"/>
  <c r="Q50" i="3"/>
  <c r="P405" i="3"/>
  <c r="Q405" i="3"/>
  <c r="P476" i="3"/>
  <c r="Q476" i="3"/>
  <c r="P478" i="3"/>
  <c r="Q478" i="3"/>
  <c r="P386" i="3"/>
  <c r="Q386" i="3"/>
  <c r="N214" i="3"/>
  <c r="P214" i="3"/>
  <c r="Q214" i="3"/>
  <c r="P334" i="3"/>
  <c r="Q334" i="3"/>
  <c r="P536" i="3"/>
  <c r="Q536" i="3"/>
  <c r="P458" i="3"/>
  <c r="Q458" i="3"/>
  <c r="P535" i="3"/>
  <c r="Q535" i="3"/>
  <c r="P481" i="3"/>
  <c r="Q481" i="3"/>
  <c r="P485" i="3"/>
  <c r="Q485" i="3"/>
  <c r="P504" i="3"/>
  <c r="Q504" i="3"/>
  <c r="P349" i="3"/>
  <c r="Q349" i="3"/>
  <c r="P418" i="3"/>
  <c r="Q418" i="3"/>
  <c r="P503" i="3"/>
  <c r="Q503" i="3"/>
  <c r="P164" i="3"/>
  <c r="Q164" i="3"/>
  <c r="P21" i="3"/>
  <c r="Q21" i="3"/>
  <c r="P73" i="3"/>
  <c r="Q73" i="3"/>
  <c r="P74" i="3"/>
  <c r="Q74" i="3"/>
  <c r="P75" i="3"/>
  <c r="Q75" i="3"/>
  <c r="P76" i="3"/>
  <c r="Q76" i="3"/>
  <c r="P352" i="3"/>
  <c r="Q352" i="3"/>
  <c r="P91" i="3"/>
  <c r="Q91" i="3"/>
  <c r="P231" i="3"/>
  <c r="Q231" i="3"/>
  <c r="P477" i="3"/>
  <c r="Q477" i="3"/>
  <c r="P412" i="3"/>
  <c r="Q412" i="3"/>
  <c r="P435" i="3"/>
  <c r="Q435" i="3"/>
  <c r="P311" i="3"/>
  <c r="Q311" i="3"/>
  <c r="P128" i="3"/>
  <c r="Q128" i="3"/>
  <c r="P129" i="3"/>
  <c r="Q129" i="3"/>
  <c r="P130" i="3"/>
  <c r="Q130" i="3"/>
  <c r="P511" i="3"/>
  <c r="Q511" i="3"/>
  <c r="P353" i="3"/>
  <c r="Q353" i="3"/>
  <c r="P354" i="3"/>
  <c r="Q354" i="3"/>
  <c r="P424" i="3"/>
  <c r="Q424" i="3"/>
  <c r="P473" i="3"/>
  <c r="Q473" i="3"/>
  <c r="P97" i="3"/>
  <c r="Q97" i="3"/>
  <c r="P152" i="3"/>
  <c r="Q152" i="3"/>
  <c r="P470" i="3"/>
  <c r="Q470" i="3"/>
  <c r="P172" i="3"/>
  <c r="Q172" i="3"/>
  <c r="P312" i="3"/>
  <c r="Q312" i="3"/>
  <c r="P309" i="3"/>
  <c r="Q309" i="3"/>
  <c r="P474" i="3"/>
  <c r="Q474" i="3"/>
  <c r="P58" i="3"/>
  <c r="Q58" i="3"/>
  <c r="P59" i="3"/>
  <c r="Q59" i="3"/>
  <c r="P355" i="3"/>
  <c r="Q355" i="3"/>
  <c r="P313" i="3"/>
  <c r="Q313" i="3"/>
  <c r="P410" i="3"/>
  <c r="Q410" i="3"/>
  <c r="P505" i="3"/>
  <c r="Q505" i="3"/>
  <c r="P165" i="3"/>
  <c r="Q165" i="3"/>
  <c r="P454" i="3"/>
  <c r="Q454" i="3"/>
  <c r="P465" i="3"/>
  <c r="Q465" i="3"/>
  <c r="P375" i="3"/>
  <c r="Q375" i="3"/>
  <c r="P429" i="3"/>
  <c r="Q429" i="3"/>
  <c r="P430" i="3"/>
  <c r="Q430" i="3"/>
  <c r="P318" i="3"/>
  <c r="Q318" i="3"/>
  <c r="P331" i="3"/>
  <c r="Q331" i="3"/>
  <c r="P154" i="3"/>
  <c r="Q154" i="3"/>
  <c r="P285" i="3"/>
  <c r="Q285" i="3"/>
  <c r="P159" i="3"/>
  <c r="Q159" i="3"/>
  <c r="P515" i="3"/>
  <c r="Q515" i="3"/>
  <c r="P173" i="3"/>
  <c r="Q173" i="3"/>
  <c r="P187" i="3"/>
  <c r="Q187" i="3"/>
  <c r="P4" i="3"/>
  <c r="Q4" i="3"/>
  <c r="P210" i="3"/>
  <c r="Q210" i="3"/>
  <c r="P301" i="3"/>
  <c r="Q301" i="3"/>
  <c r="P302" i="3"/>
  <c r="Q302" i="3"/>
  <c r="P144" i="3"/>
  <c r="Q144" i="3"/>
  <c r="P189" i="3"/>
  <c r="Q189" i="3"/>
  <c r="P392" i="3"/>
  <c r="Q392" i="3"/>
  <c r="P401" i="3"/>
  <c r="Q401" i="3"/>
  <c r="P83" i="3"/>
  <c r="Q83" i="3"/>
  <c r="P111" i="3"/>
  <c r="Q111" i="3"/>
  <c r="P299" i="3"/>
  <c r="Q299" i="3"/>
  <c r="P359" i="3"/>
  <c r="Q359" i="3"/>
  <c r="P436" i="3"/>
  <c r="Q436" i="3"/>
  <c r="P517" i="3"/>
  <c r="Q517" i="3"/>
  <c r="P518" i="3"/>
  <c r="Q518" i="3"/>
  <c r="P249" i="3"/>
  <c r="Q249" i="3"/>
  <c r="P267" i="3"/>
  <c r="Q267" i="3"/>
  <c r="P268" i="3"/>
  <c r="Q268" i="3"/>
  <c r="P269" i="3"/>
  <c r="Q269" i="3"/>
  <c r="P270" i="3"/>
  <c r="Q270" i="3"/>
  <c r="P55" i="3"/>
  <c r="Q55" i="3"/>
  <c r="P390" i="3"/>
  <c r="Q390" i="3"/>
  <c r="P432" i="3"/>
  <c r="Q432" i="3"/>
  <c r="P33" i="3"/>
  <c r="Q33" i="3"/>
  <c r="P484" i="3"/>
  <c r="Q484" i="3"/>
  <c r="P297" i="3"/>
  <c r="Q297" i="3"/>
  <c r="P514" i="3"/>
  <c r="Q514" i="3"/>
  <c r="P293" i="3"/>
  <c r="Q293" i="3"/>
  <c r="P191" i="3"/>
  <c r="Q191" i="3"/>
  <c r="P426" i="3"/>
  <c r="Q426" i="3"/>
  <c r="P333" i="3"/>
  <c r="Q333" i="3"/>
  <c r="P322" i="3"/>
  <c r="Q322" i="3"/>
  <c r="P347" i="3"/>
  <c r="Q347" i="3"/>
  <c r="P13" i="3"/>
  <c r="Q13" i="3"/>
  <c r="P462" i="3"/>
  <c r="Q462" i="3"/>
  <c r="P468" i="3"/>
  <c r="Q468" i="3"/>
  <c r="P142" i="3"/>
  <c r="Q142" i="3"/>
  <c r="P305" i="3"/>
  <c r="Q305" i="3"/>
  <c r="Q306" i="3"/>
  <c r="P306" i="3"/>
  <c r="P307" i="3"/>
  <c r="Q307" i="3"/>
  <c r="P342" i="3"/>
  <c r="Q342" i="3"/>
  <c r="P123" i="3"/>
  <c r="Q123" i="3"/>
  <c r="P227" i="3"/>
  <c r="Q227" i="3"/>
  <c r="P107" i="3"/>
  <c r="Q107" i="3"/>
  <c r="P126" i="3"/>
  <c r="Q126" i="3"/>
  <c r="P62" i="3"/>
  <c r="Q62" i="3"/>
  <c r="P197" i="3"/>
  <c r="Q197" i="3"/>
  <c r="P240" i="3"/>
  <c r="Q240" i="3"/>
  <c r="P255" i="3"/>
  <c r="Q255" i="3"/>
  <c r="P310" i="3"/>
  <c r="Q310" i="3"/>
  <c r="P483" i="3"/>
  <c r="Q483" i="3"/>
  <c r="P163" i="3"/>
  <c r="Q163" i="3"/>
  <c r="P252" i="3"/>
  <c r="Q252" i="3"/>
  <c r="P253" i="3"/>
  <c r="Q253" i="3"/>
  <c r="P254" i="3"/>
  <c r="Q254" i="3"/>
  <c r="P360" i="3"/>
  <c r="Q360" i="3"/>
  <c r="P532" i="3"/>
  <c r="Q532" i="3"/>
  <c r="P526" i="3"/>
  <c r="Q526" i="3"/>
  <c r="P292" i="3"/>
  <c r="Q292" i="3"/>
  <c r="P506" i="3"/>
  <c r="Q506" i="3"/>
  <c r="P415" i="3"/>
  <c r="Q415" i="3"/>
  <c r="P482" i="3"/>
  <c r="Q482" i="3"/>
  <c r="P291" i="3"/>
  <c r="Q291" i="3"/>
  <c r="P372" i="3"/>
  <c r="Q372" i="3"/>
  <c r="P428" i="3"/>
  <c r="Q428" i="3"/>
  <c r="P109" i="3"/>
  <c r="Q109" i="3"/>
  <c r="P480" i="3"/>
  <c r="Q480" i="3"/>
  <c r="P257" i="3"/>
  <c r="Q257" i="3"/>
  <c r="P64" i="3"/>
  <c r="Q64" i="3"/>
  <c r="P235" i="3"/>
  <c r="Q235" i="3"/>
  <c r="P176" i="3"/>
  <c r="Q176" i="3"/>
  <c r="P105" i="3"/>
  <c r="Q105" i="3"/>
  <c r="P32" i="3"/>
  <c r="Q32" i="3"/>
  <c r="P523" i="3"/>
  <c r="Q523" i="3"/>
  <c r="P423" i="3"/>
  <c r="Q423" i="3"/>
  <c r="P522" i="3"/>
  <c r="Q522" i="3"/>
  <c r="P24" i="3"/>
  <c r="Q24" i="3"/>
  <c r="P82" i="3"/>
  <c r="Q82" i="3"/>
  <c r="P530" i="3"/>
  <c r="Q530" i="3"/>
  <c r="P527" i="3"/>
  <c r="Q527" i="3"/>
  <c r="P94" i="3"/>
  <c r="Q94" i="3"/>
  <c r="P43" i="3"/>
  <c r="Q43" i="3"/>
  <c r="P115" i="3"/>
  <c r="Q115" i="3"/>
  <c r="P151" i="3"/>
  <c r="Q151" i="3"/>
  <c r="P314" i="3"/>
  <c r="Q314" i="3"/>
  <c r="P330" i="3"/>
  <c r="Q330" i="3"/>
  <c r="P389" i="3"/>
  <c r="Q389" i="3"/>
  <c r="P167" i="3"/>
  <c r="Q167" i="3"/>
  <c r="P203" i="3"/>
  <c r="Q203" i="3"/>
  <c r="P186" i="3"/>
  <c r="Q186" i="3"/>
  <c r="P30" i="3"/>
  <c r="Q30" i="3"/>
  <c r="P70" i="3"/>
  <c r="Q70" i="3"/>
  <c r="P198" i="3"/>
  <c r="Q198" i="3"/>
  <c r="P247" i="3"/>
  <c r="Q247" i="3"/>
  <c r="P245" i="3"/>
  <c r="Q245" i="3"/>
  <c r="P246" i="3"/>
  <c r="Q246" i="3"/>
  <c r="P190" i="3"/>
  <c r="Q190" i="3"/>
  <c r="P388" i="3"/>
  <c r="Q388" i="3"/>
  <c r="P10" i="3"/>
  <c r="Q10" i="3"/>
  <c r="P93" i="3"/>
  <c r="Q93" i="3"/>
  <c r="P507" i="3"/>
  <c r="Q507" i="3"/>
  <c r="P294" i="3"/>
  <c r="Q294" i="3"/>
  <c r="P466" i="3"/>
  <c r="Q466" i="3"/>
  <c r="P273" i="3"/>
  <c r="Q273" i="3"/>
  <c r="P323" i="3"/>
  <c r="Q323" i="3"/>
  <c r="P400" i="3"/>
  <c r="Q400" i="3"/>
  <c r="P463" i="3"/>
  <c r="Q463" i="3"/>
  <c r="P143" i="3"/>
  <c r="Q143" i="3"/>
  <c r="P308" i="3"/>
  <c r="Q308" i="3"/>
  <c r="P446" i="3"/>
  <c r="Q446" i="3"/>
  <c r="P448" i="3"/>
  <c r="Q448" i="3"/>
  <c r="P445" i="3"/>
  <c r="Q445" i="3"/>
  <c r="P496" i="3"/>
  <c r="Q496" i="3"/>
  <c r="P356" i="3"/>
  <c r="Q356" i="3"/>
  <c r="P239" i="3"/>
  <c r="Q239" i="3"/>
  <c r="P124" i="3"/>
  <c r="Q124" i="3"/>
  <c r="P286" i="3"/>
  <c r="Q286" i="3"/>
  <c r="P34" i="3"/>
  <c r="Q34" i="3"/>
  <c r="P36" i="3"/>
  <c r="Q36" i="3"/>
  <c r="P37" i="3"/>
  <c r="Q37" i="3"/>
  <c r="P38" i="3"/>
  <c r="Q38" i="3"/>
  <c r="P39" i="3"/>
  <c r="Q39" i="3"/>
  <c r="P40" i="3"/>
  <c r="Q40" i="3"/>
  <c r="P41" i="3"/>
  <c r="Q41" i="3"/>
  <c r="P42" i="3"/>
  <c r="Q42" i="3"/>
  <c r="P459" i="3"/>
  <c r="Q459" i="3"/>
  <c r="P529" i="3"/>
  <c r="Q529" i="3"/>
  <c r="P119" i="3"/>
  <c r="Q119" i="3"/>
  <c r="P399" i="3"/>
  <c r="Q399" i="3"/>
  <c r="N310" i="3"/>
  <c r="H17" i="75"/>
  <c r="G28" i="75"/>
  <c r="E489" i="3" s="1"/>
  <c r="E8" i="7"/>
  <c r="C4" i="2"/>
  <c r="P4" i="2" s="1"/>
  <c r="N258" i="3"/>
  <c r="D27" i="7"/>
  <c r="B315" i="3" s="1"/>
  <c r="G6" i="7"/>
  <c r="G11" i="7" s="1"/>
  <c r="E23" i="7"/>
  <c r="C287" i="3" s="1"/>
  <c r="D19" i="7"/>
  <c r="B275" i="3" s="1"/>
  <c r="H19" i="7"/>
  <c r="F275" i="3" s="1"/>
  <c r="L19" i="7"/>
  <c r="J275" i="3" s="1"/>
  <c r="I237" i="3"/>
  <c r="G13" i="54"/>
  <c r="L15" i="54"/>
  <c r="M136" i="2"/>
  <c r="Z136" i="2" s="1"/>
  <c r="E237" i="3"/>
  <c r="K13" i="54"/>
  <c r="I136" i="2"/>
  <c r="V136" i="2" s="1"/>
  <c r="D15" i="54"/>
  <c r="H36" i="87"/>
  <c r="F298" i="3" s="1"/>
  <c r="L50" i="87"/>
  <c r="J457" i="3" s="1"/>
  <c r="J50" i="87"/>
  <c r="H457" i="3" s="1"/>
  <c r="G42" i="87"/>
  <c r="E381" i="3" s="1"/>
  <c r="M21" i="87"/>
  <c r="K155" i="3" s="1"/>
  <c r="H50" i="87"/>
  <c r="F457" i="3" s="1"/>
  <c r="H54" i="87"/>
  <c r="F521" i="3" s="1"/>
  <c r="M3" i="87"/>
  <c r="M17" i="87" s="1"/>
  <c r="N42" i="87"/>
  <c r="L381" i="3" s="1"/>
  <c r="O32" i="87"/>
  <c r="M193" i="3" s="1"/>
  <c r="M50" i="87"/>
  <c r="K457" i="3" s="1"/>
  <c r="G54" i="87"/>
  <c r="E521" i="3" s="1"/>
  <c r="E21" i="87"/>
  <c r="C155" i="3" s="1"/>
  <c r="E26" i="87"/>
  <c r="C168" i="3" s="1"/>
  <c r="I54" i="87"/>
  <c r="G521" i="3" s="1"/>
  <c r="L119" i="2"/>
  <c r="Y119" i="2" s="1"/>
  <c r="D6" i="20"/>
  <c r="D7" i="20" s="1"/>
  <c r="B113" i="3"/>
  <c r="H15" i="21"/>
  <c r="J113" i="3"/>
  <c r="L6" i="20"/>
  <c r="L7" i="20" s="1"/>
  <c r="G13" i="21"/>
  <c r="K13" i="21"/>
  <c r="M150" i="2"/>
  <c r="Z150" i="2" s="1"/>
  <c r="E27" i="25"/>
  <c r="C351" i="3" s="1"/>
  <c r="F20" i="84"/>
  <c r="D98" i="3" s="1"/>
  <c r="G26" i="84"/>
  <c r="E420" i="3" s="1"/>
  <c r="J26" i="84"/>
  <c r="H420" i="3" s="1"/>
  <c r="K3" i="84"/>
  <c r="K11" i="84" s="1"/>
  <c r="K26" i="84"/>
  <c r="I420" i="3" s="1"/>
  <c r="G3" i="84"/>
  <c r="G11" i="84" s="1"/>
  <c r="D15" i="84"/>
  <c r="D34" i="84" s="1"/>
  <c r="N314" i="3"/>
  <c r="J11" i="4"/>
  <c r="H131" i="3" s="1"/>
  <c r="N11" i="4"/>
  <c r="L131" i="3" s="1"/>
  <c r="N506" i="3"/>
  <c r="H81" i="39"/>
  <c r="F533" i="3" s="1"/>
  <c r="N421" i="3"/>
  <c r="N510" i="3"/>
  <c r="N298" i="3"/>
  <c r="N512" i="3"/>
  <c r="N374" i="3"/>
  <c r="N482" i="3"/>
  <c r="N479" i="3"/>
  <c r="N353" i="3"/>
  <c r="N312" i="3"/>
  <c r="N256" i="3"/>
  <c r="N321" i="3"/>
  <c r="N248" i="3"/>
  <c r="N514" i="3"/>
  <c r="N476" i="3"/>
  <c r="N257" i="3"/>
  <c r="N398" i="3"/>
  <c r="N81" i="3"/>
  <c r="N184" i="3"/>
  <c r="N284" i="3"/>
  <c r="N382" i="3"/>
  <c r="G9" i="19"/>
  <c r="E179" i="2"/>
  <c r="R179" i="2" s="1"/>
  <c r="G10" i="19"/>
  <c r="E180" i="2"/>
  <c r="R180" i="2" s="1"/>
  <c r="I179" i="2"/>
  <c r="V179" i="2" s="1"/>
  <c r="I180" i="2"/>
  <c r="V180" i="2" s="1"/>
  <c r="O8" i="19"/>
  <c r="M178" i="2"/>
  <c r="Z178" i="2" s="1"/>
  <c r="H34" i="71"/>
  <c r="F467" i="3" s="1"/>
  <c r="N3" i="71"/>
  <c r="F34" i="71"/>
  <c r="D467" i="3" s="1"/>
  <c r="M19" i="71"/>
  <c r="K369" i="3" s="1"/>
  <c r="E25" i="71"/>
  <c r="C391" i="3" s="1"/>
  <c r="J3" i="71"/>
  <c r="J29" i="71"/>
  <c r="H402" i="3" s="1"/>
  <c r="F3" i="71"/>
  <c r="J34" i="71"/>
  <c r="H467" i="3" s="1"/>
  <c r="N204" i="3"/>
  <c r="D294" i="2"/>
  <c r="F3" i="87"/>
  <c r="F17" i="87" s="1"/>
  <c r="H294" i="2"/>
  <c r="J3" i="87"/>
  <c r="J17" i="87" s="1"/>
  <c r="L294" i="2"/>
  <c r="N3" i="87"/>
  <c r="N17" i="87" s="1"/>
  <c r="N50" i="87"/>
  <c r="L457" i="3" s="1"/>
  <c r="F56" i="87"/>
  <c r="F60" i="87"/>
  <c r="F58" i="87"/>
  <c r="D155" i="3"/>
  <c r="J56" i="87"/>
  <c r="J60" i="87"/>
  <c r="J58" i="87"/>
  <c r="H155" i="3"/>
  <c r="E168" i="3"/>
  <c r="I60" i="87"/>
  <c r="G168" i="3"/>
  <c r="G36" i="87"/>
  <c r="E298" i="3" s="1"/>
  <c r="E155" i="3"/>
  <c r="G3" i="87"/>
  <c r="G17" i="87" s="1"/>
  <c r="K3" i="87"/>
  <c r="K17" i="87" s="1"/>
  <c r="E60" i="87"/>
  <c r="E58" i="87"/>
  <c r="D26" i="87"/>
  <c r="B168" i="3" s="1"/>
  <c r="K26" i="87"/>
  <c r="I168" i="3" s="1"/>
  <c r="D50" i="87"/>
  <c r="B457" i="3" s="1"/>
  <c r="L60" i="87"/>
  <c r="L58" i="87"/>
  <c r="L56" i="87"/>
  <c r="N56" i="87"/>
  <c r="L155" i="3"/>
  <c r="N60" i="87"/>
  <c r="N58" i="87"/>
  <c r="K296" i="2"/>
  <c r="K60" i="87"/>
  <c r="I155" i="3"/>
  <c r="D3" i="87"/>
  <c r="D17" i="87" s="1"/>
  <c r="H3" i="87"/>
  <c r="H17" i="87" s="1"/>
  <c r="L3" i="87"/>
  <c r="L17" i="87" s="1"/>
  <c r="I42" i="87"/>
  <c r="G381" i="3" s="1"/>
  <c r="H26" i="87"/>
  <c r="F168" i="3" s="1"/>
  <c r="M42" i="87"/>
  <c r="K381" i="3" s="1"/>
  <c r="O21" i="87"/>
  <c r="M155" i="3" s="1"/>
  <c r="O50" i="87"/>
  <c r="M457" i="3" s="1"/>
  <c r="O42" i="87"/>
  <c r="M381" i="3" s="1"/>
  <c r="N381" i="3" s="1"/>
  <c r="N427" i="3"/>
  <c r="N367" i="3"/>
  <c r="N171" i="3"/>
  <c r="C305" i="2"/>
  <c r="P305" i="2" s="1"/>
  <c r="G305" i="2"/>
  <c r="T305" i="2" s="1"/>
  <c r="O26" i="87"/>
  <c r="M168" i="3" s="1"/>
  <c r="O3" i="87"/>
  <c r="O17" i="87" s="1"/>
  <c r="M295" i="2"/>
  <c r="Z295" i="2" s="1"/>
  <c r="D146" i="2"/>
  <c r="Q146" i="2" s="1"/>
  <c r="H146" i="2"/>
  <c r="U146" i="2" s="1"/>
  <c r="L146" i="2"/>
  <c r="Y146" i="2" s="1"/>
  <c r="D95" i="3"/>
  <c r="H95" i="3"/>
  <c r="L95" i="3"/>
  <c r="D13" i="85"/>
  <c r="I15" i="85"/>
  <c r="H13" i="85"/>
  <c r="M15" i="85"/>
  <c r="M325" i="3"/>
  <c r="O11" i="86"/>
  <c r="O13" i="86"/>
  <c r="F363" i="2"/>
  <c r="S363" i="2" s="1"/>
  <c r="I363" i="2"/>
  <c r="V363" i="2" s="1"/>
  <c r="J363" i="2"/>
  <c r="W363" i="2" s="1"/>
  <c r="B363" i="2"/>
  <c r="O363" i="2" s="1"/>
  <c r="F5" i="88"/>
  <c r="J5" i="88"/>
  <c r="N5" i="88"/>
  <c r="N356" i="3"/>
  <c r="G11" i="88"/>
  <c r="K11" i="88"/>
  <c r="D11" i="88"/>
  <c r="H11" i="88"/>
  <c r="L11" i="88"/>
  <c r="E13" i="88"/>
  <c r="I13" i="88"/>
  <c r="M13" i="88"/>
  <c r="F15" i="88"/>
  <c r="J15" i="88"/>
  <c r="N15" i="88"/>
  <c r="F13" i="88"/>
  <c r="J13" i="88"/>
  <c r="N13" i="88"/>
  <c r="G15" i="88"/>
  <c r="K15" i="88"/>
  <c r="O15" i="88"/>
  <c r="M147" i="2"/>
  <c r="Z147" i="2" s="1"/>
  <c r="M29" i="3"/>
  <c r="O11" i="88"/>
  <c r="M3" i="89"/>
  <c r="K167" i="2"/>
  <c r="E3" i="89"/>
  <c r="C167" i="2"/>
  <c r="P167" i="2" s="1"/>
  <c r="I3" i="89"/>
  <c r="G167" i="2"/>
  <c r="M44" i="89"/>
  <c r="M46" i="89"/>
  <c r="K48" i="3"/>
  <c r="M48" i="89"/>
  <c r="L172" i="2"/>
  <c r="Y172" i="2" s="1"/>
  <c r="H456" i="3"/>
  <c r="G11" i="89"/>
  <c r="G12" i="89"/>
  <c r="H11" i="89"/>
  <c r="N46" i="89"/>
  <c r="L48" i="3"/>
  <c r="N48" i="89"/>
  <c r="N44" i="89"/>
  <c r="H48" i="89"/>
  <c r="K11" i="89"/>
  <c r="K12" i="89"/>
  <c r="I44" i="89"/>
  <c r="I46" i="89"/>
  <c r="G48" i="3"/>
  <c r="I48" i="89"/>
  <c r="H172" i="2"/>
  <c r="U172" i="2" s="1"/>
  <c r="F3" i="89"/>
  <c r="J11" i="89"/>
  <c r="J12" i="89"/>
  <c r="N11" i="89"/>
  <c r="N12" i="89"/>
  <c r="J46" i="89"/>
  <c r="H48" i="3"/>
  <c r="J48" i="89"/>
  <c r="G46" i="89"/>
  <c r="L48" i="89"/>
  <c r="E44" i="89"/>
  <c r="E46" i="89"/>
  <c r="C48" i="3"/>
  <c r="E48" i="89"/>
  <c r="D172" i="2"/>
  <c r="Q172" i="2" s="1"/>
  <c r="L3" i="89"/>
  <c r="D48" i="3"/>
  <c r="K48" i="89"/>
  <c r="K46" i="89"/>
  <c r="G44" i="89"/>
  <c r="K44" i="89"/>
  <c r="D46" i="89"/>
  <c r="H46" i="89"/>
  <c r="L46" i="89"/>
  <c r="E20" i="89"/>
  <c r="I20" i="89"/>
  <c r="M20" i="89"/>
  <c r="F20" i="89"/>
  <c r="J20" i="89"/>
  <c r="N20" i="89"/>
  <c r="O3" i="89"/>
  <c r="O12" i="89" s="1"/>
  <c r="M168" i="2"/>
  <c r="Z168" i="2" s="1"/>
  <c r="E172" i="2"/>
  <c r="R172" i="2" s="1"/>
  <c r="I172" i="2"/>
  <c r="V172" i="2" s="1"/>
  <c r="B172" i="2"/>
  <c r="O172" i="2" s="1"/>
  <c r="F172" i="2"/>
  <c r="S172" i="2" s="1"/>
  <c r="J172" i="2"/>
  <c r="W172" i="2" s="1"/>
  <c r="C172" i="2"/>
  <c r="P172" i="2" s="1"/>
  <c r="G172" i="2"/>
  <c r="T172" i="2" s="1"/>
  <c r="K172" i="2"/>
  <c r="X172" i="2" s="1"/>
  <c r="N307" i="3"/>
  <c r="M172" i="2"/>
  <c r="Z172" i="2" s="1"/>
  <c r="N183" i="3"/>
  <c r="O48" i="89"/>
  <c r="O44" i="89"/>
  <c r="O46" i="89"/>
  <c r="N239" i="3"/>
  <c r="N456" i="3"/>
  <c r="N418" i="3"/>
  <c r="N305" i="3"/>
  <c r="N480" i="3"/>
  <c r="N48" i="3"/>
  <c r="N327" i="3"/>
  <c r="N494" i="3"/>
  <c r="N306" i="3"/>
  <c r="R167" i="2"/>
  <c r="Z167" i="2"/>
  <c r="O167" i="2"/>
  <c r="S167" i="2"/>
  <c r="W167" i="2"/>
  <c r="T167" i="2"/>
  <c r="X167" i="2"/>
  <c r="V167" i="2"/>
  <c r="Q167" i="2"/>
  <c r="U167" i="2"/>
  <c r="Y167" i="2"/>
  <c r="G5" i="79"/>
  <c r="E21" i="79"/>
  <c r="I9" i="79"/>
  <c r="N13" i="79"/>
  <c r="L264" i="3" s="1"/>
  <c r="K5" i="79"/>
  <c r="I21" i="79"/>
  <c r="D487" i="3"/>
  <c r="H487" i="3"/>
  <c r="L487" i="3"/>
  <c r="M9" i="79"/>
  <c r="K108" i="3" s="1"/>
  <c r="M21" i="79"/>
  <c r="M148" i="2"/>
  <c r="Z148" i="2" s="1"/>
  <c r="M487" i="3"/>
  <c r="O13" i="79"/>
  <c r="M264" i="3" s="1"/>
  <c r="N472" i="3"/>
  <c r="G13" i="90"/>
  <c r="K13" i="90"/>
  <c r="D15" i="90"/>
  <c r="H15" i="90"/>
  <c r="L15" i="90"/>
  <c r="E17" i="90"/>
  <c r="I17" i="90"/>
  <c r="M17" i="90"/>
  <c r="M5" i="90"/>
  <c r="F13" i="90"/>
  <c r="J13" i="90"/>
  <c r="N13" i="90"/>
  <c r="D23" i="3"/>
  <c r="H23" i="3"/>
  <c r="L23" i="3"/>
  <c r="E15" i="90"/>
  <c r="I15" i="90"/>
  <c r="M15" i="90"/>
  <c r="F17" i="90"/>
  <c r="J17" i="90"/>
  <c r="N17" i="90"/>
  <c r="E5" i="90"/>
  <c r="I5" i="90"/>
  <c r="N361" i="3"/>
  <c r="O5" i="90"/>
  <c r="O13" i="90"/>
  <c r="O15" i="90"/>
  <c r="O17" i="90"/>
  <c r="G5" i="91"/>
  <c r="H11" i="91"/>
  <c r="I181" i="2"/>
  <c r="V181" i="2" s="1"/>
  <c r="E11" i="91"/>
  <c r="I11" i="91"/>
  <c r="M11" i="91"/>
  <c r="F13" i="91"/>
  <c r="J13" i="91"/>
  <c r="N13" i="91"/>
  <c r="G15" i="91"/>
  <c r="K15" i="91"/>
  <c r="D11" i="91"/>
  <c r="G13" i="91"/>
  <c r="K13" i="91"/>
  <c r="D15" i="91"/>
  <c r="H15" i="91"/>
  <c r="L15" i="91"/>
  <c r="L11" i="91"/>
  <c r="O5" i="91"/>
  <c r="O13" i="91"/>
  <c r="M491" i="3"/>
  <c r="O11" i="91"/>
  <c r="N492" i="3"/>
  <c r="L12" i="32"/>
  <c r="L11" i="32"/>
  <c r="M39" i="32"/>
  <c r="K241" i="3"/>
  <c r="M37" i="32"/>
  <c r="M35" i="32"/>
  <c r="H11" i="32"/>
  <c r="H12" i="32"/>
  <c r="G241" i="3"/>
  <c r="I37" i="32"/>
  <c r="N35" i="32"/>
  <c r="I11" i="32"/>
  <c r="I12" i="32"/>
  <c r="F35" i="32"/>
  <c r="D241" i="3"/>
  <c r="F37" i="32"/>
  <c r="F39" i="32"/>
  <c r="G35" i="32"/>
  <c r="G37" i="32"/>
  <c r="G39" i="32"/>
  <c r="E241" i="3"/>
  <c r="K35" i="32"/>
  <c r="K37" i="32"/>
  <c r="K39" i="32"/>
  <c r="I241" i="3"/>
  <c r="E11" i="32"/>
  <c r="D12" i="32"/>
  <c r="D11" i="32"/>
  <c r="M11" i="32"/>
  <c r="M12" i="32"/>
  <c r="C241" i="3"/>
  <c r="J35" i="32"/>
  <c r="J39" i="32"/>
  <c r="H241" i="3"/>
  <c r="J37" i="32"/>
  <c r="G3" i="32"/>
  <c r="K3" i="32"/>
  <c r="H35" i="32"/>
  <c r="B389" i="2"/>
  <c r="O389" i="2" s="1"/>
  <c r="F389" i="2"/>
  <c r="S389" i="2" s="1"/>
  <c r="J389" i="2"/>
  <c r="W389" i="2" s="1"/>
  <c r="C390" i="2"/>
  <c r="P390" i="2" s="1"/>
  <c r="G390" i="2"/>
  <c r="T390" i="2" s="1"/>
  <c r="K390" i="2"/>
  <c r="X390" i="2" s="1"/>
  <c r="B241" i="3"/>
  <c r="F241" i="3"/>
  <c r="J241" i="3"/>
  <c r="J12" i="32"/>
  <c r="N12" i="32"/>
  <c r="D39" i="32"/>
  <c r="H39" i="32"/>
  <c r="N228" i="3"/>
  <c r="O17" i="32"/>
  <c r="M241" i="3" s="1"/>
  <c r="O29" i="32"/>
  <c r="M379" i="3" s="1"/>
  <c r="O3" i="32"/>
  <c r="O11" i="32" s="1"/>
  <c r="M388" i="2"/>
  <c r="Z388" i="2" s="1"/>
  <c r="O21" i="32"/>
  <c r="N451" i="3"/>
  <c r="E392" i="2"/>
  <c r="R392" i="2" s="1"/>
  <c r="I392" i="2"/>
  <c r="V392" i="2" s="1"/>
  <c r="R387" i="2"/>
  <c r="N493" i="3"/>
  <c r="S388" i="2"/>
  <c r="C392" i="2"/>
  <c r="P392" i="2" s="1"/>
  <c r="K392" i="2"/>
  <c r="X392" i="2" s="1"/>
  <c r="W388" i="2"/>
  <c r="B392" i="2"/>
  <c r="O392" i="2" s="1"/>
  <c r="D392" i="2"/>
  <c r="Q392" i="2" s="1"/>
  <c r="H392" i="2"/>
  <c r="U392" i="2" s="1"/>
  <c r="L392" i="2"/>
  <c r="Y392" i="2" s="1"/>
  <c r="N342" i="3"/>
  <c r="Z387" i="2"/>
  <c r="D75" i="93"/>
  <c r="B524" i="3"/>
  <c r="N524" i="3" s="1"/>
  <c r="H75" i="93"/>
  <c r="F524" i="3"/>
  <c r="L75" i="93"/>
  <c r="J524" i="3"/>
  <c r="E77" i="93"/>
  <c r="E79" i="93"/>
  <c r="C5" i="3"/>
  <c r="H77" i="93"/>
  <c r="H79" i="93"/>
  <c r="F5" i="3"/>
  <c r="D3" i="93"/>
  <c r="D13" i="93" s="1"/>
  <c r="K77" i="93"/>
  <c r="I75" i="93"/>
  <c r="E75" i="93"/>
  <c r="L77" i="93"/>
  <c r="L79" i="93"/>
  <c r="J5" i="3"/>
  <c r="F394" i="2"/>
  <c r="S394" i="2" s="1"/>
  <c r="J394" i="2"/>
  <c r="J401" i="2" s="1"/>
  <c r="W401" i="2" s="1"/>
  <c r="E37" i="3"/>
  <c r="G3" i="93"/>
  <c r="G13" i="93" s="1"/>
  <c r="K5" i="3"/>
  <c r="D524" i="3"/>
  <c r="F75" i="93"/>
  <c r="H524" i="3"/>
  <c r="J75" i="93"/>
  <c r="L524" i="3"/>
  <c r="N75" i="93"/>
  <c r="D77" i="93"/>
  <c r="D79" i="93"/>
  <c r="B5" i="3"/>
  <c r="N5" i="3" s="1"/>
  <c r="C394" i="2"/>
  <c r="C401" i="2" s="1"/>
  <c r="P401" i="2" s="1"/>
  <c r="I77" i="93"/>
  <c r="I79" i="93"/>
  <c r="G5" i="3"/>
  <c r="N79" i="93"/>
  <c r="M47" i="93"/>
  <c r="K196" i="3" s="1"/>
  <c r="K75" i="93"/>
  <c r="B401" i="2"/>
  <c r="O401" i="2" s="1"/>
  <c r="O47" i="93"/>
  <c r="M196" i="3" s="1"/>
  <c r="G401" i="2"/>
  <c r="T401" i="2" s="1"/>
  <c r="K401" i="2"/>
  <c r="X401" i="2" s="1"/>
  <c r="D401" i="2"/>
  <c r="Q401" i="2" s="1"/>
  <c r="H401" i="2"/>
  <c r="U401" i="2" s="1"/>
  <c r="I401" i="2"/>
  <c r="V401" i="2" s="1"/>
  <c r="M394" i="2"/>
  <c r="Z394" i="2" s="1"/>
  <c r="O3" i="93"/>
  <c r="O13" i="93" s="1"/>
  <c r="L401" i="2"/>
  <c r="Y401" i="2" s="1"/>
  <c r="N503" i="3"/>
  <c r="N146" i="3"/>
  <c r="N36" i="3"/>
  <c r="N286" i="3"/>
  <c r="N490" i="3"/>
  <c r="N39" i="3"/>
  <c r="N450" i="3"/>
  <c r="N525" i="3"/>
  <c r="N34" i="3"/>
  <c r="N37" i="3"/>
  <c r="N486" i="3"/>
  <c r="N405" i="3"/>
  <c r="N38" i="3"/>
  <c r="N40" i="3"/>
  <c r="N124" i="3"/>
  <c r="N125" i="3"/>
  <c r="N145" i="3"/>
  <c r="N523" i="3"/>
  <c r="N41" i="3"/>
  <c r="N123" i="3"/>
  <c r="N459" i="3"/>
  <c r="N42" i="3"/>
  <c r="N35" i="3"/>
  <c r="V394" i="2"/>
  <c r="E401" i="2"/>
  <c r="R401" i="2" s="1"/>
  <c r="O394" i="2"/>
  <c r="P394" i="2"/>
  <c r="T394" i="2"/>
  <c r="X394" i="2"/>
  <c r="Q394" i="2"/>
  <c r="U394" i="2"/>
  <c r="Y394" i="2"/>
  <c r="G45" i="94"/>
  <c r="E8" i="3"/>
  <c r="G43" i="94"/>
  <c r="G41" i="94"/>
  <c r="H43" i="94"/>
  <c r="F8" i="3"/>
  <c r="N43" i="94"/>
  <c r="N45" i="94"/>
  <c r="L8" i="3"/>
  <c r="N41" i="94"/>
  <c r="E29" i="94"/>
  <c r="C156" i="3" s="1"/>
  <c r="I29" i="94"/>
  <c r="G156" i="3" s="1"/>
  <c r="M29" i="94"/>
  <c r="K156" i="3" s="1"/>
  <c r="E19" i="94"/>
  <c r="I19" i="94"/>
  <c r="M19" i="94"/>
  <c r="B8" i="3"/>
  <c r="D41" i="94"/>
  <c r="D45" i="94"/>
  <c r="D43" i="94"/>
  <c r="J43" i="94"/>
  <c r="H8" i="3"/>
  <c r="L41" i="94"/>
  <c r="J8" i="3"/>
  <c r="L43" i="94"/>
  <c r="L45" i="94"/>
  <c r="I33" i="94"/>
  <c r="G227" i="3" s="1"/>
  <c r="F43" i="94"/>
  <c r="F45" i="94"/>
  <c r="D8" i="3"/>
  <c r="F41" i="94"/>
  <c r="K45" i="94"/>
  <c r="I8" i="3"/>
  <c r="K41" i="94"/>
  <c r="K43" i="94"/>
  <c r="E3" i="94"/>
  <c r="E13" i="94" s="1"/>
  <c r="I3" i="94"/>
  <c r="I13" i="94" s="1"/>
  <c r="M3" i="94"/>
  <c r="M13" i="94" s="1"/>
  <c r="N291" i="3"/>
  <c r="F3" i="94"/>
  <c r="F13" i="94" s="1"/>
  <c r="J3" i="94"/>
  <c r="J13" i="94" s="1"/>
  <c r="N3" i="94"/>
  <c r="N13" i="94" s="1"/>
  <c r="N107" i="3"/>
  <c r="N126" i="3"/>
  <c r="O29" i="94"/>
  <c r="M156" i="3" s="1"/>
  <c r="O19" i="94"/>
  <c r="M8" i="3" s="1"/>
  <c r="C314" i="2"/>
  <c r="P314" i="2" s="1"/>
  <c r="D314" i="2"/>
  <c r="Q314" i="2" s="1"/>
  <c r="H314" i="2"/>
  <c r="U314" i="2" s="1"/>
  <c r="L314" i="2"/>
  <c r="Y314" i="2" s="1"/>
  <c r="N227" i="3"/>
  <c r="N50" i="3"/>
  <c r="N529" i="3"/>
  <c r="K314" i="2"/>
  <c r="X314" i="2" s="1"/>
  <c r="E314" i="2"/>
  <c r="R314" i="2" s="1"/>
  <c r="I314" i="2"/>
  <c r="V314" i="2" s="1"/>
  <c r="B314" i="2"/>
  <c r="O314" i="2" s="1"/>
  <c r="F314" i="2"/>
  <c r="S314" i="2" s="1"/>
  <c r="J314" i="2"/>
  <c r="W314" i="2" s="1"/>
  <c r="O3" i="94"/>
  <c r="O13" i="94" s="1"/>
  <c r="M308" i="2"/>
  <c r="Z308" i="2" s="1"/>
  <c r="W307" i="2"/>
  <c r="P308" i="2"/>
  <c r="X308" i="2"/>
  <c r="G314" i="2"/>
  <c r="T314" i="2" s="1"/>
  <c r="U308" i="2"/>
  <c r="Y308" i="2"/>
  <c r="S307" i="2"/>
  <c r="Q308" i="2"/>
  <c r="R308" i="2"/>
  <c r="V308" i="2"/>
  <c r="O307" i="2"/>
  <c r="O41" i="94"/>
  <c r="G438" i="2"/>
  <c r="T438" i="2" s="1"/>
  <c r="I3" i="95"/>
  <c r="I11" i="95" s="1"/>
  <c r="I63" i="95"/>
  <c r="N63" i="3"/>
  <c r="N63" i="95"/>
  <c r="J3" i="95"/>
  <c r="J11" i="95" s="1"/>
  <c r="J49" i="95"/>
  <c r="O49" i="95"/>
  <c r="M300" i="3" s="1"/>
  <c r="M3" i="95"/>
  <c r="M11" i="95" s="1"/>
  <c r="M49" i="95"/>
  <c r="M59" i="95" s="1"/>
  <c r="N254" i="3"/>
  <c r="O3" i="95"/>
  <c r="O11" i="95" s="1"/>
  <c r="N140" i="3"/>
  <c r="N230" i="3"/>
  <c r="N399" i="3"/>
  <c r="N253" i="3"/>
  <c r="N483" i="3"/>
  <c r="G409" i="2"/>
  <c r="T409" i="2" s="1"/>
  <c r="G24" i="96"/>
  <c r="E509" i="3" s="1"/>
  <c r="J24" i="96"/>
  <c r="H509" i="3" s="1"/>
  <c r="N532" i="3"/>
  <c r="H24" i="96"/>
  <c r="F509" i="3" s="1"/>
  <c r="O20" i="96"/>
  <c r="M366" i="3" s="1"/>
  <c r="N526" i="3"/>
  <c r="F32" i="96"/>
  <c r="K34" i="96"/>
  <c r="F409" i="2"/>
  <c r="S409" i="2" s="1"/>
  <c r="J409" i="2"/>
  <c r="W409" i="2" s="1"/>
  <c r="J20" i="96"/>
  <c r="H366" i="3" s="1"/>
  <c r="I79" i="3"/>
  <c r="K20" i="96"/>
  <c r="N292" i="3"/>
  <c r="J79" i="3"/>
  <c r="G20" i="96"/>
  <c r="G34" i="96" s="1"/>
  <c r="L20" i="96"/>
  <c r="L32" i="96" s="1"/>
  <c r="D24" i="96"/>
  <c r="B509" i="3" s="1"/>
  <c r="O24" i="96"/>
  <c r="M509" i="3" s="1"/>
  <c r="V403" i="2"/>
  <c r="I409" i="2"/>
  <c r="V409" i="2" s="1"/>
  <c r="T404" i="2"/>
  <c r="K409" i="2"/>
  <c r="X409" i="2" s="1"/>
  <c r="F366" i="3"/>
  <c r="E30" i="96"/>
  <c r="E32" i="96"/>
  <c r="E34" i="96"/>
  <c r="I30" i="96"/>
  <c r="I32" i="96"/>
  <c r="I34" i="96"/>
  <c r="M30" i="96"/>
  <c r="M32" i="96"/>
  <c r="M34" i="96"/>
  <c r="K79" i="3"/>
  <c r="R403" i="2"/>
  <c r="E409" i="2"/>
  <c r="R409" i="2" s="1"/>
  <c r="G79" i="3"/>
  <c r="B366" i="3"/>
  <c r="C409" i="2"/>
  <c r="P409" i="2" s="1"/>
  <c r="C79" i="3"/>
  <c r="H30" i="96"/>
  <c r="N32" i="96"/>
  <c r="I366" i="3"/>
  <c r="K32" i="96"/>
  <c r="E366" i="3"/>
  <c r="J366" i="3"/>
  <c r="F30" i="96"/>
  <c r="N30" i="96"/>
  <c r="D409" i="2"/>
  <c r="Q409" i="2" s="1"/>
  <c r="H409" i="2"/>
  <c r="U409" i="2" s="1"/>
  <c r="L409" i="2"/>
  <c r="Y409" i="2" s="1"/>
  <c r="D79" i="3"/>
  <c r="H79" i="3"/>
  <c r="L79" i="3"/>
  <c r="K30" i="96"/>
  <c r="N79" i="3"/>
  <c r="F34" i="96"/>
  <c r="N34" i="96"/>
  <c r="O404" i="2"/>
  <c r="S404" i="2"/>
  <c r="W404" i="2"/>
  <c r="M409" i="2"/>
  <c r="Z409" i="2" s="1"/>
  <c r="Z403" i="2"/>
  <c r="D5" i="97"/>
  <c r="L5" i="97"/>
  <c r="E11" i="97"/>
  <c r="M11" i="97"/>
  <c r="F429" i="2"/>
  <c r="S429" i="2" s="1"/>
  <c r="F11" i="97"/>
  <c r="J11" i="97"/>
  <c r="N11" i="97"/>
  <c r="G13" i="97"/>
  <c r="K13" i="97"/>
  <c r="D15" i="97"/>
  <c r="H15" i="97"/>
  <c r="L15" i="97"/>
  <c r="I11" i="97"/>
  <c r="D13" i="97"/>
  <c r="H13" i="97"/>
  <c r="L13" i="97"/>
  <c r="E15" i="97"/>
  <c r="I15" i="97"/>
  <c r="M15" i="97"/>
  <c r="N535" i="3"/>
  <c r="O11" i="97"/>
  <c r="O13" i="97"/>
  <c r="N536" i="3"/>
  <c r="F3" i="30"/>
  <c r="F8" i="30" s="1"/>
  <c r="D100" i="2"/>
  <c r="D102" i="2" s="1"/>
  <c r="Q102" i="2" s="1"/>
  <c r="I14" i="30"/>
  <c r="G134" i="3" s="1"/>
  <c r="H102" i="2"/>
  <c r="U102" i="2" s="1"/>
  <c r="D20" i="84"/>
  <c r="B98" i="3" s="1"/>
  <c r="L20" i="84"/>
  <c r="J98" i="3" s="1"/>
  <c r="K15" i="84"/>
  <c r="I87" i="3" s="1"/>
  <c r="F3" i="84"/>
  <c r="F11" i="84" s="1"/>
  <c r="J3" i="84"/>
  <c r="J11" i="84" s="1"/>
  <c r="F15" i="84"/>
  <c r="J15" i="84"/>
  <c r="J34" i="84" s="1"/>
  <c r="N15" i="84"/>
  <c r="L87" i="3" s="1"/>
  <c r="G20" i="84"/>
  <c r="E98" i="3" s="1"/>
  <c r="O26" i="84"/>
  <c r="C87" i="3"/>
  <c r="G87" i="3"/>
  <c r="K87" i="3"/>
  <c r="J56" i="2"/>
  <c r="W56" i="2" s="1"/>
  <c r="L3" i="84"/>
  <c r="L11" i="84" s="1"/>
  <c r="I3" i="84"/>
  <c r="I11" i="84" s="1"/>
  <c r="E20" i="84"/>
  <c r="C98" i="3" s="1"/>
  <c r="E87" i="3"/>
  <c r="G34" i="84"/>
  <c r="K20" i="84"/>
  <c r="I98" i="3" s="1"/>
  <c r="N3" i="84"/>
  <c r="N11" i="84" s="1"/>
  <c r="B56" i="2"/>
  <c r="O56" i="2" s="1"/>
  <c r="D3" i="84"/>
  <c r="D11" i="84" s="1"/>
  <c r="L36" i="84"/>
  <c r="E3" i="84"/>
  <c r="E11" i="84" s="1"/>
  <c r="M3" i="84"/>
  <c r="M11" i="84" s="1"/>
  <c r="I20" i="84"/>
  <c r="G98" i="3" s="1"/>
  <c r="M20" i="84"/>
  <c r="K98" i="3" s="1"/>
  <c r="H38" i="84"/>
  <c r="D87" i="3"/>
  <c r="J38" i="84"/>
  <c r="K56" i="2"/>
  <c r="X56" i="2" s="1"/>
  <c r="F56" i="2"/>
  <c r="S56" i="2" s="1"/>
  <c r="H3" i="84"/>
  <c r="H11" i="84" s="1"/>
  <c r="H34" i="84"/>
  <c r="H36" i="84"/>
  <c r="L38" i="84"/>
  <c r="G56" i="2"/>
  <c r="T56" i="2" s="1"/>
  <c r="L56" i="2"/>
  <c r="Y56" i="2" s="1"/>
  <c r="J87" i="3"/>
  <c r="N20" i="84"/>
  <c r="O15" i="84"/>
  <c r="M87" i="3" s="1"/>
  <c r="D61" i="2"/>
  <c r="Q61" i="2" s="1"/>
  <c r="H61" i="2"/>
  <c r="U61" i="2" s="1"/>
  <c r="L61" i="2"/>
  <c r="Y61" i="2" s="1"/>
  <c r="O20" i="84"/>
  <c r="M98" i="3" s="1"/>
  <c r="N455" i="3"/>
  <c r="O3" i="84"/>
  <c r="O11" i="84" s="1"/>
  <c r="M57" i="2"/>
  <c r="Z57" i="2" s="1"/>
  <c r="N496" i="3"/>
  <c r="N508" i="3"/>
  <c r="N235" i="3"/>
  <c r="Q56" i="2"/>
  <c r="U56" i="2"/>
  <c r="E61" i="2"/>
  <c r="R61" i="2" s="1"/>
  <c r="I61" i="2"/>
  <c r="V61" i="2" s="1"/>
  <c r="C61" i="2"/>
  <c r="P61" i="2" s="1"/>
  <c r="M420" i="3"/>
  <c r="Z56" i="2"/>
  <c r="I5" i="83"/>
  <c r="F11" i="83"/>
  <c r="G11" i="83"/>
  <c r="K11" i="83"/>
  <c r="C162" i="2"/>
  <c r="P162" i="2" s="1"/>
  <c r="K162" i="2"/>
  <c r="X162" i="2" s="1"/>
  <c r="D444" i="3"/>
  <c r="H444" i="3"/>
  <c r="L444" i="3"/>
  <c r="E13" i="83"/>
  <c r="I13" i="83"/>
  <c r="M13" i="83"/>
  <c r="F15" i="83"/>
  <c r="J15" i="83"/>
  <c r="N15" i="83"/>
  <c r="J11" i="83"/>
  <c r="N11" i="83"/>
  <c r="F5" i="83"/>
  <c r="J5" i="83"/>
  <c r="N5" i="83"/>
  <c r="E444" i="3"/>
  <c r="I444" i="3"/>
  <c r="M444" i="3"/>
  <c r="O11" i="83"/>
  <c r="O13" i="83"/>
  <c r="M162" i="2"/>
  <c r="Z162" i="2" s="1"/>
  <c r="F3" i="82"/>
  <c r="F16" i="82" s="1"/>
  <c r="D375" i="2"/>
  <c r="H375" i="2"/>
  <c r="H383" i="2" s="1"/>
  <c r="U383" i="2" s="1"/>
  <c r="J3" i="82"/>
  <c r="J16" i="82" s="1"/>
  <c r="J44" i="82"/>
  <c r="H447" i="3" s="1"/>
  <c r="N3" i="82"/>
  <c r="L384" i="2"/>
  <c r="Y384" i="2" s="1"/>
  <c r="N44" i="82"/>
  <c r="L447" i="3" s="1"/>
  <c r="G51" i="82"/>
  <c r="E449" i="3" s="1"/>
  <c r="G384" i="2"/>
  <c r="T384" i="2" s="1"/>
  <c r="G26" i="82"/>
  <c r="E265" i="3" s="1"/>
  <c r="K55" i="82"/>
  <c r="I460" i="3" s="1"/>
  <c r="G55" i="82"/>
  <c r="E460" i="3" s="1"/>
  <c r="C384" i="2"/>
  <c r="P384" i="2" s="1"/>
  <c r="K3" i="82"/>
  <c r="J34" i="82"/>
  <c r="H439" i="3" s="1"/>
  <c r="N38" i="82"/>
  <c r="L440" i="3" s="1"/>
  <c r="K44" i="82"/>
  <c r="I447" i="3" s="1"/>
  <c r="L44" i="82"/>
  <c r="J447" i="3" s="1"/>
  <c r="O38" i="82"/>
  <c r="M440" i="3" s="1"/>
  <c r="O51" i="82"/>
  <c r="M449" i="3" s="1"/>
  <c r="O34" i="82"/>
  <c r="M439" i="3" s="1"/>
  <c r="O26" i="82"/>
  <c r="M265" i="3" s="1"/>
  <c r="O55" i="82"/>
  <c r="M460" i="3" s="1"/>
  <c r="O17" i="82"/>
  <c r="M384" i="2"/>
  <c r="Z384" i="2" s="1"/>
  <c r="O44" i="82"/>
  <c r="M447" i="3" s="1"/>
  <c r="D383" i="2"/>
  <c r="Q383" i="2" s="1"/>
  <c r="G383" i="2"/>
  <c r="T383" i="2" s="1"/>
  <c r="L383" i="2"/>
  <c r="Y383" i="2" s="1"/>
  <c r="N446" i="3"/>
  <c r="N448" i="3"/>
  <c r="N308" i="3"/>
  <c r="H5" i="59"/>
  <c r="G19" i="59"/>
  <c r="K19" i="59"/>
  <c r="D21" i="59"/>
  <c r="H21" i="59"/>
  <c r="L21" i="59"/>
  <c r="E23" i="59"/>
  <c r="I23" i="59"/>
  <c r="M23" i="59"/>
  <c r="C27" i="3"/>
  <c r="G27" i="3"/>
  <c r="K27" i="3"/>
  <c r="E21" i="59"/>
  <c r="I21" i="59"/>
  <c r="M21" i="59"/>
  <c r="F23" i="59"/>
  <c r="J23" i="59"/>
  <c r="N23" i="59"/>
  <c r="D5" i="59"/>
  <c r="L5" i="59"/>
  <c r="M145" i="2"/>
  <c r="Z145" i="2" s="1"/>
  <c r="O19" i="59"/>
  <c r="O13" i="59"/>
  <c r="N89" i="3"/>
  <c r="N27" i="3"/>
  <c r="I147" i="3"/>
  <c r="D21" i="58"/>
  <c r="D23" i="58"/>
  <c r="B147" i="3"/>
  <c r="H21" i="58"/>
  <c r="L23" i="58"/>
  <c r="G21" i="58"/>
  <c r="G23" i="58"/>
  <c r="E147" i="3"/>
  <c r="I21" i="58"/>
  <c r="I23" i="58"/>
  <c r="G147" i="3"/>
  <c r="M21" i="58"/>
  <c r="M23" i="58"/>
  <c r="K147" i="3"/>
  <c r="F23" i="58"/>
  <c r="D147" i="3"/>
  <c r="F21" i="58"/>
  <c r="J23" i="58"/>
  <c r="H147" i="3"/>
  <c r="J21" i="58"/>
  <c r="N23" i="58"/>
  <c r="L147" i="3"/>
  <c r="N21" i="58"/>
  <c r="D24" i="81"/>
  <c r="B350" i="3" s="1"/>
  <c r="L42" i="81"/>
  <c r="J502" i="3" s="1"/>
  <c r="G3" i="81"/>
  <c r="G10" i="81" s="1"/>
  <c r="D42" i="81"/>
  <c r="B502" i="3" s="1"/>
  <c r="N24" i="81"/>
  <c r="L350" i="3" s="1"/>
  <c r="O24" i="81"/>
  <c r="M350" i="3" s="1"/>
  <c r="M42" i="81"/>
  <c r="K502" i="3" s="1"/>
  <c r="E5" i="80"/>
  <c r="M5" i="80"/>
  <c r="F13" i="80"/>
  <c r="J13" i="80"/>
  <c r="N13" i="80"/>
  <c r="N176" i="3"/>
  <c r="G13" i="80"/>
  <c r="K13" i="80"/>
  <c r="D15" i="80"/>
  <c r="H15" i="80"/>
  <c r="L15" i="80"/>
  <c r="E17" i="80"/>
  <c r="I17" i="80"/>
  <c r="M17" i="80"/>
  <c r="I5" i="80"/>
  <c r="G324" i="2"/>
  <c r="T324" i="2" s="1"/>
  <c r="E15" i="80"/>
  <c r="I15" i="80"/>
  <c r="M15" i="80"/>
  <c r="F17" i="80"/>
  <c r="J17" i="80"/>
  <c r="N17" i="80"/>
  <c r="C324" i="2"/>
  <c r="P324" i="2" s="1"/>
  <c r="K324" i="2"/>
  <c r="X324" i="2" s="1"/>
  <c r="M323" i="2"/>
  <c r="Z323" i="2" s="1"/>
  <c r="O17" i="80"/>
  <c r="N468" i="3"/>
  <c r="O13" i="80"/>
  <c r="O15" i="80"/>
  <c r="F14" i="70"/>
  <c r="N18" i="70"/>
  <c r="L406" i="3" s="1"/>
  <c r="H3" i="70"/>
  <c r="H10" i="70" s="1"/>
  <c r="D3" i="70"/>
  <c r="D10" i="70" s="1"/>
  <c r="K18" i="70"/>
  <c r="I406" i="3" s="1"/>
  <c r="D24" i="70"/>
  <c r="B500" i="3" s="1"/>
  <c r="J24" i="70"/>
  <c r="H500" i="3" s="1"/>
  <c r="L3" i="70"/>
  <c r="L10" i="70" s="1"/>
  <c r="J358" i="2"/>
  <c r="W358" i="2" s="1"/>
  <c r="K3" i="70"/>
  <c r="K10" i="70" s="1"/>
  <c r="G14" i="70"/>
  <c r="O18" i="70"/>
  <c r="M406" i="3" s="1"/>
  <c r="J14" i="70"/>
  <c r="N462" i="3"/>
  <c r="N3" i="70"/>
  <c r="N10" i="70" s="1"/>
  <c r="L355" i="2"/>
  <c r="Y355" i="2" s="1"/>
  <c r="F3" i="70"/>
  <c r="F10" i="70" s="1"/>
  <c r="D356" i="2"/>
  <c r="Q356" i="2" s="1"/>
  <c r="H358" i="2"/>
  <c r="U358" i="2" s="1"/>
  <c r="J3" i="70"/>
  <c r="J10" i="70" s="1"/>
  <c r="J18" i="70"/>
  <c r="H406" i="3" s="1"/>
  <c r="G3" i="70"/>
  <c r="G10" i="70" s="1"/>
  <c r="F356" i="2"/>
  <c r="S356" i="2" s="1"/>
  <c r="D14" i="70"/>
  <c r="D30" i="70" s="1"/>
  <c r="O14" i="70"/>
  <c r="M69" i="3" s="1"/>
  <c r="G18" i="70"/>
  <c r="E406" i="3" s="1"/>
  <c r="L18" i="70"/>
  <c r="J406" i="3" s="1"/>
  <c r="O24" i="70"/>
  <c r="M500" i="3" s="1"/>
  <c r="M356" i="2"/>
  <c r="Z356" i="2" s="1"/>
  <c r="O3" i="70"/>
  <c r="O10" i="70" s="1"/>
  <c r="E359" i="2"/>
  <c r="R359" i="2" s="1"/>
  <c r="N534" i="3"/>
  <c r="J359" i="2"/>
  <c r="W359" i="2" s="1"/>
  <c r="E3" i="70"/>
  <c r="E10" i="70" s="1"/>
  <c r="C355" i="2"/>
  <c r="E28" i="70"/>
  <c r="E30" i="70"/>
  <c r="E32" i="70"/>
  <c r="C69" i="3"/>
  <c r="O356" i="2"/>
  <c r="B359" i="2"/>
  <c r="O359" i="2" s="1"/>
  <c r="H28" i="70"/>
  <c r="F69" i="3"/>
  <c r="H30" i="70"/>
  <c r="H32" i="70"/>
  <c r="N30" i="70"/>
  <c r="L69" i="3"/>
  <c r="M3" i="70"/>
  <c r="M10" i="70" s="1"/>
  <c r="K355" i="2"/>
  <c r="I28" i="70"/>
  <c r="I30" i="70"/>
  <c r="I32" i="70"/>
  <c r="G69" i="3"/>
  <c r="B69" i="3"/>
  <c r="J30" i="70"/>
  <c r="J32" i="70"/>
  <c r="H69" i="3"/>
  <c r="J28" i="70"/>
  <c r="E69" i="3"/>
  <c r="J69" i="3"/>
  <c r="L28" i="70"/>
  <c r="I3" i="70"/>
  <c r="I10" i="70" s="1"/>
  <c r="G355" i="2"/>
  <c r="M28" i="70"/>
  <c r="M30" i="70"/>
  <c r="M32" i="70"/>
  <c r="K69" i="3"/>
  <c r="I359" i="2"/>
  <c r="V359" i="2" s="1"/>
  <c r="R355" i="2"/>
  <c r="F30" i="70"/>
  <c r="F32" i="70"/>
  <c r="D69" i="3"/>
  <c r="F28" i="70"/>
  <c r="K30" i="70"/>
  <c r="W356" i="2"/>
  <c r="L359" i="2"/>
  <c r="Y359" i="2" s="1"/>
  <c r="Z355" i="2"/>
  <c r="G27" i="60"/>
  <c r="E273" i="3"/>
  <c r="K27" i="60"/>
  <c r="I273" i="3"/>
  <c r="F373" i="2"/>
  <c r="S373" i="2" s="1"/>
  <c r="B273" i="3"/>
  <c r="N273" i="3" s="1"/>
  <c r="J371" i="2"/>
  <c r="J273" i="3"/>
  <c r="H5" i="60"/>
  <c r="H9" i="60" s="1"/>
  <c r="O27" i="60"/>
  <c r="J373" i="2"/>
  <c r="W373" i="2" s="1"/>
  <c r="N25" i="60"/>
  <c r="N27" i="60"/>
  <c r="L466" i="3"/>
  <c r="N23" i="60"/>
  <c r="E466" i="3"/>
  <c r="G25" i="60"/>
  <c r="K25" i="60"/>
  <c r="I466" i="3"/>
  <c r="E371" i="2"/>
  <c r="R371" i="2" s="1"/>
  <c r="G5" i="60"/>
  <c r="G9" i="60" s="1"/>
  <c r="G7" i="60"/>
  <c r="I371" i="2"/>
  <c r="K5" i="60"/>
  <c r="K9" i="60" s="1"/>
  <c r="K7" i="60"/>
  <c r="O7" i="60"/>
  <c r="M371" i="2"/>
  <c r="G8" i="60"/>
  <c r="E372" i="2"/>
  <c r="R372" i="2" s="1"/>
  <c r="K8" i="60"/>
  <c r="I372" i="2"/>
  <c r="V372" i="2" s="1"/>
  <c r="O8" i="60"/>
  <c r="M372" i="2"/>
  <c r="Z372" i="2" s="1"/>
  <c r="E5" i="60"/>
  <c r="E9" i="60" s="1"/>
  <c r="E7" i="60"/>
  <c r="C371" i="2"/>
  <c r="P371" i="2" s="1"/>
  <c r="I5" i="60"/>
  <c r="I9" i="60" s="1"/>
  <c r="I7" i="60"/>
  <c r="G371" i="2"/>
  <c r="M5" i="60"/>
  <c r="M9" i="60" s="1"/>
  <c r="M7" i="60"/>
  <c r="K371" i="2"/>
  <c r="X371" i="2" s="1"/>
  <c r="E8" i="60"/>
  <c r="C372" i="2"/>
  <c r="P372" i="2" s="1"/>
  <c r="I8" i="60"/>
  <c r="G372" i="2"/>
  <c r="T372" i="2" s="1"/>
  <c r="M8" i="60"/>
  <c r="K372" i="2"/>
  <c r="X372" i="2" s="1"/>
  <c r="F25" i="60"/>
  <c r="F27" i="60"/>
  <c r="D466" i="3"/>
  <c r="F23" i="60"/>
  <c r="J25" i="60"/>
  <c r="J27" i="60"/>
  <c r="H466" i="3"/>
  <c r="J23" i="60"/>
  <c r="D23" i="60"/>
  <c r="D27" i="60"/>
  <c r="B466" i="3"/>
  <c r="N466" i="3" s="1"/>
  <c r="H23" i="60"/>
  <c r="H27" i="60"/>
  <c r="F466" i="3"/>
  <c r="L23" i="60"/>
  <c r="L27" i="60"/>
  <c r="J466" i="3"/>
  <c r="F5" i="60"/>
  <c r="F9" i="60" s="1"/>
  <c r="J5" i="60"/>
  <c r="J9" i="60" s="1"/>
  <c r="N5" i="60"/>
  <c r="N9" i="60" s="1"/>
  <c r="D371" i="2"/>
  <c r="Q371" i="2" s="1"/>
  <c r="H371" i="2"/>
  <c r="U371" i="2" s="1"/>
  <c r="L371" i="2"/>
  <c r="Y371" i="2" s="1"/>
  <c r="D372" i="2"/>
  <c r="Q372" i="2" s="1"/>
  <c r="H372" i="2"/>
  <c r="U372" i="2" s="1"/>
  <c r="L372" i="2"/>
  <c r="Y372" i="2" s="1"/>
  <c r="C273" i="3"/>
  <c r="G273" i="3"/>
  <c r="K273" i="3"/>
  <c r="D7" i="60"/>
  <c r="H7" i="60"/>
  <c r="L7" i="60"/>
  <c r="G23" i="60"/>
  <c r="K23" i="60"/>
  <c r="E27" i="60"/>
  <c r="I27" i="60"/>
  <c r="M27" i="60"/>
  <c r="N463" i="3"/>
  <c r="E25" i="60"/>
  <c r="I25" i="60"/>
  <c r="M25" i="60"/>
  <c r="O5" i="60"/>
  <c r="O9" i="60" s="1"/>
  <c r="O23" i="60"/>
  <c r="O25" i="60"/>
  <c r="N400" i="3"/>
  <c r="N323" i="3"/>
  <c r="T371" i="2"/>
  <c r="V371" i="2"/>
  <c r="Z371" i="2"/>
  <c r="O371" i="2"/>
  <c r="S371" i="2"/>
  <c r="W371" i="2"/>
  <c r="K25" i="78"/>
  <c r="K23" i="78"/>
  <c r="G25" i="78"/>
  <c r="G23" i="78"/>
  <c r="F23" i="78"/>
  <c r="F25" i="78"/>
  <c r="J23" i="78"/>
  <c r="N23" i="78"/>
  <c r="N25" i="78"/>
  <c r="I17" i="78"/>
  <c r="C233" i="3"/>
  <c r="G233" i="3"/>
  <c r="K233" i="3"/>
  <c r="E9" i="78"/>
  <c r="I9" i="78"/>
  <c r="M9" i="78"/>
  <c r="G21" i="78"/>
  <c r="K21" i="78"/>
  <c r="F7" i="79"/>
  <c r="F9" i="79" s="1"/>
  <c r="D108" i="3" s="1"/>
  <c r="J7" i="79"/>
  <c r="J9" i="79" s="1"/>
  <c r="J25" i="79" s="1"/>
  <c r="N7" i="79"/>
  <c r="N9" i="79" s="1"/>
  <c r="G11" i="79"/>
  <c r="G13" i="79" s="1"/>
  <c r="E264" i="3" s="1"/>
  <c r="K11" i="79"/>
  <c r="K13" i="79" s="1"/>
  <c r="I264" i="3" s="1"/>
  <c r="E19" i="79"/>
  <c r="E25" i="79" s="1"/>
  <c r="I19" i="79"/>
  <c r="M19" i="79"/>
  <c r="H9" i="78"/>
  <c r="E17" i="78"/>
  <c r="M17" i="78"/>
  <c r="D21" i="78"/>
  <c r="H21" i="78"/>
  <c r="L21" i="78"/>
  <c r="G7" i="79"/>
  <c r="G9" i="79" s="1"/>
  <c r="K7" i="79"/>
  <c r="K9" i="79" s="1"/>
  <c r="D11" i="79"/>
  <c r="D13" i="79" s="1"/>
  <c r="B264" i="3" s="1"/>
  <c r="H11" i="79"/>
  <c r="H13" i="79" s="1"/>
  <c r="F264" i="3" s="1"/>
  <c r="L11" i="79"/>
  <c r="L13" i="79" s="1"/>
  <c r="J264" i="3" s="1"/>
  <c r="D9" i="78"/>
  <c r="L9" i="78"/>
  <c r="O9" i="78"/>
  <c r="M234" i="3"/>
  <c r="M233" i="3"/>
  <c r="M143" i="2"/>
  <c r="Z143" i="2" s="1"/>
  <c r="O17" i="78"/>
  <c r="O21" i="78"/>
  <c r="H108" i="3"/>
  <c r="J23" i="79"/>
  <c r="L108" i="3"/>
  <c r="C108" i="3"/>
  <c r="E23" i="79"/>
  <c r="G108" i="3"/>
  <c r="I25" i="79"/>
  <c r="I23" i="79"/>
  <c r="M23" i="79"/>
  <c r="E108" i="3"/>
  <c r="O25" i="79"/>
  <c r="O23" i="79"/>
  <c r="M108" i="3"/>
  <c r="B108" i="3"/>
  <c r="H25" i="79"/>
  <c r="F108" i="3"/>
  <c r="L25" i="79"/>
  <c r="L23" i="79"/>
  <c r="J108" i="3"/>
  <c r="E5" i="76"/>
  <c r="M5" i="76"/>
  <c r="G265" i="2"/>
  <c r="T265" i="2" s="1"/>
  <c r="G11" i="76"/>
  <c r="K11" i="76"/>
  <c r="D13" i="76"/>
  <c r="H13" i="76"/>
  <c r="L13" i="76"/>
  <c r="E15" i="76"/>
  <c r="I15" i="76"/>
  <c r="M15" i="76"/>
  <c r="F11" i="76"/>
  <c r="J11" i="76"/>
  <c r="N11" i="76"/>
  <c r="D357" i="3"/>
  <c r="H357" i="3"/>
  <c r="L357" i="3"/>
  <c r="E13" i="76"/>
  <c r="I13" i="76"/>
  <c r="M13" i="76"/>
  <c r="F15" i="76"/>
  <c r="J15" i="76"/>
  <c r="N15" i="76"/>
  <c r="N357" i="3"/>
  <c r="N358" i="3"/>
  <c r="O11" i="76"/>
  <c r="O13" i="76"/>
  <c r="K24" i="75"/>
  <c r="I348" i="3" s="1"/>
  <c r="K3" i="75"/>
  <c r="K11" i="75" s="1"/>
  <c r="N3" i="75"/>
  <c r="N11" i="75" s="1"/>
  <c r="G24" i="75"/>
  <c r="E348" i="3" s="1"/>
  <c r="D3" i="75"/>
  <c r="D11" i="75" s="1"/>
  <c r="F3" i="75"/>
  <c r="F11" i="75" s="1"/>
  <c r="O28" i="75"/>
  <c r="M489" i="3" s="1"/>
  <c r="J3" i="75"/>
  <c r="J11" i="75" s="1"/>
  <c r="G3" i="75"/>
  <c r="G11" i="75" s="1"/>
  <c r="G17" i="75"/>
  <c r="E216" i="3" s="1"/>
  <c r="K17" i="75"/>
  <c r="D24" i="75"/>
  <c r="B348" i="3" s="1"/>
  <c r="H24" i="75"/>
  <c r="F348" i="3" s="1"/>
  <c r="L24" i="75"/>
  <c r="J348" i="3" s="1"/>
  <c r="F28" i="75"/>
  <c r="D489" i="3" s="1"/>
  <c r="K28" i="75"/>
  <c r="I489" i="3" s="1"/>
  <c r="L290" i="2"/>
  <c r="Y290" i="2" s="1"/>
  <c r="L3" i="75"/>
  <c r="L11" i="75" s="1"/>
  <c r="N13" i="3"/>
  <c r="O17" i="75"/>
  <c r="M216" i="3" s="1"/>
  <c r="H3" i="75"/>
  <c r="H11" i="75" s="1"/>
  <c r="F24" i="75"/>
  <c r="D348" i="3" s="1"/>
  <c r="J24" i="75"/>
  <c r="H348" i="3" s="1"/>
  <c r="N24" i="75"/>
  <c r="L348" i="3" s="1"/>
  <c r="H28" i="75"/>
  <c r="F489" i="3" s="1"/>
  <c r="N28" i="75"/>
  <c r="L489" i="3" s="1"/>
  <c r="D292" i="2"/>
  <c r="Q292" i="2" s="1"/>
  <c r="H292" i="2"/>
  <c r="U292" i="2" s="1"/>
  <c r="N520" i="3"/>
  <c r="I3" i="74"/>
  <c r="I13" i="74" s="1"/>
  <c r="I30" i="74"/>
  <c r="G303" i="3" s="1"/>
  <c r="G104" i="2"/>
  <c r="G111" i="2" s="1"/>
  <c r="T111" i="2" s="1"/>
  <c r="F17" i="74"/>
  <c r="D9" i="3" s="1"/>
  <c r="J17" i="74"/>
  <c r="E3" i="74"/>
  <c r="E13" i="74" s="1"/>
  <c r="M3" i="74"/>
  <c r="M13" i="74" s="1"/>
  <c r="J30" i="74"/>
  <c r="H303" i="3" s="1"/>
  <c r="J37" i="74"/>
  <c r="H398" i="3" s="1"/>
  <c r="F3" i="74"/>
  <c r="F13" i="74" s="1"/>
  <c r="N3" i="74"/>
  <c r="N13" i="74" s="1"/>
  <c r="J3" i="74"/>
  <c r="J13" i="74" s="1"/>
  <c r="N17" i="74"/>
  <c r="L9" i="3" s="1"/>
  <c r="O30" i="74"/>
  <c r="M303" i="3" s="1"/>
  <c r="C111" i="2"/>
  <c r="P111" i="2" s="1"/>
  <c r="N445" i="3"/>
  <c r="E30" i="74"/>
  <c r="C303" i="3" s="1"/>
  <c r="M30" i="74"/>
  <c r="K303" i="3" s="1"/>
  <c r="E37" i="74"/>
  <c r="C398" i="3" s="1"/>
  <c r="M37" i="74"/>
  <c r="K398" i="3" s="1"/>
  <c r="F30" i="74"/>
  <c r="D303" i="3" s="1"/>
  <c r="N30" i="74"/>
  <c r="L303" i="3" s="1"/>
  <c r="F37" i="74"/>
  <c r="D398" i="3" s="1"/>
  <c r="N37" i="74"/>
  <c r="L398" i="3" s="1"/>
  <c r="B20" i="3"/>
  <c r="N20" i="3" s="1"/>
  <c r="D39" i="74"/>
  <c r="G39" i="74"/>
  <c r="G41" i="74"/>
  <c r="E9" i="3"/>
  <c r="G43" i="74"/>
  <c r="L111" i="2"/>
  <c r="Y111" i="2" s="1"/>
  <c r="D111" i="2"/>
  <c r="Q111" i="2" s="1"/>
  <c r="B104" i="2"/>
  <c r="F104" i="2"/>
  <c r="J104" i="2"/>
  <c r="H105" i="2"/>
  <c r="U105" i="2" s="1"/>
  <c r="M104" i="2"/>
  <c r="M111" i="2" s="1"/>
  <c r="Z111" i="2" s="1"/>
  <c r="O3" i="74"/>
  <c r="O13" i="74" s="1"/>
  <c r="K17" i="74"/>
  <c r="E104" i="2"/>
  <c r="I104" i="2"/>
  <c r="H9" i="3"/>
  <c r="J39" i="74"/>
  <c r="D41" i="74"/>
  <c r="D43" i="74"/>
  <c r="H41" i="74"/>
  <c r="H43" i="74"/>
  <c r="F9" i="3"/>
  <c r="H39" i="74"/>
  <c r="L41" i="74"/>
  <c r="L43" i="74"/>
  <c r="J9" i="3"/>
  <c r="K111" i="2"/>
  <c r="X111" i="2" s="1"/>
  <c r="Q104" i="2"/>
  <c r="U104" i="2"/>
  <c r="B9" i="3"/>
  <c r="I39" i="74"/>
  <c r="M9" i="3"/>
  <c r="K5" i="73"/>
  <c r="D13" i="73"/>
  <c r="H13" i="73"/>
  <c r="L13" i="73"/>
  <c r="E13" i="73"/>
  <c r="I13" i="73"/>
  <c r="M13" i="73"/>
  <c r="F15" i="73"/>
  <c r="J15" i="73"/>
  <c r="N15" i="73"/>
  <c r="G17" i="73"/>
  <c r="K17" i="73"/>
  <c r="G15" i="73"/>
  <c r="K15" i="73"/>
  <c r="D17" i="73"/>
  <c r="H17" i="73"/>
  <c r="L17" i="73"/>
  <c r="G5" i="73"/>
  <c r="M112" i="2"/>
  <c r="O13" i="73"/>
  <c r="O15" i="73"/>
  <c r="N341" i="3"/>
  <c r="N340" i="3"/>
  <c r="N339" i="3"/>
  <c r="U112" i="2"/>
  <c r="Y112" i="2"/>
  <c r="R112" i="2"/>
  <c r="V112" i="2"/>
  <c r="Z112" i="2"/>
  <c r="O112" i="2"/>
  <c r="S112" i="2"/>
  <c r="W112" i="2"/>
  <c r="Q112" i="2"/>
  <c r="P112" i="2"/>
  <c r="T112" i="2"/>
  <c r="X112" i="2"/>
  <c r="J124" i="2"/>
  <c r="W124" i="2" s="1"/>
  <c r="G17" i="14"/>
  <c r="F124" i="2"/>
  <c r="S124" i="2" s="1"/>
  <c r="I3" i="71"/>
  <c r="G421" i="2"/>
  <c r="T421" i="2" s="1"/>
  <c r="K29" i="71"/>
  <c r="I402" i="3" s="1"/>
  <c r="J13" i="71"/>
  <c r="L13" i="71"/>
  <c r="J19" i="71"/>
  <c r="H369" i="3" s="1"/>
  <c r="J25" i="71"/>
  <c r="H391" i="3" s="1"/>
  <c r="D34" i="71"/>
  <c r="B467" i="3" s="1"/>
  <c r="N467" i="3" s="1"/>
  <c r="L34" i="71"/>
  <c r="J467" i="3" s="1"/>
  <c r="M3" i="71"/>
  <c r="E3" i="71"/>
  <c r="D13" i="71"/>
  <c r="F36" i="71"/>
  <c r="E19" i="71"/>
  <c r="C369" i="3" s="1"/>
  <c r="D29" i="71"/>
  <c r="B402" i="3" s="1"/>
  <c r="N34" i="71"/>
  <c r="L467" i="3" s="1"/>
  <c r="E29" i="71"/>
  <c r="C402" i="3" s="1"/>
  <c r="I29" i="71"/>
  <c r="G402" i="3" s="1"/>
  <c r="M29" i="71"/>
  <c r="K402" i="3" s="1"/>
  <c r="E34" i="71"/>
  <c r="C467" i="3" s="1"/>
  <c r="I34" i="71"/>
  <c r="G467" i="3" s="1"/>
  <c r="M34" i="71"/>
  <c r="K467" i="3" s="1"/>
  <c r="M25" i="71"/>
  <c r="K391" i="3" s="1"/>
  <c r="L391" i="3"/>
  <c r="K421" i="2"/>
  <c r="X421" i="2" s="1"/>
  <c r="F13" i="71"/>
  <c r="N13" i="71"/>
  <c r="H19" i="71"/>
  <c r="H25" i="71"/>
  <c r="F391" i="3" s="1"/>
  <c r="F29" i="71"/>
  <c r="D402" i="3" s="1"/>
  <c r="N29" i="71"/>
  <c r="L402" i="3" s="1"/>
  <c r="N387" i="3"/>
  <c r="C428" i="2"/>
  <c r="C430" i="2" s="1"/>
  <c r="P430" i="2" s="1"/>
  <c r="H428" i="2"/>
  <c r="U428" i="2" s="1"/>
  <c r="P421" i="2"/>
  <c r="L428" i="2"/>
  <c r="Y428" i="2" s="1"/>
  <c r="D428" i="2"/>
  <c r="D430" i="2" s="1"/>
  <c r="Q430" i="2" s="1"/>
  <c r="Q421" i="2"/>
  <c r="G391" i="3"/>
  <c r="G13" i="71"/>
  <c r="G3" i="71"/>
  <c r="E421" i="2"/>
  <c r="K13" i="71"/>
  <c r="K3" i="71"/>
  <c r="I421" i="2"/>
  <c r="Y422" i="2"/>
  <c r="O29" i="71"/>
  <c r="M402" i="3" s="1"/>
  <c r="K38" i="71"/>
  <c r="D369" i="3"/>
  <c r="L3" i="71"/>
  <c r="D38" i="71"/>
  <c r="G204" i="3"/>
  <c r="F369" i="3"/>
  <c r="J369" i="3"/>
  <c r="D36" i="71"/>
  <c r="G36" i="71"/>
  <c r="G38" i="71"/>
  <c r="G40" i="71"/>
  <c r="J422" i="2"/>
  <c r="W422" i="2" s="1"/>
  <c r="J424" i="2"/>
  <c r="W424" i="2" s="1"/>
  <c r="C204" i="3"/>
  <c r="B369" i="3"/>
  <c r="N369" i="3" s="1"/>
  <c r="D40" i="71"/>
  <c r="F40" i="71"/>
  <c r="K204" i="3"/>
  <c r="O25" i="71"/>
  <c r="M391" i="3" s="1"/>
  <c r="F428" i="2"/>
  <c r="D3" i="71"/>
  <c r="M38" i="71"/>
  <c r="B422" i="2"/>
  <c r="O422" i="2" s="1"/>
  <c r="I204" i="3"/>
  <c r="H3" i="71"/>
  <c r="H13" i="71"/>
  <c r="F38" i="71"/>
  <c r="J40" i="71"/>
  <c r="E13" i="71"/>
  <c r="I13" i="71"/>
  <c r="M13" i="71"/>
  <c r="M421" i="2"/>
  <c r="Z421" i="2" s="1"/>
  <c r="O3" i="71"/>
  <c r="O13" i="71"/>
  <c r="B324" i="3"/>
  <c r="F324" i="3"/>
  <c r="J324" i="3"/>
  <c r="G15" i="92"/>
  <c r="K15" i="92"/>
  <c r="G11" i="92"/>
  <c r="K11" i="92"/>
  <c r="E324" i="3"/>
  <c r="I324" i="3"/>
  <c r="M324" i="3"/>
  <c r="D11" i="92"/>
  <c r="H11" i="92"/>
  <c r="L11" i="92"/>
  <c r="O11" i="92"/>
  <c r="O13" i="92"/>
  <c r="E17" i="65"/>
  <c r="I17" i="65"/>
  <c r="M17" i="65"/>
  <c r="F19" i="65"/>
  <c r="J19" i="65"/>
  <c r="N19" i="65"/>
  <c r="G21" i="65"/>
  <c r="K21" i="65"/>
  <c r="F17" i="65"/>
  <c r="J17" i="65"/>
  <c r="N17" i="65"/>
  <c r="G19" i="65"/>
  <c r="K19" i="65"/>
  <c r="D21" i="65"/>
  <c r="H21" i="65"/>
  <c r="L21" i="65"/>
  <c r="D19" i="65"/>
  <c r="H19" i="65"/>
  <c r="L19" i="65"/>
  <c r="E21" i="65"/>
  <c r="I21" i="65"/>
  <c r="M21" i="65"/>
  <c r="N49" i="3"/>
  <c r="N488" i="3"/>
  <c r="O19" i="65"/>
  <c r="M28" i="3"/>
  <c r="O21" i="65"/>
  <c r="O17" i="65"/>
  <c r="O19" i="89"/>
  <c r="O20" i="89" s="1"/>
  <c r="O13" i="65"/>
  <c r="M220" i="3" s="1"/>
  <c r="O5" i="65"/>
  <c r="D23" i="29"/>
  <c r="B290" i="3" s="1"/>
  <c r="I31" i="29"/>
  <c r="G337" i="3" s="1"/>
  <c r="L35" i="29"/>
  <c r="J338" i="3" s="1"/>
  <c r="D31" i="29"/>
  <c r="B337" i="3" s="1"/>
  <c r="K31" i="29"/>
  <c r="I337" i="3" s="1"/>
  <c r="H23" i="29"/>
  <c r="F290" i="3" s="1"/>
  <c r="L31" i="29"/>
  <c r="J337" i="3" s="1"/>
  <c r="D35" i="29"/>
  <c r="B338" i="3" s="1"/>
  <c r="I17" i="29"/>
  <c r="M31" i="29"/>
  <c r="K337" i="3" s="1"/>
  <c r="E35" i="29"/>
  <c r="C338" i="3" s="1"/>
  <c r="O31" i="29"/>
  <c r="M337" i="3" s="1"/>
  <c r="H35" i="29"/>
  <c r="F338" i="3" s="1"/>
  <c r="M35" i="29"/>
  <c r="K338" i="3" s="1"/>
  <c r="G31" i="29"/>
  <c r="E337" i="3" s="1"/>
  <c r="O35" i="29"/>
  <c r="M338" i="3" s="1"/>
  <c r="H31" i="29"/>
  <c r="F337" i="3" s="1"/>
  <c r="K35" i="29"/>
  <c r="I338" i="3" s="1"/>
  <c r="H17" i="29"/>
  <c r="E3" i="29"/>
  <c r="E13" i="29" s="1"/>
  <c r="F17" i="29"/>
  <c r="E17" i="29"/>
  <c r="C77" i="3" s="1"/>
  <c r="K17" i="29"/>
  <c r="I77" i="3" s="1"/>
  <c r="G17" i="29"/>
  <c r="E77" i="3" s="1"/>
  <c r="L17" i="29"/>
  <c r="J77" i="3" s="1"/>
  <c r="I23" i="29"/>
  <c r="G290" i="3" s="1"/>
  <c r="L23" i="29"/>
  <c r="J290" i="3" s="1"/>
  <c r="N322" i="3"/>
  <c r="M3" i="29"/>
  <c r="M13" i="29" s="1"/>
  <c r="M17" i="29"/>
  <c r="K77" i="3" s="1"/>
  <c r="G3" i="29"/>
  <c r="G13" i="29" s="1"/>
  <c r="E47" i="2"/>
  <c r="R47" i="2" s="1"/>
  <c r="K3" i="29"/>
  <c r="K13" i="29" s="1"/>
  <c r="I47" i="2"/>
  <c r="V47" i="2" s="1"/>
  <c r="L3" i="29"/>
  <c r="L13" i="29" s="1"/>
  <c r="I3" i="29"/>
  <c r="I13" i="29" s="1"/>
  <c r="H3" i="29"/>
  <c r="H13" i="29" s="1"/>
  <c r="O17" i="29"/>
  <c r="M77" i="3" s="1"/>
  <c r="K47" i="2"/>
  <c r="K54" i="2" s="1"/>
  <c r="X54" i="2" s="1"/>
  <c r="D3" i="29"/>
  <c r="D13" i="29" s="1"/>
  <c r="E23" i="29"/>
  <c r="C290" i="3" s="1"/>
  <c r="M23" i="29"/>
  <c r="K290" i="3" s="1"/>
  <c r="N43" i="29"/>
  <c r="L77" i="3"/>
  <c r="N45" i="29"/>
  <c r="N47" i="29"/>
  <c r="J43" i="29"/>
  <c r="H77" i="3"/>
  <c r="J45" i="29"/>
  <c r="J47" i="29"/>
  <c r="B77" i="3"/>
  <c r="I47" i="29"/>
  <c r="G77" i="3"/>
  <c r="F43" i="29"/>
  <c r="D77" i="3"/>
  <c r="F45" i="29"/>
  <c r="F47" i="29"/>
  <c r="F3" i="29"/>
  <c r="F13" i="29" s="1"/>
  <c r="J3" i="29"/>
  <c r="J13" i="29" s="1"/>
  <c r="N3" i="29"/>
  <c r="N13" i="29" s="1"/>
  <c r="D47" i="2"/>
  <c r="Q47" i="2" s="1"/>
  <c r="H47" i="2"/>
  <c r="H54" i="2" s="1"/>
  <c r="U54" i="2" s="1"/>
  <c r="L47" i="2"/>
  <c r="Y47" i="2" s="1"/>
  <c r="N191" i="3"/>
  <c r="O23" i="29"/>
  <c r="M47" i="2"/>
  <c r="Z47" i="2" s="1"/>
  <c r="O3" i="29"/>
  <c r="O13" i="29" s="1"/>
  <c r="N426" i="3"/>
  <c r="N333" i="3"/>
  <c r="J54" i="2"/>
  <c r="W54" i="2" s="1"/>
  <c r="C54" i="2"/>
  <c r="P54" i="2" s="1"/>
  <c r="G54" i="2"/>
  <c r="T54" i="2" s="1"/>
  <c r="N415" i="3"/>
  <c r="R49" i="2"/>
  <c r="B54" i="2"/>
  <c r="O54" i="2" s="1"/>
  <c r="O47" i="2"/>
  <c r="F54" i="2"/>
  <c r="S54" i="2" s="1"/>
  <c r="S47" i="2"/>
  <c r="W47" i="2"/>
  <c r="P47" i="2"/>
  <c r="T47" i="2"/>
  <c r="N28" i="63"/>
  <c r="L202" i="3" s="1"/>
  <c r="N332" i="3"/>
  <c r="M28" i="63"/>
  <c r="K202" i="3" s="1"/>
  <c r="F24" i="63"/>
  <c r="D99" i="3" s="1"/>
  <c r="N24" i="63"/>
  <c r="O3" i="63"/>
  <c r="O15" i="63" s="1"/>
  <c r="F16" i="63"/>
  <c r="D88" i="2"/>
  <c r="Q88" i="2" s="1"/>
  <c r="I28" i="63"/>
  <c r="G202" i="3" s="1"/>
  <c r="L88" i="2"/>
  <c r="Y88" i="2" s="1"/>
  <c r="I37" i="63"/>
  <c r="G383" i="3" s="1"/>
  <c r="E41" i="63"/>
  <c r="C414" i="3" s="1"/>
  <c r="E28" i="63"/>
  <c r="C202" i="3" s="1"/>
  <c r="C88" i="2"/>
  <c r="P88" i="2" s="1"/>
  <c r="E16" i="63"/>
  <c r="M16" i="63"/>
  <c r="K88" i="2"/>
  <c r="X88" i="2" s="1"/>
  <c r="E3" i="63"/>
  <c r="E5" i="63" s="1"/>
  <c r="E17" i="63" s="1"/>
  <c r="C79" i="2"/>
  <c r="P79" i="2" s="1"/>
  <c r="K79" i="2"/>
  <c r="K86" i="2" s="1"/>
  <c r="X86" i="2" s="1"/>
  <c r="M3" i="63"/>
  <c r="I3" i="63"/>
  <c r="I15" i="63" s="1"/>
  <c r="G80" i="2"/>
  <c r="T80" i="2" s="1"/>
  <c r="G41" i="63"/>
  <c r="E414" i="3" s="1"/>
  <c r="H28" i="63"/>
  <c r="F202" i="3" s="1"/>
  <c r="L28" i="63"/>
  <c r="J202" i="3" s="1"/>
  <c r="O24" i="63"/>
  <c r="M99" i="3" s="1"/>
  <c r="H88" i="2"/>
  <c r="U88" i="2" s="1"/>
  <c r="I24" i="63"/>
  <c r="I41" i="63"/>
  <c r="G414" i="3" s="1"/>
  <c r="G57" i="3"/>
  <c r="J28" i="63"/>
  <c r="H202" i="3" s="1"/>
  <c r="F37" i="63"/>
  <c r="D383" i="3" s="1"/>
  <c r="N37" i="63"/>
  <c r="L383" i="3" s="1"/>
  <c r="J41" i="63"/>
  <c r="H414" i="3" s="1"/>
  <c r="G37" i="63"/>
  <c r="E383" i="3" s="1"/>
  <c r="D28" i="63"/>
  <c r="M41" i="63"/>
  <c r="K414" i="3" s="1"/>
  <c r="H41" i="63"/>
  <c r="F414" i="3" s="1"/>
  <c r="H37" i="63"/>
  <c r="F383" i="3" s="1"/>
  <c r="F3" i="63"/>
  <c r="N3" i="63"/>
  <c r="N15" i="63" s="1"/>
  <c r="J24" i="63"/>
  <c r="H99" i="3" s="1"/>
  <c r="J37" i="63"/>
  <c r="H383" i="3" s="1"/>
  <c r="F41" i="63"/>
  <c r="D414" i="3" s="1"/>
  <c r="N41" i="63"/>
  <c r="L414" i="3" s="1"/>
  <c r="E24" i="63"/>
  <c r="C99" i="3" s="1"/>
  <c r="M24" i="63"/>
  <c r="K99" i="3" s="1"/>
  <c r="F28" i="63"/>
  <c r="D202" i="3" s="1"/>
  <c r="E37" i="63"/>
  <c r="C383" i="3" s="1"/>
  <c r="M37" i="63"/>
  <c r="K383" i="3" s="1"/>
  <c r="B86" i="2"/>
  <c r="O86" i="2" s="1"/>
  <c r="J86" i="2"/>
  <c r="W86" i="2" s="1"/>
  <c r="N271" i="3"/>
  <c r="F86" i="2"/>
  <c r="S86" i="2" s="1"/>
  <c r="L86" i="2"/>
  <c r="Y86" i="2" s="1"/>
  <c r="H15" i="63"/>
  <c r="H5" i="63"/>
  <c r="H17" i="63" s="1"/>
  <c r="B202" i="3"/>
  <c r="N202" i="3" s="1"/>
  <c r="H16" i="63"/>
  <c r="F88" i="2"/>
  <c r="S88" i="2" s="1"/>
  <c r="S79" i="2"/>
  <c r="K16" i="63"/>
  <c r="I88" i="2"/>
  <c r="V88" i="2" s="1"/>
  <c r="G99" i="3"/>
  <c r="O79" i="2"/>
  <c r="H86" i="2"/>
  <c r="U86" i="2" s="1"/>
  <c r="L99" i="3"/>
  <c r="O16" i="63"/>
  <c r="M88" i="2"/>
  <c r="Z88" i="2" s="1"/>
  <c r="G5" i="63"/>
  <c r="G17" i="63" s="1"/>
  <c r="G15" i="63"/>
  <c r="N414" i="3"/>
  <c r="K37" i="63"/>
  <c r="I383" i="3" s="1"/>
  <c r="E57" i="3"/>
  <c r="P84" i="2"/>
  <c r="D86" i="2"/>
  <c r="Q86" i="2" s="1"/>
  <c r="D15" i="63"/>
  <c r="D5" i="63"/>
  <c r="D17" i="63" s="1"/>
  <c r="L37" i="63"/>
  <c r="J383" i="3" s="1"/>
  <c r="F57" i="3"/>
  <c r="J57" i="3"/>
  <c r="Y83" i="2"/>
  <c r="B57" i="3"/>
  <c r="N57" i="3" s="1"/>
  <c r="W79" i="2"/>
  <c r="G16" i="63"/>
  <c r="E88" i="2"/>
  <c r="R88" i="2" s="1"/>
  <c r="K5" i="63"/>
  <c r="K17" i="63" s="1"/>
  <c r="K15" i="63"/>
  <c r="I57" i="3"/>
  <c r="T79" i="2"/>
  <c r="L15" i="63"/>
  <c r="L5" i="63"/>
  <c r="L17" i="63" s="1"/>
  <c r="D37" i="63"/>
  <c r="B383" i="3" s="1"/>
  <c r="E79" i="2"/>
  <c r="I79" i="2"/>
  <c r="M79" i="2"/>
  <c r="B88" i="2"/>
  <c r="O88" i="2" s="1"/>
  <c r="G88" i="2"/>
  <c r="T88" i="2" s="1"/>
  <c r="M5" i="63"/>
  <c r="M17" i="63" s="1"/>
  <c r="M15" i="63"/>
  <c r="F5" i="63"/>
  <c r="F17" i="63" s="1"/>
  <c r="F15" i="63"/>
  <c r="G47" i="63"/>
  <c r="J3" i="63"/>
  <c r="O45" i="63"/>
  <c r="O43" i="63"/>
  <c r="M383" i="3"/>
  <c r="D142" i="2"/>
  <c r="Q142" i="2" s="1"/>
  <c r="H142" i="2"/>
  <c r="U142" i="2" s="1"/>
  <c r="L142" i="2"/>
  <c r="Y142" i="2" s="1"/>
  <c r="F13" i="72"/>
  <c r="J13" i="72"/>
  <c r="N13" i="72"/>
  <c r="G15" i="72"/>
  <c r="K15" i="72"/>
  <c r="G11" i="72"/>
  <c r="K11" i="72"/>
  <c r="G5" i="72"/>
  <c r="K5" i="72"/>
  <c r="D11" i="72"/>
  <c r="H11" i="72"/>
  <c r="L11" i="72"/>
  <c r="M142" i="2"/>
  <c r="Z142" i="2" s="1"/>
  <c r="E153" i="3"/>
  <c r="I153" i="3"/>
  <c r="M153" i="3"/>
  <c r="O11" i="72"/>
  <c r="O13" i="72"/>
  <c r="N295" i="3"/>
  <c r="G11" i="69"/>
  <c r="K11" i="69"/>
  <c r="D13" i="69"/>
  <c r="H13" i="69"/>
  <c r="L13" i="69"/>
  <c r="E15" i="69"/>
  <c r="I15" i="69"/>
  <c r="M15" i="69"/>
  <c r="D11" i="69"/>
  <c r="H11" i="69"/>
  <c r="L11" i="69"/>
  <c r="E13" i="69"/>
  <c r="I13" i="69"/>
  <c r="M13" i="69"/>
  <c r="F15" i="69"/>
  <c r="J15" i="69"/>
  <c r="N15" i="69"/>
  <c r="F13" i="69"/>
  <c r="J13" i="69"/>
  <c r="N13" i="69"/>
  <c r="G15" i="69"/>
  <c r="K15" i="69"/>
  <c r="O13" i="69"/>
  <c r="O11" i="69"/>
  <c r="O15" i="69"/>
  <c r="M241" i="2"/>
  <c r="Z241" i="2" s="1"/>
  <c r="N296" i="3"/>
  <c r="L7" i="68"/>
  <c r="H23" i="68"/>
  <c r="I293" i="3"/>
  <c r="E8" i="68"/>
  <c r="M19" i="68"/>
  <c r="E293" i="3"/>
  <c r="E5" i="68"/>
  <c r="E9" i="68" s="1"/>
  <c r="D7" i="68"/>
  <c r="B163" i="2"/>
  <c r="O163" i="2" s="1"/>
  <c r="J163" i="2"/>
  <c r="W163" i="2" s="1"/>
  <c r="I294" i="3"/>
  <c r="K19" i="68"/>
  <c r="F5" i="68"/>
  <c r="F9" i="68" s="1"/>
  <c r="F7" i="68"/>
  <c r="D160" i="2"/>
  <c r="Q160" i="2" s="1"/>
  <c r="J5" i="68"/>
  <c r="J9" i="68" s="1"/>
  <c r="J7" i="68"/>
  <c r="H160" i="2"/>
  <c r="U160" i="2" s="1"/>
  <c r="N5" i="68"/>
  <c r="N9" i="68" s="1"/>
  <c r="N7" i="68"/>
  <c r="L160" i="2"/>
  <c r="Y160" i="2" s="1"/>
  <c r="F8" i="68"/>
  <c r="D161" i="2"/>
  <c r="Q161" i="2" s="1"/>
  <c r="J8" i="68"/>
  <c r="H161" i="2"/>
  <c r="U161" i="2" s="1"/>
  <c r="N8" i="68"/>
  <c r="L161" i="2"/>
  <c r="Y161" i="2" s="1"/>
  <c r="B294" i="3"/>
  <c r="N294" i="3" s="1"/>
  <c r="D21" i="68"/>
  <c r="F294" i="3"/>
  <c r="H21" i="68"/>
  <c r="J294" i="3"/>
  <c r="L21" i="68"/>
  <c r="C294" i="3"/>
  <c r="E23" i="68"/>
  <c r="G294" i="3"/>
  <c r="I23" i="68"/>
  <c r="K294" i="3"/>
  <c r="M23" i="68"/>
  <c r="G5" i="68"/>
  <c r="G9" i="68" s="1"/>
  <c r="K5" i="68"/>
  <c r="K9" i="68" s="1"/>
  <c r="G163" i="2"/>
  <c r="T163" i="2" s="1"/>
  <c r="E7" i="68"/>
  <c r="I7" i="68"/>
  <c r="M7" i="68"/>
  <c r="O23" i="68"/>
  <c r="D19" i="68"/>
  <c r="H19" i="68"/>
  <c r="L19" i="68"/>
  <c r="E21" i="68"/>
  <c r="I21" i="68"/>
  <c r="M21" i="68"/>
  <c r="F23" i="68"/>
  <c r="J23" i="68"/>
  <c r="N23" i="68"/>
  <c r="E161" i="2"/>
  <c r="R161" i="2" s="1"/>
  <c r="I161" i="2"/>
  <c r="V161" i="2" s="1"/>
  <c r="M161" i="2"/>
  <c r="Z161" i="2" s="1"/>
  <c r="F21" i="68"/>
  <c r="J21" i="68"/>
  <c r="N21" i="68"/>
  <c r="K23" i="68"/>
  <c r="E160" i="2"/>
  <c r="R160" i="2" s="1"/>
  <c r="I160" i="2"/>
  <c r="V160" i="2" s="1"/>
  <c r="D293" i="3"/>
  <c r="H293" i="3"/>
  <c r="L293" i="3"/>
  <c r="O5" i="68"/>
  <c r="O9" i="68" s="1"/>
  <c r="O7" i="68"/>
  <c r="O19" i="68"/>
  <c r="O21" i="68"/>
  <c r="N365" i="3"/>
  <c r="F163" i="2"/>
  <c r="S163" i="2" s="1"/>
  <c r="O160" i="2"/>
  <c r="W160" i="2"/>
  <c r="G11" i="67"/>
  <c r="K11" i="67"/>
  <c r="D11" i="67"/>
  <c r="H11" i="67"/>
  <c r="L11" i="67"/>
  <c r="E297" i="3"/>
  <c r="I297" i="3"/>
  <c r="F13" i="67"/>
  <c r="J13" i="67"/>
  <c r="N13" i="67"/>
  <c r="G15" i="67"/>
  <c r="K15" i="67"/>
  <c r="B297" i="3"/>
  <c r="N297" i="3" s="1"/>
  <c r="F297" i="3"/>
  <c r="J297" i="3"/>
  <c r="O5" i="67"/>
  <c r="O11" i="67"/>
  <c r="O13" i="67"/>
  <c r="O15" i="67"/>
  <c r="I19" i="66"/>
  <c r="L35" i="66"/>
  <c r="J437" i="3" s="1"/>
  <c r="M3" i="66"/>
  <c r="M11" i="66" s="1"/>
  <c r="M35" i="66"/>
  <c r="K437" i="3" s="1"/>
  <c r="H35" i="66"/>
  <c r="F437" i="3" s="1"/>
  <c r="I3" i="66"/>
  <c r="I11" i="66" s="1"/>
  <c r="E3" i="66"/>
  <c r="E11" i="66" s="1"/>
  <c r="D49" i="66"/>
  <c r="K35" i="66"/>
  <c r="I437" i="3" s="1"/>
  <c r="G35" i="66"/>
  <c r="E437" i="3" s="1"/>
  <c r="D35" i="66"/>
  <c r="B437" i="3" s="1"/>
  <c r="K222" i="2"/>
  <c r="X222" i="2" s="1"/>
  <c r="I35" i="66"/>
  <c r="G437" i="3" s="1"/>
  <c r="G221" i="2"/>
  <c r="G226" i="2" s="1"/>
  <c r="T226" i="2" s="1"/>
  <c r="N484" i="3"/>
  <c r="E35" i="66"/>
  <c r="C437" i="3" s="1"/>
  <c r="O35" i="66"/>
  <c r="M437" i="3" s="1"/>
  <c r="N518" i="3"/>
  <c r="G182" i="3"/>
  <c r="C225" i="2"/>
  <c r="P225" i="2" s="1"/>
  <c r="B33" i="3"/>
  <c r="N33" i="3" s="1"/>
  <c r="G19" i="66"/>
  <c r="E182" i="3" s="1"/>
  <c r="K19" i="66"/>
  <c r="I182" i="3" s="1"/>
  <c r="D3" i="66"/>
  <c r="D11" i="66" s="1"/>
  <c r="H3" i="66"/>
  <c r="H11" i="66" s="1"/>
  <c r="L3" i="66"/>
  <c r="L11" i="66" s="1"/>
  <c r="E19" i="66"/>
  <c r="M19" i="66"/>
  <c r="B226" i="2"/>
  <c r="O226" i="2" s="1"/>
  <c r="J33" i="3"/>
  <c r="F47" i="66"/>
  <c r="D33" i="3"/>
  <c r="F49" i="66"/>
  <c r="F51" i="66"/>
  <c r="L221" i="2"/>
  <c r="L226" i="2" s="1"/>
  <c r="Y226" i="2" s="1"/>
  <c r="H51" i="66"/>
  <c r="H47" i="66"/>
  <c r="H49" i="66"/>
  <c r="N55" i="3"/>
  <c r="G49" i="66"/>
  <c r="K49" i="66"/>
  <c r="K51" i="66"/>
  <c r="N436" i="3"/>
  <c r="J47" i="66"/>
  <c r="H33" i="3"/>
  <c r="J49" i="66"/>
  <c r="J51" i="66"/>
  <c r="E226" i="2"/>
  <c r="R226" i="2" s="1"/>
  <c r="I226" i="2"/>
  <c r="V226" i="2" s="1"/>
  <c r="N432" i="3"/>
  <c r="K3" i="66"/>
  <c r="K11" i="66" s="1"/>
  <c r="I47" i="66"/>
  <c r="N47" i="66"/>
  <c r="L33" i="3"/>
  <c r="N49" i="66"/>
  <c r="N51" i="66"/>
  <c r="D221" i="2"/>
  <c r="D226" i="2" s="1"/>
  <c r="Q226" i="2" s="1"/>
  <c r="H221" i="2"/>
  <c r="H226" i="2" s="1"/>
  <c r="U226" i="2" s="1"/>
  <c r="F226" i="2"/>
  <c r="S226" i="2" s="1"/>
  <c r="J226" i="2"/>
  <c r="W226" i="2" s="1"/>
  <c r="G3" i="66"/>
  <c r="G11" i="66" s="1"/>
  <c r="D51" i="66"/>
  <c r="D47" i="66"/>
  <c r="L47" i="66"/>
  <c r="K47" i="66"/>
  <c r="N249" i="3"/>
  <c r="I49" i="66"/>
  <c r="O19" i="66"/>
  <c r="O49" i="66" s="1"/>
  <c r="N270" i="3"/>
  <c r="O3" i="66"/>
  <c r="O11" i="66" s="1"/>
  <c r="M221" i="2"/>
  <c r="M226" i="2" s="1"/>
  <c r="Z226" i="2" s="1"/>
  <c r="M182" i="3"/>
  <c r="N267" i="3"/>
  <c r="N269" i="3"/>
  <c r="N517" i="3"/>
  <c r="N390" i="3"/>
  <c r="N268" i="3"/>
  <c r="P221" i="2"/>
  <c r="T221" i="2"/>
  <c r="X221" i="2"/>
  <c r="U221" i="2"/>
  <c r="R221" i="2"/>
  <c r="V221" i="2"/>
  <c r="O221" i="2"/>
  <c r="S221" i="2"/>
  <c r="W221" i="2"/>
  <c r="I21" i="64"/>
  <c r="G181" i="3" s="1"/>
  <c r="E37" i="64"/>
  <c r="C413" i="3" s="1"/>
  <c r="H21" i="64"/>
  <c r="F181" i="3" s="1"/>
  <c r="L37" i="64"/>
  <c r="J413" i="3" s="1"/>
  <c r="K37" i="64"/>
  <c r="I413" i="3" s="1"/>
  <c r="M33" i="64"/>
  <c r="K403" i="3" s="1"/>
  <c r="E21" i="64"/>
  <c r="C181" i="3" s="1"/>
  <c r="K21" i="64"/>
  <c r="I181" i="3" s="1"/>
  <c r="G27" i="64"/>
  <c r="E266" i="3" s="1"/>
  <c r="G33" i="64"/>
  <c r="E403" i="3" s="1"/>
  <c r="O37" i="64"/>
  <c r="M413" i="3" s="1"/>
  <c r="G21" i="64"/>
  <c r="E181" i="3" s="1"/>
  <c r="L21" i="64"/>
  <c r="J181" i="3" s="1"/>
  <c r="D27" i="64"/>
  <c r="B266" i="3" s="1"/>
  <c r="N266" i="3" s="1"/>
  <c r="M27" i="64"/>
  <c r="K266" i="3" s="1"/>
  <c r="D33" i="64"/>
  <c r="B403" i="3" s="1"/>
  <c r="M21" i="64"/>
  <c r="K181" i="3" s="1"/>
  <c r="E27" i="64"/>
  <c r="C266" i="3" s="1"/>
  <c r="E33" i="64"/>
  <c r="C403" i="3" s="1"/>
  <c r="M37" i="64"/>
  <c r="K413" i="3" s="1"/>
  <c r="O33" i="64"/>
  <c r="M403" i="3" s="1"/>
  <c r="O21" i="64"/>
  <c r="M181" i="3" s="1"/>
  <c r="G3" i="64"/>
  <c r="G13" i="64" s="1"/>
  <c r="I27" i="64"/>
  <c r="G266" i="3" s="1"/>
  <c r="I33" i="64"/>
  <c r="G403" i="3" s="1"/>
  <c r="G37" i="64"/>
  <c r="E413" i="3" s="1"/>
  <c r="L3" i="64"/>
  <c r="L13" i="64" s="1"/>
  <c r="H37" i="64"/>
  <c r="F413" i="3" s="1"/>
  <c r="E92" i="2"/>
  <c r="R92" i="2" s="1"/>
  <c r="L27" i="64"/>
  <c r="J266" i="3" s="1"/>
  <c r="L33" i="64"/>
  <c r="J403" i="3" s="1"/>
  <c r="D37" i="64"/>
  <c r="B413" i="3" s="1"/>
  <c r="I37" i="64"/>
  <c r="G413" i="3" s="1"/>
  <c r="K3" i="64"/>
  <c r="K13" i="64" s="1"/>
  <c r="I92" i="2"/>
  <c r="V92" i="2" s="1"/>
  <c r="I3" i="64"/>
  <c r="I13" i="64" s="1"/>
  <c r="G92" i="2"/>
  <c r="T92" i="2" s="1"/>
  <c r="H3" i="64"/>
  <c r="H13" i="64" s="1"/>
  <c r="M17" i="64"/>
  <c r="D17" i="64"/>
  <c r="I17" i="64"/>
  <c r="D3" i="64"/>
  <c r="D13" i="64" s="1"/>
  <c r="H17" i="64"/>
  <c r="O17" i="64"/>
  <c r="E17" i="64"/>
  <c r="K17" i="64"/>
  <c r="I56" i="3" s="1"/>
  <c r="G17" i="64"/>
  <c r="E56" i="3" s="1"/>
  <c r="L17" i="64"/>
  <c r="F39" i="64"/>
  <c r="D56" i="3"/>
  <c r="F41" i="64"/>
  <c r="F43" i="64"/>
  <c r="J39" i="64"/>
  <c r="H56" i="3"/>
  <c r="J41" i="64"/>
  <c r="J43" i="64"/>
  <c r="N39" i="64"/>
  <c r="L56" i="3"/>
  <c r="N41" i="64"/>
  <c r="N43" i="64"/>
  <c r="C98" i="2"/>
  <c r="P98" i="2" s="1"/>
  <c r="K98" i="2"/>
  <c r="X98" i="2" s="1"/>
  <c r="E3" i="64"/>
  <c r="E13" i="64" s="1"/>
  <c r="J56" i="3"/>
  <c r="D91" i="2"/>
  <c r="Q91" i="2" s="1"/>
  <c r="H91" i="2"/>
  <c r="U91" i="2" s="1"/>
  <c r="L91" i="2"/>
  <c r="Y91" i="2" s="1"/>
  <c r="M3" i="64"/>
  <c r="M13" i="64" s="1"/>
  <c r="O3" i="64"/>
  <c r="O13" i="64" s="1"/>
  <c r="M91" i="2"/>
  <c r="M98" i="2" s="1"/>
  <c r="Z98" i="2" s="1"/>
  <c r="N188" i="3"/>
  <c r="B98" i="2"/>
  <c r="O98" i="2" s="1"/>
  <c r="J98" i="2"/>
  <c r="W98" i="2" s="1"/>
  <c r="N272" i="3"/>
  <c r="P91" i="2"/>
  <c r="T91" i="2"/>
  <c r="X91" i="2"/>
  <c r="Q92" i="2"/>
  <c r="U92" i="2"/>
  <c r="Y92" i="2"/>
  <c r="O92" i="2"/>
  <c r="W92" i="2"/>
  <c r="F98" i="2"/>
  <c r="S98" i="2" s="1"/>
  <c r="G125" i="2"/>
  <c r="T125" i="2" s="1"/>
  <c r="G128" i="3"/>
  <c r="E15" i="24"/>
  <c r="I15" i="24"/>
  <c r="I128" i="3"/>
  <c r="M15" i="24"/>
  <c r="J3" i="30"/>
  <c r="J8" i="30" s="1"/>
  <c r="T87" i="2"/>
  <c r="I5" i="62"/>
  <c r="D256" i="3"/>
  <c r="H256" i="3"/>
  <c r="L256" i="3"/>
  <c r="G13" i="62"/>
  <c r="K13" i="62"/>
  <c r="D15" i="62"/>
  <c r="H15" i="62"/>
  <c r="L15" i="62"/>
  <c r="E17" i="62"/>
  <c r="I17" i="62"/>
  <c r="M17" i="62"/>
  <c r="R87" i="2"/>
  <c r="F13" i="62"/>
  <c r="J13" i="62"/>
  <c r="N13" i="62"/>
  <c r="C87" i="2"/>
  <c r="K87" i="2"/>
  <c r="E15" i="62"/>
  <c r="I15" i="62"/>
  <c r="M15" i="62"/>
  <c r="F17" i="62"/>
  <c r="J17" i="62"/>
  <c r="N17" i="62"/>
  <c r="V87" i="2"/>
  <c r="Z87" i="2"/>
  <c r="O13" i="62"/>
  <c r="O15" i="62"/>
  <c r="G45" i="31"/>
  <c r="E232" i="3" s="1"/>
  <c r="J63" i="31"/>
  <c r="H376" i="3" s="1"/>
  <c r="D41" i="31"/>
  <c r="B180" i="3" s="1"/>
  <c r="J23" i="31"/>
  <c r="H217" i="2"/>
  <c r="U217" i="2" s="1"/>
  <c r="E3" i="31"/>
  <c r="E6" i="31" s="1"/>
  <c r="E25" i="31" s="1"/>
  <c r="H218" i="2"/>
  <c r="U218" i="2" s="1"/>
  <c r="K31" i="31"/>
  <c r="I46" i="3" s="1"/>
  <c r="G31" i="31"/>
  <c r="E46" i="3" s="1"/>
  <c r="J41" i="31"/>
  <c r="H180" i="3" s="1"/>
  <c r="N299" i="3"/>
  <c r="I74" i="31"/>
  <c r="G531" i="3" s="1"/>
  <c r="H24" i="31"/>
  <c r="F218" i="2"/>
  <c r="S218" i="2" s="1"/>
  <c r="N24" i="31"/>
  <c r="L218" i="2"/>
  <c r="Y218" i="2" s="1"/>
  <c r="N45" i="31"/>
  <c r="L232" i="3" s="1"/>
  <c r="D23" i="31"/>
  <c r="B217" i="2"/>
  <c r="O217" i="2" s="1"/>
  <c r="O24" i="31"/>
  <c r="M218" i="2"/>
  <c r="Z218" i="2" s="1"/>
  <c r="O41" i="31"/>
  <c r="M180" i="3" s="1"/>
  <c r="N68" i="31"/>
  <c r="L417" i="3" s="1"/>
  <c r="N74" i="31"/>
  <c r="L531" i="3" s="1"/>
  <c r="K218" i="2"/>
  <c r="X218" i="2" s="1"/>
  <c r="H23" i="31"/>
  <c r="F217" i="2"/>
  <c r="S217" i="2" s="1"/>
  <c r="N23" i="31"/>
  <c r="L217" i="2"/>
  <c r="Y217" i="2" s="1"/>
  <c r="K59" i="31"/>
  <c r="I368" i="3" s="1"/>
  <c r="J59" i="31"/>
  <c r="H368" i="3" s="1"/>
  <c r="G63" i="31"/>
  <c r="E376" i="3" s="1"/>
  <c r="L63" i="31"/>
  <c r="J376" i="3" s="1"/>
  <c r="D74" i="31"/>
  <c r="B531" i="3" s="1"/>
  <c r="H3" i="31"/>
  <c r="H22" i="31" s="1"/>
  <c r="C204" i="2"/>
  <c r="C216" i="2" s="1"/>
  <c r="P216" i="2" s="1"/>
  <c r="J49" i="31"/>
  <c r="H250" i="3" s="1"/>
  <c r="D68" i="31"/>
  <c r="B417" i="3" s="1"/>
  <c r="O74" i="31"/>
  <c r="M531" i="3" s="1"/>
  <c r="F205" i="2"/>
  <c r="S205" i="2" s="1"/>
  <c r="H63" i="31"/>
  <c r="F376" i="3" s="1"/>
  <c r="G3" i="31"/>
  <c r="G6" i="31" s="1"/>
  <c r="G25" i="31" s="1"/>
  <c r="L3" i="31"/>
  <c r="L6" i="31" s="1"/>
  <c r="L25" i="31" s="1"/>
  <c r="H49" i="31"/>
  <c r="F250" i="3" s="1"/>
  <c r="N49" i="31"/>
  <c r="L250" i="3" s="1"/>
  <c r="O3" i="31"/>
  <c r="O22" i="31" s="1"/>
  <c r="N359" i="3"/>
  <c r="N83" i="3"/>
  <c r="D217" i="2"/>
  <c r="Q217" i="2" s="1"/>
  <c r="G218" i="2"/>
  <c r="T218" i="2" s="1"/>
  <c r="D3" i="31"/>
  <c r="D21" i="31" s="1"/>
  <c r="F3" i="31"/>
  <c r="F21" i="31" s="1"/>
  <c r="K3" i="31"/>
  <c r="K6" i="31" s="1"/>
  <c r="K25" i="31" s="1"/>
  <c r="G41" i="31"/>
  <c r="E180" i="3" s="1"/>
  <c r="F49" i="31"/>
  <c r="D250" i="3" s="1"/>
  <c r="F63" i="31"/>
  <c r="D376" i="3" s="1"/>
  <c r="O68" i="31"/>
  <c r="M417" i="3" s="1"/>
  <c r="K204" i="2"/>
  <c r="K216" i="2" s="1"/>
  <c r="X216" i="2" s="1"/>
  <c r="C218" i="2"/>
  <c r="P218" i="2" s="1"/>
  <c r="N63" i="31"/>
  <c r="L376" i="3" s="1"/>
  <c r="G204" i="2"/>
  <c r="G216" i="2" s="1"/>
  <c r="T216" i="2" s="1"/>
  <c r="D218" i="2"/>
  <c r="Q218" i="2" s="1"/>
  <c r="I218" i="2"/>
  <c r="V218" i="2" s="1"/>
  <c r="K41" i="31"/>
  <c r="I180" i="3" s="1"/>
  <c r="H45" i="31"/>
  <c r="F232" i="3" s="1"/>
  <c r="D49" i="31"/>
  <c r="B250" i="3" s="1"/>
  <c r="G59" i="31"/>
  <c r="E368" i="3" s="1"/>
  <c r="L59" i="31"/>
  <c r="J368" i="3" s="1"/>
  <c r="F74" i="31"/>
  <c r="D531" i="3" s="1"/>
  <c r="M204" i="2"/>
  <c r="Z204" i="2" s="1"/>
  <c r="G23" i="31"/>
  <c r="O49" i="31"/>
  <c r="M250" i="3" s="1"/>
  <c r="F59" i="31"/>
  <c r="D368" i="3" s="1"/>
  <c r="F68" i="31"/>
  <c r="D417" i="3" s="1"/>
  <c r="K68" i="31"/>
  <c r="I417" i="3" s="1"/>
  <c r="D204" i="2"/>
  <c r="Q204" i="2" s="1"/>
  <c r="J217" i="2"/>
  <c r="W217" i="2" s="1"/>
  <c r="E218" i="2"/>
  <c r="R218" i="2" s="1"/>
  <c r="I204" i="2"/>
  <c r="V204" i="2" s="1"/>
  <c r="J218" i="2"/>
  <c r="W218" i="2" s="1"/>
  <c r="N3" i="31"/>
  <c r="N22" i="31" s="1"/>
  <c r="H31" i="31"/>
  <c r="F46" i="3" s="1"/>
  <c r="N31" i="31"/>
  <c r="L46" i="3" s="1"/>
  <c r="L31" i="31"/>
  <c r="J46" i="3" s="1"/>
  <c r="L41" i="31"/>
  <c r="J180" i="3" s="1"/>
  <c r="F41" i="31"/>
  <c r="D180" i="3" s="1"/>
  <c r="D45" i="31"/>
  <c r="B232" i="3" s="1"/>
  <c r="J45" i="31"/>
  <c r="H232" i="3" s="1"/>
  <c r="O45" i="31"/>
  <c r="M232" i="3" s="1"/>
  <c r="K49" i="31"/>
  <c r="I250" i="3" s="1"/>
  <c r="H59" i="31"/>
  <c r="F368" i="3" s="1"/>
  <c r="N59" i="31"/>
  <c r="L368" i="3" s="1"/>
  <c r="D63" i="31"/>
  <c r="B376" i="3" s="1"/>
  <c r="O63" i="31"/>
  <c r="M376" i="3" s="1"/>
  <c r="G68" i="31"/>
  <c r="E417" i="3" s="1"/>
  <c r="L68" i="31"/>
  <c r="J417" i="3" s="1"/>
  <c r="K74" i="31"/>
  <c r="I531" i="3" s="1"/>
  <c r="J74" i="31"/>
  <c r="H531" i="3" s="1"/>
  <c r="N111" i="3"/>
  <c r="J3" i="31"/>
  <c r="J22" i="31" s="1"/>
  <c r="J31" i="31"/>
  <c r="H46" i="3" s="1"/>
  <c r="O31" i="31"/>
  <c r="M46" i="3" s="1"/>
  <c r="H41" i="31"/>
  <c r="F180" i="3" s="1"/>
  <c r="N41" i="31"/>
  <c r="L180" i="3" s="1"/>
  <c r="F45" i="31"/>
  <c r="D232" i="3" s="1"/>
  <c r="K45" i="31"/>
  <c r="I232" i="3" s="1"/>
  <c r="G49" i="31"/>
  <c r="E250" i="3" s="1"/>
  <c r="L49" i="31"/>
  <c r="J250" i="3" s="1"/>
  <c r="D59" i="31"/>
  <c r="B368" i="3" s="1"/>
  <c r="O59" i="31"/>
  <c r="M368" i="3" s="1"/>
  <c r="K63" i="31"/>
  <c r="I376" i="3" s="1"/>
  <c r="H68" i="31"/>
  <c r="F417" i="3" s="1"/>
  <c r="G74" i="31"/>
  <c r="E531" i="3" s="1"/>
  <c r="L74" i="31"/>
  <c r="J531" i="3" s="1"/>
  <c r="O23" i="31"/>
  <c r="M217" i="2"/>
  <c r="Z217" i="2" s="1"/>
  <c r="N507" i="3"/>
  <c r="L216" i="2"/>
  <c r="Y216" i="2" s="1"/>
  <c r="N485" i="3"/>
  <c r="N47" i="3"/>
  <c r="B216" i="2"/>
  <c r="O216" i="2" s="1"/>
  <c r="J216" i="2"/>
  <c r="E216" i="2"/>
  <c r="R216" i="2" s="1"/>
  <c r="O23" i="59"/>
  <c r="O21" i="59"/>
  <c r="O9" i="58"/>
  <c r="H5" i="55"/>
  <c r="B138" i="2"/>
  <c r="O138" i="2" s="1"/>
  <c r="J138" i="2"/>
  <c r="W138" i="2" s="1"/>
  <c r="C244" i="3"/>
  <c r="G244" i="3"/>
  <c r="K244" i="3"/>
  <c r="M11" i="55"/>
  <c r="K370" i="3" s="1"/>
  <c r="D15" i="55"/>
  <c r="H15" i="55"/>
  <c r="L15" i="55"/>
  <c r="I11" i="55"/>
  <c r="G370" i="3" s="1"/>
  <c r="N11" i="55"/>
  <c r="N19" i="55" s="1"/>
  <c r="E15" i="55"/>
  <c r="I15" i="55"/>
  <c r="M15" i="55"/>
  <c r="N244" i="3"/>
  <c r="E11" i="55"/>
  <c r="E19" i="55" s="1"/>
  <c r="G66" i="57"/>
  <c r="E422" i="3" s="1"/>
  <c r="I284" i="2"/>
  <c r="V284" i="2" s="1"/>
  <c r="D34" i="57"/>
  <c r="B133" i="3" s="1"/>
  <c r="B284" i="2"/>
  <c r="O284" i="2" s="1"/>
  <c r="O34" i="57"/>
  <c r="M133" i="3" s="1"/>
  <c r="N189" i="3"/>
  <c r="M266" i="2"/>
  <c r="Z266" i="2" s="1"/>
  <c r="N21" i="57"/>
  <c r="L284" i="2"/>
  <c r="Y284" i="2" s="1"/>
  <c r="H30" i="57"/>
  <c r="F100" i="3" s="1"/>
  <c r="F52" i="57"/>
  <c r="D278" i="3" s="1"/>
  <c r="G44" i="57"/>
  <c r="E178" i="3" s="1"/>
  <c r="K52" i="57"/>
  <c r="I278" i="3" s="1"/>
  <c r="M284" i="2"/>
  <c r="Z284" i="2" s="1"/>
  <c r="O40" i="57"/>
  <c r="M174" i="3" s="1"/>
  <c r="O56" i="57"/>
  <c r="M326" i="3" s="1"/>
  <c r="L44" i="57"/>
  <c r="J178" i="3" s="1"/>
  <c r="D56" i="57"/>
  <c r="B326" i="3" s="1"/>
  <c r="O30" i="57"/>
  <c r="M100" i="3" s="1"/>
  <c r="J34" i="57"/>
  <c r="H133" i="3" s="1"/>
  <c r="K70" i="57"/>
  <c r="I471" i="3" s="1"/>
  <c r="N34" i="57"/>
  <c r="L133" i="3" s="1"/>
  <c r="N70" i="57"/>
  <c r="L471" i="3" s="1"/>
  <c r="N66" i="57"/>
  <c r="L422" i="3" s="1"/>
  <c r="F284" i="2"/>
  <c r="S284" i="2" s="1"/>
  <c r="K34" i="57"/>
  <c r="I133" i="3" s="1"/>
  <c r="L34" i="57"/>
  <c r="J133" i="3" s="1"/>
  <c r="F21" i="57"/>
  <c r="D284" i="2"/>
  <c r="Q284" i="2" s="1"/>
  <c r="J21" i="57"/>
  <c r="H284" i="2"/>
  <c r="U284" i="2" s="1"/>
  <c r="F56" i="57"/>
  <c r="D326" i="3" s="1"/>
  <c r="J52" i="57"/>
  <c r="H278" i="3" s="1"/>
  <c r="J30" i="57"/>
  <c r="H100" i="3" s="1"/>
  <c r="F34" i="57"/>
  <c r="D133" i="3" s="1"/>
  <c r="J70" i="57"/>
  <c r="H471" i="3" s="1"/>
  <c r="F66" i="57"/>
  <c r="D422" i="3" s="1"/>
  <c r="H3" i="57"/>
  <c r="H5" i="57" s="1"/>
  <c r="H22" i="57" s="1"/>
  <c r="G3" i="57"/>
  <c r="G5" i="57" s="1"/>
  <c r="G22" i="57" s="1"/>
  <c r="K3" i="57"/>
  <c r="K5" i="57" s="1"/>
  <c r="K22" i="57" s="1"/>
  <c r="G34" i="57"/>
  <c r="E133" i="3" s="1"/>
  <c r="G40" i="57"/>
  <c r="E174" i="3" s="1"/>
  <c r="L40" i="57"/>
  <c r="J174" i="3" s="1"/>
  <c r="D44" i="57"/>
  <c r="B178" i="3" s="1"/>
  <c r="O44" i="57"/>
  <c r="M178" i="3" s="1"/>
  <c r="H52" i="57"/>
  <c r="F278" i="3" s="1"/>
  <c r="D66" i="57"/>
  <c r="B422" i="3" s="1"/>
  <c r="O66" i="57"/>
  <c r="M422" i="3" s="1"/>
  <c r="G70" i="57"/>
  <c r="E471" i="3" s="1"/>
  <c r="L70" i="57"/>
  <c r="J471" i="3" s="1"/>
  <c r="F70" i="57"/>
  <c r="D471" i="3" s="1"/>
  <c r="E284" i="2"/>
  <c r="R284" i="2" s="1"/>
  <c r="J284" i="2"/>
  <c r="W284" i="2" s="1"/>
  <c r="G30" i="57"/>
  <c r="E100" i="3" s="1"/>
  <c r="L30" i="57"/>
  <c r="J100" i="3" s="1"/>
  <c r="H34" i="57"/>
  <c r="F133" i="3" s="1"/>
  <c r="G56" i="57"/>
  <c r="E326" i="3" s="1"/>
  <c r="K66" i="57"/>
  <c r="I422" i="3" s="1"/>
  <c r="H70" i="57"/>
  <c r="F471" i="3" s="1"/>
  <c r="N401" i="3"/>
  <c r="N372" i="3"/>
  <c r="N93" i="3"/>
  <c r="N144" i="3"/>
  <c r="B283" i="2"/>
  <c r="O283" i="2" s="1"/>
  <c r="J283" i="2"/>
  <c r="W283" i="2" s="1"/>
  <c r="I273" i="2"/>
  <c r="V273" i="2" s="1"/>
  <c r="D3" i="57"/>
  <c r="D5" i="57" s="1"/>
  <c r="D22" i="57" s="1"/>
  <c r="J3" i="57"/>
  <c r="J5" i="57" s="1"/>
  <c r="J22" i="57" s="1"/>
  <c r="O3" i="57"/>
  <c r="O20" i="57" s="1"/>
  <c r="N30" i="57"/>
  <c r="L100" i="3" s="1"/>
  <c r="F40" i="57"/>
  <c r="D174" i="3" s="1"/>
  <c r="K40" i="57"/>
  <c r="I174" i="3" s="1"/>
  <c r="J40" i="57"/>
  <c r="H174" i="3" s="1"/>
  <c r="H44" i="57"/>
  <c r="F178" i="3" s="1"/>
  <c r="N44" i="57"/>
  <c r="L178" i="3" s="1"/>
  <c r="G52" i="57"/>
  <c r="E278" i="3" s="1"/>
  <c r="H56" i="57"/>
  <c r="F326" i="3" s="1"/>
  <c r="N56" i="57"/>
  <c r="L326" i="3" s="1"/>
  <c r="E272" i="2"/>
  <c r="R272" i="2" s="1"/>
  <c r="N392" i="3"/>
  <c r="N478" i="3"/>
  <c r="F271" i="2"/>
  <c r="F283" i="2" s="1"/>
  <c r="N185" i="3"/>
  <c r="L3" i="57"/>
  <c r="L5" i="57" s="1"/>
  <c r="L22" i="57" s="1"/>
  <c r="F30" i="57"/>
  <c r="D100" i="3" s="1"/>
  <c r="K30" i="57"/>
  <c r="I100" i="3" s="1"/>
  <c r="H40" i="57"/>
  <c r="F174" i="3" s="1"/>
  <c r="N40" i="57"/>
  <c r="L174" i="3" s="1"/>
  <c r="F44" i="57"/>
  <c r="D178" i="3" s="1"/>
  <c r="K44" i="57"/>
  <c r="I178" i="3" s="1"/>
  <c r="D52" i="57"/>
  <c r="B278" i="3" s="1"/>
  <c r="O52" i="57"/>
  <c r="M278" i="3" s="1"/>
  <c r="K56" i="57"/>
  <c r="I326" i="3" s="1"/>
  <c r="J56" i="57"/>
  <c r="H326" i="3" s="1"/>
  <c r="D70" i="57"/>
  <c r="B471" i="3" s="1"/>
  <c r="O70" i="57"/>
  <c r="M471" i="3" s="1"/>
  <c r="I21" i="57"/>
  <c r="G284" i="2"/>
  <c r="T284" i="2" s="1"/>
  <c r="M20" i="57"/>
  <c r="M5" i="57"/>
  <c r="M22" i="57" s="1"/>
  <c r="Y272" i="2"/>
  <c r="L283" i="2"/>
  <c r="Q274" i="2"/>
  <c r="D283" i="2"/>
  <c r="M21" i="57"/>
  <c r="K284" i="2"/>
  <c r="X284" i="2" s="1"/>
  <c r="E20" i="57"/>
  <c r="E5" i="57"/>
  <c r="E22" i="57" s="1"/>
  <c r="E21" i="57"/>
  <c r="C284" i="2"/>
  <c r="P284" i="2" s="1"/>
  <c r="G283" i="2"/>
  <c r="T271" i="2"/>
  <c r="R271" i="2"/>
  <c r="I74" i="57"/>
  <c r="I76" i="57"/>
  <c r="I78" i="57"/>
  <c r="O271" i="2"/>
  <c r="W271" i="2"/>
  <c r="M283" i="2"/>
  <c r="Z283" i="2" s="1"/>
  <c r="I3" i="57"/>
  <c r="F3" i="57"/>
  <c r="L52" i="57"/>
  <c r="J278" i="3" s="1"/>
  <c r="L56" i="57"/>
  <c r="J326" i="3" s="1"/>
  <c r="E74" i="57"/>
  <c r="E76" i="57"/>
  <c r="E78" i="57"/>
  <c r="C271" i="2"/>
  <c r="K271" i="2"/>
  <c r="J10" i="3"/>
  <c r="V271" i="2"/>
  <c r="B10" i="3"/>
  <c r="N10" i="3" s="1"/>
  <c r="M74" i="57"/>
  <c r="M76" i="57"/>
  <c r="M78" i="57"/>
  <c r="H271" i="2"/>
  <c r="K10" i="3"/>
  <c r="N3" i="57"/>
  <c r="F10" i="3"/>
  <c r="D40" i="57"/>
  <c r="B174" i="3" s="1"/>
  <c r="K20" i="57"/>
  <c r="H66" i="57"/>
  <c r="F422" i="3" s="1"/>
  <c r="I21" i="15"/>
  <c r="M15" i="16"/>
  <c r="G346" i="3"/>
  <c r="C25" i="3"/>
  <c r="G25" i="3"/>
  <c r="K25" i="3"/>
  <c r="C78" i="3"/>
  <c r="K78" i="3"/>
  <c r="F21" i="15"/>
  <c r="J21" i="15"/>
  <c r="N21" i="15"/>
  <c r="D21" i="15"/>
  <c r="L21" i="15"/>
  <c r="G21" i="15"/>
  <c r="K21" i="15"/>
  <c r="E21" i="15"/>
  <c r="I17" i="16"/>
  <c r="N25" i="3"/>
  <c r="H21" i="15"/>
  <c r="L5" i="42"/>
  <c r="G13" i="41"/>
  <c r="K13" i="41"/>
  <c r="G8" i="41"/>
  <c r="G9" i="41" s="1"/>
  <c r="K8" i="41"/>
  <c r="K9" i="41" s="1"/>
  <c r="D5" i="42"/>
  <c r="H5" i="42"/>
  <c r="G9" i="42"/>
  <c r="G17" i="42" s="1"/>
  <c r="M242" i="3"/>
  <c r="O15" i="42"/>
  <c r="O9" i="42"/>
  <c r="O19" i="42" s="1"/>
  <c r="O8" i="41"/>
  <c r="O9" i="41" s="1"/>
  <c r="N23" i="52"/>
  <c r="L117" i="3" s="1"/>
  <c r="M19" i="52"/>
  <c r="K70" i="3" s="1"/>
  <c r="I23" i="52"/>
  <c r="G117" i="3" s="1"/>
  <c r="D416" i="2"/>
  <c r="Q416" i="2" s="1"/>
  <c r="E9" i="52"/>
  <c r="C415" i="2"/>
  <c r="P415" i="2" s="1"/>
  <c r="M7" i="52"/>
  <c r="M13" i="52" s="1"/>
  <c r="K415" i="2"/>
  <c r="X415" i="2" s="1"/>
  <c r="I10" i="52"/>
  <c r="G416" i="2"/>
  <c r="T416" i="2" s="1"/>
  <c r="M10" i="52"/>
  <c r="K416" i="2"/>
  <c r="X416" i="2" s="1"/>
  <c r="G417" i="2"/>
  <c r="T417" i="2" s="1"/>
  <c r="I11" i="52"/>
  <c r="I12" i="52"/>
  <c r="G418" i="2"/>
  <c r="T418" i="2" s="1"/>
  <c r="D12" i="52"/>
  <c r="B418" i="2"/>
  <c r="O418" i="2" s="1"/>
  <c r="H12" i="52"/>
  <c r="F418" i="2"/>
  <c r="S418" i="2" s="1"/>
  <c r="D19" i="52"/>
  <c r="D37" i="52"/>
  <c r="B247" i="3" s="1"/>
  <c r="N247" i="3" s="1"/>
  <c r="H23" i="52"/>
  <c r="F117" i="3" s="1"/>
  <c r="E23" i="52"/>
  <c r="C117" i="3" s="1"/>
  <c r="E37" i="52"/>
  <c r="C247" i="3" s="1"/>
  <c r="L23" i="52"/>
  <c r="J117" i="3" s="1"/>
  <c r="F37" i="52"/>
  <c r="D247" i="3" s="1"/>
  <c r="H416" i="2"/>
  <c r="U416" i="2" s="1"/>
  <c r="C416" i="2"/>
  <c r="P416" i="2" s="1"/>
  <c r="D9" i="52"/>
  <c r="B415" i="2"/>
  <c r="O415" i="2" s="1"/>
  <c r="B30" i="3"/>
  <c r="N30" i="3" s="1"/>
  <c r="D10" i="52"/>
  <c r="B416" i="2"/>
  <c r="O416" i="2" s="1"/>
  <c r="H10" i="52"/>
  <c r="F416" i="2"/>
  <c r="S416" i="2" s="1"/>
  <c r="H11" i="52"/>
  <c r="F417" i="2"/>
  <c r="S417" i="2" s="1"/>
  <c r="L11" i="52"/>
  <c r="J417" i="2"/>
  <c r="W417" i="2" s="1"/>
  <c r="L12" i="52"/>
  <c r="J418" i="2"/>
  <c r="W418" i="2" s="1"/>
  <c r="L19" i="52"/>
  <c r="D23" i="52"/>
  <c r="B117" i="3" s="1"/>
  <c r="I7" i="52"/>
  <c r="I13" i="52" s="1"/>
  <c r="N7" i="52"/>
  <c r="N13" i="52" s="1"/>
  <c r="N157" i="3"/>
  <c r="E7" i="52"/>
  <c r="E13" i="52" s="1"/>
  <c r="J7" i="52"/>
  <c r="J13" i="52" s="1"/>
  <c r="I9" i="52"/>
  <c r="I19" i="52"/>
  <c r="G70" i="3" s="1"/>
  <c r="N19" i="52"/>
  <c r="F23" i="52"/>
  <c r="D117" i="3" s="1"/>
  <c r="M37" i="52"/>
  <c r="K247" i="3" s="1"/>
  <c r="F7" i="52"/>
  <c r="F13" i="52" s="1"/>
  <c r="M9" i="52"/>
  <c r="E19" i="52"/>
  <c r="J19" i="52"/>
  <c r="H70" i="3" s="1"/>
  <c r="M23" i="52"/>
  <c r="K117" i="3" s="1"/>
  <c r="I37" i="52"/>
  <c r="G247" i="3" s="1"/>
  <c r="N37" i="52"/>
  <c r="L247" i="3" s="1"/>
  <c r="N198" i="3"/>
  <c r="N245" i="3"/>
  <c r="N246" i="3"/>
  <c r="N190" i="3"/>
  <c r="N388" i="3"/>
  <c r="K30" i="49"/>
  <c r="I223" i="3" s="1"/>
  <c r="L35" i="2"/>
  <c r="D30" i="49"/>
  <c r="B223" i="3" s="1"/>
  <c r="L30" i="49"/>
  <c r="J223" i="3" s="1"/>
  <c r="G3" i="49"/>
  <c r="G16" i="49" s="1"/>
  <c r="L52" i="49"/>
  <c r="J495" i="3" s="1"/>
  <c r="N35" i="49"/>
  <c r="L319" i="3" s="1"/>
  <c r="J43" i="49"/>
  <c r="H434" i="3" s="1"/>
  <c r="K43" i="49"/>
  <c r="I434" i="3" s="1"/>
  <c r="G52" i="49"/>
  <c r="E495" i="3" s="1"/>
  <c r="F35" i="49"/>
  <c r="D319" i="3" s="1"/>
  <c r="F52" i="49"/>
  <c r="D495" i="3" s="1"/>
  <c r="E35" i="2"/>
  <c r="E45" i="2" s="1"/>
  <c r="R45" i="2" s="1"/>
  <c r="H20" i="49"/>
  <c r="F80" i="3" s="1"/>
  <c r="G43" i="49"/>
  <c r="E434" i="3" s="1"/>
  <c r="O43" i="49"/>
  <c r="M434" i="3" s="1"/>
  <c r="F43" i="49"/>
  <c r="D434" i="3" s="1"/>
  <c r="D39" i="49"/>
  <c r="B425" i="3" s="1"/>
  <c r="L39" i="49"/>
  <c r="J425" i="3" s="1"/>
  <c r="H48" i="49"/>
  <c r="F442" i="3" s="1"/>
  <c r="D56" i="49"/>
  <c r="B501" i="3" s="1"/>
  <c r="L56" i="49"/>
  <c r="J501" i="3" s="1"/>
  <c r="D52" i="49"/>
  <c r="B495" i="3" s="1"/>
  <c r="N43" i="49"/>
  <c r="L434" i="3" s="1"/>
  <c r="O35" i="49"/>
  <c r="M319" i="3" s="1"/>
  <c r="O48" i="49"/>
  <c r="M442" i="3" s="1"/>
  <c r="D5" i="47"/>
  <c r="H5" i="47"/>
  <c r="L5" i="47"/>
  <c r="E11" i="47"/>
  <c r="I11" i="47"/>
  <c r="M11" i="47"/>
  <c r="E5" i="47"/>
  <c r="I5" i="47"/>
  <c r="M5" i="47"/>
  <c r="F11" i="47"/>
  <c r="J11" i="47"/>
  <c r="N11" i="47"/>
  <c r="C217" i="3"/>
  <c r="G217" i="3"/>
  <c r="K217" i="3"/>
  <c r="D13" i="47"/>
  <c r="H13" i="47"/>
  <c r="L13" i="47"/>
  <c r="E15" i="47"/>
  <c r="I15" i="47"/>
  <c r="M15" i="47"/>
  <c r="D217" i="3"/>
  <c r="H217" i="3"/>
  <c r="L217" i="3"/>
  <c r="M217" i="3"/>
  <c r="O11" i="47"/>
  <c r="O13" i="47"/>
  <c r="J5" i="8"/>
  <c r="K17" i="8"/>
  <c r="D17" i="8"/>
  <c r="L17" i="8"/>
  <c r="E225" i="3"/>
  <c r="I225" i="3"/>
  <c r="M225" i="3"/>
  <c r="F5" i="8"/>
  <c r="N5" i="8"/>
  <c r="G17" i="8"/>
  <c r="H17" i="8"/>
  <c r="G11" i="4"/>
  <c r="E131" i="3" s="1"/>
  <c r="K11" i="4"/>
  <c r="I131" i="3" s="1"/>
  <c r="O11" i="4"/>
  <c r="M131" i="3" s="1"/>
  <c r="O13" i="4"/>
  <c r="F266" i="2"/>
  <c r="S266" i="2" s="1"/>
  <c r="M52" i="43"/>
  <c r="K318" i="3" s="1"/>
  <c r="I68" i="43"/>
  <c r="G515" i="3" s="1"/>
  <c r="I20" i="43"/>
  <c r="G266" i="2"/>
  <c r="T266" i="2" s="1"/>
  <c r="K266" i="2"/>
  <c r="X266" i="2" s="1"/>
  <c r="H56" i="43"/>
  <c r="F331" i="3" s="1"/>
  <c r="I56" i="43"/>
  <c r="G331" i="3" s="1"/>
  <c r="H60" i="43"/>
  <c r="F375" i="3" s="1"/>
  <c r="D37" i="43"/>
  <c r="B187" i="3" s="1"/>
  <c r="E37" i="43"/>
  <c r="C187" i="3" s="1"/>
  <c r="I44" i="43"/>
  <c r="G285" i="3" s="1"/>
  <c r="E56" i="43"/>
  <c r="C331" i="3" s="1"/>
  <c r="M56" i="43"/>
  <c r="K331" i="3" s="1"/>
  <c r="F37" i="43"/>
  <c r="D187" i="3" s="1"/>
  <c r="E44" i="43"/>
  <c r="C285" i="3" s="1"/>
  <c r="D56" i="43"/>
  <c r="B331" i="3" s="1"/>
  <c r="N331" i="3" s="1"/>
  <c r="L56" i="43"/>
  <c r="J331" i="3" s="1"/>
  <c r="J37" i="43"/>
  <c r="H187" i="3" s="1"/>
  <c r="D20" i="43"/>
  <c r="B266" i="2"/>
  <c r="O266" i="2" s="1"/>
  <c r="I3" i="43"/>
  <c r="I19" i="43" s="1"/>
  <c r="L68" i="43"/>
  <c r="J515" i="3" s="1"/>
  <c r="D25" i="43"/>
  <c r="B4" i="3" s="1"/>
  <c r="N4" i="3" s="1"/>
  <c r="E68" i="43"/>
  <c r="C515" i="3" s="1"/>
  <c r="I25" i="43"/>
  <c r="G4" i="3" s="1"/>
  <c r="I266" i="2"/>
  <c r="V266" i="2" s="1"/>
  <c r="H37" i="43"/>
  <c r="F187" i="3" s="1"/>
  <c r="E266" i="2"/>
  <c r="R266" i="2" s="1"/>
  <c r="J266" i="2"/>
  <c r="W266" i="2" s="1"/>
  <c r="E25" i="43"/>
  <c r="C4" i="3" s="1"/>
  <c r="M25" i="43"/>
  <c r="K4" i="3" s="1"/>
  <c r="I37" i="43"/>
  <c r="G187" i="3" s="1"/>
  <c r="I52" i="43"/>
  <c r="G318" i="3" s="1"/>
  <c r="N20" i="43"/>
  <c r="L266" i="2"/>
  <c r="Y266" i="2" s="1"/>
  <c r="F3" i="43"/>
  <c r="F5" i="43" s="1"/>
  <c r="F21" i="43" s="1"/>
  <c r="D253" i="2"/>
  <c r="Q253" i="2" s="1"/>
  <c r="F52" i="43"/>
  <c r="D318" i="3" s="1"/>
  <c r="F20" i="43"/>
  <c r="D266" i="2"/>
  <c r="Q266" i="2" s="1"/>
  <c r="N3" i="43"/>
  <c r="N5" i="43" s="1"/>
  <c r="N21" i="43" s="1"/>
  <c r="L253" i="2"/>
  <c r="Y253" i="2" s="1"/>
  <c r="J52" i="43"/>
  <c r="H318" i="3" s="1"/>
  <c r="M37" i="43"/>
  <c r="K187" i="3" s="1"/>
  <c r="D68" i="43"/>
  <c r="B515" i="3" s="1"/>
  <c r="N515" i="3" s="1"/>
  <c r="N430" i="3"/>
  <c r="N159" i="3"/>
  <c r="N173" i="3"/>
  <c r="N187" i="3"/>
  <c r="N68" i="43"/>
  <c r="L515" i="3" s="1"/>
  <c r="C266" i="2"/>
  <c r="P266" i="2" s="1"/>
  <c r="E3" i="43"/>
  <c r="E19" i="43" s="1"/>
  <c r="M3" i="43"/>
  <c r="M19" i="43" s="1"/>
  <c r="M44" i="43"/>
  <c r="K285" i="3" s="1"/>
  <c r="E52" i="43"/>
  <c r="C318" i="3" s="1"/>
  <c r="D60" i="43"/>
  <c r="B375" i="3" s="1"/>
  <c r="N375" i="3" s="1"/>
  <c r="D3" i="43"/>
  <c r="H3" i="43"/>
  <c r="L3" i="43"/>
  <c r="L19" i="43" s="1"/>
  <c r="D52" i="43"/>
  <c r="B318" i="3" s="1"/>
  <c r="N318" i="3" s="1"/>
  <c r="H52" i="43"/>
  <c r="F318" i="3" s="1"/>
  <c r="L52" i="43"/>
  <c r="J318" i="3" s="1"/>
  <c r="D44" i="43"/>
  <c r="B285" i="3" s="1"/>
  <c r="N285" i="3" s="1"/>
  <c r="H44" i="43"/>
  <c r="F285" i="3" s="1"/>
  <c r="L44" i="43"/>
  <c r="J285" i="3" s="1"/>
  <c r="H266" i="2"/>
  <c r="U266" i="2" s="1"/>
  <c r="L25" i="43"/>
  <c r="J4" i="3" s="1"/>
  <c r="L37" i="43"/>
  <c r="J187" i="3" s="1"/>
  <c r="H68" i="43"/>
  <c r="F515" i="3" s="1"/>
  <c r="M68" i="43"/>
  <c r="K515" i="3" s="1"/>
  <c r="E60" i="43"/>
  <c r="C375" i="3" s="1"/>
  <c r="I60" i="43"/>
  <c r="G375" i="3" s="1"/>
  <c r="M60" i="43"/>
  <c r="K375" i="3" s="1"/>
  <c r="F11" i="40"/>
  <c r="J11" i="40"/>
  <c r="N11" i="40"/>
  <c r="G13" i="40"/>
  <c r="K13" i="40"/>
  <c r="D15" i="40"/>
  <c r="H15" i="40"/>
  <c r="L15" i="40"/>
  <c r="N195" i="3"/>
  <c r="G11" i="40"/>
  <c r="K11" i="40"/>
  <c r="D13" i="40"/>
  <c r="H13" i="40"/>
  <c r="L13" i="40"/>
  <c r="E15" i="40"/>
  <c r="I15" i="40"/>
  <c r="M15" i="40"/>
  <c r="E13" i="40"/>
  <c r="I13" i="40"/>
  <c r="M13" i="40"/>
  <c r="F15" i="40"/>
  <c r="J15" i="40"/>
  <c r="N15" i="40"/>
  <c r="O11" i="40"/>
  <c r="O13" i="40"/>
  <c r="N194" i="3"/>
  <c r="G164" i="3"/>
  <c r="M15" i="10"/>
  <c r="K128" i="2"/>
  <c r="X128" i="2" s="1"/>
  <c r="K192" i="3"/>
  <c r="C164" i="3"/>
  <c r="I15" i="10"/>
  <c r="G128" i="2"/>
  <c r="T128" i="2" s="1"/>
  <c r="G192" i="3"/>
  <c r="E11" i="10"/>
  <c r="C170" i="3" s="1"/>
  <c r="I11" i="10"/>
  <c r="G170" i="3" s="1"/>
  <c r="M11" i="11"/>
  <c r="M23" i="11" s="1"/>
  <c r="E15" i="10"/>
  <c r="G5" i="11"/>
  <c r="L19" i="11"/>
  <c r="K5" i="11"/>
  <c r="D19" i="11"/>
  <c r="M128" i="2"/>
  <c r="Z128" i="2" s="1"/>
  <c r="B192" i="3"/>
  <c r="N192" i="3" s="1"/>
  <c r="F192" i="3"/>
  <c r="J192" i="3"/>
  <c r="B164" i="3"/>
  <c r="N164" i="3" s="1"/>
  <c r="F164" i="3"/>
  <c r="J164" i="3"/>
  <c r="H19" i="11"/>
  <c r="D11" i="10"/>
  <c r="B170" i="3" s="1"/>
  <c r="H11" i="10"/>
  <c r="F170" i="3" s="1"/>
  <c r="L11" i="10"/>
  <c r="J170" i="3" s="1"/>
  <c r="D45" i="39"/>
  <c r="B135" i="3" s="1"/>
  <c r="L45" i="39"/>
  <c r="J135" i="3" s="1"/>
  <c r="L23" i="39"/>
  <c r="J11" i="3" s="1"/>
  <c r="K27" i="39"/>
  <c r="I45" i="3" s="1"/>
  <c r="G3" i="39"/>
  <c r="G16" i="39" s="1"/>
  <c r="G23" i="39"/>
  <c r="E11" i="3" s="1"/>
  <c r="O23" i="39"/>
  <c r="M11" i="3" s="1"/>
  <c r="K81" i="39"/>
  <c r="I533" i="3" s="1"/>
  <c r="D27" i="39"/>
  <c r="B45" i="3" s="1"/>
  <c r="H3" i="39"/>
  <c r="H16" i="39" s="1"/>
  <c r="H23" i="39"/>
  <c r="F11" i="3" s="1"/>
  <c r="O35" i="39"/>
  <c r="M54" i="3" s="1"/>
  <c r="G45" i="39"/>
  <c r="E135" i="3" s="1"/>
  <c r="O45" i="39"/>
  <c r="M135" i="3" s="1"/>
  <c r="F3" i="39"/>
  <c r="F17" i="39" s="1"/>
  <c r="N81" i="39"/>
  <c r="L533" i="3" s="1"/>
  <c r="E192" i="2"/>
  <c r="R192" i="2" s="1"/>
  <c r="H27" i="39"/>
  <c r="F45" i="3" s="1"/>
  <c r="O27" i="39"/>
  <c r="M45" i="3" s="1"/>
  <c r="K35" i="39"/>
  <c r="I54" i="3" s="1"/>
  <c r="H45" i="39"/>
  <c r="F135" i="3" s="1"/>
  <c r="O81" i="39"/>
  <c r="M533" i="3" s="1"/>
  <c r="D23" i="39"/>
  <c r="B11" i="3" s="1"/>
  <c r="L27" i="39"/>
  <c r="J45" i="3" s="1"/>
  <c r="D35" i="39"/>
  <c r="B54" i="3" s="1"/>
  <c r="N101" i="3"/>
  <c r="D81" i="39"/>
  <c r="B533" i="3" s="1"/>
  <c r="N283" i="3"/>
  <c r="N385" i="3"/>
  <c r="N281" i="3"/>
  <c r="F192" i="2"/>
  <c r="S192" i="2" s="1"/>
  <c r="L3" i="39"/>
  <c r="L16" i="39" s="1"/>
  <c r="F23" i="39"/>
  <c r="D11" i="3" s="1"/>
  <c r="F45" i="39"/>
  <c r="D135" i="3" s="1"/>
  <c r="F81" i="39"/>
  <c r="D533" i="3" s="1"/>
  <c r="N443" i="3"/>
  <c r="N344" i="3"/>
  <c r="J3" i="39"/>
  <c r="J17" i="39" s="1"/>
  <c r="N35" i="39"/>
  <c r="L54" i="3" s="1"/>
  <c r="H192" i="2"/>
  <c r="U192" i="2" s="1"/>
  <c r="N528" i="3"/>
  <c r="N212" i="3"/>
  <c r="D3" i="39"/>
  <c r="D16" i="39" s="1"/>
  <c r="K3" i="39"/>
  <c r="N279" i="3"/>
  <c r="N441" i="3"/>
  <c r="N345" i="3"/>
  <c r="D192" i="2"/>
  <c r="Q192" i="2" s="1"/>
  <c r="I202" i="2"/>
  <c r="V202" i="2" s="1"/>
  <c r="V192" i="2"/>
  <c r="N453" i="3"/>
  <c r="N371" i="3"/>
  <c r="N259" i="3"/>
  <c r="N513" i="3"/>
  <c r="O3" i="39"/>
  <c r="O17" i="39" s="1"/>
  <c r="N85" i="3"/>
  <c r="N221" i="3"/>
  <c r="N282" i="3"/>
  <c r="K23" i="39"/>
  <c r="I11" i="3" s="1"/>
  <c r="G27" i="39"/>
  <c r="E45" i="3" s="1"/>
  <c r="G35" i="39"/>
  <c r="E54" i="3" s="1"/>
  <c r="L35" i="39"/>
  <c r="J54" i="3" s="1"/>
  <c r="K45" i="39"/>
  <c r="I135" i="3" s="1"/>
  <c r="G81" i="39"/>
  <c r="E533" i="3" s="1"/>
  <c r="L81" i="39"/>
  <c r="J533" i="3" s="1"/>
  <c r="M193" i="2"/>
  <c r="Z193" i="2" s="1"/>
  <c r="N86" i="3"/>
  <c r="B202" i="2"/>
  <c r="O202" i="2" s="1"/>
  <c r="E16" i="39"/>
  <c r="E17" i="39"/>
  <c r="M83" i="39"/>
  <c r="M85" i="39"/>
  <c r="M87" i="39"/>
  <c r="K6" i="3"/>
  <c r="J6" i="3"/>
  <c r="J83" i="39"/>
  <c r="J202" i="2"/>
  <c r="W202" i="2" s="1"/>
  <c r="I16" i="39"/>
  <c r="I17" i="39"/>
  <c r="I83" i="39"/>
  <c r="I85" i="39"/>
  <c r="I87" i="39"/>
  <c r="G6" i="3"/>
  <c r="L202" i="2"/>
  <c r="Y202" i="2" s="1"/>
  <c r="N3" i="39"/>
  <c r="F6" i="3"/>
  <c r="S193" i="2"/>
  <c r="M16" i="39"/>
  <c r="M17" i="39"/>
  <c r="E83" i="39"/>
  <c r="E85" i="39"/>
  <c r="E87" i="39"/>
  <c r="C6" i="3"/>
  <c r="C192" i="2"/>
  <c r="G192" i="2"/>
  <c r="K192" i="2"/>
  <c r="B6" i="3"/>
  <c r="N6" i="3" s="1"/>
  <c r="H35" i="39"/>
  <c r="F54" i="3" s="1"/>
  <c r="N52" i="3"/>
  <c r="J85" i="39"/>
  <c r="J87" i="39"/>
  <c r="N53" i="3"/>
  <c r="Z192" i="2"/>
  <c r="G18" i="28"/>
  <c r="E179" i="3" s="1"/>
  <c r="K18" i="28"/>
  <c r="I179" i="3" s="1"/>
  <c r="L18" i="28"/>
  <c r="J179" i="3" s="1"/>
  <c r="K31" i="28"/>
  <c r="I465" i="3" s="1"/>
  <c r="J18" i="28"/>
  <c r="H179" i="3" s="1"/>
  <c r="O18" i="28"/>
  <c r="M179" i="3" s="1"/>
  <c r="O27" i="28"/>
  <c r="M464" i="3" s="1"/>
  <c r="G27" i="28"/>
  <c r="E464" i="3" s="1"/>
  <c r="D27" i="28"/>
  <c r="B464" i="3" s="1"/>
  <c r="L27" i="28"/>
  <c r="J464" i="3" s="1"/>
  <c r="L3" i="28"/>
  <c r="L12" i="28" s="1"/>
  <c r="J347" i="2"/>
  <c r="J353" i="2" s="1"/>
  <c r="W353" i="2" s="1"/>
  <c r="H3" i="28"/>
  <c r="H12" i="28" s="1"/>
  <c r="K27" i="28"/>
  <c r="N31" i="28"/>
  <c r="L465" i="3" s="1"/>
  <c r="N18" i="28"/>
  <c r="L179" i="3" s="1"/>
  <c r="H18" i="28"/>
  <c r="F179" i="3" s="1"/>
  <c r="I31" i="28"/>
  <c r="G465" i="3" s="1"/>
  <c r="K3" i="28"/>
  <c r="K12" i="28" s="1"/>
  <c r="G3" i="28"/>
  <c r="G12" i="28" s="1"/>
  <c r="N465" i="3"/>
  <c r="K353" i="2"/>
  <c r="X353" i="2" s="1"/>
  <c r="X347" i="2"/>
  <c r="F18" i="28"/>
  <c r="D179" i="3" s="1"/>
  <c r="I3" i="28"/>
  <c r="I12" i="28" s="1"/>
  <c r="G347" i="2"/>
  <c r="J33" i="28"/>
  <c r="H104" i="3"/>
  <c r="L104" i="3"/>
  <c r="C353" i="2"/>
  <c r="P353" i="2" s="1"/>
  <c r="P347" i="2"/>
  <c r="E353" i="2"/>
  <c r="R353" i="2" s="1"/>
  <c r="I353" i="2"/>
  <c r="V353" i="2" s="1"/>
  <c r="F31" i="28"/>
  <c r="D465" i="3" s="1"/>
  <c r="M35" i="28"/>
  <c r="K104" i="3"/>
  <c r="R347" i="2"/>
  <c r="E3" i="28"/>
  <c r="E12" i="28" s="1"/>
  <c r="L347" i="2"/>
  <c r="B353" i="2"/>
  <c r="O353" i="2" s="1"/>
  <c r="N454" i="3"/>
  <c r="M3" i="28"/>
  <c r="M12" i="28" s="1"/>
  <c r="M347" i="2"/>
  <c r="M353" i="2" s="1"/>
  <c r="Z353" i="2" s="1"/>
  <c r="O3" i="28"/>
  <c r="O12" i="28" s="1"/>
  <c r="M37" i="28"/>
  <c r="F353" i="2"/>
  <c r="S353" i="2" s="1"/>
  <c r="E35" i="28"/>
  <c r="C104" i="3"/>
  <c r="E33" i="28"/>
  <c r="G104" i="3"/>
  <c r="M33" i="28"/>
  <c r="E37" i="28"/>
  <c r="D347" i="2"/>
  <c r="H347" i="2"/>
  <c r="N186" i="3"/>
  <c r="D104" i="3"/>
  <c r="J104" i="3"/>
  <c r="D3" i="28"/>
  <c r="D12" i="28" s="1"/>
  <c r="B104" i="3"/>
  <c r="M104" i="3"/>
  <c r="I6" i="19"/>
  <c r="I11" i="19" s="1"/>
  <c r="I178" i="2"/>
  <c r="B180" i="2"/>
  <c r="O180" i="2" s="1"/>
  <c r="G6" i="19"/>
  <c r="G11" i="19" s="1"/>
  <c r="L6" i="19"/>
  <c r="L11" i="19" s="1"/>
  <c r="E21" i="19"/>
  <c r="C160" i="3" s="1"/>
  <c r="K21" i="19"/>
  <c r="I160" i="3" s="1"/>
  <c r="H31" i="19"/>
  <c r="F461" i="3" s="1"/>
  <c r="C178" i="2"/>
  <c r="P178" i="2" s="1"/>
  <c r="G179" i="2"/>
  <c r="T179" i="2" s="1"/>
  <c r="D41" i="19"/>
  <c r="D6" i="19"/>
  <c r="D11" i="19" s="1"/>
  <c r="H21" i="19"/>
  <c r="F160" i="3" s="1"/>
  <c r="M21" i="19"/>
  <c r="K160" i="3" s="1"/>
  <c r="K31" i="19"/>
  <c r="I461" i="3" s="1"/>
  <c r="O13" i="12"/>
  <c r="O14" i="12" s="1"/>
  <c r="O16" i="12"/>
  <c r="M124" i="2"/>
  <c r="Z124" i="2" s="1"/>
  <c r="G15" i="2"/>
  <c r="T15" i="2" s="1"/>
  <c r="F17" i="36"/>
  <c r="G127" i="2"/>
  <c r="T127" i="2" s="1"/>
  <c r="G161" i="3"/>
  <c r="J17" i="36"/>
  <c r="C127" i="2"/>
  <c r="P127" i="2" s="1"/>
  <c r="H127" i="2"/>
  <c r="U127" i="2" s="1"/>
  <c r="H161" i="3"/>
  <c r="N17" i="36"/>
  <c r="K127" i="2"/>
  <c r="X127" i="2" s="1"/>
  <c r="C161" i="3"/>
  <c r="L161" i="3"/>
  <c r="E15" i="36"/>
  <c r="M161" i="3"/>
  <c r="I161" i="3"/>
  <c r="I15" i="36"/>
  <c r="J127" i="2"/>
  <c r="W127" i="2" s="1"/>
  <c r="E161" i="3"/>
  <c r="K161" i="3"/>
  <c r="M15" i="36"/>
  <c r="D21" i="18"/>
  <c r="G240" i="2"/>
  <c r="G242" i="2" s="1"/>
  <c r="T242" i="2" s="1"/>
  <c r="H240" i="2"/>
  <c r="H242" i="2" s="1"/>
  <c r="U242" i="2" s="1"/>
  <c r="M21" i="18"/>
  <c r="C240" i="2"/>
  <c r="P240" i="2" s="1"/>
  <c r="J240" i="2"/>
  <c r="J242" i="2" s="1"/>
  <c r="W242" i="2" s="1"/>
  <c r="F240" i="2"/>
  <c r="K240" i="2"/>
  <c r="K242" i="2" s="1"/>
  <c r="X242" i="2" s="1"/>
  <c r="G12" i="3"/>
  <c r="H59" i="38"/>
  <c r="F362" i="3" s="1"/>
  <c r="L33" i="38"/>
  <c r="J68" i="3" s="1"/>
  <c r="E31" i="2"/>
  <c r="R31" i="2" s="1"/>
  <c r="H63" i="38"/>
  <c r="F373" i="3" s="1"/>
  <c r="D71" i="38"/>
  <c r="B407" i="3" s="1"/>
  <c r="F3" i="38"/>
  <c r="F21" i="38" s="1"/>
  <c r="F31" i="2"/>
  <c r="S31" i="2" s="1"/>
  <c r="H47" i="38"/>
  <c r="F203" i="3" s="1"/>
  <c r="E33" i="38"/>
  <c r="C68" i="3" s="1"/>
  <c r="D33" i="38"/>
  <c r="B68" i="3" s="1"/>
  <c r="I63" i="38"/>
  <c r="G373" i="3" s="1"/>
  <c r="E71" i="38"/>
  <c r="C407" i="3" s="1"/>
  <c r="M24" i="38"/>
  <c r="K32" i="2"/>
  <c r="X32" i="2" s="1"/>
  <c r="I71" i="38"/>
  <c r="G407" i="3" s="1"/>
  <c r="I22" i="38"/>
  <c r="G31" i="2"/>
  <c r="T31" i="2" s="1"/>
  <c r="M59" i="38"/>
  <c r="K362" i="3" s="1"/>
  <c r="M51" i="38"/>
  <c r="K208" i="3" s="1"/>
  <c r="E47" i="38"/>
  <c r="C203" i="3" s="1"/>
  <c r="M63" i="38"/>
  <c r="K373" i="3" s="1"/>
  <c r="B31" i="2"/>
  <c r="O31" i="2" s="1"/>
  <c r="H51" i="38"/>
  <c r="F208" i="3" s="1"/>
  <c r="D63" i="38"/>
  <c r="B373" i="3" s="1"/>
  <c r="L67" i="38"/>
  <c r="J384" i="3" s="1"/>
  <c r="J47" i="38"/>
  <c r="H203" i="3" s="1"/>
  <c r="N203" i="3"/>
  <c r="L55" i="38"/>
  <c r="J280" i="3" s="1"/>
  <c r="G113" i="3"/>
  <c r="I15" i="21"/>
  <c r="I17" i="21"/>
  <c r="E17" i="21"/>
  <c r="E15" i="21"/>
  <c r="C113" i="3"/>
  <c r="M17" i="21"/>
  <c r="K113" i="3"/>
  <c r="M15" i="21"/>
  <c r="B150" i="2"/>
  <c r="O150" i="2" s="1"/>
  <c r="F150" i="2"/>
  <c r="S150" i="2" s="1"/>
  <c r="F6" i="20"/>
  <c r="F7" i="20" s="1"/>
  <c r="J6" i="20"/>
  <c r="J7" i="20" s="1"/>
  <c r="N6" i="20"/>
  <c r="N7" i="20" s="1"/>
  <c r="O13" i="21"/>
  <c r="O9" i="21"/>
  <c r="M113" i="3" s="1"/>
  <c r="O6" i="20"/>
  <c r="O7" i="20" s="1"/>
  <c r="G11" i="85"/>
  <c r="K11" i="85"/>
  <c r="D11" i="85"/>
  <c r="H11" i="85"/>
  <c r="L11" i="85"/>
  <c r="E13" i="85"/>
  <c r="I13" i="85"/>
  <c r="M13" i="85"/>
  <c r="F15" i="85"/>
  <c r="J15" i="85"/>
  <c r="N15" i="85"/>
  <c r="F13" i="85"/>
  <c r="J13" i="85"/>
  <c r="N13" i="85"/>
  <c r="G15" i="85"/>
  <c r="K15" i="85"/>
  <c r="N458" i="3"/>
  <c r="O11" i="85"/>
  <c r="O13" i="85"/>
  <c r="I17" i="56"/>
  <c r="I19" i="56"/>
  <c r="D370" i="3"/>
  <c r="K17" i="55"/>
  <c r="I370" i="3"/>
  <c r="K19" i="55"/>
  <c r="F19" i="56"/>
  <c r="F17" i="56"/>
  <c r="J19" i="56"/>
  <c r="J17" i="56"/>
  <c r="H370" i="3"/>
  <c r="M17" i="56"/>
  <c r="M19" i="56"/>
  <c r="C370" i="3"/>
  <c r="E17" i="56"/>
  <c r="E19" i="56"/>
  <c r="G5" i="56"/>
  <c r="K5" i="56"/>
  <c r="E15" i="56"/>
  <c r="I15" i="56"/>
  <c r="M15" i="56"/>
  <c r="M144" i="2"/>
  <c r="Z144" i="2" s="1"/>
  <c r="D5" i="56"/>
  <c r="H5" i="56"/>
  <c r="L5" i="56"/>
  <c r="F15" i="56"/>
  <c r="N15" i="56"/>
  <c r="C479" i="3"/>
  <c r="G479" i="3"/>
  <c r="K479" i="3"/>
  <c r="D10" i="55"/>
  <c r="D11" i="55" s="1"/>
  <c r="H10" i="55"/>
  <c r="H11" i="55" s="1"/>
  <c r="L10" i="55"/>
  <c r="L11" i="55" s="1"/>
  <c r="O9" i="56"/>
  <c r="E15" i="15"/>
  <c r="G261" i="3"/>
  <c r="M15" i="15"/>
  <c r="L15" i="15"/>
  <c r="L140" i="2"/>
  <c r="Y140" i="2" s="1"/>
  <c r="D263" i="3"/>
  <c r="F140" i="2"/>
  <c r="S140" i="2" s="1"/>
  <c r="M13" i="15"/>
  <c r="F19" i="15"/>
  <c r="K15" i="15"/>
  <c r="E19" i="15"/>
  <c r="G13" i="15"/>
  <c r="J140" i="2"/>
  <c r="W140" i="2" s="1"/>
  <c r="B140" i="2"/>
  <c r="O140" i="2" s="1"/>
  <c r="B261" i="3"/>
  <c r="M261" i="3"/>
  <c r="D19" i="15"/>
  <c r="H19" i="15"/>
  <c r="G15" i="15"/>
  <c r="M19" i="15"/>
  <c r="D21" i="16"/>
  <c r="H21" i="16"/>
  <c r="L21" i="16"/>
  <c r="D13" i="16"/>
  <c r="B262" i="3" s="1"/>
  <c r="I140" i="2"/>
  <c r="V140" i="2" s="1"/>
  <c r="E140" i="2"/>
  <c r="R140" i="2" s="1"/>
  <c r="E263" i="3"/>
  <c r="I263" i="3"/>
  <c r="M263" i="3"/>
  <c r="D13" i="15"/>
  <c r="H15" i="15"/>
  <c r="E21" i="16"/>
  <c r="I21" i="16"/>
  <c r="M21" i="16"/>
  <c r="H13" i="16"/>
  <c r="L19" i="15"/>
  <c r="L23" i="15" s="1"/>
  <c r="B263" i="3"/>
  <c r="F263" i="3"/>
  <c r="J263" i="3"/>
  <c r="K13" i="15"/>
  <c r="J21" i="16"/>
  <c r="L13" i="16"/>
  <c r="L23" i="16" s="1"/>
  <c r="I19" i="15"/>
  <c r="I25" i="15" s="1"/>
  <c r="J19" i="15"/>
  <c r="N19" i="15"/>
  <c r="I5" i="16"/>
  <c r="N21" i="16"/>
  <c r="O21" i="16"/>
  <c r="E5" i="16"/>
  <c r="M5" i="16"/>
  <c r="F21" i="16"/>
  <c r="J13" i="15"/>
  <c r="F15" i="15"/>
  <c r="J15" i="15"/>
  <c r="N15" i="15"/>
  <c r="G13" i="16"/>
  <c r="E262" i="3" s="1"/>
  <c r="K13" i="16"/>
  <c r="I262" i="3" s="1"/>
  <c r="O19" i="15"/>
  <c r="O25" i="15" s="1"/>
  <c r="O5" i="16"/>
  <c r="E5" i="54"/>
  <c r="G11" i="54"/>
  <c r="K11" i="54"/>
  <c r="D13" i="54"/>
  <c r="H13" i="54"/>
  <c r="L13" i="54"/>
  <c r="E15" i="54"/>
  <c r="I15" i="54"/>
  <c r="M15" i="54"/>
  <c r="I5" i="54"/>
  <c r="F11" i="54"/>
  <c r="J11" i="54"/>
  <c r="N11" i="54"/>
  <c r="D237" i="3"/>
  <c r="H237" i="3"/>
  <c r="L237" i="3"/>
  <c r="N238" i="3"/>
  <c r="E13" i="54"/>
  <c r="I13" i="54"/>
  <c r="M13" i="54"/>
  <c r="F15" i="54"/>
  <c r="J15" i="54"/>
  <c r="N15" i="54"/>
  <c r="M5" i="54"/>
  <c r="O11" i="54"/>
  <c r="O13" i="54"/>
  <c r="G11" i="51"/>
  <c r="K11" i="51"/>
  <c r="E5" i="51"/>
  <c r="I5" i="51"/>
  <c r="M5" i="51"/>
  <c r="J11" i="51"/>
  <c r="D67" i="3"/>
  <c r="H67" i="3"/>
  <c r="L67" i="3"/>
  <c r="E13" i="51"/>
  <c r="I13" i="51"/>
  <c r="M13" i="51"/>
  <c r="F15" i="51"/>
  <c r="J15" i="51"/>
  <c r="N15" i="51"/>
  <c r="F11" i="51"/>
  <c r="N11" i="51"/>
  <c r="O11" i="51"/>
  <c r="O13" i="51"/>
  <c r="E11" i="44"/>
  <c r="I11" i="44"/>
  <c r="M11" i="44"/>
  <c r="B131" i="2"/>
  <c r="O131" i="2" s="1"/>
  <c r="F131" i="2"/>
  <c r="S131" i="2" s="1"/>
  <c r="F11" i="44"/>
  <c r="J11" i="44"/>
  <c r="N11" i="44"/>
  <c r="G13" i="44"/>
  <c r="K13" i="44"/>
  <c r="D15" i="44"/>
  <c r="H15" i="44"/>
  <c r="L15" i="44"/>
  <c r="C226" i="3"/>
  <c r="G226" i="3"/>
  <c r="K226" i="3"/>
  <c r="D13" i="44"/>
  <c r="H13" i="44"/>
  <c r="L13" i="44"/>
  <c r="E15" i="44"/>
  <c r="I15" i="44"/>
  <c r="M15" i="44"/>
  <c r="M226" i="3"/>
  <c r="O11" i="44"/>
  <c r="O13" i="44"/>
  <c r="D19" i="41"/>
  <c r="B103" i="3"/>
  <c r="D17" i="41"/>
  <c r="H19" i="41"/>
  <c r="K19" i="42"/>
  <c r="K17" i="42"/>
  <c r="B130" i="2"/>
  <c r="O130" i="2" s="1"/>
  <c r="F130" i="2"/>
  <c r="S130" i="2" s="1"/>
  <c r="J130" i="2"/>
  <c r="W130" i="2" s="1"/>
  <c r="F9" i="41"/>
  <c r="J9" i="41"/>
  <c r="N9" i="41"/>
  <c r="G15" i="41"/>
  <c r="K15" i="41"/>
  <c r="D7" i="42"/>
  <c r="D9" i="42" s="1"/>
  <c r="H7" i="42"/>
  <c r="H9" i="42" s="1"/>
  <c r="L7" i="42"/>
  <c r="L9" i="42" s="1"/>
  <c r="F13" i="42"/>
  <c r="F19" i="42" s="1"/>
  <c r="J13" i="42"/>
  <c r="J17" i="42" s="1"/>
  <c r="N13" i="42"/>
  <c r="N19" i="42" s="1"/>
  <c r="E9" i="41"/>
  <c r="M9" i="41"/>
  <c r="D15" i="41"/>
  <c r="H15" i="41"/>
  <c r="L15" i="41"/>
  <c r="E7" i="42"/>
  <c r="E9" i="42" s="1"/>
  <c r="I7" i="42"/>
  <c r="I9" i="42" s="1"/>
  <c r="M7" i="42"/>
  <c r="M9" i="42" s="1"/>
  <c r="I9" i="41"/>
  <c r="O5" i="41"/>
  <c r="O15" i="41"/>
  <c r="M3" i="30"/>
  <c r="M8" i="30" s="1"/>
  <c r="E14" i="30"/>
  <c r="C134" i="3" s="1"/>
  <c r="M14" i="30"/>
  <c r="K134" i="3" s="1"/>
  <c r="I3" i="30"/>
  <c r="I8" i="30" s="1"/>
  <c r="F14" i="30"/>
  <c r="N14" i="30"/>
  <c r="N30" i="30" s="1"/>
  <c r="E3" i="30"/>
  <c r="E8" i="30" s="1"/>
  <c r="E30" i="30"/>
  <c r="L102" i="2"/>
  <c r="Y102" i="2" s="1"/>
  <c r="N336" i="3"/>
  <c r="U100" i="2"/>
  <c r="Y100" i="2"/>
  <c r="N134" i="3"/>
  <c r="N335" i="3"/>
  <c r="N416" i="3"/>
  <c r="J436" i="2"/>
  <c r="W436" i="2" s="1"/>
  <c r="G42" i="81"/>
  <c r="E502" i="3" s="1"/>
  <c r="F24" i="81"/>
  <c r="D350" i="3" s="1"/>
  <c r="J24" i="81"/>
  <c r="H350" i="3" s="1"/>
  <c r="N42" i="81"/>
  <c r="L502" i="3" s="1"/>
  <c r="K24" i="81"/>
  <c r="I350" i="3" s="1"/>
  <c r="H42" i="81"/>
  <c r="F502" i="3" s="1"/>
  <c r="I436" i="2"/>
  <c r="V436" i="2" s="1"/>
  <c r="G24" i="81"/>
  <c r="E350" i="3" s="1"/>
  <c r="L24" i="81"/>
  <c r="J350" i="3" s="1"/>
  <c r="E24" i="81"/>
  <c r="C350" i="3" s="1"/>
  <c r="I24" i="81"/>
  <c r="G350" i="3" s="1"/>
  <c r="M24" i="81"/>
  <c r="K350" i="3" s="1"/>
  <c r="I377" i="3"/>
  <c r="J42" i="81"/>
  <c r="H502" i="3" s="1"/>
  <c r="F42" i="81"/>
  <c r="D502" i="3" s="1"/>
  <c r="K42" i="81"/>
  <c r="I502" i="3" s="1"/>
  <c r="I42" i="81"/>
  <c r="G502" i="3" s="1"/>
  <c r="H44" i="81"/>
  <c r="F15" i="3"/>
  <c r="D46" i="81"/>
  <c r="B436" i="2"/>
  <c r="O436" i="2" s="1"/>
  <c r="F436" i="2"/>
  <c r="S436" i="2" s="1"/>
  <c r="E434" i="2"/>
  <c r="R434" i="2" s="1"/>
  <c r="H3" i="81"/>
  <c r="H10" i="81" s="1"/>
  <c r="K3" i="81"/>
  <c r="K10" i="81" s="1"/>
  <c r="N16" i="3"/>
  <c r="N15" i="3"/>
  <c r="D3" i="81"/>
  <c r="D10" i="81" s="1"/>
  <c r="L3" i="81"/>
  <c r="L10" i="81" s="1"/>
  <c r="O42" i="81"/>
  <c r="M502" i="3" s="1"/>
  <c r="M3" i="81"/>
  <c r="M10" i="81" s="1"/>
  <c r="K434" i="2"/>
  <c r="X434" i="2" s="1"/>
  <c r="D434" i="2"/>
  <c r="Q434" i="2" s="1"/>
  <c r="F3" i="81"/>
  <c r="F10" i="81" s="1"/>
  <c r="H434" i="2"/>
  <c r="U434" i="2" s="1"/>
  <c r="J3" i="81"/>
  <c r="J10" i="81" s="1"/>
  <c r="L434" i="2"/>
  <c r="Y434" i="2" s="1"/>
  <c r="N3" i="81"/>
  <c r="N10" i="81" s="1"/>
  <c r="E3" i="81"/>
  <c r="E10" i="81" s="1"/>
  <c r="C434" i="2"/>
  <c r="P434" i="2" s="1"/>
  <c r="I3" i="81"/>
  <c r="I10" i="81" s="1"/>
  <c r="G434" i="2"/>
  <c r="T434" i="2" s="1"/>
  <c r="C377" i="3"/>
  <c r="G377" i="3"/>
  <c r="K377" i="3"/>
  <c r="E48" i="81"/>
  <c r="D377" i="3"/>
  <c r="H377" i="3"/>
  <c r="L377" i="3"/>
  <c r="O3" i="81"/>
  <c r="O10" i="81" s="1"/>
  <c r="M434" i="2"/>
  <c r="Z434" i="2" s="1"/>
  <c r="M377" i="3"/>
  <c r="N141" i="3"/>
  <c r="N395" i="3"/>
  <c r="N143" i="3"/>
  <c r="N394" i="3"/>
  <c r="N397" i="3"/>
  <c r="N142" i="3"/>
  <c r="N396" i="3"/>
  <c r="N378" i="3"/>
  <c r="Y432" i="2"/>
  <c r="R432" i="2"/>
  <c r="V432" i="2"/>
  <c r="Z432" i="2"/>
  <c r="Q432" i="2"/>
  <c r="O432" i="2"/>
  <c r="S432" i="2"/>
  <c r="W432" i="2"/>
  <c r="P432" i="2"/>
  <c r="T432" i="2"/>
  <c r="X432" i="2"/>
  <c r="H216" i="2"/>
  <c r="U204" i="2"/>
  <c r="Y204" i="2"/>
  <c r="D31" i="31"/>
  <c r="B46" i="3" s="1"/>
  <c r="E76" i="31"/>
  <c r="E78" i="31"/>
  <c r="E80" i="31"/>
  <c r="C44" i="3"/>
  <c r="M76" i="31"/>
  <c r="M78" i="31"/>
  <c r="M80" i="31"/>
  <c r="K44" i="3"/>
  <c r="I22" i="31"/>
  <c r="I6" i="31"/>
  <c r="I25" i="31" s="1"/>
  <c r="I21" i="31"/>
  <c r="C217" i="2"/>
  <c r="P217" i="2" s="1"/>
  <c r="G217" i="2"/>
  <c r="T217" i="2" s="1"/>
  <c r="K217" i="2"/>
  <c r="X217" i="2" s="1"/>
  <c r="D24" i="31"/>
  <c r="B218" i="2"/>
  <c r="O218" i="2" s="1"/>
  <c r="J44" i="3"/>
  <c r="G44" i="3"/>
  <c r="E22" i="31"/>
  <c r="M22" i="31"/>
  <c r="M6" i="31"/>
  <c r="M25" i="31" s="1"/>
  <c r="M21" i="31"/>
  <c r="O204" i="2"/>
  <c r="S204" i="2"/>
  <c r="W204" i="2"/>
  <c r="E21" i="31"/>
  <c r="M216" i="2"/>
  <c r="Z216" i="2" s="1"/>
  <c r="F44" i="3"/>
  <c r="J68" i="31"/>
  <c r="H417" i="3" s="1"/>
  <c r="J6" i="31"/>
  <c r="J25" i="31" s="1"/>
  <c r="J21" i="31"/>
  <c r="B44" i="3"/>
  <c r="N44" i="3" s="1"/>
  <c r="G22" i="31"/>
  <c r="N349" i="3"/>
  <c r="Z209" i="2"/>
  <c r="B216" i="3"/>
  <c r="J216" i="3"/>
  <c r="E3" i="75"/>
  <c r="E11" i="75" s="1"/>
  <c r="C287" i="2"/>
  <c r="C292" i="2" s="1"/>
  <c r="P292" i="2" s="1"/>
  <c r="M3" i="75"/>
  <c r="M11" i="75" s="1"/>
  <c r="K287" i="2"/>
  <c r="K292" i="2" s="1"/>
  <c r="X292" i="2" s="1"/>
  <c r="E32" i="75"/>
  <c r="I32" i="75"/>
  <c r="M32" i="75"/>
  <c r="F216" i="3"/>
  <c r="I3" i="75"/>
  <c r="I11" i="75" s="1"/>
  <c r="G287" i="2"/>
  <c r="G292" i="2" s="1"/>
  <c r="T292" i="2" s="1"/>
  <c r="J34" i="75"/>
  <c r="D216" i="3"/>
  <c r="H216" i="3"/>
  <c r="J32" i="75"/>
  <c r="L216" i="3"/>
  <c r="I216" i="3"/>
  <c r="E287" i="2"/>
  <c r="E292" i="2" s="1"/>
  <c r="R292" i="2" s="1"/>
  <c r="I287" i="2"/>
  <c r="V287" i="2" s="1"/>
  <c r="B289" i="2"/>
  <c r="O289" i="2" s="1"/>
  <c r="F289" i="2"/>
  <c r="S289" i="2" s="1"/>
  <c r="J289" i="2"/>
  <c r="W289" i="2" s="1"/>
  <c r="E36" i="75"/>
  <c r="I36" i="75"/>
  <c r="M36" i="75"/>
  <c r="C13" i="3"/>
  <c r="G13" i="3"/>
  <c r="K13" i="3"/>
  <c r="O24" i="75"/>
  <c r="M348" i="3" s="1"/>
  <c r="E34" i="75"/>
  <c r="I34" i="75"/>
  <c r="M34" i="75"/>
  <c r="F36" i="75"/>
  <c r="N347" i="3"/>
  <c r="O3" i="75"/>
  <c r="O11" i="75" s="1"/>
  <c r="M288" i="2"/>
  <c r="Z288" i="2" s="1"/>
  <c r="O287" i="2"/>
  <c r="S287" i="2"/>
  <c r="W287" i="2"/>
  <c r="Z287" i="2"/>
  <c r="Q287" i="2"/>
  <c r="U287" i="2"/>
  <c r="Y287" i="2"/>
  <c r="E102" i="2"/>
  <c r="R102" i="2" s="1"/>
  <c r="R101" i="2"/>
  <c r="I102" i="2"/>
  <c r="V102" i="2" s="1"/>
  <c r="V101" i="2"/>
  <c r="K26" i="30"/>
  <c r="K28" i="30"/>
  <c r="I122" i="3"/>
  <c r="K30" i="30"/>
  <c r="P100" i="2"/>
  <c r="X100" i="2"/>
  <c r="H134" i="3"/>
  <c r="J30" i="30"/>
  <c r="D28" i="30"/>
  <c r="D26" i="30"/>
  <c r="D30" i="30"/>
  <c r="B122" i="3"/>
  <c r="N122" i="3" s="1"/>
  <c r="H28" i="30"/>
  <c r="F122" i="3"/>
  <c r="H30" i="30"/>
  <c r="H26" i="30"/>
  <c r="L28" i="30"/>
  <c r="L30" i="30"/>
  <c r="J122" i="3"/>
  <c r="L26" i="30"/>
  <c r="B102" i="2"/>
  <c r="O102" i="2" s="1"/>
  <c r="O100" i="2"/>
  <c r="S100" i="2"/>
  <c r="F102" i="2"/>
  <c r="S102" i="2" s="1"/>
  <c r="W100" i="2"/>
  <c r="J102" i="2"/>
  <c r="W102" i="2" s="1"/>
  <c r="G26" i="30"/>
  <c r="E122" i="3"/>
  <c r="G28" i="30"/>
  <c r="G30" i="30"/>
  <c r="I30" i="30"/>
  <c r="T100" i="2"/>
  <c r="D134" i="3"/>
  <c r="F30" i="30"/>
  <c r="I28" i="30"/>
  <c r="G3" i="30"/>
  <c r="G8" i="30" s="1"/>
  <c r="K3" i="30"/>
  <c r="K8" i="30" s="1"/>
  <c r="E26" i="30"/>
  <c r="I26" i="30"/>
  <c r="M26" i="30"/>
  <c r="F28" i="30"/>
  <c r="J28" i="30"/>
  <c r="M28" i="30"/>
  <c r="N243" i="3"/>
  <c r="C101" i="2"/>
  <c r="P101" i="2" s="1"/>
  <c r="G101" i="2"/>
  <c r="T101" i="2" s="1"/>
  <c r="K101" i="2"/>
  <c r="X101" i="2" s="1"/>
  <c r="C122" i="3"/>
  <c r="G122" i="3"/>
  <c r="K122" i="3"/>
  <c r="D3" i="30"/>
  <c r="D8" i="30" s="1"/>
  <c r="H3" i="30"/>
  <c r="H8" i="30" s="1"/>
  <c r="L3" i="30"/>
  <c r="L8" i="30" s="1"/>
  <c r="F26" i="30"/>
  <c r="J26" i="30"/>
  <c r="E28" i="30"/>
  <c r="M100" i="2"/>
  <c r="M102" i="2" s="1"/>
  <c r="Z102" i="2" s="1"/>
  <c r="O3" i="30"/>
  <c r="O8" i="30" s="1"/>
  <c r="O28" i="30"/>
  <c r="O30" i="30"/>
  <c r="M499" i="3"/>
  <c r="O26" i="30"/>
  <c r="N236" i="3"/>
  <c r="X159" i="2"/>
  <c r="N207" i="3"/>
  <c r="P159" i="2"/>
  <c r="T159" i="2"/>
  <c r="Z159" i="2"/>
  <c r="N18" i="3"/>
  <c r="N116" i="3"/>
  <c r="F30" i="2"/>
  <c r="F33" i="2" s="1"/>
  <c r="S33" i="2" s="1"/>
  <c r="H55" i="38"/>
  <c r="F280" i="3" s="1"/>
  <c r="M55" i="38"/>
  <c r="K280" i="3" s="1"/>
  <c r="E63" i="38"/>
  <c r="C373" i="3" s="1"/>
  <c r="H67" i="38"/>
  <c r="F384" i="3" s="1"/>
  <c r="M67" i="38"/>
  <c r="K384" i="3" s="1"/>
  <c r="G80" i="38"/>
  <c r="E519" i="3" s="1"/>
  <c r="M80" i="38"/>
  <c r="K519" i="3" s="1"/>
  <c r="G59" i="38"/>
  <c r="E362" i="3" s="1"/>
  <c r="M23" i="38"/>
  <c r="K51" i="38"/>
  <c r="I208" i="3" s="1"/>
  <c r="D59" i="38"/>
  <c r="B362" i="3" s="1"/>
  <c r="N362" i="3" s="1"/>
  <c r="D67" i="38"/>
  <c r="B384" i="3" s="1"/>
  <c r="K31" i="2"/>
  <c r="X31" i="2" s="1"/>
  <c r="K67" i="38"/>
  <c r="I384" i="3" s="1"/>
  <c r="K30" i="2"/>
  <c r="X30" i="2" s="1"/>
  <c r="E24" i="38"/>
  <c r="E23" i="38"/>
  <c r="C32" i="2"/>
  <c r="P32" i="2" s="1"/>
  <c r="J3" i="38"/>
  <c r="J21" i="38" s="1"/>
  <c r="K18" i="3"/>
  <c r="O33" i="38"/>
  <c r="M68" i="3" s="1"/>
  <c r="N96" i="3"/>
  <c r="N469" i="3"/>
  <c r="O22" i="38"/>
  <c r="M31" i="2"/>
  <c r="Z31" i="2" s="1"/>
  <c r="O3" i="38"/>
  <c r="O21" i="38" s="1"/>
  <c r="G71" i="38"/>
  <c r="E407" i="3" s="1"/>
  <c r="K80" i="38"/>
  <c r="I519" i="3" s="1"/>
  <c r="O80" i="38"/>
  <c r="M519" i="3" s="1"/>
  <c r="O67" i="38"/>
  <c r="M384" i="3" s="1"/>
  <c r="O51" i="38"/>
  <c r="M208" i="3" s="1"/>
  <c r="G47" i="38"/>
  <c r="E203" i="3" s="1"/>
  <c r="G63" i="38"/>
  <c r="E373" i="3" s="1"/>
  <c r="K22" i="38"/>
  <c r="I31" i="2"/>
  <c r="V31" i="2" s="1"/>
  <c r="M30" i="2"/>
  <c r="Z30" i="2" s="1"/>
  <c r="I30" i="2"/>
  <c r="V30" i="2" s="1"/>
  <c r="N64" i="3"/>
  <c r="K3" i="38"/>
  <c r="K21" i="38" s="1"/>
  <c r="I23" i="38"/>
  <c r="G32" i="2"/>
  <c r="T32" i="2" s="1"/>
  <c r="I24" i="38"/>
  <c r="B30" i="2"/>
  <c r="O30" i="2" s="1"/>
  <c r="C30" i="2"/>
  <c r="V32" i="2"/>
  <c r="E22" i="38"/>
  <c r="N102" i="3"/>
  <c r="N167" i="3"/>
  <c r="K55" i="38"/>
  <c r="I280" i="3" s="1"/>
  <c r="N431" i="3"/>
  <c r="O71" i="38"/>
  <c r="M407" i="3" s="1"/>
  <c r="N118" i="3"/>
  <c r="L71" i="38"/>
  <c r="J407" i="3" s="1"/>
  <c r="D80" i="38"/>
  <c r="B519" i="3" s="1"/>
  <c r="I80" i="38"/>
  <c r="G519" i="3" s="1"/>
  <c r="H80" i="38"/>
  <c r="F519" i="3" s="1"/>
  <c r="L3" i="38"/>
  <c r="L6" i="38" s="1"/>
  <c r="L25" i="38" s="1"/>
  <c r="H33" i="38"/>
  <c r="F68" i="3" s="1"/>
  <c r="M33" i="38"/>
  <c r="L47" i="38"/>
  <c r="J203" i="3" s="1"/>
  <c r="D51" i="38"/>
  <c r="B208" i="3" s="1"/>
  <c r="I51" i="38"/>
  <c r="G208" i="3" s="1"/>
  <c r="D55" i="38"/>
  <c r="B280" i="3" s="1"/>
  <c r="I55" i="38"/>
  <c r="G280" i="3" s="1"/>
  <c r="L59" i="38"/>
  <c r="J362" i="3" s="1"/>
  <c r="L63" i="38"/>
  <c r="J373" i="3" s="1"/>
  <c r="I67" i="38"/>
  <c r="G384" i="3" s="1"/>
  <c r="H71" i="38"/>
  <c r="M71" i="38"/>
  <c r="K407" i="3" s="1"/>
  <c r="E80" i="38"/>
  <c r="C519" i="3" s="1"/>
  <c r="F22" i="38"/>
  <c r="D31" i="2"/>
  <c r="Q31" i="2" s="1"/>
  <c r="J22" i="38"/>
  <c r="H31" i="2"/>
  <c r="U31" i="2" s="1"/>
  <c r="F23" i="38"/>
  <c r="F24" i="38"/>
  <c r="D32" i="2"/>
  <c r="Q32" i="2" s="1"/>
  <c r="J24" i="38"/>
  <c r="J23" i="38"/>
  <c r="H32" i="2"/>
  <c r="U32" i="2" s="1"/>
  <c r="N21" i="38"/>
  <c r="N6" i="38"/>
  <c r="N25" i="38" s="1"/>
  <c r="N22" i="38"/>
  <c r="L31" i="2"/>
  <c r="Y31" i="2" s="1"/>
  <c r="N23" i="38"/>
  <c r="N24" i="38"/>
  <c r="L32" i="2"/>
  <c r="Y32" i="2" s="1"/>
  <c r="H30" i="2"/>
  <c r="U18" i="2"/>
  <c r="P18" i="2"/>
  <c r="I68" i="3"/>
  <c r="E18" i="2"/>
  <c r="G3" i="38"/>
  <c r="O22" i="2"/>
  <c r="J71" i="38"/>
  <c r="H407" i="3" s="1"/>
  <c r="N63" i="38"/>
  <c r="L373" i="3" s="1"/>
  <c r="L18" i="2"/>
  <c r="J30" i="2"/>
  <c r="D18" i="3"/>
  <c r="L18" i="3"/>
  <c r="H3" i="38"/>
  <c r="M3" i="38"/>
  <c r="I3" i="38"/>
  <c r="E3" i="38"/>
  <c r="G30" i="2"/>
  <c r="F71" i="38"/>
  <c r="D407" i="3" s="1"/>
  <c r="N71" i="38"/>
  <c r="L407" i="3" s="1"/>
  <c r="F63" i="38"/>
  <c r="D373" i="3" s="1"/>
  <c r="J63" i="38"/>
  <c r="H373" i="3" s="1"/>
  <c r="D18" i="2"/>
  <c r="S18" i="2"/>
  <c r="X18" i="2"/>
  <c r="D3" i="38"/>
  <c r="O55" i="38"/>
  <c r="M280" i="3" s="1"/>
  <c r="O63" i="38"/>
  <c r="K71" i="38"/>
  <c r="I407" i="3" s="1"/>
  <c r="L80" i="38"/>
  <c r="J519" i="3" s="1"/>
  <c r="G24" i="38"/>
  <c r="G23" i="38"/>
  <c r="K24" i="38"/>
  <c r="K23" i="38"/>
  <c r="O24" i="38"/>
  <c r="O23" i="38"/>
  <c r="D24" i="38"/>
  <c r="D23" i="38"/>
  <c r="H24" i="38"/>
  <c r="H23" i="38"/>
  <c r="L24" i="38"/>
  <c r="L23" i="38"/>
  <c r="V18" i="2"/>
  <c r="Z18" i="2"/>
  <c r="G5" i="43"/>
  <c r="G21" i="43" s="1"/>
  <c r="G19" i="43"/>
  <c r="K5" i="43"/>
  <c r="K21" i="43" s="1"/>
  <c r="K19" i="43"/>
  <c r="G70" i="43"/>
  <c r="G72" i="43"/>
  <c r="G74" i="43"/>
  <c r="K70" i="43"/>
  <c r="K72" i="43"/>
  <c r="K74" i="43"/>
  <c r="I253" i="2"/>
  <c r="V253" i="2" s="1"/>
  <c r="B253" i="2"/>
  <c r="B264" i="2" s="1"/>
  <c r="O264" i="2" s="1"/>
  <c r="F253" i="2"/>
  <c r="F264" i="2" s="1"/>
  <c r="J253" i="2"/>
  <c r="J264" i="2" s="1"/>
  <c r="D4" i="3"/>
  <c r="J3" i="43"/>
  <c r="E253" i="2"/>
  <c r="R253" i="2" s="1"/>
  <c r="G253" i="2"/>
  <c r="G264" i="2" s="1"/>
  <c r="E4" i="3"/>
  <c r="I4" i="3"/>
  <c r="M253" i="2"/>
  <c r="M264" i="2" s="1"/>
  <c r="O3" i="43"/>
  <c r="O74" i="43"/>
  <c r="O72" i="43"/>
  <c r="M19" i="3"/>
  <c r="O70" i="43"/>
  <c r="N429" i="3"/>
  <c r="N210" i="3"/>
  <c r="N154" i="3"/>
  <c r="N302" i="3"/>
  <c r="K264" i="2"/>
  <c r="X264" i="2" s="1"/>
  <c r="N301" i="3"/>
  <c r="H264" i="2"/>
  <c r="X255" i="2"/>
  <c r="C264" i="2"/>
  <c r="Y254" i="2"/>
  <c r="G5" i="36"/>
  <c r="K5" i="36"/>
  <c r="D13" i="36"/>
  <c r="L13" i="36"/>
  <c r="E13" i="36"/>
  <c r="I13" i="36"/>
  <c r="M13" i="36"/>
  <c r="F15" i="36"/>
  <c r="J15" i="36"/>
  <c r="N15" i="36"/>
  <c r="G17" i="36"/>
  <c r="K17" i="36"/>
  <c r="H13" i="36"/>
  <c r="M127" i="2"/>
  <c r="Z127" i="2" s="1"/>
  <c r="B161" i="3"/>
  <c r="F161" i="3"/>
  <c r="J161" i="3"/>
  <c r="G15" i="36"/>
  <c r="K15" i="36"/>
  <c r="D17" i="36"/>
  <c r="H17" i="36"/>
  <c r="L17" i="36"/>
  <c r="N165" i="3"/>
  <c r="N166" i="3"/>
  <c r="O15" i="36"/>
  <c r="L23" i="37"/>
  <c r="J71" i="3" s="1"/>
  <c r="D39" i="37"/>
  <c r="B260" i="3" s="1"/>
  <c r="M23" i="37"/>
  <c r="K71" i="3" s="1"/>
  <c r="H39" i="37"/>
  <c r="F260" i="3" s="1"/>
  <c r="D29" i="37"/>
  <c r="B158" i="3" s="1"/>
  <c r="N158" i="3" s="1"/>
  <c r="O39" i="37"/>
  <c r="M260" i="3" s="1"/>
  <c r="E29" i="37"/>
  <c r="C158" i="3" s="1"/>
  <c r="I19" i="37"/>
  <c r="I39" i="37"/>
  <c r="G260" i="3" s="1"/>
  <c r="H3" i="37"/>
  <c r="H5" i="37" s="1"/>
  <c r="H15" i="37" s="1"/>
  <c r="H33" i="37"/>
  <c r="F209" i="3" s="1"/>
  <c r="F250" i="2"/>
  <c r="S250" i="2" s="1"/>
  <c r="N33" i="37"/>
  <c r="L209" i="3" s="1"/>
  <c r="D14" i="37"/>
  <c r="B250" i="2"/>
  <c r="O250" i="2" s="1"/>
  <c r="D19" i="37"/>
  <c r="B31" i="3" s="1"/>
  <c r="L19" i="37"/>
  <c r="J31" i="3" s="1"/>
  <c r="I23" i="37"/>
  <c r="G71" i="3" s="1"/>
  <c r="M29" i="37"/>
  <c r="K158" i="3" s="1"/>
  <c r="G23" i="37"/>
  <c r="E71" i="3" s="1"/>
  <c r="K23" i="37"/>
  <c r="I71" i="3" s="1"/>
  <c r="O23" i="37"/>
  <c r="M71" i="3" s="1"/>
  <c r="J250" i="2"/>
  <c r="W250" i="2" s="1"/>
  <c r="I3" i="37"/>
  <c r="I13" i="37" s="1"/>
  <c r="M3" i="37"/>
  <c r="M13" i="37" s="1"/>
  <c r="E19" i="37"/>
  <c r="D23" i="37"/>
  <c r="B71" i="3" s="1"/>
  <c r="H29" i="37"/>
  <c r="F158" i="3" s="1"/>
  <c r="E33" i="37"/>
  <c r="C209" i="3" s="1"/>
  <c r="L33" i="37"/>
  <c r="J209" i="3" s="1"/>
  <c r="L39" i="37"/>
  <c r="J260" i="3" s="1"/>
  <c r="E3" i="37"/>
  <c r="E13" i="37" s="1"/>
  <c r="E23" i="37"/>
  <c r="C71" i="3" s="1"/>
  <c r="I29" i="37"/>
  <c r="G158" i="3" s="1"/>
  <c r="M33" i="37"/>
  <c r="K209" i="3" s="1"/>
  <c r="M39" i="37"/>
  <c r="K260" i="3" s="1"/>
  <c r="L3" i="37"/>
  <c r="L13" i="37" s="1"/>
  <c r="H23" i="37"/>
  <c r="F71" i="3" s="1"/>
  <c r="F29" i="37"/>
  <c r="D158" i="3" s="1"/>
  <c r="J39" i="37"/>
  <c r="H260" i="3" s="1"/>
  <c r="I7" i="34"/>
  <c r="G155" i="2"/>
  <c r="K156" i="2"/>
  <c r="X156" i="2" s="1"/>
  <c r="K155" i="2"/>
  <c r="C156" i="2"/>
  <c r="P156" i="2" s="1"/>
  <c r="D7" i="34"/>
  <c r="B155" i="2"/>
  <c r="O155" i="2" s="1"/>
  <c r="L7" i="34"/>
  <c r="J155" i="2"/>
  <c r="W155" i="2" s="1"/>
  <c r="F7" i="34"/>
  <c r="N7" i="34"/>
  <c r="L5" i="34"/>
  <c r="L9" i="34" s="1"/>
  <c r="C155" i="2"/>
  <c r="C157" i="2" s="1"/>
  <c r="H155" i="2"/>
  <c r="L155" i="2"/>
  <c r="G156" i="2"/>
  <c r="T156" i="2" s="1"/>
  <c r="H43" i="3"/>
  <c r="D155" i="2"/>
  <c r="J156" i="2"/>
  <c r="W156" i="2" s="1"/>
  <c r="J7" i="34"/>
  <c r="I156" i="2"/>
  <c r="V156" i="2" s="1"/>
  <c r="K8" i="34"/>
  <c r="G5" i="34"/>
  <c r="G9" i="34" s="1"/>
  <c r="G7" i="34"/>
  <c r="K5" i="34"/>
  <c r="K9" i="34" s="1"/>
  <c r="K7" i="34"/>
  <c r="D8" i="34"/>
  <c r="D5" i="34"/>
  <c r="D9" i="34" s="1"/>
  <c r="B389" i="3"/>
  <c r="N389" i="3" s="1"/>
  <c r="D27" i="34"/>
  <c r="F389" i="3"/>
  <c r="H27" i="34"/>
  <c r="J389" i="3"/>
  <c r="L27" i="34"/>
  <c r="M156" i="2"/>
  <c r="Z156" i="2" s="1"/>
  <c r="O8" i="34"/>
  <c r="I157" i="2"/>
  <c r="V157" i="2" s="1"/>
  <c r="E31" i="34"/>
  <c r="E29" i="34"/>
  <c r="E27" i="34"/>
  <c r="I31" i="34"/>
  <c r="I27" i="34"/>
  <c r="I29" i="34"/>
  <c r="M31" i="34"/>
  <c r="M27" i="34"/>
  <c r="M29" i="34"/>
  <c r="N330" i="3"/>
  <c r="E156" i="2"/>
  <c r="R156" i="2" s="1"/>
  <c r="G8" i="34"/>
  <c r="H8" i="34"/>
  <c r="H5" i="34"/>
  <c r="H9" i="34" s="1"/>
  <c r="F31" i="34"/>
  <c r="F29" i="34"/>
  <c r="D389" i="3"/>
  <c r="J29" i="34"/>
  <c r="H389" i="3"/>
  <c r="J31" i="34"/>
  <c r="L389" i="3"/>
  <c r="N29" i="34"/>
  <c r="N31" i="34"/>
  <c r="D156" i="2"/>
  <c r="Q156" i="2" s="1"/>
  <c r="F8" i="34"/>
  <c r="H156" i="2"/>
  <c r="U156" i="2" s="1"/>
  <c r="J8" i="34"/>
  <c r="N8" i="34"/>
  <c r="L156" i="2"/>
  <c r="Y156" i="2" s="1"/>
  <c r="O31" i="34"/>
  <c r="E43" i="3"/>
  <c r="E5" i="34"/>
  <c r="E9" i="34" s="1"/>
  <c r="I5" i="34"/>
  <c r="I9" i="34" s="1"/>
  <c r="M5" i="34"/>
  <c r="M9" i="34" s="1"/>
  <c r="G31" i="34"/>
  <c r="K31" i="34"/>
  <c r="G157" i="2"/>
  <c r="T157" i="2" s="1"/>
  <c r="B43" i="3"/>
  <c r="N43" i="3" s="1"/>
  <c r="F43" i="3"/>
  <c r="J43" i="3"/>
  <c r="L8" i="34"/>
  <c r="G29" i="34"/>
  <c r="K29" i="34"/>
  <c r="D31" i="34"/>
  <c r="H31" i="34"/>
  <c r="L31" i="34"/>
  <c r="F155" i="2"/>
  <c r="F157" i="2" s="1"/>
  <c r="I43" i="3"/>
  <c r="M132" i="3"/>
  <c r="M155" i="2"/>
  <c r="Z155" i="2" s="1"/>
  <c r="O5" i="34"/>
  <c r="O9" i="34" s="1"/>
  <c r="O27" i="34"/>
  <c r="O29" i="34"/>
  <c r="N115" i="3"/>
  <c r="N151" i="3"/>
  <c r="T155" i="2"/>
  <c r="V155" i="2"/>
  <c r="Q155" i="2"/>
  <c r="U155" i="2"/>
  <c r="Y155" i="2"/>
  <c r="G17" i="33"/>
  <c r="E112" i="3" s="1"/>
  <c r="F344" i="2"/>
  <c r="S344" i="2" s="1"/>
  <c r="K344" i="2"/>
  <c r="X344" i="2" s="1"/>
  <c r="I21" i="33"/>
  <c r="G289" i="3" s="1"/>
  <c r="F343" i="2"/>
  <c r="D35" i="33"/>
  <c r="N31" i="33"/>
  <c r="L17" i="33"/>
  <c r="J112" i="3" s="1"/>
  <c r="L21" i="33"/>
  <c r="J289" i="3" s="1"/>
  <c r="E21" i="33"/>
  <c r="C289" i="3" s="1"/>
  <c r="K17" i="33"/>
  <c r="I112" i="3" s="1"/>
  <c r="G5" i="33"/>
  <c r="G9" i="33" s="1"/>
  <c r="J31" i="33"/>
  <c r="H17" i="33"/>
  <c r="F112" i="3" s="1"/>
  <c r="H21" i="33"/>
  <c r="F289" i="3" s="1"/>
  <c r="B345" i="2"/>
  <c r="O345" i="2" s="1"/>
  <c r="N59" i="3"/>
  <c r="N410" i="3"/>
  <c r="N7" i="33"/>
  <c r="L344" i="2"/>
  <c r="Y344" i="2" s="1"/>
  <c r="N5" i="33"/>
  <c r="N9" i="33" s="1"/>
  <c r="M343" i="2"/>
  <c r="M345" i="2" s="1"/>
  <c r="Z345" i="2" s="1"/>
  <c r="O8" i="33"/>
  <c r="F31" i="33"/>
  <c r="H344" i="2"/>
  <c r="U344" i="2" s="1"/>
  <c r="J5" i="33"/>
  <c r="J9" i="33" s="1"/>
  <c r="J7" i="33"/>
  <c r="G33" i="33"/>
  <c r="E58" i="3"/>
  <c r="G35" i="33"/>
  <c r="G31" i="33"/>
  <c r="I343" i="2"/>
  <c r="I345" i="2" s="1"/>
  <c r="V345" i="2" s="1"/>
  <c r="K8" i="33"/>
  <c r="M31" i="33"/>
  <c r="D344" i="2"/>
  <c r="Q344" i="2" s="1"/>
  <c r="F7" i="33"/>
  <c r="F5" i="33"/>
  <c r="F9" i="33" s="1"/>
  <c r="I58" i="3"/>
  <c r="E343" i="2"/>
  <c r="E345" i="2" s="1"/>
  <c r="R345" i="2" s="1"/>
  <c r="G8" i="33"/>
  <c r="K5" i="33"/>
  <c r="K9" i="33" s="1"/>
  <c r="M35" i="33"/>
  <c r="I5" i="33"/>
  <c r="I9" i="33" s="1"/>
  <c r="H33" i="33"/>
  <c r="C343" i="2"/>
  <c r="C345" i="2" s="1"/>
  <c r="P345" i="2" s="1"/>
  <c r="G343" i="2"/>
  <c r="T343" i="2" s="1"/>
  <c r="K343" i="2"/>
  <c r="K345" i="2" s="1"/>
  <c r="X345" i="2" s="1"/>
  <c r="G7" i="33"/>
  <c r="K7" i="33"/>
  <c r="D31" i="33"/>
  <c r="L31" i="33"/>
  <c r="M33" i="33"/>
  <c r="F35" i="33"/>
  <c r="J35" i="33"/>
  <c r="N35" i="33"/>
  <c r="N505" i="3"/>
  <c r="E5" i="33"/>
  <c r="E9" i="33" s="1"/>
  <c r="L33" i="33"/>
  <c r="O21" i="33"/>
  <c r="M289" i="3" s="1"/>
  <c r="D7" i="33"/>
  <c r="H7" i="33"/>
  <c r="L7" i="33"/>
  <c r="M8" i="33"/>
  <c r="F33" i="33"/>
  <c r="J33" i="33"/>
  <c r="N33" i="33"/>
  <c r="D33" i="33"/>
  <c r="O17" i="33"/>
  <c r="M112" i="3" s="1"/>
  <c r="O5" i="33"/>
  <c r="O9" i="33" s="1"/>
  <c r="O7" i="33"/>
  <c r="N313" i="3"/>
  <c r="N58" i="3"/>
  <c r="N355" i="3"/>
  <c r="P343" i="2"/>
  <c r="Q343" i="2"/>
  <c r="U343" i="2"/>
  <c r="Y343" i="2"/>
  <c r="O343" i="2"/>
  <c r="S343" i="2"/>
  <c r="W343" i="2"/>
  <c r="G3" i="27"/>
  <c r="G6" i="27" s="1"/>
  <c r="G21" i="27" s="1"/>
  <c r="I18" i="27"/>
  <c r="G339" i="2"/>
  <c r="T339" i="2" s="1"/>
  <c r="G340" i="2"/>
  <c r="T340" i="2" s="1"/>
  <c r="F3" i="27"/>
  <c r="F17" i="27" s="1"/>
  <c r="F55" i="27"/>
  <c r="D474" i="3" s="1"/>
  <c r="M59" i="27"/>
  <c r="K475" i="3" s="1"/>
  <c r="M31" i="27"/>
  <c r="K152" i="3" s="1"/>
  <c r="N45" i="27"/>
  <c r="L424" i="3" s="1"/>
  <c r="J49" i="27"/>
  <c r="H470" i="3" s="1"/>
  <c r="D330" i="2"/>
  <c r="Q330" i="2" s="1"/>
  <c r="L59" i="27"/>
  <c r="J475" i="3" s="1"/>
  <c r="H340" i="2"/>
  <c r="U340" i="2" s="1"/>
  <c r="J19" i="27"/>
  <c r="E49" i="27"/>
  <c r="C470" i="3" s="1"/>
  <c r="N59" i="27"/>
  <c r="L475" i="3" s="1"/>
  <c r="C340" i="2"/>
  <c r="P340" i="2" s="1"/>
  <c r="N31" i="27"/>
  <c r="L152" i="3" s="1"/>
  <c r="M45" i="27"/>
  <c r="K424" i="3" s="1"/>
  <c r="M55" i="27"/>
  <c r="K474" i="3" s="1"/>
  <c r="I59" i="27"/>
  <c r="G475" i="3" s="1"/>
  <c r="J45" i="27"/>
  <c r="H424" i="3" s="1"/>
  <c r="J31" i="27"/>
  <c r="H152" i="3" s="1"/>
  <c r="N18" i="27"/>
  <c r="L339" i="2"/>
  <c r="Y339" i="2" s="1"/>
  <c r="N19" i="27"/>
  <c r="L340" i="2"/>
  <c r="Y340" i="2" s="1"/>
  <c r="N20" i="27"/>
  <c r="F59" i="27"/>
  <c r="D475" i="3" s="1"/>
  <c r="M27" i="27"/>
  <c r="K97" i="3" s="1"/>
  <c r="L45" i="27"/>
  <c r="J424" i="3" s="1"/>
  <c r="L31" i="27"/>
  <c r="J152" i="3" s="1"/>
  <c r="H339" i="2"/>
  <c r="U339" i="2" s="1"/>
  <c r="I31" i="27"/>
  <c r="G152" i="3" s="1"/>
  <c r="C339" i="2"/>
  <c r="P339" i="2" s="1"/>
  <c r="E31" i="27"/>
  <c r="C152" i="3" s="1"/>
  <c r="E45" i="27"/>
  <c r="C424" i="3" s="1"/>
  <c r="M49" i="27"/>
  <c r="K470" i="3" s="1"/>
  <c r="H31" i="27"/>
  <c r="F152" i="3" s="1"/>
  <c r="H45" i="27"/>
  <c r="F424" i="3" s="1"/>
  <c r="I45" i="27"/>
  <c r="G424" i="3" s="1"/>
  <c r="D55" i="27"/>
  <c r="B474" i="3" s="1"/>
  <c r="N474" i="3" s="1"/>
  <c r="D339" i="2"/>
  <c r="Q339" i="2" s="1"/>
  <c r="K340" i="2"/>
  <c r="X340" i="2" s="1"/>
  <c r="N309" i="3"/>
  <c r="F19" i="27"/>
  <c r="D340" i="2"/>
  <c r="Q340" i="2" s="1"/>
  <c r="F20" i="27"/>
  <c r="F6" i="27"/>
  <c r="F21" i="27" s="1"/>
  <c r="K339" i="2"/>
  <c r="X339" i="2" s="1"/>
  <c r="M18" i="27"/>
  <c r="L18" i="27"/>
  <c r="J339" i="2"/>
  <c r="W339" i="2" s="1"/>
  <c r="H3" i="27"/>
  <c r="H17" i="27" s="1"/>
  <c r="F330" i="2"/>
  <c r="F338" i="2" s="1"/>
  <c r="L3" i="27"/>
  <c r="L27" i="27"/>
  <c r="J97" i="3" s="1"/>
  <c r="D49" i="27"/>
  <c r="B470" i="3" s="1"/>
  <c r="N470" i="3" s="1"/>
  <c r="N3" i="27"/>
  <c r="N6" i="27" s="1"/>
  <c r="N21" i="27" s="1"/>
  <c r="H18" i="27"/>
  <c r="F339" i="2"/>
  <c r="S339" i="2" s="1"/>
  <c r="H27" i="27"/>
  <c r="F97" i="3" s="1"/>
  <c r="D3" i="27"/>
  <c r="D17" i="27" s="1"/>
  <c r="B330" i="2"/>
  <c r="B338" i="2" s="1"/>
  <c r="J3" i="27"/>
  <c r="J6" i="27" s="1"/>
  <c r="J21" i="27" s="1"/>
  <c r="I27" i="27"/>
  <c r="G97" i="3" s="1"/>
  <c r="L55" i="27"/>
  <c r="J474" i="3" s="1"/>
  <c r="H59" i="27"/>
  <c r="F475" i="3" s="1"/>
  <c r="E27" i="27"/>
  <c r="C97" i="3" s="1"/>
  <c r="J27" i="27"/>
  <c r="H97" i="3" s="1"/>
  <c r="D27" i="27"/>
  <c r="B97" i="3" s="1"/>
  <c r="N97" i="3" s="1"/>
  <c r="N27" i="27"/>
  <c r="L97" i="3" s="1"/>
  <c r="D31" i="27"/>
  <c r="B152" i="3" s="1"/>
  <c r="N152" i="3" s="1"/>
  <c r="D45" i="27"/>
  <c r="B424" i="3" s="1"/>
  <c r="N424" i="3" s="1"/>
  <c r="M3" i="27"/>
  <c r="M6" i="27" s="1"/>
  <c r="M21" i="27" s="1"/>
  <c r="F27" i="27"/>
  <c r="D97" i="3" s="1"/>
  <c r="F31" i="27"/>
  <c r="D152" i="3" s="1"/>
  <c r="F45" i="27"/>
  <c r="D424" i="3" s="1"/>
  <c r="I49" i="27"/>
  <c r="N49" i="27"/>
  <c r="L470" i="3" s="1"/>
  <c r="I55" i="27"/>
  <c r="G474" i="3" s="1"/>
  <c r="N55" i="27"/>
  <c r="L474" i="3" s="1"/>
  <c r="E59" i="27"/>
  <c r="C475" i="3" s="1"/>
  <c r="J59" i="27"/>
  <c r="H475" i="3" s="1"/>
  <c r="C338" i="2"/>
  <c r="P338" i="2" s="1"/>
  <c r="N473" i="3"/>
  <c r="N172" i="3"/>
  <c r="J338" i="2"/>
  <c r="W338" i="2" s="1"/>
  <c r="K338" i="2"/>
  <c r="X338" i="2" s="1"/>
  <c r="H338" i="2"/>
  <c r="G338" i="2"/>
  <c r="L338" i="2"/>
  <c r="E97" i="3"/>
  <c r="T330" i="2"/>
  <c r="G18" i="27"/>
  <c r="E339" i="2"/>
  <c r="R339" i="2" s="1"/>
  <c r="N354" i="3"/>
  <c r="K20" i="27"/>
  <c r="K19" i="27"/>
  <c r="I340" i="2"/>
  <c r="V340" i="2" s="1"/>
  <c r="K6" i="27"/>
  <c r="K21" i="27" s="1"/>
  <c r="K17" i="27"/>
  <c r="G59" i="27"/>
  <c r="E475" i="3" s="1"/>
  <c r="Y330" i="2"/>
  <c r="D18" i="27"/>
  <c r="B339" i="2"/>
  <c r="O339" i="2" s="1"/>
  <c r="H20" i="27"/>
  <c r="H19" i="27"/>
  <c r="X330" i="2"/>
  <c r="K18" i="27"/>
  <c r="I339" i="2"/>
  <c r="V339" i="2" s="1"/>
  <c r="G20" i="27"/>
  <c r="G19" i="27"/>
  <c r="E340" i="2"/>
  <c r="R340" i="2" s="1"/>
  <c r="G17" i="27"/>
  <c r="O59" i="27"/>
  <c r="M475" i="3" s="1"/>
  <c r="E330" i="2"/>
  <c r="I330" i="2"/>
  <c r="M330" i="2"/>
  <c r="P330" i="2"/>
  <c r="O20" i="27"/>
  <c r="O19" i="27"/>
  <c r="M340" i="2"/>
  <c r="Z340" i="2" s="1"/>
  <c r="I97" i="3"/>
  <c r="K59" i="27"/>
  <c r="I475" i="3" s="1"/>
  <c r="W330" i="2"/>
  <c r="H49" i="27"/>
  <c r="F470" i="3" s="1"/>
  <c r="D59" i="27"/>
  <c r="B475" i="3" s="1"/>
  <c r="D20" i="27"/>
  <c r="D19" i="27"/>
  <c r="I3" i="27"/>
  <c r="E3" i="27"/>
  <c r="L20" i="27"/>
  <c r="L19" i="27"/>
  <c r="E19" i="27"/>
  <c r="I19" i="27"/>
  <c r="M19" i="27"/>
  <c r="Z339" i="2"/>
  <c r="O6" i="27"/>
  <c r="O21" i="27" s="1"/>
  <c r="O18" i="27"/>
  <c r="I17" i="26"/>
  <c r="G76" i="2"/>
  <c r="T76" i="2" s="1"/>
  <c r="C76" i="2"/>
  <c r="P76" i="2" s="1"/>
  <c r="M24" i="26"/>
  <c r="K51" i="3" s="1"/>
  <c r="I30" i="26"/>
  <c r="G138" i="3" s="1"/>
  <c r="M47" i="26"/>
  <c r="K317" i="3" s="1"/>
  <c r="D76" i="2"/>
  <c r="Q76" i="2" s="1"/>
  <c r="D17" i="26"/>
  <c r="B76" i="2"/>
  <c r="O76" i="2" s="1"/>
  <c r="H24" i="26"/>
  <c r="F51" i="3" s="1"/>
  <c r="H47" i="26"/>
  <c r="F317" i="3" s="1"/>
  <c r="G3" i="26"/>
  <c r="G5" i="26" s="1"/>
  <c r="G18" i="26" s="1"/>
  <c r="D30" i="26"/>
  <c r="B138" i="3" s="1"/>
  <c r="N138" i="3" s="1"/>
  <c r="E67" i="2"/>
  <c r="R67" i="2" s="1"/>
  <c r="I47" i="26"/>
  <c r="G317" i="3" s="1"/>
  <c r="F76" i="2"/>
  <c r="S76" i="2" s="1"/>
  <c r="L3" i="26"/>
  <c r="L5" i="26" s="1"/>
  <c r="L18" i="26" s="1"/>
  <c r="D24" i="26"/>
  <c r="B51" i="3" s="1"/>
  <c r="N51" i="3" s="1"/>
  <c r="J3" i="26"/>
  <c r="J5" i="26" s="1"/>
  <c r="J18" i="26" s="1"/>
  <c r="F3" i="26"/>
  <c r="F16" i="26" s="1"/>
  <c r="N136" i="3"/>
  <c r="N7" i="3"/>
  <c r="N169" i="3"/>
  <c r="E24" i="26"/>
  <c r="C51" i="3" s="1"/>
  <c r="E30" i="26"/>
  <c r="C138" i="3" s="1"/>
  <c r="F43" i="26"/>
  <c r="D288" i="3" s="1"/>
  <c r="L43" i="26"/>
  <c r="J288" i="3" s="1"/>
  <c r="L24" i="26"/>
  <c r="J51" i="3" s="1"/>
  <c r="M43" i="26"/>
  <c r="K288" i="3" s="1"/>
  <c r="G43" i="26"/>
  <c r="E288" i="3" s="1"/>
  <c r="N3" i="26"/>
  <c r="N16" i="26" s="1"/>
  <c r="I43" i="26"/>
  <c r="G288" i="3" s="1"/>
  <c r="L47" i="26"/>
  <c r="J317" i="3" s="1"/>
  <c r="F67" i="2"/>
  <c r="F75" i="2" s="1"/>
  <c r="F77" i="2" s="1"/>
  <c r="H3" i="26"/>
  <c r="H5" i="26" s="1"/>
  <c r="H18" i="26" s="1"/>
  <c r="H30" i="26"/>
  <c r="F138" i="3" s="1"/>
  <c r="D43" i="26"/>
  <c r="B288" i="3" s="1"/>
  <c r="N288" i="3" s="1"/>
  <c r="N106" i="3"/>
  <c r="H67" i="2"/>
  <c r="U67" i="2" s="1"/>
  <c r="D3" i="26"/>
  <c r="D5" i="26" s="1"/>
  <c r="D18" i="26" s="1"/>
  <c r="E3" i="26"/>
  <c r="E5" i="26" s="1"/>
  <c r="E18" i="26" s="1"/>
  <c r="N30" i="26"/>
  <c r="L138" i="3" s="1"/>
  <c r="F47" i="26"/>
  <c r="D317" i="3" s="1"/>
  <c r="K76" i="2"/>
  <c r="X76" i="2" s="1"/>
  <c r="B317" i="3"/>
  <c r="N317" i="3" s="1"/>
  <c r="L17" i="26"/>
  <c r="J76" i="2"/>
  <c r="W76" i="2" s="1"/>
  <c r="I3" i="26"/>
  <c r="I16" i="26" s="1"/>
  <c r="N43" i="26"/>
  <c r="L288" i="3" s="1"/>
  <c r="F24" i="26"/>
  <c r="D51" i="3" s="1"/>
  <c r="J47" i="26"/>
  <c r="H317" i="3" s="1"/>
  <c r="I24" i="26"/>
  <c r="G51" i="3" s="1"/>
  <c r="L30" i="26"/>
  <c r="J138" i="3" s="1"/>
  <c r="H43" i="26"/>
  <c r="F288" i="3" s="1"/>
  <c r="E43" i="26"/>
  <c r="C288" i="3" s="1"/>
  <c r="M3" i="26"/>
  <c r="M16" i="26" s="1"/>
  <c r="M30" i="26"/>
  <c r="K138" i="3" s="1"/>
  <c r="E47" i="26"/>
  <c r="C317" i="3" s="1"/>
  <c r="N222" i="3"/>
  <c r="J75" i="2"/>
  <c r="W75" i="2" s="1"/>
  <c r="N409" i="3"/>
  <c r="K75" i="2"/>
  <c r="X75" i="2" s="1"/>
  <c r="C75" i="2"/>
  <c r="G17" i="26"/>
  <c r="E76" i="2"/>
  <c r="R76" i="2" s="1"/>
  <c r="O3" i="26"/>
  <c r="O16" i="26" s="1"/>
  <c r="M67" i="2"/>
  <c r="W67" i="2"/>
  <c r="B75" i="2"/>
  <c r="J17" i="26"/>
  <c r="H76" i="2"/>
  <c r="U76" i="2" s="1"/>
  <c r="M5" i="26"/>
  <c r="M18" i="26" s="1"/>
  <c r="H51" i="3"/>
  <c r="E75" i="2"/>
  <c r="K3" i="26"/>
  <c r="I67" i="2"/>
  <c r="E7" i="3"/>
  <c r="G75" i="2"/>
  <c r="L75" i="2"/>
  <c r="X67" i="2"/>
  <c r="I76" i="2"/>
  <c r="V76" i="2" s="1"/>
  <c r="K17" i="26"/>
  <c r="I7" i="3"/>
  <c r="K43" i="26"/>
  <c r="I288" i="3" s="1"/>
  <c r="D75" i="2"/>
  <c r="T67" i="2"/>
  <c r="Y67" i="2"/>
  <c r="K7" i="3"/>
  <c r="G7" i="3"/>
  <c r="C7" i="3"/>
  <c r="J43" i="26"/>
  <c r="H288" i="3" s="1"/>
  <c r="L16" i="26"/>
  <c r="Z76" i="2"/>
  <c r="M137" i="3"/>
  <c r="O55" i="26"/>
  <c r="O17" i="26"/>
  <c r="O51" i="26"/>
  <c r="O53" i="26"/>
  <c r="G16" i="25"/>
  <c r="G37" i="25" s="1"/>
  <c r="K16" i="25"/>
  <c r="K37" i="25" s="1"/>
  <c r="H16" i="25"/>
  <c r="F17" i="3" s="1"/>
  <c r="O16" i="25"/>
  <c r="M17" i="3" s="1"/>
  <c r="G190" i="2"/>
  <c r="T190" i="2" s="1"/>
  <c r="J27" i="25"/>
  <c r="H351" i="3" s="1"/>
  <c r="D3" i="25"/>
  <c r="D12" i="25" s="1"/>
  <c r="B184" i="2"/>
  <c r="O184" i="2" s="1"/>
  <c r="C184" i="2"/>
  <c r="P184" i="2" s="1"/>
  <c r="E3" i="25"/>
  <c r="E12" i="25" s="1"/>
  <c r="L3" i="25"/>
  <c r="L12" i="25" s="1"/>
  <c r="M3" i="25"/>
  <c r="M12" i="25" s="1"/>
  <c r="K184" i="2"/>
  <c r="K190" i="2" s="1"/>
  <c r="X190" i="2" s="1"/>
  <c r="I3" i="25"/>
  <c r="I12" i="25" s="1"/>
  <c r="I22" i="25"/>
  <c r="G121" i="3" s="1"/>
  <c r="N3" i="25"/>
  <c r="N12" i="25" s="1"/>
  <c r="C190" i="2"/>
  <c r="P190" i="2" s="1"/>
  <c r="L190" i="2"/>
  <c r="Y190" i="2" s="1"/>
  <c r="D190" i="2"/>
  <c r="Q190" i="2" s="1"/>
  <c r="H190" i="2"/>
  <c r="U190" i="2" s="1"/>
  <c r="J3" i="25"/>
  <c r="J12" i="25" s="1"/>
  <c r="D16" i="25"/>
  <c r="L16" i="25"/>
  <c r="H22" i="25"/>
  <c r="F121" i="3" s="1"/>
  <c r="F27" i="25"/>
  <c r="D351" i="3" s="1"/>
  <c r="L27" i="25"/>
  <c r="J351" i="3" s="1"/>
  <c r="F3" i="25"/>
  <c r="F12" i="25" s="1"/>
  <c r="E16" i="25"/>
  <c r="M16" i="25"/>
  <c r="E22" i="25"/>
  <c r="C121" i="3" s="1"/>
  <c r="M22" i="25"/>
  <c r="K121" i="3" s="1"/>
  <c r="H27" i="25"/>
  <c r="F351" i="3" s="1"/>
  <c r="M27" i="25"/>
  <c r="K351" i="3" s="1"/>
  <c r="D27" i="25"/>
  <c r="B351" i="3" s="1"/>
  <c r="I27" i="25"/>
  <c r="G351" i="3" s="1"/>
  <c r="N27" i="25"/>
  <c r="L351" i="3" s="1"/>
  <c r="G17" i="3"/>
  <c r="G3" i="25"/>
  <c r="G12" i="25" s="1"/>
  <c r="E184" i="2"/>
  <c r="R184" i="2" s="1"/>
  <c r="G35" i="25"/>
  <c r="K3" i="25"/>
  <c r="K12" i="25" s="1"/>
  <c r="I184" i="2"/>
  <c r="V184" i="2" s="1"/>
  <c r="H17" i="3"/>
  <c r="O22" i="25"/>
  <c r="M121" i="3" s="1"/>
  <c r="J190" i="2"/>
  <c r="W190" i="2" s="1"/>
  <c r="O3" i="25"/>
  <c r="O12" i="25" s="1"/>
  <c r="M184" i="2"/>
  <c r="M190" i="2" s="1"/>
  <c r="Z190" i="2" s="1"/>
  <c r="M351" i="3"/>
  <c r="N527" i="3"/>
  <c r="N511" i="3"/>
  <c r="N94" i="3"/>
  <c r="W184" i="2"/>
  <c r="T184" i="2"/>
  <c r="Q184" i="2"/>
  <c r="U184" i="2"/>
  <c r="Y184" i="2"/>
  <c r="D13" i="24"/>
  <c r="E13" i="24"/>
  <c r="I13" i="24"/>
  <c r="M13" i="24"/>
  <c r="F15" i="24"/>
  <c r="J15" i="24"/>
  <c r="N15" i="24"/>
  <c r="G17" i="24"/>
  <c r="K17" i="24"/>
  <c r="K5" i="24"/>
  <c r="H13" i="24"/>
  <c r="E125" i="2"/>
  <c r="R125" i="2" s="1"/>
  <c r="G15" i="24"/>
  <c r="K15" i="24"/>
  <c r="D17" i="24"/>
  <c r="H17" i="24"/>
  <c r="L17" i="24"/>
  <c r="L13" i="24"/>
  <c r="N130" i="3"/>
  <c r="B128" i="3"/>
  <c r="N128" i="3" s="1"/>
  <c r="F128" i="3"/>
  <c r="J128" i="3"/>
  <c r="O13" i="24"/>
  <c r="O5" i="24"/>
  <c r="O15" i="24"/>
  <c r="O17" i="24"/>
  <c r="N129" i="3"/>
  <c r="O10" i="19"/>
  <c r="E182" i="2"/>
  <c r="R182" i="2" s="1"/>
  <c r="H178" i="2"/>
  <c r="U178" i="2" s="1"/>
  <c r="J8" i="19"/>
  <c r="J6" i="19"/>
  <c r="J11" i="19" s="1"/>
  <c r="L179" i="2"/>
  <c r="Y179" i="2" s="1"/>
  <c r="N9" i="19"/>
  <c r="F37" i="19"/>
  <c r="F39" i="19"/>
  <c r="F41" i="19"/>
  <c r="D114" i="3"/>
  <c r="N10" i="19"/>
  <c r="L180" i="2"/>
  <c r="Y180" i="2" s="1"/>
  <c r="E160" i="3"/>
  <c r="G37" i="19"/>
  <c r="D179" i="2"/>
  <c r="Q179" i="2" s="1"/>
  <c r="F9" i="19"/>
  <c r="J37" i="19"/>
  <c r="J39" i="19"/>
  <c r="J41" i="19"/>
  <c r="H114" i="3"/>
  <c r="F10" i="19"/>
  <c r="D180" i="2"/>
  <c r="Q180" i="2" s="1"/>
  <c r="J10" i="19"/>
  <c r="H180" i="2"/>
  <c r="U180" i="2" s="1"/>
  <c r="D178" i="2"/>
  <c r="Q178" i="2" s="1"/>
  <c r="F6" i="19"/>
  <c r="F11" i="19" s="1"/>
  <c r="F8" i="19"/>
  <c r="L178" i="2"/>
  <c r="N6" i="19"/>
  <c r="N11" i="19" s="1"/>
  <c r="N8" i="19"/>
  <c r="H179" i="2"/>
  <c r="U179" i="2" s="1"/>
  <c r="J9" i="19"/>
  <c r="N37" i="19"/>
  <c r="N39" i="19"/>
  <c r="N41" i="19"/>
  <c r="L114" i="3"/>
  <c r="G39" i="19"/>
  <c r="L41" i="19"/>
  <c r="E6" i="19"/>
  <c r="E11" i="19" s="1"/>
  <c r="E41" i="19"/>
  <c r="B178" i="2"/>
  <c r="F178" i="2"/>
  <c r="S178" i="2" s="1"/>
  <c r="J178" i="2"/>
  <c r="B179" i="2"/>
  <c r="O179" i="2" s="1"/>
  <c r="F179" i="2"/>
  <c r="S179" i="2" s="1"/>
  <c r="J179" i="2"/>
  <c r="W179" i="2" s="1"/>
  <c r="C180" i="2"/>
  <c r="P180" i="2" s="1"/>
  <c r="G180" i="2"/>
  <c r="T180" i="2" s="1"/>
  <c r="K180" i="2"/>
  <c r="X180" i="2" s="1"/>
  <c r="G120" i="3"/>
  <c r="K120" i="3"/>
  <c r="G8" i="19"/>
  <c r="K8" i="19"/>
  <c r="O35" i="19"/>
  <c r="M498" i="3" s="1"/>
  <c r="L37" i="19"/>
  <c r="O21" i="19"/>
  <c r="M160" i="3" s="1"/>
  <c r="O31" i="19"/>
  <c r="M461" i="3" s="1"/>
  <c r="M6" i="19"/>
  <c r="M11" i="19" s="1"/>
  <c r="L39" i="19"/>
  <c r="D8" i="19"/>
  <c r="H8" i="19"/>
  <c r="L8" i="19"/>
  <c r="I10" i="19"/>
  <c r="G41" i="19"/>
  <c r="H39" i="19"/>
  <c r="B114" i="3"/>
  <c r="N114" i="3" s="1"/>
  <c r="F114" i="3"/>
  <c r="J114" i="3"/>
  <c r="M179" i="2"/>
  <c r="Z179" i="2" s="1"/>
  <c r="O6" i="19"/>
  <c r="O11" i="19" s="1"/>
  <c r="N199" i="3"/>
  <c r="N127" i="3"/>
  <c r="N276" i="3"/>
  <c r="N162" i="3"/>
  <c r="N120" i="3"/>
  <c r="X178" i="2"/>
  <c r="T178" i="2"/>
  <c r="R178" i="2"/>
  <c r="V178" i="2"/>
  <c r="I9" i="14"/>
  <c r="G201" i="3" s="1"/>
  <c r="E5" i="14"/>
  <c r="I5" i="14"/>
  <c r="M5" i="14"/>
  <c r="E9" i="14"/>
  <c r="C201" i="3" s="1"/>
  <c r="M9" i="14"/>
  <c r="M21" i="14" s="1"/>
  <c r="F9" i="14"/>
  <c r="F21" i="14" s="1"/>
  <c r="J9" i="14"/>
  <c r="J21" i="14" s="1"/>
  <c r="N9" i="14"/>
  <c r="N21" i="14" s="1"/>
  <c r="N224" i="3"/>
  <c r="G9" i="14"/>
  <c r="G21" i="14" s="1"/>
  <c r="K9" i="14"/>
  <c r="K19" i="14" s="1"/>
  <c r="O37" i="13"/>
  <c r="M411" i="3" s="1"/>
  <c r="G37" i="13"/>
  <c r="E411" i="3" s="1"/>
  <c r="C15" i="2"/>
  <c r="P15" i="2" s="1"/>
  <c r="E27" i="13"/>
  <c r="C329" i="3" s="1"/>
  <c r="K33" i="13"/>
  <c r="I408" i="3" s="1"/>
  <c r="M3" i="13"/>
  <c r="M5" i="13" s="1"/>
  <c r="M15" i="13" s="1"/>
  <c r="E33" i="13"/>
  <c r="C408" i="3" s="1"/>
  <c r="G23" i="13"/>
  <c r="K23" i="13"/>
  <c r="I316" i="3" s="1"/>
  <c r="O3" i="13"/>
  <c r="O13" i="13" s="1"/>
  <c r="E14" i="2"/>
  <c r="E16" i="2" s="1"/>
  <c r="R16" i="2" s="1"/>
  <c r="K3" i="13"/>
  <c r="K13" i="13" s="1"/>
  <c r="F15" i="2"/>
  <c r="S15" i="2" s="1"/>
  <c r="H33" i="13"/>
  <c r="F408" i="3" s="1"/>
  <c r="H37" i="13"/>
  <c r="F411" i="3" s="1"/>
  <c r="H27" i="13"/>
  <c r="F329" i="3" s="1"/>
  <c r="M23" i="13"/>
  <c r="K316" i="3" s="1"/>
  <c r="I33" i="13"/>
  <c r="G408" i="3" s="1"/>
  <c r="G27" i="13"/>
  <c r="E329" i="3" s="1"/>
  <c r="L37" i="13"/>
  <c r="J411" i="3" s="1"/>
  <c r="L33" i="13"/>
  <c r="J408" i="3" s="1"/>
  <c r="D37" i="13"/>
  <c r="B411" i="3" s="1"/>
  <c r="K10" i="2"/>
  <c r="X10" i="2" s="1"/>
  <c r="L23" i="13"/>
  <c r="J316" i="3" s="1"/>
  <c r="K15" i="2"/>
  <c r="X15" i="2" s="1"/>
  <c r="L3" i="13"/>
  <c r="L13" i="13" s="1"/>
  <c r="I23" i="13"/>
  <c r="G316" i="3" s="1"/>
  <c r="M27" i="13"/>
  <c r="K329" i="3" s="1"/>
  <c r="I27" i="13"/>
  <c r="G329" i="3" s="1"/>
  <c r="H23" i="13"/>
  <c r="F316" i="3" s="1"/>
  <c r="M37" i="13"/>
  <c r="K411" i="3" s="1"/>
  <c r="D27" i="13"/>
  <c r="B329" i="3" s="1"/>
  <c r="M33" i="13"/>
  <c r="K408" i="3" s="1"/>
  <c r="I37" i="13"/>
  <c r="G411" i="3" s="1"/>
  <c r="E37" i="13"/>
  <c r="C411" i="3" s="1"/>
  <c r="D14" i="13"/>
  <c r="B15" i="2"/>
  <c r="O15" i="2" s="1"/>
  <c r="L27" i="13"/>
  <c r="J329" i="3" s="1"/>
  <c r="D23" i="13"/>
  <c r="N14" i="13"/>
  <c r="E23" i="13"/>
  <c r="C316" i="3" s="1"/>
  <c r="D33" i="13"/>
  <c r="B408" i="3" s="1"/>
  <c r="O33" i="13"/>
  <c r="M408" i="3" s="1"/>
  <c r="K37" i="13"/>
  <c r="I411" i="3" s="1"/>
  <c r="G3" i="13"/>
  <c r="G5" i="13" s="1"/>
  <c r="G15" i="13" s="1"/>
  <c r="I3" i="13"/>
  <c r="N23" i="13"/>
  <c r="L316" i="3" s="1"/>
  <c r="N352" i="3"/>
  <c r="D240" i="2"/>
  <c r="D242" i="2" s="1"/>
  <c r="Q242" i="2" s="1"/>
  <c r="L21" i="18"/>
  <c r="H12" i="3"/>
  <c r="B240" i="2"/>
  <c r="B242" i="2" s="1"/>
  <c r="O242" i="2" s="1"/>
  <c r="L240" i="2"/>
  <c r="L242" i="2" s="1"/>
  <c r="Y242" i="2" s="1"/>
  <c r="O21" i="18"/>
  <c r="M12" i="3"/>
  <c r="N530" i="3"/>
  <c r="N105" i="3"/>
  <c r="N82" i="3"/>
  <c r="E11" i="16"/>
  <c r="E13" i="16" s="1"/>
  <c r="I11" i="16"/>
  <c r="I13" i="16" s="1"/>
  <c r="M11" i="16"/>
  <c r="M13" i="16" s="1"/>
  <c r="F15" i="16"/>
  <c r="J15" i="16"/>
  <c r="N15" i="16"/>
  <c r="G19" i="15"/>
  <c r="K19" i="15"/>
  <c r="E78" i="3"/>
  <c r="I78" i="3"/>
  <c r="E346" i="3"/>
  <c r="I346" i="3"/>
  <c r="M346" i="3"/>
  <c r="B78" i="3"/>
  <c r="N78" i="3" s="1"/>
  <c r="F78" i="3"/>
  <c r="J78" i="3"/>
  <c r="F11" i="16"/>
  <c r="F13" i="16" s="1"/>
  <c r="J11" i="16"/>
  <c r="J13" i="16" s="1"/>
  <c r="N11" i="16"/>
  <c r="N13" i="16" s="1"/>
  <c r="G15" i="16"/>
  <c r="K15" i="16"/>
  <c r="O15" i="16"/>
  <c r="O17" i="16"/>
  <c r="B346" i="3"/>
  <c r="F346" i="3"/>
  <c r="J346" i="3"/>
  <c r="O11" i="16"/>
  <c r="O13" i="16" s="1"/>
  <c r="M262" i="3" s="1"/>
  <c r="O21" i="15"/>
  <c r="D15" i="17"/>
  <c r="H15" i="17"/>
  <c r="L15" i="17"/>
  <c r="J5" i="17"/>
  <c r="G15" i="17"/>
  <c r="I73" i="3"/>
  <c r="G19" i="17"/>
  <c r="F5" i="17"/>
  <c r="N5" i="17"/>
  <c r="K15" i="17"/>
  <c r="E73" i="3"/>
  <c r="K19" i="17"/>
  <c r="D324" i="2"/>
  <c r="Q324" i="2" s="1"/>
  <c r="H324" i="2"/>
  <c r="U324" i="2" s="1"/>
  <c r="L324" i="2"/>
  <c r="Y324" i="2" s="1"/>
  <c r="B73" i="3"/>
  <c r="N73" i="3" s="1"/>
  <c r="F73" i="3"/>
  <c r="J73" i="3"/>
  <c r="O5" i="17"/>
  <c r="O19" i="17"/>
  <c r="O15" i="17"/>
  <c r="O17" i="17"/>
  <c r="M324" i="2"/>
  <c r="Z324" i="2" s="1"/>
  <c r="N76" i="3"/>
  <c r="N74" i="3"/>
  <c r="F11" i="9"/>
  <c r="D232" i="2"/>
  <c r="M232" i="2"/>
  <c r="Z232" i="2" s="1"/>
  <c r="I237" i="2"/>
  <c r="V237" i="2" s="1"/>
  <c r="H233" i="2"/>
  <c r="U233" i="2" s="1"/>
  <c r="O25" i="9"/>
  <c r="M277" i="3" s="1"/>
  <c r="G12" i="9"/>
  <c r="E233" i="2"/>
  <c r="R233" i="2" s="1"/>
  <c r="O12" i="9"/>
  <c r="M233" i="2"/>
  <c r="Z233" i="2" s="1"/>
  <c r="K13" i="9"/>
  <c r="I234" i="2"/>
  <c r="V234" i="2" s="1"/>
  <c r="G14" i="9"/>
  <c r="E235" i="2"/>
  <c r="R235" i="2" s="1"/>
  <c r="O14" i="9"/>
  <c r="M235" i="2"/>
  <c r="Z235" i="2" s="1"/>
  <c r="K15" i="9"/>
  <c r="I236" i="2"/>
  <c r="V236" i="2" s="1"/>
  <c r="G16" i="9"/>
  <c r="E237" i="2"/>
  <c r="R237" i="2" s="1"/>
  <c r="O16" i="9"/>
  <c r="M237" i="2"/>
  <c r="Z237" i="2" s="1"/>
  <c r="E234" i="2"/>
  <c r="R234" i="2" s="1"/>
  <c r="G234" i="2"/>
  <c r="T234" i="2" s="1"/>
  <c r="I235" i="2"/>
  <c r="V235" i="2" s="1"/>
  <c r="J31" i="9"/>
  <c r="H363" i="3" s="1"/>
  <c r="J35" i="9"/>
  <c r="H364" i="3" s="1"/>
  <c r="K235" i="2"/>
  <c r="X235" i="2" s="1"/>
  <c r="E11" i="9"/>
  <c r="J25" i="9"/>
  <c r="H277" i="3" s="1"/>
  <c r="K31" i="9"/>
  <c r="I363" i="3" s="1"/>
  <c r="F14" i="9"/>
  <c r="F16" i="9"/>
  <c r="H232" i="2"/>
  <c r="U232" i="2" s="1"/>
  <c r="L237" i="2"/>
  <c r="Y237" i="2" s="1"/>
  <c r="N14" i="9"/>
  <c r="L233" i="2"/>
  <c r="Y233" i="2" s="1"/>
  <c r="H236" i="2"/>
  <c r="U236" i="2" s="1"/>
  <c r="H237" i="2"/>
  <c r="U237" i="2" s="1"/>
  <c r="G9" i="9"/>
  <c r="G17" i="9" s="1"/>
  <c r="N25" i="9"/>
  <c r="L277" i="3" s="1"/>
  <c r="D236" i="2"/>
  <c r="Q236" i="2" s="1"/>
  <c r="G236" i="2"/>
  <c r="T236" i="2" s="1"/>
  <c r="N11" i="9"/>
  <c r="K25" i="9"/>
  <c r="I277" i="3" s="1"/>
  <c r="K42" i="9"/>
  <c r="I516" i="3" s="1"/>
  <c r="L236" i="2"/>
  <c r="Y236" i="2" s="1"/>
  <c r="C232" i="2"/>
  <c r="P232" i="2" s="1"/>
  <c r="G233" i="2"/>
  <c r="T233" i="2" s="1"/>
  <c r="D234" i="2"/>
  <c r="Q234" i="2" s="1"/>
  <c r="K234" i="2"/>
  <c r="X234" i="2" s="1"/>
  <c r="H235" i="2"/>
  <c r="U235" i="2" s="1"/>
  <c r="J13" i="9"/>
  <c r="F21" i="9"/>
  <c r="D60" i="3" s="1"/>
  <c r="N21" i="9"/>
  <c r="L60" i="3" s="1"/>
  <c r="G35" i="9"/>
  <c r="E364" i="3" s="1"/>
  <c r="O35" i="9"/>
  <c r="M364" i="3" s="1"/>
  <c r="F42" i="9"/>
  <c r="D516" i="3" s="1"/>
  <c r="N42" i="9"/>
  <c r="L516" i="3" s="1"/>
  <c r="F12" i="9"/>
  <c r="I46" i="9"/>
  <c r="G522" i="3" s="1"/>
  <c r="E25" i="9"/>
  <c r="E48" i="9" s="1"/>
  <c r="I25" i="9"/>
  <c r="G277" i="3" s="1"/>
  <c r="M25" i="9"/>
  <c r="K277" i="3" s="1"/>
  <c r="K12" i="9"/>
  <c r="M236" i="2"/>
  <c r="Z236" i="2" s="1"/>
  <c r="O21" i="9"/>
  <c r="F25" i="9"/>
  <c r="D277" i="3" s="1"/>
  <c r="J46" i="9"/>
  <c r="H522" i="3" s="1"/>
  <c r="E232" i="2"/>
  <c r="R232" i="2" s="1"/>
  <c r="K232" i="2"/>
  <c r="X232" i="2" s="1"/>
  <c r="C234" i="2"/>
  <c r="P234" i="2" s="1"/>
  <c r="M234" i="2"/>
  <c r="Z234" i="2" s="1"/>
  <c r="G235" i="2"/>
  <c r="T235" i="2" s="1"/>
  <c r="F237" i="2"/>
  <c r="S237" i="2" s="1"/>
  <c r="K9" i="9"/>
  <c r="K17" i="9" s="1"/>
  <c r="J21" i="9"/>
  <c r="G25" i="9"/>
  <c r="E277" i="3" s="1"/>
  <c r="F31" i="9"/>
  <c r="D363" i="3" s="1"/>
  <c r="N31" i="9"/>
  <c r="L363" i="3" s="1"/>
  <c r="K35" i="9"/>
  <c r="I364" i="3" s="1"/>
  <c r="G42" i="9"/>
  <c r="E516" i="3" s="1"/>
  <c r="O42" i="9"/>
  <c r="M516" i="3" s="1"/>
  <c r="K46" i="9"/>
  <c r="I522" i="3" s="1"/>
  <c r="D25" i="9"/>
  <c r="B277" i="3" s="1"/>
  <c r="J9" i="9"/>
  <c r="J17" i="9" s="1"/>
  <c r="G232" i="2"/>
  <c r="T232" i="2" s="1"/>
  <c r="K233" i="2"/>
  <c r="X233" i="2" s="1"/>
  <c r="C235" i="2"/>
  <c r="P235" i="2" s="1"/>
  <c r="E236" i="2"/>
  <c r="R236" i="2" s="1"/>
  <c r="K236" i="2"/>
  <c r="X236" i="2" s="1"/>
  <c r="F9" i="9"/>
  <c r="F17" i="9" s="1"/>
  <c r="N9" i="9"/>
  <c r="N17" i="9" s="1"/>
  <c r="I9" i="9"/>
  <c r="I17" i="9" s="1"/>
  <c r="M11" i="9"/>
  <c r="K21" i="9"/>
  <c r="I60" i="3" s="1"/>
  <c r="G21" i="9"/>
  <c r="E60" i="3" s="1"/>
  <c r="G31" i="9"/>
  <c r="E363" i="3" s="1"/>
  <c r="O31" i="9"/>
  <c r="M363" i="3" s="1"/>
  <c r="F35" i="9"/>
  <c r="D364" i="3" s="1"/>
  <c r="N35" i="9"/>
  <c r="L364" i="3" s="1"/>
  <c r="J42" i="9"/>
  <c r="H516" i="3" s="1"/>
  <c r="F46" i="9"/>
  <c r="B60" i="3"/>
  <c r="H48" i="9"/>
  <c r="F60" i="3"/>
  <c r="H50" i="9"/>
  <c r="H52" i="9"/>
  <c r="D11" i="9"/>
  <c r="D9" i="9"/>
  <c r="D17" i="9" s="1"/>
  <c r="L21" i="9"/>
  <c r="Y232" i="2"/>
  <c r="B237" i="2"/>
  <c r="O237" i="2" s="1"/>
  <c r="N522" i="3"/>
  <c r="G60" i="3"/>
  <c r="M50" i="9"/>
  <c r="M52" i="9"/>
  <c r="E16" i="9"/>
  <c r="C237" i="2"/>
  <c r="P237" i="2" s="1"/>
  <c r="I16" i="9"/>
  <c r="G237" i="2"/>
  <c r="T237" i="2" s="1"/>
  <c r="M16" i="9"/>
  <c r="K237" i="2"/>
  <c r="X237" i="2" s="1"/>
  <c r="V232" i="2"/>
  <c r="B233" i="2"/>
  <c r="O233" i="2" s="1"/>
  <c r="F233" i="2"/>
  <c r="S233" i="2" s="1"/>
  <c r="J233" i="2"/>
  <c r="W233" i="2" s="1"/>
  <c r="B234" i="2"/>
  <c r="O234" i="2" s="1"/>
  <c r="F234" i="2"/>
  <c r="S234" i="2" s="1"/>
  <c r="J234" i="2"/>
  <c r="W234" i="2" s="1"/>
  <c r="B235" i="2"/>
  <c r="O235" i="2" s="1"/>
  <c r="F235" i="2"/>
  <c r="S235" i="2" s="1"/>
  <c r="J235" i="2"/>
  <c r="W235" i="2" s="1"/>
  <c r="B236" i="2"/>
  <c r="O236" i="2" s="1"/>
  <c r="F236" i="2"/>
  <c r="S236" i="2" s="1"/>
  <c r="J236" i="2"/>
  <c r="W236" i="2" s="1"/>
  <c r="M48" i="9"/>
  <c r="L11" i="9"/>
  <c r="L9" i="9"/>
  <c r="L17" i="9" s="1"/>
  <c r="B232" i="2"/>
  <c r="F232" i="2"/>
  <c r="J232" i="2"/>
  <c r="J237" i="2"/>
  <c r="W237" i="2" s="1"/>
  <c r="N304" i="3"/>
  <c r="N404" i="3"/>
  <c r="C60" i="3"/>
  <c r="H9" i="9"/>
  <c r="H17" i="9" s="1"/>
  <c r="G11" i="9"/>
  <c r="K11" i="9"/>
  <c r="O9" i="9"/>
  <c r="O17" i="9" s="1"/>
  <c r="I9" i="7"/>
  <c r="G5" i="2"/>
  <c r="T5" i="2" s="1"/>
  <c r="K23" i="7"/>
  <c r="I287" i="3" s="1"/>
  <c r="K6" i="7"/>
  <c r="K11" i="7" s="1"/>
  <c r="M23" i="7"/>
  <c r="K287" i="3" s="1"/>
  <c r="E27" i="7"/>
  <c r="C315" i="3" s="1"/>
  <c r="M27" i="7"/>
  <c r="K315" i="3" s="1"/>
  <c r="C110" i="3"/>
  <c r="K110" i="3"/>
  <c r="N15" i="5"/>
  <c r="N215" i="3"/>
  <c r="G110" i="3"/>
  <c r="H15" i="5"/>
  <c r="E110" i="3"/>
  <c r="I110" i="3"/>
  <c r="D15" i="5"/>
  <c r="D17" i="5"/>
  <c r="L17" i="5"/>
  <c r="I120" i="2"/>
  <c r="V120" i="2" s="1"/>
  <c r="B110" i="3"/>
  <c r="F110" i="3"/>
  <c r="J110" i="3"/>
  <c r="F15" i="5"/>
  <c r="K15" i="5"/>
  <c r="G17" i="5"/>
  <c r="N177" i="3"/>
  <c r="K17" i="5"/>
  <c r="M110" i="3"/>
  <c r="G15" i="5"/>
  <c r="L15" i="5"/>
  <c r="H17" i="5"/>
  <c r="M9" i="7"/>
  <c r="K5" i="2"/>
  <c r="X5" i="2" s="1"/>
  <c r="I23" i="7"/>
  <c r="G287" i="3" s="1"/>
  <c r="I19" i="7"/>
  <c r="M19" i="7"/>
  <c r="E6" i="2"/>
  <c r="R6" i="2" s="1"/>
  <c r="N19" i="7"/>
  <c r="N35" i="7" s="1"/>
  <c r="I27" i="7"/>
  <c r="G315" i="3" s="1"/>
  <c r="F23" i="7"/>
  <c r="D287" i="3" s="1"/>
  <c r="F27" i="7"/>
  <c r="D315" i="3" s="1"/>
  <c r="C5" i="2"/>
  <c r="P5" i="2" s="1"/>
  <c r="H27" i="7"/>
  <c r="F315" i="3" s="1"/>
  <c r="O19" i="7"/>
  <c r="M275" i="3" s="1"/>
  <c r="F6" i="7"/>
  <c r="F11" i="7" s="1"/>
  <c r="D4" i="2"/>
  <c r="Q4" i="2" s="1"/>
  <c r="J6" i="7"/>
  <c r="J11" i="7" s="1"/>
  <c r="H4" i="2"/>
  <c r="U4" i="2" s="1"/>
  <c r="L26" i="3"/>
  <c r="D5" i="2"/>
  <c r="Q5" i="2" s="1"/>
  <c r="F9" i="7"/>
  <c r="J9" i="7"/>
  <c r="H5" i="2"/>
  <c r="U5" i="2" s="1"/>
  <c r="N6" i="7"/>
  <c r="N11" i="7" s="1"/>
  <c r="L4" i="2"/>
  <c r="Y4" i="2" s="1"/>
  <c r="N9" i="7"/>
  <c r="L5" i="2"/>
  <c r="Y5" i="2" s="1"/>
  <c r="E10" i="7"/>
  <c r="C6" i="2"/>
  <c r="P6" i="2" s="1"/>
  <c r="I10" i="7"/>
  <c r="G6" i="2"/>
  <c r="T6" i="2" s="1"/>
  <c r="M10" i="7"/>
  <c r="K6" i="2"/>
  <c r="X6" i="2" s="1"/>
  <c r="F10" i="7"/>
  <c r="D6" i="2"/>
  <c r="Q6" i="2" s="1"/>
  <c r="H6" i="2"/>
  <c r="U6" i="2" s="1"/>
  <c r="J10" i="7"/>
  <c r="N10" i="7"/>
  <c r="L6" i="2"/>
  <c r="Y6" i="2" s="1"/>
  <c r="F19" i="7"/>
  <c r="D275" i="3" s="1"/>
  <c r="K19" i="7"/>
  <c r="I275" i="3" s="1"/>
  <c r="E6" i="7"/>
  <c r="E11" i="7" s="1"/>
  <c r="I6" i="7"/>
  <c r="I11" i="7" s="1"/>
  <c r="M6" i="7"/>
  <c r="M11" i="7" s="1"/>
  <c r="I8" i="7"/>
  <c r="G19" i="7"/>
  <c r="E275" i="3" s="1"/>
  <c r="J19" i="7"/>
  <c r="J35" i="7" s="1"/>
  <c r="M5" i="2"/>
  <c r="Z5" i="2" s="1"/>
  <c r="I4" i="2"/>
  <c r="V4" i="2" s="1"/>
  <c r="I5" i="2"/>
  <c r="V5" i="2" s="1"/>
  <c r="M6" i="2"/>
  <c r="Z6" i="2" s="1"/>
  <c r="E4" i="2"/>
  <c r="R4" i="2" s="1"/>
  <c r="E5" i="2"/>
  <c r="R5" i="2" s="1"/>
  <c r="I6" i="2"/>
  <c r="V6" i="2" s="1"/>
  <c r="G26" i="3"/>
  <c r="M8" i="7"/>
  <c r="B26" i="3"/>
  <c r="F26" i="3"/>
  <c r="J26" i="3"/>
  <c r="C275" i="3"/>
  <c r="J33" i="7"/>
  <c r="N33" i="7"/>
  <c r="D6" i="7"/>
  <c r="D11" i="7" s="1"/>
  <c r="F8" i="7"/>
  <c r="J8" i="7"/>
  <c r="N8" i="7"/>
  <c r="N31" i="7"/>
  <c r="L6" i="7"/>
  <c r="L11" i="7" s="1"/>
  <c r="B5" i="2"/>
  <c r="O5" i="2" s="1"/>
  <c r="F5" i="2"/>
  <c r="S5" i="2" s="1"/>
  <c r="J5" i="2"/>
  <c r="W5" i="2" s="1"/>
  <c r="B6" i="2"/>
  <c r="O6" i="2" s="1"/>
  <c r="F6" i="2"/>
  <c r="S6" i="2" s="1"/>
  <c r="J6" i="2"/>
  <c r="W6" i="2" s="1"/>
  <c r="G8" i="7"/>
  <c r="K8" i="7"/>
  <c r="H6" i="7"/>
  <c r="H11" i="7" s="1"/>
  <c r="B4" i="2"/>
  <c r="F4" i="2"/>
  <c r="J4" i="2"/>
  <c r="W4" i="2" s="1"/>
  <c r="M4" i="2"/>
  <c r="M26" i="3"/>
  <c r="O6" i="7"/>
  <c r="O11" i="7" s="1"/>
  <c r="N423" i="3"/>
  <c r="N274" i="3"/>
  <c r="T4" i="2"/>
  <c r="X4" i="2"/>
  <c r="F11" i="6"/>
  <c r="J11" i="6"/>
  <c r="N11" i="6"/>
  <c r="I11" i="6"/>
  <c r="D13" i="6"/>
  <c r="H13" i="6"/>
  <c r="L13" i="6"/>
  <c r="E15" i="6"/>
  <c r="I15" i="6"/>
  <c r="M15" i="6"/>
  <c r="E11" i="6"/>
  <c r="M11" i="6"/>
  <c r="C21" i="3"/>
  <c r="G21" i="3"/>
  <c r="K21" i="3"/>
  <c r="N320" i="3"/>
  <c r="O11" i="6"/>
  <c r="O13" i="6"/>
  <c r="O15" i="6"/>
  <c r="T320" i="2"/>
  <c r="W320" i="2"/>
  <c r="F324" i="2"/>
  <c r="S324" i="2" s="1"/>
  <c r="Q320" i="2"/>
  <c r="U320" i="2"/>
  <c r="Y320" i="2"/>
  <c r="P320" i="2"/>
  <c r="X320" i="2"/>
  <c r="R320" i="2"/>
  <c r="V320" i="2"/>
  <c r="Z320" i="2"/>
  <c r="E13" i="5"/>
  <c r="I13" i="5"/>
  <c r="M13" i="5"/>
  <c r="J13" i="5"/>
  <c r="F120" i="2"/>
  <c r="S120" i="2" s="1"/>
  <c r="E17" i="5"/>
  <c r="I17" i="5"/>
  <c r="M17" i="5"/>
  <c r="F13" i="5"/>
  <c r="N13" i="5"/>
  <c r="O13" i="5"/>
  <c r="O15" i="5"/>
  <c r="J15" i="8"/>
  <c r="D14" i="3"/>
  <c r="J11" i="8"/>
  <c r="J13" i="8" s="1"/>
  <c r="N15" i="8"/>
  <c r="D119" i="2"/>
  <c r="Q119" i="2" s="1"/>
  <c r="H14" i="3"/>
  <c r="N11" i="8"/>
  <c r="N13" i="8" s="1"/>
  <c r="F11" i="8"/>
  <c r="F13" i="8" s="1"/>
  <c r="F21" i="8" s="1"/>
  <c r="H119" i="2"/>
  <c r="U119" i="2" s="1"/>
  <c r="L14" i="3"/>
  <c r="F21" i="4"/>
  <c r="I14" i="3"/>
  <c r="L5" i="4"/>
  <c r="D11" i="4"/>
  <c r="B131" i="3" s="1"/>
  <c r="L17" i="4"/>
  <c r="I119" i="2"/>
  <c r="V119" i="2" s="1"/>
  <c r="M14" i="3"/>
  <c r="D5" i="4"/>
  <c r="L11" i="4"/>
  <c r="J131" i="3" s="1"/>
  <c r="H17" i="4"/>
  <c r="B14" i="3"/>
  <c r="F14" i="3"/>
  <c r="J14" i="3"/>
  <c r="E5" i="4"/>
  <c r="I5" i="4"/>
  <c r="M5" i="4"/>
  <c r="E11" i="4"/>
  <c r="C131" i="3" s="1"/>
  <c r="I11" i="4"/>
  <c r="G131" i="3" s="1"/>
  <c r="M11" i="4"/>
  <c r="K131" i="3" s="1"/>
  <c r="E17" i="4"/>
  <c r="I17" i="4"/>
  <c r="M17" i="4"/>
  <c r="M19" i="4"/>
  <c r="G11" i="8"/>
  <c r="G13" i="8" s="1"/>
  <c r="K11" i="8"/>
  <c r="K13" i="8" s="1"/>
  <c r="O11" i="8"/>
  <c r="O13" i="8" s="1"/>
  <c r="G15" i="8"/>
  <c r="K15" i="8"/>
  <c r="O15" i="8"/>
  <c r="G5" i="4"/>
  <c r="O5" i="4"/>
  <c r="E14" i="3"/>
  <c r="H5" i="4"/>
  <c r="H11" i="4"/>
  <c r="F131" i="3" s="1"/>
  <c r="D17" i="4"/>
  <c r="L19" i="4"/>
  <c r="C14" i="3"/>
  <c r="G14" i="3"/>
  <c r="K14" i="3"/>
  <c r="F17" i="4"/>
  <c r="J17" i="4"/>
  <c r="N17" i="4"/>
  <c r="F19" i="4"/>
  <c r="G17" i="4"/>
  <c r="K17" i="4"/>
  <c r="O17" i="4"/>
  <c r="D21" i="8"/>
  <c r="D19" i="8"/>
  <c r="H21" i="8"/>
  <c r="H19" i="8"/>
  <c r="L21" i="8"/>
  <c r="L19" i="8"/>
  <c r="E21" i="8"/>
  <c r="E19" i="8"/>
  <c r="I19" i="8"/>
  <c r="I21" i="8"/>
  <c r="M21" i="8"/>
  <c r="M19" i="8"/>
  <c r="C443" i="2"/>
  <c r="P443" i="2" s="1"/>
  <c r="G22" i="3"/>
  <c r="L22" i="3"/>
  <c r="E3" i="95"/>
  <c r="E11" i="95" s="1"/>
  <c r="E63" i="95"/>
  <c r="J63" i="95"/>
  <c r="N88" i="3"/>
  <c r="N255" i="3"/>
  <c r="I59" i="95"/>
  <c r="M443" i="2"/>
  <c r="Z443" i="2" s="1"/>
  <c r="N252" i="3"/>
  <c r="E438" i="2"/>
  <c r="E443" i="2" s="1"/>
  <c r="R443" i="2" s="1"/>
  <c r="K438" i="2"/>
  <c r="K443" i="2" s="1"/>
  <c r="X443" i="2" s="1"/>
  <c r="D439" i="2"/>
  <c r="Q439" i="2" s="1"/>
  <c r="I439" i="2"/>
  <c r="V439" i="2" s="1"/>
  <c r="N119" i="3"/>
  <c r="K300" i="3"/>
  <c r="E59" i="95"/>
  <c r="H443" i="2"/>
  <c r="U443" i="2" s="1"/>
  <c r="L443" i="2"/>
  <c r="Y443" i="2" s="1"/>
  <c r="M63" i="95"/>
  <c r="F49" i="95"/>
  <c r="F59" i="95" s="1"/>
  <c r="K59" i="95"/>
  <c r="I300" i="3"/>
  <c r="N197" i="3"/>
  <c r="N251" i="3"/>
  <c r="N163" i="3"/>
  <c r="F22" i="3"/>
  <c r="H61" i="95"/>
  <c r="H63" i="95"/>
  <c r="L59" i="95"/>
  <c r="Q438" i="2"/>
  <c r="U438" i="2"/>
  <c r="Y438" i="2"/>
  <c r="N360" i="3"/>
  <c r="K63" i="95"/>
  <c r="N61" i="3"/>
  <c r="P438" i="2"/>
  <c r="G443" i="2"/>
  <c r="T443" i="2" s="1"/>
  <c r="B22" i="3"/>
  <c r="D63" i="95"/>
  <c r="D61" i="95"/>
  <c r="F300" i="3"/>
  <c r="H59" i="95"/>
  <c r="V438" i="2"/>
  <c r="Z438" i="2"/>
  <c r="N62" i="3"/>
  <c r="K61" i="95"/>
  <c r="M22" i="3"/>
  <c r="O61" i="95"/>
  <c r="J22" i="3"/>
  <c r="L63" i="95"/>
  <c r="L61" i="95"/>
  <c r="D59" i="95"/>
  <c r="B438" i="2"/>
  <c r="F438" i="2"/>
  <c r="J438" i="2"/>
  <c r="J300" i="3"/>
  <c r="G49" i="95"/>
  <c r="G63" i="95" s="1"/>
  <c r="J59" i="95"/>
  <c r="H300" i="3"/>
  <c r="N59" i="95"/>
  <c r="L300" i="3"/>
  <c r="E61" i="95"/>
  <c r="I61" i="95"/>
  <c r="J61" i="95"/>
  <c r="N61" i="95"/>
  <c r="E12" i="3"/>
  <c r="I12" i="3"/>
  <c r="E240" i="2"/>
  <c r="E242" i="2" s="1"/>
  <c r="R242" i="2" s="1"/>
  <c r="I240" i="2"/>
  <c r="I242" i="2" s="1"/>
  <c r="V242" i="2" s="1"/>
  <c r="M240" i="2"/>
  <c r="B12" i="3"/>
  <c r="F12" i="3"/>
  <c r="J12" i="3"/>
  <c r="N24" i="3"/>
  <c r="R415" i="2"/>
  <c r="G41" i="52"/>
  <c r="G43" i="52"/>
  <c r="G45" i="52"/>
  <c r="E30" i="3"/>
  <c r="K41" i="52"/>
  <c r="K43" i="52"/>
  <c r="K45" i="52"/>
  <c r="I30" i="3"/>
  <c r="I416" i="2"/>
  <c r="V416" i="2" s="1"/>
  <c r="X418" i="2"/>
  <c r="H41" i="52"/>
  <c r="L7" i="52"/>
  <c r="L13" i="52" s="1"/>
  <c r="H43" i="52"/>
  <c r="M415" i="2"/>
  <c r="Z415" i="2" s="1"/>
  <c r="M416" i="2"/>
  <c r="Z416" i="2" s="1"/>
  <c r="F415" i="2"/>
  <c r="J415" i="2"/>
  <c r="J416" i="2"/>
  <c r="W416" i="2" s="1"/>
  <c r="B417" i="2"/>
  <c r="L419" i="2"/>
  <c r="B70" i="3"/>
  <c r="N70" i="3" s="1"/>
  <c r="D7" i="52"/>
  <c r="D13" i="52" s="1"/>
  <c r="J41" i="52"/>
  <c r="G7" i="52"/>
  <c r="G13" i="52" s="1"/>
  <c r="G9" i="52"/>
  <c r="K7" i="52"/>
  <c r="K13" i="52" s="1"/>
  <c r="K9" i="52"/>
  <c r="I415" i="2"/>
  <c r="E416" i="2"/>
  <c r="R416" i="2" s="1"/>
  <c r="E417" i="2"/>
  <c r="R417" i="2" s="1"/>
  <c r="I417" i="2"/>
  <c r="V417" i="2" s="1"/>
  <c r="P418" i="2"/>
  <c r="E418" i="2"/>
  <c r="R418" i="2" s="1"/>
  <c r="I418" i="2"/>
  <c r="V418" i="2" s="1"/>
  <c r="M418" i="2"/>
  <c r="Z418" i="2" s="1"/>
  <c r="H7" i="52"/>
  <c r="H13" i="52" s="1"/>
  <c r="J45" i="52"/>
  <c r="F9" i="52"/>
  <c r="J9" i="52"/>
  <c r="N9" i="52"/>
  <c r="M41" i="52"/>
  <c r="J43" i="52"/>
  <c r="H45" i="52"/>
  <c r="O45" i="52"/>
  <c r="O43" i="52"/>
  <c r="O41" i="52"/>
  <c r="M117" i="3"/>
  <c r="Z417" i="2"/>
  <c r="O7" i="52"/>
  <c r="O13" i="52" s="1"/>
  <c r="O11" i="52"/>
  <c r="E17" i="18"/>
  <c r="E19" i="18"/>
  <c r="Q240" i="2"/>
  <c r="F17" i="18"/>
  <c r="J17" i="18"/>
  <c r="N17" i="18"/>
  <c r="F19" i="18"/>
  <c r="J19" i="18"/>
  <c r="N19" i="18"/>
  <c r="M17" i="18"/>
  <c r="M19" i="18"/>
  <c r="I21" i="18"/>
  <c r="G17" i="18"/>
  <c r="K17" i="18"/>
  <c r="O17" i="18"/>
  <c r="G19" i="18"/>
  <c r="K19" i="18"/>
  <c r="O19" i="18"/>
  <c r="I17" i="18"/>
  <c r="D17" i="18"/>
  <c r="H17" i="18"/>
  <c r="L17" i="18"/>
  <c r="D19" i="18"/>
  <c r="H19" i="18"/>
  <c r="L19" i="18"/>
  <c r="D91" i="3"/>
  <c r="L91" i="3"/>
  <c r="E316" i="3"/>
  <c r="N3" i="13"/>
  <c r="L9" i="2"/>
  <c r="L14" i="2" s="1"/>
  <c r="L16" i="2" s="1"/>
  <c r="J3" i="13"/>
  <c r="H9" i="2"/>
  <c r="U9" i="2" s="1"/>
  <c r="H91" i="3"/>
  <c r="F3" i="13"/>
  <c r="H15" i="2"/>
  <c r="U15" i="2" s="1"/>
  <c r="G14" i="13"/>
  <c r="O14" i="13"/>
  <c r="M15" i="2"/>
  <c r="Z15" i="2" s="1"/>
  <c r="E91" i="3"/>
  <c r="O23" i="13"/>
  <c r="M316" i="3" s="1"/>
  <c r="O27" i="13"/>
  <c r="M329" i="3" s="1"/>
  <c r="J23" i="13"/>
  <c r="H316" i="3" s="1"/>
  <c r="F27" i="13"/>
  <c r="D329" i="3" s="1"/>
  <c r="N27" i="13"/>
  <c r="L329" i="3" s="1"/>
  <c r="G14" i="2"/>
  <c r="C14" i="2"/>
  <c r="D15" i="2"/>
  <c r="Q15" i="2" s="1"/>
  <c r="B9" i="2"/>
  <c r="B14" i="2" s="1"/>
  <c r="D3" i="13"/>
  <c r="G33" i="13"/>
  <c r="E408" i="3" s="1"/>
  <c r="L14" i="13"/>
  <c r="J15" i="2"/>
  <c r="W15" i="2" s="1"/>
  <c r="J27" i="13"/>
  <c r="H329" i="3" s="1"/>
  <c r="D9" i="2"/>
  <c r="D14" i="2" s="1"/>
  <c r="Q14" i="2" s="1"/>
  <c r="H3" i="13"/>
  <c r="K14" i="13"/>
  <c r="I15" i="2"/>
  <c r="V15" i="2" s="1"/>
  <c r="E3" i="13"/>
  <c r="K27" i="13"/>
  <c r="I329" i="3" s="1"/>
  <c r="I9" i="2"/>
  <c r="I14" i="2" s="1"/>
  <c r="M9" i="2"/>
  <c r="M14" i="2" s="1"/>
  <c r="F14" i="2"/>
  <c r="J14" i="2"/>
  <c r="N231" i="3"/>
  <c r="N91" i="3"/>
  <c r="R9" i="2"/>
  <c r="S9" i="2"/>
  <c r="W9" i="2"/>
  <c r="P9" i="2"/>
  <c r="T9" i="2"/>
  <c r="X9" i="2"/>
  <c r="F14" i="37"/>
  <c r="D250" i="2"/>
  <c r="Q250" i="2" s="1"/>
  <c r="J19" i="37"/>
  <c r="H31" i="3" s="1"/>
  <c r="N14" i="37"/>
  <c r="L250" i="2"/>
  <c r="Y250" i="2" s="1"/>
  <c r="N19" i="37"/>
  <c r="N47" i="37" s="1"/>
  <c r="F39" i="37"/>
  <c r="D260" i="3" s="1"/>
  <c r="F245" i="2"/>
  <c r="S245" i="2" s="1"/>
  <c r="K245" i="2"/>
  <c r="X245" i="2" s="1"/>
  <c r="D3" i="37"/>
  <c r="D5" i="37" s="1"/>
  <c r="D15" i="37" s="1"/>
  <c r="N3" i="37"/>
  <c r="N13" i="37" s="1"/>
  <c r="H250" i="2"/>
  <c r="U250" i="2" s="1"/>
  <c r="J33" i="37"/>
  <c r="H209" i="3" s="1"/>
  <c r="H19" i="37"/>
  <c r="F31" i="3" s="1"/>
  <c r="M19" i="37"/>
  <c r="L29" i="37"/>
  <c r="J158" i="3" s="1"/>
  <c r="D33" i="37"/>
  <c r="B209" i="3" s="1"/>
  <c r="I33" i="37"/>
  <c r="G209" i="3" s="1"/>
  <c r="E39" i="37"/>
  <c r="C260" i="3" s="1"/>
  <c r="G249" i="2"/>
  <c r="T249" i="2" s="1"/>
  <c r="C249" i="2"/>
  <c r="P249" i="2" s="1"/>
  <c r="N72" i="3"/>
  <c r="N497" i="3"/>
  <c r="T294" i="2"/>
  <c r="K305" i="2"/>
  <c r="X305" i="2" s="1"/>
  <c r="L305" i="2"/>
  <c r="Y305" i="2" s="1"/>
  <c r="E305" i="2"/>
  <c r="R305" i="2" s="1"/>
  <c r="I305" i="2"/>
  <c r="V305" i="2" s="1"/>
  <c r="D305" i="2"/>
  <c r="Q305" i="2" s="1"/>
  <c r="H305" i="2"/>
  <c r="U305" i="2" s="1"/>
  <c r="N521" i="3"/>
  <c r="B305" i="2"/>
  <c r="O305" i="2" s="1"/>
  <c r="F305" i="2"/>
  <c r="S305" i="2" s="1"/>
  <c r="J305" i="2"/>
  <c r="W305" i="2" s="1"/>
  <c r="P294" i="2"/>
  <c r="N75" i="3"/>
  <c r="N433" i="3"/>
  <c r="V294" i="2"/>
  <c r="X296" i="2"/>
  <c r="R294" i="2"/>
  <c r="Z294" i="2"/>
  <c r="Q294" i="2"/>
  <c r="U294" i="2"/>
  <c r="Y294" i="2"/>
  <c r="O294" i="2"/>
  <c r="S294" i="2"/>
  <c r="W294" i="2"/>
  <c r="D121" i="2"/>
  <c r="Q121" i="2" s="1"/>
  <c r="H121" i="2"/>
  <c r="U121" i="2" s="1"/>
  <c r="L121" i="2"/>
  <c r="Y121" i="2" s="1"/>
  <c r="E121" i="2"/>
  <c r="R121" i="2" s="1"/>
  <c r="I121" i="2"/>
  <c r="V121" i="2" s="1"/>
  <c r="D343" i="3"/>
  <c r="H343" i="3"/>
  <c r="L343" i="3"/>
  <c r="M121" i="2"/>
  <c r="Z121" i="2" s="1"/>
  <c r="M343" i="3"/>
  <c r="N504" i="3"/>
  <c r="N32" i="3"/>
  <c r="G11" i="10"/>
  <c r="E170" i="3" s="1"/>
  <c r="K11" i="10"/>
  <c r="I170" i="3" s="1"/>
  <c r="E19" i="10"/>
  <c r="I19" i="10"/>
  <c r="O19" i="10"/>
  <c r="I23" i="10"/>
  <c r="D9" i="11"/>
  <c r="D11" i="11" s="1"/>
  <c r="H9" i="11"/>
  <c r="H11" i="11" s="1"/>
  <c r="L9" i="11"/>
  <c r="L11" i="11" s="1"/>
  <c r="G15" i="11"/>
  <c r="G21" i="11" s="1"/>
  <c r="K15" i="11"/>
  <c r="K23" i="11" s="1"/>
  <c r="O15" i="11"/>
  <c r="O23" i="11" s="1"/>
  <c r="F19" i="10"/>
  <c r="J19" i="10"/>
  <c r="H21" i="10"/>
  <c r="L21" i="10"/>
  <c r="F23" i="10"/>
  <c r="J23" i="10"/>
  <c r="E9" i="11"/>
  <c r="E11" i="11" s="1"/>
  <c r="I9" i="11"/>
  <c r="I11" i="11" s="1"/>
  <c r="D15" i="11"/>
  <c r="H15" i="11"/>
  <c r="L15" i="11"/>
  <c r="M19" i="10"/>
  <c r="O11" i="10"/>
  <c r="M170" i="3" s="1"/>
  <c r="G19" i="10"/>
  <c r="K19" i="10"/>
  <c r="I21" i="10"/>
  <c r="F9" i="11"/>
  <c r="F11" i="11" s="1"/>
  <c r="J9" i="11"/>
  <c r="J11" i="11" s="1"/>
  <c r="D19" i="10"/>
  <c r="H19" i="10"/>
  <c r="L19" i="10"/>
  <c r="F21" i="10"/>
  <c r="J21" i="10"/>
  <c r="M21" i="11"/>
  <c r="N23" i="11"/>
  <c r="N21" i="11"/>
  <c r="N11" i="10"/>
  <c r="N19" i="10"/>
  <c r="M11" i="10"/>
  <c r="L57" i="82"/>
  <c r="L61" i="82"/>
  <c r="L59" i="82"/>
  <c r="J84" i="3"/>
  <c r="H26" i="82"/>
  <c r="F265" i="3" s="1"/>
  <c r="D44" i="82"/>
  <c r="B447" i="3" s="1"/>
  <c r="H3" i="82"/>
  <c r="N419" i="3"/>
  <c r="E383" i="2"/>
  <c r="F384" i="2"/>
  <c r="S384" i="2" s="1"/>
  <c r="H17" i="82"/>
  <c r="B375" i="2"/>
  <c r="D3" i="82"/>
  <c r="S375" i="2"/>
  <c r="F383" i="2"/>
  <c r="L3" i="82"/>
  <c r="J375" i="2"/>
  <c r="B84" i="3"/>
  <c r="N84" i="3" s="1"/>
  <c r="F84" i="3"/>
  <c r="D55" i="82"/>
  <c r="B460" i="3" s="1"/>
  <c r="H44" i="82"/>
  <c r="F447" i="3" s="1"/>
  <c r="H51" i="82"/>
  <c r="F449" i="3" s="1"/>
  <c r="D34" i="82"/>
  <c r="B439" i="3" s="1"/>
  <c r="I383" i="2"/>
  <c r="K5" i="82"/>
  <c r="K18" i="82" s="1"/>
  <c r="K16" i="82"/>
  <c r="C383" i="2"/>
  <c r="P376" i="2"/>
  <c r="D17" i="82"/>
  <c r="Q375" i="2"/>
  <c r="J17" i="82"/>
  <c r="H384" i="2"/>
  <c r="U384" i="2" s="1"/>
  <c r="L17" i="82"/>
  <c r="G3" i="82"/>
  <c r="M3" i="82"/>
  <c r="F17" i="82"/>
  <c r="G59" i="82"/>
  <c r="F38" i="82"/>
  <c r="D440" i="3" s="1"/>
  <c r="I3" i="82"/>
  <c r="J61" i="82"/>
  <c r="H84" i="3"/>
  <c r="N92" i="3"/>
  <c r="T376" i="2"/>
  <c r="K375" i="2"/>
  <c r="E3" i="82"/>
  <c r="O3" i="82"/>
  <c r="O16" i="82" s="1"/>
  <c r="K57" i="82"/>
  <c r="F26" i="82"/>
  <c r="D265" i="3" s="1"/>
  <c r="N59" i="82"/>
  <c r="E44" i="82"/>
  <c r="E61" i="82" s="1"/>
  <c r="I44" i="82"/>
  <c r="I57" i="82" s="1"/>
  <c r="M44" i="82"/>
  <c r="M57" i="82" s="1"/>
  <c r="F59" i="82"/>
  <c r="N51" i="82"/>
  <c r="L449" i="3" s="1"/>
  <c r="I59" i="82"/>
  <c r="M61" i="82"/>
  <c r="M383" i="2"/>
  <c r="Z427" i="2"/>
  <c r="H35" i="49"/>
  <c r="F319" i="3" s="1"/>
  <c r="O3" i="49"/>
  <c r="O16" i="49" s="1"/>
  <c r="M35" i="2"/>
  <c r="M45" i="2" s="1"/>
  <c r="Z45" i="2" s="1"/>
  <c r="K3" i="49"/>
  <c r="K16" i="49" s="1"/>
  <c r="I36" i="2"/>
  <c r="V36" i="2" s="1"/>
  <c r="N52" i="49"/>
  <c r="L495" i="3" s="1"/>
  <c r="H39" i="49"/>
  <c r="F425" i="3" s="1"/>
  <c r="D48" i="49"/>
  <c r="B442" i="3" s="1"/>
  <c r="L48" i="49"/>
  <c r="J442" i="3" s="1"/>
  <c r="H56" i="49"/>
  <c r="F501" i="3" s="1"/>
  <c r="D35" i="49"/>
  <c r="B319" i="3" s="1"/>
  <c r="J35" i="49"/>
  <c r="H319" i="3" s="1"/>
  <c r="H52" i="49"/>
  <c r="F495" i="3" s="1"/>
  <c r="J3" i="49"/>
  <c r="J16" i="49" s="1"/>
  <c r="H35" i="2"/>
  <c r="H45" i="2" s="1"/>
  <c r="U45" i="2" s="1"/>
  <c r="K20" i="49"/>
  <c r="I80" i="3" s="1"/>
  <c r="G30" i="49"/>
  <c r="O30" i="49"/>
  <c r="M223" i="3" s="1"/>
  <c r="K35" i="49"/>
  <c r="I319" i="3" s="1"/>
  <c r="O52" i="49"/>
  <c r="M495" i="3" s="1"/>
  <c r="D35" i="2"/>
  <c r="D3" i="49"/>
  <c r="D16" i="49" s="1"/>
  <c r="L3" i="49"/>
  <c r="L16" i="49" s="1"/>
  <c r="D20" i="49"/>
  <c r="H30" i="49"/>
  <c r="F223" i="3" s="1"/>
  <c r="G35" i="49"/>
  <c r="E319" i="3" s="1"/>
  <c r="L35" i="49"/>
  <c r="J319" i="3" s="1"/>
  <c r="G39" i="49"/>
  <c r="E425" i="3" s="1"/>
  <c r="O39" i="49"/>
  <c r="M425" i="3" s="1"/>
  <c r="K48" i="49"/>
  <c r="I442" i="3" s="1"/>
  <c r="K52" i="49"/>
  <c r="I495" i="3" s="1"/>
  <c r="G56" i="49"/>
  <c r="E501" i="3" s="1"/>
  <c r="D45" i="2"/>
  <c r="Q45" i="2" s="1"/>
  <c r="L45" i="2"/>
  <c r="Y45" i="2" s="1"/>
  <c r="O33" i="37"/>
  <c r="M209" i="3" s="1"/>
  <c r="K14" i="37"/>
  <c r="I250" i="2"/>
  <c r="V250" i="2" s="1"/>
  <c r="K3" i="37"/>
  <c r="D249" i="2"/>
  <c r="H249" i="2"/>
  <c r="L244" i="2"/>
  <c r="L249" i="2" s="1"/>
  <c r="E14" i="37"/>
  <c r="C250" i="2"/>
  <c r="P250" i="2" s="1"/>
  <c r="J3" i="37"/>
  <c r="C31" i="3"/>
  <c r="G31" i="3"/>
  <c r="O14" i="37"/>
  <c r="M250" i="2"/>
  <c r="Z250" i="2" s="1"/>
  <c r="I244" i="2"/>
  <c r="I249" i="2" s="1"/>
  <c r="F3" i="37"/>
  <c r="D31" i="3"/>
  <c r="F45" i="37"/>
  <c r="I14" i="37"/>
  <c r="G250" i="2"/>
  <c r="T250" i="2" s="1"/>
  <c r="G14" i="37"/>
  <c r="E250" i="2"/>
  <c r="R250" i="2" s="1"/>
  <c r="G3" i="37"/>
  <c r="M14" i="37"/>
  <c r="K250" i="2"/>
  <c r="X250" i="2" s="1"/>
  <c r="N393" i="3"/>
  <c r="M247" i="2"/>
  <c r="Z247" i="2" s="1"/>
  <c r="O3" i="37"/>
  <c r="O13" i="37" s="1"/>
  <c r="M31" i="3"/>
  <c r="N175" i="3"/>
  <c r="E249" i="2"/>
  <c r="B249" i="2"/>
  <c r="N229" i="3"/>
  <c r="O245" i="2"/>
  <c r="S244" i="2"/>
  <c r="J249" i="2"/>
  <c r="Y249" i="2"/>
  <c r="T244" i="2"/>
  <c r="U244" i="2"/>
  <c r="P244" i="2"/>
  <c r="Q244" i="2"/>
  <c r="Y244" i="2"/>
  <c r="R244" i="2"/>
  <c r="Z244" i="2"/>
  <c r="E58" i="49"/>
  <c r="E60" i="49"/>
  <c r="E62" i="49"/>
  <c r="C80" i="3"/>
  <c r="M58" i="49"/>
  <c r="M60" i="49"/>
  <c r="K80" i="3"/>
  <c r="M62" i="49"/>
  <c r="E3" i="49"/>
  <c r="E16" i="49" s="1"/>
  <c r="I58" i="49"/>
  <c r="I60" i="49"/>
  <c r="B35" i="2"/>
  <c r="B45" i="2" s="1"/>
  <c r="O45" i="2" s="1"/>
  <c r="H3" i="49"/>
  <c r="H16" i="49" s="1"/>
  <c r="L20" i="49"/>
  <c r="I62" i="49"/>
  <c r="F45" i="2"/>
  <c r="S45" i="2" s="1"/>
  <c r="J35" i="2"/>
  <c r="J45" i="2" s="1"/>
  <c r="W45" i="2" s="1"/>
  <c r="C35" i="2"/>
  <c r="C45" i="2" s="1"/>
  <c r="P45" i="2" s="1"/>
  <c r="G35" i="2"/>
  <c r="G45" i="2" s="1"/>
  <c r="T45" i="2" s="1"/>
  <c r="K35" i="2"/>
  <c r="K45" i="2" s="1"/>
  <c r="N213" i="3"/>
  <c r="E80" i="3"/>
  <c r="O56" i="49"/>
  <c r="M501" i="3" s="1"/>
  <c r="O20" i="49"/>
  <c r="N218" i="3"/>
  <c r="N219" i="3"/>
  <c r="N23" i="3"/>
  <c r="Q35" i="2"/>
  <c r="Y35" i="2"/>
  <c r="S35" i="2"/>
  <c r="V35" i="2"/>
  <c r="M134" i="2"/>
  <c r="Z134" i="2" s="1"/>
  <c r="F134" i="2"/>
  <c r="S134" i="2" s="1"/>
  <c r="E134" i="2"/>
  <c r="R134" i="2" s="1"/>
  <c r="C134" i="2"/>
  <c r="P134" i="2" s="1"/>
  <c r="G134" i="2"/>
  <c r="T134" i="2" s="1"/>
  <c r="K134" i="2"/>
  <c r="X134" i="2" s="1"/>
  <c r="G211" i="3"/>
  <c r="D134" i="2"/>
  <c r="Q134" i="2" s="1"/>
  <c r="H134" i="2"/>
  <c r="U134" i="2" s="1"/>
  <c r="L134" i="2"/>
  <c r="Y134" i="2" s="1"/>
  <c r="C211" i="3"/>
  <c r="K211" i="3"/>
  <c r="J19" i="46"/>
  <c r="F19" i="46"/>
  <c r="N19" i="46"/>
  <c r="G19" i="46"/>
  <c r="K19" i="46"/>
  <c r="O19" i="46"/>
  <c r="N211" i="3"/>
  <c r="N481" i="3"/>
  <c r="I206" i="3"/>
  <c r="B205" i="3"/>
  <c r="N205" i="3" s="1"/>
  <c r="B206" i="3"/>
  <c r="H205" i="3"/>
  <c r="H206" i="3"/>
  <c r="L132" i="2"/>
  <c r="Y132" i="2" s="1"/>
  <c r="B132" i="2"/>
  <c r="O132" i="2" s="1"/>
  <c r="J132" i="2"/>
  <c r="W132" i="2" s="1"/>
  <c r="F205" i="3"/>
  <c r="L205" i="3"/>
  <c r="F206" i="3"/>
  <c r="L206" i="3"/>
  <c r="I132" i="2"/>
  <c r="V132" i="2" s="1"/>
  <c r="E205" i="3"/>
  <c r="E206" i="3"/>
  <c r="H132" i="2"/>
  <c r="U132" i="2" s="1"/>
  <c r="D132" i="2"/>
  <c r="Q132" i="2" s="1"/>
  <c r="D205" i="3"/>
  <c r="N206" i="3"/>
  <c r="C132" i="2"/>
  <c r="P132" i="2" s="1"/>
  <c r="G132" i="2"/>
  <c r="T132" i="2" s="1"/>
  <c r="K132" i="2"/>
  <c r="X132" i="2" s="1"/>
  <c r="D206" i="3"/>
  <c r="E15" i="46"/>
  <c r="M15" i="46"/>
  <c r="M17" i="46"/>
  <c r="O13" i="45"/>
  <c r="O23" i="45" s="1"/>
  <c r="O19" i="45"/>
  <c r="I15" i="46"/>
  <c r="E17" i="46"/>
  <c r="I17" i="46"/>
  <c r="C380" i="3"/>
  <c r="G380" i="3"/>
  <c r="K380" i="3"/>
  <c r="F23" i="46"/>
  <c r="F21" i="46"/>
  <c r="D380" i="3"/>
  <c r="J23" i="46"/>
  <c r="J21" i="46"/>
  <c r="H380" i="3"/>
  <c r="N23" i="46"/>
  <c r="N21" i="46"/>
  <c r="L380" i="3"/>
  <c r="G23" i="46"/>
  <c r="G21" i="46"/>
  <c r="E380" i="3"/>
  <c r="K23" i="46"/>
  <c r="K21" i="46"/>
  <c r="I380" i="3"/>
  <c r="O23" i="46"/>
  <c r="O21" i="46"/>
  <c r="M380" i="3"/>
  <c r="D23" i="46"/>
  <c r="D21" i="46"/>
  <c r="B380" i="3"/>
  <c r="H23" i="46"/>
  <c r="H21" i="46"/>
  <c r="F380" i="3"/>
  <c r="L23" i="46"/>
  <c r="L21" i="46"/>
  <c r="J380" i="3"/>
  <c r="N150" i="3"/>
  <c r="I126" i="2"/>
  <c r="V126" i="2" s="1"/>
  <c r="E148" i="3"/>
  <c r="B126" i="2"/>
  <c r="O126" i="2" s="1"/>
  <c r="E17" i="35"/>
  <c r="D126" i="2"/>
  <c r="Q126" i="2" s="1"/>
  <c r="E126" i="2"/>
  <c r="R126" i="2" s="1"/>
  <c r="M126" i="2"/>
  <c r="Z126" i="2" s="1"/>
  <c r="L126" i="2"/>
  <c r="Y126" i="2" s="1"/>
  <c r="C148" i="3"/>
  <c r="G148" i="3"/>
  <c r="K148" i="3"/>
  <c r="H126" i="2"/>
  <c r="U126" i="2" s="1"/>
  <c r="D148" i="3"/>
  <c r="H148" i="3"/>
  <c r="L148" i="3"/>
  <c r="E13" i="35"/>
  <c r="I13" i="35"/>
  <c r="M13" i="35"/>
  <c r="E15" i="35"/>
  <c r="I15" i="35"/>
  <c r="M15" i="35"/>
  <c r="J13" i="35"/>
  <c r="F15" i="35"/>
  <c r="N15" i="35"/>
  <c r="N17" i="35"/>
  <c r="G13" i="35"/>
  <c r="K13" i="35"/>
  <c r="O13" i="35"/>
  <c r="G15" i="35"/>
  <c r="K15" i="35"/>
  <c r="O15" i="35"/>
  <c r="F13" i="35"/>
  <c r="J15" i="35"/>
  <c r="D13" i="35"/>
  <c r="H13" i="35"/>
  <c r="L13" i="35"/>
  <c r="D15" i="35"/>
  <c r="H15" i="35"/>
  <c r="L15" i="35"/>
  <c r="N149" i="3"/>
  <c r="N148" i="3"/>
  <c r="L122" i="2"/>
  <c r="Y122" i="2" s="1"/>
  <c r="D66" i="3"/>
  <c r="D122" i="2"/>
  <c r="Q122" i="2" s="1"/>
  <c r="C65" i="3"/>
  <c r="O19" i="14"/>
  <c r="K66" i="3"/>
  <c r="G66" i="3"/>
  <c r="L66" i="3"/>
  <c r="G65" i="3"/>
  <c r="C66" i="3"/>
  <c r="H66" i="3"/>
  <c r="M66" i="3"/>
  <c r="N66" i="3" s="1"/>
  <c r="M65" i="3"/>
  <c r="N65" i="3" s="1"/>
  <c r="H13" i="14"/>
  <c r="M122" i="2"/>
  <c r="O5" i="12"/>
  <c r="H7" i="14"/>
  <c r="H9" i="14" s="1"/>
  <c r="F201" i="3" s="1"/>
  <c r="I13" i="14"/>
  <c r="D15" i="14"/>
  <c r="L15" i="14"/>
  <c r="E122" i="2"/>
  <c r="F66" i="3"/>
  <c r="K65" i="3"/>
  <c r="D13" i="14"/>
  <c r="D19" i="14" s="1"/>
  <c r="L13" i="14"/>
  <c r="L7" i="14"/>
  <c r="L9" i="14" s="1"/>
  <c r="J201" i="3" s="1"/>
  <c r="L65" i="3"/>
  <c r="D65" i="3"/>
  <c r="H65" i="3"/>
  <c r="F122" i="2"/>
  <c r="S122" i="2" s="1"/>
  <c r="J122" i="2"/>
  <c r="W122" i="2" s="1"/>
  <c r="E65" i="3"/>
  <c r="I65" i="3"/>
  <c r="C122" i="2"/>
  <c r="G122" i="2"/>
  <c r="K122" i="2"/>
  <c r="B122" i="2"/>
  <c r="O122" i="2" s="1"/>
  <c r="B201" i="3"/>
  <c r="M201" i="3"/>
  <c r="U122" i="2"/>
  <c r="G109" i="3"/>
  <c r="K362" i="2"/>
  <c r="K363" i="2" s="1"/>
  <c r="X363" i="2" s="1"/>
  <c r="C109" i="3"/>
  <c r="H109" i="3"/>
  <c r="G362" i="2"/>
  <c r="G363" i="2" s="1"/>
  <c r="T363" i="2" s="1"/>
  <c r="L362" i="2"/>
  <c r="L363" i="2" s="1"/>
  <c r="Y363" i="2" s="1"/>
  <c r="D362" i="2"/>
  <c r="D363" i="2" s="1"/>
  <c r="Q363" i="2" s="1"/>
  <c r="E362" i="2"/>
  <c r="E363" i="2" s="1"/>
  <c r="R363" i="2" s="1"/>
  <c r="N109" i="3"/>
  <c r="C362" i="2"/>
  <c r="C363" i="2" s="1"/>
  <c r="P363" i="2" s="1"/>
  <c r="E17" i="61"/>
  <c r="I17" i="61"/>
  <c r="M17" i="61"/>
  <c r="E19" i="61"/>
  <c r="I19" i="61"/>
  <c r="M19" i="61"/>
  <c r="N334" i="3"/>
  <c r="D17" i="61"/>
  <c r="H17" i="61"/>
  <c r="L17" i="61"/>
  <c r="D19" i="61"/>
  <c r="H19" i="61"/>
  <c r="L19" i="61"/>
  <c r="D21" i="61"/>
  <c r="H21" i="61"/>
  <c r="L21" i="61"/>
  <c r="F17" i="61"/>
  <c r="J17" i="61"/>
  <c r="N17" i="61"/>
  <c r="F19" i="61"/>
  <c r="J19" i="61"/>
  <c r="N19" i="61"/>
  <c r="N386" i="3"/>
  <c r="N139" i="3"/>
  <c r="G17" i="61"/>
  <c r="K17" i="61"/>
  <c r="O17" i="61"/>
  <c r="G19" i="61"/>
  <c r="K19" i="61"/>
  <c r="O19" i="61"/>
  <c r="N428" i="3"/>
  <c r="O362" i="2"/>
  <c r="W362" i="2"/>
  <c r="U362" i="2"/>
  <c r="S362" i="2"/>
  <c r="V362" i="2"/>
  <c r="Z362" i="2"/>
  <c r="C269" i="2"/>
  <c r="P269" i="2" s="1"/>
  <c r="G269" i="2"/>
  <c r="T269" i="2" s="1"/>
  <c r="K269" i="2"/>
  <c r="V269" i="2"/>
  <c r="G5" i="53"/>
  <c r="K6" i="53"/>
  <c r="O269" i="2"/>
  <c r="W269" i="2"/>
  <c r="H5" i="53"/>
  <c r="D6" i="53"/>
  <c r="L6" i="53"/>
  <c r="E5" i="53"/>
  <c r="I5" i="53"/>
  <c r="M5" i="53"/>
  <c r="Q269" i="2"/>
  <c r="U269" i="2"/>
  <c r="Y269" i="2"/>
  <c r="F5" i="53"/>
  <c r="J5" i="53"/>
  <c r="N5" i="53"/>
  <c r="E5" i="23"/>
  <c r="E8" i="23" s="1"/>
  <c r="M5" i="23"/>
  <c r="M7" i="23" s="1"/>
  <c r="F5" i="23"/>
  <c r="F7" i="23" s="1"/>
  <c r="N5" i="23"/>
  <c r="N8" i="23" s="1"/>
  <c r="E20" i="23"/>
  <c r="C438" i="3" s="1"/>
  <c r="I5" i="23"/>
  <c r="J5" i="23"/>
  <c r="J7" i="23" s="1"/>
  <c r="J20" i="23"/>
  <c r="H438" i="3" s="1"/>
  <c r="L20" i="23"/>
  <c r="J438" i="3" s="1"/>
  <c r="D20" i="23"/>
  <c r="B438" i="3" s="1"/>
  <c r="H20" i="23"/>
  <c r="F438" i="3" s="1"/>
  <c r="M20" i="23"/>
  <c r="K438" i="3" s="1"/>
  <c r="I20" i="23"/>
  <c r="G438" i="3" s="1"/>
  <c r="G5" i="23"/>
  <c r="G7" i="23" s="1"/>
  <c r="K5" i="23"/>
  <c r="K7" i="23" s="1"/>
  <c r="N20" i="23"/>
  <c r="L438" i="3" s="1"/>
  <c r="F20" i="23"/>
  <c r="D438" i="3" s="1"/>
  <c r="C326" i="2"/>
  <c r="C328" i="2" s="1"/>
  <c r="P328" i="2" s="1"/>
  <c r="D326" i="2"/>
  <c r="D328" i="2" s="1"/>
  <c r="L326" i="2"/>
  <c r="Y326" i="2" s="1"/>
  <c r="H326" i="2"/>
  <c r="U326" i="2" s="1"/>
  <c r="I326" i="2"/>
  <c r="V326" i="2" s="1"/>
  <c r="O20" i="23"/>
  <c r="M438" i="3" s="1"/>
  <c r="K326" i="2"/>
  <c r="X326" i="2" s="1"/>
  <c r="G20" i="23"/>
  <c r="E438" i="3" s="1"/>
  <c r="G326" i="2"/>
  <c r="T326" i="2" s="1"/>
  <c r="N477" i="3"/>
  <c r="N412" i="3"/>
  <c r="T327" i="2"/>
  <c r="M90" i="3"/>
  <c r="O26" i="23"/>
  <c r="N435" i="3"/>
  <c r="B90" i="3"/>
  <c r="F90" i="3"/>
  <c r="J90" i="3"/>
  <c r="E90" i="3"/>
  <c r="I90" i="3"/>
  <c r="K20" i="23"/>
  <c r="I438" i="3" s="1"/>
  <c r="E326" i="2"/>
  <c r="R326" i="2" s="1"/>
  <c r="N311" i="3"/>
  <c r="F28" i="23"/>
  <c r="B328" i="2"/>
  <c r="O326" i="2"/>
  <c r="F328" i="2"/>
  <c r="S326" i="2"/>
  <c r="J328" i="2"/>
  <c r="W326" i="2"/>
  <c r="I8" i="23"/>
  <c r="I7" i="23"/>
  <c r="M8" i="23"/>
  <c r="J8" i="23"/>
  <c r="L5" i="23"/>
  <c r="D5" i="23"/>
  <c r="H5" i="23"/>
  <c r="M328" i="2"/>
  <c r="Z326" i="2"/>
  <c r="O5" i="23"/>
  <c r="Q100" i="2" l="1"/>
  <c r="E7" i="23"/>
  <c r="O11" i="89"/>
  <c r="S184" i="2"/>
  <c r="K37" i="19"/>
  <c r="D37" i="19"/>
  <c r="D39" i="19"/>
  <c r="K39" i="19"/>
  <c r="G16" i="2"/>
  <c r="T16" i="2" s="1"/>
  <c r="B324" i="2"/>
  <c r="O324" i="2" s="1"/>
  <c r="J324" i="2"/>
  <c r="W324" i="2" s="1"/>
  <c r="D238" i="2"/>
  <c r="Q238" i="2" s="1"/>
  <c r="Q232" i="2"/>
  <c r="E24" i="23"/>
  <c r="L28" i="23"/>
  <c r="R35" i="2"/>
  <c r="F249" i="2"/>
  <c r="F251" i="2" s="1"/>
  <c r="S251" i="2" s="1"/>
  <c r="F61" i="82"/>
  <c r="J57" i="82"/>
  <c r="G61" i="82"/>
  <c r="G57" i="82"/>
  <c r="U375" i="2"/>
  <c r="E23" i="10"/>
  <c r="T240" i="2"/>
  <c r="I41" i="52"/>
  <c r="M45" i="52"/>
  <c r="X438" i="2"/>
  <c r="G21" i="8"/>
  <c r="J31" i="7"/>
  <c r="H275" i="3"/>
  <c r="L33" i="7"/>
  <c r="O33" i="33"/>
  <c r="E33" i="33"/>
  <c r="H35" i="33"/>
  <c r="E31" i="33"/>
  <c r="F345" i="2"/>
  <c r="S345" i="2" s="1"/>
  <c r="B157" i="2"/>
  <c r="B174" i="2" s="1"/>
  <c r="O174" i="2" s="1"/>
  <c r="K157" i="2"/>
  <c r="X157" i="2" s="1"/>
  <c r="I43" i="37"/>
  <c r="M267" i="2"/>
  <c r="Z267" i="2" s="1"/>
  <c r="I163" i="2"/>
  <c r="V163" i="2" s="1"/>
  <c r="N28" i="30"/>
  <c r="M30" i="30"/>
  <c r="N237" i="3"/>
  <c r="N17" i="56"/>
  <c r="I41" i="19"/>
  <c r="M41" i="19"/>
  <c r="I182" i="2"/>
  <c r="V182" i="2" s="1"/>
  <c r="E21" i="10"/>
  <c r="E51" i="66"/>
  <c r="C163" i="2"/>
  <c r="P163" i="2" s="1"/>
  <c r="G19" i="68"/>
  <c r="D54" i="2"/>
  <c r="Q54" i="2" s="1"/>
  <c r="I45" i="29"/>
  <c r="N38" i="71"/>
  <c r="K36" i="71"/>
  <c r="I43" i="74"/>
  <c r="H23" i="79"/>
  <c r="M25" i="79"/>
  <c r="K28" i="70"/>
  <c r="D32" i="70"/>
  <c r="N28" i="70"/>
  <c r="C147" i="3"/>
  <c r="L21" i="58"/>
  <c r="K23" i="58"/>
  <c r="F5" i="82"/>
  <c r="F18" i="82" s="1"/>
  <c r="L34" i="84"/>
  <c r="F38" i="84"/>
  <c r="D38" i="84"/>
  <c r="G30" i="96"/>
  <c r="J41" i="94"/>
  <c r="H41" i="94"/>
  <c r="W394" i="2"/>
  <c r="O79" i="93"/>
  <c r="L35" i="32"/>
  <c r="D35" i="32"/>
  <c r="E39" i="32"/>
  <c r="L241" i="3"/>
  <c r="F48" i="89"/>
  <c r="K58" i="87"/>
  <c r="E56" i="87"/>
  <c r="G79" i="93"/>
  <c r="H44" i="89"/>
  <c r="D37" i="32"/>
  <c r="E26" i="23"/>
  <c r="K59" i="82"/>
  <c r="F57" i="82"/>
  <c r="W240" i="2"/>
  <c r="I45" i="52"/>
  <c r="M61" i="95"/>
  <c r="L31" i="7"/>
  <c r="I39" i="19"/>
  <c r="E37" i="19"/>
  <c r="L134" i="3"/>
  <c r="H25" i="16"/>
  <c r="I37" i="19"/>
  <c r="E43" i="52"/>
  <c r="G20" i="57"/>
  <c r="L163" i="2"/>
  <c r="Y163" i="2" s="1"/>
  <c r="E294" i="3"/>
  <c r="M39" i="74"/>
  <c r="I69" i="3"/>
  <c r="D28" i="70"/>
  <c r="E23" i="58"/>
  <c r="F147" i="3"/>
  <c r="F36" i="84"/>
  <c r="D36" i="84"/>
  <c r="H34" i="96"/>
  <c r="H45" i="94"/>
  <c r="G75" i="93"/>
  <c r="L39" i="32"/>
  <c r="E37" i="32"/>
  <c r="L37" i="32"/>
  <c r="N39" i="32"/>
  <c r="I39" i="32"/>
  <c r="G21" i="68"/>
  <c r="E28" i="23"/>
  <c r="K47" i="37"/>
  <c r="K61" i="82"/>
  <c r="J59" i="82"/>
  <c r="H419" i="2"/>
  <c r="U419" i="2" s="1"/>
  <c r="L275" i="3"/>
  <c r="L35" i="7"/>
  <c r="E39" i="19"/>
  <c r="H16" i="26"/>
  <c r="H31" i="33"/>
  <c r="E35" i="33"/>
  <c r="I35" i="33"/>
  <c r="N26" i="30"/>
  <c r="F242" i="2"/>
  <c r="S242" i="2" s="1"/>
  <c r="C419" i="2"/>
  <c r="P419" i="2" s="1"/>
  <c r="D20" i="57"/>
  <c r="E49" i="66"/>
  <c r="L51" i="66"/>
  <c r="G47" i="66"/>
  <c r="K163" i="2"/>
  <c r="X163" i="2" s="1"/>
  <c r="I43" i="29"/>
  <c r="H47" i="29"/>
  <c r="H45" i="29"/>
  <c r="N36" i="71"/>
  <c r="K40" i="71"/>
  <c r="O41" i="74"/>
  <c r="I41" i="74"/>
  <c r="N32" i="70"/>
  <c r="B87" i="3"/>
  <c r="G32" i="96"/>
  <c r="H32" i="96"/>
  <c r="J45" i="94"/>
  <c r="G77" i="93"/>
  <c r="G392" i="2"/>
  <c r="T392" i="2" s="1"/>
  <c r="J392" i="2"/>
  <c r="W392" i="2" s="1"/>
  <c r="F12" i="32"/>
  <c r="E35" i="32"/>
  <c r="I35" i="32"/>
  <c r="F44" i="89"/>
  <c r="F46" i="89"/>
  <c r="G56" i="87"/>
  <c r="B373" i="2"/>
  <c r="O373" i="2" s="1"/>
  <c r="J345" i="2"/>
  <c r="W345" i="2" s="1"/>
  <c r="P67" i="3"/>
  <c r="N67" i="3"/>
  <c r="F19" i="55"/>
  <c r="L17" i="56"/>
  <c r="K19" i="56"/>
  <c r="O19" i="55"/>
  <c r="M370" i="3"/>
  <c r="Q370" i="3" s="1"/>
  <c r="J17" i="55"/>
  <c r="L370" i="3"/>
  <c r="N17" i="55"/>
  <c r="E370" i="3"/>
  <c r="J19" i="55"/>
  <c r="D19" i="56"/>
  <c r="G17" i="56"/>
  <c r="E17" i="55"/>
  <c r="H19" i="56"/>
  <c r="M17" i="55"/>
  <c r="G19" i="55"/>
  <c r="I17" i="55"/>
  <c r="L17" i="21"/>
  <c r="K15" i="21"/>
  <c r="E113" i="3"/>
  <c r="L15" i="21"/>
  <c r="G17" i="21"/>
  <c r="K17" i="21"/>
  <c r="D17" i="21"/>
  <c r="O15" i="21"/>
  <c r="O17" i="21"/>
  <c r="F113" i="3"/>
  <c r="D15" i="21"/>
  <c r="H17" i="21"/>
  <c r="Y362" i="2"/>
  <c r="F103" i="3"/>
  <c r="G19" i="42"/>
  <c r="Q200" i="3"/>
  <c r="L17" i="41"/>
  <c r="J103" i="3"/>
  <c r="N200" i="3"/>
  <c r="G19" i="41"/>
  <c r="G17" i="41"/>
  <c r="O22" i="12"/>
  <c r="M13" i="13"/>
  <c r="N83" i="39"/>
  <c r="E202" i="2"/>
  <c r="R202" i="2" s="1"/>
  <c r="G33" i="25"/>
  <c r="P315" i="3"/>
  <c r="Q315" i="3"/>
  <c r="N315" i="3"/>
  <c r="D33" i="7"/>
  <c r="M33" i="7"/>
  <c r="K35" i="7"/>
  <c r="P287" i="3"/>
  <c r="N287" i="3"/>
  <c r="Q287" i="3"/>
  <c r="F35" i="25"/>
  <c r="P90" i="3"/>
  <c r="Q90" i="3"/>
  <c r="P201" i="3"/>
  <c r="Q201" i="3"/>
  <c r="P223" i="3"/>
  <c r="Q223" i="3"/>
  <c r="P117" i="3"/>
  <c r="Q117" i="3"/>
  <c r="N363" i="3"/>
  <c r="P363" i="3"/>
  <c r="Q363" i="3"/>
  <c r="N516" i="3"/>
  <c r="P516" i="3"/>
  <c r="Q516" i="3"/>
  <c r="P346" i="3"/>
  <c r="Q346" i="3"/>
  <c r="N498" i="3"/>
  <c r="P498" i="3"/>
  <c r="Q498" i="3"/>
  <c r="N121" i="3"/>
  <c r="P121" i="3"/>
  <c r="Q121" i="3"/>
  <c r="P17" i="3"/>
  <c r="Q17" i="3"/>
  <c r="N137" i="3"/>
  <c r="P137" i="3"/>
  <c r="Q137" i="3"/>
  <c r="N112" i="3"/>
  <c r="P112" i="3"/>
  <c r="Q112" i="3"/>
  <c r="P280" i="3"/>
  <c r="Q280" i="3"/>
  <c r="P407" i="3"/>
  <c r="Q407" i="3"/>
  <c r="P208" i="3"/>
  <c r="Q208" i="3"/>
  <c r="P261" i="3"/>
  <c r="Q261" i="3"/>
  <c r="P104" i="3"/>
  <c r="Q104" i="3"/>
  <c r="N225" i="3"/>
  <c r="P225" i="3"/>
  <c r="Q225" i="3"/>
  <c r="N434" i="3"/>
  <c r="P434" i="3"/>
  <c r="Q434" i="3"/>
  <c r="P174" i="3"/>
  <c r="Q174" i="3"/>
  <c r="P531" i="3"/>
  <c r="Q531" i="3"/>
  <c r="P413" i="3"/>
  <c r="Q413" i="3"/>
  <c r="N153" i="3"/>
  <c r="P153" i="3"/>
  <c r="Q153" i="3"/>
  <c r="N99" i="3"/>
  <c r="P99" i="3"/>
  <c r="Q99" i="3"/>
  <c r="N220" i="3"/>
  <c r="P220" i="3"/>
  <c r="Q220" i="3"/>
  <c r="N28" i="3"/>
  <c r="P28" i="3"/>
  <c r="Q28" i="3"/>
  <c r="N489" i="3"/>
  <c r="P489" i="3"/>
  <c r="Q489" i="3"/>
  <c r="P447" i="3"/>
  <c r="Q447" i="3"/>
  <c r="N265" i="3"/>
  <c r="P265" i="3"/>
  <c r="Q265" i="3"/>
  <c r="P98" i="3"/>
  <c r="Q98" i="3"/>
  <c r="N87" i="3"/>
  <c r="P87" i="3"/>
  <c r="Q87" i="3"/>
  <c r="P366" i="3"/>
  <c r="Q366" i="3"/>
  <c r="N196" i="3"/>
  <c r="P196" i="3"/>
  <c r="Q196" i="3"/>
  <c r="N325" i="3"/>
  <c r="P325" i="3"/>
  <c r="Q325" i="3"/>
  <c r="P65" i="3"/>
  <c r="Q65" i="3"/>
  <c r="P380" i="3"/>
  <c r="Q380" i="3"/>
  <c r="P31" i="3"/>
  <c r="Q31" i="3"/>
  <c r="P425" i="3"/>
  <c r="Q425" i="3"/>
  <c r="P22" i="3"/>
  <c r="Q22" i="3"/>
  <c r="P26" i="3"/>
  <c r="Q26" i="3"/>
  <c r="P277" i="3"/>
  <c r="Q277" i="3"/>
  <c r="P12" i="3"/>
  <c r="Q12" i="3"/>
  <c r="P408" i="3"/>
  <c r="Q408" i="3"/>
  <c r="N289" i="3"/>
  <c r="P289" i="3"/>
  <c r="Q289" i="3"/>
  <c r="P384" i="3"/>
  <c r="Q384" i="3"/>
  <c r="P348" i="3"/>
  <c r="Q348" i="3"/>
  <c r="N377" i="3"/>
  <c r="P377" i="3"/>
  <c r="Q377" i="3"/>
  <c r="P161" i="3"/>
  <c r="Q161" i="3"/>
  <c r="P464" i="3"/>
  <c r="Q464" i="3"/>
  <c r="P54" i="3"/>
  <c r="Q54" i="3"/>
  <c r="P131" i="3"/>
  <c r="Q131" i="3"/>
  <c r="N217" i="3"/>
  <c r="P217" i="3"/>
  <c r="Q217" i="3"/>
  <c r="P368" i="3"/>
  <c r="Q368" i="3"/>
  <c r="P46" i="3"/>
  <c r="Q46" i="3"/>
  <c r="P376" i="3"/>
  <c r="Q376" i="3"/>
  <c r="P180" i="3"/>
  <c r="Q180" i="3"/>
  <c r="N181" i="3"/>
  <c r="P181" i="3"/>
  <c r="Q181" i="3"/>
  <c r="N182" i="3"/>
  <c r="P182" i="3"/>
  <c r="Q182" i="3"/>
  <c r="P77" i="3"/>
  <c r="Q77" i="3"/>
  <c r="N391" i="3"/>
  <c r="P391" i="3"/>
  <c r="Q391" i="3"/>
  <c r="P108" i="3"/>
  <c r="Q108" i="3"/>
  <c r="N233" i="3"/>
  <c r="P233" i="3"/>
  <c r="Q233" i="3"/>
  <c r="P350" i="3"/>
  <c r="Q350" i="3"/>
  <c r="P439" i="3"/>
  <c r="Q439" i="3"/>
  <c r="N379" i="3"/>
  <c r="P379" i="3"/>
  <c r="Q379" i="3"/>
  <c r="P264" i="3"/>
  <c r="Q264" i="3"/>
  <c r="P381" i="3"/>
  <c r="Q381" i="3"/>
  <c r="N193" i="3"/>
  <c r="P193" i="3"/>
  <c r="Q193" i="3"/>
  <c r="P66" i="3"/>
  <c r="Q66" i="3"/>
  <c r="P501" i="3"/>
  <c r="Q501" i="3"/>
  <c r="P209" i="3"/>
  <c r="Q209" i="3"/>
  <c r="P495" i="3"/>
  <c r="Q495" i="3"/>
  <c r="P170" i="3"/>
  <c r="Q170" i="3"/>
  <c r="N343" i="3"/>
  <c r="P343" i="3"/>
  <c r="Q343" i="3"/>
  <c r="P329" i="3"/>
  <c r="Q329" i="3"/>
  <c r="P275" i="3"/>
  <c r="Q275" i="3"/>
  <c r="P110" i="3"/>
  <c r="Q110" i="3"/>
  <c r="N364" i="3"/>
  <c r="P364" i="3"/>
  <c r="Q364" i="3"/>
  <c r="P262" i="3"/>
  <c r="Q262" i="3"/>
  <c r="N461" i="3"/>
  <c r="P461" i="3"/>
  <c r="Q461" i="3"/>
  <c r="P113" i="3"/>
  <c r="Q113" i="3"/>
  <c r="N132" i="3"/>
  <c r="P132" i="3"/>
  <c r="Q132" i="3"/>
  <c r="N19" i="3"/>
  <c r="P19" i="3"/>
  <c r="Q19" i="3"/>
  <c r="Q519" i="3"/>
  <c r="P519" i="3"/>
  <c r="P68" i="3"/>
  <c r="Q68" i="3"/>
  <c r="N499" i="3"/>
  <c r="P499" i="3"/>
  <c r="Q499" i="3"/>
  <c r="N179" i="3"/>
  <c r="P179" i="3"/>
  <c r="Q179" i="3"/>
  <c r="P45" i="3"/>
  <c r="Q45" i="3"/>
  <c r="P11" i="3"/>
  <c r="Q11" i="3"/>
  <c r="P442" i="3"/>
  <c r="Q442" i="3"/>
  <c r="N242" i="3"/>
  <c r="P242" i="3"/>
  <c r="Q242" i="3"/>
  <c r="P178" i="3"/>
  <c r="Q178" i="3"/>
  <c r="P133" i="3"/>
  <c r="Q133" i="3"/>
  <c r="P232" i="3"/>
  <c r="Q232" i="3"/>
  <c r="P417" i="3"/>
  <c r="Q417" i="3"/>
  <c r="P403" i="3"/>
  <c r="Q403" i="3"/>
  <c r="N234" i="3"/>
  <c r="P234" i="3"/>
  <c r="Q234" i="3"/>
  <c r="N406" i="3"/>
  <c r="P406" i="3"/>
  <c r="Q406" i="3"/>
  <c r="P69" i="3"/>
  <c r="Q69" i="3"/>
  <c r="N449" i="3"/>
  <c r="P449" i="3"/>
  <c r="Q449" i="3"/>
  <c r="P509" i="3"/>
  <c r="Q509" i="3"/>
  <c r="P8" i="3"/>
  <c r="Q8" i="3"/>
  <c r="P241" i="3"/>
  <c r="Q241" i="3"/>
  <c r="N487" i="3"/>
  <c r="P487" i="3"/>
  <c r="Q487" i="3"/>
  <c r="N29" i="3"/>
  <c r="P29" i="3"/>
  <c r="Q29" i="3"/>
  <c r="P168" i="3"/>
  <c r="Q168" i="3"/>
  <c r="P457" i="3"/>
  <c r="Q457" i="3"/>
  <c r="P438" i="3"/>
  <c r="Q438" i="3"/>
  <c r="P316" i="3"/>
  <c r="Q316" i="3"/>
  <c r="P14" i="3"/>
  <c r="Q14" i="3"/>
  <c r="P411" i="3"/>
  <c r="Q411" i="3"/>
  <c r="N160" i="3"/>
  <c r="P160" i="3"/>
  <c r="Q160" i="3"/>
  <c r="P351" i="3"/>
  <c r="Q351" i="3"/>
  <c r="P475" i="3"/>
  <c r="Q475" i="3"/>
  <c r="P71" i="3"/>
  <c r="Q71" i="3"/>
  <c r="N260" i="3"/>
  <c r="P260" i="3"/>
  <c r="Q260" i="3"/>
  <c r="P502" i="3"/>
  <c r="Q502" i="3"/>
  <c r="N226" i="3"/>
  <c r="P226" i="3"/>
  <c r="Q226" i="3"/>
  <c r="P263" i="3"/>
  <c r="Q263" i="3"/>
  <c r="P533" i="3"/>
  <c r="Q533" i="3"/>
  <c r="P135" i="3"/>
  <c r="Q135" i="3"/>
  <c r="P319" i="3"/>
  <c r="Q319" i="3"/>
  <c r="N100" i="3"/>
  <c r="P100" i="3"/>
  <c r="Q100" i="3"/>
  <c r="P471" i="3"/>
  <c r="Q471" i="3"/>
  <c r="P278" i="3"/>
  <c r="Q278" i="3"/>
  <c r="P422" i="3"/>
  <c r="Q422" i="3"/>
  <c r="P326" i="3"/>
  <c r="Q326" i="3"/>
  <c r="P250" i="3"/>
  <c r="Q250" i="3"/>
  <c r="P437" i="3"/>
  <c r="Q437" i="3"/>
  <c r="P383" i="3"/>
  <c r="Q383" i="3"/>
  <c r="P338" i="3"/>
  <c r="Q338" i="3"/>
  <c r="N337" i="3"/>
  <c r="P337" i="3"/>
  <c r="Q337" i="3"/>
  <c r="P324" i="3"/>
  <c r="Q324" i="3"/>
  <c r="P402" i="3"/>
  <c r="Q402" i="3"/>
  <c r="P9" i="3"/>
  <c r="Q9" i="3"/>
  <c r="N303" i="3"/>
  <c r="P303" i="3"/>
  <c r="Q303" i="3"/>
  <c r="P216" i="3"/>
  <c r="Q216" i="3"/>
  <c r="P500" i="3"/>
  <c r="Q500" i="3"/>
  <c r="P460" i="3"/>
  <c r="Q460" i="3"/>
  <c r="N440" i="3"/>
  <c r="P440" i="3"/>
  <c r="Q440" i="3"/>
  <c r="N444" i="3"/>
  <c r="P444" i="3"/>
  <c r="Q444" i="3"/>
  <c r="N420" i="3"/>
  <c r="P420" i="3"/>
  <c r="Q420" i="3"/>
  <c r="N300" i="3"/>
  <c r="P300" i="3"/>
  <c r="Q300" i="3"/>
  <c r="N156" i="3"/>
  <c r="P156" i="3"/>
  <c r="Q156" i="3"/>
  <c r="N491" i="3"/>
  <c r="P491" i="3"/>
  <c r="Q491" i="3"/>
  <c r="P155" i="3"/>
  <c r="Q155" i="3"/>
  <c r="G32" i="75"/>
  <c r="K34" i="75"/>
  <c r="L34" i="75"/>
  <c r="L36" i="75"/>
  <c r="L32" i="75"/>
  <c r="K36" i="75"/>
  <c r="L292" i="2"/>
  <c r="Y292" i="2" s="1"/>
  <c r="H33" i="7"/>
  <c r="O33" i="7"/>
  <c r="E33" i="7"/>
  <c r="M35" i="7"/>
  <c r="O35" i="7"/>
  <c r="E35" i="7"/>
  <c r="K33" i="7"/>
  <c r="M31" i="7"/>
  <c r="I33" i="7"/>
  <c r="D31" i="7"/>
  <c r="N275" i="3"/>
  <c r="K31" i="7"/>
  <c r="E31" i="7"/>
  <c r="D35" i="7"/>
  <c r="K275" i="3"/>
  <c r="N338" i="3"/>
  <c r="X47" i="2"/>
  <c r="K56" i="87"/>
  <c r="H56" i="87"/>
  <c r="H60" i="87"/>
  <c r="H436" i="2"/>
  <c r="U436" i="2" s="1"/>
  <c r="O19" i="4"/>
  <c r="G21" i="4"/>
  <c r="N264" i="3"/>
  <c r="G19" i="4"/>
  <c r="J19" i="4"/>
  <c r="N155" i="3"/>
  <c r="M17" i="27"/>
  <c r="N180" i="3"/>
  <c r="N168" i="3"/>
  <c r="N17" i="27"/>
  <c r="D338" i="2"/>
  <c r="D341" i="2" s="1"/>
  <c r="Q341" i="2" s="1"/>
  <c r="I33" i="25"/>
  <c r="D33" i="25"/>
  <c r="L35" i="25"/>
  <c r="N113" i="3"/>
  <c r="K35" i="25"/>
  <c r="E17" i="3"/>
  <c r="J37" i="25"/>
  <c r="J33" i="25"/>
  <c r="K33" i="25"/>
  <c r="I17" i="3"/>
  <c r="J35" i="25"/>
  <c r="I190" i="2"/>
  <c r="V190" i="2" s="1"/>
  <c r="M38" i="84"/>
  <c r="N495" i="3"/>
  <c r="J61" i="2"/>
  <c r="W61" i="2" s="1"/>
  <c r="F61" i="2"/>
  <c r="S61" i="2" s="1"/>
  <c r="K61" i="2"/>
  <c r="X61" i="2" s="1"/>
  <c r="N439" i="3"/>
  <c r="N110" i="3"/>
  <c r="N277" i="3"/>
  <c r="N457" i="3"/>
  <c r="N131" i="3"/>
  <c r="N501" i="3"/>
  <c r="N350" i="3"/>
  <c r="N19" i="4"/>
  <c r="H19" i="4"/>
  <c r="N19" i="8"/>
  <c r="J21" i="8"/>
  <c r="N437" i="3"/>
  <c r="N402" i="3"/>
  <c r="L21" i="4"/>
  <c r="N21" i="4"/>
  <c r="N319" i="3"/>
  <c r="F19" i="8"/>
  <c r="N135" i="3"/>
  <c r="J21" i="4"/>
  <c r="N366" i="3"/>
  <c r="N133" i="3"/>
  <c r="N98" i="3"/>
  <c r="N11" i="3"/>
  <c r="H17" i="39"/>
  <c r="N533" i="3"/>
  <c r="N8" i="3"/>
  <c r="N241" i="3"/>
  <c r="N324" i="3"/>
  <c r="N411" i="3"/>
  <c r="N500" i="3"/>
  <c r="N14" i="3"/>
  <c r="N346" i="3"/>
  <c r="M37" i="19"/>
  <c r="M36" i="71"/>
  <c r="L36" i="71"/>
  <c r="E36" i="71"/>
  <c r="L40" i="71"/>
  <c r="L38" i="71"/>
  <c r="M40" i="71"/>
  <c r="I38" i="71"/>
  <c r="P428" i="2"/>
  <c r="G428" i="2"/>
  <c r="Q428" i="2"/>
  <c r="G58" i="87"/>
  <c r="I56" i="87"/>
  <c r="D56" i="87"/>
  <c r="G60" i="87"/>
  <c r="D60" i="87"/>
  <c r="M305" i="2"/>
  <c r="Z305" i="2" s="1"/>
  <c r="H58" i="87"/>
  <c r="M60" i="87"/>
  <c r="I58" i="87"/>
  <c r="O56" i="87"/>
  <c r="M58" i="87"/>
  <c r="M56" i="87"/>
  <c r="D58" i="87"/>
  <c r="O60" i="87"/>
  <c r="O58" i="87"/>
  <c r="L12" i="89"/>
  <c r="L11" i="89"/>
  <c r="E11" i="89"/>
  <c r="E12" i="89"/>
  <c r="F11" i="89"/>
  <c r="F12" i="89"/>
  <c r="I11" i="89"/>
  <c r="I12" i="89"/>
  <c r="M11" i="89"/>
  <c r="M12" i="89"/>
  <c r="D23" i="79"/>
  <c r="K25" i="79"/>
  <c r="K23" i="79"/>
  <c r="N23" i="79"/>
  <c r="N25" i="79"/>
  <c r="K12" i="32"/>
  <c r="K11" i="32"/>
  <c r="F392" i="2"/>
  <c r="S392" i="2" s="1"/>
  <c r="O35" i="32"/>
  <c r="G12" i="32"/>
  <c r="G11" i="32"/>
  <c r="O37" i="32"/>
  <c r="O12" i="32"/>
  <c r="M392" i="2"/>
  <c r="Z392" i="2" s="1"/>
  <c r="M328" i="3"/>
  <c r="O39" i="32"/>
  <c r="F401" i="2"/>
  <c r="S401" i="2" s="1"/>
  <c r="M75" i="93"/>
  <c r="M79" i="93"/>
  <c r="M77" i="93"/>
  <c r="M401" i="2"/>
  <c r="Z401" i="2" s="1"/>
  <c r="O75" i="93"/>
  <c r="O77" i="93"/>
  <c r="O43" i="94"/>
  <c r="O45" i="94"/>
  <c r="M41" i="94"/>
  <c r="M43" i="94"/>
  <c r="M45" i="94"/>
  <c r="K8" i="3"/>
  <c r="E41" i="94"/>
  <c r="E43" i="94"/>
  <c r="E45" i="94"/>
  <c r="C8" i="3"/>
  <c r="I41" i="94"/>
  <c r="I43" i="94"/>
  <c r="I45" i="94"/>
  <c r="G8" i="3"/>
  <c r="M314" i="2"/>
  <c r="Z314" i="2" s="1"/>
  <c r="F63" i="95"/>
  <c r="F61" i="95"/>
  <c r="D300" i="3"/>
  <c r="O63" i="95"/>
  <c r="O59" i="95"/>
  <c r="R438" i="2"/>
  <c r="O32" i="96"/>
  <c r="O34" i="96"/>
  <c r="N509" i="3"/>
  <c r="O30" i="96"/>
  <c r="J34" i="96"/>
  <c r="L34" i="96"/>
  <c r="D32" i="96"/>
  <c r="L30" i="96"/>
  <c r="J30" i="96"/>
  <c r="D30" i="96"/>
  <c r="J32" i="96"/>
  <c r="Z100" i="2"/>
  <c r="H87" i="3"/>
  <c r="F34" i="84"/>
  <c r="G36" i="84"/>
  <c r="J36" i="84"/>
  <c r="G38" i="84"/>
  <c r="I38" i="84"/>
  <c r="G61" i="2"/>
  <c r="T61" i="2" s="1"/>
  <c r="B61" i="2"/>
  <c r="O61" i="2" s="1"/>
  <c r="L98" i="3"/>
  <c r="N34" i="84"/>
  <c r="N38" i="84"/>
  <c r="E38" i="84"/>
  <c r="O34" i="84"/>
  <c r="K36" i="84"/>
  <c r="N36" i="84"/>
  <c r="M36" i="84"/>
  <c r="I36" i="84"/>
  <c r="E36" i="84"/>
  <c r="K34" i="84"/>
  <c r="K38" i="84"/>
  <c r="M34" i="84"/>
  <c r="I34" i="84"/>
  <c r="E34" i="84"/>
  <c r="O36" i="84"/>
  <c r="M61" i="2"/>
  <c r="Z61" i="2" s="1"/>
  <c r="O38" i="84"/>
  <c r="F174" i="2"/>
  <c r="S174" i="2" s="1"/>
  <c r="J5" i="82"/>
  <c r="J18" i="82" s="1"/>
  <c r="N57" i="82"/>
  <c r="N16" i="82"/>
  <c r="N5" i="82"/>
  <c r="N18" i="82" s="1"/>
  <c r="L385" i="2"/>
  <c r="N460" i="3"/>
  <c r="O5" i="82"/>
  <c r="O18" i="82" s="1"/>
  <c r="O59" i="82"/>
  <c r="O57" i="82"/>
  <c r="O61" i="82"/>
  <c r="N447" i="3"/>
  <c r="D385" i="2"/>
  <c r="G385" i="2"/>
  <c r="N48" i="81"/>
  <c r="N44" i="81"/>
  <c r="K46" i="81"/>
  <c r="K48" i="81"/>
  <c r="L44" i="81"/>
  <c r="G48" i="81"/>
  <c r="L46" i="81"/>
  <c r="I46" i="81"/>
  <c r="N46" i="81"/>
  <c r="E44" i="81"/>
  <c r="H46" i="81"/>
  <c r="E46" i="81"/>
  <c r="N502" i="3"/>
  <c r="J46" i="81"/>
  <c r="L48" i="81"/>
  <c r="D48" i="81"/>
  <c r="D44" i="81"/>
  <c r="H48" i="81"/>
  <c r="O46" i="81"/>
  <c r="O48" i="81"/>
  <c r="G30" i="70"/>
  <c r="H359" i="2"/>
  <c r="U359" i="2" s="1"/>
  <c r="F359" i="2"/>
  <c r="S359" i="2" s="1"/>
  <c r="L32" i="70"/>
  <c r="L30" i="70"/>
  <c r="N69" i="3"/>
  <c r="O28" i="70"/>
  <c r="O30" i="70"/>
  <c r="O32" i="70"/>
  <c r="M359" i="2"/>
  <c r="Z359" i="2" s="1"/>
  <c r="D359" i="2"/>
  <c r="Q359" i="2" s="1"/>
  <c r="G32" i="70"/>
  <c r="G28" i="70"/>
  <c r="P355" i="2"/>
  <c r="C359" i="2"/>
  <c r="P359" i="2" s="1"/>
  <c r="T355" i="2"/>
  <c r="G359" i="2"/>
  <c r="T359" i="2" s="1"/>
  <c r="X355" i="2"/>
  <c r="K359" i="2"/>
  <c r="X359" i="2" s="1"/>
  <c r="K373" i="2"/>
  <c r="X373" i="2" s="1"/>
  <c r="G373" i="2"/>
  <c r="T373" i="2" s="1"/>
  <c r="D373" i="2"/>
  <c r="Q373" i="2" s="1"/>
  <c r="L373" i="2"/>
  <c r="Y373" i="2" s="1"/>
  <c r="M373" i="2"/>
  <c r="Z373" i="2" s="1"/>
  <c r="I373" i="2"/>
  <c r="V373" i="2" s="1"/>
  <c r="H373" i="2"/>
  <c r="U373" i="2" s="1"/>
  <c r="C373" i="2"/>
  <c r="P373" i="2" s="1"/>
  <c r="E373" i="2"/>
  <c r="R373" i="2" s="1"/>
  <c r="I23" i="78"/>
  <c r="I25" i="78"/>
  <c r="D25" i="79"/>
  <c r="D23" i="78"/>
  <c r="D25" i="78"/>
  <c r="I108" i="3"/>
  <c r="G23" i="79"/>
  <c r="F25" i="79"/>
  <c r="L25" i="78"/>
  <c r="L23" i="78"/>
  <c r="H25" i="78"/>
  <c r="H23" i="78"/>
  <c r="F23" i="79"/>
  <c r="E23" i="78"/>
  <c r="E25" i="78"/>
  <c r="G25" i="79"/>
  <c r="M23" i="78"/>
  <c r="M25" i="78"/>
  <c r="O25" i="78"/>
  <c r="O23" i="78"/>
  <c r="N108" i="3"/>
  <c r="G36" i="75"/>
  <c r="I292" i="2"/>
  <c r="V292" i="2" s="1"/>
  <c r="B292" i="2"/>
  <c r="O292" i="2" s="1"/>
  <c r="G34" i="75"/>
  <c r="D34" i="75"/>
  <c r="H36" i="75"/>
  <c r="X287" i="2"/>
  <c r="R287" i="2"/>
  <c r="J36" i="75"/>
  <c r="K32" i="75"/>
  <c r="N348" i="3"/>
  <c r="J292" i="2"/>
  <c r="W292" i="2" s="1"/>
  <c r="F32" i="75"/>
  <c r="N216" i="3"/>
  <c r="D32" i="75"/>
  <c r="D36" i="75"/>
  <c r="H32" i="75"/>
  <c r="F292" i="2"/>
  <c r="S292" i="2" s="1"/>
  <c r="N34" i="75"/>
  <c r="F34" i="75"/>
  <c r="O34" i="75"/>
  <c r="N36" i="75"/>
  <c r="H34" i="75"/>
  <c r="N32" i="75"/>
  <c r="J43" i="74"/>
  <c r="O39" i="74"/>
  <c r="T104" i="2"/>
  <c r="N43" i="74"/>
  <c r="O43" i="74"/>
  <c r="M41" i="74"/>
  <c r="J41" i="74"/>
  <c r="D113" i="2"/>
  <c r="Q113" i="2" s="1"/>
  <c r="C113" i="2"/>
  <c r="P113" i="2" s="1"/>
  <c r="G113" i="2"/>
  <c r="T113" i="2" s="1"/>
  <c r="F41" i="74"/>
  <c r="E41" i="74"/>
  <c r="F43" i="74"/>
  <c r="Z104" i="2"/>
  <c r="M43" i="74"/>
  <c r="M113" i="2"/>
  <c r="Z113" i="2" s="1"/>
  <c r="L113" i="2"/>
  <c r="Y113" i="2" s="1"/>
  <c r="F39" i="74"/>
  <c r="N39" i="74"/>
  <c r="H111" i="2"/>
  <c r="N41" i="74"/>
  <c r="N9" i="3"/>
  <c r="E43" i="74"/>
  <c r="E39" i="74"/>
  <c r="F111" i="2"/>
  <c r="S104" i="2"/>
  <c r="I111" i="2"/>
  <c r="V104" i="2"/>
  <c r="B111" i="2"/>
  <c r="O104" i="2"/>
  <c r="E111" i="2"/>
  <c r="R104" i="2"/>
  <c r="K113" i="2"/>
  <c r="X113" i="2" s="1"/>
  <c r="K39" i="74"/>
  <c r="K41" i="74"/>
  <c r="K43" i="74"/>
  <c r="I9" i="3"/>
  <c r="J111" i="2"/>
  <c r="W104" i="2"/>
  <c r="L201" i="3"/>
  <c r="E19" i="14"/>
  <c r="N19" i="14"/>
  <c r="E21" i="14"/>
  <c r="O36" i="71"/>
  <c r="E38" i="71"/>
  <c r="H38" i="71"/>
  <c r="I36" i="71"/>
  <c r="O38" i="71"/>
  <c r="J36" i="71"/>
  <c r="E40" i="71"/>
  <c r="H36" i="71"/>
  <c r="H430" i="2"/>
  <c r="U430" i="2" s="1"/>
  <c r="O40" i="71"/>
  <c r="J38" i="71"/>
  <c r="H40" i="71"/>
  <c r="I40" i="71"/>
  <c r="K428" i="2"/>
  <c r="K430" i="2" s="1"/>
  <c r="X430" i="2" s="1"/>
  <c r="N40" i="71"/>
  <c r="L430" i="2"/>
  <c r="Y430" i="2" s="1"/>
  <c r="I428" i="2"/>
  <c r="V421" i="2"/>
  <c r="M428" i="2"/>
  <c r="F430" i="2"/>
  <c r="S430" i="2" s="1"/>
  <c r="S428" i="2"/>
  <c r="B428" i="2"/>
  <c r="J428" i="2"/>
  <c r="R421" i="2"/>
  <c r="E428" i="2"/>
  <c r="D43" i="29"/>
  <c r="D45" i="29"/>
  <c r="K43" i="29"/>
  <c r="D47" i="29"/>
  <c r="K45" i="29"/>
  <c r="F77" i="3"/>
  <c r="K47" i="29"/>
  <c r="L43" i="29"/>
  <c r="H43" i="29"/>
  <c r="G45" i="29"/>
  <c r="G43" i="29"/>
  <c r="N77" i="3"/>
  <c r="L54" i="2"/>
  <c r="Y54" i="2" s="1"/>
  <c r="M54" i="2"/>
  <c r="Z54" i="2" s="1"/>
  <c r="E54" i="2"/>
  <c r="R54" i="2" s="1"/>
  <c r="L47" i="29"/>
  <c r="L45" i="29"/>
  <c r="E43" i="29"/>
  <c r="G47" i="29"/>
  <c r="O43" i="29"/>
  <c r="M47" i="29"/>
  <c r="M45" i="29"/>
  <c r="O45" i="29"/>
  <c r="E45" i="29"/>
  <c r="U47" i="2"/>
  <c r="I54" i="2"/>
  <c r="V54" i="2" s="1"/>
  <c r="E47" i="29"/>
  <c r="M43" i="29"/>
  <c r="O47" i="29"/>
  <c r="M290" i="3"/>
  <c r="X79" i="2"/>
  <c r="H89" i="2"/>
  <c r="U89" i="2" s="1"/>
  <c r="H45" i="63"/>
  <c r="E43" i="63"/>
  <c r="J45" i="63"/>
  <c r="O47" i="63"/>
  <c r="G86" i="2"/>
  <c r="T86" i="2" s="1"/>
  <c r="G45" i="63"/>
  <c r="G43" i="63"/>
  <c r="C86" i="2"/>
  <c r="P86" i="2" s="1"/>
  <c r="O5" i="63"/>
  <c r="O17" i="63" s="1"/>
  <c r="N5" i="63"/>
  <c r="N17" i="63" s="1"/>
  <c r="E15" i="63"/>
  <c r="L89" i="2"/>
  <c r="Y89" i="2" s="1"/>
  <c r="G89" i="2"/>
  <c r="T89" i="2" s="1"/>
  <c r="M45" i="63"/>
  <c r="L43" i="63"/>
  <c r="I47" i="63"/>
  <c r="N47" i="63"/>
  <c r="I43" i="63"/>
  <c r="K43" i="63"/>
  <c r="M47" i="63"/>
  <c r="N45" i="63"/>
  <c r="I5" i="63"/>
  <c r="I17" i="63" s="1"/>
  <c r="J89" i="2"/>
  <c r="W89" i="2" s="1"/>
  <c r="L47" i="63"/>
  <c r="I45" i="63"/>
  <c r="J47" i="63"/>
  <c r="H43" i="63"/>
  <c r="E45" i="63"/>
  <c r="E47" i="63"/>
  <c r="J43" i="63"/>
  <c r="N43" i="63"/>
  <c r="F45" i="63"/>
  <c r="M43" i="63"/>
  <c r="F47" i="63"/>
  <c r="H47" i="63"/>
  <c r="F43" i="63"/>
  <c r="D89" i="2"/>
  <c r="Q89" i="2" s="1"/>
  <c r="L45" i="63"/>
  <c r="N383" i="3"/>
  <c r="J5" i="63"/>
  <c r="J17" i="63" s="1"/>
  <c r="J15" i="63"/>
  <c r="Z79" i="2"/>
  <c r="M86" i="2"/>
  <c r="K47" i="63"/>
  <c r="D47" i="63"/>
  <c r="V79" i="2"/>
  <c r="I86" i="2"/>
  <c r="K45" i="63"/>
  <c r="D45" i="63"/>
  <c r="R79" i="2"/>
  <c r="E86" i="2"/>
  <c r="F89" i="2"/>
  <c r="S89" i="2" s="1"/>
  <c r="B89" i="2"/>
  <c r="O89" i="2" s="1"/>
  <c r="D43" i="63"/>
  <c r="M242" i="2"/>
  <c r="Z242" i="2" s="1"/>
  <c r="M163" i="2"/>
  <c r="Z163" i="2" s="1"/>
  <c r="D163" i="2"/>
  <c r="Q163" i="2" s="1"/>
  <c r="C174" i="2"/>
  <c r="P174" i="2" s="1"/>
  <c r="E163" i="2"/>
  <c r="R163" i="2" s="1"/>
  <c r="H163" i="2"/>
  <c r="U163" i="2" s="1"/>
  <c r="O51" i="66"/>
  <c r="K226" i="2"/>
  <c r="X226" i="2" s="1"/>
  <c r="Q221" i="2"/>
  <c r="M49" i="66"/>
  <c r="M47" i="66"/>
  <c r="M51" i="66"/>
  <c r="L49" i="66"/>
  <c r="Y221" i="2"/>
  <c r="O47" i="66"/>
  <c r="E47" i="66"/>
  <c r="C226" i="2"/>
  <c r="P226" i="2" s="1"/>
  <c r="G51" i="66"/>
  <c r="C182" i="3"/>
  <c r="I51" i="66"/>
  <c r="K182" i="3"/>
  <c r="Z221" i="2"/>
  <c r="I41" i="64"/>
  <c r="G56" i="3"/>
  <c r="N403" i="3"/>
  <c r="E98" i="2"/>
  <c r="R98" i="2" s="1"/>
  <c r="H39" i="64"/>
  <c r="M41" i="64"/>
  <c r="G98" i="2"/>
  <c r="T98" i="2" s="1"/>
  <c r="M43" i="64"/>
  <c r="I98" i="2"/>
  <c r="V98" i="2" s="1"/>
  <c r="K56" i="3"/>
  <c r="F56" i="3"/>
  <c r="M39" i="64"/>
  <c r="N413" i="3"/>
  <c r="L41" i="64"/>
  <c r="E39" i="64"/>
  <c r="K41" i="64"/>
  <c r="L43" i="64"/>
  <c r="O41" i="64"/>
  <c r="D41" i="64"/>
  <c r="G39" i="64"/>
  <c r="Z91" i="2"/>
  <c r="L39" i="64"/>
  <c r="H43" i="64"/>
  <c r="I43" i="64"/>
  <c r="M56" i="3"/>
  <c r="H98" i="2"/>
  <c r="U98" i="2" s="1"/>
  <c r="I39" i="64"/>
  <c r="B56" i="3"/>
  <c r="G43" i="64"/>
  <c r="D43" i="64"/>
  <c r="O43" i="64"/>
  <c r="H41" i="64"/>
  <c r="D39" i="64"/>
  <c r="O39" i="64"/>
  <c r="E41" i="64"/>
  <c r="L98" i="2"/>
  <c r="Y98" i="2" s="1"/>
  <c r="C56" i="3"/>
  <c r="E43" i="64"/>
  <c r="G41" i="64"/>
  <c r="K39" i="64"/>
  <c r="K43" i="64"/>
  <c r="D98" i="2"/>
  <c r="Q98" i="2" s="1"/>
  <c r="X87" i="2"/>
  <c r="K89" i="2"/>
  <c r="X89" i="2" s="1"/>
  <c r="P87" i="2"/>
  <c r="H21" i="31"/>
  <c r="H6" i="31"/>
  <c r="H25" i="31" s="1"/>
  <c r="N531" i="3"/>
  <c r="N417" i="3"/>
  <c r="K21" i="31"/>
  <c r="I78" i="31"/>
  <c r="G21" i="31"/>
  <c r="K22" i="31"/>
  <c r="I76" i="31"/>
  <c r="I80" i="31"/>
  <c r="P204" i="2"/>
  <c r="O6" i="31"/>
  <c r="O25" i="31" s="1"/>
  <c r="F216" i="2"/>
  <c r="F219" i="2" s="1"/>
  <c r="S219" i="2" s="1"/>
  <c r="N80" i="31"/>
  <c r="N46" i="3"/>
  <c r="F22" i="31"/>
  <c r="F6" i="31"/>
  <c r="F25" i="31" s="1"/>
  <c r="N76" i="31"/>
  <c r="I216" i="2"/>
  <c r="V216" i="2" s="1"/>
  <c r="N78" i="31"/>
  <c r="H78" i="31"/>
  <c r="O21" i="31"/>
  <c r="L22" i="31"/>
  <c r="L219" i="2"/>
  <c r="Y219" i="2" s="1"/>
  <c r="G80" i="31"/>
  <c r="D80" i="31"/>
  <c r="L21" i="31"/>
  <c r="X204" i="2"/>
  <c r="N21" i="31"/>
  <c r="T204" i="2"/>
  <c r="D216" i="2"/>
  <c r="Q216" i="2" s="1"/>
  <c r="N250" i="3"/>
  <c r="N232" i="3"/>
  <c r="H76" i="31"/>
  <c r="D22" i="31"/>
  <c r="N368" i="3"/>
  <c r="N376" i="3"/>
  <c r="F76" i="31"/>
  <c r="D6" i="31"/>
  <c r="D25" i="31" s="1"/>
  <c r="E219" i="2"/>
  <c r="R219" i="2" s="1"/>
  <c r="L76" i="31"/>
  <c r="J80" i="31"/>
  <c r="H80" i="31"/>
  <c r="O78" i="31"/>
  <c r="K76" i="31"/>
  <c r="J78" i="31"/>
  <c r="N6" i="31"/>
  <c r="N25" i="31" s="1"/>
  <c r="O76" i="31"/>
  <c r="O80" i="31"/>
  <c r="K80" i="31"/>
  <c r="F80" i="31"/>
  <c r="D78" i="31"/>
  <c r="L80" i="31"/>
  <c r="G78" i="31"/>
  <c r="K78" i="31"/>
  <c r="G76" i="31"/>
  <c r="F78" i="31"/>
  <c r="D76" i="31"/>
  <c r="J76" i="31"/>
  <c r="L78" i="31"/>
  <c r="M219" i="2"/>
  <c r="Z219" i="2" s="1"/>
  <c r="G219" i="2"/>
  <c r="T219" i="2" s="1"/>
  <c r="J219" i="2"/>
  <c r="W219" i="2" s="1"/>
  <c r="W216" i="2"/>
  <c r="B219" i="2"/>
  <c r="O219" i="2" s="1"/>
  <c r="O23" i="58"/>
  <c r="O21" i="58"/>
  <c r="M147" i="3"/>
  <c r="I19" i="55"/>
  <c r="M19" i="55"/>
  <c r="N422" i="3"/>
  <c r="N326" i="3"/>
  <c r="G76" i="57"/>
  <c r="G78" i="57"/>
  <c r="J20" i="57"/>
  <c r="O76" i="57"/>
  <c r="G267" i="2"/>
  <c r="T267" i="2" s="1"/>
  <c r="J74" i="57"/>
  <c r="H20" i="57"/>
  <c r="G74" i="57"/>
  <c r="N174" i="3"/>
  <c r="K74" i="57"/>
  <c r="J78" i="57"/>
  <c r="K78" i="57"/>
  <c r="J76" i="57"/>
  <c r="N178" i="3"/>
  <c r="K76" i="57"/>
  <c r="O5" i="57"/>
  <c r="O22" i="57" s="1"/>
  <c r="J285" i="2"/>
  <c r="W285" i="2" s="1"/>
  <c r="B285" i="2"/>
  <c r="O285" i="2" s="1"/>
  <c r="E283" i="2"/>
  <c r="E285" i="2" s="1"/>
  <c r="R285" i="2" s="1"/>
  <c r="S271" i="2"/>
  <c r="N278" i="3"/>
  <c r="F78" i="57"/>
  <c r="L20" i="57"/>
  <c r="N471" i="3"/>
  <c r="I283" i="2"/>
  <c r="H74" i="57"/>
  <c r="O78" i="57"/>
  <c r="N78" i="57"/>
  <c r="N76" i="57"/>
  <c r="F76" i="57"/>
  <c r="N74" i="57"/>
  <c r="L78" i="57"/>
  <c r="O74" i="57"/>
  <c r="F74" i="57"/>
  <c r="D74" i="57"/>
  <c r="S283" i="2"/>
  <c r="F285" i="2"/>
  <c r="S285" i="2" s="1"/>
  <c r="M285" i="2"/>
  <c r="Z285" i="2" s="1"/>
  <c r="C283" i="2"/>
  <c r="P271" i="2"/>
  <c r="H78" i="57"/>
  <c r="N5" i="57"/>
  <c r="N22" i="57" s="1"/>
  <c r="N20" i="57"/>
  <c r="D285" i="2"/>
  <c r="Q285" i="2" s="1"/>
  <c r="Q283" i="2"/>
  <c r="D78" i="57"/>
  <c r="U271" i="2"/>
  <c r="H283" i="2"/>
  <c r="L76" i="57"/>
  <c r="F5" i="57"/>
  <c r="F22" i="57" s="1"/>
  <c r="F20" i="57"/>
  <c r="T283" i="2"/>
  <c r="G285" i="2"/>
  <c r="T285" i="2" s="1"/>
  <c r="H76" i="57"/>
  <c r="D76" i="57"/>
  <c r="L74" i="57"/>
  <c r="K283" i="2"/>
  <c r="X271" i="2"/>
  <c r="I20" i="57"/>
  <c r="I5" i="57"/>
  <c r="I22" i="57" s="1"/>
  <c r="L285" i="2"/>
  <c r="Y285" i="2" s="1"/>
  <c r="Y283" i="2"/>
  <c r="K17" i="41"/>
  <c r="I103" i="3"/>
  <c r="K19" i="41"/>
  <c r="J19" i="42"/>
  <c r="E103" i="3"/>
  <c r="O17" i="42"/>
  <c r="K419" i="2"/>
  <c r="X419" i="2" s="1"/>
  <c r="E41" i="52"/>
  <c r="D419" i="2"/>
  <c r="F45" i="52"/>
  <c r="E45" i="52"/>
  <c r="D45" i="52"/>
  <c r="F43" i="52"/>
  <c r="F41" i="52"/>
  <c r="G419" i="2"/>
  <c r="T419" i="2" s="1"/>
  <c r="C70" i="3"/>
  <c r="N117" i="3"/>
  <c r="L45" i="52"/>
  <c r="N43" i="52"/>
  <c r="L43" i="52"/>
  <c r="N41" i="52"/>
  <c r="E419" i="2"/>
  <c r="M43" i="52"/>
  <c r="L70" i="3"/>
  <c r="N45" i="52"/>
  <c r="I43" i="52"/>
  <c r="D43" i="52"/>
  <c r="L41" i="52"/>
  <c r="J70" i="3"/>
  <c r="D41" i="52"/>
  <c r="W35" i="2"/>
  <c r="I45" i="2"/>
  <c r="V45" i="2" s="1"/>
  <c r="N223" i="3"/>
  <c r="Z35" i="2"/>
  <c r="O35" i="2"/>
  <c r="F62" i="49"/>
  <c r="F60" i="49"/>
  <c r="U35" i="2"/>
  <c r="N425" i="3"/>
  <c r="F58" i="49"/>
  <c r="N60" i="49"/>
  <c r="J58" i="49"/>
  <c r="H62" i="49"/>
  <c r="H58" i="49"/>
  <c r="N58" i="49"/>
  <c r="H60" i="49"/>
  <c r="D58" i="49"/>
  <c r="K58" i="49"/>
  <c r="N442" i="3"/>
  <c r="N62" i="49"/>
  <c r="D62" i="49"/>
  <c r="K19" i="4"/>
  <c r="M21" i="4"/>
  <c r="O21" i="4"/>
  <c r="N21" i="8"/>
  <c r="K21" i="4"/>
  <c r="N72" i="43"/>
  <c r="L264" i="2"/>
  <c r="L267" i="2" s="1"/>
  <c r="Y267" i="2" s="1"/>
  <c r="O253" i="2"/>
  <c r="J72" i="43"/>
  <c r="L5" i="43"/>
  <c r="L21" i="43" s="1"/>
  <c r="F72" i="43"/>
  <c r="J70" i="43"/>
  <c r="N70" i="43"/>
  <c r="F70" i="43"/>
  <c r="J74" i="43"/>
  <c r="F74" i="43"/>
  <c r="N74" i="43"/>
  <c r="E70" i="43"/>
  <c r="Z253" i="2"/>
  <c r="E72" i="43"/>
  <c r="E74" i="43"/>
  <c r="M70" i="43"/>
  <c r="L74" i="43"/>
  <c r="E5" i="43"/>
  <c r="E21" i="43" s="1"/>
  <c r="D74" i="43"/>
  <c r="F19" i="43"/>
  <c r="I264" i="2"/>
  <c r="I267" i="2" s="1"/>
  <c r="V267" i="2" s="1"/>
  <c r="M74" i="43"/>
  <c r="I72" i="43"/>
  <c r="W253" i="2"/>
  <c r="T253" i="2"/>
  <c r="M5" i="43"/>
  <c r="M21" i="43" s="1"/>
  <c r="I5" i="43"/>
  <c r="I21" i="43" s="1"/>
  <c r="E264" i="2"/>
  <c r="E267" i="2" s="1"/>
  <c r="R267" i="2" s="1"/>
  <c r="M72" i="43"/>
  <c r="H70" i="43"/>
  <c r="S264" i="2"/>
  <c r="F267" i="2"/>
  <c r="S267" i="2" s="1"/>
  <c r="S253" i="2"/>
  <c r="D264" i="2"/>
  <c r="D267" i="2" s="1"/>
  <c r="Q267" i="2" s="1"/>
  <c r="D72" i="43"/>
  <c r="H74" i="43"/>
  <c r="L72" i="43"/>
  <c r="I70" i="43"/>
  <c r="H72" i="43"/>
  <c r="N19" i="43"/>
  <c r="H19" i="43"/>
  <c r="H5" i="43"/>
  <c r="H21" i="43" s="1"/>
  <c r="B267" i="2"/>
  <c r="O267" i="2" s="1"/>
  <c r="I74" i="43"/>
  <c r="D70" i="43"/>
  <c r="L70" i="43"/>
  <c r="D19" i="43"/>
  <c r="D5" i="43"/>
  <c r="D21" i="43" s="1"/>
  <c r="D21" i="10"/>
  <c r="L23" i="10"/>
  <c r="N170" i="3"/>
  <c r="D23" i="10"/>
  <c r="G21" i="10"/>
  <c r="H23" i="10"/>
  <c r="L83" i="39"/>
  <c r="G17" i="39"/>
  <c r="L17" i="39"/>
  <c r="N54" i="3"/>
  <c r="N45" i="3"/>
  <c r="N87" i="39"/>
  <c r="G85" i="39"/>
  <c r="N85" i="39"/>
  <c r="G83" i="39"/>
  <c r="L85" i="39"/>
  <c r="O87" i="39"/>
  <c r="O83" i="39"/>
  <c r="D85" i="39"/>
  <c r="D87" i="39"/>
  <c r="O85" i="39"/>
  <c r="F16" i="39"/>
  <c r="G87" i="39"/>
  <c r="D17" i="39"/>
  <c r="D83" i="39"/>
  <c r="L87" i="39"/>
  <c r="H202" i="2"/>
  <c r="U202" i="2" s="1"/>
  <c r="M202" i="2"/>
  <c r="Z202" i="2" s="1"/>
  <c r="K85" i="39"/>
  <c r="K83" i="39"/>
  <c r="H83" i="39"/>
  <c r="K16" i="39"/>
  <c r="K17" i="39"/>
  <c r="F202" i="2"/>
  <c r="S202" i="2" s="1"/>
  <c r="O16" i="39"/>
  <c r="F83" i="39"/>
  <c r="K87" i="39"/>
  <c r="F87" i="39"/>
  <c r="D202" i="2"/>
  <c r="Q202" i="2" s="1"/>
  <c r="J16" i="39"/>
  <c r="F85" i="39"/>
  <c r="T192" i="2"/>
  <c r="G202" i="2"/>
  <c r="T202" i="2" s="1"/>
  <c r="X192" i="2"/>
  <c r="K202" i="2"/>
  <c r="X202" i="2" s="1"/>
  <c r="P192" i="2"/>
  <c r="C202" i="2"/>
  <c r="P202" i="2" s="1"/>
  <c r="H87" i="39"/>
  <c r="N17" i="39"/>
  <c r="N16" i="39"/>
  <c r="H85" i="39"/>
  <c r="K33" i="28"/>
  <c r="G35" i="28"/>
  <c r="I37" i="28"/>
  <c r="L37" i="28"/>
  <c r="K35" i="28"/>
  <c r="I33" i="28"/>
  <c r="I35" i="28"/>
  <c r="D35" i="28"/>
  <c r="F35" i="28"/>
  <c r="D37" i="28"/>
  <c r="D33" i="28"/>
  <c r="J35" i="28"/>
  <c r="G37" i="28"/>
  <c r="F33" i="28"/>
  <c r="F37" i="28"/>
  <c r="G33" i="28"/>
  <c r="N37" i="28"/>
  <c r="J37" i="28"/>
  <c r="N464" i="3"/>
  <c r="Z347" i="2"/>
  <c r="W347" i="2"/>
  <c r="O35" i="28"/>
  <c r="O37" i="28"/>
  <c r="L35" i="28"/>
  <c r="O33" i="28"/>
  <c r="H33" i="28"/>
  <c r="L33" i="28"/>
  <c r="N35" i="28"/>
  <c r="H37" i="28"/>
  <c r="H35" i="28"/>
  <c r="N33" i="28"/>
  <c r="K37" i="28"/>
  <c r="I464" i="3"/>
  <c r="N104" i="3"/>
  <c r="U347" i="2"/>
  <c r="H353" i="2"/>
  <c r="U353" i="2" s="1"/>
  <c r="G353" i="2"/>
  <c r="T353" i="2" s="1"/>
  <c r="T347" i="2"/>
  <c r="D353" i="2"/>
  <c r="Q353" i="2" s="1"/>
  <c r="Q347" i="2"/>
  <c r="Y347" i="2"/>
  <c r="L353" i="2"/>
  <c r="Y353" i="2" s="1"/>
  <c r="K41" i="19"/>
  <c r="O37" i="19"/>
  <c r="H41" i="19"/>
  <c r="M39" i="19"/>
  <c r="H37" i="19"/>
  <c r="G182" i="2"/>
  <c r="T182" i="2" s="1"/>
  <c r="B182" i="2"/>
  <c r="O182" i="2" s="1"/>
  <c r="R14" i="2"/>
  <c r="M19" i="14"/>
  <c r="K201" i="3"/>
  <c r="D201" i="3"/>
  <c r="O21" i="14"/>
  <c r="N161" i="3"/>
  <c r="N12" i="3"/>
  <c r="U240" i="2"/>
  <c r="X240" i="2"/>
  <c r="C242" i="2"/>
  <c r="P242" i="2" s="1"/>
  <c r="S240" i="2"/>
  <c r="V240" i="2"/>
  <c r="Y240" i="2"/>
  <c r="R240" i="2"/>
  <c r="Z240" i="2"/>
  <c r="N384" i="3"/>
  <c r="C33" i="2"/>
  <c r="P33" i="2" s="1"/>
  <c r="N407" i="3"/>
  <c r="F6" i="38"/>
  <c r="F25" i="38" s="1"/>
  <c r="L21" i="38"/>
  <c r="O82" i="38"/>
  <c r="K21" i="14"/>
  <c r="F19" i="14"/>
  <c r="E201" i="3"/>
  <c r="I201" i="3"/>
  <c r="G19" i="14"/>
  <c r="J19" i="14"/>
  <c r="H201" i="3"/>
  <c r="J15" i="21"/>
  <c r="J17" i="21"/>
  <c r="H113" i="3"/>
  <c r="F15" i="21"/>
  <c r="F17" i="21"/>
  <c r="D113" i="3"/>
  <c r="N15" i="21"/>
  <c r="N17" i="21"/>
  <c r="L113" i="3"/>
  <c r="H19" i="55"/>
  <c r="H17" i="55"/>
  <c r="F370" i="3"/>
  <c r="D17" i="55"/>
  <c r="B370" i="3"/>
  <c r="N370" i="3" s="1"/>
  <c r="D19" i="55"/>
  <c r="L17" i="55"/>
  <c r="J370" i="3"/>
  <c r="L19" i="55"/>
  <c r="O19" i="56"/>
  <c r="O17" i="56"/>
  <c r="M23" i="15"/>
  <c r="E25" i="15"/>
  <c r="F25" i="15"/>
  <c r="N261" i="3"/>
  <c r="L25" i="16"/>
  <c r="H25" i="15"/>
  <c r="E23" i="15"/>
  <c r="D23" i="15"/>
  <c r="K25" i="15"/>
  <c r="D25" i="15"/>
  <c r="M25" i="15"/>
  <c r="K23" i="15"/>
  <c r="G23" i="15"/>
  <c r="K23" i="16"/>
  <c r="G25" i="15"/>
  <c r="G25" i="16"/>
  <c r="J262" i="3"/>
  <c r="F262" i="3"/>
  <c r="H23" i="15"/>
  <c r="H23" i="16"/>
  <c r="N263" i="3"/>
  <c r="L25" i="15"/>
  <c r="D23" i="16"/>
  <c r="D25" i="16"/>
  <c r="G23" i="16"/>
  <c r="F23" i="15"/>
  <c r="O23" i="15"/>
  <c r="I23" i="15"/>
  <c r="N262" i="3"/>
  <c r="J23" i="15"/>
  <c r="N23" i="15"/>
  <c r="J25" i="15"/>
  <c r="N25" i="15"/>
  <c r="O25" i="16"/>
  <c r="O23" i="16"/>
  <c r="I17" i="42"/>
  <c r="I19" i="42"/>
  <c r="H17" i="42"/>
  <c r="H19" i="42"/>
  <c r="E17" i="42"/>
  <c r="E19" i="42"/>
  <c r="D17" i="42"/>
  <c r="D19" i="42"/>
  <c r="J17" i="41"/>
  <c r="J19" i="41"/>
  <c r="H103" i="3"/>
  <c r="N17" i="42"/>
  <c r="F17" i="42"/>
  <c r="I17" i="41"/>
  <c r="I19" i="41"/>
  <c r="G103" i="3"/>
  <c r="M17" i="41"/>
  <c r="M19" i="41"/>
  <c r="K103" i="3"/>
  <c r="F17" i="41"/>
  <c r="F19" i="41"/>
  <c r="D103" i="3"/>
  <c r="N17" i="41"/>
  <c r="N19" i="41"/>
  <c r="L103" i="3"/>
  <c r="M17" i="42"/>
  <c r="M19" i="42"/>
  <c r="E17" i="41"/>
  <c r="E19" i="41"/>
  <c r="C103" i="3"/>
  <c r="L17" i="42"/>
  <c r="L19" i="42"/>
  <c r="O19" i="41"/>
  <c r="O17" i="41"/>
  <c r="M103" i="3"/>
  <c r="T362" i="2"/>
  <c r="K102" i="2"/>
  <c r="X102" i="2" s="1"/>
  <c r="D436" i="2"/>
  <c r="Q436" i="2" s="1"/>
  <c r="O44" i="81"/>
  <c r="K436" i="2"/>
  <c r="X436" i="2" s="1"/>
  <c r="F48" i="81"/>
  <c r="C436" i="2"/>
  <c r="M44" i="81"/>
  <c r="M48" i="81"/>
  <c r="M46" i="81"/>
  <c r="F44" i="81"/>
  <c r="G44" i="81"/>
  <c r="G46" i="81"/>
  <c r="I44" i="81"/>
  <c r="F46" i="81"/>
  <c r="J48" i="81"/>
  <c r="I48" i="81"/>
  <c r="J44" i="81"/>
  <c r="K44" i="81"/>
  <c r="L436" i="2"/>
  <c r="Y436" i="2" s="1"/>
  <c r="E436" i="2"/>
  <c r="R436" i="2" s="1"/>
  <c r="G436" i="2"/>
  <c r="T436" i="2" s="1"/>
  <c r="M436" i="2"/>
  <c r="Z436" i="2" s="1"/>
  <c r="C219" i="2"/>
  <c r="P219" i="2" s="1"/>
  <c r="K219" i="2"/>
  <c r="X219" i="2" s="1"/>
  <c r="U216" i="2"/>
  <c r="H219" i="2"/>
  <c r="U219" i="2" s="1"/>
  <c r="T287" i="2"/>
  <c r="P287" i="2"/>
  <c r="O32" i="75"/>
  <c r="O36" i="75"/>
  <c r="M292" i="2"/>
  <c r="Z292" i="2" s="1"/>
  <c r="G102" i="2"/>
  <c r="T102" i="2" s="1"/>
  <c r="C102" i="2"/>
  <c r="P102" i="2" s="1"/>
  <c r="M153" i="2"/>
  <c r="Z153" i="2" s="1"/>
  <c r="M86" i="38"/>
  <c r="J6" i="38"/>
  <c r="J25" i="38" s="1"/>
  <c r="P30" i="2"/>
  <c r="M82" i="38"/>
  <c r="N280" i="3"/>
  <c r="B33" i="2"/>
  <c r="O33" i="2" s="1"/>
  <c r="I33" i="2"/>
  <c r="V33" i="2" s="1"/>
  <c r="S30" i="2"/>
  <c r="N68" i="3"/>
  <c r="K86" i="38"/>
  <c r="N84" i="38"/>
  <c r="E82" i="38"/>
  <c r="M373" i="3"/>
  <c r="N208" i="3"/>
  <c r="K33" i="2"/>
  <c r="X33" i="2" s="1"/>
  <c r="O6" i="38"/>
  <c r="O25" i="38" s="1"/>
  <c r="M33" i="2"/>
  <c r="Z33" i="2" s="1"/>
  <c r="D84" i="38"/>
  <c r="N519" i="3"/>
  <c r="L86" i="38"/>
  <c r="K84" i="38"/>
  <c r="J86" i="38"/>
  <c r="L84" i="38"/>
  <c r="K82" i="38"/>
  <c r="E84" i="38"/>
  <c r="H86" i="38"/>
  <c r="G86" i="38"/>
  <c r="K6" i="38"/>
  <c r="K25" i="38" s="1"/>
  <c r="D82" i="38"/>
  <c r="I84" i="38"/>
  <c r="E86" i="38"/>
  <c r="H84" i="38"/>
  <c r="F407" i="3"/>
  <c r="I82" i="38"/>
  <c r="D86" i="38"/>
  <c r="G82" i="38"/>
  <c r="G84" i="38"/>
  <c r="I86" i="38"/>
  <c r="H82" i="38"/>
  <c r="M84" i="38"/>
  <c r="K68" i="3"/>
  <c r="L82" i="38"/>
  <c r="O84" i="38"/>
  <c r="J84" i="38"/>
  <c r="H21" i="38"/>
  <c r="H6" i="38"/>
  <c r="H25" i="38" s="1"/>
  <c r="F86" i="38"/>
  <c r="D6" i="38"/>
  <c r="D25" i="38" s="1"/>
  <c r="D21" i="38"/>
  <c r="D30" i="2"/>
  <c r="Q18" i="2"/>
  <c r="G33" i="2"/>
  <c r="T33" i="2" s="1"/>
  <c r="T30" i="2"/>
  <c r="I6" i="38"/>
  <c r="I25" i="38" s="1"/>
  <c r="I21" i="38"/>
  <c r="L30" i="2"/>
  <c r="Y18" i="2"/>
  <c r="F82" i="38"/>
  <c r="E30" i="2"/>
  <c r="R18" i="2"/>
  <c r="U30" i="2"/>
  <c r="H33" i="2"/>
  <c r="U33" i="2" s="1"/>
  <c r="M6" i="38"/>
  <c r="M25" i="38" s="1"/>
  <c r="M21" i="38"/>
  <c r="N82" i="38"/>
  <c r="O86" i="38"/>
  <c r="J82" i="38"/>
  <c r="E6" i="38"/>
  <c r="E25" i="38" s="1"/>
  <c r="E21" i="38"/>
  <c r="J33" i="2"/>
  <c r="W33" i="2" s="1"/>
  <c r="W30" i="2"/>
  <c r="N86" i="38"/>
  <c r="F84" i="38"/>
  <c r="G21" i="38"/>
  <c r="G6" i="38"/>
  <c r="G25" i="38" s="1"/>
  <c r="J267" i="2"/>
  <c r="W267" i="2" s="1"/>
  <c r="W264" i="2"/>
  <c r="J5" i="43"/>
  <c r="J21" i="43" s="1"/>
  <c r="J19" i="43"/>
  <c r="O19" i="43"/>
  <c r="O5" i="43"/>
  <c r="O21" i="43" s="1"/>
  <c r="Z264" i="2"/>
  <c r="K267" i="2"/>
  <c r="X267" i="2" s="1"/>
  <c r="T264" i="2"/>
  <c r="U264" i="2"/>
  <c r="H267" i="2"/>
  <c r="U267" i="2" s="1"/>
  <c r="P264" i="2"/>
  <c r="C267" i="2"/>
  <c r="P267" i="2" s="1"/>
  <c r="O45" i="37"/>
  <c r="M45" i="37"/>
  <c r="M43" i="37"/>
  <c r="G45" i="37"/>
  <c r="N71" i="3"/>
  <c r="G47" i="37"/>
  <c r="H47" i="37"/>
  <c r="E5" i="37"/>
  <c r="E15" i="37" s="1"/>
  <c r="G43" i="37"/>
  <c r="H43" i="37"/>
  <c r="I5" i="37"/>
  <c r="I15" i="37" s="1"/>
  <c r="K31" i="3"/>
  <c r="F47" i="37"/>
  <c r="F43" i="37"/>
  <c r="O43" i="37"/>
  <c r="M47" i="37"/>
  <c r="H13" i="37"/>
  <c r="H251" i="2"/>
  <c r="U251" i="2" s="1"/>
  <c r="N5" i="37"/>
  <c r="N15" i="37" s="1"/>
  <c r="H45" i="37"/>
  <c r="B251" i="2"/>
  <c r="O251" i="2" s="1"/>
  <c r="O47" i="37"/>
  <c r="D251" i="2"/>
  <c r="Q251" i="2" s="1"/>
  <c r="I47" i="37"/>
  <c r="L251" i="2"/>
  <c r="Y251" i="2" s="1"/>
  <c r="J47" i="37"/>
  <c r="D45" i="37"/>
  <c r="E251" i="2"/>
  <c r="R251" i="2" s="1"/>
  <c r="M5" i="37"/>
  <c r="M15" i="37" s="1"/>
  <c r="L5" i="37"/>
  <c r="L15" i="37" s="1"/>
  <c r="N209" i="3"/>
  <c r="E45" i="37"/>
  <c r="D43" i="37"/>
  <c r="D13" i="37"/>
  <c r="K45" i="37"/>
  <c r="N45" i="37"/>
  <c r="E47" i="37"/>
  <c r="K43" i="37"/>
  <c r="D47" i="37"/>
  <c r="E43" i="37"/>
  <c r="X155" i="2"/>
  <c r="J157" i="2"/>
  <c r="W157" i="2" s="1"/>
  <c r="L157" i="2"/>
  <c r="L174" i="2" s="1"/>
  <c r="Y174" i="2" s="1"/>
  <c r="K174" i="2"/>
  <c r="X174" i="2" s="1"/>
  <c r="P155" i="2"/>
  <c r="M157" i="2"/>
  <c r="Z157" i="2" s="1"/>
  <c r="G174" i="2"/>
  <c r="T174" i="2" s="1"/>
  <c r="H157" i="2"/>
  <c r="H174" i="2" s="1"/>
  <c r="U174" i="2" s="1"/>
  <c r="D157" i="2"/>
  <c r="E157" i="2"/>
  <c r="R157" i="2" s="1"/>
  <c r="S155" i="2"/>
  <c r="P157" i="2"/>
  <c r="S157" i="2"/>
  <c r="K33" i="33"/>
  <c r="I31" i="33"/>
  <c r="I33" i="33"/>
  <c r="K31" i="33"/>
  <c r="K35" i="33"/>
  <c r="L35" i="33"/>
  <c r="H345" i="2"/>
  <c r="U345" i="2" s="1"/>
  <c r="X343" i="2"/>
  <c r="D345" i="2"/>
  <c r="Q345" i="2" s="1"/>
  <c r="R343" i="2"/>
  <c r="L345" i="2"/>
  <c r="Y345" i="2" s="1"/>
  <c r="O31" i="33"/>
  <c r="Z343" i="2"/>
  <c r="V343" i="2"/>
  <c r="G345" i="2"/>
  <c r="T345" i="2" s="1"/>
  <c r="O35" i="33"/>
  <c r="C341" i="2"/>
  <c r="P341" i="2" s="1"/>
  <c r="J17" i="27"/>
  <c r="G341" i="2"/>
  <c r="T341" i="2" s="1"/>
  <c r="N63" i="27"/>
  <c r="E65" i="27"/>
  <c r="L61" i="27"/>
  <c r="E63" i="27"/>
  <c r="F63" i="27"/>
  <c r="H6" i="27"/>
  <c r="H21" i="27" s="1"/>
  <c r="H341" i="2"/>
  <c r="U341" i="2" s="1"/>
  <c r="L341" i="2"/>
  <c r="Y341" i="2" s="1"/>
  <c r="N61" i="27"/>
  <c r="F61" i="27"/>
  <c r="M61" i="27"/>
  <c r="N65" i="27"/>
  <c r="J63" i="27"/>
  <c r="M65" i="27"/>
  <c r="K341" i="2"/>
  <c r="X341" i="2" s="1"/>
  <c r="J65" i="27"/>
  <c r="F65" i="27"/>
  <c r="J61" i="27"/>
  <c r="M63" i="27"/>
  <c r="U338" i="2"/>
  <c r="O338" i="2"/>
  <c r="B341" i="2"/>
  <c r="O341" i="2" s="1"/>
  <c r="O330" i="2"/>
  <c r="T338" i="2"/>
  <c r="I63" i="27"/>
  <c r="G470" i="3"/>
  <c r="I61" i="27"/>
  <c r="I65" i="27"/>
  <c r="L65" i="27"/>
  <c r="S330" i="2"/>
  <c r="J341" i="2"/>
  <c r="W341" i="2" s="1"/>
  <c r="D6" i="27"/>
  <c r="D21" i="27" s="1"/>
  <c r="E61" i="27"/>
  <c r="L63" i="27"/>
  <c r="H65" i="27"/>
  <c r="G63" i="27"/>
  <c r="L17" i="27"/>
  <c r="L6" i="27"/>
  <c r="L21" i="27" s="1"/>
  <c r="O63" i="27"/>
  <c r="O65" i="27"/>
  <c r="O61" i="27"/>
  <c r="Y338" i="2"/>
  <c r="S338" i="2"/>
  <c r="F341" i="2"/>
  <c r="S341" i="2" s="1"/>
  <c r="E338" i="2"/>
  <c r="R330" i="2"/>
  <c r="I6" i="27"/>
  <c r="I21" i="27" s="1"/>
  <c r="I17" i="27"/>
  <c r="K61" i="27"/>
  <c r="D61" i="27"/>
  <c r="N475" i="3"/>
  <c r="H63" i="27"/>
  <c r="G61" i="27"/>
  <c r="E6" i="27"/>
  <c r="E21" i="27" s="1"/>
  <c r="E17" i="27"/>
  <c r="K65" i="27"/>
  <c r="M338" i="2"/>
  <c r="Z330" i="2"/>
  <c r="D65" i="27"/>
  <c r="K63" i="27"/>
  <c r="I338" i="2"/>
  <c r="V330" i="2"/>
  <c r="H61" i="27"/>
  <c r="D63" i="27"/>
  <c r="G65" i="27"/>
  <c r="I5" i="26"/>
  <c r="I18" i="26" s="1"/>
  <c r="D51" i="26"/>
  <c r="J16" i="26"/>
  <c r="C77" i="2"/>
  <c r="P77" i="2" s="1"/>
  <c r="G16" i="26"/>
  <c r="I55" i="26"/>
  <c r="E16" i="26"/>
  <c r="P75" i="2"/>
  <c r="G51" i="26"/>
  <c r="K77" i="2"/>
  <c r="X77" i="2" s="1"/>
  <c r="S67" i="2"/>
  <c r="J77" i="2"/>
  <c r="W77" i="2" s="1"/>
  <c r="G53" i="26"/>
  <c r="D16" i="26"/>
  <c r="E51" i="26"/>
  <c r="H51" i="26"/>
  <c r="M51" i="26"/>
  <c r="F5" i="26"/>
  <c r="F18" i="26" s="1"/>
  <c r="D53" i="26"/>
  <c r="D55" i="26"/>
  <c r="L51" i="26"/>
  <c r="H75" i="2"/>
  <c r="U75" i="2" s="1"/>
  <c r="N55" i="26"/>
  <c r="N53" i="26"/>
  <c r="N51" i="26"/>
  <c r="L55" i="26"/>
  <c r="H53" i="26"/>
  <c r="F55" i="26"/>
  <c r="L53" i="26"/>
  <c r="S75" i="2"/>
  <c r="M55" i="26"/>
  <c r="F53" i="26"/>
  <c r="N5" i="26"/>
  <c r="N18" i="26" s="1"/>
  <c r="H55" i="26"/>
  <c r="E53" i="26"/>
  <c r="E55" i="26"/>
  <c r="I51" i="26"/>
  <c r="M53" i="26"/>
  <c r="I53" i="26"/>
  <c r="G55" i="26"/>
  <c r="F51" i="26"/>
  <c r="O5" i="26"/>
  <c r="O18" i="26" s="1"/>
  <c r="I75" i="2"/>
  <c r="V67" i="2"/>
  <c r="K51" i="26"/>
  <c r="G77" i="2"/>
  <c r="T75" i="2"/>
  <c r="K5" i="26"/>
  <c r="K18" i="26" s="1"/>
  <c r="K16" i="26"/>
  <c r="R75" i="2"/>
  <c r="E77" i="2"/>
  <c r="S77" i="2"/>
  <c r="B77" i="2"/>
  <c r="O75" i="2"/>
  <c r="J53" i="26"/>
  <c r="J51" i="26"/>
  <c r="K55" i="26"/>
  <c r="Y75" i="2"/>
  <c r="L77" i="2"/>
  <c r="M75" i="2"/>
  <c r="Z67" i="2"/>
  <c r="Q75" i="2"/>
  <c r="D77" i="2"/>
  <c r="K53" i="26"/>
  <c r="J55" i="26"/>
  <c r="L33" i="25"/>
  <c r="N37" i="25"/>
  <c r="D37" i="25"/>
  <c r="D35" i="25"/>
  <c r="X184" i="2"/>
  <c r="N351" i="3"/>
  <c r="J17" i="3"/>
  <c r="B190" i="2"/>
  <c r="O190" i="2" s="1"/>
  <c r="E33" i="25"/>
  <c r="L37" i="25"/>
  <c r="B17" i="3"/>
  <c r="N17" i="3" s="1"/>
  <c r="I37" i="25"/>
  <c r="M37" i="25"/>
  <c r="M33" i="25"/>
  <c r="E190" i="2"/>
  <c r="R190" i="2" s="1"/>
  <c r="I35" i="25"/>
  <c r="E37" i="25"/>
  <c r="O35" i="25"/>
  <c r="F33" i="25"/>
  <c r="M35" i="25"/>
  <c r="F37" i="25"/>
  <c r="K17" i="3"/>
  <c r="O37" i="25"/>
  <c r="H33" i="25"/>
  <c r="N35" i="25"/>
  <c r="E35" i="25"/>
  <c r="H37" i="25"/>
  <c r="C17" i="3"/>
  <c r="N33" i="25"/>
  <c r="H35" i="25"/>
  <c r="Z184" i="2"/>
  <c r="O33" i="25"/>
  <c r="F8" i="23"/>
  <c r="H24" i="23"/>
  <c r="O28" i="23"/>
  <c r="K182" i="2"/>
  <c r="X182" i="2" s="1"/>
  <c r="F182" i="2"/>
  <c r="J182" i="2"/>
  <c r="O41" i="19"/>
  <c r="L182" i="2"/>
  <c r="W178" i="2"/>
  <c r="O178" i="2"/>
  <c r="C182" i="2"/>
  <c r="Y178" i="2"/>
  <c r="O39" i="19"/>
  <c r="D182" i="2"/>
  <c r="H182" i="2"/>
  <c r="M182" i="2"/>
  <c r="I21" i="14"/>
  <c r="N408" i="3"/>
  <c r="O39" i="13"/>
  <c r="C16" i="2"/>
  <c r="P16" i="2" s="1"/>
  <c r="F16" i="2"/>
  <c r="S16" i="2" s="1"/>
  <c r="G13" i="13"/>
  <c r="K5" i="13"/>
  <c r="K15" i="13" s="1"/>
  <c r="O5" i="13"/>
  <c r="O15" i="13" s="1"/>
  <c r="I43" i="13"/>
  <c r="L5" i="13"/>
  <c r="L15" i="13" s="1"/>
  <c r="H41" i="13"/>
  <c r="D41" i="13"/>
  <c r="H39" i="13"/>
  <c r="N329" i="3"/>
  <c r="H43" i="13"/>
  <c r="F41" i="13"/>
  <c r="M41" i="13"/>
  <c r="D39" i="13"/>
  <c r="L41" i="13"/>
  <c r="I39" i="13"/>
  <c r="K43" i="13"/>
  <c r="M43" i="13"/>
  <c r="D43" i="13"/>
  <c r="I41" i="13"/>
  <c r="M39" i="13"/>
  <c r="E41" i="13"/>
  <c r="F43" i="13"/>
  <c r="E43" i="13"/>
  <c r="K14" i="2"/>
  <c r="L39" i="13"/>
  <c r="K39" i="13"/>
  <c r="O9" i="2"/>
  <c r="I16" i="2"/>
  <c r="V16" i="2" s="1"/>
  <c r="I13" i="13"/>
  <c r="I5" i="13"/>
  <c r="I15" i="13" s="1"/>
  <c r="O41" i="13"/>
  <c r="B316" i="3"/>
  <c r="N316" i="3" s="1"/>
  <c r="O43" i="13"/>
  <c r="L43" i="13"/>
  <c r="N41" i="13"/>
  <c r="S14" i="2"/>
  <c r="B16" i="2"/>
  <c r="O16" i="2" s="1"/>
  <c r="G39" i="13"/>
  <c r="E39" i="13"/>
  <c r="M16" i="2"/>
  <c r="Z16" i="2" s="1"/>
  <c r="Z9" i="2"/>
  <c r="H14" i="2"/>
  <c r="H16" i="2" s="1"/>
  <c r="Z14" i="2"/>
  <c r="P14" i="2"/>
  <c r="O14" i="2"/>
  <c r="D16" i="2"/>
  <c r="Q16" i="2" s="1"/>
  <c r="Q9" i="2"/>
  <c r="J16" i="2"/>
  <c r="W16" i="2" s="1"/>
  <c r="O240" i="2"/>
  <c r="I25" i="16"/>
  <c r="I23" i="16"/>
  <c r="G262" i="3"/>
  <c r="D262" i="3"/>
  <c r="F25" i="16"/>
  <c r="F23" i="16"/>
  <c r="E25" i="16"/>
  <c r="E23" i="16"/>
  <c r="C262" i="3"/>
  <c r="K25" i="16"/>
  <c r="H262" i="3"/>
  <c r="J25" i="16"/>
  <c r="J23" i="16"/>
  <c r="L262" i="3"/>
  <c r="N25" i="16"/>
  <c r="N23" i="16"/>
  <c r="M25" i="16"/>
  <c r="M23" i="16"/>
  <c r="K262" i="3"/>
  <c r="H21" i="14"/>
  <c r="E52" i="9"/>
  <c r="E50" i="9"/>
  <c r="C277" i="3"/>
  <c r="I238" i="2"/>
  <c r="V238" i="2" s="1"/>
  <c r="K52" i="9"/>
  <c r="J52" i="9"/>
  <c r="H238" i="2"/>
  <c r="U238" i="2" s="1"/>
  <c r="N50" i="9"/>
  <c r="D50" i="9"/>
  <c r="N48" i="9"/>
  <c r="N52" i="9"/>
  <c r="O48" i="9"/>
  <c r="O50" i="9"/>
  <c r="L238" i="2"/>
  <c r="Y238" i="2" s="1"/>
  <c r="O52" i="9"/>
  <c r="M60" i="3"/>
  <c r="F50" i="9"/>
  <c r="E238" i="2"/>
  <c r="R238" i="2" s="1"/>
  <c r="J48" i="9"/>
  <c r="G238" i="2"/>
  <c r="T238" i="2" s="1"/>
  <c r="F52" i="9"/>
  <c r="G50" i="9"/>
  <c r="G52" i="9"/>
  <c r="M238" i="2"/>
  <c r="Z238" i="2" s="1"/>
  <c r="I48" i="9"/>
  <c r="J50" i="9"/>
  <c r="H60" i="3"/>
  <c r="K48" i="9"/>
  <c r="I52" i="9"/>
  <c r="G48" i="9"/>
  <c r="D48" i="9"/>
  <c r="K50" i="9"/>
  <c r="I50" i="9"/>
  <c r="D52" i="9"/>
  <c r="F48" i="9"/>
  <c r="D522" i="3"/>
  <c r="W232" i="2"/>
  <c r="J238" i="2"/>
  <c r="W238" i="2" s="1"/>
  <c r="S232" i="2"/>
  <c r="F238" i="2"/>
  <c r="S238" i="2" s="1"/>
  <c r="O232" i="2"/>
  <c r="B238" i="2"/>
  <c r="O238" i="2" s="1"/>
  <c r="K238" i="2"/>
  <c r="X238" i="2" s="1"/>
  <c r="L48" i="9"/>
  <c r="J60" i="3"/>
  <c r="L50" i="9"/>
  <c r="L52" i="9"/>
  <c r="C238" i="2"/>
  <c r="P238" i="2" s="1"/>
  <c r="I31" i="7"/>
  <c r="I35" i="7"/>
  <c r="G275" i="3"/>
  <c r="H31" i="7"/>
  <c r="H35" i="7"/>
  <c r="O31" i="7"/>
  <c r="F153" i="2"/>
  <c r="S153" i="2" s="1"/>
  <c r="G7" i="2"/>
  <c r="T7" i="2" s="1"/>
  <c r="M7" i="2"/>
  <c r="Z7" i="2" s="1"/>
  <c r="F7" i="2"/>
  <c r="S7" i="2" s="1"/>
  <c r="H7" i="2"/>
  <c r="U7" i="2" s="1"/>
  <c r="S4" i="2"/>
  <c r="I7" i="2"/>
  <c r="V7" i="2" s="1"/>
  <c r="E7" i="2"/>
  <c r="R7" i="2" s="1"/>
  <c r="N26" i="3"/>
  <c r="K7" i="2"/>
  <c r="X7" i="2" s="1"/>
  <c r="B7" i="2"/>
  <c r="O7" i="2" s="1"/>
  <c r="D7" i="2"/>
  <c r="Z4" i="2"/>
  <c r="G35" i="7"/>
  <c r="F35" i="7"/>
  <c r="C7" i="2"/>
  <c r="P7" i="2" s="1"/>
  <c r="J7" i="2"/>
  <c r="W7" i="2" s="1"/>
  <c r="L7" i="2"/>
  <c r="Y7" i="2" s="1"/>
  <c r="F31" i="7"/>
  <c r="F33" i="7"/>
  <c r="G31" i="7"/>
  <c r="G33" i="7"/>
  <c r="O4" i="2"/>
  <c r="E21" i="4"/>
  <c r="J19" i="8"/>
  <c r="O19" i="8"/>
  <c r="K21" i="8"/>
  <c r="D19" i="4"/>
  <c r="G19" i="8"/>
  <c r="H21" i="4"/>
  <c r="O21" i="8"/>
  <c r="K19" i="8"/>
  <c r="I19" i="4"/>
  <c r="I21" i="4"/>
  <c r="E19" i="4"/>
  <c r="D21" i="4"/>
  <c r="I443" i="2"/>
  <c r="V443" i="2" s="1"/>
  <c r="N22" i="3"/>
  <c r="D443" i="2"/>
  <c r="Q443" i="2" s="1"/>
  <c r="G59" i="95"/>
  <c r="E300" i="3"/>
  <c r="O438" i="2"/>
  <c r="B443" i="2"/>
  <c r="O443" i="2" s="1"/>
  <c r="F443" i="2"/>
  <c r="S443" i="2" s="1"/>
  <c r="S438" i="2"/>
  <c r="W438" i="2"/>
  <c r="J443" i="2"/>
  <c r="W443" i="2" s="1"/>
  <c r="G61" i="95"/>
  <c r="F419" i="2"/>
  <c r="S415" i="2"/>
  <c r="R419" i="2"/>
  <c r="O417" i="2"/>
  <c r="B419" i="2"/>
  <c r="Q419" i="2"/>
  <c r="Y419" i="2"/>
  <c r="M419" i="2"/>
  <c r="Z419" i="2" s="1"/>
  <c r="I419" i="2"/>
  <c r="V415" i="2"/>
  <c r="J419" i="2"/>
  <c r="W415" i="2"/>
  <c r="Y16" i="2"/>
  <c r="F5" i="13"/>
  <c r="F15" i="13" s="1"/>
  <c r="F13" i="13"/>
  <c r="J41" i="13"/>
  <c r="J43" i="13"/>
  <c r="J5" i="13"/>
  <c r="J15" i="13" s="1"/>
  <c r="J13" i="13"/>
  <c r="N5" i="13"/>
  <c r="N15" i="13" s="1"/>
  <c r="N13" i="13"/>
  <c r="Y9" i="2"/>
  <c r="V9" i="2"/>
  <c r="Y14" i="2"/>
  <c r="T14" i="2"/>
  <c r="W14" i="2"/>
  <c r="V14" i="2"/>
  <c r="H5" i="13"/>
  <c r="H15" i="13" s="1"/>
  <c r="H13" i="13"/>
  <c r="D5" i="13"/>
  <c r="D15" i="13" s="1"/>
  <c r="D13" i="13"/>
  <c r="K41" i="13"/>
  <c r="G41" i="13"/>
  <c r="N43" i="13"/>
  <c r="E13" i="13"/>
  <c r="E5" i="13"/>
  <c r="E15" i="13" s="1"/>
  <c r="J39" i="13"/>
  <c r="G43" i="13"/>
  <c r="N39" i="13"/>
  <c r="F39" i="13"/>
  <c r="N43" i="37"/>
  <c r="J45" i="37"/>
  <c r="K249" i="2"/>
  <c r="X249" i="2" s="1"/>
  <c r="L47" i="37"/>
  <c r="L31" i="3"/>
  <c r="J43" i="37"/>
  <c r="L43" i="37"/>
  <c r="L45" i="37"/>
  <c r="I45" i="37"/>
  <c r="O5" i="37"/>
  <c r="O15" i="37" s="1"/>
  <c r="Q249" i="2"/>
  <c r="C251" i="2"/>
  <c r="P251" i="2" s="1"/>
  <c r="V244" i="2"/>
  <c r="U249" i="2"/>
  <c r="V249" i="2"/>
  <c r="I251" i="2"/>
  <c r="V251" i="2" s="1"/>
  <c r="M249" i="2"/>
  <c r="M251" i="2" s="1"/>
  <c r="Z251" i="2" s="1"/>
  <c r="N31" i="3"/>
  <c r="J21" i="11"/>
  <c r="J23" i="11"/>
  <c r="I21" i="11"/>
  <c r="I23" i="11"/>
  <c r="O23" i="10"/>
  <c r="O21" i="11"/>
  <c r="G23" i="11"/>
  <c r="F21" i="11"/>
  <c r="F23" i="11"/>
  <c r="E21" i="11"/>
  <c r="E23" i="11"/>
  <c r="L23" i="11"/>
  <c r="L21" i="11"/>
  <c r="K21" i="11"/>
  <c r="O21" i="10"/>
  <c r="H23" i="11"/>
  <c r="H21" i="11"/>
  <c r="K23" i="10"/>
  <c r="D23" i="11"/>
  <c r="D21" i="11"/>
  <c r="K21" i="10"/>
  <c r="G23" i="10"/>
  <c r="M23" i="10"/>
  <c r="M21" i="10"/>
  <c r="K170" i="3"/>
  <c r="L170" i="3"/>
  <c r="N23" i="10"/>
  <c r="N21" i="10"/>
  <c r="I5" i="82"/>
  <c r="I18" i="82" s="1"/>
  <c r="I16" i="82"/>
  <c r="D59" i="82"/>
  <c r="J383" i="2"/>
  <c r="W375" i="2"/>
  <c r="D16" i="82"/>
  <c r="D5" i="82"/>
  <c r="D18" i="82" s="1"/>
  <c r="N61" i="82"/>
  <c r="M5" i="82"/>
  <c r="M18" i="82" s="1"/>
  <c r="M16" i="82"/>
  <c r="P383" i="2"/>
  <c r="C385" i="2"/>
  <c r="V383" i="2"/>
  <c r="I385" i="2"/>
  <c r="H61" i="82"/>
  <c r="L16" i="82"/>
  <c r="L5" i="82"/>
  <c r="L18" i="82" s="1"/>
  <c r="O375" i="2"/>
  <c r="B383" i="2"/>
  <c r="H16" i="82"/>
  <c r="H5" i="82"/>
  <c r="H18" i="82" s="1"/>
  <c r="E5" i="82"/>
  <c r="E18" i="82" s="1"/>
  <c r="E16" i="82"/>
  <c r="G5" i="82"/>
  <c r="G18" i="82" s="1"/>
  <c r="G16" i="82"/>
  <c r="H385" i="2"/>
  <c r="L411" i="2"/>
  <c r="Y411" i="2" s="1"/>
  <c r="Y385" i="2"/>
  <c r="H57" i="82"/>
  <c r="D61" i="82"/>
  <c r="F385" i="2"/>
  <c r="S383" i="2"/>
  <c r="T385" i="2"/>
  <c r="G411" i="2"/>
  <c r="T411" i="2" s="1"/>
  <c r="C447" i="3"/>
  <c r="E59" i="82"/>
  <c r="K447" i="3"/>
  <c r="M59" i="82"/>
  <c r="G447" i="3"/>
  <c r="I61" i="82"/>
  <c r="E57" i="82"/>
  <c r="X375" i="2"/>
  <c r="K383" i="2"/>
  <c r="H59" i="82"/>
  <c r="D57" i="82"/>
  <c r="R383" i="2"/>
  <c r="E385" i="2"/>
  <c r="M385" i="2"/>
  <c r="Z383" i="2"/>
  <c r="O62" i="49"/>
  <c r="K62" i="49"/>
  <c r="J62" i="49"/>
  <c r="B80" i="3"/>
  <c r="D60" i="49"/>
  <c r="M80" i="3"/>
  <c r="G62" i="49"/>
  <c r="J60" i="49"/>
  <c r="K60" i="49"/>
  <c r="O60" i="49"/>
  <c r="G58" i="49"/>
  <c r="G60" i="49"/>
  <c r="E223" i="3"/>
  <c r="T35" i="2"/>
  <c r="X35" i="2"/>
  <c r="X45" i="2"/>
  <c r="P35" i="2"/>
  <c r="R249" i="2"/>
  <c r="G5" i="37"/>
  <c r="G15" i="37" s="1"/>
  <c r="G13" i="37"/>
  <c r="K5" i="37"/>
  <c r="K15" i="37" s="1"/>
  <c r="K13" i="37"/>
  <c r="F13" i="37"/>
  <c r="F5" i="37"/>
  <c r="F15" i="37" s="1"/>
  <c r="O249" i="2"/>
  <c r="G251" i="2"/>
  <c r="J13" i="37"/>
  <c r="J5" i="37"/>
  <c r="J15" i="37" s="1"/>
  <c r="S249" i="2"/>
  <c r="J251" i="2"/>
  <c r="W249" i="2"/>
  <c r="O58" i="49"/>
  <c r="L58" i="49"/>
  <c r="J80" i="3"/>
  <c r="L62" i="49"/>
  <c r="L60" i="49"/>
  <c r="D153" i="2"/>
  <c r="Q153" i="2" s="1"/>
  <c r="O21" i="45"/>
  <c r="E23" i="46"/>
  <c r="I21" i="46"/>
  <c r="M21" i="46"/>
  <c r="G153" i="2"/>
  <c r="T153" i="2" s="1"/>
  <c r="C153" i="2"/>
  <c r="P153" i="2" s="1"/>
  <c r="E21" i="46"/>
  <c r="M23" i="46"/>
  <c r="K153" i="2"/>
  <c r="X153" i="2" s="1"/>
  <c r="I23" i="46"/>
  <c r="N380" i="3"/>
  <c r="I153" i="2"/>
  <c r="V153" i="2" s="1"/>
  <c r="E153" i="2"/>
  <c r="R153" i="2" s="1"/>
  <c r="L153" i="2"/>
  <c r="Y153" i="2" s="1"/>
  <c r="H153" i="2"/>
  <c r="U153" i="2" s="1"/>
  <c r="D21" i="14"/>
  <c r="H19" i="14"/>
  <c r="I19" i="14"/>
  <c r="L21" i="14"/>
  <c r="R122" i="2"/>
  <c r="P122" i="2"/>
  <c r="O20" i="12"/>
  <c r="L19" i="14"/>
  <c r="Z122" i="2"/>
  <c r="J153" i="2"/>
  <c r="W153" i="2" s="1"/>
  <c r="T122" i="2"/>
  <c r="B153" i="2"/>
  <c r="O153" i="2" s="1"/>
  <c r="X122" i="2"/>
  <c r="N201" i="3"/>
  <c r="X362" i="2"/>
  <c r="Q362" i="2"/>
  <c r="R362" i="2"/>
  <c r="P362" i="2"/>
  <c r="X269" i="2"/>
  <c r="M24" i="23"/>
  <c r="N28" i="23"/>
  <c r="M26" i="23"/>
  <c r="M28" i="23"/>
  <c r="J24" i="23"/>
  <c r="H28" i="23"/>
  <c r="J26" i="23"/>
  <c r="N7" i="23"/>
  <c r="G8" i="23"/>
  <c r="K8" i="23"/>
  <c r="N24" i="23"/>
  <c r="G24" i="23"/>
  <c r="H26" i="23"/>
  <c r="N26" i="23"/>
  <c r="J28" i="23"/>
  <c r="P326" i="2"/>
  <c r="L328" i="2"/>
  <c r="Y328" i="2" s="1"/>
  <c r="G26" i="23"/>
  <c r="F24" i="23"/>
  <c r="I26" i="23"/>
  <c r="G28" i="23"/>
  <c r="L26" i="23"/>
  <c r="I24" i="23"/>
  <c r="F26" i="23"/>
  <c r="I28" i="23"/>
  <c r="L24" i="23"/>
  <c r="D26" i="23"/>
  <c r="K26" i="23"/>
  <c r="D28" i="23"/>
  <c r="K28" i="23"/>
  <c r="N438" i="3"/>
  <c r="D24" i="23"/>
  <c r="I328" i="2"/>
  <c r="V328" i="2" s="1"/>
  <c r="Q326" i="2"/>
  <c r="O24" i="23"/>
  <c r="K328" i="2"/>
  <c r="X328" i="2" s="1"/>
  <c r="H328" i="2"/>
  <c r="U328" i="2" s="1"/>
  <c r="G328" i="2"/>
  <c r="T328" i="2" s="1"/>
  <c r="Q328" i="2"/>
  <c r="E328" i="2"/>
  <c r="K24" i="23"/>
  <c r="N90" i="3"/>
  <c r="D7" i="23"/>
  <c r="D8" i="23"/>
  <c r="W328" i="2"/>
  <c r="O328" i="2"/>
  <c r="H7" i="23"/>
  <c r="H8" i="23"/>
  <c r="L7" i="23"/>
  <c r="L8" i="23"/>
  <c r="S328" i="2"/>
  <c r="O8" i="23"/>
  <c r="O7" i="23"/>
  <c r="Z328" i="2"/>
  <c r="O157" i="2" l="1"/>
  <c r="C89" i="2"/>
  <c r="P89" i="2" s="1"/>
  <c r="J365" i="2"/>
  <c r="I174" i="2"/>
  <c r="V174" i="2" s="1"/>
  <c r="P370" i="3"/>
  <c r="D411" i="2"/>
  <c r="Q411" i="2" s="1"/>
  <c r="N373" i="3"/>
  <c r="P373" i="3"/>
  <c r="Q373" i="3"/>
  <c r="N103" i="3"/>
  <c r="P103" i="3"/>
  <c r="Q103" i="3"/>
  <c r="N328" i="3"/>
  <c r="P328" i="3"/>
  <c r="Q328" i="3"/>
  <c r="P80" i="3"/>
  <c r="Q80" i="3"/>
  <c r="N147" i="3"/>
  <c r="P147" i="3"/>
  <c r="Q147" i="3"/>
  <c r="N290" i="3"/>
  <c r="P290" i="3"/>
  <c r="Q290" i="3"/>
  <c r="P56" i="3"/>
  <c r="Q56" i="3"/>
  <c r="N60" i="3"/>
  <c r="P60" i="3"/>
  <c r="Q60" i="3"/>
  <c r="Q338" i="2"/>
  <c r="N56" i="3"/>
  <c r="G430" i="2"/>
  <c r="T430" i="2" s="1"/>
  <c r="T428" i="2"/>
  <c r="E542" i="3"/>
  <c r="H445" i="2"/>
  <c r="U445" i="2" s="1"/>
  <c r="Q385" i="2"/>
  <c r="G538" i="3"/>
  <c r="D445" i="2"/>
  <c r="Q445" i="2" s="1"/>
  <c r="C365" i="2"/>
  <c r="P365" i="2" s="1"/>
  <c r="I541" i="3"/>
  <c r="U111" i="2"/>
  <c r="H113" i="2"/>
  <c r="U113" i="2" s="1"/>
  <c r="R111" i="2"/>
  <c r="E113" i="2"/>
  <c r="R113" i="2" s="1"/>
  <c r="V111" i="2"/>
  <c r="I113" i="2"/>
  <c r="V113" i="2" s="1"/>
  <c r="W111" i="2"/>
  <c r="J113" i="2"/>
  <c r="W113" i="2" s="1"/>
  <c r="O111" i="2"/>
  <c r="B113" i="2"/>
  <c r="O113" i="2" s="1"/>
  <c r="S111" i="2"/>
  <c r="F113" i="2"/>
  <c r="S113" i="2" s="1"/>
  <c r="I543" i="3"/>
  <c r="X428" i="2"/>
  <c r="J430" i="2"/>
  <c r="W430" i="2" s="1"/>
  <c r="W428" i="2"/>
  <c r="M430" i="2"/>
  <c r="Z430" i="2" s="1"/>
  <c r="Z428" i="2"/>
  <c r="B430" i="2"/>
  <c r="O430" i="2" s="1"/>
  <c r="O428" i="2"/>
  <c r="E430" i="2"/>
  <c r="R430" i="2" s="1"/>
  <c r="R428" i="2"/>
  <c r="I430" i="2"/>
  <c r="V430" i="2" s="1"/>
  <c r="V428" i="2"/>
  <c r="Z86" i="2"/>
  <c r="M89" i="2"/>
  <c r="Z89" i="2" s="1"/>
  <c r="R86" i="2"/>
  <c r="E89" i="2"/>
  <c r="R89" i="2" s="1"/>
  <c r="V86" i="2"/>
  <c r="I89" i="2"/>
  <c r="V89" i="2" s="1"/>
  <c r="K115" i="2"/>
  <c r="X115" i="2" s="1"/>
  <c r="S216" i="2"/>
  <c r="K228" i="2"/>
  <c r="X228" i="2" s="1"/>
  <c r="D219" i="2"/>
  <c r="Q219" i="2" s="1"/>
  <c r="I219" i="2"/>
  <c r="G228" i="2"/>
  <c r="T228" i="2" s="1"/>
  <c r="J228" i="2"/>
  <c r="W228" i="2" s="1"/>
  <c r="L316" i="2"/>
  <c r="Y316" i="2" s="1"/>
  <c r="R283" i="2"/>
  <c r="I285" i="2"/>
  <c r="V285" i="2" s="1"/>
  <c r="V283" i="2"/>
  <c r="X283" i="2"/>
  <c r="K285" i="2"/>
  <c r="X285" i="2" s="1"/>
  <c r="H285" i="2"/>
  <c r="U285" i="2" s="1"/>
  <c r="U283" i="2"/>
  <c r="P283" i="2"/>
  <c r="C285" i="2"/>
  <c r="P285" i="2" s="1"/>
  <c r="E538" i="3"/>
  <c r="V264" i="2"/>
  <c r="Y264" i="2"/>
  <c r="R264" i="2"/>
  <c r="Q264" i="2"/>
  <c r="L538" i="3"/>
  <c r="C228" i="2"/>
  <c r="P228" i="2" s="1"/>
  <c r="I542" i="3"/>
  <c r="I540" i="3"/>
  <c r="E543" i="3"/>
  <c r="E540" i="3"/>
  <c r="E541" i="3"/>
  <c r="F541" i="3"/>
  <c r="I538" i="3"/>
  <c r="F542" i="3"/>
  <c r="G543" i="3"/>
  <c r="H542" i="3"/>
  <c r="K540" i="3"/>
  <c r="F538" i="3"/>
  <c r="C541" i="3"/>
  <c r="L543" i="3"/>
  <c r="G541" i="3"/>
  <c r="G540" i="3"/>
  <c r="G542" i="3"/>
  <c r="K445" i="2"/>
  <c r="X445" i="2" s="1"/>
  <c r="P436" i="2"/>
  <c r="C445" i="2"/>
  <c r="P445" i="2" s="1"/>
  <c r="L445" i="2"/>
  <c r="Y445" i="2" s="1"/>
  <c r="G445" i="2"/>
  <c r="T445" i="2" s="1"/>
  <c r="F540" i="3"/>
  <c r="F543" i="3"/>
  <c r="K542" i="3"/>
  <c r="R30" i="2"/>
  <c r="E33" i="2"/>
  <c r="G63" i="2"/>
  <c r="T63" i="2" s="1"/>
  <c r="L33" i="2"/>
  <c r="Y33" i="2" s="1"/>
  <c r="Y30" i="2"/>
  <c r="Q30" i="2"/>
  <c r="D33" i="2"/>
  <c r="Q33" i="2" s="1"/>
  <c r="K543" i="3"/>
  <c r="L540" i="3"/>
  <c r="K541" i="3"/>
  <c r="K538" i="3"/>
  <c r="D316" i="2"/>
  <c r="Q316" i="2" s="1"/>
  <c r="L541" i="3"/>
  <c r="L542" i="3"/>
  <c r="K251" i="2"/>
  <c r="X251" i="2" s="1"/>
  <c r="Y157" i="2"/>
  <c r="J174" i="2"/>
  <c r="W174" i="2" s="1"/>
  <c r="M174" i="2"/>
  <c r="Z174" i="2" s="1"/>
  <c r="U157" i="2"/>
  <c r="E174" i="2"/>
  <c r="R174" i="2" s="1"/>
  <c r="D174" i="2"/>
  <c r="Q174" i="2" s="1"/>
  <c r="Q157" i="2"/>
  <c r="B365" i="2"/>
  <c r="O365" i="2" s="1"/>
  <c r="L365" i="2"/>
  <c r="Y365" i="2" s="1"/>
  <c r="D365" i="2"/>
  <c r="Q365" i="2" s="1"/>
  <c r="F365" i="2"/>
  <c r="S365" i="2" s="1"/>
  <c r="I341" i="2"/>
  <c r="V341" i="2" s="1"/>
  <c r="V338" i="2"/>
  <c r="Z338" i="2"/>
  <c r="M341" i="2"/>
  <c r="E341" i="2"/>
  <c r="R341" i="2" s="1"/>
  <c r="R338" i="2"/>
  <c r="C115" i="2"/>
  <c r="P115" i="2" s="1"/>
  <c r="H77" i="2"/>
  <c r="U77" i="2" s="1"/>
  <c r="Q77" i="2"/>
  <c r="D115" i="2"/>
  <c r="Q115" i="2" s="1"/>
  <c r="L115" i="2"/>
  <c r="Y115" i="2" s="1"/>
  <c r="Y77" i="2"/>
  <c r="O77" i="2"/>
  <c r="T77" i="2"/>
  <c r="G115" i="2"/>
  <c r="T115" i="2" s="1"/>
  <c r="Z75" i="2"/>
  <c r="M77" i="2"/>
  <c r="R77" i="2"/>
  <c r="V75" i="2"/>
  <c r="I77" i="2"/>
  <c r="J538" i="3"/>
  <c r="E228" i="2"/>
  <c r="R228" i="2" s="1"/>
  <c r="B228" i="2"/>
  <c r="O228" i="2" s="1"/>
  <c r="C540" i="3"/>
  <c r="C538" i="3"/>
  <c r="W182" i="2"/>
  <c r="F228" i="2"/>
  <c r="S228" i="2" s="1"/>
  <c r="S182" i="2"/>
  <c r="P182" i="2"/>
  <c r="U182" i="2"/>
  <c r="H228" i="2"/>
  <c r="U228" i="2" s="1"/>
  <c r="Q182" i="2"/>
  <c r="L228" i="2"/>
  <c r="Y228" i="2" s="1"/>
  <c r="Y182" i="2"/>
  <c r="M228" i="2"/>
  <c r="Z228" i="2" s="1"/>
  <c r="Z182" i="2"/>
  <c r="U14" i="2"/>
  <c r="B541" i="3"/>
  <c r="B542" i="3"/>
  <c r="K16" i="2"/>
  <c r="X16" i="2" s="1"/>
  <c r="X14" i="2"/>
  <c r="B63" i="2"/>
  <c r="O63" i="2" s="1"/>
  <c r="B540" i="3"/>
  <c r="B543" i="3"/>
  <c r="D538" i="3"/>
  <c r="J540" i="3"/>
  <c r="C543" i="3"/>
  <c r="C542" i="3"/>
  <c r="J541" i="3"/>
  <c r="H543" i="3"/>
  <c r="M542" i="3"/>
  <c r="H538" i="3"/>
  <c r="J543" i="3"/>
  <c r="M540" i="3"/>
  <c r="M543" i="3"/>
  <c r="M538" i="3"/>
  <c r="M541" i="3"/>
  <c r="D540" i="3"/>
  <c r="H541" i="3"/>
  <c r="D541" i="3"/>
  <c r="E316" i="2"/>
  <c r="R316" i="2" s="1"/>
  <c r="J542" i="3"/>
  <c r="D542" i="3"/>
  <c r="D543" i="3"/>
  <c r="H540" i="3"/>
  <c r="B316" i="2"/>
  <c r="O316" i="2" s="1"/>
  <c r="F316" i="2"/>
  <c r="S316" i="2" s="1"/>
  <c r="M63" i="2"/>
  <c r="Z63" i="2" s="1"/>
  <c r="I63" i="2"/>
  <c r="V63" i="2" s="1"/>
  <c r="F63" i="2"/>
  <c r="S63" i="2" s="1"/>
  <c r="J63" i="2"/>
  <c r="W63" i="2" s="1"/>
  <c r="Q7" i="2"/>
  <c r="D63" i="2"/>
  <c r="Q63" i="2" s="1"/>
  <c r="C63" i="2"/>
  <c r="P63" i="2" s="1"/>
  <c r="W419" i="2"/>
  <c r="I445" i="2"/>
  <c r="V445" i="2" s="1"/>
  <c r="V419" i="2"/>
  <c r="O419" i="2"/>
  <c r="S419" i="2"/>
  <c r="F445" i="2"/>
  <c r="S445" i="2" s="1"/>
  <c r="U16" i="2"/>
  <c r="H63" i="2"/>
  <c r="U63" i="2" s="1"/>
  <c r="Z249" i="2"/>
  <c r="C316" i="2"/>
  <c r="P316" i="2" s="1"/>
  <c r="M316" i="2"/>
  <c r="Z316" i="2" s="1"/>
  <c r="I316" i="2"/>
  <c r="V316" i="2" s="1"/>
  <c r="P385" i="2"/>
  <c r="C411" i="2"/>
  <c r="P411" i="2" s="1"/>
  <c r="J385" i="2"/>
  <c r="W383" i="2"/>
  <c r="R385" i="2"/>
  <c r="E411" i="2"/>
  <c r="R411" i="2" s="1"/>
  <c r="X383" i="2"/>
  <c r="K385" i="2"/>
  <c r="S385" i="2"/>
  <c r="F411" i="2"/>
  <c r="S411" i="2" s="1"/>
  <c r="B385" i="2"/>
  <c r="O383" i="2"/>
  <c r="H411" i="2"/>
  <c r="U411" i="2" s="1"/>
  <c r="U385" i="2"/>
  <c r="V385" i="2"/>
  <c r="I411" i="2"/>
  <c r="V411" i="2" s="1"/>
  <c r="M411" i="2"/>
  <c r="Z411" i="2" s="1"/>
  <c r="Z385" i="2"/>
  <c r="B538" i="3"/>
  <c r="N80" i="3"/>
  <c r="T251" i="2"/>
  <c r="G316" i="2"/>
  <c r="T316" i="2" s="1"/>
  <c r="W251" i="2"/>
  <c r="J316" i="2"/>
  <c r="W316" i="2" s="1"/>
  <c r="H365" i="2"/>
  <c r="U365" i="2" s="1"/>
  <c r="K365" i="2"/>
  <c r="G365" i="2"/>
  <c r="R328" i="2"/>
  <c r="W365" i="2"/>
  <c r="I365" i="2" l="1"/>
  <c r="V365" i="2" s="1"/>
  <c r="B445" i="2"/>
  <c r="O445" i="2" s="1"/>
  <c r="J445" i="2"/>
  <c r="W445" i="2" s="1"/>
  <c r="J115" i="2"/>
  <c r="W115" i="2" s="1"/>
  <c r="F115" i="2"/>
  <c r="S115" i="2" s="1"/>
  <c r="B115" i="2"/>
  <c r="O115" i="2" s="1"/>
  <c r="E445" i="2"/>
  <c r="R445" i="2" s="1"/>
  <c r="M445" i="2"/>
  <c r="Z445" i="2" s="1"/>
  <c r="E115" i="2"/>
  <c r="R115" i="2" s="1"/>
  <c r="D228" i="2"/>
  <c r="Q228" i="2" s="1"/>
  <c r="V219" i="2"/>
  <c r="I228" i="2"/>
  <c r="V228" i="2" s="1"/>
  <c r="H316" i="2"/>
  <c r="U316" i="2" s="1"/>
  <c r="K316" i="2"/>
  <c r="X316" i="2" s="1"/>
  <c r="N538" i="3"/>
  <c r="N543" i="3"/>
  <c r="N540" i="3"/>
  <c r="L63" i="2"/>
  <c r="Y63" i="2" s="1"/>
  <c r="R33" i="2"/>
  <c r="E63" i="2"/>
  <c r="R63" i="2" s="1"/>
  <c r="E365" i="2"/>
  <c r="R365" i="2" s="1"/>
  <c r="Z341" i="2"/>
  <c r="M365" i="2"/>
  <c r="Z365" i="2" s="1"/>
  <c r="H115" i="2"/>
  <c r="U115" i="2" s="1"/>
  <c r="I115" i="2"/>
  <c r="V115" i="2" s="1"/>
  <c r="V77" i="2"/>
  <c r="M115" i="2"/>
  <c r="Z115" i="2" s="1"/>
  <c r="Z77" i="2"/>
  <c r="K63" i="2"/>
  <c r="X63" i="2" s="1"/>
  <c r="C449" i="2"/>
  <c r="O385" i="2"/>
  <c r="B411" i="2"/>
  <c r="W385" i="2"/>
  <c r="J411" i="2"/>
  <c r="X385" i="2"/>
  <c r="K411" i="2"/>
  <c r="X411" i="2" s="1"/>
  <c r="X365" i="2"/>
  <c r="G449" i="2"/>
  <c r="T365" i="2"/>
  <c r="D449" i="2" l="1"/>
  <c r="F449" i="2"/>
  <c r="I449" i="2"/>
  <c r="H449" i="2"/>
  <c r="L449" i="2"/>
  <c r="E449" i="2"/>
  <c r="M449" i="2"/>
  <c r="O411" i="2"/>
  <c r="B449" i="2"/>
  <c r="W411" i="2"/>
  <c r="J449" i="2"/>
  <c r="K449" i="2"/>
</calcChain>
</file>

<file path=xl/sharedStrings.xml><?xml version="1.0" encoding="utf-8"?>
<sst xmlns="http://schemas.openxmlformats.org/spreadsheetml/2006/main" count="33370" uniqueCount="16102">
  <si>
    <t>Oadby Brocks Hill</t>
  </si>
  <si>
    <t>Oadby Grange</t>
  </si>
  <si>
    <t>Oadby St Peter's</t>
  </si>
  <si>
    <t>Oadby Uplands</t>
  </si>
  <si>
    <t>Oadby Woodlands</t>
  </si>
  <si>
    <t>South Wigston</t>
  </si>
  <si>
    <t>Wigston All Saints</t>
  </si>
  <si>
    <t>Wigston Fields</t>
  </si>
  <si>
    <t>Wigston Meadowcourt</t>
  </si>
  <si>
    <t>Wigston St Wolstan's</t>
  </si>
  <si>
    <t>Chorley North East</t>
  </si>
  <si>
    <t>* as created by The London Borough of Lambeth (Electoral Changes) Order 2000</t>
  </si>
  <si>
    <t># paired with the London Borough of Southwark</t>
  </si>
  <si>
    <t>SOUTHWARK LONDON BOROUGH  * #</t>
  </si>
  <si>
    <t>Camberwell Green</t>
  </si>
  <si>
    <t>Pegswood</t>
  </si>
  <si>
    <t>Plessey</t>
  </si>
  <si>
    <t>Cheshire West and Chester (pt)</t>
  </si>
  <si>
    <t>Cheshire East (pt)</t>
  </si>
  <si>
    <t>Dorchester East</t>
  </si>
  <si>
    <t>Dorchester West</t>
  </si>
  <si>
    <t>Walney South</t>
  </si>
  <si>
    <t>Barrow and Furness CC (pt)</t>
  </si>
  <si>
    <t>COPELAND BOROUGH  *</t>
  </si>
  <si>
    <t>* as created by The Borough of Guildford (Electoral Changes) Order 1999</t>
  </si>
  <si>
    <t>MOLE VALLEY DISTRICT  *</t>
  </si>
  <si>
    <t>Ashtead Common</t>
  </si>
  <si>
    <t>Ashtead Park</t>
  </si>
  <si>
    <t>Ashtead Village</t>
  </si>
  <si>
    <t>Beare Green</t>
  </si>
  <si>
    <t>Bookham North</t>
  </si>
  <si>
    <t>Bookham South</t>
  </si>
  <si>
    <t>Box Hill and Headley</t>
  </si>
  <si>
    <t>Brockham, Betchworth and Buckland</t>
  </si>
  <si>
    <t>Capel, Leigh and Newdigate</t>
  </si>
  <si>
    <t>Charlwood</t>
  </si>
  <si>
    <t>Dorking North</t>
  </si>
  <si>
    <t>Dorking South</t>
  </si>
  <si>
    <t>Fetcham East</t>
  </si>
  <si>
    <t>Fetcham West</t>
  </si>
  <si>
    <t>Holmwoods</t>
  </si>
  <si>
    <t>Leatherhead North</t>
  </si>
  <si>
    <t>Leatherhead South</t>
  </si>
  <si>
    <t>Leith Hill</t>
  </si>
  <si>
    <t>Fordingbridge</t>
  </si>
  <si>
    <t>Forest North West</t>
  </si>
  <si>
    <t>Furzedown and Hardley</t>
  </si>
  <si>
    <t>North Downs East</t>
  </si>
  <si>
    <t>North Downs West</t>
  </si>
  <si>
    <t>Romney Marsh</t>
  </si>
  <si>
    <t>Folkestone and Hythe CC (pt)</t>
  </si>
  <si>
    <t>Gainsborough North</t>
  </si>
  <si>
    <t>Gainsborough South-West</t>
  </si>
  <si>
    <t>Hemswell</t>
  </si>
  <si>
    <t>Market Rasen</t>
  </si>
  <si>
    <t>Nettleham</t>
  </si>
  <si>
    <t>Saxilby</t>
  </si>
  <si>
    <t>Trench</t>
  </si>
  <si>
    <t>Vauxhall</t>
  </si>
  <si>
    <t>Wateringbury</t>
  </si>
  <si>
    <t>West Malling and Leybourne</t>
  </si>
  <si>
    <t>Totton South</t>
  </si>
  <si>
    <t>Totton West</t>
  </si>
  <si>
    <t>RUSHMOOR BOROUGH  *</t>
  </si>
  <si>
    <t>Cove and Southwood</t>
  </si>
  <si>
    <t>Empress</t>
  </si>
  <si>
    <t>Knellwood</t>
  </si>
  <si>
    <t>Manor Park</t>
  </si>
  <si>
    <t>North Town</t>
  </si>
  <si>
    <t>Rowhill</t>
  </si>
  <si>
    <t>Paddock Wood East</t>
  </si>
  <si>
    <t>Paddock Wood West</t>
  </si>
  <si>
    <t>Pantiles and St Mark's</t>
  </si>
  <si>
    <t>Pembury</t>
  </si>
  <si>
    <t>Rusthall</t>
  </si>
  <si>
    <t>Sherwood</t>
  </si>
  <si>
    <t>Fleckney</t>
  </si>
  <si>
    <t>Glen</t>
  </si>
  <si>
    <t>Lubenham</t>
  </si>
  <si>
    <t>Sedgemoor (pt)</t>
  </si>
  <si>
    <t>Somerton and Frome CC</t>
  </si>
  <si>
    <t>Mendip (pt)</t>
  </si>
  <si>
    <t>South Somerset (pt)</t>
  </si>
  <si>
    <t>Taunton Deane CC</t>
  </si>
  <si>
    <t>Wells CC</t>
  </si>
  <si>
    <t>Yeovil CC</t>
  </si>
  <si>
    <t>MENDIP DISTRICT  *</t>
  </si>
  <si>
    <t>Ammerdown</t>
  </si>
  <si>
    <t>Ashwick, Chilcompton and Stratton</t>
  </si>
  <si>
    <t>Beckington and Selwood</t>
  </si>
  <si>
    <t>Butleigh and Baltonsborough</t>
  </si>
  <si>
    <t>Chewton Mendip and Ston Easton</t>
  </si>
  <si>
    <t>Coleford and Holcombe</t>
  </si>
  <si>
    <t>Cranmore, Doulting and Nunney</t>
  </si>
  <si>
    <t>Creech</t>
  </si>
  <si>
    <t>Croscombe and Pilton</t>
  </si>
  <si>
    <t>Frome Berkley Down</t>
  </si>
  <si>
    <t>Frome College</t>
  </si>
  <si>
    <t>Frome Keyford</t>
  </si>
  <si>
    <t>Frome Market</t>
  </si>
  <si>
    <t>Frome Oakfield</t>
  </si>
  <si>
    <t>Frome Park</t>
  </si>
  <si>
    <t>Glastonbury St Benedict's</t>
  </si>
  <si>
    <t>Glastonbury St Edmund's</t>
  </si>
  <si>
    <t>Glastonbury St John's</t>
  </si>
  <si>
    <t>Glastonbury St Mary's</t>
  </si>
  <si>
    <t>Postlebury</t>
  </si>
  <si>
    <t>Rode and Norton St Philip</t>
  </si>
  <si>
    <t>Rodney and Westbury</t>
  </si>
  <si>
    <t>County Average (Central Bedfordshire) (2 seats)</t>
  </si>
  <si>
    <t>St Cuthbert Out North</t>
  </si>
  <si>
    <t>Shepton East</t>
  </si>
  <si>
    <t>Haverhill South</t>
  </si>
  <si>
    <t>Haverhill West</t>
  </si>
  <si>
    <t>E05001767</t>
  </si>
  <si>
    <t>E05001768</t>
  </si>
  <si>
    <t>E05001769</t>
  </si>
  <si>
    <t>E05001770</t>
  </si>
  <si>
    <t>E05001771</t>
  </si>
  <si>
    <t>E05001772</t>
  </si>
  <si>
    <t>E05001773</t>
  </si>
  <si>
    <t>E05001774</t>
  </si>
  <si>
    <t>E05001775</t>
  </si>
  <si>
    <t>E05001776</t>
  </si>
  <si>
    <t>E05001777</t>
  </si>
  <si>
    <t>E05001778</t>
  </si>
  <si>
    <t>E05001779</t>
  </si>
  <si>
    <t>E05001780</t>
  </si>
  <si>
    <t>E05001781</t>
  </si>
  <si>
    <t>E05001782</t>
  </si>
  <si>
    <t>E05001783</t>
  </si>
  <si>
    <t>E05003280</t>
  </si>
  <si>
    <t>E05003281</t>
  </si>
  <si>
    <t>E05003282</t>
  </si>
  <si>
    <t>E05003283</t>
  </si>
  <si>
    <t>E05003284</t>
  </si>
  <si>
    <t>E05003286</t>
  </si>
  <si>
    <t>E05003287</t>
  </si>
  <si>
    <t>E05003289</t>
  </si>
  <si>
    <t>E05003290</t>
  </si>
  <si>
    <t>E05003292</t>
  </si>
  <si>
    <t>E05003293</t>
  </si>
  <si>
    <t>E05003295</t>
  </si>
  <si>
    <t>E05003296</t>
  </si>
  <si>
    <t>E05003297</t>
  </si>
  <si>
    <t>E05003299</t>
  </si>
  <si>
    <t>E05003300</t>
  </si>
  <si>
    <t>E05003301</t>
  </si>
  <si>
    <t>E05003302</t>
  </si>
  <si>
    <t>E05003323</t>
  </si>
  <si>
    <t>E05003324</t>
  </si>
  <si>
    <t>E05003325</t>
  </si>
  <si>
    <t>E05003326</t>
  </si>
  <si>
    <t>E05003327</t>
  </si>
  <si>
    <t>E05003328</t>
  </si>
  <si>
    <t>E05003329</t>
  </si>
  <si>
    <t>E05003330</t>
  </si>
  <si>
    <t>E05003331</t>
  </si>
  <si>
    <t>E05003332</t>
  </si>
  <si>
    <t>E05003333</t>
  </si>
  <si>
    <t>E05003334</t>
  </si>
  <si>
    <t>E05003335</t>
  </si>
  <si>
    <t>E05003336</t>
  </si>
  <si>
    <t>E05003337</t>
  </si>
  <si>
    <t>E05003338</t>
  </si>
  <si>
    <t>E05003339</t>
  </si>
  <si>
    <t>E05003340</t>
  </si>
  <si>
    <t>E05003341</t>
  </si>
  <si>
    <t>E05003342</t>
  </si>
  <si>
    <t>E05003343</t>
  </si>
  <si>
    <t>E05003344</t>
  </si>
  <si>
    <t>E05003345</t>
  </si>
  <si>
    <t>E05003346</t>
  </si>
  <si>
    <t>E05003347</t>
  </si>
  <si>
    <t>E05003348</t>
  </si>
  <si>
    <t>E05003349</t>
  </si>
  <si>
    <t>E05003350</t>
  </si>
  <si>
    <t>E05003351</t>
  </si>
  <si>
    <t>E05003352</t>
  </si>
  <si>
    <t>E05003353</t>
  </si>
  <si>
    <t>E05003354</t>
  </si>
  <si>
    <t>E05003355</t>
  </si>
  <si>
    <t>E05003356</t>
  </si>
  <si>
    <t>E05003357</t>
  </si>
  <si>
    <t>E05003358</t>
  </si>
  <si>
    <t>E05003359</t>
  </si>
  <si>
    <t>E05003360</t>
  </si>
  <si>
    <t>E05003361</t>
  </si>
  <si>
    <t>E05003362</t>
  </si>
  <si>
    <t>E05003363</t>
  </si>
  <si>
    <t>E05003364</t>
  </si>
  <si>
    <t>E05003365</t>
  </si>
  <si>
    <t>E05003366</t>
  </si>
  <si>
    <t>E05008520</t>
  </si>
  <si>
    <t>E05008521</t>
  </si>
  <si>
    <t>E05008522</t>
  </si>
  <si>
    <t>E05008523</t>
  </si>
  <si>
    <t>E05008524</t>
  </si>
  <si>
    <t>E05002455</t>
  </si>
  <si>
    <t>E05002456</t>
  </si>
  <si>
    <t>E05002457</t>
  </si>
  <si>
    <t>E05002458</t>
  </si>
  <si>
    <t>E05002459</t>
  </si>
  <si>
    <t>E05002460</t>
  </si>
  <si>
    <t>E05002461</t>
  </si>
  <si>
    <t>E05002462</t>
  </si>
  <si>
    <t>E05002463</t>
  </si>
  <si>
    <t>E05002464</t>
  </si>
  <si>
    <t>E05002465</t>
  </si>
  <si>
    <t>E05002466</t>
  </si>
  <si>
    <t>E05002467</t>
  </si>
  <si>
    <t>E05002468</t>
  </si>
  <si>
    <t>E05002469</t>
  </si>
  <si>
    <t>E05002470</t>
  </si>
  <si>
    <t>E05004516</t>
  </si>
  <si>
    <t>E05004517</t>
  </si>
  <si>
    <t>E05004518</t>
  </si>
  <si>
    <t>E05004519</t>
  </si>
  <si>
    <t>E05004520</t>
  </si>
  <si>
    <t>E05004521</t>
  </si>
  <si>
    <t>E05004522</t>
  </si>
  <si>
    <t>E05004523</t>
  </si>
  <si>
    <t>E05004524</t>
  </si>
  <si>
    <t>E05004525</t>
  </si>
  <si>
    <t>E05004526</t>
  </si>
  <si>
    <t>E05004527</t>
  </si>
  <si>
    <t>E05004528</t>
  </si>
  <si>
    <t>E05004529</t>
  </si>
  <si>
    <t>E05004530</t>
  </si>
  <si>
    <t>E05004531</t>
  </si>
  <si>
    <t>E05004532</t>
  </si>
  <si>
    <t>E05004533</t>
  </si>
  <si>
    <t>E05004534</t>
  </si>
  <si>
    <t>E05004535</t>
  </si>
  <si>
    <t>E05004536</t>
  </si>
  <si>
    <t>E05004537</t>
  </si>
  <si>
    <t>E05004538</t>
  </si>
  <si>
    <t>E05004539</t>
  </si>
  <si>
    <t>E05004540</t>
  </si>
  <si>
    <t>E05004541</t>
  </si>
  <si>
    <t>E05004542</t>
  </si>
  <si>
    <t>E05004543</t>
  </si>
  <si>
    <t>E05004544</t>
  </si>
  <si>
    <t>E05004545</t>
  </si>
  <si>
    <t>E05004546</t>
  </si>
  <si>
    <t>E05004547</t>
  </si>
  <si>
    <t>E05004566</t>
  </si>
  <si>
    <t>E05004567</t>
  </si>
  <si>
    <t>E05004568</t>
  </si>
  <si>
    <t>E05004569</t>
  </si>
  <si>
    <t>E05004570</t>
  </si>
  <si>
    <t>E05004571</t>
  </si>
  <si>
    <t>E05004572</t>
  </si>
  <si>
    <t>E05004573</t>
  </si>
  <si>
    <t>E05004574</t>
  </si>
  <si>
    <t>E05004575</t>
  </si>
  <si>
    <t>E05004576</t>
  </si>
  <si>
    <t>E05004577</t>
  </si>
  <si>
    <t>E05004578</t>
  </si>
  <si>
    <t>E05004579</t>
  </si>
  <si>
    <t>E05004580</t>
  </si>
  <si>
    <t>E05004581</t>
  </si>
  <si>
    <t>E05004582</t>
  </si>
  <si>
    <t>E05004583</t>
  </si>
  <si>
    <t>E05004584</t>
  </si>
  <si>
    <t>E05004585</t>
  </si>
  <si>
    <t>E05004586</t>
  </si>
  <si>
    <t>E05004587</t>
  </si>
  <si>
    <t>E05004588</t>
  </si>
  <si>
    <t>E05004589</t>
  </si>
  <si>
    <t>E05004590</t>
  </si>
  <si>
    <t>E05004592</t>
  </si>
  <si>
    <t>E05004593</t>
  </si>
  <si>
    <t>E05004596</t>
  </si>
  <si>
    <t>E05004597</t>
  </si>
  <si>
    <t>E05004598</t>
  </si>
  <si>
    <t>E05004599</t>
  </si>
  <si>
    <t>E05004600</t>
  </si>
  <si>
    <t>E05004601</t>
  </si>
  <si>
    <t>E05004602</t>
  </si>
  <si>
    <t>E05004603</t>
  </si>
  <si>
    <t>E05004604</t>
  </si>
  <si>
    <t>E05004605</t>
  </si>
  <si>
    <t>E05004606</t>
  </si>
  <si>
    <t>E05004607</t>
  </si>
  <si>
    <t>E05004608</t>
  </si>
  <si>
    <t>E05004609</t>
  </si>
  <si>
    <t>E05004610</t>
  </si>
  <si>
    <t>E05004611</t>
  </si>
  <si>
    <t>E05004612</t>
  </si>
  <si>
    <t>E05004613</t>
  </si>
  <si>
    <t>E05001687</t>
  </si>
  <si>
    <t>E05001688</t>
  </si>
  <si>
    <t>E05001689</t>
  </si>
  <si>
    <t>E05001690</t>
  </si>
  <si>
    <t>E05001691</t>
  </si>
  <si>
    <t>E05001692</t>
  </si>
  <si>
    <t>E05001693</t>
  </si>
  <si>
    <t>E05001694</t>
  </si>
  <si>
    <t>E05001695</t>
  </si>
  <si>
    <t>E05001696</t>
  </si>
  <si>
    <t>E05001697</t>
  </si>
  <si>
    <t>E05001698</t>
  </si>
  <si>
    <t>E05001699</t>
  </si>
  <si>
    <t>E05001700</t>
  </si>
  <si>
    <t>E05001701</t>
  </si>
  <si>
    <t>E05001702</t>
  </si>
  <si>
    <t>E05001703</t>
  </si>
  <si>
    <t>E05001704</t>
  </si>
  <si>
    <t>E05001705</t>
  </si>
  <si>
    <t>E05001706</t>
  </si>
  <si>
    <t>E05001707</t>
  </si>
  <si>
    <t>E05001708</t>
  </si>
  <si>
    <t>E05001709</t>
  </si>
  <si>
    <t>E05001710</t>
  </si>
  <si>
    <t>E05001711</t>
  </si>
  <si>
    <t>E05001712</t>
  </si>
  <si>
    <t>E05001713</t>
  </si>
  <si>
    <t>E05001714</t>
  </si>
  <si>
    <t>E05001715</t>
  </si>
  <si>
    <t>E05001716</t>
  </si>
  <si>
    <t>E05001717</t>
  </si>
  <si>
    <t>E05001718</t>
  </si>
  <si>
    <t>E05001719</t>
  </si>
  <si>
    <t>E05001720</t>
  </si>
  <si>
    <t>E05001721</t>
  </si>
  <si>
    <t>E05001722</t>
  </si>
  <si>
    <t>E05001723</t>
  </si>
  <si>
    <t>E05001724</t>
  </si>
  <si>
    <t>E05001725</t>
  </si>
  <si>
    <t>E05001726</t>
  </si>
  <si>
    <t>E05001727</t>
  </si>
  <si>
    <t>E05001728</t>
  </si>
  <si>
    <t>E05001729</t>
  </si>
  <si>
    <t>E05001730</t>
  </si>
  <si>
    <t>E05001731</t>
  </si>
  <si>
    <t>E05001732</t>
  </si>
  <si>
    <t>E05001733</t>
  </si>
  <si>
    <t>E05001734</t>
  </si>
  <si>
    <t>E05001735</t>
  </si>
  <si>
    <t>E05001736</t>
  </si>
  <si>
    <t>E05001737</t>
  </si>
  <si>
    <t>E05001738</t>
  </si>
  <si>
    <t>E05001739</t>
  </si>
  <si>
    <t>E05001740</t>
  </si>
  <si>
    <t>E05001741</t>
  </si>
  <si>
    <t>E05001742</t>
  </si>
  <si>
    <t>E05001743</t>
  </si>
  <si>
    <t>E05001744</t>
  </si>
  <si>
    <t>E05005618</t>
  </si>
  <si>
    <t>E05005619</t>
  </si>
  <si>
    <t>E05005620</t>
  </si>
  <si>
    <t>E05005621</t>
  </si>
  <si>
    <t>E05005622</t>
  </si>
  <si>
    <t>E05005623</t>
  </si>
  <si>
    <t>E05005624</t>
  </si>
  <si>
    <t>E05005625</t>
  </si>
  <si>
    <t>E05005626</t>
  </si>
  <si>
    <t>E05005627</t>
  </si>
  <si>
    <t>E05005628</t>
  </si>
  <si>
    <t>E05005629</t>
  </si>
  <si>
    <t>E05005630</t>
  </si>
  <si>
    <t>E05005631</t>
  </si>
  <si>
    <t>E05005632</t>
  </si>
  <si>
    <t>E05005633</t>
  </si>
  <si>
    <t>E05005634</t>
  </si>
  <si>
    <t>E05005635</t>
  </si>
  <si>
    <t>E05005636</t>
  </si>
  <si>
    <t>E05005637</t>
  </si>
  <si>
    <t>E05005638</t>
  </si>
  <si>
    <t>E05005639</t>
  </si>
  <si>
    <t>E05005640</t>
  </si>
  <si>
    <t>E05005641</t>
  </si>
  <si>
    <t>E05005642</t>
  </si>
  <si>
    <t>E05005643</t>
  </si>
  <si>
    <t>E05005644</t>
  </si>
  <si>
    <t>E05005645</t>
  </si>
  <si>
    <t>E05005646</t>
  </si>
  <si>
    <t>E05005647</t>
  </si>
  <si>
    <t>E05005648</t>
  </si>
  <si>
    <t>E05005649</t>
  </si>
  <si>
    <t>E05005650</t>
  </si>
  <si>
    <t>E05005651</t>
  </si>
  <si>
    <t>E05005652</t>
  </si>
  <si>
    <t>E05005653</t>
  </si>
  <si>
    <t>E05005654</t>
  </si>
  <si>
    <t>E05005655</t>
  </si>
  <si>
    <t>E05005656</t>
  </si>
  <si>
    <t>E05005657</t>
  </si>
  <si>
    <t>E05005658</t>
  </si>
  <si>
    <t>E05005659</t>
  </si>
  <si>
    <t>E05005660</t>
  </si>
  <si>
    <t>E05005661</t>
  </si>
  <si>
    <t>E05000026</t>
  </si>
  <si>
    <t>E05000027</t>
  </si>
  <si>
    <t>E05000028</t>
  </si>
  <si>
    <t>E05000029</t>
  </si>
  <si>
    <t>E05000030</t>
  </si>
  <si>
    <t>E05000031</t>
  </si>
  <si>
    <t>E05000032</t>
  </si>
  <si>
    <t>E05000033</t>
  </si>
  <si>
    <t>E05000034</t>
  </si>
  <si>
    <t>E05000035</t>
  </si>
  <si>
    <t>E05000036</t>
  </si>
  <si>
    <t>E05000037</t>
  </si>
  <si>
    <t>E05000038</t>
  </si>
  <si>
    <t>E05000039</t>
  </si>
  <si>
    <t>E05000040</t>
  </si>
  <si>
    <t>E05000041</t>
  </si>
  <si>
    <t>E05000042</t>
  </si>
  <si>
    <t>E05000106</t>
  </si>
  <si>
    <t>E05000107</t>
  </si>
  <si>
    <t>E05000108</t>
  </si>
  <si>
    <t>E05000109</t>
  </si>
  <si>
    <t>E05000110</t>
  </si>
  <si>
    <t>E05000111</t>
  </si>
  <si>
    <t>E05000112</t>
  </si>
  <si>
    <t>E05000113</t>
  </si>
  <si>
    <t>E05000114</t>
  </si>
  <si>
    <t>E05000115</t>
  </si>
  <si>
    <t>E05000116</t>
  </si>
  <si>
    <t>E05000117</t>
  </si>
  <si>
    <t>E05000118</t>
  </si>
  <si>
    <t>E05000119</t>
  </si>
  <si>
    <t>E05000120</t>
  </si>
  <si>
    <t>E05000121</t>
  </si>
  <si>
    <t>E05000122</t>
  </si>
  <si>
    <t>E05000123</t>
  </si>
  <si>
    <t>E05000124</t>
  </si>
  <si>
    <t>E05000125</t>
  </si>
  <si>
    <t>E05000126</t>
  </si>
  <si>
    <t>E05000127</t>
  </si>
  <si>
    <t>E05000214</t>
  </si>
  <si>
    <t>E05000215</t>
  </si>
  <si>
    <t>E05000216</t>
  </si>
  <si>
    <t>E05000217</t>
  </si>
  <si>
    <t>E05000218</t>
  </si>
  <si>
    <t>E05000219</t>
  </si>
  <si>
    <t>E05000220</t>
  </si>
  <si>
    <t>E05000221</t>
  </si>
  <si>
    <t>E05000222</t>
  </si>
  <si>
    <t>E05000223</t>
  </si>
  <si>
    <t>E05000224</t>
  </si>
  <si>
    <t>E05000225</t>
  </si>
  <si>
    <t>E05000226</t>
  </si>
  <si>
    <t>E05000227</t>
  </si>
  <si>
    <t>E05000228</t>
  </si>
  <si>
    <t>E05000229</t>
  </si>
  <si>
    <t>E05000230</t>
  </si>
  <si>
    <t>E05000306</t>
  </si>
  <si>
    <t>E05000307</t>
  </si>
  <si>
    <t>E05000308</t>
  </si>
  <si>
    <t>E05000309</t>
  </si>
  <si>
    <t>E05000310</t>
  </si>
  <si>
    <t>E05000311</t>
  </si>
  <si>
    <t>E05000312</t>
  </si>
  <si>
    <t>E05000313</t>
  </si>
  <si>
    <t>E05000314</t>
  </si>
  <si>
    <t>E05000315</t>
  </si>
  <si>
    <t>E05000316</t>
  </si>
  <si>
    <t>E05000317</t>
  </si>
  <si>
    <t>E05000318</t>
  </si>
  <si>
    <t>E05000319</t>
  </si>
  <si>
    <t>E05000320</t>
  </si>
  <si>
    <t>E05000321</t>
  </si>
  <si>
    <t>E05000322</t>
  </si>
  <si>
    <t>E05000323</t>
  </si>
  <si>
    <t>E05000400</t>
  </si>
  <si>
    <t>E05000401</t>
  </si>
  <si>
    <t>E05000402</t>
  </si>
  <si>
    <t>E05000403</t>
  </si>
  <si>
    <t>E05000404</t>
  </si>
  <si>
    <t>E05000405</t>
  </si>
  <si>
    <t>E05000406</t>
  </si>
  <si>
    <t>E05000407</t>
  </si>
  <si>
    <t>E05000408</t>
  </si>
  <si>
    <t>E05000409</t>
  </si>
  <si>
    <t>E05000410</t>
  </si>
  <si>
    <t>E05000411</t>
  </si>
  <si>
    <t>E05000412</t>
  </si>
  <si>
    <t>E05000413</t>
  </si>
  <si>
    <t>E05000414</t>
  </si>
  <si>
    <t>E05000415</t>
  </si>
  <si>
    <t>E05000416</t>
  </si>
  <si>
    <t>E05000417</t>
  </si>
  <si>
    <t>E05000418</t>
  </si>
  <si>
    <t>E05000419</t>
  </si>
  <si>
    <t>E05000420</t>
  </si>
  <si>
    <t>E05000421</t>
  </si>
  <si>
    <t>E05000422</t>
  </si>
  <si>
    <t>E05000423</t>
  </si>
  <si>
    <t>E05000424</t>
  </si>
  <si>
    <t>E05000425</t>
  </si>
  <si>
    <t>E05000426</t>
  </si>
  <si>
    <t>E05000427</t>
  </si>
  <si>
    <t>E05000428</t>
  </si>
  <si>
    <t>E05000429</t>
  </si>
  <si>
    <t>E05000430</t>
  </si>
  <si>
    <t>E05000431</t>
  </si>
  <si>
    <t>E05000432</t>
  </si>
  <si>
    <t>E05000433</t>
  </si>
  <si>
    <t>E05000434</t>
  </si>
  <si>
    <t>E05000435</t>
  </si>
  <si>
    <t>E05000436</t>
  </si>
  <si>
    <t>Scotforth East</t>
  </si>
  <si>
    <t>Scotforth West</t>
  </si>
  <si>
    <t>Silverdale</t>
  </si>
  <si>
    <t>Skerton East</t>
  </si>
  <si>
    <t>Skerton West</t>
  </si>
  <si>
    <t>Torrisholme</t>
  </si>
  <si>
    <t>Upper Lune Valley</t>
  </si>
  <si>
    <t>Warton</t>
  </si>
  <si>
    <t>Lancaster and Fleetwood CC (pt)</t>
  </si>
  <si>
    <t>40.</t>
  </si>
  <si>
    <t>FENLAND DISTRICT  *</t>
  </si>
  <si>
    <t>Bassenhally</t>
  </si>
  <si>
    <t>Birch</t>
  </si>
  <si>
    <t>Clarkson</t>
  </si>
  <si>
    <t>Palgrave</t>
  </si>
  <si>
    <t>Rattlesden</t>
  </si>
  <si>
    <t>Bury St Edmunds CC (pt)</t>
  </si>
  <si>
    <t>Abbeygate</t>
  </si>
  <si>
    <t>Bardwell</t>
  </si>
  <si>
    <t>Barningham</t>
  </si>
  <si>
    <t>Barrow</t>
  </si>
  <si>
    <t>Winterbourne</t>
  </si>
  <si>
    <t>Yate Central</t>
  </si>
  <si>
    <t>Yate North</t>
  </si>
  <si>
    <t>BARNSLEY BOROUGH</t>
  </si>
  <si>
    <t>DONCASTER BOROUGH</t>
  </si>
  <si>
    <t>ROTHERHAM BOROUGH</t>
  </si>
  <si>
    <t>CITY OF SHEFFIELD</t>
  </si>
  <si>
    <t>County Average (13 seats)</t>
  </si>
  <si>
    <t>Barnsley Central BC</t>
  </si>
  <si>
    <t>Barnsley (pt)</t>
  </si>
  <si>
    <t>Barnsley East CC</t>
  </si>
  <si>
    <t>Don Valley CC</t>
  </si>
  <si>
    <t>Penistone and Stocksbridge CC</t>
  </si>
  <si>
    <t>Sheffield (pt)</t>
  </si>
  <si>
    <t>Rother Valley CC</t>
  </si>
  <si>
    <t>Rotherham (pt)</t>
  </si>
  <si>
    <t>Rotherham BC</t>
  </si>
  <si>
    <t>Sheffield, Brightside and Hillsborough BC</t>
  </si>
  <si>
    <t>Sheffield Central BC</t>
  </si>
  <si>
    <t>Sheffield, Hallam CC</t>
  </si>
  <si>
    <t>Sheffield, Heeley BC</t>
  </si>
  <si>
    <t>Sheffield South East BC</t>
  </si>
  <si>
    <t>Tudhoe</t>
  </si>
  <si>
    <t>DOVER DISTRICT  *</t>
  </si>
  <si>
    <t>Pyrford</t>
  </si>
  <si>
    <t>East Sheen</t>
  </si>
  <si>
    <t>Haverhill East</t>
  </si>
  <si>
    <t>Haverhill North</t>
  </si>
  <si>
    <t>Burbage St Catherines and Lash Hill</t>
  </si>
  <si>
    <t>Burbage Sketchley and Stretton</t>
  </si>
  <si>
    <t>Cadeby, Carlton and Market Bosworth with Shackerstone</t>
  </si>
  <si>
    <t>Earl Shilton</t>
  </si>
  <si>
    <t>Groby</t>
  </si>
  <si>
    <t>Hinckley Castle</t>
  </si>
  <si>
    <t>Hinckley Clarendon</t>
  </si>
  <si>
    <t>Hinckley De Montfort</t>
  </si>
  <si>
    <t>Hinckley Trinity</t>
  </si>
  <si>
    <t>Markfield, Stanton and Fieldhead</t>
  </si>
  <si>
    <t>Newbold Verdon with Desford and Peckleton</t>
  </si>
  <si>
    <t>Ratby, Bagworth and Thornton</t>
  </si>
  <si>
    <t>Twycross and Witherley with Sheepy</t>
  </si>
  <si>
    <t>* as created by The Borough of Hinckley and Bosworth (Electoral Changes) Order 2002</t>
  </si>
  <si>
    <t>MELTON BOROUGH  *</t>
  </si>
  <si>
    <t>Asfordby</t>
  </si>
  <si>
    <t>Croxton Kerrial</t>
  </si>
  <si>
    <t>Frisby-on-the-Wreake</t>
  </si>
  <si>
    <t>Gaddesby</t>
  </si>
  <si>
    <t>Long Clawson and Stathern</t>
  </si>
  <si>
    <t>Melton Craven</t>
  </si>
  <si>
    <t>Melton Dorian</t>
  </si>
  <si>
    <t>Melton Egerton</t>
  </si>
  <si>
    <t>Melton Newport</t>
  </si>
  <si>
    <t>Melton Sysonby</t>
  </si>
  <si>
    <t>Melton Warwick</t>
  </si>
  <si>
    <t>Old Dalby</t>
  </si>
  <si>
    <t>Somerby</t>
  </si>
  <si>
    <t>Waltham-on-the-Wolds</t>
  </si>
  <si>
    <t>Wymondham</t>
  </si>
  <si>
    <t>Regent's Park</t>
  </si>
  <si>
    <t>Halton-with-Aughton</t>
  </si>
  <si>
    <t>Heysham Central</t>
  </si>
  <si>
    <t>Heysham North</t>
  </si>
  <si>
    <t>Heysham South</t>
  </si>
  <si>
    <t>John O'Gaunt</t>
  </si>
  <si>
    <t>Kellet</t>
  </si>
  <si>
    <t>Lower Lune Valley</t>
  </si>
  <si>
    <t>Poulton</t>
  </si>
  <si>
    <t>County Average (East Sussex) (5 seats)</t>
  </si>
  <si>
    <t>Penistone West</t>
  </si>
  <si>
    <t>Rockingham</t>
  </si>
  <si>
    <t>Court</t>
  </si>
  <si>
    <t>Cuddington</t>
  </si>
  <si>
    <t>Ewell</t>
  </si>
  <si>
    <t>Ewell Court</t>
  </si>
  <si>
    <t>Southborough and High Brooms</t>
  </si>
  <si>
    <t>Southborough North</t>
  </si>
  <si>
    <t>Speldhurst and Bidborough</t>
  </si>
  <si>
    <t>* as created by The Borough of Tunbridge Wells (Electoral Changes) Order 2001</t>
  </si>
  <si>
    <t>LAMBETH LONDON BOROUGH  * #</t>
  </si>
  <si>
    <t>Dulwich and West Norwood BC</t>
  </si>
  <si>
    <t>Lambeth (pt)</t>
  </si>
  <si>
    <t>Southwark (pt)</t>
  </si>
  <si>
    <t>Streatham BC</t>
  </si>
  <si>
    <t>Vauxhall BC</t>
  </si>
  <si>
    <t>Bermondsey and Old Southwark BC</t>
  </si>
  <si>
    <t>Camberwell and Peckham BC</t>
  </si>
  <si>
    <t>Bishop's</t>
  </si>
  <si>
    <t>Brixton Hill</t>
  </si>
  <si>
    <t>Clapham Common</t>
  </si>
  <si>
    <t>Clapham Town</t>
  </si>
  <si>
    <t>Ferndale</t>
  </si>
  <si>
    <t>Gipsy Hill</t>
  </si>
  <si>
    <t>Herne Hill</t>
  </si>
  <si>
    <t>Knight's Hill</t>
  </si>
  <si>
    <t>Larkhall</t>
  </si>
  <si>
    <t>Oval</t>
  </si>
  <si>
    <t>Prince's</t>
  </si>
  <si>
    <t>Stockwell</t>
  </si>
  <si>
    <t>Streatham Hill</t>
  </si>
  <si>
    <t>Streatham South</t>
  </si>
  <si>
    <t>Daventry CC (pt)</t>
  </si>
  <si>
    <t>Northfield</t>
  </si>
  <si>
    <t>Oundle</t>
  </si>
  <si>
    <t>SUTTON LONDON BOROUGH  *</t>
  </si>
  <si>
    <t>Carshalton and Wallington BC</t>
  </si>
  <si>
    <t>Sutton (pt)</t>
  </si>
  <si>
    <t>Sutton and Cheam BC</t>
  </si>
  <si>
    <t>Saxon Shore</t>
  </si>
  <si>
    <t>Stocksfield and Broomhaugh</t>
  </si>
  <si>
    <t>Vincent Square</t>
  </si>
  <si>
    <t>Westbourne</t>
  </si>
  <si>
    <t>West End</t>
  </si>
  <si>
    <t>* as created by The City of Westminster (Electoral Changes) Order 2000</t>
  </si>
  <si>
    <t>ISLES OF SCILLY</t>
  </si>
  <si>
    <t>County Average (6 seats)</t>
  </si>
  <si>
    <t>Camborne and Redruth CC</t>
  </si>
  <si>
    <t>RUNNYMEDE BOROUGH</t>
  </si>
  <si>
    <t>SPELTHORNE BOROUGH</t>
  </si>
  <si>
    <t>SURREY HEATH BOROUGH</t>
  </si>
  <si>
    <t>TANDRIDGE DISTRICT</t>
  </si>
  <si>
    <t>WAVERLEY BOROUGH</t>
  </si>
  <si>
    <t>WOKING BOROUGH</t>
  </si>
  <si>
    <t>East Surrey CC</t>
  </si>
  <si>
    <t>Reigate and Banstead (pt)</t>
  </si>
  <si>
    <t>Epsom and Ewell BC</t>
  </si>
  <si>
    <t>Mole Valley (pt)</t>
  </si>
  <si>
    <t>Esher and Walton BC</t>
  </si>
  <si>
    <t>Elmbridge (pt)</t>
  </si>
  <si>
    <t>Guildford CC</t>
  </si>
  <si>
    <t>Guildford (pt)</t>
  </si>
  <si>
    <t>Waverley (pt)</t>
  </si>
  <si>
    <t>Mole Valley CC</t>
  </si>
  <si>
    <t>Reigate BC</t>
  </si>
  <si>
    <t>Runnymede and Weybridge CC</t>
  </si>
  <si>
    <t>South West Surrey CC</t>
  </si>
  <si>
    <t>Spelthorne BC</t>
  </si>
  <si>
    <t>Surrey Heath CC</t>
  </si>
  <si>
    <t>Woking CC</t>
  </si>
  <si>
    <t>ELMBRIDGE BOROUGH  *</t>
  </si>
  <si>
    <t>Claygate</t>
  </si>
  <si>
    <t>Esher</t>
  </si>
  <si>
    <t>Warbreck</t>
  </si>
  <si>
    <t>Waterloo</t>
  </si>
  <si>
    <t>Blackpool North and Cleveleys BC (pt)</t>
  </si>
  <si>
    <t>* as created by The Borough of Blackpool (Electoral Change) Order 2002</t>
  </si>
  <si>
    <t>Hove Park</t>
  </si>
  <si>
    <t>BASILDON BOROUGH</t>
  </si>
  <si>
    <t>BASILDON BOROUGH  *</t>
  </si>
  <si>
    <t>Langbourn</t>
  </si>
  <si>
    <t>Lime Street</t>
  </si>
  <si>
    <t>Portsoken</t>
  </si>
  <si>
    <t>Queenhithe</t>
  </si>
  <si>
    <t>Tower</t>
  </si>
  <si>
    <t>REIGATE AND BANSTEAD BOROUGH</t>
  </si>
  <si>
    <t>Yeovil Without</t>
  </si>
  <si>
    <t>Monument</t>
  </si>
  <si>
    <t>CITY OF STOKE-ON-TRENT  *</t>
  </si>
  <si>
    <t>CANNOCK CHASE DISTRICT</t>
  </si>
  <si>
    <t>EAST STAFFORDSHIRE BOROUGH</t>
  </si>
  <si>
    <t>LICHFIELD DISTRICT</t>
  </si>
  <si>
    <t>NEWCASTLE-UNDER-LYME BOROUGH</t>
  </si>
  <si>
    <t>SOUTH STAFFORDSHIRE DISTRICT</t>
  </si>
  <si>
    <t>STAFFORD BOROUGH  *</t>
  </si>
  <si>
    <t>STAFFORDSHIRE MOORLANDS DISTRICT</t>
  </si>
  <si>
    <t>TAMWORTH BOROUGH</t>
  </si>
  <si>
    <t>County Average (Staffordshire) (9 seats)</t>
  </si>
  <si>
    <t>County Average (Stoke-on-Trent) (3 seats)</t>
  </si>
  <si>
    <t>Burton CC</t>
  </si>
  <si>
    <t>East Staffordshire (pt)</t>
  </si>
  <si>
    <t>Cannock Chase CC</t>
  </si>
  <si>
    <t>Lichfield CC</t>
  </si>
  <si>
    <t>Lichfield (pt)</t>
  </si>
  <si>
    <t>CITY OF SALFORD</t>
  </si>
  <si>
    <t>STOCKPORT BOROUGH</t>
  </si>
  <si>
    <t>TAMESIDE BOROUGH</t>
  </si>
  <si>
    <t>TRAFFORD BOROUGH</t>
  </si>
  <si>
    <t>WIGAN BOROUGH</t>
  </si>
  <si>
    <t>* as created by The London Borough of Ealing (Electoral Changes) Order 2000</t>
  </si>
  <si>
    <t>ENFIELD LONDON BOROUGH  *</t>
  </si>
  <si>
    <t>Edmonton BC</t>
  </si>
  <si>
    <t>Enfield (pt)</t>
  </si>
  <si>
    <t>Enfield North BC</t>
  </si>
  <si>
    <t>Enfield, Southgate BC</t>
  </si>
  <si>
    <t>Bowes</t>
  </si>
  <si>
    <t>Bush Hill Park</t>
  </si>
  <si>
    <t>Chase</t>
  </si>
  <si>
    <t>Cockfosters</t>
  </si>
  <si>
    <t>CANNOCK CHASE DISTRICT  *</t>
  </si>
  <si>
    <t>Brereton and Ravenhill</t>
  </si>
  <si>
    <t>Cannock East</t>
  </si>
  <si>
    <t>Cannock North</t>
  </si>
  <si>
    <t>Cannock South</t>
  </si>
  <si>
    <t>Cannock West</t>
  </si>
  <si>
    <t>Etching Hill and The Heath</t>
  </si>
  <si>
    <t>Hawks Green</t>
  </si>
  <si>
    <t>Heath Hayes East and Wimblebury</t>
  </si>
  <si>
    <t>Hednesford Green Heath</t>
  </si>
  <si>
    <t>Hednesford North</t>
  </si>
  <si>
    <t>Hednesford South</t>
  </si>
  <si>
    <t>Norton Canes</t>
  </si>
  <si>
    <t>Rawnsley</t>
  </si>
  <si>
    <t>Western Springs</t>
  </si>
  <si>
    <t>* as created by The District of Cannock Chase (Electoral Changes) Order 2001</t>
  </si>
  <si>
    <t>Anchorsholme</t>
  </si>
  <si>
    <t>Bispham</t>
  </si>
  <si>
    <t>Bloomfield</t>
  </si>
  <si>
    <t>Brunswick</t>
  </si>
  <si>
    <t>Claremont</t>
  </si>
  <si>
    <t>Greenlands</t>
  </si>
  <si>
    <t>Hawes Side</t>
  </si>
  <si>
    <t>Highfield</t>
  </si>
  <si>
    <t>Ingthorpe</t>
  </si>
  <si>
    <t>Layton</t>
  </si>
  <si>
    <t>Marton</t>
  </si>
  <si>
    <t>Norbreck</t>
  </si>
  <si>
    <t>Squires Gate</t>
  </si>
  <si>
    <t>Talbot</t>
  </si>
  <si>
    <t>Tyldesley</t>
  </si>
  <si>
    <t>Leyburn</t>
  </si>
  <si>
    <t>Lower Wensleydale</t>
  </si>
  <si>
    <t>Melsonby</t>
  </si>
  <si>
    <t>Middleham</t>
  </si>
  <si>
    <t>Coal Clough with Deerplay</t>
  </si>
  <si>
    <t>Daneshouse with Stoneyholme</t>
  </si>
  <si>
    <t>Gannow</t>
  </si>
  <si>
    <t>Gawthorpe</t>
  </si>
  <si>
    <t>Hapton with Park</t>
  </si>
  <si>
    <t>Lanehead</t>
  </si>
  <si>
    <t>Queensgate</t>
  </si>
  <si>
    <t>Rosegrove with Lowerhouse</t>
  </si>
  <si>
    <t>Mickleham, Westhumble and Pixham</t>
  </si>
  <si>
    <t>TUNBRIDGE WELLS BOROUGH  *</t>
  </si>
  <si>
    <t>Benenden and Cranbrook</t>
  </si>
  <si>
    <t>Brenchley and Horsmonden</t>
  </si>
  <si>
    <t>Broadwater</t>
  </si>
  <si>
    <t>Capel</t>
  </si>
  <si>
    <t>Culverden</t>
  </si>
  <si>
    <t>Frittenden and Sissinghurst</t>
  </si>
  <si>
    <t>Goudhurst and Lamberhurst</t>
  </si>
  <si>
    <t>Hawkhurst and Sandhurst</t>
  </si>
  <si>
    <t>Cowes Medina</t>
  </si>
  <si>
    <t>Cowes North</t>
  </si>
  <si>
    <t>East Cowes</t>
  </si>
  <si>
    <t>Freshwater South</t>
  </si>
  <si>
    <t>Lake North</t>
  </si>
  <si>
    <t>Lake South</t>
  </si>
  <si>
    <t>Newport Central</t>
  </si>
  <si>
    <t>Greenford Broadway</t>
  </si>
  <si>
    <t>Hanger Hill</t>
  </si>
  <si>
    <t>Lady Margaret</t>
  </si>
  <si>
    <t>North Greenford</t>
  </si>
  <si>
    <t>Northolt Mandeville</t>
  </si>
  <si>
    <t>Northolt West End</t>
  </si>
  <si>
    <t>Norwood Green</t>
  </si>
  <si>
    <t>Perivale</t>
  </si>
  <si>
    <t>South Acton</t>
  </si>
  <si>
    <t>Southall Broadway</t>
  </si>
  <si>
    <t>Southall Green</t>
  </si>
  <si>
    <t>Normandy</t>
  </si>
  <si>
    <t>Onslow</t>
  </si>
  <si>
    <t>Pilgrims</t>
  </si>
  <si>
    <t>Pirbright</t>
  </si>
  <si>
    <t>CHORLEY BOROUGH  *</t>
  </si>
  <si>
    <t>Chorley East</t>
  </si>
  <si>
    <t>South Ribble CC (pt)</t>
  </si>
  <si>
    <t>Salisbury St Paul's</t>
  </si>
  <si>
    <t>Sherston</t>
  </si>
  <si>
    <t>Southwick</t>
  </si>
  <si>
    <t>Town Centre</t>
  </si>
  <si>
    <t>Wyre and Preston North CC (pt)</t>
  </si>
  <si>
    <t xml:space="preserve">   Borough granted City status on 13 March 2002</t>
  </si>
  <si>
    <t>RIBBLE VALLEY BOROUGH  *</t>
  </si>
  <si>
    <t>Chatburn</t>
  </si>
  <si>
    <t>Chipping</t>
  </si>
  <si>
    <t>Dilworth</t>
  </si>
  <si>
    <t>Littlemoor</t>
  </si>
  <si>
    <t>Mellor</t>
  </si>
  <si>
    <t>* as created by The Borough of Barrow-in-Furness (Electoral Changes) Order 2008</t>
  </si>
  <si>
    <t>DARLINGTON BOROUGH  *</t>
  </si>
  <si>
    <t>DURHAM  #</t>
  </si>
  <si>
    <t>Peacehaven West</t>
  </si>
  <si>
    <t>SPELTHORNE BOROUGH  *</t>
  </si>
  <si>
    <t>Ashford Common</t>
  </si>
  <si>
    <t>* as created by The District of Tandridge (Electoral Changes) Order 1999 and</t>
  </si>
  <si>
    <t xml:space="preserve">   as altered by The Tandridge (Electoral Changes) Order 2007</t>
  </si>
  <si>
    <t>WAVERLEY BOROUGH  *</t>
  </si>
  <si>
    <t>Alfold, Cranleigh Rural and Ellens Green</t>
  </si>
  <si>
    <t>Thringstone</t>
  </si>
  <si>
    <t>OADBY AND WIGSTON BOROUGH  *</t>
  </si>
  <si>
    <t>Moss Side</t>
  </si>
  <si>
    <t>Seven Stars</t>
  </si>
  <si>
    <t>* as created by The Borough of South Ribble (Electoral Changes) Order 2001</t>
  </si>
  <si>
    <t>Newport West</t>
  </si>
  <si>
    <t>Ryde North West</t>
  </si>
  <si>
    <t>Ryde West</t>
  </si>
  <si>
    <t>Nork</t>
  </si>
  <si>
    <t>Redhill East</t>
  </si>
  <si>
    <t>Upper Yeo</t>
  </si>
  <si>
    <t>Way</t>
  </si>
  <si>
    <t>Westexe</t>
  </si>
  <si>
    <t>Yeo</t>
  </si>
  <si>
    <t>NORTH DEVON DISTRICT  *</t>
  </si>
  <si>
    <t>Bishop's Nympton</t>
  </si>
  <si>
    <t>Bratton Fleming</t>
  </si>
  <si>
    <t>Braunton East</t>
  </si>
  <si>
    <t>Chittlehampton</t>
  </si>
  <si>
    <t>Chulmleigh</t>
  </si>
  <si>
    <t>Combe Martin</t>
  </si>
  <si>
    <t>Fremington</t>
  </si>
  <si>
    <t>Heanton Punchardon</t>
  </si>
  <si>
    <t>Epping Lindsey and Thornwood Common</t>
  </si>
  <si>
    <t>Grange Hill</t>
  </si>
  <si>
    <t>Keele</t>
  </si>
  <si>
    <t>Broadley Common, Epping Upland and Nazeing</t>
  </si>
  <si>
    <t>Epping Forest CC</t>
  </si>
  <si>
    <t>Buckhurst Hill East</t>
  </si>
  <si>
    <t>Buckhurst Hill West</t>
  </si>
  <si>
    <t>Chigwell Row</t>
  </si>
  <si>
    <t>Chigwell Village</t>
  </si>
  <si>
    <t>Chipping Ongar, Greensted and Marden Ash</t>
  </si>
  <si>
    <t>Epping Hemnall</t>
  </si>
  <si>
    <t>Riverside and Laleham</t>
  </si>
  <si>
    <t>Shepperton Town</t>
  </si>
  <si>
    <t>Staines</t>
  </si>
  <si>
    <t>Staines South</t>
  </si>
  <si>
    <t>Stanwell North</t>
  </si>
  <si>
    <t>Sunbury Common</t>
  </si>
  <si>
    <t>Sunbury East</t>
  </si>
  <si>
    <t>Penkridge North East and Acton Trussell</t>
  </si>
  <si>
    <t>Penkridge South East</t>
  </si>
  <si>
    <t>Tollesbury</t>
  </si>
  <si>
    <t>Tolleshunt D'Arcy</t>
  </si>
  <si>
    <t>Wickham Bishops and Woodham</t>
  </si>
  <si>
    <t>* as created by The District of Maldon (Electoral Changes) Order 2001</t>
  </si>
  <si>
    <t>ROCHFORD DISTRICT  *</t>
  </si>
  <si>
    <t>Roehampton and Putney Heath</t>
  </si>
  <si>
    <t>Skelmersdale South</t>
  </si>
  <si>
    <t>Tanhouse</t>
  </si>
  <si>
    <t>Tarleton</t>
  </si>
  <si>
    <t>Up Holland</t>
  </si>
  <si>
    <t>Wrightington</t>
  </si>
  <si>
    <t>* as created by The District of West Lancashire (Electoral Changes) Order 2001 and</t>
  </si>
  <si>
    <t xml:space="preserve">   as altered by The West Lancashire (Parish Electoral Arrangements and Electoral Changes) Order 2007</t>
  </si>
  <si>
    <t>WYRE BOROUGH  *</t>
  </si>
  <si>
    <t>Bourne</t>
  </si>
  <si>
    <t>Breck</t>
  </si>
  <si>
    <t>Calder</t>
  </si>
  <si>
    <t>Carleton</t>
  </si>
  <si>
    <t>Cleveleys Park</t>
  </si>
  <si>
    <t>Maidstone and The Weald CC</t>
  </si>
  <si>
    <t>Tunbridge Wells (pt)</t>
  </si>
  <si>
    <t>North Thanet CC</t>
  </si>
  <si>
    <t>Thanet (pt)</t>
  </si>
  <si>
    <t>Rochester and Strood CC</t>
  </si>
  <si>
    <t>Sevenoaks CC</t>
  </si>
  <si>
    <t>Sittingbourne and Sheppey CC</t>
  </si>
  <si>
    <t>South Thanet CC</t>
  </si>
  <si>
    <t>Tonbridge and Malling CC</t>
  </si>
  <si>
    <t>Tunbridge Wells CC</t>
  </si>
  <si>
    <t>Chatham Central</t>
  </si>
  <si>
    <t>Halton (pt)</t>
  </si>
  <si>
    <t>Exeter (pt)</t>
  </si>
  <si>
    <t>Exeter BC</t>
  </si>
  <si>
    <t>Newton Abbot CC</t>
  </si>
  <si>
    <t>North Devon CC</t>
  </si>
  <si>
    <t>Plymouth, Moor View BC</t>
  </si>
  <si>
    <t>Plymouth (pt)</t>
  </si>
  <si>
    <t>St Michaels</t>
  </si>
  <si>
    <t>Bexhill and Battle CC (pt)</t>
  </si>
  <si>
    <t>WEALDEN DISTRICT  *</t>
  </si>
  <si>
    <t>* as created by The Staffordshire (City of Stoke-on-Trent) (Structural and Boundary Changes) Order 1995</t>
  </si>
  <si>
    <t>North Hykeham Forum</t>
  </si>
  <si>
    <t>North Hykeham Memorial</t>
  </si>
  <si>
    <t>SOUTH HOLLAND DISTRICT  *</t>
  </si>
  <si>
    <t>Crowland and Deeping St Nicholas</t>
  </si>
  <si>
    <t>Headcorn</t>
  </si>
  <si>
    <t>High Street</t>
  </si>
  <si>
    <t>Scampton</t>
  </si>
  <si>
    <t>Frensham, Dockenfield and Tilford</t>
  </si>
  <si>
    <t>Godalming Binscombe</t>
  </si>
  <si>
    <t>Godalming Central and Ockford</t>
  </si>
  <si>
    <t>Godalming Charterhouse</t>
  </si>
  <si>
    <t>Godalming Farncombe and Catteshall</t>
  </si>
  <si>
    <t>Godalming Holloway</t>
  </si>
  <si>
    <t>WEST LINDSEY DISTRICT</t>
  </si>
  <si>
    <t>County Average (8 seats)</t>
  </si>
  <si>
    <t>Boston and Skegness CC</t>
  </si>
  <si>
    <t>East Lindsey (pt)</t>
  </si>
  <si>
    <t>Gainsborough CC</t>
  </si>
  <si>
    <t>Ilfracombe East</t>
  </si>
  <si>
    <t>Corsham Pickwick</t>
  </si>
  <si>
    <t>Truro Tregolls</t>
  </si>
  <si>
    <t>Louth and Horncastle CC</t>
  </si>
  <si>
    <t>Sleaford and North Hykeham CC</t>
  </si>
  <si>
    <t>South Holland and The Deepings CC</t>
  </si>
  <si>
    <t>BOSTON BOROUGH  *</t>
  </si>
  <si>
    <t>Coastal</t>
  </si>
  <si>
    <t>Fenside</t>
  </si>
  <si>
    <t>Falmouth Arwenack</t>
  </si>
  <si>
    <t>Falmouth Boslowick</t>
  </si>
  <si>
    <t>Falmouth Penwerris</t>
  </si>
  <si>
    <t>North Holme</t>
  </si>
  <si>
    <t>St Clement's</t>
  </si>
  <si>
    <t>St Margaret's</t>
  </si>
  <si>
    <t>Spilsby</t>
  </si>
  <si>
    <t>Chadwell St Mary</t>
  </si>
  <si>
    <t>Chafford and North Stifford</t>
  </si>
  <si>
    <t>Corringham and Fobbing</t>
  </si>
  <si>
    <t>East Tilbury</t>
  </si>
  <si>
    <t>Grays Riverside</t>
  </si>
  <si>
    <t>Grays Thurrock</t>
  </si>
  <si>
    <t>Little Thurrock Blackshots</t>
  </si>
  <si>
    <t>Little Thurrock Rectory</t>
  </si>
  <si>
    <t>Ockendon</t>
  </si>
  <si>
    <t>Orsett</t>
  </si>
  <si>
    <t>South Chafford</t>
  </si>
  <si>
    <t>Stanford East and Corringham Town</t>
  </si>
  <si>
    <t>Stanford-le-Hope West</t>
  </si>
  <si>
    <t>Stifford Clays</t>
  </si>
  <si>
    <t>The Homesteads</t>
  </si>
  <si>
    <t>East Hertfordshire</t>
  </si>
  <si>
    <t>Hertsmere</t>
  </si>
  <si>
    <t>St Albans</t>
  </si>
  <si>
    <t>Three Rivers</t>
  </si>
  <si>
    <t>Watford</t>
  </si>
  <si>
    <t>Welwyn Hatfield</t>
  </si>
  <si>
    <t>HERTFORDSHIRE</t>
  </si>
  <si>
    <t>East Riding of Yorkshire *</t>
  </si>
  <si>
    <t>City</t>
  </si>
  <si>
    <t>Bow East</t>
  </si>
  <si>
    <t>Bow West</t>
  </si>
  <si>
    <t>Loose</t>
  </si>
  <si>
    <t>Marden and Yalding</t>
  </si>
  <si>
    <t>North Downs</t>
  </si>
  <si>
    <t>Park Wood</t>
  </si>
  <si>
    <t>Shepway North</t>
  </si>
  <si>
    <t>Shepway South</t>
  </si>
  <si>
    <t>Staplehurst</t>
  </si>
  <si>
    <t>Sutton Valence and Langley</t>
  </si>
  <si>
    <t>Faversham and Mid Kent CC (pt)</t>
  </si>
  <si>
    <t>Maidstone and The Weald CC (pt)</t>
  </si>
  <si>
    <t>Bristol *</t>
  </si>
  <si>
    <t>Laindon Park</t>
  </si>
  <si>
    <t>Langdon Hills</t>
  </si>
  <si>
    <t>Lee Chapel North</t>
  </si>
  <si>
    <t>Nethermayne</t>
  </si>
  <si>
    <t>Pitsea North West</t>
  </si>
  <si>
    <t>Pitsea South East</t>
  </si>
  <si>
    <t>St Martin's</t>
  </si>
  <si>
    <t>Vange</t>
  </si>
  <si>
    <t>Tidenham</t>
  </si>
  <si>
    <t>Forest of Dean CC (pt)</t>
  </si>
  <si>
    <t>CITY OF GLOUCESTER  *</t>
  </si>
  <si>
    <t>Barnwood</t>
  </si>
  <si>
    <t>Cainscross</t>
  </si>
  <si>
    <t>Holmcroft</t>
  </si>
  <si>
    <t>Littleworth</t>
  </si>
  <si>
    <t>Milwich</t>
  </si>
  <si>
    <t>Penkside</t>
  </si>
  <si>
    <t>Rowley</t>
  </si>
  <si>
    <t>STAFFORDSHIRE MOORLANDS DISTRICT  *</t>
  </si>
  <si>
    <t>Alton</t>
  </si>
  <si>
    <t>Bagnall and Stanley</t>
  </si>
  <si>
    <t>Biddulph East</t>
  </si>
  <si>
    <t>Biddulph Moor</t>
  </si>
  <si>
    <t>Biddulph North</t>
  </si>
  <si>
    <t>Biddulph South</t>
  </si>
  <si>
    <t>Biddulph West</t>
  </si>
  <si>
    <t>Brown Edge and Endon</t>
  </si>
  <si>
    <t>Rochford and Southend East CC (pt)</t>
  </si>
  <si>
    <t>* as created by The Borough of Southend-on-Sea (Electoral Changes) Order 2000</t>
  </si>
  <si>
    <t>Aveley and Uplands</t>
  </si>
  <si>
    <t>Belhus</t>
  </si>
  <si>
    <t>Hartlepool *</t>
  </si>
  <si>
    <t>Herefordshire *</t>
  </si>
  <si>
    <t>Broxbourne</t>
  </si>
  <si>
    <t>Dacorum</t>
  </si>
  <si>
    <t>Murston</t>
  </si>
  <si>
    <t>Stainsby Hill</t>
  </si>
  <si>
    <t>Stockton Town Centre</t>
  </si>
  <si>
    <t>Western Parishes</t>
  </si>
  <si>
    <t>Yarm</t>
  </si>
  <si>
    <t>* as created by The Borough of Stockton-on-Tees (Electoral Changes) Order 2003</t>
  </si>
  <si>
    <t>BABERGH DISTRICT</t>
  </si>
  <si>
    <t>IPSWICH BOROUGH</t>
  </si>
  <si>
    <t>MID SUFFOLK DISTRICT</t>
  </si>
  <si>
    <t>Braintree CC</t>
  </si>
  <si>
    <t>Braintree (pt)</t>
  </si>
  <si>
    <t>Brentwood and Ongar CC</t>
  </si>
  <si>
    <t>* as created by The Borough of Ipswich (Electoral Changes) Order 2001</t>
  </si>
  <si>
    <t>MID SUFFOLK DISTRICT  *</t>
  </si>
  <si>
    <t>Debenham</t>
  </si>
  <si>
    <t>Eye</t>
  </si>
  <si>
    <t>Fressingfield</t>
  </si>
  <si>
    <t>Gislingham</t>
  </si>
  <si>
    <t>Mendlesham</t>
  </si>
  <si>
    <t>Needham Market</t>
  </si>
  <si>
    <t>Onehouse</t>
  </si>
  <si>
    <t>Bridgwater Eastover</t>
  </si>
  <si>
    <t>Bridgwater Hamp</t>
  </si>
  <si>
    <t>Bridgwater Victoria</t>
  </si>
  <si>
    <t>Burnham North</t>
  </si>
  <si>
    <t>Cheddar and Shipham</t>
  </si>
  <si>
    <t>Northumberland *</t>
  </si>
  <si>
    <t>NORTHUMBERLAND  *</t>
  </si>
  <si>
    <t>Berwick-upon-Tweed CC</t>
  </si>
  <si>
    <t>Northumberland (pt)</t>
  </si>
  <si>
    <t>Blyth Valley BC</t>
  </si>
  <si>
    <t>Hexham CC</t>
  </si>
  <si>
    <t>Wansbeck CC</t>
  </si>
  <si>
    <t>* as created by The Northumberland (Structural Change) Order 2008</t>
  </si>
  <si>
    <t>Amble</t>
  </si>
  <si>
    <t>Amble West with Warkworth</t>
  </si>
  <si>
    <t>Cage Green</t>
  </si>
  <si>
    <t>East Malling</t>
  </si>
  <si>
    <t>Hildenborough</t>
  </si>
  <si>
    <t>Judd</t>
  </si>
  <si>
    <t>Chippenham Hardenhuish</t>
  </si>
  <si>
    <t>Loughborough Lemyngton</t>
  </si>
  <si>
    <t>Loughborough Nanpantan</t>
  </si>
  <si>
    <t>Loughborough Outwoods</t>
  </si>
  <si>
    <t>* as created by The District of Basildon (Electoral Changes) Order 2001</t>
  </si>
  <si>
    <t>BRAINTREE DISTRICT  *</t>
  </si>
  <si>
    <t>Bocking Blackwater</t>
  </si>
  <si>
    <t>Bocking North</t>
  </si>
  <si>
    <t>Bocking South</t>
  </si>
  <si>
    <t>CITY OF LEICESTER  *</t>
  </si>
  <si>
    <t>County Average (3 seats)</t>
  </si>
  <si>
    <t>Loughborough Shelthorpe</t>
  </si>
  <si>
    <t>Loughborough Southfields</t>
  </si>
  <si>
    <t>Loughborough Storer</t>
  </si>
  <si>
    <t>Mountsorrel</t>
  </si>
  <si>
    <t>Queniborough</t>
  </si>
  <si>
    <t>Quorn and Mountsorrel Castle</t>
  </si>
  <si>
    <t>Rothley and Thurcaston</t>
  </si>
  <si>
    <t>Shepshed East</t>
  </si>
  <si>
    <t>Shepshed West</t>
  </si>
  <si>
    <t>Sileby</t>
  </si>
  <si>
    <t>Syston East</t>
  </si>
  <si>
    <t>Syston West</t>
  </si>
  <si>
    <t>The Wolds</t>
  </si>
  <si>
    <t>Thurmaston</t>
  </si>
  <si>
    <t>Wreake Villages</t>
  </si>
  <si>
    <t>* as created by The Borough of Charnwood (Electoral Changes) Order 2002</t>
  </si>
  <si>
    <t>HARBOROUGH DISTRICT  *</t>
  </si>
  <si>
    <t>Bosworth</t>
  </si>
  <si>
    <t>Humberston and New Waltham</t>
  </si>
  <si>
    <t>Immingham</t>
  </si>
  <si>
    <t>Scartho</t>
  </si>
  <si>
    <t>Sidney Sussex</t>
  </si>
  <si>
    <t>Waltham</t>
  </si>
  <si>
    <t>Rushey Mead</t>
  </si>
  <si>
    <t>Spinney Hills</t>
  </si>
  <si>
    <t>Stoneygate</t>
  </si>
  <si>
    <t>Thurncourt</t>
  </si>
  <si>
    <t>Westcotes</t>
  </si>
  <si>
    <t>LEICESTERSHIRE  *</t>
  </si>
  <si>
    <t>RUTLAND DISTRICT  *</t>
  </si>
  <si>
    <t>BLABY DISTRICT</t>
  </si>
  <si>
    <t>CHARNWOOD BOROUGH</t>
  </si>
  <si>
    <t>HARBOROUGH DISTRICT</t>
  </si>
  <si>
    <t>HINCKLEY AND BOSWORTH BOROUGH</t>
  </si>
  <si>
    <t>MELTON BOROUGH</t>
  </si>
  <si>
    <t>NORTH WEST LEICESTERSHIRE DISTRICT</t>
  </si>
  <si>
    <t>OADBY AND WIGSTON BOROUGH</t>
  </si>
  <si>
    <t>Faraday</t>
  </si>
  <si>
    <t>Ravenhurst and Fosse</t>
  </si>
  <si>
    <t>Saxondale</t>
  </si>
  <si>
    <t>Stanton and Flamville</t>
  </si>
  <si>
    <t>Charnwood CC (pt)</t>
  </si>
  <si>
    <t>South Leicestershire CC (pt)</t>
  </si>
  <si>
    <t>Wareham</t>
  </si>
  <si>
    <t>PENDLE BOROUGH  *</t>
  </si>
  <si>
    <t>Hillrise</t>
  </si>
  <si>
    <t>Holloway</t>
  </si>
  <si>
    <t>Junction</t>
  </si>
  <si>
    <t>Mildmay</t>
  </si>
  <si>
    <t>Tollington</t>
  </si>
  <si>
    <t>* as created by The London Borough of Islington (Electoral Changes) Order 2000</t>
  </si>
  <si>
    <t>KINGSTON UPON THAMES LONDON BOROUGH  * #</t>
  </si>
  <si>
    <t>Kingston and Surbiton BC</t>
  </si>
  <si>
    <t>Kingston upon Thames (pt)</t>
  </si>
  <si>
    <t>Richmond Park BC</t>
  </si>
  <si>
    <t>Richmond upon Thames (pt)</t>
  </si>
  <si>
    <t>Twickenham BC</t>
  </si>
  <si>
    <t>Berrylands</t>
  </si>
  <si>
    <t>Canbury</t>
  </si>
  <si>
    <t>Chessington North and Hook</t>
  </si>
  <si>
    <t>Chessington South</t>
  </si>
  <si>
    <t>Coombe Vale</t>
  </si>
  <si>
    <t>Norbiton</t>
  </si>
  <si>
    <t>Old Malden</t>
  </si>
  <si>
    <t>Surbiton Hill</t>
  </si>
  <si>
    <t>Tolworth and Hook Rise</t>
  </si>
  <si>
    <t>* as created by The Royal Borough of Kingston upon Thames (Electoral Changes) Order 2000</t>
  </si>
  <si>
    <t># paired with the London Borough of Richmond upon Thames</t>
  </si>
  <si>
    <t>RICHMOND UPON THAMES LONDON BOROUGH * #</t>
  </si>
  <si>
    <t>Barnes</t>
  </si>
  <si>
    <t>North Walsham East</t>
  </si>
  <si>
    <t>North Walsham West</t>
  </si>
  <si>
    <t>Poppyland</t>
  </si>
  <si>
    <t>Roughton</t>
  </si>
  <si>
    <t>Dunton</t>
  </si>
  <si>
    <t>South Gloucestershire (pt)</t>
  </si>
  <si>
    <t>Kingswood BC</t>
  </si>
  <si>
    <t>Keynsham East</t>
  </si>
  <si>
    <t>Keynsham North</t>
  </si>
  <si>
    <t>Keynsham South</t>
  </si>
  <si>
    <t>Kingsmead</t>
  </si>
  <si>
    <t>Lambridge</t>
  </si>
  <si>
    <t>Lansdown</t>
  </si>
  <si>
    <t>Midsomer Norton North</t>
  </si>
  <si>
    <t>Midsomer Norton Redfield</t>
  </si>
  <si>
    <t>Newbridge</t>
  </si>
  <si>
    <t>Odd Down</t>
  </si>
  <si>
    <t>Oldfield</t>
  </si>
  <si>
    <t>Paulton</t>
  </si>
  <si>
    <t>Peasedown</t>
  </si>
  <si>
    <t>Radstock</t>
  </si>
  <si>
    <t>Saltford</t>
  </si>
  <si>
    <t>Southdown</t>
  </si>
  <si>
    <t>Timsbury</t>
  </si>
  <si>
    <t>Twerton</t>
  </si>
  <si>
    <t>Walcot</t>
  </si>
  <si>
    <t>Westfield</t>
  </si>
  <si>
    <t>Westmoreland</t>
  </si>
  <si>
    <t>Weston</t>
  </si>
  <si>
    <t>Ixworth</t>
  </si>
  <si>
    <t>Minden</t>
  </si>
  <si>
    <t>Moreton Hall</t>
  </si>
  <si>
    <t>Risby</t>
  </si>
  <si>
    <t>Rougham</t>
  </si>
  <si>
    <t>St Olaves</t>
  </si>
  <si>
    <t>Withersfield</t>
  </si>
  <si>
    <t>Huncoat</t>
  </si>
  <si>
    <t>Immanuel</t>
  </si>
  <si>
    <t>Milnshaw</t>
  </si>
  <si>
    <t>Netherton</t>
  </si>
  <si>
    <t>Overton</t>
  </si>
  <si>
    <t>* as created by The London Borough of Sutton (Electoral Changes) Order 2000</t>
  </si>
  <si>
    <t>SWINDON BOROUGH  *</t>
  </si>
  <si>
    <t>North Swindon CC</t>
  </si>
  <si>
    <t>Swindon (pt)</t>
  </si>
  <si>
    <t>South Swindon CC</t>
  </si>
  <si>
    <t>Longwell Green</t>
  </si>
  <si>
    <t>Stoke Gifford</t>
  </si>
  <si>
    <t>Charfield</t>
  </si>
  <si>
    <t>Dodington</t>
  </si>
  <si>
    <t>Emersons Green</t>
  </si>
  <si>
    <t>Filton</t>
  </si>
  <si>
    <t>Hanham</t>
  </si>
  <si>
    <t>Tanfield</t>
  </si>
  <si>
    <t>* as created by The London Borough of Hammersmith and Fulham (Electoral Changes) Order 2000</t>
  </si>
  <si>
    <t xml:space="preserve"># paired with the Royal Borough of Kensington and Chelsea </t>
  </si>
  <si>
    <t>KENSINGTON AND CHELSEA LONDON BOROUGH *  #</t>
  </si>
  <si>
    <t>Borough Average (1 seat)</t>
  </si>
  <si>
    <t>Abingdon</t>
  </si>
  <si>
    <t>Campden</t>
  </si>
  <si>
    <t>Colville</t>
  </si>
  <si>
    <t>Courtfield</t>
  </si>
  <si>
    <t>Earl's Court</t>
  </si>
  <si>
    <t>Golborne</t>
  </si>
  <si>
    <t>Holland</t>
  </si>
  <si>
    <t>Norland</t>
  </si>
  <si>
    <t>Doncaster Central BC</t>
  </si>
  <si>
    <t>Doncaster (pt)</t>
  </si>
  <si>
    <t>Doncaster North CC</t>
  </si>
  <si>
    <t>HAMPSHIRE  *</t>
  </si>
  <si>
    <t>CITY OF SOUTHAMPTON  *</t>
  </si>
  <si>
    <t>BASINGSTOKE AND DEANE BOROUGH</t>
  </si>
  <si>
    <t>Hampton North</t>
  </si>
  <si>
    <t>Kew</t>
  </si>
  <si>
    <t>North Richmond</t>
  </si>
  <si>
    <t>South Richmond</t>
  </si>
  <si>
    <t>South Twickenham</t>
  </si>
  <si>
    <t>Teddington</t>
  </si>
  <si>
    <t>Twickenham Riverside</t>
  </si>
  <si>
    <t>West Twickenham</t>
  </si>
  <si>
    <t>Whitton</t>
  </si>
  <si>
    <t>Carlton Colville</t>
  </si>
  <si>
    <t>Kessingland</t>
  </si>
  <si>
    <t>Oulton Broad</t>
  </si>
  <si>
    <t>Warton and Westby</t>
  </si>
  <si>
    <t>Fylde CC (pt)</t>
  </si>
  <si>
    <t>* as created by The Borough of Fylde (Electoral Changes) Order 2001</t>
  </si>
  <si>
    <t>HYNDBURN BOROUGH  *</t>
  </si>
  <si>
    <t>Altham</t>
  </si>
  <si>
    <t>Baxenden</t>
  </si>
  <si>
    <t>Clayton-le-Moors</t>
  </si>
  <si>
    <t>Hulland</t>
  </si>
  <si>
    <t>Lathkill and Bradford</t>
  </si>
  <si>
    <t>Litton and Longstone</t>
  </si>
  <si>
    <t>Masson</t>
  </si>
  <si>
    <t>Peel</t>
  </si>
  <si>
    <t>Rishton</t>
  </si>
  <si>
    <t>St Oswald's</t>
  </si>
  <si>
    <t>Spring Hill</t>
  </si>
  <si>
    <t>Hyndburn BC (pt)</t>
  </si>
  <si>
    <t>* as created by The Borough of Hyndburn (Electoral Changes) Order 2001</t>
  </si>
  <si>
    <t>CITY OF LANCASTER  *</t>
  </si>
  <si>
    <t>Bare</t>
  </si>
  <si>
    <t>Bulk</t>
  </si>
  <si>
    <t>Duke's</t>
  </si>
  <si>
    <t>Ellel</t>
  </si>
  <si>
    <t>Singleton and Greenhalgh</t>
  </si>
  <si>
    <t>Staining and Weeton</t>
  </si>
  <si>
    <t>Brailsford</t>
  </si>
  <si>
    <t>Calver</t>
  </si>
  <si>
    <t>Carsington Water</t>
  </si>
  <si>
    <t>Chatsworth</t>
  </si>
  <si>
    <t>Clifton and Bradley</t>
  </si>
  <si>
    <t>Darley Dale</t>
  </si>
  <si>
    <t>Dovedale and Parwich</t>
  </si>
  <si>
    <t>Doveridge and Sudbury</t>
  </si>
  <si>
    <t>Hartington and Taddington</t>
  </si>
  <si>
    <t>Hathersage and Eyam</t>
  </si>
  <si>
    <t>Breaston</t>
  </si>
  <si>
    <t>Enfield Lock</t>
  </si>
  <si>
    <t>Haselbury</t>
  </si>
  <si>
    <t>Lower Edmonton</t>
  </si>
  <si>
    <t>Palmers Green</t>
  </si>
  <si>
    <t>Ponders End</t>
  </si>
  <si>
    <t>Southbury</t>
  </si>
  <si>
    <t>Southgate</t>
  </si>
  <si>
    <t>Upper Edmonton</t>
  </si>
  <si>
    <t>Winchmore Hill</t>
  </si>
  <si>
    <t>EAST SUSSEX  *</t>
  </si>
  <si>
    <t>CITY OF BRIGHTON AND HOVE  *</t>
  </si>
  <si>
    <t>EASTBOURNE BOROUGH</t>
  </si>
  <si>
    <t>HASTINGS BOROUGH</t>
  </si>
  <si>
    <t>LEWES DISTRICT</t>
  </si>
  <si>
    <t>ROTHER DISTRICT</t>
  </si>
  <si>
    <t>WEALDEN DISTRICT</t>
  </si>
  <si>
    <t>St.Peter's and North Laine</t>
  </si>
  <si>
    <t>South Portslade</t>
  </si>
  <si>
    <t>Stanford</t>
  </si>
  <si>
    <t>Wish</t>
  </si>
  <si>
    <t>Withdean</t>
  </si>
  <si>
    <t>Woodingdean</t>
  </si>
  <si>
    <t>Brighton, Kemptown BC (pt)</t>
  </si>
  <si>
    <t>* as created by The City of Brighton and Hove (Electoral Changes) Order 2001</t>
  </si>
  <si>
    <t>EASTBOURNE BOROUGH  *</t>
  </si>
  <si>
    <t>Devonshire</t>
  </si>
  <si>
    <t>Hampden Park</t>
  </si>
  <si>
    <t>Royston</t>
  </si>
  <si>
    <t>Streatham Wells</t>
  </si>
  <si>
    <t>Thornton</t>
  </si>
  <si>
    <t>Thurlow Park</t>
  </si>
  <si>
    <t>Tulse Hill</t>
  </si>
  <si>
    <t>Vassall</t>
  </si>
  <si>
    <t>STAFFORDSHIRE  *</t>
  </si>
  <si>
    <t>Central St Leonards</t>
  </si>
  <si>
    <t>Conquest</t>
  </si>
  <si>
    <t>Gensing</t>
  </si>
  <si>
    <t>Hollington</t>
  </si>
  <si>
    <t>Maze Hill</t>
  </si>
  <si>
    <t>Old Hastings</t>
  </si>
  <si>
    <t>Ore</t>
  </si>
  <si>
    <t>Silverhill</t>
  </si>
  <si>
    <t>Tressell</t>
  </si>
  <si>
    <t>West St Leonards</t>
  </si>
  <si>
    <t>Wishing Tree</t>
  </si>
  <si>
    <t>Hastings and Rye CC (pt)</t>
  </si>
  <si>
    <t>LEWES DISTRICT  *</t>
  </si>
  <si>
    <t>* as created by The London Borough of Richmond upon Thames (Electoral Chages) Order 2000</t>
  </si>
  <si>
    <t># paired with the London Borough of Kingston upon Thames</t>
  </si>
  <si>
    <t>KENT  *</t>
  </si>
  <si>
    <t>MEDWAY BOROUGH  *</t>
  </si>
  <si>
    <t>ASHFORD BOROUGH</t>
  </si>
  <si>
    <t>CITY OF CANTERBURY</t>
  </si>
  <si>
    <t>DARTFORD BOROUGH</t>
  </si>
  <si>
    <t>DOVER DISTRICT</t>
  </si>
  <si>
    <t>GRAVESHAM BOROUGH</t>
  </si>
  <si>
    <t>MAIDSTONE BOROUGH</t>
  </si>
  <si>
    <t>SEVENOAKS DISTRICT</t>
  </si>
  <si>
    <t>SWALE BOROUGH</t>
  </si>
  <si>
    <t>THANET DISTRICT</t>
  </si>
  <si>
    <t>TONBRIDGE AND MALLING BOROUGH</t>
  </si>
  <si>
    <t>TUNBRIDGE WELLS BOROUGH</t>
  </si>
  <si>
    <t>Baird</t>
  </si>
  <si>
    <t>Braybrooke</t>
  </si>
  <si>
    <t>Whitehill Pinewood</t>
  </si>
  <si>
    <t>Meon Valley CC (pt)</t>
  </si>
  <si>
    <t>EASTLEIGH BOROUGH  *</t>
  </si>
  <si>
    <t>Kingsbury</t>
  </si>
  <si>
    <t>Newton Regis and Warton</t>
  </si>
  <si>
    <t>Wingerworth</t>
  </si>
  <si>
    <t>* as created by The District of North East Derbyshire (Electoral Changes) Order 2000</t>
  </si>
  <si>
    <t>SOUTH DERBYSHIRE DISTRICT  *</t>
  </si>
  <si>
    <t>Aston</t>
  </si>
  <si>
    <t>Church Gresley</t>
  </si>
  <si>
    <t>Etwall</t>
  </si>
  <si>
    <t>Hatton</t>
  </si>
  <si>
    <t>Hilton</t>
  </si>
  <si>
    <t>Melbourne</t>
  </si>
  <si>
    <t>Midway</t>
  </si>
  <si>
    <t>Newhall and Stanton</t>
  </si>
  <si>
    <t>Repton</t>
  </si>
  <si>
    <t>Seales</t>
  </si>
  <si>
    <t>Stenson</t>
  </si>
  <si>
    <t>Swadlincote</t>
  </si>
  <si>
    <t>Willington and Findern</t>
  </si>
  <si>
    <t>Woodville</t>
  </si>
  <si>
    <t>DEVON  *</t>
  </si>
  <si>
    <t>CITY OF PLYMOUTH  *</t>
  </si>
  <si>
    <t>BURNLEY BOROUGH  *</t>
  </si>
  <si>
    <t>Bank Hall</t>
  </si>
  <si>
    <t>Briercliffe</t>
  </si>
  <si>
    <t>Brunshaw</t>
  </si>
  <si>
    <t>Cliviger with Worsthorne</t>
  </si>
  <si>
    <t>Tankerton</t>
  </si>
  <si>
    <t>West Bay</t>
  </si>
  <si>
    <t>Wincheap</t>
  </si>
  <si>
    <t>Peverell</t>
  </si>
  <si>
    <t>Plympton Chaddlewood</t>
  </si>
  <si>
    <t>Plympton Erle</t>
  </si>
  <si>
    <t>Plympton St Mary</t>
  </si>
  <si>
    <t>Plymstock Dunstone</t>
  </si>
  <si>
    <t>Plymstock Radford</t>
  </si>
  <si>
    <t>St Budeaux</t>
  </si>
  <si>
    <t>St Peter and the Waterfront</t>
  </si>
  <si>
    <t>Southway</t>
  </si>
  <si>
    <t>Stoke</t>
  </si>
  <si>
    <t>Hillsborough</t>
  </si>
  <si>
    <t>Manor Castle</t>
  </si>
  <si>
    <t>Mosborough</t>
  </si>
  <si>
    <t>Richmond</t>
  </si>
  <si>
    <t>Southey</t>
  </si>
  <si>
    <t>Stannington</t>
  </si>
  <si>
    <t>Walkley</t>
  </si>
  <si>
    <t>West Ecclesfield</t>
  </si>
  <si>
    <t>Penistone and Stocksbride CC (pt)</t>
  </si>
  <si>
    <t>OLDHAM BOROUGH</t>
  </si>
  <si>
    <t>ROCHDALE BOROUGH</t>
  </si>
  <si>
    <t>Wellswood</t>
  </si>
  <si>
    <t>Totnes CC (pt)</t>
  </si>
  <si>
    <t>EAST DEVON DISTRICT  *</t>
  </si>
  <si>
    <t>Broadclyst</t>
  </si>
  <si>
    <t>Clyst Valley</t>
  </si>
  <si>
    <t>Coly Valley</t>
  </si>
  <si>
    <t>Exe Valley</t>
  </si>
  <si>
    <t>Exmouth Brixington</t>
  </si>
  <si>
    <t>Exmouth Halsdon</t>
  </si>
  <si>
    <t>Exmouth Littleham</t>
  </si>
  <si>
    <t>Exmouth Town</t>
  </si>
  <si>
    <t>Exmouth Withycombe Raleigh</t>
  </si>
  <si>
    <t>Honiton St Michael's</t>
  </si>
  <si>
    <t>Honiton St Paul's</t>
  </si>
  <si>
    <t>Newbridges</t>
  </si>
  <si>
    <t>Castle and Priory</t>
  </si>
  <si>
    <t>Coseley East</t>
  </si>
  <si>
    <t>Gornal</t>
  </si>
  <si>
    <t>Halesowen North</t>
  </si>
  <si>
    <t>Halesowen South</t>
  </si>
  <si>
    <t>Hayley Green and Cradley South</t>
  </si>
  <si>
    <t>Kingswinford North and Wall Heath</t>
  </si>
  <si>
    <t>Kingswinford South</t>
  </si>
  <si>
    <t>Altrincham and Sale West BC</t>
  </si>
  <si>
    <t>Trafford (pt)</t>
  </si>
  <si>
    <t>EAST STAFFORDSHIRE BOROUGH  *</t>
  </si>
  <si>
    <t>Bagots</t>
  </si>
  <si>
    <t>Brizlincote</t>
  </si>
  <si>
    <t>Burton</t>
  </si>
  <si>
    <t>Churnet</t>
  </si>
  <si>
    <t>Sherborne East</t>
  </si>
  <si>
    <t>Sherborne West</t>
  </si>
  <si>
    <t>Guildford CC (pt)</t>
  </si>
  <si>
    <t>Mole Valley CC (pt)</t>
  </si>
  <si>
    <t>Surrey Heath CC (pt)</t>
  </si>
  <si>
    <t>Woking CC (pt)</t>
  </si>
  <si>
    <t>Folkestone Harbour</t>
  </si>
  <si>
    <t>Fawley, Blackfield and Langley</t>
  </si>
  <si>
    <t>Fernhill</t>
  </si>
  <si>
    <t>Lyndhurst</t>
  </si>
  <si>
    <t>Marchwood</t>
  </si>
  <si>
    <t>Milford</t>
  </si>
  <si>
    <t>Pennington</t>
  </si>
  <si>
    <t>Ringwood East and Sopley</t>
  </si>
  <si>
    <t>Ringwood North</t>
  </si>
  <si>
    <t>Ringwood South</t>
  </si>
  <si>
    <t>Totton Central</t>
  </si>
  <si>
    <t>Totton East</t>
  </si>
  <si>
    <t>Totton North</t>
  </si>
  <si>
    <t>Harewood</t>
  </si>
  <si>
    <t>North Baddesley</t>
  </si>
  <si>
    <t>Charterlands</t>
  </si>
  <si>
    <t>Braintree South</t>
  </si>
  <si>
    <t>Bushell</t>
  </si>
  <si>
    <t>Chudleigh</t>
  </si>
  <si>
    <t>College</t>
  </si>
  <si>
    <t>Dawlish South West</t>
  </si>
  <si>
    <t>Haytor</t>
  </si>
  <si>
    <t>Ipplepen</t>
  </si>
  <si>
    <t>Kenn Valley</t>
  </si>
  <si>
    <t>TEST VALLEY BOROUGH  *</t>
  </si>
  <si>
    <t>Bumpstead</t>
  </si>
  <si>
    <t>Anna</t>
  </si>
  <si>
    <t>Ilfracombe West</t>
  </si>
  <si>
    <t>Instow</t>
  </si>
  <si>
    <t>* as created by The Borough of Oadby and Wigston (Electoral Changes) Order 2002</t>
  </si>
  <si>
    <t>BOSTON BOROUGH</t>
  </si>
  <si>
    <t>EAST LINDSEY DISTRICT</t>
  </si>
  <si>
    <t>CITY OF LINCOLN</t>
  </si>
  <si>
    <t>NORTH KESTEVEN DISTRICT</t>
  </si>
  <si>
    <t>SOUTH HOLLAND DISTRICT</t>
  </si>
  <si>
    <t>SOUTH KESTEVEN DISTRICT</t>
  </si>
  <si>
    <t>Cranmore</t>
  </si>
  <si>
    <t>Cullompton North</t>
  </si>
  <si>
    <t>Cullompton Outer</t>
  </si>
  <si>
    <t>Halberton</t>
  </si>
  <si>
    <t>Lawrence</t>
  </si>
  <si>
    <t>Lower Culm</t>
  </si>
  <si>
    <t>Lowman</t>
  </si>
  <si>
    <t>Newbrooke</t>
  </si>
  <si>
    <t>Sandford and Creedy</t>
  </si>
  <si>
    <t>Silverton</t>
  </si>
  <si>
    <t>Taw</t>
  </si>
  <si>
    <t>Taw Vale</t>
  </si>
  <si>
    <t>Upper Culm</t>
  </si>
  <si>
    <t>Teign Valley</t>
  </si>
  <si>
    <t>Rainhill</t>
  </si>
  <si>
    <t>Thatto Heath</t>
  </si>
  <si>
    <t>West Park</t>
  </si>
  <si>
    <t>Windle</t>
  </si>
  <si>
    <t xml:space="preserve">* as created by The Borough of St Helens (Electoral Changes) Order 2003 </t>
  </si>
  <si>
    <t>SEFTON BOROUGH  *</t>
  </si>
  <si>
    <t>Ainsdale</t>
  </si>
  <si>
    <t>Birkdale</t>
  </si>
  <si>
    <t>Eton Park</t>
  </si>
  <si>
    <t>Horninglow</t>
  </si>
  <si>
    <t>Needwood</t>
  </si>
  <si>
    <t>Rolleston on Dove</t>
  </si>
  <si>
    <t>Shobnall</t>
  </si>
  <si>
    <t>Stapenhill</t>
  </si>
  <si>
    <t>Stretton</t>
  </si>
  <si>
    <t>Tutbury and Outwoods</t>
  </si>
  <si>
    <t>Winshill</t>
  </si>
  <si>
    <t>Yoxall</t>
  </si>
  <si>
    <t>Lichfield CC (pt)</t>
  </si>
  <si>
    <t>Melcombe Regis</t>
  </si>
  <si>
    <t>Radipole</t>
  </si>
  <si>
    <t>Meols</t>
  </si>
  <si>
    <t>Molyneux</t>
  </si>
  <si>
    <t>Netherton and Orrell</t>
  </si>
  <si>
    <t>Norwood</t>
  </si>
  <si>
    <t>Ravenmeols</t>
  </si>
  <si>
    <t>* as created by The Borough of East Staffordshire (Electoral Changes) Order 2001</t>
  </si>
  <si>
    <t>LICHFIELD DISTRICT  *</t>
  </si>
  <si>
    <t>Armitage with Handsacre</t>
  </si>
  <si>
    <t>Boley Park</t>
  </si>
  <si>
    <t>*  as created by The Borough of Brentwood (Electoral Changes) Order 2001</t>
  </si>
  <si>
    <t>CASTLE POINT BOROUGH  *</t>
  </si>
  <si>
    <t>Boyce</t>
  </si>
  <si>
    <t>Canvey Island Central</t>
  </si>
  <si>
    <t>Canvey Island East</t>
  </si>
  <si>
    <t>Canvey Island North</t>
  </si>
  <si>
    <t>Canvey Island South</t>
  </si>
  <si>
    <t>Canvey Island West</t>
  </si>
  <si>
    <t>Canvey Island Winter Gardens</t>
  </si>
  <si>
    <t>Cedar Hall</t>
  </si>
  <si>
    <t>TORRIDGE DISTRICT  *</t>
  </si>
  <si>
    <t>Appledore</t>
  </si>
  <si>
    <t>Bideford East</t>
  </si>
  <si>
    <t>Bideford North</t>
  </si>
  <si>
    <t>Bideford South</t>
  </si>
  <si>
    <t>County Average (Darlington) (1 seat)</t>
  </si>
  <si>
    <t>Bishop Auckland CC</t>
  </si>
  <si>
    <t>Durham (pt)</t>
  </si>
  <si>
    <t>City of Durham CC</t>
  </si>
  <si>
    <t>Darlington BC</t>
  </si>
  <si>
    <t>Darlington (pt)</t>
  </si>
  <si>
    <t>Easington CC</t>
  </si>
  <si>
    <t>North Durham CC</t>
  </si>
  <si>
    <t>North West Durham CC</t>
  </si>
  <si>
    <t>Sedgefield CC</t>
  </si>
  <si>
    <t>Ashurst</t>
  </si>
  <si>
    <t>Aughton and Downholland</t>
  </si>
  <si>
    <t>Aughton Park</t>
  </si>
  <si>
    <t>* as created by The Kent (Borough of Gillingham and City of Rochester upon Medway) (Structural Change) Order 1996</t>
  </si>
  <si>
    <t>Ashford CC</t>
  </si>
  <si>
    <t>Ashford (pt)</t>
  </si>
  <si>
    <t>Canterbury CC</t>
  </si>
  <si>
    <t>Canterbury (pt)</t>
  </si>
  <si>
    <t>Chatham and Aylesford CC</t>
  </si>
  <si>
    <t>Medway (pt)</t>
  </si>
  <si>
    <t>Tonbridge and Malling (pt)</t>
  </si>
  <si>
    <t>Dartford CC</t>
  </si>
  <si>
    <t>Sevenoaks (pt)</t>
  </si>
  <si>
    <t>Dover CC</t>
  </si>
  <si>
    <t>Dover (pt)</t>
  </si>
  <si>
    <t>Co. Durham *</t>
  </si>
  <si>
    <t>EALING LONDON BOROUGH  *</t>
  </si>
  <si>
    <t>Ealing Central and Acton BC</t>
  </si>
  <si>
    <t>Ealing (pt)</t>
  </si>
  <si>
    <t>Ealing North BC</t>
  </si>
  <si>
    <t>Central Bedfordshire (pt)</t>
  </si>
  <si>
    <t>Mid Bedfordshire CC</t>
  </si>
  <si>
    <t>North East Bedfordshire CC</t>
  </si>
  <si>
    <t>South West Bedfordshire CC</t>
  </si>
  <si>
    <t>* as created by The Bedfordshire (Borough of Luton) (Structural Change) Order 1995</t>
  </si>
  <si>
    <t># as created by The Bedfordshire (Structural Changes) Order 2008</t>
  </si>
  <si>
    <t>Ward Electorates</t>
  </si>
  <si>
    <t>Constituency</t>
  </si>
  <si>
    <t>BEDFORD BOROUGH  *</t>
  </si>
  <si>
    <t>Brickhill</t>
  </si>
  <si>
    <t>Lower Sheering</t>
  </si>
  <si>
    <t>Moreton and Fyfield</t>
  </si>
  <si>
    <t>North Weald Bassett</t>
  </si>
  <si>
    <t>Passingford</t>
  </si>
  <si>
    <t>Shelley</t>
  </si>
  <si>
    <t>Theydon Bois</t>
  </si>
  <si>
    <t>Waltham Abbey High Beach</t>
  </si>
  <si>
    <t>Waltham Abbey Honey Lane</t>
  </si>
  <si>
    <t>Waltham Abbey North East</t>
  </si>
  <si>
    <t>Hastingwood, Matching and Sheering Village</t>
  </si>
  <si>
    <t>High Ongar, Willingale and The Rodings</t>
  </si>
  <si>
    <t>Lambourne</t>
  </si>
  <si>
    <t>Loughton Alderton</t>
  </si>
  <si>
    <t>Loughton Broadway</t>
  </si>
  <si>
    <t>Loughton Fairmead</t>
  </si>
  <si>
    <t>Loughton Forest</t>
  </si>
  <si>
    <t>Loughton Roding</t>
  </si>
  <si>
    <t>Ashford East</t>
  </si>
  <si>
    <t>Ashford North and Stanwell South</t>
  </si>
  <si>
    <t>Ashford Town</t>
  </si>
  <si>
    <t>Halliford and Sunbury West</t>
  </si>
  <si>
    <t>Laleham and Shepperton Green</t>
  </si>
  <si>
    <t>East Worthing and Shoreham CC</t>
  </si>
  <si>
    <t>Worthing (pt)</t>
  </si>
  <si>
    <t>Horsham CC</t>
  </si>
  <si>
    <t>Mid Sussex CC</t>
  </si>
  <si>
    <t>Worthing West BC</t>
  </si>
  <si>
    <t>ADUR DISTRICT  *</t>
  </si>
  <si>
    <t>Buckingham</t>
  </si>
  <si>
    <t>Farley</t>
  </si>
  <si>
    <t>Swineshead and Holland Fen</t>
  </si>
  <si>
    <t>Witham</t>
  </si>
  <si>
    <t>Wyberton</t>
  </si>
  <si>
    <t>Eccleshall</t>
  </si>
  <si>
    <t>Forebridge</t>
  </si>
  <si>
    <t>Fulford</t>
  </si>
  <si>
    <t>Seaford West</t>
  </si>
  <si>
    <t>Lewes CC (pt)</t>
  </si>
  <si>
    <t>* as created by The District of Lewes (Electoral Changes) Order 2001</t>
  </si>
  <si>
    <t>ROTHER DISTRICT  *</t>
  </si>
  <si>
    <t>Eastern Rother</t>
  </si>
  <si>
    <t>County Average (Torbay) (2 seats)</t>
  </si>
  <si>
    <t>Central Devon CC</t>
  </si>
  <si>
    <t>East Devon (pt)</t>
  </si>
  <si>
    <t>Mid Devon (pt)</t>
  </si>
  <si>
    <t>Teignbridge (pt)</t>
  </si>
  <si>
    <t>West Devon (pt)</t>
  </si>
  <si>
    <t>East Devon CC</t>
  </si>
  <si>
    <t>Seaford South</t>
  </si>
  <si>
    <t>* as created by The District of South Staffordshire (Electoral Changes) Order 2001</t>
  </si>
  <si>
    <t>Baswich</t>
  </si>
  <si>
    <t>Common</t>
  </si>
  <si>
    <t>Coton</t>
  </si>
  <si>
    <t>Warlingham East and Chelsham and Farleigh</t>
  </si>
  <si>
    <t>Warlingham West</t>
  </si>
  <si>
    <t>Westway</t>
  </si>
  <si>
    <t>Whyteleafe</t>
  </si>
  <si>
    <t>Woldingham</t>
  </si>
  <si>
    <t>Tillingham</t>
  </si>
  <si>
    <t>* as created by The Borough of Luton (Electoral Changes) Order 2002</t>
  </si>
  <si>
    <t>Bedford *</t>
  </si>
  <si>
    <t>Central Bedfordshire *</t>
  </si>
  <si>
    <t>Plymouth, Sutton and Devonport BC</t>
  </si>
  <si>
    <t>South West Devon CC</t>
  </si>
  <si>
    <t>South Hams (pt)</t>
  </si>
  <si>
    <t>Tiverton and Honiton CC</t>
  </si>
  <si>
    <t>Torbay BC</t>
  </si>
  <si>
    <t>Torbay (pt)</t>
  </si>
  <si>
    <t>Torridge and West Devon CC</t>
  </si>
  <si>
    <t>Totnes CC</t>
  </si>
  <si>
    <t>Torbay BC (pt)</t>
  </si>
  <si>
    <t>High Town</t>
  </si>
  <si>
    <t>HAVERING LONDON BOROUGH  *#</t>
  </si>
  <si>
    <t>Barking (pt)</t>
  </si>
  <si>
    <t>Brooklands</t>
  </si>
  <si>
    <t>Cranham</t>
  </si>
  <si>
    <t>Elm Park</t>
  </si>
  <si>
    <t>Emerson Park</t>
  </si>
  <si>
    <t>Gooshays</t>
  </si>
  <si>
    <t>Hacton</t>
  </si>
  <si>
    <t>Harold Wood</t>
  </si>
  <si>
    <t>Havering Park</t>
  </si>
  <si>
    <t>Heaton</t>
  </si>
  <si>
    <t>Stow</t>
  </si>
  <si>
    <t>Sudbrooke</t>
  </si>
  <si>
    <t>Tilbury Riverside and Thurrock Park</t>
  </si>
  <si>
    <t>Tilbury St Chads</t>
  </si>
  <si>
    <t>West Thurrock and South Stifford</t>
  </si>
  <si>
    <t>South Basildon and East Thurrock CC (pt)</t>
  </si>
  <si>
    <t>* as created by The Borough of Thurrock (Electoral Changes) Order 2002</t>
  </si>
  <si>
    <t>Billericay East</t>
  </si>
  <si>
    <t>Billericay West</t>
  </si>
  <si>
    <t>Burstead</t>
  </si>
  <si>
    <t>Crouch</t>
  </si>
  <si>
    <t>Fryerns</t>
  </si>
  <si>
    <t>Burrsville</t>
  </si>
  <si>
    <t>Frinton</t>
  </si>
  <si>
    <t>Skirbeck</t>
  </si>
  <si>
    <t>* as created by The Borough of Bracknell Forest (Electoral Changes) Order 2002</t>
  </si>
  <si>
    <t>Battle</t>
  </si>
  <si>
    <t>Caversham</t>
  </si>
  <si>
    <t>Church</t>
  </si>
  <si>
    <t>Katesgrove</t>
  </si>
  <si>
    <t>Kentwood</t>
  </si>
  <si>
    <t>Brightlingsea</t>
  </si>
  <si>
    <t>Chapel St Leonards</t>
  </si>
  <si>
    <t>Croft</t>
  </si>
  <si>
    <t>Grimoldby</t>
  </si>
  <si>
    <t>Halton Holegate</t>
  </si>
  <si>
    <t>Horncastle</t>
  </si>
  <si>
    <t>Ingoldmells</t>
  </si>
  <si>
    <t>Legbourne</t>
  </si>
  <si>
    <t>Mapledurham</t>
  </si>
  <si>
    <t>Minster</t>
  </si>
  <si>
    <t>Norcot</t>
  </si>
  <si>
    <t>Park</t>
  </si>
  <si>
    <t>Peppard</t>
  </si>
  <si>
    <t>Redlands</t>
  </si>
  <si>
    <t>Southcote</t>
  </si>
  <si>
    <t>Walthamstow BC</t>
  </si>
  <si>
    <t>Chingford Green</t>
  </si>
  <si>
    <t>Endlebury</t>
  </si>
  <si>
    <t>Grove Green</t>
  </si>
  <si>
    <t>Hale End and Highams Park</t>
  </si>
  <si>
    <t>Hatch Lane</t>
  </si>
  <si>
    <t>Higham Hill</t>
  </si>
  <si>
    <t>Hoe Street</t>
  </si>
  <si>
    <t>Larkswood</t>
  </si>
  <si>
    <t>Lea Bridge</t>
  </si>
  <si>
    <t>Leyton</t>
  </si>
  <si>
    <t>CITY OF LINCOLN  *</t>
  </si>
  <si>
    <t>Kingston upon Hull *</t>
  </si>
  <si>
    <t>Fosseridge</t>
  </si>
  <si>
    <t>Hampton</t>
  </si>
  <si>
    <t>Northleach</t>
  </si>
  <si>
    <t>Sandywell</t>
  </si>
  <si>
    <t>The Cotswolds CC (pt)</t>
  </si>
  <si>
    <t>North Hykeham Mill</t>
  </si>
  <si>
    <t>North Hykeham Moor</t>
  </si>
  <si>
    <t>CHESHIRE EAST BOROUGH  #</t>
  </si>
  <si>
    <t>CHARNWOOD BOROUGH  *</t>
  </si>
  <si>
    <t>Anstey</t>
  </si>
  <si>
    <t>Barrow and Sileby West</t>
  </si>
  <si>
    <t>Birstall Wanlip</t>
  </si>
  <si>
    <t>Birstall Watermead</t>
  </si>
  <si>
    <t>East Goscote</t>
  </si>
  <si>
    <t>Forest Bradgate</t>
  </si>
  <si>
    <t>Loughborough Ashby</t>
  </si>
  <si>
    <t>Loughborough Dishley and Hathern</t>
  </si>
  <si>
    <t>Loughborough Garendon</t>
  </si>
  <si>
    <t>Loughborough Hastings</t>
  </si>
  <si>
    <t>Peckham Rye</t>
  </si>
  <si>
    <t>Rotherhithe</t>
  </si>
  <si>
    <t>South Bermondsey</t>
  </si>
  <si>
    <t>Ponteland North</t>
  </si>
  <si>
    <t>* as created by The Borough of Castle Point (Electoral Changes) Order 2001</t>
  </si>
  <si>
    <t>Bicknacre and East and West Hanningfield</t>
  </si>
  <si>
    <t>East Downs</t>
  </si>
  <si>
    <t>Mile End</t>
  </si>
  <si>
    <t>Prettygate</t>
  </si>
  <si>
    <t>St Anne's</t>
  </si>
  <si>
    <t>Shrub End</t>
  </si>
  <si>
    <t>Stanway</t>
  </si>
  <si>
    <t>Tiptree</t>
  </si>
  <si>
    <t>Harwich and North Essex CC (pt)</t>
  </si>
  <si>
    <t>EPPING FOREST DISTRICT  *</t>
  </si>
  <si>
    <t>Tamworth CC (pt)</t>
  </si>
  <si>
    <t>NEWCASTLE-UNDER-LYME BOROUGH  *</t>
  </si>
  <si>
    <t>Chesterton</t>
  </si>
  <si>
    <t>Clayton</t>
  </si>
  <si>
    <t>Cross Heath</t>
  </si>
  <si>
    <t>SOUTH STAFFORDSHIRE DISTRICT  *</t>
  </si>
  <si>
    <t>Bilbrook</t>
  </si>
  <si>
    <t>Cam East</t>
  </si>
  <si>
    <t>Cam West</t>
  </si>
  <si>
    <t>Chalford</t>
  </si>
  <si>
    <t>Dursley</t>
  </si>
  <si>
    <t>ESSEX  *</t>
  </si>
  <si>
    <t>SOUTHEND-ON-SEA BOROUGH  *</t>
  </si>
  <si>
    <t>THURROCK BOROUGH  *</t>
  </si>
  <si>
    <t>BRAINTREE DISTRICT</t>
  </si>
  <si>
    <t>BRENTWOOD BOROUGH</t>
  </si>
  <si>
    <t>CASTLE POINT BOROUGH</t>
  </si>
  <si>
    <t>COLCHESTER BOROUGH</t>
  </si>
  <si>
    <t>EPPING FOREST DISTRICT</t>
  </si>
  <si>
    <t>Wolds Weighton</t>
  </si>
  <si>
    <t>Brigg and Goole CC (pt)</t>
  </si>
  <si>
    <t>Kingston upon Hull West and Hessle BC (pt)</t>
  </si>
  <si>
    <t>* as created by The District of East Riding (Electoral Changes) Order 2001</t>
  </si>
  <si>
    <t>CITY OF KINGSTON UPON HULL  *</t>
  </si>
  <si>
    <t>Avenue</t>
  </si>
  <si>
    <t>Beverley</t>
  </si>
  <si>
    <t>Boothferry</t>
  </si>
  <si>
    <t>HARLOW DISTRICT</t>
  </si>
  <si>
    <t>MALDON DISTRICT</t>
  </si>
  <si>
    <t>Grangefield</t>
  </si>
  <si>
    <t>Hartburn</t>
  </si>
  <si>
    <t>Ingleby Barwick East</t>
  </si>
  <si>
    <t>Ingleby Barwick West</t>
  </si>
  <si>
    <t>Mandale and Victoria</t>
  </si>
  <si>
    <t>Northern Parishes</t>
  </si>
  <si>
    <t>Parkfield and Oxbridge</t>
  </si>
  <si>
    <t>Roseworth</t>
  </si>
  <si>
    <t>Basildon and Billericay BC</t>
  </si>
  <si>
    <t>Basildon (pt)</t>
  </si>
  <si>
    <t>KING'S LYNN AND WEST NORFOLK BOROUGH</t>
  </si>
  <si>
    <t>NORTH NORFOLK DISTRICT</t>
  </si>
  <si>
    <t>CITY OF NORWICH</t>
  </si>
  <si>
    <t>SOUTH NORFOLK DISTRICT</t>
  </si>
  <si>
    <t>County Average (9 seats)</t>
  </si>
  <si>
    <t>Broadland CC</t>
  </si>
  <si>
    <t>Broadland (pt)</t>
  </si>
  <si>
    <t>* as created by The London Borough of Hillingdon (Electoral Changes) Order 2000</t>
  </si>
  <si>
    <t># paired with the London Borough of Harrow</t>
  </si>
  <si>
    <t>HEREFORDSHIRE  *</t>
  </si>
  <si>
    <t>Hereford and South Herefordshire CC</t>
  </si>
  <si>
    <t>Herefordshire (pt)</t>
  </si>
  <si>
    <t>North Herefordshire CC</t>
  </si>
  <si>
    <t>Aylestone</t>
  </si>
  <si>
    <t>Backbury</t>
  </si>
  <si>
    <t>Bircher</t>
  </si>
  <si>
    <t>Rochford (pt)</t>
  </si>
  <si>
    <t>Rochford and Southend East CC</t>
  </si>
  <si>
    <t>Southend-on-Sea (pt)</t>
  </si>
  <si>
    <t>Saffron Walden CC</t>
  </si>
  <si>
    <t>Epping Forest (pt)</t>
  </si>
  <si>
    <t>Castle Point BC</t>
  </si>
  <si>
    <t>Chelmsford BC</t>
  </si>
  <si>
    <t>Chelmsford (pt)</t>
  </si>
  <si>
    <t>Clacton CC</t>
  </si>
  <si>
    <t>Tendring (pt)</t>
  </si>
  <si>
    <t>Colchester BC</t>
  </si>
  <si>
    <t>Colchester (pt)</t>
  </si>
  <si>
    <t xml:space="preserve">Epping Forest CC </t>
  </si>
  <si>
    <t>Harlow CC</t>
  </si>
  <si>
    <t>Harwich and North Essex CC</t>
  </si>
  <si>
    <t>Maldon CC</t>
  </si>
  <si>
    <t>Maldon (pt)</t>
  </si>
  <si>
    <t>Rayleigh and Wickford CC</t>
  </si>
  <si>
    <t>Caverswall</t>
  </si>
  <si>
    <t>Cellarhead</t>
  </si>
  <si>
    <t>Huntspill and Pawlett</t>
  </si>
  <si>
    <t>King's Isle</t>
  </si>
  <si>
    <t>Knoll</t>
  </si>
  <si>
    <t>North Petherton</t>
  </si>
  <si>
    <t>Wellington East</t>
  </si>
  <si>
    <t>Wellington North</t>
  </si>
  <si>
    <t>Minehead North</t>
  </si>
  <si>
    <t>Quantock Vale</t>
  </si>
  <si>
    <t>BROADLAND DISTRICT  *</t>
  </si>
  <si>
    <t>Acle</t>
  </si>
  <si>
    <t>Aylsham</t>
  </si>
  <si>
    <t>Marfleet</t>
  </si>
  <si>
    <t>Newington</t>
  </si>
  <si>
    <t>Pickering</t>
  </si>
  <si>
    <t>Upper Wensum</t>
  </si>
  <si>
    <t>Watton</t>
  </si>
  <si>
    <t>Wissey</t>
  </si>
  <si>
    <t>Mid Norfolk CC (pt)</t>
  </si>
  <si>
    <t>South West Norfolk CC (pt)</t>
  </si>
  <si>
    <t>* as created by The Borough of North East Lincolnshire (Electoral Changes) Order 2001</t>
  </si>
  <si>
    <t>Ashby</t>
  </si>
  <si>
    <t>Axholme Central</t>
  </si>
  <si>
    <t>Axholme North</t>
  </si>
  <si>
    <t>Axholme South</t>
  </si>
  <si>
    <t>Bottesford</t>
  </si>
  <si>
    <t>Brigg and Wolds</t>
  </si>
  <si>
    <t>Broughton and Appleby</t>
  </si>
  <si>
    <t>Brumby</t>
  </si>
  <si>
    <t>Knighton</t>
  </si>
  <si>
    <t>* as created by The City of Kingston upon Hull (Electoral Changes) Order 2001</t>
  </si>
  <si>
    <t>Croft Baker</t>
  </si>
  <si>
    <t>East Marsh</t>
  </si>
  <si>
    <t>Freshney</t>
  </si>
  <si>
    <t>Haverstoe</t>
  </si>
  <si>
    <t>Heneage</t>
  </si>
  <si>
    <t>Springwood</t>
  </si>
  <si>
    <t>EAST CAMBRIDGESHIRE DISTRICT  *</t>
  </si>
  <si>
    <t>Bottisham</t>
  </si>
  <si>
    <t>Burwell</t>
  </si>
  <si>
    <t>Downham Villages</t>
  </si>
  <si>
    <t>County Average (Leicestershire) (7 seats)</t>
  </si>
  <si>
    <t>County Average (Rutland) (1 seat)</t>
  </si>
  <si>
    <t>Bosworth CC</t>
  </si>
  <si>
    <t>Hinckley and Bosworth (pt)</t>
  </si>
  <si>
    <t>Charnwood CC</t>
  </si>
  <si>
    <t>Blaby (pt)</t>
  </si>
  <si>
    <t>Charnwood (pt)</t>
  </si>
  <si>
    <t>Harborough CC</t>
  </si>
  <si>
    <t>Bixley</t>
  </si>
  <si>
    <t>Castle Hill</t>
  </si>
  <si>
    <t>Gainsborough</t>
  </si>
  <si>
    <t>Gipping</t>
  </si>
  <si>
    <t>Saxmundham</t>
  </si>
  <si>
    <t>Wickham Market</t>
  </si>
  <si>
    <t>Uppingham</t>
  </si>
  <si>
    <t>Whissendine</t>
  </si>
  <si>
    <t>Holywells</t>
  </si>
  <si>
    <t>Priory Heath</t>
  </si>
  <si>
    <t>Rushmere</t>
  </si>
  <si>
    <t>Sprites</t>
  </si>
  <si>
    <t>Stoke Park</t>
  </si>
  <si>
    <t>Central Suffolk and North Ipswich CC (pt)</t>
  </si>
  <si>
    <t>Countesthorpe</t>
  </si>
  <si>
    <t>Croft Hill</t>
  </si>
  <si>
    <t>Ellis</t>
  </si>
  <si>
    <t>Enderby and St John's</t>
  </si>
  <si>
    <t>Walpole</t>
  </si>
  <si>
    <t>37.</t>
  </si>
  <si>
    <t>38.</t>
  </si>
  <si>
    <t>Watlington</t>
  </si>
  <si>
    <t>39.</t>
  </si>
  <si>
    <t>West Winch</t>
  </si>
  <si>
    <t>Slade Lode</t>
  </si>
  <si>
    <t>Staithe</t>
  </si>
  <si>
    <t>The Mills</t>
  </si>
  <si>
    <t>Wenneye</t>
  </si>
  <si>
    <t>Buckden</t>
  </si>
  <si>
    <t>Fenstanton</t>
  </si>
  <si>
    <t>Huntingdon East</t>
  </si>
  <si>
    <t>Harleston</t>
  </si>
  <si>
    <t>Hempnall</t>
  </si>
  <si>
    <t>Hethersett</t>
  </si>
  <si>
    <t>New Costessey</t>
  </si>
  <si>
    <t>Eastgate</t>
  </si>
  <si>
    <t>NORTH NORFOLK DISTRICT  *</t>
  </si>
  <si>
    <t>Briston</t>
  </si>
  <si>
    <t>Chaucer</t>
  </si>
  <si>
    <t>Fylde CC</t>
  </si>
  <si>
    <t>Preston (pt)</t>
  </si>
  <si>
    <t>Hyndburn BC</t>
  </si>
  <si>
    <t>Rossendale (pt)</t>
  </si>
  <si>
    <t>Lancaster and Fleetwood CC</t>
  </si>
  <si>
    <t>Lancaster (pt)</t>
  </si>
  <si>
    <t>Wyre (pt)</t>
  </si>
  <si>
    <t>Morecambe and Lunesdale CC</t>
  </si>
  <si>
    <t>Pendle BC</t>
  </si>
  <si>
    <t>Preston BC</t>
  </si>
  <si>
    <t>Ribble Valley CC</t>
  </si>
  <si>
    <t>South Ribble  (pt)</t>
  </si>
  <si>
    <t>Rossendale and Darwen BC</t>
  </si>
  <si>
    <t>South Ribble CC</t>
  </si>
  <si>
    <t>South Ribble (pt)</t>
  </si>
  <si>
    <t>West Lancashire (pt)</t>
  </si>
  <si>
    <t>West Lancashire CC</t>
  </si>
  <si>
    <t>Wyre and Preston North CC</t>
  </si>
  <si>
    <t>Audley</t>
  </si>
  <si>
    <t>Ewood</t>
  </si>
  <si>
    <t>University</t>
  </si>
  <si>
    <t>Norwich South BC (pt)</t>
  </si>
  <si>
    <t>SOUTH NORFOLK DISTRICT  *</t>
  </si>
  <si>
    <t>Brooke</t>
  </si>
  <si>
    <t>Bunwell</t>
  </si>
  <si>
    <t>Cringleford</t>
  </si>
  <si>
    <t>HINCKLEY AND BOSWORTH BOROUGH  *</t>
  </si>
  <si>
    <t>Ambien</t>
  </si>
  <si>
    <t>Barlestone, Nailstone and Osbaston</t>
  </si>
  <si>
    <t>Barwell</t>
  </si>
  <si>
    <t>WELWYN HATFIELD BOROUGH  *</t>
  </si>
  <si>
    <t>Haldens</t>
  </si>
  <si>
    <t>Handside</t>
  </si>
  <si>
    <t>Hatfield Villages</t>
  </si>
  <si>
    <t>Hollybush</t>
  </si>
  <si>
    <t>Howlands</t>
  </si>
  <si>
    <t>Northaw and Cuffley</t>
  </si>
  <si>
    <t>Panshanger</t>
  </si>
  <si>
    <t>Sherrards</t>
  </si>
  <si>
    <t>Welwyn East</t>
  </si>
  <si>
    <t>Welwyn West</t>
  </si>
  <si>
    <t>HOUNSLOW LONDON BOROUGH  *</t>
  </si>
  <si>
    <t>Brentford and Isleworth BC</t>
  </si>
  <si>
    <t>Hounslow (pt)</t>
  </si>
  <si>
    <t>Feltham and Heston BC</t>
  </si>
  <si>
    <t>Bedfont</t>
  </si>
  <si>
    <t>Chiswick Homefields</t>
  </si>
  <si>
    <t>Chiswick Riverside</t>
  </si>
  <si>
    <t>Cranford</t>
  </si>
  <si>
    <t>Feltham North</t>
  </si>
  <si>
    <t>Feltham West</t>
  </si>
  <si>
    <t>Cray Valley East</t>
  </si>
  <si>
    <t>Cray Valley West</t>
  </si>
  <si>
    <t>Crystal Palace</t>
  </si>
  <si>
    <t>Darwin</t>
  </si>
  <si>
    <t>Farnborough and Crofton</t>
  </si>
  <si>
    <t>Hayes and Coney Hall</t>
  </si>
  <si>
    <t>Kelsey and Eden Park</t>
  </si>
  <si>
    <t>Eastcott</t>
  </si>
  <si>
    <t>Gorse Hill and Pinehurst</t>
  </si>
  <si>
    <t>Haydon Wick</t>
  </si>
  <si>
    <t>ELMBRIDGE BOROUGH</t>
  </si>
  <si>
    <t>EPSOM AND EWELL BOROUGH</t>
  </si>
  <si>
    <t>GUILDFORD BOROUGH</t>
  </si>
  <si>
    <t>MOLE VALLEY DISTRICT</t>
  </si>
  <si>
    <t>North Thanet CC (pt)</t>
  </si>
  <si>
    <t>DARTFORD BOROUGH  *</t>
  </si>
  <si>
    <t>Princes</t>
  </si>
  <si>
    <t>Swanscombe</t>
  </si>
  <si>
    <t>West Hill</t>
  </si>
  <si>
    <t>Dartford CC (pt)</t>
  </si>
  <si>
    <t>SOUTH SOMERSET DISTRICT</t>
  </si>
  <si>
    <t>Bridgwater and West Somerset CC</t>
  </si>
  <si>
    <t>Brixworth</t>
  </si>
  <si>
    <t>Drayton</t>
  </si>
  <si>
    <t>Long Buckby</t>
  </si>
  <si>
    <t>Moulton</t>
  </si>
  <si>
    <t>Eastfield</t>
  </si>
  <si>
    <t>Headlands</t>
  </si>
  <si>
    <t>Nene Valley</t>
  </si>
  <si>
    <t>Earls Barton</t>
  </si>
  <si>
    <t>Finedon</t>
  </si>
  <si>
    <t>Irchester</t>
  </si>
  <si>
    <t>Aldersgate</t>
  </si>
  <si>
    <t>Aldgate</t>
  </si>
  <si>
    <t>Bassishaw</t>
  </si>
  <si>
    <t>* as created by The London Borough of Brent (Electoral Changes) Order 2000</t>
  </si>
  <si>
    <t># paired with the London Borough of Camden</t>
  </si>
  <si>
    <t>CAMBRIDGESHIRE  *</t>
  </si>
  <si>
    <t>CITY OF PETERBOROUGH  *</t>
  </si>
  <si>
    <t>CITY OF CAMBRIDGE</t>
  </si>
  <si>
    <t>EAST CAMBRIDGESHIRE DISTRICT</t>
  </si>
  <si>
    <t>FENLAND DISTRICT</t>
  </si>
  <si>
    <t>HUNTINGDONSHIRE DISTRICT  *</t>
  </si>
  <si>
    <t>Carshalton Central</t>
  </si>
  <si>
    <t>Cheam</t>
  </si>
  <si>
    <t>Nonsuch</t>
  </si>
  <si>
    <t>Stonecot</t>
  </si>
  <si>
    <t>Sutton Central</t>
  </si>
  <si>
    <t>Sutton North</t>
  </si>
  <si>
    <t>Sutton South</t>
  </si>
  <si>
    <t>The Wrythe</t>
  </si>
  <si>
    <t>Wallington North</t>
  </si>
  <si>
    <t>Wallington South</t>
  </si>
  <si>
    <t>Walton Central</t>
  </si>
  <si>
    <t>Walton North</t>
  </si>
  <si>
    <t>Walton South</t>
  </si>
  <si>
    <t>Runnymede and Weybridge BC (pt)</t>
  </si>
  <si>
    <t>EPSOM AND EWELL BOROUGH  *</t>
  </si>
  <si>
    <t>Auriol</t>
  </si>
  <si>
    <t>LANCASHIRE  *</t>
  </si>
  <si>
    <t>BLACKBURN WITH DARWEN BOROUGH  *</t>
  </si>
  <si>
    <t>BLACKPOOL BOROUGH  *</t>
  </si>
  <si>
    <t>Billingsgate</t>
  </si>
  <si>
    <t>Bishopsgate</t>
  </si>
  <si>
    <t>Bread Street</t>
  </si>
  <si>
    <t>Bridge</t>
  </si>
  <si>
    <t>Broad Street</t>
  </si>
  <si>
    <t>Candlewick</t>
  </si>
  <si>
    <t>Castle Baynard</t>
  </si>
  <si>
    <t>Cheap</t>
  </si>
  <si>
    <t>Coleman Street</t>
  </si>
  <si>
    <t>Cordwainer</t>
  </si>
  <si>
    <t>Cornhill</t>
  </si>
  <si>
    <t>Cripplegate</t>
  </si>
  <si>
    <t>Dowgate</t>
  </si>
  <si>
    <t>Farringdon Within</t>
  </si>
  <si>
    <t>Farringdon Without</t>
  </si>
  <si>
    <t>Abbey Road</t>
  </si>
  <si>
    <t>Bayswater</t>
  </si>
  <si>
    <t>Churchill</t>
  </si>
  <si>
    <t>Church Street</t>
  </si>
  <si>
    <t>Harrow Road</t>
  </si>
  <si>
    <t>Hyde Park</t>
  </si>
  <si>
    <t>Lancaster Gate</t>
  </si>
  <si>
    <t>Little Venice</t>
  </si>
  <si>
    <t>Maida Vale</t>
  </si>
  <si>
    <t>St James's</t>
  </si>
  <si>
    <t>* as created by The Cambridgeshire (City of Peterborough) (Structural, Boundary and Electoral Changes) Order 1996</t>
  </si>
  <si>
    <t>Barnack</t>
  </si>
  <si>
    <t>Dogsthorpe</t>
  </si>
  <si>
    <t>East</t>
  </si>
  <si>
    <t>BURNLEY BOROUGH</t>
  </si>
  <si>
    <t>CHORLEY BOROUGH</t>
  </si>
  <si>
    <t>FYLDE BOROUGH</t>
  </si>
  <si>
    <t>HYNDBURN BOROUGH</t>
  </si>
  <si>
    <t>CITY OF LANCASTER</t>
  </si>
  <si>
    <t>PENDLE BOROUGH</t>
  </si>
  <si>
    <t>CITY OF PRESTON</t>
  </si>
  <si>
    <t>RIBBLE VALLEY BOROUGH</t>
  </si>
  <si>
    <t>ROSSENDALE BOROUGH</t>
  </si>
  <si>
    <t>South East Cornwall CC</t>
  </si>
  <si>
    <t>St Austell and Newquay CC</t>
  </si>
  <si>
    <t>St Ives CC</t>
  </si>
  <si>
    <t>Truro and Falmouth CC</t>
  </si>
  <si>
    <t>Farningham, Horton Kirby and South Darenth</t>
  </si>
  <si>
    <t>Fawkham and West Kingsdown</t>
  </si>
  <si>
    <t>Halstead, Knockholt and Badgers Mount</t>
  </si>
  <si>
    <t>Hartley and Hodsoll Street</t>
  </si>
  <si>
    <t>Ponteland South with Heddon</t>
  </si>
  <si>
    <t>Ponteland West</t>
  </si>
  <si>
    <t>Rothbury</t>
  </si>
  <si>
    <t>Seaton with Newbiggin West</t>
  </si>
  <si>
    <t>Seghill with Seaton Delaval</t>
  </si>
  <si>
    <t>Shilbottle</t>
  </si>
  <si>
    <t>Sleekburn</t>
  </si>
  <si>
    <t>South Blyth</t>
  </si>
  <si>
    <t>South Tynedale</t>
  </si>
  <si>
    <t>Stakeford</t>
  </si>
  <si>
    <t>Blackburn with Darwen (pt)</t>
  </si>
  <si>
    <t>Blackpool North and Cleveleys BC</t>
  </si>
  <si>
    <t>Blackpool (pt)</t>
  </si>
  <si>
    <t>Wyre(pt)</t>
  </si>
  <si>
    <t>Blackpool South BC</t>
  </si>
  <si>
    <t>Burnley BC</t>
  </si>
  <si>
    <t>Chorley CC</t>
  </si>
  <si>
    <t>Chorley (pt)</t>
  </si>
  <si>
    <t>Croydon (pt)</t>
  </si>
  <si>
    <t>Croydon North BC</t>
  </si>
  <si>
    <t>Croydon South BC</t>
  </si>
  <si>
    <t>Bensham Manor</t>
  </si>
  <si>
    <t>Broad Green</t>
  </si>
  <si>
    <t>Fairfield</t>
  </si>
  <si>
    <t>Hindpool</t>
  </si>
  <si>
    <t>RICHMONDSHIRE DISTRICT  *</t>
  </si>
  <si>
    <t>Colburn</t>
  </si>
  <si>
    <t>Gilling West</t>
  </si>
  <si>
    <t>Hipswell</t>
  </si>
  <si>
    <t>Broadway and Wickhamford</t>
  </si>
  <si>
    <t>Dodderhill</t>
  </si>
  <si>
    <t>Drakes Broughton</t>
  </si>
  <si>
    <t>Droitwich Central</t>
  </si>
  <si>
    <t>Droitwich East</t>
  </si>
  <si>
    <t>Droitwich South East</t>
  </si>
  <si>
    <t>Droitwich South West</t>
  </si>
  <si>
    <t>Droitwich West</t>
  </si>
  <si>
    <t>Eckington</t>
  </si>
  <si>
    <t>Elmley Castle and Somerville</t>
  </si>
  <si>
    <t>Evesham North</t>
  </si>
  <si>
    <t>Evesham South</t>
  </si>
  <si>
    <t>Fladbury</t>
  </si>
  <si>
    <t>Great Hampton</t>
  </si>
  <si>
    <t>Hartlebury</t>
  </si>
  <si>
    <t>Ampleforth</t>
  </si>
  <si>
    <t>Cropton</t>
  </si>
  <si>
    <t>Dales</t>
  </si>
  <si>
    <t>Helmsley</t>
  </si>
  <si>
    <t>Hovingham</t>
  </si>
  <si>
    <t>Kirkbymoorside</t>
  </si>
  <si>
    <t>Malton</t>
  </si>
  <si>
    <t>Norton East</t>
  </si>
  <si>
    <t>Shropshire *</t>
  </si>
  <si>
    <t>Richmond East</t>
  </si>
  <si>
    <t>Okewood</t>
  </si>
  <si>
    <t>Westcott</t>
  </si>
  <si>
    <t>* as created by The Mole Valley (Electoral Changes) Order 1999</t>
  </si>
  <si>
    <t>REIGATE AND BANSTEAD BOROUGH  *</t>
  </si>
  <si>
    <t>Banstead Village</t>
  </si>
  <si>
    <t>Ealing, Southall BC</t>
  </si>
  <si>
    <t>Dormers Wells</t>
  </si>
  <si>
    <t>Ealing Broadway</t>
  </si>
  <si>
    <t>Ealing Common</t>
  </si>
  <si>
    <t>East Acton</t>
  </si>
  <si>
    <t>Melksham South</t>
  </si>
  <si>
    <t>Mere</t>
  </si>
  <si>
    <t>Minety</t>
  </si>
  <si>
    <t>Pewsey</t>
  </si>
  <si>
    <t>Purton</t>
  </si>
  <si>
    <t>Northstead</t>
  </si>
  <si>
    <t>Seamer</t>
  </si>
  <si>
    <t>Streonshalh</t>
  </si>
  <si>
    <t>Whitby West Cliff</t>
  </si>
  <si>
    <t>Penrith Carleton</t>
  </si>
  <si>
    <t>Penrith East</t>
  </si>
  <si>
    <t>Penrith North</t>
  </si>
  <si>
    <t>Penrith Pategill</t>
  </si>
  <si>
    <t>Penrith South</t>
  </si>
  <si>
    <t>Penrith West</t>
  </si>
  <si>
    <t>Ravenstonedale</t>
  </si>
  <si>
    <t>Shap</t>
  </si>
  <si>
    <t>Skelton</t>
  </si>
  <si>
    <t>Ullswater</t>
  </si>
  <si>
    <t>Warcop</t>
  </si>
  <si>
    <t>* as created by The District of Eden (Electoral Changes) Order 1998</t>
  </si>
  <si>
    <t>SOUTH LAKELAND DISTRICT  *</t>
  </si>
  <si>
    <t>Primrose</t>
  </si>
  <si>
    <t>Carlisle BC</t>
  </si>
  <si>
    <t>Belle Vue</t>
  </si>
  <si>
    <t>Dalston</t>
  </si>
  <si>
    <t>Morton</t>
  </si>
  <si>
    <t>EDEN DISTRICT  *</t>
  </si>
  <si>
    <t>Alston Moor</t>
  </si>
  <si>
    <t>Appleby (Appleby)</t>
  </si>
  <si>
    <t>Appleby (Bongate)</t>
  </si>
  <si>
    <t>Askham</t>
  </si>
  <si>
    <t>Brough</t>
  </si>
  <si>
    <t>Crosby Ravensworth</t>
  </si>
  <si>
    <t>Dacre</t>
  </si>
  <si>
    <t>Eamont</t>
  </si>
  <si>
    <t>Greystoke</t>
  </si>
  <si>
    <t>Hartside</t>
  </si>
  <si>
    <t>Hesket</t>
  </si>
  <si>
    <t>Kirkby Stephen</t>
  </si>
  <si>
    <t>Kirkby Thore</t>
  </si>
  <si>
    <t>Kirkoswald</t>
  </si>
  <si>
    <t>Langwathby</t>
  </si>
  <si>
    <t>Lazonby</t>
  </si>
  <si>
    <t>CITY OF CARLISLE  *</t>
  </si>
  <si>
    <t>Gosforth</t>
  </si>
  <si>
    <t>Harbour</t>
  </si>
  <si>
    <t>Send</t>
  </si>
  <si>
    <t>Shalford</t>
  </si>
  <si>
    <t>Stoughton</t>
  </si>
  <si>
    <t>Tillingbourne</t>
  </si>
  <si>
    <t>Worplesdon</t>
  </si>
  <si>
    <t>* as created by The Borough of North Lincolnshire (Electoral Changes) Order 2001</t>
  </si>
  <si>
    <t>ISLE OF WIGHT  *</t>
  </si>
  <si>
    <t>Isle of Wight CC</t>
  </si>
  <si>
    <t>Isle of Wight</t>
  </si>
  <si>
    <t>Ashfield CC</t>
  </si>
  <si>
    <t>Ashfield (pt)</t>
  </si>
  <si>
    <t>Broxtowe (pt)</t>
  </si>
  <si>
    <t>Bassetlaw CC</t>
  </si>
  <si>
    <t>Bassetlaw (pt)</t>
  </si>
  <si>
    <t>Broxtowe CC</t>
  </si>
  <si>
    <t>Gedling CC</t>
  </si>
  <si>
    <t>Gedling (pt)</t>
  </si>
  <si>
    <t>Mansfield CC</t>
  </si>
  <si>
    <t>Newark CC</t>
  </si>
  <si>
    <t>Newark and Sherwood (pt)</t>
  </si>
  <si>
    <t>Rushcliffe (pt)</t>
  </si>
  <si>
    <t>Rushcliffe CC</t>
  </si>
  <si>
    <t>Sherwood CC</t>
  </si>
  <si>
    <t>* as created by The Nottinghamshire (City of Nottingham) (Structural Change) Order 1996</t>
  </si>
  <si>
    <t>ASHFIELD DISTRICT  *</t>
  </si>
  <si>
    <t>Hucknall Central</t>
  </si>
  <si>
    <t>Hucknall North</t>
  </si>
  <si>
    <t>Hucknall West</t>
  </si>
  <si>
    <t>Wing</t>
  </si>
  <si>
    <t>35.</t>
  </si>
  <si>
    <t>36.</t>
  </si>
  <si>
    <t>Winslow</t>
  </si>
  <si>
    <t>Hareholme</t>
  </si>
  <si>
    <t>Healey and Whitworth</t>
  </si>
  <si>
    <t>Helmshore</t>
  </si>
  <si>
    <t>Irwell</t>
  </si>
  <si>
    <t>Longholme</t>
  </si>
  <si>
    <t>Stacksteads</t>
  </si>
  <si>
    <t>Shanklin Central</t>
  </si>
  <si>
    <t>Shanklin South</t>
  </si>
  <si>
    <t>Wootton Bridge</t>
  </si>
  <si>
    <t>East Surrey CC (pt)</t>
  </si>
  <si>
    <t>RUNNYMEDE BOROUGH  *</t>
  </si>
  <si>
    <t>Addlestone North</t>
  </si>
  <si>
    <t>May Bank</t>
  </si>
  <si>
    <t>Fulwood</t>
  </si>
  <si>
    <t>Gleadless Valley</t>
  </si>
  <si>
    <t>Graves Park</t>
  </si>
  <si>
    <t>Kingston</t>
  </si>
  <si>
    <t>Lewes Bridge</t>
  </si>
  <si>
    <t>Lewes Castle</t>
  </si>
  <si>
    <t>Lewes Priory</t>
  </si>
  <si>
    <t>Newick</t>
  </si>
  <si>
    <t>Peacehaven East</t>
  </si>
  <si>
    <t>Peacehaven North</t>
  </si>
  <si>
    <t>* as created by The Borough of Ribble Valley (Electoral Changes) Order 2001</t>
  </si>
  <si>
    <t>ROSSENDALE BOROUGH  *</t>
  </si>
  <si>
    <t>Cribden</t>
  </si>
  <si>
    <t>Facit and Shawforth</t>
  </si>
  <si>
    <t>Goodshaw</t>
  </si>
  <si>
    <t>Greenfield</t>
  </si>
  <si>
    <t>Greensclough</t>
  </si>
  <si>
    <t>Egham Town</t>
  </si>
  <si>
    <t>Englefield Green East</t>
  </si>
  <si>
    <t>Englefield Green West</t>
  </si>
  <si>
    <t>New Haw</t>
  </si>
  <si>
    <t>Virginia Water</t>
  </si>
  <si>
    <t>Runnymede and Weybridge CC (pt)</t>
  </si>
  <si>
    <t>Milton-under-Wychwood</t>
  </si>
  <si>
    <t>North Leigh</t>
  </si>
  <si>
    <t>Standlake, Aston and Stanton Harcourt</t>
  </si>
  <si>
    <t>Stonesfield and Tackley</t>
  </si>
  <si>
    <t>The Bartons</t>
  </si>
  <si>
    <t>Witney Central</t>
  </si>
  <si>
    <t>Witney East</t>
  </si>
  <si>
    <t>Witney North</t>
  </si>
  <si>
    <t>Witney South</t>
  </si>
  <si>
    <t>Witney West</t>
  </si>
  <si>
    <t>Stapleford North</t>
  </si>
  <si>
    <t>Stapleford South East</t>
  </si>
  <si>
    <t>Stapleford South West</t>
  </si>
  <si>
    <t xml:space="preserve">Broxtowe CC </t>
  </si>
  <si>
    <t>GEDLING BOROUGH  *</t>
  </si>
  <si>
    <t>Calverton</t>
  </si>
  <si>
    <t>Carlton Hill</t>
  </si>
  <si>
    <t>Daybrook</t>
  </si>
  <si>
    <t>Macclesfield CC</t>
  </si>
  <si>
    <t>Tatton CC</t>
  </si>
  <si>
    <t>Weaver Vale CC</t>
  </si>
  <si>
    <t>Nuneaton CC</t>
  </si>
  <si>
    <t>Crowborough Jarvis Brook</t>
  </si>
  <si>
    <t>Crowborough North</t>
  </si>
  <si>
    <t>Donington, Quadring and Gosberton</t>
  </si>
  <si>
    <t>Fleet</t>
  </si>
  <si>
    <t>Gedney</t>
  </si>
  <si>
    <t>Holbeach Hurn</t>
  </si>
  <si>
    <t>Holbeach Town</t>
  </si>
  <si>
    <t>Moulton, Weston and Cowbit</t>
  </si>
  <si>
    <t>Pinchbeck and Surfleet</t>
  </si>
  <si>
    <t>Spalding Castle</t>
  </si>
  <si>
    <t>Spalding Monks House</t>
  </si>
  <si>
    <t>Spalding St John's</t>
  </si>
  <si>
    <t>Spalding St Mary's</t>
  </si>
  <si>
    <t>Spalding St Paul's</t>
  </si>
  <si>
    <t>Spalding Wygate</t>
  </si>
  <si>
    <t>Sutton Bridge</t>
  </si>
  <si>
    <t>The Saints</t>
  </si>
  <si>
    <t>Whaplode and Holbeach St John's</t>
  </si>
  <si>
    <t>South Holland and The Deepings CC (pt)</t>
  </si>
  <si>
    <t>Codsall South</t>
  </si>
  <si>
    <t>Essington</t>
  </si>
  <si>
    <t>Featherstone and Shareshill</t>
  </si>
  <si>
    <t>Great Wyrley Landywood</t>
  </si>
  <si>
    <t>Great Wyrley Town</t>
  </si>
  <si>
    <t>Himley and Swindon</t>
  </si>
  <si>
    <t>Huntington and Hatherton</t>
  </si>
  <si>
    <t>Kinver</t>
  </si>
  <si>
    <t>Pattingham and Patshull</t>
  </si>
  <si>
    <t>Farnham Castle</t>
  </si>
  <si>
    <t>Farnham Firgrove</t>
  </si>
  <si>
    <t>Farnham Hale and Heath End</t>
  </si>
  <si>
    <t>Farnham Moor Park</t>
  </si>
  <si>
    <t>Farnham Shortheath and Boundstone</t>
  </si>
  <si>
    <t>Farnham Upper Hale</t>
  </si>
  <si>
    <t>Farnham Weybourne and Badshot Lea</t>
  </si>
  <si>
    <t>Farnham Wrecclesham and Rowledge</t>
  </si>
  <si>
    <t>Grantham and Stamford CC</t>
  </si>
  <si>
    <t>South Kesteven (pt)</t>
  </si>
  <si>
    <t>Lincoln BC</t>
  </si>
  <si>
    <t>North Kesteven (pt)</t>
  </si>
  <si>
    <t>Leake</t>
  </si>
  <si>
    <t>Lutterell</t>
  </si>
  <si>
    <t>Weaver</t>
  </si>
  <si>
    <t>North Deal</t>
  </si>
  <si>
    <t>St Radigunds</t>
  </si>
  <si>
    <t>Sandwich</t>
  </si>
  <si>
    <t>Walmer</t>
  </si>
  <si>
    <t>South Thanet CC (pt)</t>
  </si>
  <si>
    <t>Fishtoft</t>
  </si>
  <si>
    <t>Five Village</t>
  </si>
  <si>
    <t>Old Leake and Wrangle</t>
  </si>
  <si>
    <t>NORTH KESTEVEN DISTRICT  *</t>
  </si>
  <si>
    <t>Ashby de la Launde and Cranwell</t>
  </si>
  <si>
    <t>Bassingham and Brant Broughton</t>
  </si>
  <si>
    <t>Billinghay, Martin and North Kyme</t>
  </si>
  <si>
    <t>Bourne Vale</t>
  </si>
  <si>
    <t>Ludlow North</t>
  </si>
  <si>
    <t>Crewe East</t>
  </si>
  <si>
    <t>Crewe North</t>
  </si>
  <si>
    <t>Crewe South</t>
  </si>
  <si>
    <t>Crewe West</t>
  </si>
  <si>
    <t>Knutsford</t>
  </si>
  <si>
    <t>Eagle, Swinderby and Witham St Hughs</t>
  </si>
  <si>
    <t>Heckington Rural</t>
  </si>
  <si>
    <t>Heighington and Washingborough</t>
  </si>
  <si>
    <t>Kirkby la Thorpe and South Kyme</t>
  </si>
  <si>
    <t>Leasingham and Rauceby</t>
  </si>
  <si>
    <t>Metheringham</t>
  </si>
  <si>
    <t>Eddisbury CC (pt)</t>
  </si>
  <si>
    <t>Tatton CC (pt)</t>
  </si>
  <si>
    <t>Wantage CC (pt)</t>
  </si>
  <si>
    <t>VALE OF WHITE HORSE DISTRICT  *</t>
  </si>
  <si>
    <t>Abingdon Caldecott</t>
  </si>
  <si>
    <t>DEVON</t>
  </si>
  <si>
    <t>Plymouth *</t>
  </si>
  <si>
    <t>Isaac Newton</t>
  </si>
  <si>
    <t>Lincrest</t>
  </si>
  <si>
    <t>Stamford St John's</t>
  </si>
  <si>
    <t>Toller</t>
  </si>
  <si>
    <t>WEST LINDSEY DISTRICT  *</t>
  </si>
  <si>
    <t>BUCKINGHAMSHIRE</t>
  </si>
  <si>
    <t>Cambridge</t>
  </si>
  <si>
    <t>East Cambridgeshire</t>
  </si>
  <si>
    <t>Fenland</t>
  </si>
  <si>
    <t>Huntingdonshire</t>
  </si>
  <si>
    <t>South Cambridgeshire</t>
  </si>
  <si>
    <t>CAMBRIDGESHIRE</t>
  </si>
  <si>
    <t>Peterborough *</t>
  </si>
  <si>
    <t>CAMBRIDGESHIRE &amp; PETERBOROUGH</t>
  </si>
  <si>
    <t>Goring</t>
  </si>
  <si>
    <t>Wickford Castledon</t>
  </si>
  <si>
    <t>Ashington Central</t>
  </si>
  <si>
    <t>Bamburgh</t>
  </si>
  <si>
    <t>Ipswich (pt)</t>
  </si>
  <si>
    <t>Suffolk Coastal (pt)</t>
  </si>
  <si>
    <t>Ipswich BC</t>
  </si>
  <si>
    <t>South Suffolk CC</t>
  </si>
  <si>
    <t>Suffolk Coastal CC</t>
  </si>
  <si>
    <t>Waveney (pt)</t>
  </si>
  <si>
    <t>Waveney CC</t>
  </si>
  <si>
    <t>West Suffolk CC</t>
  </si>
  <si>
    <t>BABERGH DISTRICT  *</t>
  </si>
  <si>
    <t>Brett Vale</t>
  </si>
  <si>
    <t>Chadacre</t>
  </si>
  <si>
    <t>Hadleigh North</t>
  </si>
  <si>
    <t>Hadleigh South</t>
  </si>
  <si>
    <t>Wellington</t>
  </si>
  <si>
    <t>Mid Holderness</t>
  </si>
  <si>
    <t>Minster and Woodmansey</t>
  </si>
  <si>
    <t>North Holderness</t>
  </si>
  <si>
    <t>Pocklington Provincial</t>
  </si>
  <si>
    <t>Snaith, Airmyn, Rawcliffe and Marshland</t>
  </si>
  <si>
    <t>South East Holderness</t>
  </si>
  <si>
    <t>South Hunsley</t>
  </si>
  <si>
    <t>South West Holderness</t>
  </si>
  <si>
    <t>Tranby</t>
  </si>
  <si>
    <t>Willerby and Kirk Ella</t>
  </si>
  <si>
    <t>Hawkwell West</t>
  </si>
  <si>
    <t>Hullbridge</t>
  </si>
  <si>
    <t>Lodge</t>
  </si>
  <si>
    <t>South Lakeland</t>
  </si>
  <si>
    <t>CUMBRIA</t>
  </si>
  <si>
    <t>Amber Valley</t>
  </si>
  <si>
    <t>Bolsover</t>
  </si>
  <si>
    <t>Chesterfield</t>
  </si>
  <si>
    <t>Derbyshire Dales</t>
  </si>
  <si>
    <t>Erewash</t>
  </si>
  <si>
    <t>High Peak</t>
  </si>
  <si>
    <t>North East Derbyshire</t>
  </si>
  <si>
    <t>South Derbyshire</t>
  </si>
  <si>
    <t>DERBYSHIRE</t>
  </si>
  <si>
    <t>Derby *</t>
  </si>
  <si>
    <t>DERBYSHIRE &amp; DERBY</t>
  </si>
  <si>
    <t>Exeter</t>
  </si>
  <si>
    <t>Mid Devon</t>
  </si>
  <si>
    <t>North Devon</t>
  </si>
  <si>
    <t>South Hams</t>
  </si>
  <si>
    <t>Teignbridge</t>
  </si>
  <si>
    <t>Torridge</t>
  </si>
  <si>
    <t>West Devon</t>
  </si>
  <si>
    <t>Hextable</t>
  </si>
  <si>
    <t>Kemsing</t>
  </si>
  <si>
    <t>Leigh and Chiddingstone Causeway</t>
  </si>
  <si>
    <t>Southchurch</t>
  </si>
  <si>
    <t>Thorpe</t>
  </si>
  <si>
    <t>Westborough</t>
  </si>
  <si>
    <t>West Leigh</t>
  </si>
  <si>
    <t>West Shoebury</t>
  </si>
  <si>
    <t>New Forest</t>
  </si>
  <si>
    <t>Rushmoor</t>
  </si>
  <si>
    <t>Test Valley</t>
  </si>
  <si>
    <t>Winchester</t>
  </si>
  <si>
    <t>HAMPSHIRE</t>
  </si>
  <si>
    <t>Southampton *</t>
  </si>
  <si>
    <t>Bournemouth East BC</t>
  </si>
  <si>
    <t>Bournemouth West BC</t>
  </si>
  <si>
    <t>Cliftonville West</t>
  </si>
  <si>
    <t>Dane Valley</t>
  </si>
  <si>
    <t>Eastcliff</t>
  </si>
  <si>
    <t>Garlinge</t>
  </si>
  <si>
    <t>Kingsgate</t>
  </si>
  <si>
    <t>Margate Central</t>
  </si>
  <si>
    <t>Nethercourt</t>
  </si>
  <si>
    <t>Salmestone</t>
  </si>
  <si>
    <t>Sir Moses Montefiore</t>
  </si>
  <si>
    <t>Queenborough and Halfway</t>
  </si>
  <si>
    <t>Roman</t>
  </si>
  <si>
    <t>Sheppey Central</t>
  </si>
  <si>
    <t>Teynham and Lynsted</t>
  </si>
  <si>
    <t>West Downs</t>
  </si>
  <si>
    <t>Woodstock</t>
  </si>
  <si>
    <t>THANET DISTRICT  *</t>
  </si>
  <si>
    <t>Beacon Road</t>
  </si>
  <si>
    <t>Birchington North</t>
  </si>
  <si>
    <t>Birchington South</t>
  </si>
  <si>
    <t>Bradstowe</t>
  </si>
  <si>
    <t>Central Harbour</t>
  </si>
  <si>
    <t>Cliffsend and Pegwell</t>
  </si>
  <si>
    <t>Cliftonville East</t>
  </si>
  <si>
    <t>Torksey</t>
  </si>
  <si>
    <t>Waddingham and Spital</t>
  </si>
  <si>
    <t>Wold View</t>
  </si>
  <si>
    <t>STAFFORDSHIRE</t>
  </si>
  <si>
    <t>Stoke-on-Trent *</t>
  </si>
  <si>
    <t>CITY OF NEWCASTLE UPON TYNE  *</t>
  </si>
  <si>
    <t>Benwell and Scotswood</t>
  </si>
  <si>
    <t>Blakelaw</t>
  </si>
  <si>
    <t>North East Lincolnshire *</t>
  </si>
  <si>
    <t>North Lincolnshire *</t>
  </si>
  <si>
    <t>SWALE BOROUGH  *</t>
  </si>
  <si>
    <t>Boughton and Courtenay</t>
  </si>
  <si>
    <t>STAFFORDSHIRE &amp; STOKE-ON-TRENT</t>
  </si>
  <si>
    <t>Stockton-on-Tees *</t>
  </si>
  <si>
    <t>Babergh</t>
  </si>
  <si>
    <t>Ipswich</t>
  </si>
  <si>
    <t>Mid Suffolk</t>
  </si>
  <si>
    <t>SUFFOLK</t>
  </si>
  <si>
    <t>Elmbridge</t>
  </si>
  <si>
    <t>Epsom and Ewell</t>
  </si>
  <si>
    <t>Guildford</t>
  </si>
  <si>
    <t>Mole Valley</t>
  </si>
  <si>
    <t>Reigate and Banstead</t>
  </si>
  <si>
    <t>Runnymede</t>
  </si>
  <si>
    <t>Haydon and Hadrian</t>
  </si>
  <si>
    <t>Hexham Central with Acomb</t>
  </si>
  <si>
    <t>Kings Hill</t>
  </si>
  <si>
    <t>* as created by The Dorset (Boroughs of Poole and Bournemouth) (Structural Change) Order 1995</t>
  </si>
  <si>
    <t>Boscombe West</t>
  </si>
  <si>
    <t>Bedlington Central</t>
  </si>
  <si>
    <t>Bedlington East</t>
  </si>
  <si>
    <t>Bedlington West</t>
  </si>
  <si>
    <t>Berwick East</t>
  </si>
  <si>
    <t>Berwick North</t>
  </si>
  <si>
    <t>Berwick West with Ord</t>
  </si>
  <si>
    <t>Bothal</t>
  </si>
  <si>
    <t>Bywell</t>
  </si>
  <si>
    <t>Choppington</t>
  </si>
  <si>
    <t>Corbridge</t>
  </si>
  <si>
    <t>Cowpen</t>
  </si>
  <si>
    <t>Cramlington East</t>
  </si>
  <si>
    <t>Cramlington Eastfield</t>
  </si>
  <si>
    <t>Cramlington North</t>
  </si>
  <si>
    <t>Cramlington South East</t>
  </si>
  <si>
    <t>Cramlington Village</t>
  </si>
  <si>
    <t>Cramlington West</t>
  </si>
  <si>
    <t>Bricknell</t>
  </si>
  <si>
    <t>Derringham</t>
  </si>
  <si>
    <t>Drypool</t>
  </si>
  <si>
    <t>Holderness</t>
  </si>
  <si>
    <t>Ings</t>
  </si>
  <si>
    <t>Evington</t>
  </si>
  <si>
    <t>Eyres Monsell</t>
  </si>
  <si>
    <t>Exning</t>
  </si>
  <si>
    <t>Iceni</t>
  </si>
  <si>
    <t>Lakenheath</t>
  </si>
  <si>
    <t>IPSWICH BOROUGH  *</t>
  </si>
  <si>
    <t>Broadstone</t>
  </si>
  <si>
    <t>Canford Cliffs</t>
  </si>
  <si>
    <t>Creekmoor</t>
  </si>
  <si>
    <t>Oakdale</t>
  </si>
  <si>
    <t>Parkstone</t>
  </si>
  <si>
    <t>Penn Hill</t>
  </si>
  <si>
    <t>Poole Town</t>
  </si>
  <si>
    <t>Mid Dorset and North Poole CC (pt)</t>
  </si>
  <si>
    <t>Christchurch CC (pt)</t>
  </si>
  <si>
    <t>Walkden North</t>
  </si>
  <si>
    <t>Walkden South</t>
  </si>
  <si>
    <t>Peckham</t>
  </si>
  <si>
    <t>Wyke</t>
  </si>
  <si>
    <t>Cheadle Hulme North</t>
  </si>
  <si>
    <t>Cheadle Hulme South</t>
  </si>
  <si>
    <t>Davenport and Cale Green</t>
  </si>
  <si>
    <t>Edgeley and Cheadle Heath</t>
  </si>
  <si>
    <t>St Chad's</t>
  </si>
  <si>
    <t>Sandhill</t>
  </si>
  <si>
    <t>Shiney Row</t>
  </si>
  <si>
    <t>Silksworth</t>
  </si>
  <si>
    <t>BATH AND NORTH EAST SOMERSET DISTRICT  *</t>
  </si>
  <si>
    <t>County Average (2 seats)</t>
  </si>
  <si>
    <t>Bath BC</t>
  </si>
  <si>
    <t>Bath and North East Somerset (pt)</t>
  </si>
  <si>
    <t>North East Somerset CC</t>
  </si>
  <si>
    <t>Bathavon North</t>
  </si>
  <si>
    <t>Bathavon South</t>
  </si>
  <si>
    <t>Bathwick</t>
  </si>
  <si>
    <t>Beaminster</t>
  </si>
  <si>
    <t>Bucklow-St Martins</t>
  </si>
  <si>
    <t>Clifford</t>
  </si>
  <si>
    <t>Davyhulme East</t>
  </si>
  <si>
    <t>Davyhulme West</t>
  </si>
  <si>
    <t>Flixton</t>
  </si>
  <si>
    <t>County Average (All) (11 seats)</t>
  </si>
  <si>
    <t>Amber Valley CC</t>
  </si>
  <si>
    <t>Amber Valley (pt)</t>
  </si>
  <si>
    <t>Bolsover CC</t>
  </si>
  <si>
    <t>North East Derbyshire (pt)</t>
  </si>
  <si>
    <t>Chesterfield BC</t>
  </si>
  <si>
    <t>Chesterfield (pt)</t>
  </si>
  <si>
    <t>Derbyshire Dales CC</t>
  </si>
  <si>
    <t>Derby North BC</t>
  </si>
  <si>
    <t>Derby (pt)</t>
  </si>
  <si>
    <t>Derby South BC</t>
  </si>
  <si>
    <t>Erewash CC</t>
  </si>
  <si>
    <t>Erewash (pt)</t>
  </si>
  <si>
    <t>High Peak CC</t>
  </si>
  <si>
    <t>Mid Derbyshire CC</t>
  </si>
  <si>
    <t>North East Derbyshire CC</t>
  </si>
  <si>
    <t>South Derbyshire CC</t>
  </si>
  <si>
    <t>* as created by The Derbyshire (City of Derby) (Structural Change) Order 1995</t>
  </si>
  <si>
    <t>Allestree</t>
  </si>
  <si>
    <t>Alvaston</t>
  </si>
  <si>
    <t>Arboretum</t>
  </si>
  <si>
    <t>Blagreaves</t>
  </si>
  <si>
    <t>North Road</t>
  </si>
  <si>
    <t>Park East</t>
  </si>
  <si>
    <t>Park West</t>
  </si>
  <si>
    <t>Pierremont</t>
  </si>
  <si>
    <t>Sedgefield CC (pt)</t>
  </si>
  <si>
    <t>DURHAM  *</t>
  </si>
  <si>
    <t>Annfield Plain</t>
  </si>
  <si>
    <t>Chaddesden</t>
  </si>
  <si>
    <t>Chellaston</t>
  </si>
  <si>
    <t>Darley</t>
  </si>
  <si>
    <t>Derwent</t>
  </si>
  <si>
    <t>Littleover</t>
  </si>
  <si>
    <t>Mackworth</t>
  </si>
  <si>
    <t>CITY OF DERBY  *</t>
  </si>
  <si>
    <t>AMBER VALLEY BOROUGH</t>
  </si>
  <si>
    <t>BOLSOVER DISTRICT</t>
  </si>
  <si>
    <t>CHESTERFIELD BOROUGH</t>
  </si>
  <si>
    <t>DERBYSHIRE DALES DISTRICT</t>
  </si>
  <si>
    <t>BEDFORD BOROUGH  #</t>
  </si>
  <si>
    <t>CENTRAL BEDFORDSHIRE  #</t>
  </si>
  <si>
    <t>LUTON BOROUGH  *</t>
  </si>
  <si>
    <t>County Average (Bedford) (2 seats)</t>
  </si>
  <si>
    <t>Aycliffe East</t>
  </si>
  <si>
    <t>County Average (Luton) (2 seats)</t>
  </si>
  <si>
    <t>DERBYSHIRE  *</t>
  </si>
  <si>
    <t>Shepton West</t>
  </si>
  <si>
    <t>Street North</t>
  </si>
  <si>
    <t>Street South</t>
  </si>
  <si>
    <t>Street West</t>
  </si>
  <si>
    <t>The Pennards and Ditcheat</t>
  </si>
  <si>
    <t>Wells Central</t>
  </si>
  <si>
    <t>Wells St Cuthbert's</t>
  </si>
  <si>
    <t>Wells St Thomas'</t>
  </si>
  <si>
    <t>Wookey and St Cuthbert Out West</t>
  </si>
  <si>
    <t>Somerton and Frome CC (pt)</t>
  </si>
  <si>
    <t>Wells CC (pt)</t>
  </si>
  <si>
    <t>* as created by The District of Mendip (Electoral Changes) Order 2007</t>
  </si>
  <si>
    <t>SEDGEMOOR DISTRICT  *</t>
  </si>
  <si>
    <t>Berrow</t>
  </si>
  <si>
    <t>Thornbury and Yate CC</t>
  </si>
  <si>
    <t>Boyd Valley</t>
  </si>
  <si>
    <t>Bradley Stoke North</t>
  </si>
  <si>
    <t>Bradley Stoke South</t>
  </si>
  <si>
    <t>Clevedon East</t>
  </si>
  <si>
    <t>Clevedon South</t>
  </si>
  <si>
    <t>Clevedon Walton</t>
  </si>
  <si>
    <t>Clevedon West</t>
  </si>
  <si>
    <t>Clevedon Yeo</t>
  </si>
  <si>
    <t>Pembridge</t>
  </si>
  <si>
    <t>Queen's Gate</t>
  </si>
  <si>
    <t>Redcliffe</t>
  </si>
  <si>
    <t>Royal Hospital</t>
  </si>
  <si>
    <t>Portishead West</t>
  </si>
  <si>
    <t>Winford</t>
  </si>
  <si>
    <t>Wrington</t>
  </si>
  <si>
    <t>Yatton</t>
  </si>
  <si>
    <t>CITY OF BIRMINGHAM</t>
  </si>
  <si>
    <t>CITY OF COVENTRY</t>
  </si>
  <si>
    <t>DUDLEY BOROUGH</t>
  </si>
  <si>
    <t>NEW FOREST DISTRICT</t>
  </si>
  <si>
    <t>RUSHMOOR BOROUGH</t>
  </si>
  <si>
    <t>TEST VALLEY BOROUGH</t>
  </si>
  <si>
    <t>CITY OF WINCHESTER</t>
  </si>
  <si>
    <t>EAST HAMPSHIRE DISTRICT</t>
  </si>
  <si>
    <t>EASTLEIGH BOROUGH</t>
  </si>
  <si>
    <t>FAREHAM BOROUGH</t>
  </si>
  <si>
    <t>GOSPORT BOROUGH</t>
  </si>
  <si>
    <t>HART DISTRICT</t>
  </si>
  <si>
    <t>HAVANT BOROUGH</t>
  </si>
  <si>
    <t>South Normanton East</t>
  </si>
  <si>
    <t>South Normanton West</t>
  </si>
  <si>
    <t>Tibshelf</t>
  </si>
  <si>
    <t>Livesey with Pleasington</t>
  </si>
  <si>
    <t>Roe Lee</t>
  </si>
  <si>
    <t>Sudell</t>
  </si>
  <si>
    <t>Wensley Fold</t>
  </si>
  <si>
    <t>Rossendale and Darwen BC (pt)</t>
  </si>
  <si>
    <t>FYLDE BOROUGH  *</t>
  </si>
  <si>
    <t>Ansdell</t>
  </si>
  <si>
    <t>Ashton</t>
  </si>
  <si>
    <t>Elswick and Little Eccleston</t>
  </si>
  <si>
    <t>Fairhaven</t>
  </si>
  <si>
    <t>Freckleton East</t>
  </si>
  <si>
    <t>Freckleton West</t>
  </si>
  <si>
    <t>Heyhouses</t>
  </si>
  <si>
    <t>Kilnhouse</t>
  </si>
  <si>
    <t>Kirkham North</t>
  </si>
  <si>
    <t>Kirkham South</t>
  </si>
  <si>
    <t>Medlar-with-Wesham</t>
  </si>
  <si>
    <t>Newton and Treales</t>
  </si>
  <si>
    <t>Ribby-with-Wrea</t>
  </si>
  <si>
    <t>St Leonards</t>
  </si>
  <si>
    <t>* as created by The East Sussex (Boroughs of Brighton and Hove) (Structural Change) Order 1995</t>
  </si>
  <si>
    <t>Brunswick and Adelaide</t>
  </si>
  <si>
    <t>Central Hove</t>
  </si>
  <si>
    <t>East Brighton</t>
  </si>
  <si>
    <t>Goldsmid</t>
  </si>
  <si>
    <t>Hangleton and Knoll</t>
  </si>
  <si>
    <t>Hanover and Elm Grove</t>
  </si>
  <si>
    <t>Hollingdean and Stanmer</t>
  </si>
  <si>
    <t>Moulsecoomb and Bevendean</t>
  </si>
  <si>
    <t>North Portslade</t>
  </si>
  <si>
    <t>Patcham</t>
  </si>
  <si>
    <t>Preston Park</t>
  </si>
  <si>
    <t>Regency</t>
  </si>
  <si>
    <t>Rottingdean Coastal</t>
  </si>
  <si>
    <t>Dronfield Woodhouse</t>
  </si>
  <si>
    <t>Eckington North</t>
  </si>
  <si>
    <t>Gosforth Valley</t>
  </si>
  <si>
    <t>Grassmoor</t>
  </si>
  <si>
    <t>Killamarsh East</t>
  </si>
  <si>
    <t>Killamarsh West</t>
  </si>
  <si>
    <t>North Wingfield Central</t>
  </si>
  <si>
    <t>Shirland</t>
  </si>
  <si>
    <t>Tupton</t>
  </si>
  <si>
    <t>Unstone</t>
  </si>
  <si>
    <t>Coventry North West BC</t>
  </si>
  <si>
    <t>Coventry South BC</t>
  </si>
  <si>
    <t>Dudley North BC</t>
  </si>
  <si>
    <t>Dudley (pt)</t>
  </si>
  <si>
    <t>Dudley South BC</t>
  </si>
  <si>
    <t>Halesowen and Rowley Regis BC</t>
  </si>
  <si>
    <t>Langney</t>
  </si>
  <si>
    <t>Meads</t>
  </si>
  <si>
    <t>Old Town</t>
  </si>
  <si>
    <t>Ratton</t>
  </si>
  <si>
    <t>St Anthony's</t>
  </si>
  <si>
    <t>Sovereign</t>
  </si>
  <si>
    <t>Upperton</t>
  </si>
  <si>
    <t>Eastbourne BC (pt)</t>
  </si>
  <si>
    <t>Stairfoot</t>
  </si>
  <si>
    <t>Wombwell</t>
  </si>
  <si>
    <t>Worsbrough</t>
  </si>
  <si>
    <t>Penistone and Stocksbridge CC (pt)</t>
  </si>
  <si>
    <t>Wentworth and Dearne CC (pt)</t>
  </si>
  <si>
    <t>* as created by The Borough of Barnsley (Electoral Changes) Order 2003</t>
  </si>
  <si>
    <t>DONCASTER BOROUGH  *</t>
  </si>
  <si>
    <t>Armthorpe</t>
  </si>
  <si>
    <t>Bentley</t>
  </si>
  <si>
    <t>Finningley</t>
  </si>
  <si>
    <t>Hatfield</t>
  </si>
  <si>
    <t>Mexborough</t>
  </si>
  <si>
    <t>ROTHERHAM BOROUGH  *</t>
  </si>
  <si>
    <t>Boston Castle</t>
  </si>
  <si>
    <t>Dinnington</t>
  </si>
  <si>
    <t>Hoober</t>
  </si>
  <si>
    <t>Keppel</t>
  </si>
  <si>
    <t>Rother Vale</t>
  </si>
  <si>
    <t>Rotherham East</t>
  </si>
  <si>
    <t>Rotherham West</t>
  </si>
  <si>
    <t>Sutton Trinity</t>
  </si>
  <si>
    <t>Sutton Vesey</t>
  </si>
  <si>
    <t xml:space="preserve">Birmingham, Edgbaston BC  </t>
  </si>
  <si>
    <t>Polesworth East</t>
  </si>
  <si>
    <t>Polesworth West</t>
  </si>
  <si>
    <t>Water Orton</t>
  </si>
  <si>
    <t>North Warwickshire CC (pt)</t>
  </si>
  <si>
    <t>* as created by The Borough of North Warwickshire (Electoral Changes) Order 2000</t>
  </si>
  <si>
    <t>NUNEATON AND BEDWORTH BOROUGH  *</t>
  </si>
  <si>
    <t>Attleborough</t>
  </si>
  <si>
    <t>Bar Pool</t>
  </si>
  <si>
    <t>Bede</t>
  </si>
  <si>
    <t>Bulkington</t>
  </si>
  <si>
    <t>Rugby CC</t>
  </si>
  <si>
    <t>Camp Hill</t>
  </si>
  <si>
    <t>Exhall</t>
  </si>
  <si>
    <t>Galley Common</t>
  </si>
  <si>
    <t>Poplar</t>
  </si>
  <si>
    <t>St Nicolas</t>
  </si>
  <si>
    <t>Slough</t>
  </si>
  <si>
    <t>Weddington</t>
  </si>
  <si>
    <t>Wem Brook</t>
  </si>
  <si>
    <t>Whitestone</t>
  </si>
  <si>
    <t>Nuneaton CC (pt)</t>
  </si>
  <si>
    <t>TEIGNBRIDGE DISTRICT</t>
  </si>
  <si>
    <t>TORRIDGE DISTRICT</t>
  </si>
  <si>
    <t>WEST DEVON BOROUGH</t>
  </si>
  <si>
    <t>EAST DEVON DISTRICT</t>
  </si>
  <si>
    <t>CITY OF EXETER</t>
  </si>
  <si>
    <t>MID DEVON DISTRICT</t>
  </si>
  <si>
    <t>NORTH DEVON DISTRICT</t>
  </si>
  <si>
    <t>SOUTH HAMS DISTRICT</t>
  </si>
  <si>
    <t>Stanhope</t>
  </si>
  <si>
    <t>Waddington West</t>
  </si>
  <si>
    <t>Sleaford and North Hykeham CC (pt)</t>
  </si>
  <si>
    <t>County Average (Torbay) (1 seat)</t>
  </si>
  <si>
    <t>TORBAY BOROUGH  *</t>
  </si>
  <si>
    <t>Long Ditton</t>
  </si>
  <si>
    <t>Molesey East</t>
  </si>
  <si>
    <t>Thames Ditton</t>
  </si>
  <si>
    <t>* as created by The District of North Kesteven (Electoral Changes) Order 2006</t>
  </si>
  <si>
    <t>Ashford CC (pt)</t>
  </si>
  <si>
    <t>Folkestone and Hythe CC  (pt)</t>
  </si>
  <si>
    <t>CITY OF CANTERBURY  *</t>
  </si>
  <si>
    <t>Blean Forest</t>
  </si>
  <si>
    <t>Gorrell</t>
  </si>
  <si>
    <t>Heron</t>
  </si>
  <si>
    <t>Reculver</t>
  </si>
  <si>
    <t>Seasalter</t>
  </si>
  <si>
    <t>St Marychurch</t>
  </si>
  <si>
    <t>Tormohun</t>
  </si>
  <si>
    <t>BOLTON BOROUGH</t>
  </si>
  <si>
    <t>BURY BOROUGH</t>
  </si>
  <si>
    <t>CITY OF MANCHESTER</t>
  </si>
  <si>
    <t>Upper Stoke</t>
  </si>
  <si>
    <t>Wainbody</t>
  </si>
  <si>
    <t>Whoberley</t>
  </si>
  <si>
    <t>Wyken</t>
  </si>
  <si>
    <t>* as created by The City of Coventry (Electoral Changes) Order 2003</t>
  </si>
  <si>
    <t>DUDLEY BOROUGH  *</t>
  </si>
  <si>
    <t>Amblecote</t>
  </si>
  <si>
    <t>Brierley Hill</t>
  </si>
  <si>
    <t>Brockmoor and Pensnett</t>
  </si>
  <si>
    <t>City Centre</t>
  </si>
  <si>
    <t>Crumpsall</t>
  </si>
  <si>
    <t>Didsbury East</t>
  </si>
  <si>
    <t>Didsbury West</t>
  </si>
  <si>
    <t>Fallowfield</t>
  </si>
  <si>
    <t>Harpurhey</t>
  </si>
  <si>
    <t>Higher Blackley</t>
  </si>
  <si>
    <t>Hulme</t>
  </si>
  <si>
    <t>Levenshulme</t>
  </si>
  <si>
    <t>Longsight</t>
  </si>
  <si>
    <t>Moston</t>
  </si>
  <si>
    <t>Pedmore and Stourbridge East</t>
  </si>
  <si>
    <t>Quarry Bank and Dudley Wood</t>
  </si>
  <si>
    <t>St Thomas's</t>
  </si>
  <si>
    <t>Netherton, Woodside and St Andrews</t>
  </si>
  <si>
    <t>Norton</t>
  </si>
  <si>
    <t>Bolton North East BC</t>
  </si>
  <si>
    <t>Bolton (pt)</t>
  </si>
  <si>
    <t>Bolton South East BC</t>
  </si>
  <si>
    <t>Bolton West CC</t>
  </si>
  <si>
    <t>Wigan (pt)</t>
  </si>
  <si>
    <t>Bury North BC</t>
  </si>
  <si>
    <t>Bury (pt)</t>
  </si>
  <si>
    <t>Bury South BC</t>
  </si>
  <si>
    <t>Cheadle BC</t>
  </si>
  <si>
    <t>Ashton-under-Lyne BC</t>
  </si>
  <si>
    <t>Oldham (pt)</t>
  </si>
  <si>
    <t>Tameside (pt)</t>
  </si>
  <si>
    <t>Blackley and Broughton BC</t>
  </si>
  <si>
    <t>Manchester (pt)</t>
  </si>
  <si>
    <t>Salford (pt)</t>
  </si>
  <si>
    <t>Newcastle-under-Lyme BC</t>
  </si>
  <si>
    <t>Newcastle-under-Lyme (pt)</t>
  </si>
  <si>
    <t>South Staffordshire CC</t>
  </si>
  <si>
    <t>South Staffordshire (pt)</t>
  </si>
  <si>
    <t>Stafford CC</t>
  </si>
  <si>
    <t>Stafford (pt)</t>
  </si>
  <si>
    <t>Staffordshire Moorlands CC</t>
  </si>
  <si>
    <t>Staffordshire Moorlands (pt)</t>
  </si>
  <si>
    <t>Stoke-on-Trent Central BC</t>
  </si>
  <si>
    <t>Stoke-on-Trent (pt)</t>
  </si>
  <si>
    <t>Stoke-on-Trent North BC</t>
  </si>
  <si>
    <t>Stoke-on-Trent South BC</t>
  </si>
  <si>
    <t>Stone CC</t>
  </si>
  <si>
    <t>Tamworth CC</t>
  </si>
  <si>
    <t>Wensleydale</t>
  </si>
  <si>
    <t>Wooler</t>
  </si>
  <si>
    <t>Smethwick</t>
  </si>
  <si>
    <t>Soho and Victoria</t>
  </si>
  <si>
    <t>Tipton Green</t>
  </si>
  <si>
    <t>Tividale</t>
  </si>
  <si>
    <t>CITY OF LIVERPOOL</t>
  </si>
  <si>
    <t>ST HELENS BOROUGH</t>
  </si>
  <si>
    <t>SEFTON BOROUGH</t>
  </si>
  <si>
    <t>WIRRAL BOROUGH</t>
  </si>
  <si>
    <t>Birkenhead BC</t>
  </si>
  <si>
    <t>Wirral (pt)</t>
  </si>
  <si>
    <t>Bootle BC</t>
  </si>
  <si>
    <t>Sefton (pt)</t>
  </si>
  <si>
    <t>Garston and Halewood BC</t>
  </si>
  <si>
    <t>Knowsley (pt)</t>
  </si>
  <si>
    <t>Liverpool (pt)</t>
  </si>
  <si>
    <t>Blackwater</t>
  </si>
  <si>
    <t>Bourne Valley</t>
  </si>
  <si>
    <t>* as created by The Borough of Sandwell (Electoral Changes) Order 2003</t>
  </si>
  <si>
    <t>SOLIHULL BOROUGH  *</t>
  </si>
  <si>
    <t>Bickenhill</t>
  </si>
  <si>
    <t>Blythe</t>
  </si>
  <si>
    <t>Castle Bromwich</t>
  </si>
  <si>
    <t>Valley Park</t>
  </si>
  <si>
    <t>CITY OF WINCHESTER  *</t>
  </si>
  <si>
    <t>Kerswell-with-Combe</t>
  </si>
  <si>
    <t>Halstead Trinity</t>
  </si>
  <si>
    <t>Rayne</t>
  </si>
  <si>
    <t>Stour Valley North</t>
  </si>
  <si>
    <t>Stour Valley South</t>
  </si>
  <si>
    <t>Three Fields</t>
  </si>
  <si>
    <t>Witham North</t>
  </si>
  <si>
    <t>Witham South</t>
  </si>
  <si>
    <t>Witham West</t>
  </si>
  <si>
    <t>Yeldham</t>
  </si>
  <si>
    <t>Witham CC (pt)</t>
  </si>
  <si>
    <t>BRENTWOOD BOROUGH  *</t>
  </si>
  <si>
    <t>Brentwood North</t>
  </si>
  <si>
    <t>Brentwood South</t>
  </si>
  <si>
    <t>Brentwood West</t>
  </si>
  <si>
    <t>Brizes and Doddinghurst</t>
  </si>
  <si>
    <t>Herongate, Ingrave and West Horndon</t>
  </si>
  <si>
    <t>Marwood</t>
  </si>
  <si>
    <t>Newport</t>
  </si>
  <si>
    <t>North Molton</t>
  </si>
  <si>
    <t>South Molton</t>
  </si>
  <si>
    <t>Witheridge</t>
  </si>
  <si>
    <t>SOUTH HAMS DISTRICT  *</t>
  </si>
  <si>
    <t>Tunstall</t>
  </si>
  <si>
    <t>Stoke-on-Trent North BC (pt)</t>
  </si>
  <si>
    <t>Hutton Central</t>
  </si>
  <si>
    <t>Hutton East</t>
  </si>
  <si>
    <t>Hutton North</t>
  </si>
  <si>
    <t>Hutton South</t>
  </si>
  <si>
    <t>Ingatestone, Fryerning and Mountnessing</t>
  </si>
  <si>
    <t>Pilgrims Hatch</t>
  </si>
  <si>
    <t>Shenfield</t>
  </si>
  <si>
    <t>South Weald</t>
  </si>
  <si>
    <t>Tipps Cross</t>
  </si>
  <si>
    <t>Warley</t>
  </si>
  <si>
    <t>Brentwood and Ongar CC (pt)</t>
  </si>
  <si>
    <t>Brownhills</t>
  </si>
  <si>
    <t>Darlaston South</t>
  </si>
  <si>
    <t>Paddock</t>
  </si>
  <si>
    <t>Blundellsands</t>
  </si>
  <si>
    <t>Ford</t>
  </si>
  <si>
    <t>Harington</t>
  </si>
  <si>
    <t>Litherland</t>
  </si>
  <si>
    <t>Bloxwich East</t>
  </si>
  <si>
    <t>Bloxwich West</t>
  </si>
  <si>
    <t>Wallasey</t>
  </si>
  <si>
    <t>West Kirby and Thurstaston</t>
  </si>
  <si>
    <t>MERTON LONDON BOROUGH  *</t>
  </si>
  <si>
    <t>Mitcham and Morden BC</t>
  </si>
  <si>
    <t>Merton (pt)</t>
  </si>
  <si>
    <t>Wimbledon BC</t>
  </si>
  <si>
    <t>Cannon Hill</t>
  </si>
  <si>
    <t>* as created by The Borough of Sefton (Electoral Changes) Order 2003</t>
  </si>
  <si>
    <t>WIRRAL BOROUGH  *</t>
  </si>
  <si>
    <t>Bebington</t>
  </si>
  <si>
    <t>Bidston and St James</t>
  </si>
  <si>
    <t>Birkenhead and Tranmere</t>
  </si>
  <si>
    <t>Bromborough</t>
  </si>
  <si>
    <t>Clatterbridge</t>
  </si>
  <si>
    <t>Claughton</t>
  </si>
  <si>
    <t>Eastham</t>
  </si>
  <si>
    <t>Greasby, Frankby and Irby</t>
  </si>
  <si>
    <t>Heswall</t>
  </si>
  <si>
    <t>Hoylake and Meols</t>
  </si>
  <si>
    <t>Leasowe and Moreton East</t>
  </si>
  <si>
    <t>Liscard</t>
  </si>
  <si>
    <t>Moreton West and Saughall Massie</t>
  </si>
  <si>
    <t>Westward Ho!</t>
  </si>
  <si>
    <t>Winkleigh</t>
  </si>
  <si>
    <t>Torridge and West Devon CC (pt)</t>
  </si>
  <si>
    <t>WEST DEVON BOROUGH  *</t>
  </si>
  <si>
    <t>Bere Ferrers</t>
  </si>
  <si>
    <t>Bridestowe</t>
  </si>
  <si>
    <t>Buckland Monachorum</t>
  </si>
  <si>
    <t>Burrator</t>
  </si>
  <si>
    <t>Chagford</t>
  </si>
  <si>
    <t>Drewsteignton</t>
  </si>
  <si>
    <t>Northam</t>
  </si>
  <si>
    <t>Forest</t>
  </si>
  <si>
    <t>Bickerstaffe</t>
  </si>
  <si>
    <t>Birch Green</t>
  </si>
  <si>
    <t>Burscough East</t>
  </si>
  <si>
    <t>Burscough West</t>
  </si>
  <si>
    <t>Derby</t>
  </si>
  <si>
    <t>Digmoor</t>
  </si>
  <si>
    <t>Halsall</t>
  </si>
  <si>
    <t>Hesketh-with-Becconsall</t>
  </si>
  <si>
    <t>Moorside</t>
  </si>
  <si>
    <t>Newburgh</t>
  </si>
  <si>
    <t>North Meols</t>
  </si>
  <si>
    <t>Parbold</t>
  </si>
  <si>
    <t>County Average (Kent) (14 seats)</t>
  </si>
  <si>
    <t>County Average (Medway) (3 seats)</t>
  </si>
  <si>
    <t>County Average (All) (17 seats)</t>
  </si>
  <si>
    <t>Wentworth and Dearne CC</t>
  </si>
  <si>
    <t>BARNSLEY BOROUGH  *</t>
  </si>
  <si>
    <t>Cudworth</t>
  </si>
  <si>
    <t>Darfield</t>
  </si>
  <si>
    <t>Darton East</t>
  </si>
  <si>
    <t>Darton West</t>
  </si>
  <si>
    <t>Dearne North</t>
  </si>
  <si>
    <t>Dearne South</t>
  </si>
  <si>
    <t>Dodworth</t>
  </si>
  <si>
    <t>Hoyland Milton</t>
  </si>
  <si>
    <t>Kingstone</t>
  </si>
  <si>
    <t>Monk Bretton</t>
  </si>
  <si>
    <t>North East</t>
  </si>
  <si>
    <t>Penistone East</t>
  </si>
  <si>
    <t>Weardale</t>
  </si>
  <si>
    <t>West Auckland</t>
  </si>
  <si>
    <t>Wingate</t>
  </si>
  <si>
    <t>Woodhouse Close</t>
  </si>
  <si>
    <t>Berechurch</t>
  </si>
  <si>
    <t>FOREST OF DEAN DISTRICT</t>
  </si>
  <si>
    <t>Loughton St John's</t>
  </si>
  <si>
    <t>Loughton St Mary's</t>
  </si>
  <si>
    <t>Lower Nazeing</t>
  </si>
  <si>
    <t>Icknield</t>
  </si>
  <si>
    <t>Marston</t>
  </si>
  <si>
    <t>Marine</t>
  </si>
  <si>
    <t>Mash Barn</t>
  </si>
  <si>
    <t>Peverel</t>
  </si>
  <si>
    <t>Southlands</t>
  </si>
  <si>
    <t>Southwick Green</t>
  </si>
  <si>
    <t>Widewater</t>
  </si>
  <si>
    <t>East Worthing and Shoreham CC (pt)</t>
  </si>
  <si>
    <t>* as created by The District of Adur (Electoral Changes) Order 2002</t>
  </si>
  <si>
    <t>ARUN DISTRICT  *</t>
  </si>
  <si>
    <t>Aldwick East</t>
  </si>
  <si>
    <t>Aldwick West</t>
  </si>
  <si>
    <t>Barnham</t>
  </si>
  <si>
    <t>Beach</t>
  </si>
  <si>
    <t>Bersted</t>
  </si>
  <si>
    <t>Silsoe and Shillington</t>
  </si>
  <si>
    <t>Potton</t>
  </si>
  <si>
    <t>Sandy</t>
  </si>
  <si>
    <t>Shefford</t>
  </si>
  <si>
    <t>Newport Pagnell South</t>
  </si>
  <si>
    <t>Cokeham</t>
  </si>
  <si>
    <t>Southminster</t>
  </si>
  <si>
    <t>Maldon West</t>
  </si>
  <si>
    <t>Mayland</t>
  </si>
  <si>
    <t>Purleigh</t>
  </si>
  <si>
    <t>Thistleberry</t>
  </si>
  <si>
    <t>Westlands</t>
  </si>
  <si>
    <t>Wolstanton</t>
  </si>
  <si>
    <t>Staffordshire Moorlands CC (pt)</t>
  </si>
  <si>
    <t>Stone CC (pt)</t>
  </si>
  <si>
    <t>* as created by The Borough of Spelthorne (Electoral Changes) Order 1999</t>
  </si>
  <si>
    <t>SURREY HEATH BOROUGH  *</t>
  </si>
  <si>
    <t>Bagshot</t>
  </si>
  <si>
    <t>Frimley</t>
  </si>
  <si>
    <t>Frimley Green</t>
  </si>
  <si>
    <t>Heatherside</t>
  </si>
  <si>
    <t>Lightwater</t>
  </si>
  <si>
    <t>Old Dean</t>
  </si>
  <si>
    <t>Watchetts</t>
  </si>
  <si>
    <t>TANDRIDGE DISTRICT  *</t>
  </si>
  <si>
    <t>Bletchingley and Nutfield</t>
  </si>
  <si>
    <t>Seaford Central</t>
  </si>
  <si>
    <t>Seaford East</t>
  </si>
  <si>
    <t>Seaford North</t>
  </si>
  <si>
    <t>Carterton South</t>
  </si>
  <si>
    <t>Leagrave</t>
  </si>
  <si>
    <t>Lewsey</t>
  </si>
  <si>
    <t>Limbury</t>
  </si>
  <si>
    <t>Northwell</t>
  </si>
  <si>
    <t>Round Green</t>
  </si>
  <si>
    <t>Saints</t>
  </si>
  <si>
    <t>South</t>
  </si>
  <si>
    <t>Stopsley</t>
  </si>
  <si>
    <t>Sundon Park</t>
  </si>
  <si>
    <t>Wigmore</t>
  </si>
  <si>
    <t>St Pauls</t>
  </si>
  <si>
    <t>UTTLESFORD DISTRICT  *</t>
  </si>
  <si>
    <t>Ashdon</t>
  </si>
  <si>
    <t>Pettits</t>
  </si>
  <si>
    <t>Rainham and Wennington</t>
  </si>
  <si>
    <t>Romford Town</t>
  </si>
  <si>
    <t>St Andrew's</t>
  </si>
  <si>
    <t>South Hornchurch</t>
  </si>
  <si>
    <t>Squirrel's Heath</t>
  </si>
  <si>
    <t>Upminster</t>
  </si>
  <si>
    <t>* as created by The London Borough of Havering (Electoral Changes) Order 2000</t>
  </si>
  <si>
    <t># paired with the London Borough of Barking and Dagenham</t>
  </si>
  <si>
    <t>BRACKNELL FOREST BOROUGH  *</t>
  </si>
  <si>
    <t>READING BOROUGH  *</t>
  </si>
  <si>
    <t>Wheatley</t>
  </si>
  <si>
    <t>Whitehouse</t>
  </si>
  <si>
    <t>Saffron Walden Shire</t>
  </si>
  <si>
    <t>Hylands</t>
  </si>
  <si>
    <t>Mawneys</t>
  </si>
  <si>
    <t>Pennsylvania</t>
  </si>
  <si>
    <t>Pinhoe</t>
  </si>
  <si>
    <t>Priory</t>
  </si>
  <si>
    <t>St David's</t>
  </si>
  <si>
    <t>St James</t>
  </si>
  <si>
    <t>St Loyes</t>
  </si>
  <si>
    <t>St Thomas</t>
  </si>
  <si>
    <t>Topsham</t>
  </si>
  <si>
    <t>MID DEVON DISTRICT  *</t>
  </si>
  <si>
    <t>Boniface</t>
  </si>
  <si>
    <t>Bradninch</t>
  </si>
  <si>
    <t>Cadbury</t>
  </si>
  <si>
    <t>Canonsleigh</t>
  </si>
  <si>
    <t>Clare and Shuttern</t>
  </si>
  <si>
    <t>TENDRING DISTRICT  *</t>
  </si>
  <si>
    <t>Ardleigh and Little Bromley</t>
  </si>
  <si>
    <t>Compton</t>
  </si>
  <si>
    <t>Downlands</t>
  </si>
  <si>
    <t>Trafalgar</t>
  </si>
  <si>
    <t>Hartsholme</t>
  </si>
  <si>
    <t>Lincoln BC (pt)</t>
  </si>
  <si>
    <t>Tilehurst</t>
  </si>
  <si>
    <t>Whitley</t>
  </si>
  <si>
    <t>Reading East BC (pt)</t>
  </si>
  <si>
    <t>Reading West CC (pt)</t>
  </si>
  <si>
    <t>* as created by The Borough of Reading (Electoral Changes) Order 2002</t>
  </si>
  <si>
    <t>Baylis and Stoke</t>
  </si>
  <si>
    <t>Werrington</t>
  </si>
  <si>
    <t>* as created by The District of Staffordshire Moorlands (Electoral Changes) Order 2001</t>
  </si>
  <si>
    <t>TAMWORTH BOROUGH  *</t>
  </si>
  <si>
    <t>Amington</t>
  </si>
  <si>
    <t>Bolehall</t>
  </si>
  <si>
    <t>Glascote</t>
  </si>
  <si>
    <t>Mercian</t>
  </si>
  <si>
    <t>Spital</t>
  </si>
  <si>
    <t>Stonydelph</t>
  </si>
  <si>
    <t>Wilnecote</t>
  </si>
  <si>
    <t>* as created by The Borough of Tamworth (Electoral Changes) Order 2001</t>
  </si>
  <si>
    <t>STOCKTON-ON-TEES BOROUGH  *</t>
  </si>
  <si>
    <t>Stockton North BC</t>
  </si>
  <si>
    <t>Stockton-on-Tees (pt)</t>
  </si>
  <si>
    <t>Birchwood</t>
  </si>
  <si>
    <t>Boultham</t>
  </si>
  <si>
    <t>Carholme</t>
  </si>
  <si>
    <t>Glebe</t>
  </si>
  <si>
    <t>Tetney</t>
  </si>
  <si>
    <t>Willoughby with Sloothby</t>
  </si>
  <si>
    <t>Winthorpe</t>
  </si>
  <si>
    <t>Woodhall Spa</t>
  </si>
  <si>
    <t>Wragby</t>
  </si>
  <si>
    <t>Gainsborough CC (pt)</t>
  </si>
  <si>
    <t>Dane</t>
  </si>
  <si>
    <t>Forsbrook</t>
  </si>
  <si>
    <t>Hamps Valley</t>
  </si>
  <si>
    <t>Horton</t>
  </si>
  <si>
    <t>Ipstones</t>
  </si>
  <si>
    <t>Leek East</t>
  </si>
  <si>
    <t>Leek North</t>
  </si>
  <si>
    <t>Leek South</t>
  </si>
  <si>
    <t>Leek West</t>
  </si>
  <si>
    <t>Manifold</t>
  </si>
  <si>
    <t>Chadsmead</t>
  </si>
  <si>
    <t>Chase Terrace</t>
  </si>
  <si>
    <t>Chasetown</t>
  </si>
  <si>
    <t>Curborough</t>
  </si>
  <si>
    <t>Fazeley</t>
  </si>
  <si>
    <t>Leomansley</t>
  </si>
  <si>
    <t>Longdon</t>
  </si>
  <si>
    <t>Shenstone</t>
  </si>
  <si>
    <t>Stowe</t>
  </si>
  <si>
    <t>Sleaford Westholme</t>
  </si>
  <si>
    <t>Lydney North</t>
  </si>
  <si>
    <t>Pillowell</t>
  </si>
  <si>
    <t>Bisley</t>
  </si>
  <si>
    <t>County Average (Hull) (3 seats)</t>
  </si>
  <si>
    <t>County Average (North East Lincolnshire) (2 seats)</t>
  </si>
  <si>
    <t>County Average (North Lincolnshire) (2 seats)</t>
  </si>
  <si>
    <t>County Average (All) (10 seats)</t>
  </si>
  <si>
    <t>Beverley and Holderness CC</t>
  </si>
  <si>
    <t>East Riding of Yorkshire (pt)</t>
  </si>
  <si>
    <t>Brigg and Goole CC</t>
  </si>
  <si>
    <t>North Lincolnshire (pt)</t>
  </si>
  <si>
    <t>Cleethorpes CC</t>
  </si>
  <si>
    <t>North East Lincolnshire (pt)</t>
  </si>
  <si>
    <t>East Yorkshire CC</t>
  </si>
  <si>
    <t>Great Grimsby BC</t>
  </si>
  <si>
    <t>Haltemprice and Howden CC</t>
  </si>
  <si>
    <t>Kingston upon Hull East BC</t>
  </si>
  <si>
    <t>Kingston upon Hull (pt)</t>
  </si>
  <si>
    <t>Kingston upon Hull North BC</t>
  </si>
  <si>
    <t>Kingston upon Hull West and Hessle BC</t>
  </si>
  <si>
    <t>Winchcombe</t>
  </si>
  <si>
    <t>Hurstpierpoint and Downs</t>
  </si>
  <si>
    <t>Lindfield</t>
  </si>
  <si>
    <t>Brewood and Coven</t>
  </si>
  <si>
    <t>Cheslyn Hay North and Saredon</t>
  </si>
  <si>
    <t>Cheslyn Hay South</t>
  </si>
  <si>
    <t>Codsall North</t>
  </si>
  <si>
    <t>TEWKESBURY BOROUGH  *</t>
  </si>
  <si>
    <t>EAST RIDING OF YORKSHIRE DISTRICT  *</t>
  </si>
  <si>
    <t>CITY OF KINGSTON UPON HULL *</t>
  </si>
  <si>
    <t>NORTH EAST LINCOLNSHIRE BOROUGH  *</t>
  </si>
  <si>
    <t>NORTH LINCOLNSHIRE BOROUGH  *</t>
  </si>
  <si>
    <t>County Average (East Riding of Yorkshire) (4 seats)</t>
  </si>
  <si>
    <t>ROCHFORD DISTRICT</t>
  </si>
  <si>
    <t>TENDRING DISTRICT</t>
  </si>
  <si>
    <t>UTTLESFORD DISTRICT</t>
  </si>
  <si>
    <t>County Average (Essex) (14 seats)</t>
  </si>
  <si>
    <t>County Average (Southend-on-Sea) (2 seats)</t>
  </si>
  <si>
    <t>County Average (Thurrock) (2 seats)</t>
  </si>
  <si>
    <t>County Average (Thurrock) (1 seat)</t>
  </si>
  <si>
    <t>BRECKLAND DISTRICT</t>
  </si>
  <si>
    <t>BROADLAND DISTRICT</t>
  </si>
  <si>
    <t>GREAT YARMOUTH BOROUGH</t>
  </si>
  <si>
    <t>Haywards Heath Franklands</t>
  </si>
  <si>
    <t>Haywards Heath Heath</t>
  </si>
  <si>
    <t>Haywards Heath Lucastes</t>
  </si>
  <si>
    <t>High Weald</t>
  </si>
  <si>
    <t>South Basildon and East Thurrock CC</t>
  </si>
  <si>
    <t>Thurrock (pt)</t>
  </si>
  <si>
    <t>Southend West BC</t>
  </si>
  <si>
    <t>Thurrock BC</t>
  </si>
  <si>
    <t>Witham CC</t>
  </si>
  <si>
    <t>Belfairs</t>
  </si>
  <si>
    <t>Blenheim Park</t>
  </si>
  <si>
    <t>Chalkwell</t>
  </si>
  <si>
    <t>Eastwood Park</t>
  </si>
  <si>
    <t>Kursaal</t>
  </si>
  <si>
    <t>Holbrook</t>
  </si>
  <si>
    <t>Lavenham</t>
  </si>
  <si>
    <t>Long Melford</t>
  </si>
  <si>
    <t>South Suffolk CC (pt)</t>
  </si>
  <si>
    <t>Brandon East</t>
  </si>
  <si>
    <t>Brandon West</t>
  </si>
  <si>
    <t>Bridlington North</t>
  </si>
  <si>
    <t>Bridlington South</t>
  </si>
  <si>
    <t>Cottingham North</t>
  </si>
  <si>
    <t>Cottingham South</t>
  </si>
  <si>
    <t>Hermitage</t>
  </si>
  <si>
    <t>Launditch</t>
  </si>
  <si>
    <t>Nar Valley</t>
  </si>
  <si>
    <t>Necton</t>
  </si>
  <si>
    <t>Cheadle North East</t>
  </si>
  <si>
    <t>Cheadle South East</t>
  </si>
  <si>
    <t>Cheadle West</t>
  </si>
  <si>
    <t>Checkley</t>
  </si>
  <si>
    <t>Cheddleton</t>
  </si>
  <si>
    <t>Billingham East</t>
  </si>
  <si>
    <t>Billingham North</t>
  </si>
  <si>
    <t>Billingham South</t>
  </si>
  <si>
    <t>Billingham West</t>
  </si>
  <si>
    <t>Ermin</t>
  </si>
  <si>
    <t>Dale</t>
  </si>
  <si>
    <t>CHESHIRE WEST AND CHESTER BOROUGH  #</t>
  </si>
  <si>
    <t>Hucclecote</t>
  </si>
  <si>
    <t>Longlevens</t>
  </si>
  <si>
    <t>Moreland</t>
  </si>
  <si>
    <t>Podsmead</t>
  </si>
  <si>
    <t>Quedgeley Fieldcourt</t>
  </si>
  <si>
    <t>Quedgeley Severn Vale</t>
  </si>
  <si>
    <t>Tuffley</t>
  </si>
  <si>
    <t>Westgate</t>
  </si>
  <si>
    <t>Uckfield New Town</t>
  </si>
  <si>
    <t>Uckfield North</t>
  </si>
  <si>
    <t>Bishopsgarth and Elm Tree</t>
  </si>
  <si>
    <t>Eaglescliffe</t>
  </si>
  <si>
    <t>St Barnabas</t>
  </si>
  <si>
    <t>Bury St Edmunds CC</t>
  </si>
  <si>
    <t>Mid Suffolk (pt)</t>
  </si>
  <si>
    <t>Central Suffolk and North Ipswich CC</t>
  </si>
  <si>
    <t>Bishop's Stortford All Saints</t>
  </si>
  <si>
    <t>Bishop's Stortford Central</t>
  </si>
  <si>
    <t>Bishop's Stortford Meads</t>
  </si>
  <si>
    <t>Bishop's Stortford Silverleys</t>
  </si>
  <si>
    <t>Bishop's Stortford South</t>
  </si>
  <si>
    <t>Braughing</t>
  </si>
  <si>
    <t>Buntingford</t>
  </si>
  <si>
    <t>Datchworth &amp; Aston</t>
  </si>
  <si>
    <t>Great Amwell</t>
  </si>
  <si>
    <t>Hertford Bengeo</t>
  </si>
  <si>
    <t>Hertford Castle</t>
  </si>
  <si>
    <t>Wharfedale</t>
  </si>
  <si>
    <t>Wibsey</t>
  </si>
  <si>
    <t>Windhill and Wrose</t>
  </si>
  <si>
    <t>Worth Valley</t>
  </si>
  <si>
    <t>* as created by The City of Bradford (Electoral Changes) Order 2004 and</t>
  </si>
  <si>
    <t>Soham North</t>
  </si>
  <si>
    <t>Soham South</t>
  </si>
  <si>
    <t>Stretham</t>
  </si>
  <si>
    <t>North East Cambridgeshire CC (pt)</t>
  </si>
  <si>
    <t>South East Cambridgeshire CC (pt)</t>
  </si>
  <si>
    <t>Hertford Heath</t>
  </si>
  <si>
    <t>Hertford Kingsmead</t>
  </si>
  <si>
    <t>Hertford Rural North</t>
  </si>
  <si>
    <t>Hertford Rural South</t>
  </si>
  <si>
    <t>Hertford Sele</t>
  </si>
  <si>
    <t>Hunsdon</t>
  </si>
  <si>
    <t>Little Hadham</t>
  </si>
  <si>
    <t>Mundens and Cottered</t>
  </si>
  <si>
    <t>Much Hadham</t>
  </si>
  <si>
    <t>Puckeridge</t>
  </si>
  <si>
    <t>Sawbridgeworth</t>
  </si>
  <si>
    <t>Stanstead Abbots</t>
  </si>
  <si>
    <t>Thundridge &amp; Standon</t>
  </si>
  <si>
    <t>Walkern</t>
  </si>
  <si>
    <t>Ware Chadwell</t>
  </si>
  <si>
    <t>Ware Christchurch</t>
  </si>
  <si>
    <t>Ware St Mary's</t>
  </si>
  <si>
    <t>Ware Trinity</t>
  </si>
  <si>
    <t>Watton-at-Stone</t>
  </si>
  <si>
    <t>Ely East</t>
  </si>
  <si>
    <t>Ely North</t>
  </si>
  <si>
    <t>Ely West</t>
  </si>
  <si>
    <t>Haddenham</t>
  </si>
  <si>
    <t>Harborough (pt)</t>
  </si>
  <si>
    <t>Loughborough CC</t>
  </si>
  <si>
    <t>North West Leicestershire CC</t>
  </si>
  <si>
    <t>Rutland and Melton CC</t>
  </si>
  <si>
    <t>Rutland</t>
  </si>
  <si>
    <t>South Leicestershire CC</t>
  </si>
  <si>
    <t>* as created by The Leicestershire (City of Leicester and District of Rutland) (Structural Change) Order 1996</t>
  </si>
  <si>
    <t>Cottesmore</t>
  </si>
  <si>
    <t>Exton</t>
  </si>
  <si>
    <t>Greetham</t>
  </si>
  <si>
    <t>Ketton</t>
  </si>
  <si>
    <t>Langham</t>
  </si>
  <si>
    <t>Lyddington</t>
  </si>
  <si>
    <t>Oakham North East</t>
  </si>
  <si>
    <t>Oakham North West</t>
  </si>
  <si>
    <t>Cadwell</t>
  </si>
  <si>
    <t>Chesfield</t>
  </si>
  <si>
    <t>Codicote</t>
  </si>
  <si>
    <t>Ermine</t>
  </si>
  <si>
    <t>Hitchin Bearton</t>
  </si>
  <si>
    <t>Huntingdon North</t>
  </si>
  <si>
    <t>Ramsey</t>
  </si>
  <si>
    <t>St Ives East</t>
  </si>
  <si>
    <t>St Ives South</t>
  </si>
  <si>
    <t>St Ives West</t>
  </si>
  <si>
    <t>St Neots Eynesbury</t>
  </si>
  <si>
    <t>Sawtry</t>
  </si>
  <si>
    <t>Somersham</t>
  </si>
  <si>
    <t>Town</t>
  </si>
  <si>
    <t>Wicklewood</t>
  </si>
  <si>
    <t>Old Costessey</t>
  </si>
  <si>
    <t>Rockland</t>
  </si>
  <si>
    <t>Roydon</t>
  </si>
  <si>
    <t>Misterton</t>
  </si>
  <si>
    <t>Nevill</t>
  </si>
  <si>
    <t>Ullesthorpe</t>
  </si>
  <si>
    <t>Harborough CC (pt)</t>
  </si>
  <si>
    <t>Stratton</t>
  </si>
  <si>
    <t>Thurlton</t>
  </si>
  <si>
    <t>Forncett</t>
  </si>
  <si>
    <t>Market Harborough-Little Bowden</t>
  </si>
  <si>
    <t>Market Harborough-Logan</t>
  </si>
  <si>
    <t>Market Harborough-Welland</t>
  </si>
  <si>
    <t>Cromer Town</t>
  </si>
  <si>
    <t>Erpingham</t>
  </si>
  <si>
    <t>Happisburgh</t>
  </si>
  <si>
    <t>Holt</t>
  </si>
  <si>
    <t>Lancaster North</t>
  </si>
  <si>
    <t>Lancaster South</t>
  </si>
  <si>
    <t>Mundesley</t>
  </si>
  <si>
    <t>Newton Flotman</t>
  </si>
  <si>
    <t>St Benet</t>
  </si>
  <si>
    <t>Sheringham North</t>
  </si>
  <si>
    <t>Sheringham South</t>
  </si>
  <si>
    <t>Suffield Park</t>
  </si>
  <si>
    <t>The Raynhams</t>
  </si>
  <si>
    <t>Walsingham</t>
  </si>
  <si>
    <t>Wensum</t>
  </si>
  <si>
    <t>Worstead</t>
  </si>
  <si>
    <t>CITY OF NORWICH  *</t>
  </si>
  <si>
    <t>Bowthorpe</t>
  </si>
  <si>
    <t>Catton Grove</t>
  </si>
  <si>
    <t>Crome</t>
  </si>
  <si>
    <t>Eaton</t>
  </si>
  <si>
    <t>Lakenham</t>
  </si>
  <si>
    <t>Mancroft</t>
  </si>
  <si>
    <t>Mile Cross</t>
  </si>
  <si>
    <t>Sewell</t>
  </si>
  <si>
    <t>Thorpe Hamlet</t>
  </si>
  <si>
    <t>Town Close</t>
  </si>
  <si>
    <t>Horsforth</t>
  </si>
  <si>
    <t>Hatfield Central</t>
  </si>
  <si>
    <t>Hatfield East</t>
  </si>
  <si>
    <t>CITY OF WAKEFIELD  *</t>
  </si>
  <si>
    <t>Ackworth, North Elmsall and Upton</t>
  </si>
  <si>
    <t>Airedale and Ferry Fryston</t>
  </si>
  <si>
    <t>Altofts and Whitwood</t>
  </si>
  <si>
    <t>Castleford Central and Glasshoughton</t>
  </si>
  <si>
    <t>Crofton, Ryhill and Walton</t>
  </si>
  <si>
    <t>Featherstone</t>
  </si>
  <si>
    <t>Hemsworth</t>
  </si>
  <si>
    <t>Horbury and South Ossett</t>
  </si>
  <si>
    <t>Knottingley</t>
  </si>
  <si>
    <t>Ossett</t>
  </si>
  <si>
    <t>Pontefract North</t>
  </si>
  <si>
    <t>Pontefract South</t>
  </si>
  <si>
    <t>South Elmsall and South Kirkby</t>
  </si>
  <si>
    <t>Stanley and Outwood East</t>
  </si>
  <si>
    <t>Wakefield East</t>
  </si>
  <si>
    <t>Wakefield North</t>
  </si>
  <si>
    <t>Wakefield Rural</t>
  </si>
  <si>
    <t>Wakefield South</t>
  </si>
  <si>
    <t>Wakefield West</t>
  </si>
  <si>
    <t>Mottingham and Chislehurst North</t>
  </si>
  <si>
    <t>Orpington</t>
  </si>
  <si>
    <t>Penge and Cator</t>
  </si>
  <si>
    <t>Petts Wood and Knoll</t>
  </si>
  <si>
    <t>Framlingham</t>
  </si>
  <si>
    <t>West Hampstead</t>
  </si>
  <si>
    <t>* as created by The London Borough of Camden (Electoral Changes) Order 2000</t>
  </si>
  <si>
    <t># paired with the London Borough of Brent</t>
  </si>
  <si>
    <t>BROMLEY LONDON BOROUGH  * #</t>
  </si>
  <si>
    <t>Beckenham BC</t>
  </si>
  <si>
    <t>Bromley (pt)</t>
  </si>
  <si>
    <t>Bromley and Chislehurst BC</t>
  </si>
  <si>
    <t>Orpington BC</t>
  </si>
  <si>
    <t>Lewisham, Deptford BC</t>
  </si>
  <si>
    <t>Lewisham (pt)</t>
  </si>
  <si>
    <t>Lewisham East BC</t>
  </si>
  <si>
    <t>Lewisham West and Penge BC</t>
  </si>
  <si>
    <t>Bickley</t>
  </si>
  <si>
    <t>Biggin Hill</t>
  </si>
  <si>
    <t>Bromley Common and Keston</t>
  </si>
  <si>
    <t>Bromley Town</t>
  </si>
  <si>
    <t>Chelsfield and Pratts Bottom</t>
  </si>
  <si>
    <t>Chislehurst</t>
  </si>
  <si>
    <t>Clock House</t>
  </si>
  <si>
    <t>Copers Cope</t>
  </si>
  <si>
    <t>* as created by The Borough of Melton (Electoral Changes) Order 2002</t>
  </si>
  <si>
    <t>NORTH WEST LEICESTERSHIRE DISTRICT  *</t>
  </si>
  <si>
    <t>Appleby</t>
  </si>
  <si>
    <t>Ashby Castle</t>
  </si>
  <si>
    <t>Ashby Holywell</t>
  </si>
  <si>
    <t>Ashby Ivanhoe</t>
  </si>
  <si>
    <t>MENDIP DISTRICT</t>
  </si>
  <si>
    <t>SEDGEMOOR DISTRICT</t>
  </si>
  <si>
    <t>Bristol South BC</t>
  </si>
  <si>
    <t>Bristol West BC</t>
  </si>
  <si>
    <t>Deanshanger</t>
  </si>
  <si>
    <t>Middleton Cheney</t>
  </si>
  <si>
    <t>Silverstone</t>
  </si>
  <si>
    <t>Marlbrook</t>
  </si>
  <si>
    <t>Sidemoor</t>
  </si>
  <si>
    <t>Slideslow</t>
  </si>
  <si>
    <t>Wedmore and Mark</t>
  </si>
  <si>
    <t>Bridgwater and West Somerset CC (pt)</t>
  </si>
  <si>
    <t>* as created by The District of Sedgemoor (Electoral Changes) Order 1998</t>
  </si>
  <si>
    <t>SOUTH SOMERSET DISTRICT  *</t>
  </si>
  <si>
    <t>Blackmoor Vale</t>
  </si>
  <si>
    <t>Bruton</t>
  </si>
  <si>
    <t>Brympton</t>
  </si>
  <si>
    <t>Burrow Hill</t>
  </si>
  <si>
    <t>Camelot</t>
  </si>
  <si>
    <t>Cary</t>
  </si>
  <si>
    <t>Chard Avishayes</t>
  </si>
  <si>
    <t>Chard Combe</t>
  </si>
  <si>
    <t>Chard Crimchard</t>
  </si>
  <si>
    <t>Chard Holyrood</t>
  </si>
  <si>
    <t>Chard Jocelyn</t>
  </si>
  <si>
    <t>Coker</t>
  </si>
  <si>
    <t>Crewkerne</t>
  </si>
  <si>
    <t>Eggwood</t>
  </si>
  <si>
    <t>Hamdon</t>
  </si>
  <si>
    <t>Ilminster</t>
  </si>
  <si>
    <t>Islemoor</t>
  </si>
  <si>
    <t>Martock</t>
  </si>
  <si>
    <t>Milborne Port</t>
  </si>
  <si>
    <t>Neroche</t>
  </si>
  <si>
    <t>Parrett</t>
  </si>
  <si>
    <t>SOUTH CAMBRIDGESHIRE DISTRICT</t>
  </si>
  <si>
    <t>South Petherton</t>
  </si>
  <si>
    <t>Turn Hill</t>
  </si>
  <si>
    <t>Wessex</t>
  </si>
  <si>
    <t>Wincanton</t>
  </si>
  <si>
    <t>Windwhistle</t>
  </si>
  <si>
    <t>Westminster North BC</t>
  </si>
  <si>
    <t>Church Hill</t>
  </si>
  <si>
    <t>Crabbs Cross</t>
  </si>
  <si>
    <t>Headless Cross and Oakenshaw</t>
  </si>
  <si>
    <t>Matchborough</t>
  </si>
  <si>
    <t>Winyates</t>
  </si>
  <si>
    <t>Redditch CC (pt)</t>
  </si>
  <si>
    <t xml:space="preserve">*as created by The Borough of Redditch (Electoral Changes) Order 2002 </t>
  </si>
  <si>
    <t>CITY OF WORCESTER  *</t>
  </si>
  <si>
    <t>Battenhall</t>
  </si>
  <si>
    <t>* as created by The North Yorkshire (District of York) (Structural and Boundary Changes) Order 1995</t>
  </si>
  <si>
    <t>CRAVEN DISTRICT  *</t>
  </si>
  <si>
    <t>Aire Valley with Lothersdale</t>
  </si>
  <si>
    <t>Barden Fell</t>
  </si>
  <si>
    <t>Bentham</t>
  </si>
  <si>
    <t>Cowling</t>
  </si>
  <si>
    <t>Embsay-with-Eastby</t>
  </si>
  <si>
    <t>Gargrave and Malhamdale</t>
  </si>
  <si>
    <t>Glusburn</t>
  </si>
  <si>
    <t>Grassington</t>
  </si>
  <si>
    <t xml:space="preserve">Hellifield and Long Preston </t>
  </si>
  <si>
    <t>Ingleton and Clapham</t>
  </si>
  <si>
    <t>SHROPSHIRE  *</t>
  </si>
  <si>
    <t>TELFORD AND WREKIN  #</t>
  </si>
  <si>
    <t>Bryher</t>
  </si>
  <si>
    <t>St.Agnes</t>
  </si>
  <si>
    <t>St.Martin's</t>
  </si>
  <si>
    <t>St.Mary's</t>
  </si>
  <si>
    <t>Tresco</t>
  </si>
  <si>
    <t>St Ives CC (pt)</t>
  </si>
  <si>
    <t>Cornwall (pt)</t>
  </si>
  <si>
    <t>CORNWALL  *</t>
  </si>
  <si>
    <t>Cowden and Hever</t>
  </si>
  <si>
    <t>Crockenhill and Well Hill</t>
  </si>
  <si>
    <t>Dunton Green and Riverhead</t>
  </si>
  <si>
    <t>Edenbridge North and East</t>
  </si>
  <si>
    <t>Edenbridge South and West</t>
  </si>
  <si>
    <t>SOUTH RIBBLE BOROUGH</t>
  </si>
  <si>
    <t>WYRE BOROUGH</t>
  </si>
  <si>
    <t>County Average (Blackburn with Darwen) (2 seats)</t>
  </si>
  <si>
    <t>County Average (Blackpool) (2 seats)</t>
  </si>
  <si>
    <t>County Average (All) (16 seats)</t>
  </si>
  <si>
    <t>* as created by The Lancashire (Boroughs of Blackburn and Blackpool) (Structural Change) Order 1996</t>
  </si>
  <si>
    <t>Blackburn BC</t>
  </si>
  <si>
    <t>Barrow Island</t>
  </si>
  <si>
    <t>Dalton North</t>
  </si>
  <si>
    <t>Dalton South</t>
  </si>
  <si>
    <t>Hawcoat</t>
  </si>
  <si>
    <t>EDEN DISTRICT</t>
  </si>
  <si>
    <t>SOUTH LAKELAND DISTRICT</t>
  </si>
  <si>
    <t>Barrow and Furness CC</t>
  </si>
  <si>
    <t>South Lakeland (pt)</t>
  </si>
  <si>
    <t>Carlisle CC</t>
  </si>
  <si>
    <t>Carlisle (pt)</t>
  </si>
  <si>
    <t>Copeland CC</t>
  </si>
  <si>
    <t>Allerdale (pt)</t>
  </si>
  <si>
    <t>Penrith and The Border CC</t>
  </si>
  <si>
    <t>Westmorland and Lonsdale CC</t>
  </si>
  <si>
    <t>Workington CC</t>
  </si>
  <si>
    <t>ALLERDALE BOROUGH  *</t>
  </si>
  <si>
    <t>All Saints</t>
  </si>
  <si>
    <t>Aspatria</t>
  </si>
  <si>
    <t>Boltons</t>
  </si>
  <si>
    <t>Dalton</t>
  </si>
  <si>
    <t>Ironbridge Gorge</t>
  </si>
  <si>
    <t>Muxton</t>
  </si>
  <si>
    <t>Priorslee</t>
  </si>
  <si>
    <t>St Georges</t>
  </si>
  <si>
    <t>Shawbirch</t>
  </si>
  <si>
    <t>The Nedge</t>
  </si>
  <si>
    <t>Wrockwardine</t>
  </si>
  <si>
    <t>Badsey</t>
  </si>
  <si>
    <t>Bengeworth</t>
  </si>
  <si>
    <t>Bredon</t>
  </si>
  <si>
    <t>Bretforton and Offenham</t>
  </si>
  <si>
    <t>Winlaton and High Spen</t>
  </si>
  <si>
    <t>Jarrow BC (pt)</t>
  </si>
  <si>
    <t>Harvington and Norton</t>
  </si>
  <si>
    <t>WILTSHIRE  *</t>
  </si>
  <si>
    <t>Chippenham CC</t>
  </si>
  <si>
    <t>Wiltshire (pt)</t>
  </si>
  <si>
    <t>Devizes CC</t>
  </si>
  <si>
    <t>North Wiltshire CC</t>
  </si>
  <si>
    <t>Salisbury CC</t>
  </si>
  <si>
    <t>Richmond West</t>
  </si>
  <si>
    <t>Scotton</t>
  </si>
  <si>
    <t>Amotherby</t>
  </si>
  <si>
    <t>Rosehill with Burnley Wood</t>
  </si>
  <si>
    <t>Whittlefield with Ightenhill</t>
  </si>
  <si>
    <t>* as created by The Borough of Burnley (Electoral Changes) Order 2001</t>
  </si>
  <si>
    <t>Newbarns</t>
  </si>
  <si>
    <t>Ormsgill</t>
  </si>
  <si>
    <t>Parkside</t>
  </si>
  <si>
    <t>Risedale</t>
  </si>
  <si>
    <t>Roosecote</t>
  </si>
  <si>
    <t>Walney North</t>
  </si>
  <si>
    <t>Ruxley</t>
  </si>
  <si>
    <t>Stamford</t>
  </si>
  <si>
    <t>West Ewell</t>
  </si>
  <si>
    <t>Epsom and Ewell BC (pt)</t>
  </si>
  <si>
    <t>* as created by The Borough of Epsom and Ewell (Electoral Changes) Order 1999</t>
  </si>
  <si>
    <t>GUILDFORD BOROUGH  *</t>
  </si>
  <si>
    <t>Ash South and Tongham</t>
  </si>
  <si>
    <t>Ash Vale</t>
  </si>
  <si>
    <t>Ash Wharf</t>
  </si>
  <si>
    <t>Burpham</t>
  </si>
  <si>
    <t>Clandon and Horsley</t>
  </si>
  <si>
    <t>Effingham</t>
  </si>
  <si>
    <t>Friary and St Nicolas</t>
  </si>
  <si>
    <t>Holy Trinity</t>
  </si>
  <si>
    <t>Lovelace</t>
  </si>
  <si>
    <t>Merrow</t>
  </si>
  <si>
    <t>Coppull</t>
  </si>
  <si>
    <t>Lyneham</t>
  </si>
  <si>
    <t>Malmesbury</t>
  </si>
  <si>
    <t>Marlborough East</t>
  </si>
  <si>
    <t>Marlborough West</t>
  </si>
  <si>
    <t>Eccles</t>
  </si>
  <si>
    <t>CITY OF YORK  *</t>
  </si>
  <si>
    <t>York Central BC</t>
  </si>
  <si>
    <t>York (pt)</t>
  </si>
  <si>
    <t>York Outer CC</t>
  </si>
  <si>
    <t>Acomb</t>
  </si>
  <si>
    <t>Bishopthorpe</t>
  </si>
  <si>
    <t>Doxford</t>
  </si>
  <si>
    <t>Fulwell</t>
  </si>
  <si>
    <t>Hetton</t>
  </si>
  <si>
    <t>Worksop North West</t>
  </si>
  <si>
    <t>Dormanstown</t>
  </si>
  <si>
    <t>Eston</t>
  </si>
  <si>
    <t>Grangetown</t>
  </si>
  <si>
    <t>Guisborough</t>
  </si>
  <si>
    <t>Hutton</t>
  </si>
  <si>
    <t>Kirkleatham</t>
  </si>
  <si>
    <t>Lockwood</t>
  </si>
  <si>
    <t>Loftus</t>
  </si>
  <si>
    <t>Longbeck</t>
  </si>
  <si>
    <t>Newcomen</t>
  </si>
  <si>
    <t>Normanby</t>
  </si>
  <si>
    <t>St Germain's</t>
  </si>
  <si>
    <t>Saltburn</t>
  </si>
  <si>
    <t>South Bank</t>
  </si>
  <si>
    <t>Teesville</t>
  </si>
  <si>
    <t>West Dyke</t>
  </si>
  <si>
    <t>Ribchester</t>
  </si>
  <si>
    <t>Sabden</t>
  </si>
  <si>
    <t>Salthill</t>
  </si>
  <si>
    <t>Ulverston West</t>
  </si>
  <si>
    <t>Wollaton West</t>
  </si>
  <si>
    <t>NOTTINGHAMSHIRE  *</t>
  </si>
  <si>
    <t>ASHFIELD DISTRICT</t>
  </si>
  <si>
    <t>BASSETLAW DISTRICT</t>
  </si>
  <si>
    <t>BROXTOWE BOROUGH</t>
  </si>
  <si>
    <t>GEDLING BOROUGH</t>
  </si>
  <si>
    <t>MANSFIELD DISTRICT</t>
  </si>
  <si>
    <t>NEWARK AND SHERWOOD DISTRICT</t>
  </si>
  <si>
    <t>Wheldrake</t>
  </si>
  <si>
    <t>Acklam</t>
  </si>
  <si>
    <t>Ayresome</t>
  </si>
  <si>
    <t>Coulby Newham</t>
  </si>
  <si>
    <t>Hemlington</t>
  </si>
  <si>
    <t>Kader</t>
  </si>
  <si>
    <t>Ladgate</t>
  </si>
  <si>
    <t>Linthorpe</t>
  </si>
  <si>
    <t>Marton West</t>
  </si>
  <si>
    <t>Jacksdale</t>
  </si>
  <si>
    <t>Selston</t>
  </si>
  <si>
    <t>Long Marton</t>
  </si>
  <si>
    <t>Morland</t>
  </si>
  <si>
    <t>Orton with Tebay</t>
  </si>
  <si>
    <t>Clover Hill</t>
  </si>
  <si>
    <t>RUSHCLIFFE BOROUGH</t>
  </si>
  <si>
    <t>Underwood</t>
  </si>
  <si>
    <t>Ashfield CC (pt)</t>
  </si>
  <si>
    <t>Sherwood CC (pt)</t>
  </si>
  <si>
    <t>BASSETLAW DISTRICT  *</t>
  </si>
  <si>
    <t>Beckingham</t>
  </si>
  <si>
    <t>Blyth</t>
  </si>
  <si>
    <t>Clayworth</t>
  </si>
  <si>
    <t>East Markham</t>
  </si>
  <si>
    <t>East Retford East</t>
  </si>
  <si>
    <t>East Retford North</t>
  </si>
  <si>
    <t>East Retford South</t>
  </si>
  <si>
    <t>East Retford West</t>
  </si>
  <si>
    <t>Harworth</t>
  </si>
  <si>
    <t>Langold</t>
  </si>
  <si>
    <t>Chalfont St Giles</t>
  </si>
  <si>
    <t>Great Missenden</t>
  </si>
  <si>
    <t>Whitewell</t>
  </si>
  <si>
    <t>Worsley</t>
  </si>
  <si>
    <t>Rosendale and Darwen BC (pt)</t>
  </si>
  <si>
    <t>Chertsey St Ann's</t>
  </si>
  <si>
    <t>Egham Hythe</t>
  </si>
  <si>
    <t>Sandown North</t>
  </si>
  <si>
    <t>Sandown South</t>
  </si>
  <si>
    <t>Edmonton Green</t>
  </si>
  <si>
    <t>Sitwell</t>
  </si>
  <si>
    <t>Wales</t>
  </si>
  <si>
    <t>Wath</t>
  </si>
  <si>
    <t>CITY OF SHEFFIELD  *</t>
  </si>
  <si>
    <t>Beighton</t>
  </si>
  <si>
    <t>Birley</t>
  </si>
  <si>
    <t>Burngreave</t>
  </si>
  <si>
    <t>Darnall</t>
  </si>
  <si>
    <t>East Ecclesfield</t>
  </si>
  <si>
    <t>Ecclesall</t>
  </si>
  <si>
    <t>Firth Park</t>
  </si>
  <si>
    <t>Islington South and Finsbury BC</t>
  </si>
  <si>
    <t>Barnsbury</t>
  </si>
  <si>
    <t>Bunhill</t>
  </si>
  <si>
    <t>Caledonian</t>
  </si>
  <si>
    <t>Canonbury</t>
  </si>
  <si>
    <t>Clerkenwell</t>
  </si>
  <si>
    <t>Finsbury Park</t>
  </si>
  <si>
    <t>Ribble Valley CC (pt)</t>
  </si>
  <si>
    <t>Beaver</t>
  </si>
  <si>
    <t>County Average (Halton) (1 seat)</t>
  </si>
  <si>
    <t>County Average (All) (9 seats)</t>
  </si>
  <si>
    <t>City of Chester CC</t>
  </si>
  <si>
    <t>Congleton CC</t>
  </si>
  <si>
    <t>Crewe and Nantwich CC</t>
  </si>
  <si>
    <t>Eddisbury CC</t>
  </si>
  <si>
    <t>Ellesmere Port and Neston CC</t>
  </si>
  <si>
    <t>Halton CC</t>
  </si>
  <si>
    <t>Garstang</t>
  </si>
  <si>
    <t>Great Eccleston</t>
  </si>
  <si>
    <t>Jubilee</t>
  </si>
  <si>
    <t>Mount</t>
  </si>
  <si>
    <t>Pharos</t>
  </si>
  <si>
    <t>Pilling</t>
  </si>
  <si>
    <t>Cuxton and Halling</t>
  </si>
  <si>
    <t>Woodstock and Bladon</t>
  </si>
  <si>
    <t>CITY OF PORTSMOUTH  *</t>
  </si>
  <si>
    <t>Portsmouth North BC</t>
  </si>
  <si>
    <t>Portsmouth (pt)</t>
  </si>
  <si>
    <t>Portsmouth South BC</t>
  </si>
  <si>
    <t>Baffins</t>
  </si>
  <si>
    <t>Central Southsea</t>
  </si>
  <si>
    <t>Coleshill North</t>
  </si>
  <si>
    <t>Coleshill South</t>
  </si>
  <si>
    <t>Curdworth</t>
  </si>
  <si>
    <t>Dordon</t>
  </si>
  <si>
    <t>Fillongley</t>
  </si>
  <si>
    <t>Hartshill</t>
  </si>
  <si>
    <t>Faversham and Mid Kent CC</t>
  </si>
  <si>
    <t>Maidstone (pt)</t>
  </si>
  <si>
    <t>Swale (pt)</t>
  </si>
  <si>
    <t>Folkestone and Hythe CC</t>
  </si>
  <si>
    <t>Gillingham and Rainham BC</t>
  </si>
  <si>
    <t>Gravesham CC</t>
  </si>
  <si>
    <t>Blackheath and Wonersh</t>
  </si>
  <si>
    <t>Bramley, Busbridge and Hascombe</t>
  </si>
  <si>
    <t>Chiddingfold and Dunsfold</t>
  </si>
  <si>
    <t>Cranleigh East</t>
  </si>
  <si>
    <t>Cranleigh West</t>
  </si>
  <si>
    <t>Biddenden</t>
  </si>
  <si>
    <t>Bockhanger</t>
  </si>
  <si>
    <t>Bybrook</t>
  </si>
  <si>
    <t>Charing</t>
  </si>
  <si>
    <t>Downs North</t>
  </si>
  <si>
    <t>Downs West</t>
  </si>
  <si>
    <t>Godinton</t>
  </si>
  <si>
    <t>Isle of Oxney</t>
  </si>
  <si>
    <t>Kennington</t>
  </si>
  <si>
    <t>Stratford-on-Avon CC</t>
  </si>
  <si>
    <t>Warwick and Leamington BC</t>
  </si>
  <si>
    <t>NORTH WARWICKSHIRE BOROUGH  *</t>
  </si>
  <si>
    <t>Arley and Whitacre</t>
  </si>
  <si>
    <t>Atherstone Central</t>
  </si>
  <si>
    <t>Atherstone North</t>
  </si>
  <si>
    <t>Atherstone South and Mancetter</t>
  </si>
  <si>
    <t>Baddesley and Grendon</t>
  </si>
  <si>
    <t>Elstead and Thursley</t>
  </si>
  <si>
    <t>Ewhurst</t>
  </si>
  <si>
    <t>Farnham Bourne</t>
  </si>
  <si>
    <t>Park Farm North</t>
  </si>
  <si>
    <t>Park Farm South</t>
  </si>
  <si>
    <t>WEST OXFORDSHIRE DISTRICT</t>
  </si>
  <si>
    <t>Banbury CC</t>
  </si>
  <si>
    <t>Greenbank</t>
  </si>
  <si>
    <t>Kensington and Fairfield</t>
  </si>
  <si>
    <t>NEWARK AND SHERWOOD DISTRICT  *</t>
  </si>
  <si>
    <t>Beacon</t>
  </si>
  <si>
    <t>Cherwell (pt)</t>
  </si>
  <si>
    <t>Henley CC</t>
  </si>
  <si>
    <t>Musters</t>
  </si>
  <si>
    <t>Ruddington</t>
  </si>
  <si>
    <t>Thoroton</t>
  </si>
  <si>
    <t>Trent Bridge</t>
  </si>
  <si>
    <t>CHERWELL DISTRICT</t>
  </si>
  <si>
    <t>CITY OF OXFORD</t>
  </si>
  <si>
    <t>SOUTH OXFORDSHIRE DISTRICT</t>
  </si>
  <si>
    <t>VALE OF WHITE HORSE DISTRICT</t>
  </si>
  <si>
    <t>GRAVESHAM BOROUGH  *</t>
  </si>
  <si>
    <t>Chalk</t>
  </si>
  <si>
    <t>Meopham South and Vigo</t>
  </si>
  <si>
    <t>Northfleet North</t>
  </si>
  <si>
    <t>Northfleet South</t>
  </si>
  <si>
    <t>Painters Ash</t>
  </si>
  <si>
    <t>Pelham</t>
  </si>
  <si>
    <t>Riverview</t>
  </si>
  <si>
    <t>Shorne, Cobham and Luddesdown</t>
  </si>
  <si>
    <t>Singlewell</t>
  </si>
  <si>
    <t>Westcourt</t>
  </si>
  <si>
    <t>Whitehill</t>
  </si>
  <si>
    <t>Woodlands</t>
  </si>
  <si>
    <t>* as created by The Borough of Gravesham (Electoral Changes) Order 2001</t>
  </si>
  <si>
    <t>MAIDSTONE BOROUGH  *</t>
  </si>
  <si>
    <t>Allington</t>
  </si>
  <si>
    <t>Bracebridge Heath and Waddington East</t>
  </si>
  <si>
    <t>Branston</t>
  </si>
  <si>
    <t>Cliff Villages</t>
  </si>
  <si>
    <t>* as created by The Cheshire (Boroughs of Halton and Warrington) (Structural Change) Order 1996</t>
  </si>
  <si>
    <t># as created by The Cheshire (Structural Changes) Order 2008</t>
  </si>
  <si>
    <t>Tenterden North</t>
  </si>
  <si>
    <t>Tenterden South</t>
  </si>
  <si>
    <t>Washford</t>
  </si>
  <si>
    <t>Weald Central</t>
  </si>
  <si>
    <t>Weald North</t>
  </si>
  <si>
    <t>Weald South</t>
  </si>
  <si>
    <t>Hurley and Wood End</t>
  </si>
  <si>
    <t>Alsager</t>
  </si>
  <si>
    <t>Middlewich</t>
  </si>
  <si>
    <t>Sonning Common</t>
  </si>
  <si>
    <t>Woodcote</t>
  </si>
  <si>
    <t>Hillingdon (pt)</t>
  </si>
  <si>
    <t>Shadwell</t>
  </si>
  <si>
    <t>Weavers</t>
  </si>
  <si>
    <t>Whitechapel</t>
  </si>
  <si>
    <t>GATESHEAD BOROUGH</t>
  </si>
  <si>
    <t>CITY OF NEWCASTLE UPON TYNE</t>
  </si>
  <si>
    <t>NORTH TYNESIDE BOROUGH</t>
  </si>
  <si>
    <t>SOUTH TYNESIDE BOROUGH</t>
  </si>
  <si>
    <t>CITY OF SUNDERLAND</t>
  </si>
  <si>
    <t>Blaydon BC</t>
  </si>
  <si>
    <t>Gateshead (pt)</t>
  </si>
  <si>
    <t>Gateshead BC</t>
  </si>
  <si>
    <t>Houghton and Sunderland South BC</t>
  </si>
  <si>
    <t>Sunderland (pt)</t>
  </si>
  <si>
    <t>Jarrow BC</t>
  </si>
  <si>
    <t>South Tyneside (pt)</t>
  </si>
  <si>
    <t>Newcastle upon Tyne Central BC</t>
  </si>
  <si>
    <t>Newcastle (pt)</t>
  </si>
  <si>
    <t>Newcastle upon Tyne East BC</t>
  </si>
  <si>
    <t>Hayes and Harlington BC</t>
  </si>
  <si>
    <t>Uxbridge and South Ruislip BC</t>
  </si>
  <si>
    <t>Canons</t>
  </si>
  <si>
    <t>Greenhill</t>
  </si>
  <si>
    <t>Torbay *</t>
  </si>
  <si>
    <t>DEVON, PLYMOUTH &amp; TORBAY</t>
  </si>
  <si>
    <t>Christchurch</t>
  </si>
  <si>
    <t>Bardney</t>
  </si>
  <si>
    <t>Cherry Willingham</t>
  </si>
  <si>
    <t>Gainsborough East</t>
  </si>
  <si>
    <t>Lewes</t>
  </si>
  <si>
    <t>Rother</t>
  </si>
  <si>
    <t>Wealden</t>
  </si>
  <si>
    <t>EAST SUSSEX</t>
  </si>
  <si>
    <t>Brighton and Hove *</t>
  </si>
  <si>
    <t>* as created by The District of South Holland (Electoral Changes) Order 2007</t>
  </si>
  <si>
    <t>SOUTH KESTEVEN DISTRICT  *</t>
  </si>
  <si>
    <t>Aveland</t>
  </si>
  <si>
    <t>Bourne East</t>
  </si>
  <si>
    <t>Bourne West</t>
  </si>
  <si>
    <t>Deeping St James</t>
  </si>
  <si>
    <t>Forest Row</t>
  </si>
  <si>
    <t>Hailsham East</t>
  </si>
  <si>
    <t>Hartfield</t>
  </si>
  <si>
    <t>Brasted, Chevening and Sundridge</t>
  </si>
  <si>
    <t>Halton *</t>
  </si>
  <si>
    <t>Isles of Scilly</t>
  </si>
  <si>
    <t>* Unitary Authority (County)</t>
  </si>
  <si>
    <t># Non-Metropolitan County Council abolished</t>
  </si>
  <si>
    <t>Allerdale</t>
  </si>
  <si>
    <t>Barrow-in-Furness</t>
  </si>
  <si>
    <t>Carlisle</t>
  </si>
  <si>
    <t>Copeland</t>
  </si>
  <si>
    <t>Eden</t>
  </si>
  <si>
    <t>Swanley White Oak</t>
  </si>
  <si>
    <t>Westerham and Crockham Hill</t>
  </si>
  <si>
    <t>Tonbridge and Malling CC (pt)</t>
  </si>
  <si>
    <t>Gloucester</t>
  </si>
  <si>
    <t>Stroud</t>
  </si>
  <si>
    <t>Tewkesbury</t>
  </si>
  <si>
    <t>GLOUCESTERSHIRE</t>
  </si>
  <si>
    <t>Basingstoke and Deane</t>
  </si>
  <si>
    <t>East Hampshire</t>
  </si>
  <si>
    <t>Eastleigh</t>
  </si>
  <si>
    <t>Fareham</t>
  </si>
  <si>
    <t>Gosport</t>
  </si>
  <si>
    <t>Hart</t>
  </si>
  <si>
    <t>Havant</t>
  </si>
  <si>
    <t>County Average (Dorset) (4 seats)</t>
  </si>
  <si>
    <t>Low Fell</t>
  </si>
  <si>
    <t>Pelaw and Heworth</t>
  </si>
  <si>
    <t>Tottington</t>
  </si>
  <si>
    <t>Isle of Wight *</t>
  </si>
  <si>
    <t>Ashford</t>
  </si>
  <si>
    <t>Canterbury</t>
  </si>
  <si>
    <t>Dartford</t>
  </si>
  <si>
    <t>Dover</t>
  </si>
  <si>
    <t>Gravesham</t>
  </si>
  <si>
    <t>Maidstone</t>
  </si>
  <si>
    <t>Sevenoaks</t>
  </si>
  <si>
    <t>Swale</t>
  </si>
  <si>
    <t>Thanet</t>
  </si>
  <si>
    <t>Tonbridge and Malling</t>
  </si>
  <si>
    <t>Tunbridge Wells</t>
  </si>
  <si>
    <t>KENT</t>
  </si>
  <si>
    <t>Medway *</t>
  </si>
  <si>
    <t>KENT &amp; MEDWAY</t>
  </si>
  <si>
    <t>Burnley</t>
  </si>
  <si>
    <t>Chorley</t>
  </si>
  <si>
    <t>Fylde</t>
  </si>
  <si>
    <t>Hyndburn</t>
  </si>
  <si>
    <t>Lancaster</t>
  </si>
  <si>
    <t>Pendle</t>
  </si>
  <si>
    <t>Preston</t>
  </si>
  <si>
    <t>Ribble Valley</t>
  </si>
  <si>
    <t>Rossendale</t>
  </si>
  <si>
    <t>South Ribble</t>
  </si>
  <si>
    <t>West Lancashire</t>
  </si>
  <si>
    <t>Wyre</t>
  </si>
  <si>
    <t>LANCASHIRE</t>
  </si>
  <si>
    <t>Blackburn with Darwen *</t>
  </si>
  <si>
    <t>Blackpool *</t>
  </si>
  <si>
    <t>Hartlip, Newington and Upchurch</t>
  </si>
  <si>
    <t>Kemsley</t>
  </si>
  <si>
    <t>Milton Regis</t>
  </si>
  <si>
    <t>Minster Cliffs</t>
  </si>
  <si>
    <t>South Norfolk</t>
  </si>
  <si>
    <t>NORFOLK</t>
  </si>
  <si>
    <t>Thanet Villages</t>
  </si>
  <si>
    <t>Viking</t>
  </si>
  <si>
    <t>Westbrook</t>
  </si>
  <si>
    <t>Westgate-on-Sea</t>
  </si>
  <si>
    <t>* as created by The District of Thanet (Electoral Changes) Order 2001</t>
  </si>
  <si>
    <t>TONBRIDGE AND MALLING BOROUGH  *</t>
  </si>
  <si>
    <t>Borough Green and Long Mill</t>
  </si>
  <si>
    <t>Tamworth</t>
  </si>
  <si>
    <t>South Dorset CC</t>
  </si>
  <si>
    <t>West Dorset CC</t>
  </si>
  <si>
    <t>Cherwell</t>
  </si>
  <si>
    <t>Oxford</t>
  </si>
  <si>
    <t>South Oxfordshire</t>
  </si>
  <si>
    <t>Vale of White Horse</t>
  </si>
  <si>
    <t>West Oxfordshire</t>
  </si>
  <si>
    <t>Byker</t>
  </si>
  <si>
    <t>Elswick</t>
  </si>
  <si>
    <t>Lemington</t>
  </si>
  <si>
    <t>North Jesmond</t>
  </si>
  <si>
    <t>South Jesmond</t>
  </si>
  <si>
    <t>Walker</t>
  </si>
  <si>
    <t>Walkergate</t>
  </si>
  <si>
    <t>Wingrove</t>
  </si>
  <si>
    <t>Cheshunt North</t>
  </si>
  <si>
    <t>Flamstead End</t>
  </si>
  <si>
    <t>Goffs Oak</t>
  </si>
  <si>
    <t>Hoddesdon North</t>
  </si>
  <si>
    <t>Hexham East</t>
  </si>
  <si>
    <t>Hexham West</t>
  </si>
  <si>
    <t>Hirst</t>
  </si>
  <si>
    <t>Humshaugh</t>
  </si>
  <si>
    <t>Isabella</t>
  </si>
  <si>
    <t>Kitty Brewster</t>
  </si>
  <si>
    <t>Longhoughton</t>
  </si>
  <si>
    <t>Lynemouth</t>
  </si>
  <si>
    <t>Morpeth Kirkhill</t>
  </si>
  <si>
    <t>Morpeth North</t>
  </si>
  <si>
    <t>Morpeth Stobhill</t>
  </si>
  <si>
    <t>Newbiggin Central and East</t>
  </si>
  <si>
    <t>Newsham</t>
  </si>
  <si>
    <t>Norham and Islandshires</t>
  </si>
  <si>
    <t>Larkfield North</t>
  </si>
  <si>
    <t>Larkfield South</t>
  </si>
  <si>
    <t>Medway</t>
  </si>
  <si>
    <t>Moordown</t>
  </si>
  <si>
    <t>Leicester East BC</t>
  </si>
  <si>
    <t>Leicester (pt)</t>
  </si>
  <si>
    <t>Leicester South BC</t>
  </si>
  <si>
    <t>Leicester West BC</t>
  </si>
  <si>
    <t>Beaumont Leys</t>
  </si>
  <si>
    <t>Belgrave</t>
  </si>
  <si>
    <t>Haltwhistle</t>
  </si>
  <si>
    <t>Hartley</t>
  </si>
  <si>
    <t>Haydon</t>
  </si>
  <si>
    <t>Wickford North</t>
  </si>
  <si>
    <t>Wickford Park</t>
  </si>
  <si>
    <t>Rayleigh and Wickford CC (pt)</t>
  </si>
  <si>
    <t>Millfield</t>
  </si>
  <si>
    <t>Muxloe</t>
  </si>
  <si>
    <t>Narborough and Littlethorpe</t>
  </si>
  <si>
    <t>North Whetstone</t>
  </si>
  <si>
    <t>Pastures</t>
  </si>
  <si>
    <t>West Southbourne</t>
  </si>
  <si>
    <t>Winton East</t>
  </si>
  <si>
    <t>YORKSHIRE AND THE HUMBER REGION</t>
  </si>
  <si>
    <t>Village</t>
  </si>
  <si>
    <t>Whalebone</t>
  </si>
  <si>
    <t>Tring Central</t>
  </si>
  <si>
    <t>Tring East</t>
  </si>
  <si>
    <t>Tring West and Rural</t>
  </si>
  <si>
    <t>Woodhall Farm</t>
  </si>
  <si>
    <t>South West Hertfordshire CC (pt)</t>
  </si>
  <si>
    <t>Hitchin Highbury</t>
  </si>
  <si>
    <t>Hitchin Oughton</t>
  </si>
  <si>
    <t>Hitchin Priory</t>
  </si>
  <si>
    <t>STOCKPORT BOROUGH  *</t>
  </si>
  <si>
    <t>Bramhall North</t>
  </si>
  <si>
    <t>Bramhall South</t>
  </si>
  <si>
    <t>Bredbury and Woodley</t>
  </si>
  <si>
    <t>Bredbury Green and Romiley</t>
  </si>
  <si>
    <t>Brinnington and Central</t>
  </si>
  <si>
    <t>Cheadle and Gatley</t>
  </si>
  <si>
    <t>Ordsall</t>
  </si>
  <si>
    <t>Knebworth</t>
  </si>
  <si>
    <t>Letchworth East</t>
  </si>
  <si>
    <t>Letchworth Grange</t>
  </si>
  <si>
    <t>Letchworth South East</t>
  </si>
  <si>
    <t>Letchworth South West</t>
  </si>
  <si>
    <t>Letchworth Wilbury</t>
  </si>
  <si>
    <t>Royston Heath</t>
  </si>
  <si>
    <t>Royston Meridian</t>
  </si>
  <si>
    <t>Royston Palace</t>
  </si>
  <si>
    <t>Weston and Sandon</t>
  </si>
  <si>
    <t>Hitchin and Harpenden CC (pt)</t>
  </si>
  <si>
    <t>* as created by The District of North Hertfordshire (Electoral Changes) Order 2006</t>
  </si>
  <si>
    <t>CITY OF ST ALBANS  *</t>
  </si>
  <si>
    <t>Batchwood</t>
  </si>
  <si>
    <t>Clarence</t>
  </si>
  <si>
    <t>Colney Heath</t>
  </si>
  <si>
    <t>Cunningham</t>
  </si>
  <si>
    <t>Harpenden East</t>
  </si>
  <si>
    <t>Harpenden North</t>
  </si>
  <si>
    <t>Harpenden South</t>
  </si>
  <si>
    <t>Harpenden West</t>
  </si>
  <si>
    <t>London Colney</t>
  </si>
  <si>
    <t>Marshalswick North</t>
  </si>
  <si>
    <t>Combe Down</t>
  </si>
  <si>
    <t>High Littleton</t>
  </si>
  <si>
    <t>Hazel Grove</t>
  </si>
  <si>
    <t>Heald Green</t>
  </si>
  <si>
    <t>Heatons North</t>
  </si>
  <si>
    <t>Heatons South</t>
  </si>
  <si>
    <t>Marple North</t>
  </si>
  <si>
    <t>Marple South</t>
  </si>
  <si>
    <t>Offerton</t>
  </si>
  <si>
    <t>Reddish North</t>
  </si>
  <si>
    <t>Reddish South</t>
  </si>
  <si>
    <t>Stepping Hill</t>
  </si>
  <si>
    <t>Denton and Reddish BC (pt)</t>
  </si>
  <si>
    <t>Ashton St Michael's</t>
  </si>
  <si>
    <t>Ashton Waterloo</t>
  </si>
  <si>
    <t>Audenshaw</t>
  </si>
  <si>
    <t>Denton North East</t>
  </si>
  <si>
    <t>Denton South</t>
  </si>
  <si>
    <t>Denton West</t>
  </si>
  <si>
    <t>Droylsden East</t>
  </si>
  <si>
    <t>Droylsden West</t>
  </si>
  <si>
    <t>Dukinfield</t>
  </si>
  <si>
    <t>Dukinfield Stalybridge</t>
  </si>
  <si>
    <t>Hyde Godley</t>
  </si>
  <si>
    <t>Hyde Newton</t>
  </si>
  <si>
    <t>Hyde Werneth</t>
  </si>
  <si>
    <t>Longdendale</t>
  </si>
  <si>
    <t>Mossley</t>
  </si>
  <si>
    <t>Stalybridge North</t>
  </si>
  <si>
    <t>Stalybridge South</t>
  </si>
  <si>
    <t>SOUTH GLOUCESTERSHIRE DISTRICT  *</t>
  </si>
  <si>
    <t>Filton and Bradley Stoke CC</t>
  </si>
  <si>
    <t>Ashton upon Mersey</t>
  </si>
  <si>
    <t>Bowdon</t>
  </si>
  <si>
    <t>Symonds Green</t>
  </si>
  <si>
    <t>Woodfield</t>
  </si>
  <si>
    <t>THREE RIVERS DISTRICT  *</t>
  </si>
  <si>
    <t>Great Sankey South</t>
  </si>
  <si>
    <t>Latchford East</t>
  </si>
  <si>
    <t>Latchford West</t>
  </si>
  <si>
    <t>Orford</t>
  </si>
  <si>
    <t>Gorse Hill</t>
  </si>
  <si>
    <t>Hale Barns</t>
  </si>
  <si>
    <t>Hale Central</t>
  </si>
  <si>
    <t>Longford</t>
  </si>
  <si>
    <t>Sale Moor</t>
  </si>
  <si>
    <t>Stretford</t>
  </si>
  <si>
    <t>Timperley</t>
  </si>
  <si>
    <t>Urmston</t>
  </si>
  <si>
    <t>* as created by The Borough of Trafford (Electoral Changes) Order 2004</t>
  </si>
  <si>
    <t>WIGAN BOROUGH  *</t>
  </si>
  <si>
    <t>Abram</t>
  </si>
  <si>
    <t>Boulton</t>
  </si>
  <si>
    <t>Selby and Ainsty CC (pt)</t>
  </si>
  <si>
    <t>Aycliffe West</t>
  </si>
  <si>
    <t>Barnard Castle East</t>
  </si>
  <si>
    <t>Barnard Castle West</t>
  </si>
  <si>
    <t>Benfieldside</t>
  </si>
  <si>
    <t>Bishop Auckland Town</t>
  </si>
  <si>
    <t>Blackhalls</t>
  </si>
  <si>
    <t>EREWASH BOROUGH</t>
  </si>
  <si>
    <t>HIGH PEAK BOROUGH</t>
  </si>
  <si>
    <t>NORTH EAST DERBYSHIRE DISTRICT</t>
  </si>
  <si>
    <t>SOUTH DERBYSHIRE DISTRICT</t>
  </si>
  <si>
    <t>County Average (Derbyshire) (8 seats)</t>
  </si>
  <si>
    <t>County Average (Derby) (2 seats)</t>
  </si>
  <si>
    <t>Hummersknott</t>
  </si>
  <si>
    <t>Hurworth</t>
  </si>
  <si>
    <t>Mowden</t>
  </si>
  <si>
    <t>Northgate</t>
  </si>
  <si>
    <t>Durham South</t>
  </si>
  <si>
    <t>Evenwood</t>
  </si>
  <si>
    <t>Ferryhill</t>
  </si>
  <si>
    <t>Horden</t>
  </si>
  <si>
    <t>Lanchester</t>
  </si>
  <si>
    <t>Leadgate and Medomsley</t>
  </si>
  <si>
    <t>Lumley</t>
  </si>
  <si>
    <t>Murton</t>
  </si>
  <si>
    <t>Neville's Cross</t>
  </si>
  <si>
    <t>Pelton</t>
  </si>
  <si>
    <t>Peterlee East</t>
  </si>
  <si>
    <t>Peterlee West</t>
  </si>
  <si>
    <t>Sacriston</t>
  </si>
  <si>
    <t>Seaham</t>
  </si>
  <si>
    <t>Sherburn</t>
  </si>
  <si>
    <t>North Somerset (pt)</t>
  </si>
  <si>
    <t>Weston-Super-Mare CC</t>
  </si>
  <si>
    <t>Backwell</t>
  </si>
  <si>
    <t>Kenton</t>
  </si>
  <si>
    <t>Kilburn</t>
  </si>
  <si>
    <t>Northwick Park</t>
  </si>
  <si>
    <t>Queens Park</t>
  </si>
  <si>
    <t>Queensbury</t>
  </si>
  <si>
    <t>Stonebridge</t>
  </si>
  <si>
    <t>Sudbury</t>
  </si>
  <si>
    <t>Tokyngton</t>
  </si>
  <si>
    <t>Welsh Harp</t>
  </si>
  <si>
    <t>Wembley Central</t>
  </si>
  <si>
    <t>Willesden Green</t>
  </si>
  <si>
    <t>Pill</t>
  </si>
  <si>
    <t>Portishead East</t>
  </si>
  <si>
    <t>Romanby</t>
  </si>
  <si>
    <t>Stokesley</t>
  </si>
  <si>
    <t>Thirsk</t>
  </si>
  <si>
    <t>Tollerton</t>
  </si>
  <si>
    <t>Richmond (Yorks) CC (pt)</t>
  </si>
  <si>
    <t>Thirsk and Malton CC (pt)</t>
  </si>
  <si>
    <t>County Average (Southampton) (2 seats)</t>
  </si>
  <si>
    <t>Whitwell</t>
  </si>
  <si>
    <t>Bolsover CC (pt)</t>
  </si>
  <si>
    <t>CHESTERFIELD BOROUGH  *</t>
  </si>
  <si>
    <t>Barrow Hill and New Whittington</t>
  </si>
  <si>
    <t>Brimington North</t>
  </si>
  <si>
    <t>Brimington South</t>
  </si>
  <si>
    <t>Brockwell</t>
  </si>
  <si>
    <t>Dunston</t>
  </si>
  <si>
    <t>Hasland</t>
  </si>
  <si>
    <t>Hollingwood and Inkersall</t>
  </si>
  <si>
    <t>Holmebrook</t>
  </si>
  <si>
    <t>Linacre</t>
  </si>
  <si>
    <t>Loundsley Green</t>
  </si>
  <si>
    <t>Lowgates and Woodthorpe</t>
  </si>
  <si>
    <t>Middlecroft and Poolsbrook</t>
  </si>
  <si>
    <t>Moor</t>
  </si>
  <si>
    <t>Old Whittington</t>
  </si>
  <si>
    <t>St Helen's</t>
  </si>
  <si>
    <t>St Leonard's</t>
  </si>
  <si>
    <t>North East Derbyshire CC (pt)</t>
  </si>
  <si>
    <t>* as created by The Borough of Chesterfield (Electoral Changes) Order 1999</t>
  </si>
  <si>
    <t>DERBYSHIRE DALES DISTRICT  *</t>
  </si>
  <si>
    <t>Ashbourne North</t>
  </si>
  <si>
    <t>Ashbourne South</t>
  </si>
  <si>
    <t>Bakewell</t>
  </si>
  <si>
    <t>Bradwell</t>
  </si>
  <si>
    <t>County Average (Brighton &amp; Hove) (3 seats)</t>
  </si>
  <si>
    <t>Bexhill and Battle CC</t>
  </si>
  <si>
    <t>Rother (pt)</t>
  </si>
  <si>
    <t>Wealden (pt)</t>
  </si>
  <si>
    <t>Brighton, Kemptown BC</t>
  </si>
  <si>
    <t>Brighton and Hove (pt)</t>
  </si>
  <si>
    <t>Lewes (pt)</t>
  </si>
  <si>
    <t>Brighton, Pavilion BC</t>
  </si>
  <si>
    <t>Eastbourne BC</t>
  </si>
  <si>
    <t>Hastings and Rye CC</t>
  </si>
  <si>
    <t>Hove BC</t>
  </si>
  <si>
    <t>Lewes CC</t>
  </si>
  <si>
    <t>Wealden CC</t>
  </si>
  <si>
    <t>WARWICK DISTRICT</t>
  </si>
  <si>
    <t>Kenilworth and Southam CC</t>
  </si>
  <si>
    <t>Rugby (pt)</t>
  </si>
  <si>
    <t>Warwick (pt)</t>
  </si>
  <si>
    <t>Long Eaton Central</t>
  </si>
  <si>
    <t>Nottingham Road</t>
  </si>
  <si>
    <t>Sawley</t>
  </si>
  <si>
    <t>Stanley</t>
  </si>
  <si>
    <t>Wilsthorpe</t>
  </si>
  <si>
    <t>HIGH PEAK BOROUGH  *</t>
  </si>
  <si>
    <t>Barms</t>
  </si>
  <si>
    <t>Blackbrook</t>
  </si>
  <si>
    <t>Burbage</t>
  </si>
  <si>
    <t>Buxton Central</t>
  </si>
  <si>
    <t>Chapel East</t>
  </si>
  <si>
    <t>Chapel West</t>
  </si>
  <si>
    <t>Corbar</t>
  </si>
  <si>
    <t>Cote Heath</t>
  </si>
  <si>
    <t>Dinting</t>
  </si>
  <si>
    <t>Gamesley</t>
  </si>
  <si>
    <t>Hadfield North</t>
  </si>
  <si>
    <t>Hadfield South</t>
  </si>
  <si>
    <t>Hayfield</t>
  </si>
  <si>
    <t>Hope Valley</t>
  </si>
  <si>
    <t>Howard Town</t>
  </si>
  <si>
    <t>Limestone Peak</t>
  </si>
  <si>
    <t>New Mills East</t>
  </si>
  <si>
    <t>New Mills West</t>
  </si>
  <si>
    <t>Old Glossop</t>
  </si>
  <si>
    <t>Padfield</t>
  </si>
  <si>
    <t>Sett</t>
  </si>
  <si>
    <t>Simmondley</t>
  </si>
  <si>
    <t>Stone Bench</t>
  </si>
  <si>
    <t>Temple</t>
  </si>
  <si>
    <t>Tintwistle</t>
  </si>
  <si>
    <t>Whaley Bridge</t>
  </si>
  <si>
    <t>Sandwell (pt)</t>
  </si>
  <si>
    <t>Meriden CC</t>
  </si>
  <si>
    <t>Solihull (pt)</t>
  </si>
  <si>
    <t>* as created by The Borough of Eastbourne (Electoral Changes) Order 2001</t>
  </si>
  <si>
    <t>HASTINGS BOROUGH  *</t>
  </si>
  <si>
    <t>Ashdown</t>
  </si>
  <si>
    <t>Grayshott</t>
  </si>
  <si>
    <t>Headley</t>
  </si>
  <si>
    <t>Horndean Downs</t>
  </si>
  <si>
    <t>Solihull BC</t>
  </si>
  <si>
    <t>Stourbridge BC</t>
  </si>
  <si>
    <t>Sutton Coldfield BC</t>
  </si>
  <si>
    <t>Walsall North BC</t>
  </si>
  <si>
    <t>Walsall South BC</t>
  </si>
  <si>
    <t>Warley BC</t>
  </si>
  <si>
    <t>West Bromwich East BC</t>
  </si>
  <si>
    <t>West Bromwich West BC</t>
  </si>
  <si>
    <t>Wolverhampton North East BC</t>
  </si>
  <si>
    <t>Wolverhampton (pt)</t>
  </si>
  <si>
    <t>Wolverhampton South East BC</t>
  </si>
  <si>
    <t>Horndean Murray</t>
  </si>
  <si>
    <t>Lindford</t>
  </si>
  <si>
    <t>Liss</t>
  </si>
  <si>
    <t>Petersfield Bell Hill</t>
  </si>
  <si>
    <t>Petersfield Causeway</t>
  </si>
  <si>
    <t>Petersfield Heath</t>
  </si>
  <si>
    <t>Rowlands Castle</t>
  </si>
  <si>
    <t>Whitehill Chase</t>
  </si>
  <si>
    <t>Stockland Green</t>
  </si>
  <si>
    <t>Sutton Four Oaks</t>
  </si>
  <si>
    <t>Terriers and Amersham Hill</t>
  </si>
  <si>
    <t>The Risboroughs</t>
  </si>
  <si>
    <t>Tylers Green and Loudwater</t>
  </si>
  <si>
    <t>HALTON BOROUGH  *</t>
  </si>
  <si>
    <t xml:space="preserve">Birmingham, Northfield BC  </t>
  </si>
  <si>
    <t xml:space="preserve">Birmingham, Selly Oak BC  </t>
  </si>
  <si>
    <t>CITY OF COVENTRY  *</t>
  </si>
  <si>
    <t>Bablake</t>
  </si>
  <si>
    <t>County Average (Devon) (8 seats)</t>
  </si>
  <si>
    <t>Botley</t>
  </si>
  <si>
    <t>Eastleigh Central</t>
  </si>
  <si>
    <t>Eastleigh North</t>
  </si>
  <si>
    <t>Eastleigh South</t>
  </si>
  <si>
    <t>* as created by The Devon (City of Plymouth and Borough of Torbay) (Structural Change) Order 1996</t>
  </si>
  <si>
    <t>Budshead</t>
  </si>
  <si>
    <t>Devonport</t>
  </si>
  <si>
    <t>Drake</t>
  </si>
  <si>
    <t>Efford and Lipson</t>
  </si>
  <si>
    <t>Eggbuckland</t>
  </si>
  <si>
    <t>Ham</t>
  </si>
  <si>
    <t>Honicknowle</t>
  </si>
  <si>
    <t>Moor View</t>
  </si>
  <si>
    <t>Ellacombe</t>
  </si>
  <si>
    <t>Emsworth</t>
  </si>
  <si>
    <t>Hart Plain</t>
  </si>
  <si>
    <t>Hayling East</t>
  </si>
  <si>
    <t>Hayling West</t>
  </si>
  <si>
    <t>Purbrook</t>
  </si>
  <si>
    <t>St.Faith's</t>
  </si>
  <si>
    <t>Stakes</t>
  </si>
  <si>
    <t>Warren Park</t>
  </si>
  <si>
    <t>* as created by The Borough of Havant (Electoral Changes) Order 2001</t>
  </si>
  <si>
    <t>NEW FOREST DISTRICT  *</t>
  </si>
  <si>
    <t>Ashurst, Copythorne South and Netley Marsh</t>
  </si>
  <si>
    <t>Leesland</t>
  </si>
  <si>
    <t>Peel Common</t>
  </si>
  <si>
    <t>Privett</t>
  </si>
  <si>
    <t>Rowner and Holbrook</t>
  </si>
  <si>
    <t>* as created by The Borough of Gosport (Electoral Changes) Order 2001</t>
  </si>
  <si>
    <t>HART DISTRICT  *</t>
  </si>
  <si>
    <t>Blackwater and Hawley</t>
  </si>
  <si>
    <t>Fleet Central</t>
  </si>
  <si>
    <t>Fleet West</t>
  </si>
  <si>
    <t>Hartley Wintney</t>
  </si>
  <si>
    <t>Hook</t>
  </si>
  <si>
    <t>Long Sutton</t>
  </si>
  <si>
    <t>Odiham</t>
  </si>
  <si>
    <t>Yateley East</t>
  </si>
  <si>
    <t>Yateley West</t>
  </si>
  <si>
    <t>Aldershot BC (pt)</t>
  </si>
  <si>
    <t>Devon</t>
  </si>
  <si>
    <t>Lowdham</t>
  </si>
  <si>
    <t>TOWER HAMLETS LONDON BOROUGH  *</t>
  </si>
  <si>
    <t>Upper Gornal and Woodsetton</t>
  </si>
  <si>
    <t>Wollaston and Stourbridge Town</t>
  </si>
  <si>
    <t>Stockport (pt)</t>
  </si>
  <si>
    <t>Denton and Reddish BC</t>
  </si>
  <si>
    <t>Hazel Grove CC</t>
  </si>
  <si>
    <t>Heywood and Middleton CC</t>
  </si>
  <si>
    <t>Rochdale (pt)</t>
  </si>
  <si>
    <t>Leigh CC</t>
  </si>
  <si>
    <t>Makerfield CC</t>
  </si>
  <si>
    <t>Manchester Central BC</t>
  </si>
  <si>
    <t>Manchester, Gorton BC</t>
  </si>
  <si>
    <t>Manchester, Withington BC</t>
  </si>
  <si>
    <t>Sidmouth Rural</t>
  </si>
  <si>
    <t>Sidmouth Sidford</t>
  </si>
  <si>
    <t>Sidmouth Town</t>
  </si>
  <si>
    <t>Tale Vale</t>
  </si>
  <si>
    <t>Trinity</t>
  </si>
  <si>
    <t>Yarty</t>
  </si>
  <si>
    <t>Central Devon CC (pt)</t>
  </si>
  <si>
    <t>East Devon CC (pt)</t>
  </si>
  <si>
    <t>Tiverton and Honiton CC (pt)</t>
  </si>
  <si>
    <t>CITY OF EXETER  *</t>
  </si>
  <si>
    <t>Alphington</t>
  </si>
  <si>
    <t>Exwick</t>
  </si>
  <si>
    <t>Heavitree</t>
  </si>
  <si>
    <t>Bashley</t>
  </si>
  <si>
    <t>Becton</t>
  </si>
  <si>
    <t>Boldre and Sway</t>
  </si>
  <si>
    <t>Bramshaw, Copythorne North and Minstead</t>
  </si>
  <si>
    <t>Brockenhurst and Forest South East</t>
  </si>
  <si>
    <t>Buckland</t>
  </si>
  <si>
    <t>Butts Ash and Dibden Purlieu</t>
  </si>
  <si>
    <t>Dibden and Hythe East</t>
  </si>
  <si>
    <t>Downlands and Forest</t>
  </si>
  <si>
    <t>* as created by The Borough of Bolton (Electoral Changes) Order 2004</t>
  </si>
  <si>
    <t>BURY BOROUGH  *</t>
  </si>
  <si>
    <t>KNOWSLEY BOROUGH</t>
  </si>
  <si>
    <t>Holbury and North Blackfield</t>
  </si>
  <si>
    <t>Hordle</t>
  </si>
  <si>
    <t>Hythe West and Langdown</t>
  </si>
  <si>
    <t>Lymington Town</t>
  </si>
  <si>
    <t>Bassetlaw</t>
  </si>
  <si>
    <t>Broxtowe</t>
  </si>
  <si>
    <t>Gedling</t>
  </si>
  <si>
    <t>Mansfield</t>
  </si>
  <si>
    <t>Newark and Sherwood</t>
  </si>
  <si>
    <t>Rushcliffe</t>
  </si>
  <si>
    <t>NOTTINGHAMSHIRE</t>
  </si>
  <si>
    <t>Great Barr with Yew Tree</t>
  </si>
  <si>
    <t>Great Bridge</t>
  </si>
  <si>
    <t>Greets Green and Lyng</t>
  </si>
  <si>
    <t>Hateley Heath</t>
  </si>
  <si>
    <t>Langley</t>
  </si>
  <si>
    <t>Old Warley</t>
  </si>
  <si>
    <t>Oldbury</t>
  </si>
  <si>
    <t>Princes End</t>
  </si>
  <si>
    <t>Failsworth West</t>
  </si>
  <si>
    <t>Hollinwood</t>
  </si>
  <si>
    <t>Medlock Vale</t>
  </si>
  <si>
    <t>Royton North</t>
  </si>
  <si>
    <t>Royton South</t>
  </si>
  <si>
    <t>Saddleworth North</t>
  </si>
  <si>
    <t>Saddleworth South</t>
  </si>
  <si>
    <t>Saddleworth West and Lees</t>
  </si>
  <si>
    <t>St James'</t>
  </si>
  <si>
    <t>Shaw</t>
  </si>
  <si>
    <t>Waterhead</t>
  </si>
  <si>
    <t>Werneth</t>
  </si>
  <si>
    <t>Ashton-under-Lyne BC (pt)</t>
  </si>
  <si>
    <t>Oldham East and Saddleworth CC (pt)</t>
  </si>
  <si>
    <t>North Somerset *</t>
  </si>
  <si>
    <t>Craven</t>
  </si>
  <si>
    <t>Hambleton</t>
  </si>
  <si>
    <t>Harrogate</t>
  </si>
  <si>
    <t>Richmondshire</t>
  </si>
  <si>
    <t>Ryedale</t>
  </si>
  <si>
    <t>Scarborough</t>
  </si>
  <si>
    <t>Selby</t>
  </si>
  <si>
    <t>NORTH YORKSHIRE</t>
  </si>
  <si>
    <t>Nottingham *</t>
  </si>
  <si>
    <t>Ashfield</t>
  </si>
  <si>
    <t>MILTON KEYNES BOROUGH  *</t>
  </si>
  <si>
    <t>Milton Keynes North CC</t>
  </si>
  <si>
    <t>Milton Keynes (pt)</t>
  </si>
  <si>
    <t>Milton Keynes South BC</t>
  </si>
  <si>
    <t>Preesall</t>
  </si>
  <si>
    <t>Rossall</t>
  </si>
  <si>
    <t>Tithebarn</t>
  </si>
  <si>
    <t>Warren</t>
  </si>
  <si>
    <t>Wyresdale</t>
  </si>
  <si>
    <t>Moorland</t>
  </si>
  <si>
    <t>Teignmouth Central</t>
  </si>
  <si>
    <t>Teignmouth East</t>
  </si>
  <si>
    <t>Teignmouth West</t>
  </si>
  <si>
    <t>Haydock</t>
  </si>
  <si>
    <t>Moss Bank</t>
  </si>
  <si>
    <t>Newton</t>
  </si>
  <si>
    <t>Parr</t>
  </si>
  <si>
    <t>Rainford</t>
  </si>
  <si>
    <t>Elmdon</t>
  </si>
  <si>
    <t>Kingshurst and Fordbridge</t>
  </si>
  <si>
    <t>Lyndon</t>
  </si>
  <si>
    <t>Olton</t>
  </si>
  <si>
    <t>St Alphege</t>
  </si>
  <si>
    <t>Shirley East</t>
  </si>
  <si>
    <t>Shirley South</t>
  </si>
  <si>
    <t>Shirley West</t>
  </si>
  <si>
    <t>Silhill</t>
  </si>
  <si>
    <t>Smith's Wood</t>
  </si>
  <si>
    <t>Houghton</t>
  </si>
  <si>
    <t>Pallion</t>
  </si>
  <si>
    <t>Redhill</t>
  </si>
  <si>
    <t>Ryhope</t>
  </si>
  <si>
    <t>Aspull New Springs Whelley</t>
  </si>
  <si>
    <t>Astley Mosley Common</t>
  </si>
  <si>
    <t>Atherleigh</t>
  </si>
  <si>
    <t>Atherton</t>
  </si>
  <si>
    <t>Bryn</t>
  </si>
  <si>
    <t>Douglas</t>
  </si>
  <si>
    <t>Golborne and Lowton West</t>
  </si>
  <si>
    <t>Hindley</t>
  </si>
  <si>
    <t>Palfrey</t>
  </si>
  <si>
    <t>Pelsall</t>
  </si>
  <si>
    <t>Pheasey Park Farm</t>
  </si>
  <si>
    <t>* as created by The Borough of Solihull (Electoral Changes) Order 2003</t>
  </si>
  <si>
    <t>WALSALL BOROUGH  *</t>
  </si>
  <si>
    <t>Aldridge Central and South</t>
  </si>
  <si>
    <t>Aldridge North and Walsall Wood</t>
  </si>
  <si>
    <t>Bentley and Darlaston North</t>
  </si>
  <si>
    <t>Birchills Leamore</t>
  </si>
  <si>
    <t>Blakenall</t>
  </si>
  <si>
    <t>Lowton East</t>
  </si>
  <si>
    <t>Orrell</t>
  </si>
  <si>
    <t>Pemberton</t>
  </si>
  <si>
    <t>Shevington with Lower Ground</t>
  </si>
  <si>
    <t>Standish with Langtree</t>
  </si>
  <si>
    <t>Wigan Central</t>
  </si>
  <si>
    <t>Wigan West</t>
  </si>
  <si>
    <t>Winstanley</t>
  </si>
  <si>
    <t>Worsley Mesnes</t>
  </si>
  <si>
    <t>* as created by The Borough of Wigan (Electoral Changes) Order 2004</t>
  </si>
  <si>
    <t>HACKNEY LONDON BOROUGH  *</t>
  </si>
  <si>
    <t>Hackney North and Stoke Newington BC</t>
  </si>
  <si>
    <t>Hackney (pt)</t>
  </si>
  <si>
    <t>Hackney South and Shoreditch BC</t>
  </si>
  <si>
    <t>Brownswood</t>
  </si>
  <si>
    <t>Cazenove</t>
  </si>
  <si>
    <t>Clissold</t>
  </si>
  <si>
    <t>De Beauvoir</t>
  </si>
  <si>
    <t>Hackney Central</t>
  </si>
  <si>
    <t>Hackney Downs</t>
  </si>
  <si>
    <t>Haggerston</t>
  </si>
  <si>
    <t>King's Park</t>
  </si>
  <si>
    <t>Springfield</t>
  </si>
  <si>
    <t>HAMMERSMITH AND FULHAM LONDON BOROUGH  * #</t>
  </si>
  <si>
    <t>Chelsea and Fulham BC</t>
  </si>
  <si>
    <t>Hammersmith and Fulham (pt)</t>
  </si>
  <si>
    <t>Kensington and Chelsea (pt)</t>
  </si>
  <si>
    <t>Hammersmith BC</t>
  </si>
  <si>
    <t>Kensington BC</t>
  </si>
  <si>
    <t>Tamarside</t>
  </si>
  <si>
    <t>Holsworthy</t>
  </si>
  <si>
    <t>* as created by The Durham (Borough of Darlington) (Structural Change) Order 1995</t>
  </si>
  <si>
    <t># as created by The County Durham (Structural Change) Order 2008</t>
  </si>
  <si>
    <t>Harrowgate Hill</t>
  </si>
  <si>
    <t>Moulsham Lodge</t>
  </si>
  <si>
    <t>Patching Hall</t>
  </si>
  <si>
    <t>Rettendon and Runwell</t>
  </si>
  <si>
    <t>South Hanningfield, Stock and Margaretting</t>
  </si>
  <si>
    <t>South Woodham - Chetwood and Collingwood</t>
  </si>
  <si>
    <t>South Woodham - Elmwood and Woodville</t>
  </si>
  <si>
    <t>Springfield North</t>
  </si>
  <si>
    <t>The Lawns</t>
  </si>
  <si>
    <t>Waterhouse Farm</t>
  </si>
  <si>
    <t>Writtle</t>
  </si>
  <si>
    <t>Maldon CC (pt)</t>
  </si>
  <si>
    <t>Saffron Walden CC (pt)</t>
  </si>
  <si>
    <t>* as created by The Borough of Chelmsford (Electoral Changes) Order 2001</t>
  </si>
  <si>
    <t>COLCHESTER BOROUGH  *</t>
  </si>
  <si>
    <t>Burnham-on-Crouch South</t>
  </si>
  <si>
    <t>Great Totham</t>
  </si>
  <si>
    <t>Heybridge East</t>
  </si>
  <si>
    <t>Heybridge West</t>
  </si>
  <si>
    <t>Maldon East</t>
  </si>
  <si>
    <t>Maldon North</t>
  </si>
  <si>
    <t>Maldon South</t>
  </si>
  <si>
    <t>REDCAR AND CLEVELAND BOROUGH  *</t>
  </si>
  <si>
    <t>County Average (Middlesbrough) (2 seats)</t>
  </si>
  <si>
    <t>County Average (Redcar and Cleveland) (2 seats)</t>
  </si>
  <si>
    <t>County Average (All) (3 seats)</t>
  </si>
  <si>
    <t>Middlesbrough BC</t>
  </si>
  <si>
    <t>Middlesbrough (pt)</t>
  </si>
  <si>
    <t>Middlesbrough South and East Cleveland CC</t>
  </si>
  <si>
    <t>Redcar and Cleveland (pt)</t>
  </si>
  <si>
    <t>Redcar BC</t>
  </si>
  <si>
    <t>CITY OF GLOUCESTER</t>
  </si>
  <si>
    <t>STROUD DISTRICT</t>
  </si>
  <si>
    <t>TEWKESBURY BOROUGH</t>
  </si>
  <si>
    <t>Cheltenham BC</t>
  </si>
  <si>
    <t>Cheltenham (pt)</t>
  </si>
  <si>
    <t>Forest of Dean CC</t>
  </si>
  <si>
    <t>Tewkesbury (pt)</t>
  </si>
  <si>
    <t>Gloucester BC</t>
  </si>
  <si>
    <t>Gloucester (pt)</t>
  </si>
  <si>
    <t>Stroud CC</t>
  </si>
  <si>
    <t>Stroud (pt)</t>
  </si>
  <si>
    <t>Tewkesbury CC</t>
  </si>
  <si>
    <t>The Cotswolds CC</t>
  </si>
  <si>
    <t>CHELTENHAM BOROUGH  *</t>
  </si>
  <si>
    <t>Waltham Abbey Paternoster</t>
  </si>
  <si>
    <t>Waltham Abbey South West</t>
  </si>
  <si>
    <t>Harlow CC (pt)</t>
  </si>
  <si>
    <t>HARLOW DISTRICT  *</t>
  </si>
  <si>
    <t>Bush Fair</t>
  </si>
  <si>
    <t>Church Langley</t>
  </si>
  <si>
    <t>Great Parndon</t>
  </si>
  <si>
    <t>Harlow Common</t>
  </si>
  <si>
    <t>Little Parndon and Hare Street</t>
  </si>
  <si>
    <t>Mark Hall</t>
  </si>
  <si>
    <t>Old Harlow</t>
  </si>
  <si>
    <t>Staple Tye</t>
  </si>
  <si>
    <t>Olney</t>
  </si>
  <si>
    <t>Stantonbury</t>
  </si>
  <si>
    <t>Stony Stratford</t>
  </si>
  <si>
    <t>Wolverton</t>
  </si>
  <si>
    <t>Abingdon Dunmore</t>
  </si>
  <si>
    <t>Abingdon Fitzharris</t>
  </si>
  <si>
    <t>Burstow, Horne and Outwood</t>
  </si>
  <si>
    <t>Chaldon</t>
  </si>
  <si>
    <t>Dormansland and Felcourt</t>
  </si>
  <si>
    <t>Felbridge</t>
  </si>
  <si>
    <t>Godstone</t>
  </si>
  <si>
    <t>Harestone</t>
  </si>
  <si>
    <t>Limpsfield</t>
  </si>
  <si>
    <t>Penkridge West</t>
  </si>
  <si>
    <t>Perton Dippons</t>
  </si>
  <si>
    <t>Perton East</t>
  </si>
  <si>
    <t>Perton Lakeside</t>
  </si>
  <si>
    <t>Trysull and Seisdon</t>
  </si>
  <si>
    <t>Wombourne North and Lower Penn</t>
  </si>
  <si>
    <t>Wombourne South East</t>
  </si>
  <si>
    <t>Wombourne South West</t>
  </si>
  <si>
    <t>Stafford CC (pt)</t>
  </si>
  <si>
    <t>Luton South BC (pt)</t>
  </si>
  <si>
    <t>Barnfield</t>
  </si>
  <si>
    <t>Biscot</t>
  </si>
  <si>
    <t>Bramingham</t>
  </si>
  <si>
    <t>Challney</t>
  </si>
  <si>
    <t>Dallow</t>
  </si>
  <si>
    <t>Bampton and Clanfield</t>
  </si>
  <si>
    <t>Brize Norton and Shilton</t>
  </si>
  <si>
    <t>Burford</t>
  </si>
  <si>
    <t>Carterton North East</t>
  </si>
  <si>
    <t>Carterton North West</t>
  </si>
  <si>
    <t>WEST OXFORDSHIRE DISTRICT  *</t>
  </si>
  <si>
    <t>Alvescot and Filkins</t>
  </si>
  <si>
    <t>Ascott and Shipton</t>
  </si>
  <si>
    <t>TYNE AND WEAR</t>
  </si>
  <si>
    <t>Birmingham</t>
  </si>
  <si>
    <t>Warden Hill</t>
  </si>
  <si>
    <t>Tewkesbury CC (pt)</t>
  </si>
  <si>
    <t>24.</t>
  </si>
  <si>
    <t>25.</t>
  </si>
  <si>
    <t>Wilshamstead</t>
  </si>
  <si>
    <t>26.</t>
  </si>
  <si>
    <t>Wootton</t>
  </si>
  <si>
    <t>Mid Bedfordshire CC (pt)</t>
  </si>
  <si>
    <t>North East Bedfordshire CC (pt)</t>
  </si>
  <si>
    <t>CENTRAL BEDFORDSHIRE  *</t>
  </si>
  <si>
    <t>Ampthill</t>
  </si>
  <si>
    <t>Barton</t>
  </si>
  <si>
    <t>Chadlington and Churchill</t>
  </si>
  <si>
    <t>Charlbury and Finstock</t>
  </si>
  <si>
    <t>Chipping Norton</t>
  </si>
  <si>
    <t>SLOUGH BOROUGH  *</t>
  </si>
  <si>
    <t>WEST BERKSHIRE DISTRICT  *</t>
  </si>
  <si>
    <t>WINDSOR AND MAIDENHEAD BOROUGH  *</t>
  </si>
  <si>
    <t>WOKINGHAM DISTRICT  *</t>
  </si>
  <si>
    <t>Clavering</t>
  </si>
  <si>
    <t>Stansted North</t>
  </si>
  <si>
    <t>Homelands</t>
  </si>
  <si>
    <t>Pier</t>
  </si>
  <si>
    <t>St Bartholomews</t>
  </si>
  <si>
    <t>Boston and Skegness CC (pt)</t>
  </si>
  <si>
    <t>EAST LINDSEY DISTRICT  *</t>
  </si>
  <si>
    <t>Alford</t>
  </si>
  <si>
    <t>Binbrook</t>
  </si>
  <si>
    <t>Burgh le Marsh</t>
  </si>
  <si>
    <t>Markhouse</t>
  </si>
  <si>
    <t>William Morris</t>
  </si>
  <si>
    <t>Wood Street</t>
  </si>
  <si>
    <t>* as created by The London Borough of Waltham Forest (Electoral Changes) Order 2000</t>
  </si>
  <si>
    <t># paired with the London Borough of Redbridge</t>
  </si>
  <si>
    <t>Langley St.Mary's</t>
  </si>
  <si>
    <t>Upton</t>
  </si>
  <si>
    <t>Wexham Lea</t>
  </si>
  <si>
    <t>Aldermaston</t>
  </si>
  <si>
    <t>Bucklebury</t>
  </si>
  <si>
    <t>Three Bridges</t>
  </si>
  <si>
    <t>Leytonstone</t>
  </si>
  <si>
    <t>ST HELENS BOROUGH  *</t>
  </si>
  <si>
    <t>Billinge and Seneley Green</t>
  </si>
  <si>
    <t>Bold</t>
  </si>
  <si>
    <t>Earlestown</t>
  </si>
  <si>
    <t>Eccleston</t>
  </si>
  <si>
    <t>Short Heath</t>
  </si>
  <si>
    <t>Streetly</t>
  </si>
  <si>
    <t>Willenhall North</t>
  </si>
  <si>
    <t>Willenhall South</t>
  </si>
  <si>
    <t>* as created by The Borough of Walsall (Electoral Changes) Order 2003</t>
  </si>
  <si>
    <t>CITY OF WOLVERHAMPTON  *</t>
  </si>
  <si>
    <t>Bilston East</t>
  </si>
  <si>
    <t>Bilston North</t>
  </si>
  <si>
    <t>Blakenhall</t>
  </si>
  <si>
    <t>Bushbury North</t>
  </si>
  <si>
    <t>Bushbury South and Low Hill</t>
  </si>
  <si>
    <t>East Park</t>
  </si>
  <si>
    <t>Ettingshall</t>
  </si>
  <si>
    <t>Fallings Park</t>
  </si>
  <si>
    <t>Graiseley</t>
  </si>
  <si>
    <t>Heath Town</t>
  </si>
  <si>
    <t>Merry Hill</t>
  </si>
  <si>
    <t>Oxley</t>
  </si>
  <si>
    <t>Spring Vale</t>
  </si>
  <si>
    <t>Tettenhall Regis</t>
  </si>
  <si>
    <t>Tettenhall Wightwick</t>
  </si>
  <si>
    <t>Wednesfield North</t>
  </si>
  <si>
    <t>Wednesfield South</t>
  </si>
  <si>
    <t>* as created by The City of Wolverhampton (Electoral Changes) Order 2003</t>
  </si>
  <si>
    <t>ADUR DISTRICT</t>
  </si>
  <si>
    <t>ARUN DISTRICT</t>
  </si>
  <si>
    <t>CHICHESTER DISTRICT</t>
  </si>
  <si>
    <t>Stockton South BC</t>
  </si>
  <si>
    <t>Billingham Central</t>
  </si>
  <si>
    <t>Chalvey</t>
  </si>
  <si>
    <t>Cippenham Green</t>
  </si>
  <si>
    <t>Cippenham Meadows</t>
  </si>
  <si>
    <t>Colnbrook with Poyle</t>
  </si>
  <si>
    <t>Farnham</t>
  </si>
  <si>
    <t>Foxborough</t>
  </si>
  <si>
    <t>FOREST OF DEAN DISTRICT  *</t>
  </si>
  <si>
    <t>Boreham and The Leighs</t>
  </si>
  <si>
    <t>Broomfield and The Walthams</t>
  </si>
  <si>
    <t>Chelmer Village and Beaulieu Park</t>
  </si>
  <si>
    <t>Chelmsford Rural West</t>
  </si>
  <si>
    <t>Galleywood</t>
  </si>
  <si>
    <t>Goat Hall</t>
  </si>
  <si>
    <t>Great Baddow East</t>
  </si>
  <si>
    <t>Highwoods</t>
  </si>
  <si>
    <t>Cinderford West</t>
  </si>
  <si>
    <t>North Hykeham Witham</t>
  </si>
  <si>
    <t>Osbournby</t>
  </si>
  <si>
    <t>Ruskington</t>
  </si>
  <si>
    <t>Skellingthorpe</t>
  </si>
  <si>
    <t>Sleaford Castle</t>
  </si>
  <si>
    <t>Sleaford Holdingham</t>
  </si>
  <si>
    <t>Sleaford Navigation</t>
  </si>
  <si>
    <t>Sleaford Quarrington and Mareham</t>
  </si>
  <si>
    <t>Boyn Hill</t>
  </si>
  <si>
    <t>Bray</t>
  </si>
  <si>
    <t>Clewer East</t>
  </si>
  <si>
    <t>Lydney East</t>
  </si>
  <si>
    <t>Thatcham Central</t>
  </si>
  <si>
    <t>27.</t>
  </si>
  <si>
    <t>Thatcham West</t>
  </si>
  <si>
    <t>28.</t>
  </si>
  <si>
    <t>Theale</t>
  </si>
  <si>
    <t>29.</t>
  </si>
  <si>
    <t>Victoria</t>
  </si>
  <si>
    <t>30.</t>
  </si>
  <si>
    <t>Westwood</t>
  </si>
  <si>
    <t>Wokingham CC (pt)</t>
  </si>
  <si>
    <t>Belmont</t>
  </si>
  <si>
    <t>STROUD DISTRICT  *</t>
  </si>
  <si>
    <t>Amberley and Woodchester</t>
  </si>
  <si>
    <t>Copthorne and Worth</t>
  </si>
  <si>
    <t>Crawley Down and Turners Hill</t>
  </si>
  <si>
    <t>Cuckfield</t>
  </si>
  <si>
    <t>East Grinstead Ashplats</t>
  </si>
  <si>
    <t>East Grinstead Baldwins</t>
  </si>
  <si>
    <t>East Grinstead Herontye</t>
  </si>
  <si>
    <t>East Grinstead Imberhorne</t>
  </si>
  <si>
    <t>Cox Green</t>
  </si>
  <si>
    <t>* as created by The District of Mid Sussex (Electoral Changes) Order 2002</t>
  </si>
  <si>
    <t>WORTHING BOROUGH  *</t>
  </si>
  <si>
    <t>Durrington</t>
  </si>
  <si>
    <t>Gaisford</t>
  </si>
  <si>
    <t>Heene</t>
  </si>
  <si>
    <t>Northbrook</t>
  </si>
  <si>
    <t>Offington</t>
  </si>
  <si>
    <t>Salvington</t>
  </si>
  <si>
    <t>Selden</t>
  </si>
  <si>
    <t>Tarring</t>
  </si>
  <si>
    <t>* as created by The Borough of Worthing (Electoral Changes) Order 2002</t>
  </si>
  <si>
    <t>CITY OF BRADFORD</t>
  </si>
  <si>
    <t>CALDERDALE BOROUGH</t>
  </si>
  <si>
    <t>KIRKLEES BOROUGH</t>
  </si>
  <si>
    <t>CITY OF LEEDS</t>
  </si>
  <si>
    <t>CITY OF WAKEFIELD</t>
  </si>
  <si>
    <t>Batley and Spen BC</t>
  </si>
  <si>
    <t>Kirklees (pt)</t>
  </si>
  <si>
    <t>Bradford East BC</t>
  </si>
  <si>
    <t>Bradford (pt)</t>
  </si>
  <si>
    <t>Bradford South BC</t>
  </si>
  <si>
    <t>Bradford West BC</t>
  </si>
  <si>
    <t>Calder Valley CC</t>
  </si>
  <si>
    <t>Calderdale (pt)</t>
  </si>
  <si>
    <t>Colne Valley CC</t>
  </si>
  <si>
    <t>Dewsbury CC</t>
  </si>
  <si>
    <t>Elmet and Rothwell CC</t>
  </si>
  <si>
    <t>Leeds (pt)</t>
  </si>
  <si>
    <t>Halifax BC</t>
  </si>
  <si>
    <t>Hemsworth CC</t>
  </si>
  <si>
    <t>Wakefield (pt)</t>
  </si>
  <si>
    <t>Credenhill</t>
  </si>
  <si>
    <t>Golden Valley North</t>
  </si>
  <si>
    <t>Golden Valley South</t>
  </si>
  <si>
    <t>Hagley</t>
  </si>
  <si>
    <t>Hope End</t>
  </si>
  <si>
    <t>Kerne Bridge</t>
  </si>
  <si>
    <t>Leigh</t>
  </si>
  <si>
    <t>Wildridings and Central</t>
  </si>
  <si>
    <t>Winkfield and Cranbourne</t>
  </si>
  <si>
    <t>Bracknell CC (pt)</t>
  </si>
  <si>
    <t>Windsor CC (pt)</t>
  </si>
  <si>
    <t>Leyton and Wanstead BC</t>
  </si>
  <si>
    <t>Valentines</t>
  </si>
  <si>
    <t>Tilgate</t>
  </si>
  <si>
    <t>HORSHAM DISTRICT  *</t>
  </si>
  <si>
    <t>Bramber, Upper Beeding and Woodmancote</t>
  </si>
  <si>
    <t>Broadbridge Heath</t>
  </si>
  <si>
    <t>Cowfold, Shermanbury and West Grinstead</t>
  </si>
  <si>
    <t>Denne</t>
  </si>
  <si>
    <t>Prittlewell</t>
  </si>
  <si>
    <t>St Laurence</t>
  </si>
  <si>
    <t>Scunthorpe CC</t>
  </si>
  <si>
    <t>* as created by The Humberside (Structural Change) Order 1995</t>
  </si>
  <si>
    <t>Beverley Rural</t>
  </si>
  <si>
    <t>Bridlington Central and Old Town</t>
  </si>
  <si>
    <t>North Norfolk (pt)</t>
  </si>
  <si>
    <t>Great Yarmouth CC</t>
  </si>
  <si>
    <t>Mid Norfolk CC</t>
  </si>
  <si>
    <t>Breckland (pt)</t>
  </si>
  <si>
    <t>South Norfolk (pt)</t>
  </si>
  <si>
    <t>North Norfolk CC</t>
  </si>
  <si>
    <t>North West Norfolk CC</t>
  </si>
  <si>
    <t>King's Lynn and West Norfolk (pt)</t>
  </si>
  <si>
    <t>Norwich North BC</t>
  </si>
  <si>
    <t>Norwich (pt)</t>
  </si>
  <si>
    <t>Norwich South BC</t>
  </si>
  <si>
    <t>Swaffham</t>
  </si>
  <si>
    <t>Crosby and Park</t>
  </si>
  <si>
    <t>Ferry</t>
  </si>
  <si>
    <t>Frodingham</t>
  </si>
  <si>
    <t>Kingsway with Lincoln Gardens</t>
  </si>
  <si>
    <t>Ridge</t>
  </si>
  <si>
    <t>Claydon</t>
  </si>
  <si>
    <t>East Flegg</t>
  </si>
  <si>
    <t>Fleggburgh</t>
  </si>
  <si>
    <t>Gorleston</t>
  </si>
  <si>
    <t>Lothingland</t>
  </si>
  <si>
    <t>Magdalen</t>
  </si>
  <si>
    <t>Nelson</t>
  </si>
  <si>
    <t>Ormesby</t>
  </si>
  <si>
    <t>Southtown and Cobholm</t>
  </si>
  <si>
    <t>West Flegg</t>
  </si>
  <si>
    <t>Yarmouth North</t>
  </si>
  <si>
    <t>Blofield with South Walsham</t>
  </si>
  <si>
    <t>Brundall</t>
  </si>
  <si>
    <t>Burlingham</t>
  </si>
  <si>
    <t>Buxton</t>
  </si>
  <si>
    <t>West Marsh</t>
  </si>
  <si>
    <t>Wolds</t>
  </si>
  <si>
    <t>Yarborough</t>
  </si>
  <si>
    <t>Cleethorpes CC (pt)</t>
  </si>
  <si>
    <t>KING'S LYNN AND WEST NORFOLK BOROUGH  *</t>
  </si>
  <si>
    <t>Airfield</t>
  </si>
  <si>
    <t>Brancaster</t>
  </si>
  <si>
    <t>Burnham</t>
  </si>
  <si>
    <t>Clenchwarton</t>
  </si>
  <si>
    <t>Dersingham</t>
  </si>
  <si>
    <t>Downham Old Town</t>
  </si>
  <si>
    <t>East Downham</t>
  </si>
  <si>
    <t>Snettisham</t>
  </si>
  <si>
    <t>South Downham</t>
  </si>
  <si>
    <t>* as created by The Borough of Great Yarmouth (Electoral Changes) Order 2002</t>
  </si>
  <si>
    <t>Sprowston Central</t>
  </si>
  <si>
    <t>Sprowston East</t>
  </si>
  <si>
    <t>Taverham North</t>
  </si>
  <si>
    <t>Taverham South</t>
  </si>
  <si>
    <t>Thorpe St Andrew North West</t>
  </si>
  <si>
    <t>Thorpe St Andrew South East</t>
  </si>
  <si>
    <t>Wroxham</t>
  </si>
  <si>
    <t>Broadland CC (pt)</t>
  </si>
  <si>
    <t>Norwich North BC (pt)</t>
  </si>
  <si>
    <t>* as created by The District of Broadland (Electoral Changes) Order 2003</t>
  </si>
  <si>
    <t>GREAT YARMOUTH BOROUGH  *</t>
  </si>
  <si>
    <t>Bradwell North</t>
  </si>
  <si>
    <t>Great Horton</t>
  </si>
  <si>
    <t>Idle and Thackley</t>
  </si>
  <si>
    <t>Ilkley</t>
  </si>
  <si>
    <t>Keighley Central</t>
  </si>
  <si>
    <t>Keighley East</t>
  </si>
  <si>
    <t>Keighley West</t>
  </si>
  <si>
    <t>Little Horton</t>
  </si>
  <si>
    <t>Manningham</t>
  </si>
  <si>
    <t>Royds</t>
  </si>
  <si>
    <t>Fairstead</t>
  </si>
  <si>
    <t>Gaywood Chase</t>
  </si>
  <si>
    <t>Gaywood North Bank</t>
  </si>
  <si>
    <t>Heacham</t>
  </si>
  <si>
    <t>Hunstanton</t>
  </si>
  <si>
    <t>North Downham</t>
  </si>
  <si>
    <t>North Lynn</t>
  </si>
  <si>
    <t>* as created by The Borough of Dacorum (Electoral Changes) Order 2007</t>
  </si>
  <si>
    <t>EAST HERTFORDSHIRE DISTRICT  *</t>
  </si>
  <si>
    <t>Petersfield</t>
  </si>
  <si>
    <t>Queen Edith's</t>
  </si>
  <si>
    <t>Romsey</t>
  </si>
  <si>
    <t>Trumpington</t>
  </si>
  <si>
    <t>West Chesterton</t>
  </si>
  <si>
    <t>North East Hertfordshire CC (pt)</t>
  </si>
  <si>
    <t>Luddendenfoot</t>
  </si>
  <si>
    <t>Northowram and Shelf</t>
  </si>
  <si>
    <t>Ovenden</t>
  </si>
  <si>
    <t>Rastrick</t>
  </si>
  <si>
    <t>Rutland and Melton CC (pt)</t>
  </si>
  <si>
    <t>BLABY DISTRICT  *</t>
  </si>
  <si>
    <t>Blaby South</t>
  </si>
  <si>
    <t>Cosby with South Whetstone</t>
  </si>
  <si>
    <t>Stevenage CC (pt)</t>
  </si>
  <si>
    <t>HERTSMERE BOROUGH  *</t>
  </si>
  <si>
    <t>Aldenham East</t>
  </si>
  <si>
    <t>Aldenham West</t>
  </si>
  <si>
    <t>Borehamwood Brookmeadow</t>
  </si>
  <si>
    <t>Borehamwood Cowley Hill</t>
  </si>
  <si>
    <t>Borehamwood Hillside</t>
  </si>
  <si>
    <t>Borehamwood Kenilworth</t>
  </si>
  <si>
    <t>Bushey Heath</t>
  </si>
  <si>
    <t>Bushey North</t>
  </si>
  <si>
    <t>Bushey Park</t>
  </si>
  <si>
    <t>Bushey St James</t>
  </si>
  <si>
    <t>Elstree</t>
  </si>
  <si>
    <t>Potters Bar Furzefield</t>
  </si>
  <si>
    <t>Potters Bar Oakmere</t>
  </si>
  <si>
    <t>Kirkgate</t>
  </si>
  <si>
    <t>Lattersey</t>
  </si>
  <si>
    <t>Manea</t>
  </si>
  <si>
    <t>March East</t>
  </si>
  <si>
    <t>March North</t>
  </si>
  <si>
    <t>March West</t>
  </si>
  <si>
    <t>Medworth</t>
  </si>
  <si>
    <t>Peckover</t>
  </si>
  <si>
    <t>Roman Bank</t>
  </si>
  <si>
    <t>St Andrews</t>
  </si>
  <si>
    <t>NORTH HERTFORDSHIRE DISTRICT  *</t>
  </si>
  <si>
    <t>Baldock East</t>
  </si>
  <si>
    <t>Baldock Town</t>
  </si>
  <si>
    <t>Holme Valley North</t>
  </si>
  <si>
    <t>Holme Valley South</t>
  </si>
  <si>
    <t>Kirkburton</t>
  </si>
  <si>
    <t>Potters Bar Parkfield</t>
  </si>
  <si>
    <t>Shenley</t>
  </si>
  <si>
    <t>Eltham South</t>
  </si>
  <si>
    <t>Eltham West</t>
  </si>
  <si>
    <t>Glyndon</t>
  </si>
  <si>
    <t>Greenwich West</t>
  </si>
  <si>
    <t>Kidbrooke with Hornfair</t>
  </si>
  <si>
    <t>Middle Park and Sutcliffe</t>
  </si>
  <si>
    <t>Peninsula</t>
  </si>
  <si>
    <t>Plumstead</t>
  </si>
  <si>
    <t>Shooters Hill</t>
  </si>
  <si>
    <t>Thamesmead Moorings</t>
  </si>
  <si>
    <t>Woolwich Common</t>
  </si>
  <si>
    <t>Woolwich Riverside</t>
  </si>
  <si>
    <t>* as created by The London Borough of Greenwich (Electoral Changes) Order 2000</t>
  </si>
  <si>
    <t># paired with the London Borough of Bexley</t>
  </si>
  <si>
    <t>BRENT LONDON BOROUGH  * #</t>
  </si>
  <si>
    <t>Brent Central BC</t>
  </si>
  <si>
    <t>Brent (pt)</t>
  </si>
  <si>
    <t>Brent North BC</t>
  </si>
  <si>
    <t>Hampstead and Kilburn BC</t>
  </si>
  <si>
    <t>Camden (pt)</t>
  </si>
  <si>
    <t>Holborn and St Pancras BC</t>
  </si>
  <si>
    <t>Alperton</t>
  </si>
  <si>
    <t>Barnhill</t>
  </si>
  <si>
    <t>Brondesbury Park</t>
  </si>
  <si>
    <t>Dollis Hill</t>
  </si>
  <si>
    <t>Lindley</t>
  </si>
  <si>
    <t>Liversedge and Gomersal</t>
  </si>
  <si>
    <t>Mirfield</t>
  </si>
  <si>
    <t>Newsome</t>
  </si>
  <si>
    <t>Fortune Green</t>
  </si>
  <si>
    <t>Gospel Oak</t>
  </si>
  <si>
    <t>Hampstead Town</t>
  </si>
  <si>
    <t>Haverstock</t>
  </si>
  <si>
    <t>Highgate</t>
  </si>
  <si>
    <t>King's Cross</t>
  </si>
  <si>
    <t>Watford BC (pt)</t>
  </si>
  <si>
    <t>WATFORD BOROUGH  *</t>
  </si>
  <si>
    <t>Callowland</t>
  </si>
  <si>
    <t>Holywell</t>
  </si>
  <si>
    <t>Leggatts</t>
  </si>
  <si>
    <t>Meriden</t>
  </si>
  <si>
    <t>Nascot</t>
  </si>
  <si>
    <t>Oxhey</t>
  </si>
  <si>
    <t>Stanborough</t>
  </si>
  <si>
    <t>Tudor</t>
  </si>
  <si>
    <t>Vicarage</t>
  </si>
  <si>
    <t>Moor Park &amp; Eastbury</t>
  </si>
  <si>
    <t>Penn</t>
  </si>
  <si>
    <t>Kettering CC</t>
  </si>
  <si>
    <t>Northampton North BC</t>
  </si>
  <si>
    <t>Northampton South BC</t>
  </si>
  <si>
    <t>South Northamptonshire CC</t>
  </si>
  <si>
    <t>Wellingborough CC</t>
  </si>
  <si>
    <t>Lodge Park</t>
  </si>
  <si>
    <t>Rural West</t>
  </si>
  <si>
    <t>CAMDEN LONDON BOROUGH  * #</t>
  </si>
  <si>
    <t>Belsize</t>
  </si>
  <si>
    <t>Bloomsbury</t>
  </si>
  <si>
    <t>Leavesden</t>
  </si>
  <si>
    <t>NORTH WARWICKSHIRE BOROUGH</t>
  </si>
  <si>
    <t>NUNEATON AND BEDWORTH BOROUGH</t>
  </si>
  <si>
    <t>RUGBY BOROUGH</t>
  </si>
  <si>
    <t>Kirkstall</t>
  </si>
  <si>
    <t>Middleton Park</t>
  </si>
  <si>
    <t>Moortown</t>
  </si>
  <si>
    <t>Morley North</t>
  </si>
  <si>
    <t>Morley South</t>
  </si>
  <si>
    <t>Roundhay</t>
  </si>
  <si>
    <t>Temple Newsam</t>
  </si>
  <si>
    <t>Weetwood</t>
  </si>
  <si>
    <t>Wetherby</t>
  </si>
  <si>
    <t>Plaistow and Sundridge</t>
  </si>
  <si>
    <t>Shortlands</t>
  </si>
  <si>
    <t>West Wickham</t>
  </si>
  <si>
    <t>* as created by The London Borough of Bromley (Electoral Changes) Order 2000</t>
  </si>
  <si>
    <t># paired with the London Borough of Lewisham</t>
  </si>
  <si>
    <t>LEWISHAM LONDON BOROUGH  * #</t>
  </si>
  <si>
    <t>Bellingham</t>
  </si>
  <si>
    <t>Blackheath</t>
  </si>
  <si>
    <t>Brockley</t>
  </si>
  <si>
    <t>Catford South</t>
  </si>
  <si>
    <t>Crofton Park</t>
  </si>
  <si>
    <t>Downham</t>
  </si>
  <si>
    <t>Evelyn</t>
  </si>
  <si>
    <t>Forest Hill</t>
  </si>
  <si>
    <t>Grove Park</t>
  </si>
  <si>
    <t>Ladywell</t>
  </si>
  <si>
    <t>Lee Green</t>
  </si>
  <si>
    <t>Lewisham Central</t>
  </si>
  <si>
    <t>Perry Vale</t>
  </si>
  <si>
    <t>Rushey Green</t>
  </si>
  <si>
    <t>Sydenham</t>
  </si>
  <si>
    <t>Telegraph Hill</t>
  </si>
  <si>
    <t>* as created by The London Borough of Lewisham (Electoral Changes) Order 2000</t>
  </si>
  <si>
    <t>* as created by The Hereford and Worcester (Structural, Boundary and Electoral Changes) Order 1996</t>
  </si>
  <si>
    <t>BROMSGROVE DISTRICT  *</t>
  </si>
  <si>
    <t>BEXLEY LONDON BOROUGH  * #</t>
  </si>
  <si>
    <t>Bexleyheath and Crayford BC</t>
  </si>
  <si>
    <t>Bristol North West BC</t>
  </si>
  <si>
    <t>* as created by The London Borough of Hounslow (Electoral Changes) Order 2000</t>
  </si>
  <si>
    <t>* as created by The District of Wokingham (Electoral Changes) Order 2002</t>
  </si>
  <si>
    <t># paired with the London Borough of Bromley</t>
  </si>
  <si>
    <t>CITY OF BRISTOL  *</t>
  </si>
  <si>
    <t>County Average (4 seats)</t>
  </si>
  <si>
    <t>Bristol East BC</t>
  </si>
  <si>
    <t>Bristol (pt)</t>
  </si>
  <si>
    <t>Parklands</t>
  </si>
  <si>
    <t>Rothwell</t>
  </si>
  <si>
    <t>Skipton and Ripon CC (pt)</t>
  </si>
  <si>
    <t>Albrighton</t>
  </si>
  <si>
    <t>Alveley and Claverley</t>
  </si>
  <si>
    <t>Bagley</t>
  </si>
  <si>
    <t>Battlefield</t>
  </si>
  <si>
    <t>Bayston Hill, Column and Sutton</t>
  </si>
  <si>
    <t>Bishop's Castle</t>
  </si>
  <si>
    <t>Bowbrook</t>
  </si>
  <si>
    <t>Bridgnorth East and Astley Abbotts</t>
  </si>
  <si>
    <t>Bridgnorth West and Tasley</t>
  </si>
  <si>
    <t>Broseley</t>
  </si>
  <si>
    <t>Brown Clee</t>
  </si>
  <si>
    <t>Burnell</t>
  </si>
  <si>
    <t>Castlefields and Ditherington</t>
  </si>
  <si>
    <t>Cheswardine</t>
  </si>
  <si>
    <t>Chirbury and Worthen</t>
  </si>
  <si>
    <t>Church Stretton and Craven Arms</t>
  </si>
  <si>
    <t>Clee</t>
  </si>
  <si>
    <t>Cleobury Mortimer</t>
  </si>
  <si>
    <t>Clun</t>
  </si>
  <si>
    <t>Copthorne</t>
  </si>
  <si>
    <t>Corvedale</t>
  </si>
  <si>
    <t>Ellesmere Urban</t>
  </si>
  <si>
    <t>Harlescott</t>
  </si>
  <si>
    <t>Highley</t>
  </si>
  <si>
    <t>Hodnet</t>
  </si>
  <si>
    <t>Llanymynech</t>
  </si>
  <si>
    <t>Longden</t>
  </si>
  <si>
    <t>Loton</t>
  </si>
  <si>
    <t>Ludlow East</t>
  </si>
  <si>
    <t>Ludlow South</t>
  </si>
  <si>
    <t>Market Drayton East</t>
  </si>
  <si>
    <t>Market Drayton West</t>
  </si>
  <si>
    <t>Meole</t>
  </si>
  <si>
    <t>Monkmoor</t>
  </si>
  <si>
    <t>Much Wenlock</t>
  </si>
  <si>
    <t>Oswestry East</t>
  </si>
  <si>
    <t>Oswestry South</t>
  </si>
  <si>
    <t>Oswestry West</t>
  </si>
  <si>
    <t>Porthill</t>
  </si>
  <si>
    <t>Prees</t>
  </si>
  <si>
    <t>Tardebigge</t>
  </si>
  <si>
    <t>County Average (Cambridgeshire) (6 seats)</t>
  </si>
  <si>
    <t>County Average (Peterborough) (2 seats)</t>
  </si>
  <si>
    <t>County Average (All) (7 seats)</t>
  </si>
  <si>
    <t>Cambridge BC</t>
  </si>
  <si>
    <t>Cambridge (pt)</t>
  </si>
  <si>
    <t>Huntingdon CC</t>
  </si>
  <si>
    <t>Huntingdonshire (pt)</t>
  </si>
  <si>
    <t>North East Cambridgeshire CC</t>
  </si>
  <si>
    <t>East Cambridgeshire (pt)</t>
  </si>
  <si>
    <t>North West Cambridgeshire CC</t>
  </si>
  <si>
    <t>Peterborough (pt)</t>
  </si>
  <si>
    <t>Peterborough BC</t>
  </si>
  <si>
    <t>South Cambridgeshire CC</t>
  </si>
  <si>
    <t>South Cambridgeshire (pt)</t>
  </si>
  <si>
    <t>South East Cambridgeshire CC</t>
  </si>
  <si>
    <t>NORTH YORKSHIRE  *</t>
  </si>
  <si>
    <t>CRAVEN DISTRICT</t>
  </si>
  <si>
    <t>HAMBLETON DISTRICT</t>
  </si>
  <si>
    <t>HARROGATE BOROUGH  *</t>
  </si>
  <si>
    <t>RICHMONDSHIRE DISTRICT</t>
  </si>
  <si>
    <t>RYEDALE DISTRICT  *</t>
  </si>
  <si>
    <t>SCARBOROUGH BOROUGH</t>
  </si>
  <si>
    <t>SELBY DISTRICT  *</t>
  </si>
  <si>
    <t>Harrogate and Knaresborough CC</t>
  </si>
  <si>
    <t>Harrogate (pt)</t>
  </si>
  <si>
    <t>Richmond (Yorks) CC</t>
  </si>
  <si>
    <t>Hambleton (pt)</t>
  </si>
  <si>
    <t>Scarborough and Whitby CC</t>
  </si>
  <si>
    <t>Scarborough (pt)</t>
  </si>
  <si>
    <t>Selby and Ainsty CC</t>
  </si>
  <si>
    <t>Skipton and Ripon CC</t>
  </si>
  <si>
    <t>Thirsk and Malton CC</t>
  </si>
  <si>
    <t>Vintry</t>
  </si>
  <si>
    <t>Walbrook</t>
  </si>
  <si>
    <t># paired with the City of Westminster</t>
  </si>
  <si>
    <t>Link</t>
  </si>
  <si>
    <t>Martley</t>
  </si>
  <si>
    <t>Pickersleigh</t>
  </si>
  <si>
    <t>Powick</t>
  </si>
  <si>
    <t>Ripple</t>
  </si>
  <si>
    <t>Teme Valley</t>
  </si>
  <si>
    <t>Tenbury</t>
  </si>
  <si>
    <t>Upton and Hanley</t>
  </si>
  <si>
    <t>Wells</t>
  </si>
  <si>
    <t>Woodbury</t>
  </si>
  <si>
    <t>West Worcestershire CC (pt)</t>
  </si>
  <si>
    <t>* as created by The Malvern Hills (Electoral Changes) Order 2002</t>
  </si>
  <si>
    <t>REDDITCH BOROUGH  *</t>
  </si>
  <si>
    <t>Astwood Bank and Feckenham</t>
  </si>
  <si>
    <t>Henley CC (pt)</t>
  </si>
  <si>
    <t>Oxford West and Abingdon CC (pt)</t>
  </si>
  <si>
    <t>CITY OF OXFORD  *</t>
  </si>
  <si>
    <t>Blackbird Leys</t>
  </si>
  <si>
    <t>Cowley</t>
  </si>
  <si>
    <t>Headington</t>
  </si>
  <si>
    <t>Hinksey Park</t>
  </si>
  <si>
    <t>Littlemore</t>
  </si>
  <si>
    <t>Lye Valley</t>
  </si>
  <si>
    <t>Northfield Brook</t>
  </si>
  <si>
    <t>* as created by The Cornwall (Structural Change) Order 2007</t>
  </si>
  <si>
    <t>CROYDON LONDON BOROUGH  *</t>
  </si>
  <si>
    <t>Borough Average (3 Seats)</t>
  </si>
  <si>
    <t>Croydon Central BC</t>
  </si>
  <si>
    <t>Flimby</t>
  </si>
  <si>
    <t>Keswick</t>
  </si>
  <si>
    <t>Marsh</t>
  </si>
  <si>
    <t>St John's</t>
  </si>
  <si>
    <t>Seaton</t>
  </si>
  <si>
    <t>Warnell</t>
  </si>
  <si>
    <t>Copeland CC (pt)</t>
  </si>
  <si>
    <t>Penrith and The Border CC (pt)</t>
  </si>
  <si>
    <t>BARROW-IN-FURNESS BOROUGH  *</t>
  </si>
  <si>
    <t>West Thornton</t>
  </si>
  <si>
    <t>Woodside</t>
  </si>
  <si>
    <t>ALLERDALE BOROUGH</t>
  </si>
  <si>
    <t>BARROW-IN-FURNESS BOROUGH</t>
  </si>
  <si>
    <t>CITY OF CARLISLE</t>
  </si>
  <si>
    <t>COPELAND BOROUGH</t>
  </si>
  <si>
    <t>South Norwood</t>
  </si>
  <si>
    <t>Thornton Heath</t>
  </si>
  <si>
    <t>Waddon</t>
  </si>
  <si>
    <t>* as created by The County of Wiltshire (Electoral Changes) Order 2009</t>
  </si>
  <si>
    <t>Wiltshire *</t>
  </si>
  <si>
    <t>Ambleside and Grasmere</t>
  </si>
  <si>
    <t>Broughton</t>
  </si>
  <si>
    <t>South West Wiltshire CC</t>
  </si>
  <si>
    <t>* as created by The Wiltshire (Structural Change) Order 2008</t>
  </si>
  <si>
    <t>Amesbury West</t>
  </si>
  <si>
    <t>Bradford-on-Avon North</t>
  </si>
  <si>
    <t>Bradford-on-Avon South</t>
  </si>
  <si>
    <t>Brinkworth</t>
  </si>
  <si>
    <t>By Brook</t>
  </si>
  <si>
    <t>Calne Central</t>
  </si>
  <si>
    <t>Calne North</t>
  </si>
  <si>
    <t>Calne Rural</t>
  </si>
  <si>
    <t>Chippenham Monkton</t>
  </si>
  <si>
    <t>Chippenham Pewsham</t>
  </si>
  <si>
    <t>Devizes East</t>
  </si>
  <si>
    <t>Devizes North</t>
  </si>
  <si>
    <t>Hilperton</t>
  </si>
  <si>
    <t>Kington</t>
  </si>
  <si>
    <t>Chorley North West</t>
  </si>
  <si>
    <t>Chorley South West</t>
  </si>
  <si>
    <t>Esk Valley</t>
  </si>
  <si>
    <t>Filey</t>
  </si>
  <si>
    <t>Ryedale South West</t>
  </si>
  <si>
    <t>Sheriff Hutton</t>
  </si>
  <si>
    <t>Sinnington</t>
  </si>
  <si>
    <t>Thornton Dale</t>
  </si>
  <si>
    <t>* as created by The District of Ryedale (Electoral Changes) Order 2000</t>
  </si>
  <si>
    <t>SCARBOROUGH BOROUGH  *</t>
  </si>
  <si>
    <t>Cayton</t>
  </si>
  <si>
    <t>Spotland and Falinge</t>
  </si>
  <si>
    <t>Wardle and West Littleborough</t>
  </si>
  <si>
    <t>West Heywood</t>
  </si>
  <si>
    <t>West Middleton</t>
  </si>
  <si>
    <t>* as created by The Borough of Rochdale (Electoral Changes) Order 2004</t>
  </si>
  <si>
    <t>CITY OF SALFORD  *</t>
  </si>
  <si>
    <t>Strensall</t>
  </si>
  <si>
    <t>Winchester CC</t>
  </si>
  <si>
    <t>Bargate</t>
  </si>
  <si>
    <t>Bassett</t>
  </si>
  <si>
    <t>Bevois</t>
  </si>
  <si>
    <t>Bitterne</t>
  </si>
  <si>
    <t>Bitterne Park</t>
  </si>
  <si>
    <t>Coxford</t>
  </si>
  <si>
    <t>Freemantle</t>
  </si>
  <si>
    <t>Harefield</t>
  </si>
  <si>
    <t>Millbrook</t>
  </si>
  <si>
    <t>Peartree</t>
  </si>
  <si>
    <t>Portswood</t>
  </si>
  <si>
    <t>Sholing</t>
  </si>
  <si>
    <t>Swaythling</t>
  </si>
  <si>
    <t>Woolston</t>
  </si>
  <si>
    <t>Denmead</t>
  </si>
  <si>
    <t>Zetland</t>
  </si>
  <si>
    <t>Middlesbrough South and East Cleveland CC (pt)</t>
  </si>
  <si>
    <t>Southfield</t>
  </si>
  <si>
    <t>Vivary Bridge</t>
  </si>
  <si>
    <t>Whitefield</t>
  </si>
  <si>
    <t>CITY OF PRESTON  *</t>
  </si>
  <si>
    <t>Brookfield</t>
  </si>
  <si>
    <t>Cadley</t>
  </si>
  <si>
    <t>Deepdale</t>
  </si>
  <si>
    <t>Garrison</t>
  </si>
  <si>
    <t>Greyfriars</t>
  </si>
  <si>
    <t>Lea</t>
  </si>
  <si>
    <t>Preston Rural East</t>
  </si>
  <si>
    <t>Preston Rural North</t>
  </si>
  <si>
    <t>Ribbleton</t>
  </si>
  <si>
    <t>St George's</t>
  </si>
  <si>
    <t>St Matthew's</t>
  </si>
  <si>
    <t>Sharoe Green</t>
  </si>
  <si>
    <t>Sedbergh and Kirkby Lonsdale</t>
  </si>
  <si>
    <t>Middlesbrough South and Cleveland CC (pt)</t>
  </si>
  <si>
    <t>Brotton</t>
  </si>
  <si>
    <t>Coatham</t>
  </si>
  <si>
    <t>Romsey and Southampton North CC (pt)</t>
  </si>
  <si>
    <t>* as created by The City of Southampton (Electoral Changes) Order 2001</t>
  </si>
  <si>
    <t>BASINGSTOKE AND DEANE BOROUGH  *</t>
  </si>
  <si>
    <t>Grove</t>
  </si>
  <si>
    <t>* as created by The Isle of Wight (Electoral Changes) Order 2008</t>
  </si>
  <si>
    <t>ISLINGTON LONDON BOROUGH  *</t>
  </si>
  <si>
    <t>Islington North BC</t>
  </si>
  <si>
    <t>Islington (pt)</t>
  </si>
  <si>
    <t>Farington East</t>
  </si>
  <si>
    <t>Farington West</t>
  </si>
  <si>
    <t>Leyland Central</t>
  </si>
  <si>
    <t>Lostock Hall</t>
  </si>
  <si>
    <t>Middleforth</t>
  </si>
  <si>
    <t>Gillingham North</t>
  </si>
  <si>
    <t>Gillingham South</t>
  </si>
  <si>
    <t>Hempstead and Wigmore</t>
  </si>
  <si>
    <t>Lordswood and Capstone</t>
  </si>
  <si>
    <t>Luton and Wayfield</t>
  </si>
  <si>
    <t>Princes Park</t>
  </si>
  <si>
    <t>Rainham Central</t>
  </si>
  <si>
    <t>Rainham North</t>
  </si>
  <si>
    <t>Rainham South</t>
  </si>
  <si>
    <t>Rochester East</t>
  </si>
  <si>
    <t>Rochester South and Horsted</t>
  </si>
  <si>
    <t>Rochester West</t>
  </si>
  <si>
    <t>Strood North</t>
  </si>
  <si>
    <t>Strood Rural</t>
  </si>
  <si>
    <t>Strood South</t>
  </si>
  <si>
    <t>Twydall</t>
  </si>
  <si>
    <t>Walderslade</t>
  </si>
  <si>
    <t>Chatham and Aylesford CC (pt)</t>
  </si>
  <si>
    <t>* as created by The Borough of Medway (Electoral Changes) Order 2002</t>
  </si>
  <si>
    <t>ASHFORD BOROUGH  *</t>
  </si>
  <si>
    <t>Scarisbrick</t>
  </si>
  <si>
    <t>Scott</t>
  </si>
  <si>
    <t>Skelmersdale North</t>
  </si>
  <si>
    <t>Worksop South</t>
  </si>
  <si>
    <t>Worksop South East</t>
  </si>
  <si>
    <t>Newark CC (pt)</t>
  </si>
  <si>
    <t>Goodmayes</t>
  </si>
  <si>
    <t>Hainault</t>
  </si>
  <si>
    <t>Loxford</t>
  </si>
  <si>
    <t>Monkhams</t>
  </si>
  <si>
    <t>Newbury</t>
  </si>
  <si>
    <t>Seven Kings</t>
  </si>
  <si>
    <t>Upper Meon Valley</t>
  </si>
  <si>
    <t>Parliamentary Electorate</t>
  </si>
  <si>
    <t>Theoretical Entitlement</t>
  </si>
  <si>
    <t>District/County/London Borough</t>
  </si>
  <si>
    <t>Bolton</t>
  </si>
  <si>
    <t>Bury</t>
  </si>
  <si>
    <t>Manchester</t>
  </si>
  <si>
    <t>Oldham</t>
  </si>
  <si>
    <t>Rochdale</t>
  </si>
  <si>
    <t>Salford</t>
  </si>
  <si>
    <t>Stockport</t>
  </si>
  <si>
    <t>Tameside</t>
  </si>
  <si>
    <t>Trafford</t>
  </si>
  <si>
    <t>Wigan</t>
  </si>
  <si>
    <t>GREATER MANCHESTER</t>
  </si>
  <si>
    <t>Knowsley</t>
  </si>
  <si>
    <t>Liverpool</t>
  </si>
  <si>
    <t>St Helens</t>
  </si>
  <si>
    <t>Sefton</t>
  </si>
  <si>
    <t>Wirral</t>
  </si>
  <si>
    <t>MERSEYSIDE</t>
  </si>
  <si>
    <t>Barnsley</t>
  </si>
  <si>
    <t>Doncaster</t>
  </si>
  <si>
    <t>Rotherham</t>
  </si>
  <si>
    <t>Sheffield</t>
  </si>
  <si>
    <t>SOUTH YORKSHIRE</t>
  </si>
  <si>
    <t>Gateshead</t>
  </si>
  <si>
    <t>Newcastle upon Tyne</t>
  </si>
  <si>
    <t>Muskham</t>
  </si>
  <si>
    <t>Ollerton</t>
  </si>
  <si>
    <t>Sutton-on-Trent</t>
  </si>
  <si>
    <t>Trent</t>
  </si>
  <si>
    <t>Haslemere Critchmere and Shottermill</t>
  </si>
  <si>
    <t>Haslemere East and Grayswood</t>
  </si>
  <si>
    <t>Hindhead</t>
  </si>
  <si>
    <t>Shamley Green and Cranleigh North</t>
  </si>
  <si>
    <t>Witley and Hambledon</t>
  </si>
  <si>
    <t>* as created by The Borough of Waverley (Electoral Changes) Order 1999</t>
  </si>
  <si>
    <t>WOKING BOROUGH  *</t>
  </si>
  <si>
    <t>Knaphill</t>
  </si>
  <si>
    <t>Norman</t>
  </si>
  <si>
    <t>Bingham West</t>
  </si>
  <si>
    <t>Compton Acres</t>
  </si>
  <si>
    <t>Cotgrave</t>
  </si>
  <si>
    <t>Cranmer</t>
  </si>
  <si>
    <t>Gotham</t>
  </si>
  <si>
    <t>Lady Bay</t>
  </si>
  <si>
    <t>Cressington</t>
  </si>
  <si>
    <t>Croxteth</t>
  </si>
  <si>
    <t>Everton</t>
  </si>
  <si>
    <t>Fazakerley</t>
  </si>
  <si>
    <t>* as created by The District of Newark and Sherwood (Electoral Changes) Order 2007</t>
  </si>
  <si>
    <t>RUSHCLIFFE BOROUGH  *</t>
  </si>
  <si>
    <t>Bingham East</t>
  </si>
  <si>
    <t>Swanside</t>
  </si>
  <si>
    <t>Garston and Halewood BC (pt)</t>
  </si>
  <si>
    <t>St Helens South and Whiston BC (pt)</t>
  </si>
  <si>
    <t>CITY OF LIVERPOOL  *</t>
  </si>
  <si>
    <t>Allerton and Hunts Cross</t>
  </si>
  <si>
    <t>Anfield</t>
  </si>
  <si>
    <t>Belle Vale</t>
  </si>
  <si>
    <t>Childwall</t>
  </si>
  <si>
    <t>Clubmoor</t>
  </si>
  <si>
    <t>County</t>
  </si>
  <si>
    <t>Kirkdale</t>
  </si>
  <si>
    <t>Knotty Ash</t>
  </si>
  <si>
    <t>Mossley Hill</t>
  </si>
  <si>
    <t>Norris Green</t>
  </si>
  <si>
    <t>Old Swan</t>
  </si>
  <si>
    <t>Picton</t>
  </si>
  <si>
    <t>Speke-Garston</t>
  </si>
  <si>
    <t>Tuebrook and Stoneycroft</t>
  </si>
  <si>
    <t>Wavertree</t>
  </si>
  <si>
    <t>West Derby</t>
  </si>
  <si>
    <t>Woolton</t>
  </si>
  <si>
    <t>Yew Tree</t>
  </si>
  <si>
    <t>* as created by The City of Liverpool (Electoral Changes) Order 2003</t>
  </si>
  <si>
    <t>Rayners Lane</t>
  </si>
  <si>
    <t>Roxbourne</t>
  </si>
  <si>
    <t>Roxeth</t>
  </si>
  <si>
    <t>West Harrow</t>
  </si>
  <si>
    <t>Barming</t>
  </si>
  <si>
    <t>Bearsted</t>
  </si>
  <si>
    <t>Boughton Monchelsea and Chart Sutton</t>
  </si>
  <si>
    <t>Boxley</t>
  </si>
  <si>
    <t>Coxheath and Hunton</t>
  </si>
  <si>
    <t>Detling and Thurnham</t>
  </si>
  <si>
    <t>Downswood and Otham</t>
  </si>
  <si>
    <t>Fant</t>
  </si>
  <si>
    <t>Harrietsham and Lenham</t>
  </si>
  <si>
    <t>Berinsfield</t>
  </si>
  <si>
    <t>Chalgrove</t>
  </si>
  <si>
    <t>Chinnor</t>
  </si>
  <si>
    <t>Poplar and Limehouse BC</t>
  </si>
  <si>
    <t>Limehouse</t>
  </si>
  <si>
    <t>Seven Sisters</t>
  </si>
  <si>
    <t>Stroud Green</t>
  </si>
  <si>
    <t>Tottenham Hale</t>
  </si>
  <si>
    <t>West Green</t>
  </si>
  <si>
    <t>White Hart Lane</t>
  </si>
  <si>
    <t>* as created by The London Borough of Haringey (Electoral Changes) Order 2000</t>
  </si>
  <si>
    <t>HARROW LONDON BOROUGH  * #</t>
  </si>
  <si>
    <t>Harrow East BC</t>
  </si>
  <si>
    <t>Harrow (pt)</t>
  </si>
  <si>
    <t>Harrow West BC</t>
  </si>
  <si>
    <t>Ruislip, Northwood and Pinner BC</t>
  </si>
  <si>
    <t>CORNWALL &amp; ISLES OF SCILLY</t>
  </si>
  <si>
    <t>Higham</t>
  </si>
  <si>
    <t>Istead Rise</t>
  </si>
  <si>
    <t>Meopham North</t>
  </si>
  <si>
    <t>Coventry</t>
  </si>
  <si>
    <t>Dudley</t>
  </si>
  <si>
    <t>Sandwell</t>
  </si>
  <si>
    <t>Solihull</t>
  </si>
  <si>
    <t>Stoneleigh</t>
  </si>
  <si>
    <t>Crouch End</t>
  </si>
  <si>
    <t>Fortis Green</t>
  </si>
  <si>
    <t>Harringay</t>
  </si>
  <si>
    <t>Hornsey</t>
  </si>
  <si>
    <t>Muswell Hill</t>
  </si>
  <si>
    <t>Noel Park</t>
  </si>
  <si>
    <t>Northumberland Park</t>
  </si>
  <si>
    <t>St Ann's</t>
  </si>
  <si>
    <t>HARINGEY LONDON BOROUGH  *</t>
  </si>
  <si>
    <t>Hornsey and Wood Green BC</t>
  </si>
  <si>
    <t>Haringey (pt)</t>
  </si>
  <si>
    <t>Tottenham BC</t>
  </si>
  <si>
    <t>Bounds Green</t>
  </si>
  <si>
    <t>Felpham East</t>
  </si>
  <si>
    <t>Felpham West</t>
  </si>
  <si>
    <t>Ferring</t>
  </si>
  <si>
    <t>Hotham</t>
  </si>
  <si>
    <t>Middleton-on-Sea</t>
  </si>
  <si>
    <t>Orchard</t>
  </si>
  <si>
    <t>EAST SUSSEX &amp; BRIGHTON AND HOVE</t>
  </si>
  <si>
    <t>Basildon</t>
  </si>
  <si>
    <t>Braintree</t>
  </si>
  <si>
    <t>Brentwood</t>
  </si>
  <si>
    <t>Castle Point</t>
  </si>
  <si>
    <t>Chelmsford</t>
  </si>
  <si>
    <t>Colchester</t>
  </si>
  <si>
    <t>Epping Forest</t>
  </si>
  <si>
    <t>Harlow</t>
  </si>
  <si>
    <t>Maldon</t>
  </si>
  <si>
    <t>Rochford</t>
  </si>
  <si>
    <t>Tendring</t>
  </si>
  <si>
    <t>Uttlesford</t>
  </si>
  <si>
    <t>ESSEX</t>
  </si>
  <si>
    <t>Hellingly</t>
  </si>
  <si>
    <t>Mayfield</t>
  </si>
  <si>
    <t>Polegate North</t>
  </si>
  <si>
    <t>St Luke's</t>
  </si>
  <si>
    <t>Shoeburyness</t>
  </si>
  <si>
    <t>SEVENOAKS DISTRICT  *</t>
  </si>
  <si>
    <t>North Manor</t>
  </si>
  <si>
    <t>Pilkington Park</t>
  </si>
  <si>
    <t>Radcliffe East</t>
  </si>
  <si>
    <t>Radcliffe North</t>
  </si>
  <si>
    <t>Radcliffe West</t>
  </si>
  <si>
    <t>Ramsbottom</t>
  </si>
  <si>
    <t>Redvales</t>
  </si>
  <si>
    <t>Sedgley</t>
  </si>
  <si>
    <t>Otford and Shoreham</t>
  </si>
  <si>
    <t>Penshurst, Fordcombe and Chiddingstone</t>
  </si>
  <si>
    <t>Seal and Weald</t>
  </si>
  <si>
    <t>Sevenoaks Eastern</t>
  </si>
  <si>
    <t>Sevenoaks Kippington</t>
  </si>
  <si>
    <t>Sevenoaks Northern</t>
  </si>
  <si>
    <t>Sevenoaks Town and St John's</t>
  </si>
  <si>
    <t>Swanley Christchurch and Swanley Village</t>
  </si>
  <si>
    <t>Swanley St Mary's</t>
  </si>
  <si>
    <t>Elton</t>
  </si>
  <si>
    <t>Holyrood</t>
  </si>
  <si>
    <t>Harrow on the Hill</t>
  </si>
  <si>
    <t>Harrow Weald</t>
  </si>
  <si>
    <t>Hatch End</t>
  </si>
  <si>
    <t>Kenton East</t>
  </si>
  <si>
    <t>Kenton West</t>
  </si>
  <si>
    <t>Marlborough</t>
  </si>
  <si>
    <t>Pinner</t>
  </si>
  <si>
    <t>Pinner South</t>
  </si>
  <si>
    <t>Newcastle upon Tyne North BC</t>
  </si>
  <si>
    <t>North Tyneside BC</t>
  </si>
  <si>
    <t>North Tyneside (pt)</t>
  </si>
  <si>
    <t>South Shields BC</t>
  </si>
  <si>
    <t>Sunderland Central BC</t>
  </si>
  <si>
    <t>Tynemouth BC</t>
  </si>
  <si>
    <t>Washington and Sunderland West BC</t>
  </si>
  <si>
    <t>GATESHEAD BOROUGH  *</t>
  </si>
  <si>
    <t>Birtley</t>
  </si>
  <si>
    <t>Blaydon</t>
  </si>
  <si>
    <t>Bridges</t>
  </si>
  <si>
    <t>Chopwell and Rowlands Gill</t>
  </si>
  <si>
    <t>Chowdene</t>
  </si>
  <si>
    <t>Crawcrook and Greenside</t>
  </si>
  <si>
    <t>Deckham</t>
  </si>
  <si>
    <t>Dunston and Teams</t>
  </si>
  <si>
    <t>Dunston Hill and Whickham East</t>
  </si>
  <si>
    <t>Felling</t>
  </si>
  <si>
    <t>High Fell</t>
  </si>
  <si>
    <t>Lamesley</t>
  </si>
  <si>
    <t>Lobley Hill and Bensham</t>
  </si>
  <si>
    <t>Hebburn North</t>
  </si>
  <si>
    <t>Hebburn South</t>
  </si>
  <si>
    <t>Horsley Hill</t>
  </si>
  <si>
    <t>Monkton</t>
  </si>
  <si>
    <t>Simonside and Rekendyke</t>
  </si>
  <si>
    <t>Westoe</t>
  </si>
  <si>
    <t>NORTHAMPTONSHIRE</t>
  </si>
  <si>
    <t>Alnwick</t>
  </si>
  <si>
    <t>CITY OF ST ALBANS</t>
  </si>
  <si>
    <t>OXFORDSHIRE</t>
  </si>
  <si>
    <t>Portsmouth *</t>
  </si>
  <si>
    <t>Telford and Wrekin *</t>
  </si>
  <si>
    <t>SHROPSHIRE &amp; TELFORD AND WREKIN</t>
  </si>
  <si>
    <t>Mendip</t>
  </si>
  <si>
    <t>Sedgemoor</t>
  </si>
  <si>
    <t>South Somerset</t>
  </si>
  <si>
    <t>SOMERSET</t>
  </si>
  <si>
    <t>South Gloucestershire *</t>
  </si>
  <si>
    <t>Cannock Chase</t>
  </si>
  <si>
    <t>East Staffordshire</t>
  </si>
  <si>
    <t>Lichfield</t>
  </si>
  <si>
    <t>Newcastle-under-Lyme</t>
  </si>
  <si>
    <t>South Staffordshire</t>
  </si>
  <si>
    <t>Stafford</t>
  </si>
  <si>
    <t>Staffordshire Moorlands</t>
  </si>
  <si>
    <t>Welwyn Hatfield (pt)</t>
  </si>
  <si>
    <t>Hemel Hempstead CC</t>
  </si>
  <si>
    <t>Dacorum (pt)</t>
  </si>
  <si>
    <t>Hertford and Stortford CC</t>
  </si>
  <si>
    <t>East Hertfordshire (pt)</t>
  </si>
  <si>
    <t>Hertsmere CC</t>
  </si>
  <si>
    <t>Hitchin and Harpenden CC</t>
  </si>
  <si>
    <t>North Hertfordshire (pt)</t>
  </si>
  <si>
    <t>St Albans (pt)</t>
  </si>
  <si>
    <t>North East Hertfordshire CC</t>
  </si>
  <si>
    <t>South West Hertfordshire CC</t>
  </si>
  <si>
    <t>Three Rivers (pt)</t>
  </si>
  <si>
    <t>St Albans CC</t>
  </si>
  <si>
    <t>Stevenage CC</t>
  </si>
  <si>
    <t>Watford BC</t>
  </si>
  <si>
    <t>Welwyn Hatfield CC</t>
  </si>
  <si>
    <t>BROXBOURNE BOROUGH  *</t>
  </si>
  <si>
    <t>STEVENAGE BOROUGH</t>
  </si>
  <si>
    <t>THREE RIVERS DISTRICT</t>
  </si>
  <si>
    <t>WATFORD BOROUGH</t>
  </si>
  <si>
    <t>WELWYN HATFIELD BOROUGH</t>
  </si>
  <si>
    <t>County Average (11 seats)</t>
  </si>
  <si>
    <t>Broxbourne BC</t>
  </si>
  <si>
    <t>Christchurch CC</t>
  </si>
  <si>
    <t>Mid Dorset and North Poole CC</t>
  </si>
  <si>
    <t>North Dorset CC</t>
  </si>
  <si>
    <t>Poole BC</t>
  </si>
  <si>
    <t>Emmbrook</t>
  </si>
  <si>
    <t>Evendons</t>
  </si>
  <si>
    <t>Finchampstead North</t>
  </si>
  <si>
    <t>Finchampstead South</t>
  </si>
  <si>
    <t>Hawkedon</t>
  </si>
  <si>
    <t>Hillside</t>
  </si>
  <si>
    <t>Hurst</t>
  </si>
  <si>
    <t>Loddon</t>
  </si>
  <si>
    <t>Maiden Erlegh</t>
  </si>
  <si>
    <t>Norreys</t>
  </si>
  <si>
    <t>Waltham Cross</t>
  </si>
  <si>
    <t>Broxbourne BC (pt)</t>
  </si>
  <si>
    <t>DACORUM BOROUGH  *</t>
  </si>
  <si>
    <t>Adeyfield East</t>
  </si>
  <si>
    <t>NORTH TYNESIDE BOROUGH  *</t>
  </si>
  <si>
    <t>Battle Hill</t>
  </si>
  <si>
    <t>Benton</t>
  </si>
  <si>
    <t>Camperdown</t>
  </si>
  <si>
    <t>Chirton</t>
  </si>
  <si>
    <t>Collingwood</t>
  </si>
  <si>
    <t>Cullercoats</t>
  </si>
  <si>
    <t>Howdon</t>
  </si>
  <si>
    <t>Killingworth</t>
  </si>
  <si>
    <t>Spelthorne</t>
  </si>
  <si>
    <t>Surrey Heath</t>
  </si>
  <si>
    <t>Tandridge</t>
  </si>
  <si>
    <t>Waverley</t>
  </si>
  <si>
    <t>Woking</t>
  </si>
  <si>
    <t>SURREY</t>
  </si>
  <si>
    <t>Swindon *</t>
  </si>
  <si>
    <t>Warrington *</t>
  </si>
  <si>
    <t>North Warwickshire</t>
  </si>
  <si>
    <t>Fairestone</t>
  </si>
  <si>
    <t>EASTERN REGION</t>
  </si>
  <si>
    <t>EAST MIDLANDS REGION</t>
  </si>
  <si>
    <t>NORTH EAST REGION</t>
  </si>
  <si>
    <t>NORTH WEST REGION</t>
  </si>
  <si>
    <t>SOUTH EAST REGION</t>
  </si>
  <si>
    <t>SOUTH WEST REGION</t>
  </si>
  <si>
    <t>WEST MIDLANDS REGION</t>
  </si>
  <si>
    <t>* as created by The London Borough of Barking and Dagenham (Electoral Changes) Order 2000</t>
  </si>
  <si>
    <t># paired with the London Borough of Havering</t>
  </si>
  <si>
    <t>BARNET LONDON BOROUGH  *</t>
  </si>
  <si>
    <t>Borough Average (3 seats)</t>
  </si>
  <si>
    <t>Chipping Barnet BC</t>
  </si>
  <si>
    <t>Barnet (pt)</t>
  </si>
  <si>
    <t>Finchley and Golders Green BC</t>
  </si>
  <si>
    <t>Hendon BC</t>
  </si>
  <si>
    <t>1.</t>
  </si>
  <si>
    <t>Brunswick Park</t>
  </si>
  <si>
    <t>2.</t>
  </si>
  <si>
    <t>Burnt Oak</t>
  </si>
  <si>
    <t>3.</t>
  </si>
  <si>
    <t>Childs Hill</t>
  </si>
  <si>
    <t>4.</t>
  </si>
  <si>
    <t>5.</t>
  </si>
  <si>
    <t>Surrey Docks</t>
  </si>
  <si>
    <t># paired with the London Borough of Lambeth</t>
  </si>
  <si>
    <t>East Chesterton</t>
  </si>
  <si>
    <t>King's Hedges</t>
  </si>
  <si>
    <t>Market</t>
  </si>
  <si>
    <t>Carpenders Park</t>
  </si>
  <si>
    <t>Bexley (pt)</t>
  </si>
  <si>
    <t>Erith and Thamesmead BC</t>
  </si>
  <si>
    <t>Greenwich (pt)</t>
  </si>
  <si>
    <t>Old Bexley and Sidcup BC</t>
  </si>
  <si>
    <t>Eltham BC</t>
  </si>
  <si>
    <t>Greenwich and Woolwich BC</t>
  </si>
  <si>
    <t>Barnehurst</t>
  </si>
  <si>
    <t>Belvedere</t>
  </si>
  <si>
    <t>Brampton</t>
  </si>
  <si>
    <t>Crayford</t>
  </si>
  <si>
    <t>East Wickham</t>
  </si>
  <si>
    <t>Erith</t>
  </si>
  <si>
    <t>Hitchin Walsworth</t>
  </si>
  <si>
    <t>Hitchwood, Offa and Hoo</t>
  </si>
  <si>
    <t>Kimpton</t>
  </si>
  <si>
    <t>6.</t>
  </si>
  <si>
    <t>East Barnet</t>
  </si>
  <si>
    <t>7.</t>
  </si>
  <si>
    <t>East Finchley</t>
  </si>
  <si>
    <t>8.</t>
  </si>
  <si>
    <t>Edgware</t>
  </si>
  <si>
    <t>9.</t>
  </si>
  <si>
    <t>Finchley Church End</t>
  </si>
  <si>
    <t>10.</t>
  </si>
  <si>
    <t>Garden Suburb</t>
  </si>
  <si>
    <t>11.</t>
  </si>
  <si>
    <t>Golders Green</t>
  </si>
  <si>
    <t>12.</t>
  </si>
  <si>
    <t>13.</t>
  </si>
  <si>
    <t>Hendon</t>
  </si>
  <si>
    <t>14.</t>
  </si>
  <si>
    <t>High Barnet</t>
  </si>
  <si>
    <t>15.</t>
  </si>
  <si>
    <t>Mill Hill</t>
  </si>
  <si>
    <t>16.</t>
  </si>
  <si>
    <t>17.</t>
  </si>
  <si>
    <t>18.</t>
  </si>
  <si>
    <t>Underhill</t>
  </si>
  <si>
    <t>19.</t>
  </si>
  <si>
    <t>West Finchley</t>
  </si>
  <si>
    <t>20.</t>
  </si>
  <si>
    <t>West Hendon</t>
  </si>
  <si>
    <t>Woodhouse</t>
  </si>
  <si>
    <t>Marshalswick South</t>
  </si>
  <si>
    <t>Washington Central</t>
  </si>
  <si>
    <t>Washington East</t>
  </si>
  <si>
    <t>Washington North</t>
  </si>
  <si>
    <t>Washington South</t>
  </si>
  <si>
    <t>Washington West</t>
  </si>
  <si>
    <t>WANDSWORTH LONDON BOROUGH  *</t>
  </si>
  <si>
    <t>Battersea BC</t>
  </si>
  <si>
    <t>Wandsworth (pt)</t>
  </si>
  <si>
    <t>Putney BC</t>
  </si>
  <si>
    <t>Tooting BC</t>
  </si>
  <si>
    <t>* as created by The Borough of Stockport (Electoral Changes) Order 2004</t>
  </si>
  <si>
    <t>TAMESIDE BOROUGH  *</t>
  </si>
  <si>
    <t>Ashton Hurst</t>
  </si>
  <si>
    <t>Latchmere</t>
  </si>
  <si>
    <t>Nightingale</t>
  </si>
  <si>
    <t>Northcote</t>
  </si>
  <si>
    <t>Queenstown</t>
  </si>
  <si>
    <t>St Mary's Park</t>
  </si>
  <si>
    <t>Shaftesbury</t>
  </si>
  <si>
    <t>Southfields</t>
  </si>
  <si>
    <t>Thamesfield</t>
  </si>
  <si>
    <t>Tooting</t>
  </si>
  <si>
    <t>Wandsworth Common</t>
  </si>
  <si>
    <t>West Putney</t>
  </si>
  <si>
    <t>* as created by The London Borough of Wandsworth (Electoral Changes) Order 2000</t>
  </si>
  <si>
    <t>WARRINGTON BOROUGH  *</t>
  </si>
  <si>
    <t>Warrington North BC</t>
  </si>
  <si>
    <t>Warrington (pt)</t>
  </si>
  <si>
    <t>Warrington South BC</t>
  </si>
  <si>
    <t>Bewsey and Whitecross</t>
  </si>
  <si>
    <t>* as created by The Borough of Tameside (Electoral Changes) Order 2004</t>
  </si>
  <si>
    <t>TRAFFORD BOROUGH  *</t>
  </si>
  <si>
    <t>Altrincham</t>
  </si>
  <si>
    <t>STEVENAGE BOROUGH  *</t>
  </si>
  <si>
    <t>Bandley Hill</t>
  </si>
  <si>
    <t>Bedwell</t>
  </si>
  <si>
    <t>Chells</t>
  </si>
  <si>
    <t>Longmeadow</t>
  </si>
  <si>
    <t>Martins Wood</t>
  </si>
  <si>
    <t>Pin Green</t>
  </si>
  <si>
    <t>Roebuck</t>
  </si>
  <si>
    <t>Shephall</t>
  </si>
  <si>
    <t>Balham</t>
  </si>
  <si>
    <t>Bedford</t>
  </si>
  <si>
    <t>Earlsfield</t>
  </si>
  <si>
    <t>East Putney</t>
  </si>
  <si>
    <t>Furzedown</t>
  </si>
  <si>
    <t>Park Street</t>
  </si>
  <si>
    <t>Redbourn</t>
  </si>
  <si>
    <t>St Peters</t>
  </si>
  <si>
    <t>St Stephen</t>
  </si>
  <si>
    <t>Sandridge</t>
  </si>
  <si>
    <t>Sopwell</t>
  </si>
  <si>
    <t>Verulam</t>
  </si>
  <si>
    <t>Wheathampstead</t>
  </si>
  <si>
    <t>St Albans CC (pt)</t>
  </si>
  <si>
    <t>Ashley</t>
  </si>
  <si>
    <t>Brandon</t>
  </si>
  <si>
    <t>Burnopfield and Dipton</t>
  </si>
  <si>
    <t>Chester-le-Street South</t>
  </si>
  <si>
    <t>Chester-le-Street West Central</t>
  </si>
  <si>
    <t>Chilton</t>
  </si>
  <si>
    <t>Consett North</t>
  </si>
  <si>
    <t>Coundon</t>
  </si>
  <si>
    <t>Coxhoe</t>
  </si>
  <si>
    <t>Craghead and South Moor</t>
  </si>
  <si>
    <t>Dawdon</t>
  </si>
  <si>
    <t>Deneside</t>
  </si>
  <si>
    <t>Elmton-with-Creswell</t>
  </si>
  <si>
    <t>Pinxton</t>
  </si>
  <si>
    <t>Fulham Reach</t>
  </si>
  <si>
    <t>Hammersmith Broadway</t>
  </si>
  <si>
    <t>Munster</t>
  </si>
  <si>
    <t>Sands End</t>
  </si>
  <si>
    <t>Shepherd's Bush Green</t>
  </si>
  <si>
    <t>NORTH SOMERSET DISTRICT  *</t>
  </si>
  <si>
    <t>North Somerset CC</t>
  </si>
  <si>
    <t>County Average (5 seats)</t>
  </si>
  <si>
    <t>Aylesbury CC</t>
  </si>
  <si>
    <t>Beaconsfield CC</t>
  </si>
  <si>
    <t>Buckingham CC</t>
  </si>
  <si>
    <t>Chesham and Amersham CC</t>
  </si>
  <si>
    <t>Wycombe CC</t>
  </si>
  <si>
    <t>Brayton</t>
  </si>
  <si>
    <t>Eggborough</t>
  </si>
  <si>
    <t>Mickleover</t>
  </si>
  <si>
    <t>Normanton</t>
  </si>
  <si>
    <t>Oakwood</t>
  </si>
  <si>
    <t>Sinfin</t>
  </si>
  <si>
    <t>Spondon</t>
  </si>
  <si>
    <t>Mid Derbyshire CC (pt)</t>
  </si>
  <si>
    <t>* as created by The City of Derby (Electoral Changes) Order 2001</t>
  </si>
  <si>
    <t>AMBER VALLEY BOROUGH  *</t>
  </si>
  <si>
    <t>Alfreton</t>
  </si>
  <si>
    <t>Alport</t>
  </si>
  <si>
    <t>Belper Central</t>
  </si>
  <si>
    <t>Belper East</t>
  </si>
  <si>
    <t>Belper North</t>
  </si>
  <si>
    <t>Belper South</t>
  </si>
  <si>
    <t>Codnor and Waingroves</t>
  </si>
  <si>
    <t>Crich</t>
  </si>
  <si>
    <t>Duffield</t>
  </si>
  <si>
    <t>Heage and Ambergate</t>
  </si>
  <si>
    <t>Heanor and Loscoe</t>
  </si>
  <si>
    <t>Heanor East</t>
  </si>
  <si>
    <t>Heanor West</t>
  </si>
  <si>
    <t>Ironville and Riddings</t>
  </si>
  <si>
    <t>* as created by The Hampshire (Cities of Portsmouth and Southampton) (Structural Change) Order 1995</t>
  </si>
  <si>
    <t>Aldershot BC</t>
  </si>
  <si>
    <t>Hart (pt)</t>
  </si>
  <si>
    <t>Basingstoke BC</t>
  </si>
  <si>
    <t>Basingstoke and Deane (pt)</t>
  </si>
  <si>
    <t>East Hampshire CC</t>
  </si>
  <si>
    <t>East Hampshire (pt)</t>
  </si>
  <si>
    <t>Eastleigh BC</t>
  </si>
  <si>
    <t>Eastleigh (pt)</t>
  </si>
  <si>
    <t>Fareham CC</t>
  </si>
  <si>
    <t>Fareham (pt)</t>
  </si>
  <si>
    <t>Gosport BC</t>
  </si>
  <si>
    <t>Havant BC</t>
  </si>
  <si>
    <t>Havant (pt)</t>
  </si>
  <si>
    <t>Meon Valley CC</t>
  </si>
  <si>
    <t>Winchester (pt)</t>
  </si>
  <si>
    <t>New Forest East CC</t>
  </si>
  <si>
    <t>New Forest (pt)</t>
  </si>
  <si>
    <t>New Forest West CC</t>
  </si>
  <si>
    <t>North East Hampshire CC</t>
  </si>
  <si>
    <t>North West Hampshire CC</t>
  </si>
  <si>
    <t>Test Valley (pt)</t>
  </si>
  <si>
    <t>Romsey and Southampton North CC</t>
  </si>
  <si>
    <t>Southampton (pt)</t>
  </si>
  <si>
    <t>Southampton, Itchen BC</t>
  </si>
  <si>
    <t>Southampton, Test BC</t>
  </si>
  <si>
    <t>Matlock All Saints</t>
  </si>
  <si>
    <t>Matlock St Giles</t>
  </si>
  <si>
    <t>Stanton</t>
  </si>
  <si>
    <t>Tideswell</t>
  </si>
  <si>
    <t>Winster and South Darley</t>
  </si>
  <si>
    <t>Wirksworth</t>
  </si>
  <si>
    <t>* as created by The District of Derbyshire Dales (Electoral Changes) Order 1999</t>
  </si>
  <si>
    <t>EREWASH BOROUGH  *</t>
  </si>
  <si>
    <t>Derby Road West</t>
  </si>
  <si>
    <t>Hallam Fields</t>
  </si>
  <si>
    <t>Little Hallam</t>
  </si>
  <si>
    <t>Cotmanhay</t>
  </si>
  <si>
    <t>Derby Road East</t>
  </si>
  <si>
    <t>WYRE FOREST DISTRICT</t>
  </si>
  <si>
    <t>Bromsgrove CC</t>
  </si>
  <si>
    <t>Mid Worcestershire CC</t>
  </si>
  <si>
    <t>Wychavon (pt)</t>
  </si>
  <si>
    <t>Redditch CC</t>
  </si>
  <si>
    <t>West Worcestershire CC</t>
  </si>
  <si>
    <t>Worcester BC</t>
  </si>
  <si>
    <t>Wyre Forest CC</t>
  </si>
  <si>
    <t>* as created by The City of Worcester (Electoral Changes) Order 2002</t>
  </si>
  <si>
    <t>WYCHAVON DISTRICT  *</t>
  </si>
  <si>
    <t>Boroughbridge</t>
  </si>
  <si>
    <t>Claro</t>
  </si>
  <si>
    <t>Knaresborough Scriven Park</t>
  </si>
  <si>
    <t>Marston Moor</t>
  </si>
  <si>
    <t>Newby</t>
  </si>
  <si>
    <t>Nidd Valley</t>
  </si>
  <si>
    <t>Ouseburn</t>
  </si>
  <si>
    <t>SANDWELL BOROUGH</t>
  </si>
  <si>
    <t>SOLIHULL BOROUGH</t>
  </si>
  <si>
    <t>WALSALL BOROUGH</t>
  </si>
  <si>
    <t>CITY OF WOLVERHAMPTON</t>
  </si>
  <si>
    <t>Aldridge-Brownhills BC</t>
  </si>
  <si>
    <t>Walsall (pt)</t>
  </si>
  <si>
    <t>Birmingham, Edgbaston BC</t>
  </si>
  <si>
    <t>Birmingham (pt)</t>
  </si>
  <si>
    <t>Birmingham, Erdington BC</t>
  </si>
  <si>
    <t>Birmingham, Hall Green BC</t>
  </si>
  <si>
    <t>Birmingham, Hodge Hill BC</t>
  </si>
  <si>
    <t>Birmingham, Ladywood BC</t>
  </si>
  <si>
    <t>Birmingham, Northfield BC</t>
  </si>
  <si>
    <t>Birmingham, Perry Barr BC</t>
  </si>
  <si>
    <t>Birmingham, Selly Oak BC</t>
  </si>
  <si>
    <t>Birmingham, Yardley BC</t>
  </si>
  <si>
    <t>* as created by The District of Bassetlaw (Electoral Changes) Order 2000</t>
  </si>
  <si>
    <t>BROXTOWE BOROUGH  *</t>
  </si>
  <si>
    <t>Beeston Central</t>
  </si>
  <si>
    <t>Beeston North</t>
  </si>
  <si>
    <t>Beeston Rylands</t>
  </si>
  <si>
    <t>Beeston West</t>
  </si>
  <si>
    <t>Bramcote</t>
  </si>
  <si>
    <t>Brinsley</t>
  </si>
  <si>
    <t>Chilwell West</t>
  </si>
  <si>
    <t>Wolverhampton South West BC</t>
  </si>
  <si>
    <t>CITY OF BIRMINGHAM  *</t>
  </si>
  <si>
    <t>Acocks Green</t>
  </si>
  <si>
    <t>Bartley Green</t>
  </si>
  <si>
    <t>Billesley</t>
  </si>
  <si>
    <t>Bordesley Green</t>
  </si>
  <si>
    <t>Edgbaston</t>
  </si>
  <si>
    <t>Erdington</t>
  </si>
  <si>
    <t>Handsworth Wood</t>
  </si>
  <si>
    <t>Harborne</t>
  </si>
  <si>
    <t>Kingstanding</t>
  </si>
  <si>
    <t>Ladywood</t>
  </si>
  <si>
    <t>Nechells</t>
  </si>
  <si>
    <t>Oscott</t>
  </si>
  <si>
    <t>Perry Barr</t>
  </si>
  <si>
    <t>Shard End</t>
  </si>
  <si>
    <t>Sheldon</t>
  </si>
  <si>
    <t>South Yardley</t>
  </si>
  <si>
    <t>NORTH EAST DERBYSHIRE DISTRICT  *</t>
  </si>
  <si>
    <t>Ashover</t>
  </si>
  <si>
    <t>Clay Cross North</t>
  </si>
  <si>
    <t>Clay Cross South</t>
  </si>
  <si>
    <t>Coal Aston</t>
  </si>
  <si>
    <t>Dronfield North</t>
  </si>
  <si>
    <t>Dronfield South</t>
  </si>
  <si>
    <t>Bestwood</t>
  </si>
  <si>
    <t>Bilborough</t>
  </si>
  <si>
    <t>Bulwell</t>
  </si>
  <si>
    <t>Bulwell Forest</t>
  </si>
  <si>
    <t>Leen Valley</t>
  </si>
  <si>
    <t>Mapperley</t>
  </si>
  <si>
    <t>Warndon</t>
  </si>
  <si>
    <t>Warndon Parish North</t>
  </si>
  <si>
    <t>Warndon Parish South</t>
  </si>
  <si>
    <t>West End North</t>
  </si>
  <si>
    <t>West End South</t>
  </si>
  <si>
    <t>Winchester CC (pt)</t>
  </si>
  <si>
    <t>FAREHAM BOROUGH  *</t>
  </si>
  <si>
    <t>Fareham East</t>
  </si>
  <si>
    <t>Fareham North</t>
  </si>
  <si>
    <t>Fareham North-West</t>
  </si>
  <si>
    <t>Fareham South</t>
  </si>
  <si>
    <t>Fareham West</t>
  </si>
  <si>
    <t>Sutton and Mount Gould</t>
  </si>
  <si>
    <t>South West Devon CC (pt)</t>
  </si>
  <si>
    <t>* as created by The City of Plymouth (Electoral Changes) Order 2002</t>
  </si>
  <si>
    <t>HAVANT BOROUGH  *</t>
  </si>
  <si>
    <t>Barncroft</t>
  </si>
  <si>
    <t>Battins</t>
  </si>
  <si>
    <t>Bedhampton</t>
  </si>
  <si>
    <t>Bondfields</t>
  </si>
  <si>
    <t>Cowplain</t>
  </si>
  <si>
    <t>Alverstoke</t>
  </si>
  <si>
    <t>Anglesey</t>
  </si>
  <si>
    <t>Bridgemary North</t>
  </si>
  <si>
    <t>Bridgemary South</t>
  </si>
  <si>
    <t>Brockhurst</t>
  </si>
  <si>
    <t>Elson</t>
  </si>
  <si>
    <t>Forton</t>
  </si>
  <si>
    <t>Hardway</t>
  </si>
  <si>
    <t>Lee East</t>
  </si>
  <si>
    <t>Lee West</t>
  </si>
  <si>
    <t>Foleshill</t>
  </si>
  <si>
    <t>* as created by The Borough of Nuneaton and Bedworth (Electoral Changes) Order 2000</t>
  </si>
  <si>
    <t>RUGBY BOROUGH  *</t>
  </si>
  <si>
    <t>Benn</t>
  </si>
  <si>
    <t>Bilton</t>
  </si>
  <si>
    <t>Hill Head</t>
  </si>
  <si>
    <t>Locks Heath</t>
  </si>
  <si>
    <t>Park Gate</t>
  </si>
  <si>
    <t>Sarisbury</t>
  </si>
  <si>
    <t>Stubbington</t>
  </si>
  <si>
    <t>Titchfield</t>
  </si>
  <si>
    <t>Titchfield Common</t>
  </si>
  <si>
    <t>Warsash</t>
  </si>
  <si>
    <t>Gosport BC (pt)</t>
  </si>
  <si>
    <t>* as created by The Borough of Fareham (Electoral Changes) Order 2001</t>
  </si>
  <si>
    <t>GOSPORT BOROUGH  *</t>
  </si>
  <si>
    <t>EQ +20%</t>
  </si>
  <si>
    <t>EQ +15%</t>
  </si>
  <si>
    <t>EQ +10%</t>
  </si>
  <si>
    <t>EQ + 5%</t>
  </si>
  <si>
    <t>EQ - 5%</t>
  </si>
  <si>
    <t>EQ -10%</t>
  </si>
  <si>
    <t>EQ -15%</t>
  </si>
  <si>
    <t>EQ -20%</t>
  </si>
  <si>
    <t>ELECTORATE TABLE</t>
  </si>
  <si>
    <t>Borough Average (2 seats)</t>
  </si>
  <si>
    <t>Barking BC</t>
  </si>
  <si>
    <t>Barking and Dagenham (pt)</t>
  </si>
  <si>
    <t>Dagenham and Rainham BC</t>
  </si>
  <si>
    <t>Havering (pt)</t>
  </si>
  <si>
    <t>Wordsley</t>
  </si>
  <si>
    <t>Halesowen and Rowley Regis BC (pt)</t>
  </si>
  <si>
    <t>Wolverhampton South East BC (pt)</t>
  </si>
  <si>
    <t>* as created by The Borough of Dudley (Electoral Changes) Order 2003</t>
  </si>
  <si>
    <t>SANDWELL BOROUGH  *</t>
  </si>
  <si>
    <t>Bristnall</t>
  </si>
  <si>
    <t>Charlemont with Grove Vale</t>
  </si>
  <si>
    <t>Cradley Heath and Old Hill</t>
  </si>
  <si>
    <t>Friar Park</t>
  </si>
  <si>
    <t>Oldham East and Saddleworth CC</t>
  </si>
  <si>
    <t>Oldham West and Royton BC</t>
  </si>
  <si>
    <t>Rochdale CC</t>
  </si>
  <si>
    <t>Salford and Eccles BC</t>
  </si>
  <si>
    <t>Stalybridge and Hyde CC</t>
  </si>
  <si>
    <t>Stockport BC</t>
  </si>
  <si>
    <t>Stretford and Urmston BC</t>
  </si>
  <si>
    <t>Wigan CC</t>
  </si>
  <si>
    <t>Worsley and Eccles South CC</t>
  </si>
  <si>
    <t>Wythenshawe and Sale East BC</t>
  </si>
  <si>
    <t/>
  </si>
  <si>
    <t>BOLTON BOROUGH  *</t>
  </si>
  <si>
    <t>Astley Bridge</t>
  </si>
  <si>
    <t>Bradshaw</t>
  </si>
  <si>
    <t>Breightmet</t>
  </si>
  <si>
    <t>Bromley Cross</t>
  </si>
  <si>
    <t>Crompton</t>
  </si>
  <si>
    <t>Great Lever</t>
  </si>
  <si>
    <t>Halliwell</t>
  </si>
  <si>
    <t>Harper Green</t>
  </si>
  <si>
    <t>Heaton and Lostock</t>
  </si>
  <si>
    <t>Horwich and Blackrod</t>
  </si>
  <si>
    <t>Horwich North East</t>
  </si>
  <si>
    <t>Hulton</t>
  </si>
  <si>
    <t>Kearsley</t>
  </si>
  <si>
    <t>Little Lever and Darcy Lever</t>
  </si>
  <si>
    <t>Rumworth</t>
  </si>
  <si>
    <t>Smithills</t>
  </si>
  <si>
    <t>Tonge with the Haulgh</t>
  </si>
  <si>
    <t>Westhoughton North and Chew Moor</t>
  </si>
  <si>
    <t>Westhoughton South</t>
  </si>
  <si>
    <t>Bolton West CC (pt)</t>
  </si>
  <si>
    <t>Woodhouse Park</t>
  </si>
  <si>
    <t>Blackley and Broughton BC (pt)</t>
  </si>
  <si>
    <t>Wythenshawe and Sale East BC (pt)</t>
  </si>
  <si>
    <t>* as created by The City of Manchester (Electoral Changes) Order 2004</t>
  </si>
  <si>
    <t>OLDHAM BOROUGH  *</t>
  </si>
  <si>
    <t>Alexandra</t>
  </si>
  <si>
    <t>Chadderton Central</t>
  </si>
  <si>
    <t>Chadderton North</t>
  </si>
  <si>
    <t>Chadderton South</t>
  </si>
  <si>
    <t>Coldhurst</t>
  </si>
  <si>
    <t>Failsworth East</t>
  </si>
  <si>
    <t>E05001376</t>
  </si>
  <si>
    <t>E05001377</t>
  </si>
  <si>
    <t>E05001378</t>
  </si>
  <si>
    <t>E05001379</t>
  </si>
  <si>
    <t>E05001380</t>
  </si>
  <si>
    <t>E05001381</t>
  </si>
  <si>
    <t>E05001382</t>
  </si>
  <si>
    <t>E05001383</t>
  </si>
  <si>
    <t>E05001384</t>
  </si>
  <si>
    <t>E05001385</t>
  </si>
  <si>
    <t>E05001386</t>
  </si>
  <si>
    <t>E05001387</t>
  </si>
  <si>
    <t>E05001389</t>
  </si>
  <si>
    <t>E05001390</t>
  </si>
  <si>
    <t>E05001391</t>
  </si>
  <si>
    <t>E05001392</t>
  </si>
  <si>
    <t>E05001393</t>
  </si>
  <si>
    <t>E05001396</t>
  </si>
  <si>
    <t>E05001397</t>
  </si>
  <si>
    <t>E05001398</t>
  </si>
  <si>
    <t>E05001399</t>
  </si>
  <si>
    <t>E05001400</t>
  </si>
  <si>
    <t>E05001401</t>
  </si>
  <si>
    <t>E05001402</t>
  </si>
  <si>
    <t>E05001403</t>
  </si>
  <si>
    <t>E05001405</t>
  </si>
  <si>
    <t>E05001407</t>
  </si>
  <si>
    <t>E05001408</t>
  </si>
  <si>
    <t>E05001409</t>
  </si>
  <si>
    <t>E05001410</t>
  </si>
  <si>
    <t>E05001444</t>
  </si>
  <si>
    <t>E05001445</t>
  </si>
  <si>
    <t>E05001446</t>
  </si>
  <si>
    <t>E05001447</t>
  </si>
  <si>
    <t>E05001448</t>
  </si>
  <si>
    <t>E05001449</t>
  </si>
  <si>
    <t>E05001450</t>
  </si>
  <si>
    <t>E05001451</t>
  </si>
  <si>
    <t>E05001452</t>
  </si>
  <si>
    <t>E05001453</t>
  </si>
  <si>
    <t>E05001454</t>
  </si>
  <si>
    <t>E05001455</t>
  </si>
  <si>
    <t>E05001456</t>
  </si>
  <si>
    <t>E05001457</t>
  </si>
  <si>
    <t>E05001458</t>
  </si>
  <si>
    <t>E05001459</t>
  </si>
  <si>
    <t>E05001460</t>
  </si>
  <si>
    <t>E05001461</t>
  </si>
  <si>
    <t>E05001462</t>
  </si>
  <si>
    <t>E05001463</t>
  </si>
  <si>
    <t>E05001464</t>
  </si>
  <si>
    <t>E05001527</t>
  </si>
  <si>
    <t>Pleck</t>
  </si>
  <si>
    <t>Rushall-Shelfield</t>
  </si>
  <si>
    <t>New Brighton</t>
  </si>
  <si>
    <t>Oxton</t>
  </si>
  <si>
    <t>Pensby and Thingwall</t>
  </si>
  <si>
    <t>Prenton</t>
  </si>
  <si>
    <t>Rock Ferry</t>
  </si>
  <si>
    <t>Seacombe</t>
  </si>
  <si>
    <t>Leigh South</t>
  </si>
  <si>
    <t>Leigh West</t>
  </si>
  <si>
    <t>South Brent</t>
  </si>
  <si>
    <t>Stokenham</t>
  </si>
  <si>
    <t>West Dart</t>
  </si>
  <si>
    <t>TEIGNBRIDGE DISTRICT  *</t>
  </si>
  <si>
    <t>Ambrook</t>
  </si>
  <si>
    <t>Bishopsteignton</t>
  </si>
  <si>
    <t>Bovey</t>
  </si>
  <si>
    <t>Bradley</t>
  </si>
  <si>
    <t>Whitburn and Marsden</t>
  </si>
  <si>
    <t>Whiteleas</t>
  </si>
  <si>
    <t>* as created by The Borough of South Tyneside (Electoral Changes) Order 2004</t>
  </si>
  <si>
    <t>CITY OF SUNDERLAND  *</t>
  </si>
  <si>
    <t>Copt Hill</t>
  </si>
  <si>
    <t>Hindley Green</t>
  </si>
  <si>
    <t>Ince</t>
  </si>
  <si>
    <t>Leigh East</t>
  </si>
  <si>
    <t>EAST HAMPSHIRE DISTRICT  *</t>
  </si>
  <si>
    <t>Alton Amery</t>
  </si>
  <si>
    <t>Alton Ashdell</t>
  </si>
  <si>
    <t>Rampton</t>
  </si>
  <si>
    <t>Toddbrook</t>
  </si>
  <si>
    <t>Alton Eastbrooke</t>
  </si>
  <si>
    <t>Great Baddow West</t>
  </si>
  <si>
    <t>Little Baddow, Danbury and Sandon</t>
  </si>
  <si>
    <t>Marconi</t>
  </si>
  <si>
    <t>Moulsham and Central</t>
  </si>
  <si>
    <t>South Tawton</t>
  </si>
  <si>
    <t>Tavistock North</t>
  </si>
  <si>
    <t>Tavistock South West</t>
  </si>
  <si>
    <t>County Average (All) (6 seats)</t>
  </si>
  <si>
    <t>Bedford BC</t>
  </si>
  <si>
    <t>Bedford (pt)</t>
  </si>
  <si>
    <t>Luton North BC</t>
  </si>
  <si>
    <t>Luton (pt)</t>
  </si>
  <si>
    <t>Luton South BC</t>
  </si>
  <si>
    <t>Eastcotts</t>
  </si>
  <si>
    <t>Goldington</t>
  </si>
  <si>
    <t>Great Barford</t>
  </si>
  <si>
    <t>Harpur</t>
  </si>
  <si>
    <t>Harrold</t>
  </si>
  <si>
    <t>Kempston North</t>
  </si>
  <si>
    <t>Kempston South</t>
  </si>
  <si>
    <t>Kingsbrook</t>
  </si>
  <si>
    <t>Newnham</t>
  </si>
  <si>
    <t>Oakley</t>
  </si>
  <si>
    <t>Putnoe</t>
  </si>
  <si>
    <t>Queen's Park</t>
  </si>
  <si>
    <t>21.</t>
  </si>
  <si>
    <t>Riseley</t>
  </si>
  <si>
    <t>22.</t>
  </si>
  <si>
    <t>23.</t>
  </si>
  <si>
    <t>Sharnbrook</t>
  </si>
  <si>
    <t>CHELTENHAM BOROUGH</t>
  </si>
  <si>
    <t>COTSWOLD DISTRICT</t>
  </si>
  <si>
    <t>* as created by The District of Harlow (Electoral Changes) Order 2001</t>
  </si>
  <si>
    <t>MALDON DISTRICT  *</t>
  </si>
  <si>
    <t>Althorne</t>
  </si>
  <si>
    <t>Burnham-on-Crouch North</t>
  </si>
  <si>
    <t>WARWICK DISTRICT  *</t>
  </si>
  <si>
    <t>Bishop's Tachbrook</t>
  </si>
  <si>
    <t>Raynes Park</t>
  </si>
  <si>
    <t>St Helier</t>
  </si>
  <si>
    <t>West Barnes</t>
  </si>
  <si>
    <t>Wimbledon Park</t>
  </si>
  <si>
    <t>Carlton</t>
  </si>
  <si>
    <t>Castle</t>
  </si>
  <si>
    <t>Cauldwell</t>
  </si>
  <si>
    <t>Clapham</t>
  </si>
  <si>
    <t>De Parys</t>
  </si>
  <si>
    <t>Chichester (pt)</t>
  </si>
  <si>
    <t>Horsham (pt)</t>
  </si>
  <si>
    <t>Mid Sussex (pt)</t>
  </si>
  <si>
    <t>Bognor Regis and Littlehampton CC</t>
  </si>
  <si>
    <t>Chichester CC</t>
  </si>
  <si>
    <t>Crawley BC</t>
  </si>
  <si>
    <t>* as created by The London Borough of Merton (Electoral Changes) Order 2000</t>
  </si>
  <si>
    <t>MIDDLESBROUGH BOROUGH  *</t>
  </si>
  <si>
    <t>Hailey, Minster Lovell and Leafield</t>
  </si>
  <si>
    <t>Kingham, Rollright and Enstone</t>
  </si>
  <si>
    <t>Budbrooke</t>
  </si>
  <si>
    <t>Crown</t>
  </si>
  <si>
    <t>Manor</t>
  </si>
  <si>
    <t>Radford Semele</t>
  </si>
  <si>
    <t>CHESHIRE EAST BOROUGH  *</t>
  </si>
  <si>
    <t>CHESHIRE WEST AND CHESTER BOROUGH  *</t>
  </si>
  <si>
    <t>Chelmsley Wood</t>
  </si>
  <si>
    <t>Wantage Charlton</t>
  </si>
  <si>
    <t>Abingdon Peachcroft</t>
  </si>
  <si>
    <t>Hendreds</t>
  </si>
  <si>
    <t>Lingfield and Crowhurst</t>
  </si>
  <si>
    <t>Oxted North and Tandridge</t>
  </si>
  <si>
    <t>Oxted South</t>
  </si>
  <si>
    <t>Portley</t>
  </si>
  <si>
    <t>Tatsfield and Titsey</t>
  </si>
  <si>
    <t>Toddington</t>
  </si>
  <si>
    <t>Watling</t>
  </si>
  <si>
    <t>Snitterfield</t>
  </si>
  <si>
    <t>Paddox</t>
  </si>
  <si>
    <t>Kenilworth and Southam CC (pt)</t>
  </si>
  <si>
    <t>Rugby  CC (pt)</t>
  </si>
  <si>
    <t>Bardon</t>
  </si>
  <si>
    <t>Ettington</t>
  </si>
  <si>
    <t>Harbury</t>
  </si>
  <si>
    <t>Henley</t>
  </si>
  <si>
    <t>Kineton</t>
  </si>
  <si>
    <t>Kinwarton</t>
  </si>
  <si>
    <t>Quinton</t>
  </si>
  <si>
    <t>Ardwick</t>
  </si>
  <si>
    <t>Baguley</t>
  </si>
  <si>
    <t>Burnage</t>
  </si>
  <si>
    <t>Charlestown</t>
  </si>
  <si>
    <t>Cheetham</t>
  </si>
  <si>
    <t>LANCASHIRE, BLACKBURN &amp; BLACKPOOL</t>
  </si>
  <si>
    <t>Leicester *</t>
  </si>
  <si>
    <t>Charnwood</t>
  </si>
  <si>
    <t>Harborough</t>
  </si>
  <si>
    <t>Hinckley and Bosworth</t>
  </si>
  <si>
    <t>Melton</t>
  </si>
  <si>
    <t>North West Leicestershire</t>
  </si>
  <si>
    <t>Oadby and Wigston</t>
  </si>
  <si>
    <t>LEICESTERSHIRE</t>
  </si>
  <si>
    <t>Rutland *</t>
  </si>
  <si>
    <t>Boston</t>
  </si>
  <si>
    <t>East Lindsey</t>
  </si>
  <si>
    <t>Lincoln</t>
  </si>
  <si>
    <t>North Kesteven</t>
  </si>
  <si>
    <t>South Holland</t>
  </si>
  <si>
    <t>Great Dunmow North</t>
  </si>
  <si>
    <t>Hatfield Heath</t>
  </si>
  <si>
    <t>Saffron Walden Audley</t>
  </si>
  <si>
    <t>Saffron Walden Castle</t>
  </si>
  <si>
    <t>Wolverhampton</t>
  </si>
  <si>
    <t>WEST MIDLANDS</t>
  </si>
  <si>
    <t>Calderdale</t>
  </si>
  <si>
    <t>Kirklees</t>
  </si>
  <si>
    <t>Leeds</t>
  </si>
  <si>
    <t>Wakefield</t>
  </si>
  <si>
    <t>WEST YORKSHIRE</t>
  </si>
  <si>
    <t>Great Hollands South</t>
  </si>
  <si>
    <t>Hanworth</t>
  </si>
  <si>
    <t>Harmans Water</t>
  </si>
  <si>
    <t>Little Sandhurst and Wellington</t>
  </si>
  <si>
    <t>Old Bracknell</t>
  </si>
  <si>
    <t>* as created by The Borough of Cheltenham (Electoral Changes) Order 2001</t>
  </si>
  <si>
    <t>COTSWOLD DISTRICT  *</t>
  </si>
  <si>
    <t># paired with the London Borough of Waltham Forest</t>
  </si>
  <si>
    <t>WALTHAM FOREST LONDON BOROUGH  * #</t>
  </si>
  <si>
    <t xml:space="preserve">Leyton and Wanstead BC </t>
  </si>
  <si>
    <t xml:space="preserve">Ilford North BC </t>
  </si>
  <si>
    <t>Cann Hall</t>
  </si>
  <si>
    <t>Cathall</t>
  </si>
  <si>
    <t>Blockley</t>
  </si>
  <si>
    <t>Furnace Green</t>
  </si>
  <si>
    <t>Ifield</t>
  </si>
  <si>
    <t>Maidenbower</t>
  </si>
  <si>
    <t>County Average (Wokingham) (2 seats)</t>
  </si>
  <si>
    <t>County Average (All) (8 seats)</t>
  </si>
  <si>
    <t>Bracknell CC</t>
  </si>
  <si>
    <t>Bracknell Forest (pt)</t>
  </si>
  <si>
    <t>Wokingham (pt)</t>
  </si>
  <si>
    <t>Maidenhead CC</t>
  </si>
  <si>
    <t>Windsor and Maidenhead (pt)</t>
  </si>
  <si>
    <t>Newbury CC</t>
  </si>
  <si>
    <t>West Berkshire (pt)</t>
  </si>
  <si>
    <t>Reading East BC</t>
  </si>
  <si>
    <t>Reading (pt)</t>
  </si>
  <si>
    <t>Reading West CC</t>
  </si>
  <si>
    <t>Slough BC</t>
  </si>
  <si>
    <t>Slough (pt)</t>
  </si>
  <si>
    <t>Stort Valley</t>
  </si>
  <si>
    <t>The Sampfords</t>
  </si>
  <si>
    <t>Chapel End</t>
  </si>
  <si>
    <t>CRAWLEY BOROUGH  *</t>
  </si>
  <si>
    <t>Windsor CC</t>
  </si>
  <si>
    <t>Wokingham CC</t>
  </si>
  <si>
    <t>* as created by The Berkshire (Structural Change) Order 1996</t>
  </si>
  <si>
    <t>Ascot</t>
  </si>
  <si>
    <t>Binfield with Warfield</t>
  </si>
  <si>
    <t>CRAWLEY BOROUGH</t>
  </si>
  <si>
    <t>HORSHAM DISTRICT</t>
  </si>
  <si>
    <t>MID SUSSEX DISTRICT</t>
  </si>
  <si>
    <t>WORTHING BOROUGH</t>
  </si>
  <si>
    <t>Arundel and South Downs CC</t>
  </si>
  <si>
    <t>Arun (pt)</t>
  </si>
  <si>
    <t>Battledown</t>
  </si>
  <si>
    <t>Central</t>
  </si>
  <si>
    <t>Mortimer</t>
  </si>
  <si>
    <t>Berry Hill</t>
  </si>
  <si>
    <t>Bream</t>
  </si>
  <si>
    <t>Cinderford East</t>
  </si>
  <si>
    <t>Pangbourne</t>
  </si>
  <si>
    <t>St Johns</t>
  </si>
  <si>
    <t>St Bartholomew</t>
  </si>
  <si>
    <t>St Luke</t>
  </si>
  <si>
    <t>St Michael</t>
  </si>
  <si>
    <t>St Paul</t>
  </si>
  <si>
    <t>Up Hatherley</t>
  </si>
  <si>
    <t>Horsham CC (pt)</t>
  </si>
  <si>
    <t>MID SUSSEX DISTRICT  *</t>
  </si>
  <si>
    <t>Ardingly and Balcombe</t>
  </si>
  <si>
    <t>Ashurst Wood</t>
  </si>
  <si>
    <t>Bolney</t>
  </si>
  <si>
    <t>Burgess Hill Dunstall</t>
  </si>
  <si>
    <t>BROXBOURNE BOROUGH</t>
  </si>
  <si>
    <t>DACORUM BOROUGH</t>
  </si>
  <si>
    <t>EAST HERTFORDSHIRE DISTRICT</t>
  </si>
  <si>
    <t>HERTSMERE BOROUGH</t>
  </si>
  <si>
    <t>NORTH HERTFORDSHIRE DISTRICT</t>
  </si>
  <si>
    <t>Arborfield</t>
  </si>
  <si>
    <t>Barkham</t>
  </si>
  <si>
    <t>Bulmershe and Whitegates</t>
  </si>
  <si>
    <t>Charvil</t>
  </si>
  <si>
    <t>Coronation</t>
  </si>
  <si>
    <t>Burgess Hill Franklands</t>
  </si>
  <si>
    <t>Burgess Hill Leylands</t>
  </si>
  <si>
    <t>Burgess Hill Meeds</t>
  </si>
  <si>
    <t>Burgess Hill St Andrews</t>
  </si>
  <si>
    <t>Burgess Hill Victoria</t>
  </si>
  <si>
    <t>Remenham, Wargrave and Ruscombe</t>
  </si>
  <si>
    <t>Northway</t>
  </si>
  <si>
    <t>Shurdington</t>
  </si>
  <si>
    <t>Northwood</t>
  </si>
  <si>
    <t>Northwood Hills</t>
  </si>
  <si>
    <t>Pinkwell</t>
  </si>
  <si>
    <t>Furze Platt</t>
  </si>
  <si>
    <t>Hardwicke</t>
  </si>
  <si>
    <t>Kingswood</t>
  </si>
  <si>
    <t>Minchinhampton</t>
  </si>
  <si>
    <t>Nailsworth</t>
  </si>
  <si>
    <t>Rodborough</t>
  </si>
  <si>
    <t>Severn</t>
  </si>
  <si>
    <t>Stonehouse</t>
  </si>
  <si>
    <t>The Stanleys</t>
  </si>
  <si>
    <t>Thrupp</t>
  </si>
  <si>
    <t>Valley</t>
  </si>
  <si>
    <t>Wotton-under-Edge</t>
  </si>
  <si>
    <t>Shinfield North</t>
  </si>
  <si>
    <t>Shinfield South</t>
  </si>
  <si>
    <t>Sonning</t>
  </si>
  <si>
    <t>South Lake</t>
  </si>
  <si>
    <t>Swallowfield</t>
  </si>
  <si>
    <t>Twyford</t>
  </si>
  <si>
    <t>Wescott</t>
  </si>
  <si>
    <t>Winnersh</t>
  </si>
  <si>
    <t>Wokingham Without</t>
  </si>
  <si>
    <t>Badgeworth</t>
  </si>
  <si>
    <t>Cleeve Grange</t>
  </si>
  <si>
    <t>Cleeve Hill</t>
  </si>
  <si>
    <t>Owlsmoor</t>
  </si>
  <si>
    <t>Priestwood and Garth</t>
  </si>
  <si>
    <t>Warfield Harvest Ride</t>
  </si>
  <si>
    <t>West</t>
  </si>
  <si>
    <t>North West Cambridgeshire CC (pt)</t>
  </si>
  <si>
    <t>CITY OF CAMBRIDGE  *</t>
  </si>
  <si>
    <t>Arbury</t>
  </si>
  <si>
    <t>Cherry Hinton</t>
  </si>
  <si>
    <t>Coleridge</t>
  </si>
  <si>
    <t>Henfield</t>
  </si>
  <si>
    <t>Holbrook East</t>
  </si>
  <si>
    <t>Holbrook West</t>
  </si>
  <si>
    <t>Itchingfield, Slinfold and Warnham</t>
  </si>
  <si>
    <t>Roffey North</t>
  </si>
  <si>
    <t>Roffey South</t>
  </si>
  <si>
    <t>Rudgwick</t>
  </si>
  <si>
    <t>East Grinstead Town</t>
  </si>
  <si>
    <t>Hassocks</t>
  </si>
  <si>
    <t>Old Windsor</t>
  </si>
  <si>
    <t>Pinkneys Green</t>
  </si>
  <si>
    <t>Maidenhead CC (pt)</t>
  </si>
  <si>
    <t>Huddersfield BC</t>
  </si>
  <si>
    <t>Keighley CC</t>
  </si>
  <si>
    <t>Leeds Central BC</t>
  </si>
  <si>
    <t>Leeds East BC</t>
  </si>
  <si>
    <t>South Norfolk CC</t>
  </si>
  <si>
    <t>South West Norfolk CC</t>
  </si>
  <si>
    <t>Driffield and Rural</t>
  </si>
  <si>
    <t>East Wolds and Coastal</t>
  </si>
  <si>
    <t>Goole North</t>
  </si>
  <si>
    <t>Goole South</t>
  </si>
  <si>
    <t>Hessle</t>
  </si>
  <si>
    <t>Howden</t>
  </si>
  <si>
    <t>Howdenshire</t>
  </si>
  <si>
    <t>BRECKLAND DISTRICT  *</t>
  </si>
  <si>
    <t>Eynsford</t>
  </si>
  <si>
    <t>Coltishall</t>
  </si>
  <si>
    <t>Drayton North</t>
  </si>
  <si>
    <t>Drayton South</t>
  </si>
  <si>
    <t>Eynesford</t>
  </si>
  <si>
    <t>Great Witchingham</t>
  </si>
  <si>
    <t>Hellesdon North West</t>
  </si>
  <si>
    <t>Hellesdon South East</t>
  </si>
  <si>
    <t>Burringham and Gunness</t>
  </si>
  <si>
    <t>Burton upon Stather and Winterton</t>
  </si>
  <si>
    <t>Bradwell South and Hopton</t>
  </si>
  <si>
    <t>Caister North</t>
  </si>
  <si>
    <t>Caister South</t>
  </si>
  <si>
    <t>Central and Northgate</t>
  </si>
  <si>
    <t>North</t>
  </si>
  <si>
    <t>Orton Longueville</t>
  </si>
  <si>
    <t>Orton Waterville</t>
  </si>
  <si>
    <t>Ravensthorpe</t>
  </si>
  <si>
    <t>Walton</t>
  </si>
  <si>
    <t>SOUTH CAMBRIDGESHIRE DISTRICT  *</t>
  </si>
  <si>
    <t>Balsham</t>
  </si>
  <si>
    <t>Bar Hill</t>
  </si>
  <si>
    <t>Bassingbourn</t>
  </si>
  <si>
    <t>Caldecote</t>
  </si>
  <si>
    <t>Cottenham</t>
  </si>
  <si>
    <t>Duxford</t>
  </si>
  <si>
    <t>Gamlingay</t>
  </si>
  <si>
    <t>Girton</t>
  </si>
  <si>
    <t>Hardwick</t>
  </si>
  <si>
    <t>Linton</t>
  </si>
  <si>
    <t>Longstanton</t>
  </si>
  <si>
    <t>Melbourn</t>
  </si>
  <si>
    <t>Milton</t>
  </si>
  <si>
    <t>Sawston</t>
  </si>
  <si>
    <t>Swavesey</t>
  </si>
  <si>
    <t>The Mordens</t>
  </si>
  <si>
    <t>31.</t>
  </si>
  <si>
    <t>32.</t>
  </si>
  <si>
    <t>33.</t>
  </si>
  <si>
    <t>Whittlesford</t>
  </si>
  <si>
    <t>34.</t>
  </si>
  <si>
    <t>Helston North</t>
  </si>
  <si>
    <t>Launceston South</t>
  </si>
  <si>
    <t>Ryburn</t>
  </si>
  <si>
    <t>Skircoat</t>
  </si>
  <si>
    <t>Sowerby Bridge</t>
  </si>
  <si>
    <t>Todmorden</t>
  </si>
  <si>
    <t>* as created by The Borough of Calderdale (Electoral Changes) Order 2003</t>
  </si>
  <si>
    <t>KIRKLEES BOROUGH  *</t>
  </si>
  <si>
    <t>Almondbury</t>
  </si>
  <si>
    <t>Ashbrow</t>
  </si>
  <si>
    <t>Batley East</t>
  </si>
  <si>
    <t>Batley West</t>
  </si>
  <si>
    <t>Birstall and Birkenshaw</t>
  </si>
  <si>
    <t>Cleckheaton</t>
  </si>
  <si>
    <t>Colne Valley</t>
  </si>
  <si>
    <t>Crosland Moor and Netherton</t>
  </si>
  <si>
    <t>Denby Dale</t>
  </si>
  <si>
    <t>Dewsbury East</t>
  </si>
  <si>
    <t>Dewsbury South</t>
  </si>
  <si>
    <t>Dewsbury West</t>
  </si>
  <si>
    <t>Golcar</t>
  </si>
  <si>
    <t>Greenhead</t>
  </si>
  <si>
    <t>Heckmondwike</t>
  </si>
  <si>
    <t>Bedminster</t>
  </si>
  <si>
    <t>Bishopsworth</t>
  </si>
  <si>
    <t>Brislington East</t>
  </si>
  <si>
    <t>Brislington West</t>
  </si>
  <si>
    <t>Clifton</t>
  </si>
  <si>
    <t>Cotham</t>
  </si>
  <si>
    <t>Easton</t>
  </si>
  <si>
    <t>Eastville</t>
  </si>
  <si>
    <t>Filwood</t>
  </si>
  <si>
    <t>Frome Vale</t>
  </si>
  <si>
    <t>Hillfields</t>
  </si>
  <si>
    <t>Horfield</t>
  </si>
  <si>
    <t>Knowle</t>
  </si>
  <si>
    <t>Lawrence Hill</t>
  </si>
  <si>
    <t>Lockleaze</t>
  </si>
  <si>
    <t>Redland</t>
  </si>
  <si>
    <t>St George West</t>
  </si>
  <si>
    <t>Southmead</t>
  </si>
  <si>
    <t>Southville</t>
  </si>
  <si>
    <t>Stockwood</t>
  </si>
  <si>
    <t>Stoke Bishop</t>
  </si>
  <si>
    <t>Windmill Hill</t>
  </si>
  <si>
    <t>CITY OF LEEDS  *</t>
  </si>
  <si>
    <t>Alwoodley</t>
  </si>
  <si>
    <t>Armley</t>
  </si>
  <si>
    <t>HAMBLETON DISTRICT  *</t>
  </si>
  <si>
    <t>Bedale</t>
  </si>
  <si>
    <t>Easingwold</t>
  </si>
  <si>
    <t>Great Ayton</t>
  </si>
  <si>
    <t>Chapel Allerton</t>
  </si>
  <si>
    <t>County Average (7 seats)</t>
  </si>
  <si>
    <t>Corby CC</t>
  </si>
  <si>
    <t>Daventry CC</t>
  </si>
  <si>
    <t>Kilburn, Denby and Holbrook</t>
  </si>
  <si>
    <t>Langley Mill and Aldercar</t>
  </si>
  <si>
    <t>Ripley</t>
  </si>
  <si>
    <t>Ripley and Marehay</t>
  </si>
  <si>
    <t>Shipley Park, Horsley and Horsley Woodhouse</t>
  </si>
  <si>
    <t>Somercotes</t>
  </si>
  <si>
    <t>South West Parishes</t>
  </si>
  <si>
    <t>Swanwick</t>
  </si>
  <si>
    <t>Wingfield</t>
  </si>
  <si>
    <t>Derbyshire Dales CC (pt)</t>
  </si>
  <si>
    <t>BOLSOVER DISTRICT  *</t>
  </si>
  <si>
    <t>Barlborough</t>
  </si>
  <si>
    <t>Blackwell</t>
  </si>
  <si>
    <t>Bolsover South</t>
  </si>
  <si>
    <t>East Ham North</t>
  </si>
  <si>
    <t>East Ham South</t>
  </si>
  <si>
    <t>Forest Gate North</t>
  </si>
  <si>
    <t>Forest Gate South</t>
  </si>
  <si>
    <t>Green Street East</t>
  </si>
  <si>
    <t>Green Street West</t>
  </si>
  <si>
    <t>Little Ilford</t>
  </si>
  <si>
    <t>Plaistow North</t>
  </si>
  <si>
    <t>Plaistow South</t>
  </si>
  <si>
    <t>Royal Docks</t>
  </si>
  <si>
    <t>Stratford and New Town</t>
  </si>
  <si>
    <t>Wall End</t>
  </si>
  <si>
    <t>West Ham</t>
  </si>
  <si>
    <t>* as created by The London Borough of Newham (Electoral Changes) Order 2000</t>
  </si>
  <si>
    <t>CITY OF NOTTINGHAM  *</t>
  </si>
  <si>
    <t>Nottingham East BC</t>
  </si>
  <si>
    <t>Nottingham (pt)</t>
  </si>
  <si>
    <t>Nottingham North BC</t>
  </si>
  <si>
    <t>Nottingham South BC</t>
  </si>
  <si>
    <t>Aspley</t>
  </si>
  <si>
    <t>Basford</t>
  </si>
  <si>
    <t>Berridge</t>
  </si>
  <si>
    <t>REDDITCH BOROUGH</t>
  </si>
  <si>
    <t>CITY OF WORCESTER</t>
  </si>
  <si>
    <t>WYCHAVON DISTRICT</t>
  </si>
  <si>
    <t>Morley and Outwood CC (pt)</t>
  </si>
  <si>
    <t>Selby West</t>
  </si>
  <si>
    <t>Sherburn in Elmet</t>
  </si>
  <si>
    <t>NEWHAM LONDON BOROUGH  *</t>
  </si>
  <si>
    <t>East Ham BC</t>
  </si>
  <si>
    <t>Newham (pt)</t>
  </si>
  <si>
    <t>West Ham BC</t>
  </si>
  <si>
    <t>Beckton</t>
  </si>
  <si>
    <t>Boleyn</t>
  </si>
  <si>
    <t>Canning Town North</t>
  </si>
  <si>
    <t>Canning Town South</t>
  </si>
  <si>
    <t>Custom House</t>
  </si>
  <si>
    <t>East Ham Central</t>
  </si>
  <si>
    <t>Wrenthorpe and Outwood West</t>
  </si>
  <si>
    <t>* as created by The City of Wakefield (Electoral Changes) Order 2003</t>
  </si>
  <si>
    <t>WORCESTERSHIRE  *</t>
  </si>
  <si>
    <t>BROMSGROVE DISTRICT</t>
  </si>
  <si>
    <t>MALVERN HILLS DISTRICT</t>
  </si>
  <si>
    <t>Hanworth Park</t>
  </si>
  <si>
    <t>Heston Central</t>
  </si>
  <si>
    <t>Heston East</t>
  </si>
  <si>
    <t>Heston West</t>
  </si>
  <si>
    <t>Hounslow Central</t>
  </si>
  <si>
    <t>Hounslow Heath</t>
  </si>
  <si>
    <t>Hounslow South</t>
  </si>
  <si>
    <t>Hounslow West</t>
  </si>
  <si>
    <t>Isleworth</t>
  </si>
  <si>
    <t>Donnington</t>
  </si>
  <si>
    <t>Dothill</t>
  </si>
  <si>
    <t>Ercall</t>
  </si>
  <si>
    <t>Haygate</t>
  </si>
  <si>
    <t>Ryton, Crookhill and Stella</t>
  </si>
  <si>
    <t>Saltwell</t>
  </si>
  <si>
    <t>Wardley and Leam Lane</t>
  </si>
  <si>
    <t>Whickham North</t>
  </si>
  <si>
    <t>Whickham South and Sunniside</t>
  </si>
  <si>
    <t>Windy Nook and Whitehills</t>
  </si>
  <si>
    <t>Lower Stoke</t>
  </si>
  <si>
    <t>Radford</t>
  </si>
  <si>
    <t>Sherbourne</t>
  </si>
  <si>
    <t>Nuneaton and Bedworth (pt)</t>
  </si>
  <si>
    <t>Banbury Hardwick</t>
  </si>
  <si>
    <t>Banbury Ruscote</t>
  </si>
  <si>
    <t>Bicester East</t>
  </si>
  <si>
    <t>Bicester West</t>
  </si>
  <si>
    <t>Deddington</t>
  </si>
  <si>
    <t>Whitfield</t>
  </si>
  <si>
    <t>Radbrook</t>
  </si>
  <si>
    <t>Ruyton and Baschurch</t>
  </si>
  <si>
    <t>Severn Valley</t>
  </si>
  <si>
    <t>Shawbury</t>
  </si>
  <si>
    <t>Shifnal North</t>
  </si>
  <si>
    <t>Shifnal South and Cosford</t>
  </si>
  <si>
    <t>St Oswald</t>
  </si>
  <si>
    <t>Sundorne</t>
  </si>
  <si>
    <t>Tern</t>
  </si>
  <si>
    <t>The Meres</t>
  </si>
  <si>
    <t>Underdale</t>
  </si>
  <si>
    <t>Wem</t>
  </si>
  <si>
    <t>Whitchurch North</t>
  </si>
  <si>
    <t>Whitchurch South</t>
  </si>
  <si>
    <t>Whittington</t>
  </si>
  <si>
    <t>Worfield</t>
  </si>
  <si>
    <t>The Wrekin CC (pt)</t>
  </si>
  <si>
    <t>TELFORD AND WREKIN  *</t>
  </si>
  <si>
    <t>Apley Castle</t>
  </si>
  <si>
    <t>Arleston</t>
  </si>
  <si>
    <t>Brookside</t>
  </si>
  <si>
    <t>Coldharbour</t>
  </si>
  <si>
    <t>CITY OF LONDON  #</t>
  </si>
  <si>
    <t>Cities of London and Westminster BC</t>
  </si>
  <si>
    <t>Westminster (pt)</t>
  </si>
  <si>
    <t>Charford</t>
  </si>
  <si>
    <t>North Warwickshire CC</t>
  </si>
  <si>
    <t>North Warwickshire (pt)</t>
  </si>
  <si>
    <t>MALVERN HILLS DISTRICT *</t>
  </si>
  <si>
    <t>Alfrick and Leigh</t>
  </si>
  <si>
    <t>Baldwin</t>
  </si>
  <si>
    <t>Dyson Perrins</t>
  </si>
  <si>
    <t>Hallow</t>
  </si>
  <si>
    <t>Kempsey</t>
  </si>
  <si>
    <t>Lindridge</t>
  </si>
  <si>
    <t>Boughton</t>
  </si>
  <si>
    <t>Bedwardine</t>
  </si>
  <si>
    <t>Cathedral</t>
  </si>
  <si>
    <t>Claines</t>
  </si>
  <si>
    <t>Nunnery</t>
  </si>
  <si>
    <t>Rainbow Hill</t>
  </si>
  <si>
    <t>St Clement</t>
  </si>
  <si>
    <t>St John</t>
  </si>
  <si>
    <t>St Peter's Parish</t>
  </si>
  <si>
    <t>Penyghent</t>
  </si>
  <si>
    <t>Settle and Ribblebanks</t>
  </si>
  <si>
    <t>Heworth</t>
  </si>
  <si>
    <t>Heworth Without</t>
  </si>
  <si>
    <t>Holgate</t>
  </si>
  <si>
    <t>Hull Road</t>
  </si>
  <si>
    <t>Tisbury</t>
  </si>
  <si>
    <t>Trowbridge Adcroft</t>
  </si>
  <si>
    <t>Trowbridge Central</t>
  </si>
  <si>
    <t>Trowbridge Drynham</t>
  </si>
  <si>
    <t>Trowbridge Grove</t>
  </si>
  <si>
    <t>Trowbridge Park</t>
  </si>
  <si>
    <t>Trowbridge Paxcroft</t>
  </si>
  <si>
    <t>Warminster Broadway</t>
  </si>
  <si>
    <t>Warminster East</t>
  </si>
  <si>
    <t>Warminster West</t>
  </si>
  <si>
    <t>Westbury North</t>
  </si>
  <si>
    <t>Westbury East</t>
  </si>
  <si>
    <t>Westbury West</t>
  </si>
  <si>
    <t>Binley and Willenhall</t>
  </si>
  <si>
    <t>Cheylesmore</t>
  </si>
  <si>
    <t>Earlsdon</t>
  </si>
  <si>
    <t>Summertown</t>
  </si>
  <si>
    <t>Wolvercote</t>
  </si>
  <si>
    <t>SOUTH OXFORDSHIRE DISTRICT  *</t>
  </si>
  <si>
    <t>County Average (Shropshire) (3 seats)</t>
  </si>
  <si>
    <t>County Average (Telford and Wrekin) (2 seats)</t>
  </si>
  <si>
    <t>County Average (All) (5 seats)</t>
  </si>
  <si>
    <t>Ludlow CC</t>
  </si>
  <si>
    <t>Shropshire (pt)</t>
  </si>
  <si>
    <t>North Shropshire CC</t>
  </si>
  <si>
    <t>Shrewsbury and Atcham CC</t>
  </si>
  <si>
    <t>Telford BC</t>
  </si>
  <si>
    <t>Telford and Wrekin (pt)</t>
  </si>
  <si>
    <t>The Wrekin CC</t>
  </si>
  <si>
    <t>North Cornwall CC</t>
  </si>
  <si>
    <t>Skipton East</t>
  </si>
  <si>
    <t>Skipton North</t>
  </si>
  <si>
    <t>Skipton South</t>
  </si>
  <si>
    <t>Skipton West</t>
  </si>
  <si>
    <t>Sutton-in-Craven</t>
  </si>
  <si>
    <t>Upper Wharfedale</t>
  </si>
  <si>
    <t>West Craven</t>
  </si>
  <si>
    <t>* as created by The Shropshire (Structural Change) Order 2008</t>
  </si>
  <si>
    <t># as created by The Shropshire (District of The Wrekin) (Structural Change) Order 1996</t>
  </si>
  <si>
    <t>Heathfield</t>
  </si>
  <si>
    <t>Kenley</t>
  </si>
  <si>
    <t>Norbury</t>
  </si>
  <si>
    <t>Sanderstead</t>
  </si>
  <si>
    <t>Selhurst</t>
  </si>
  <si>
    <t>Shirley</t>
  </si>
  <si>
    <t>Hornchurch and Upminster BC</t>
  </si>
  <si>
    <t>Romford BC</t>
  </si>
  <si>
    <t>Abbey</t>
  </si>
  <si>
    <t>Alibon</t>
  </si>
  <si>
    <t>Becontree</t>
  </si>
  <si>
    <t>Chadwell Heath</t>
  </si>
  <si>
    <t>Eastbrook</t>
  </si>
  <si>
    <t>Eastbury</t>
  </si>
  <si>
    <t>Gascoigne</t>
  </si>
  <si>
    <t>Goresbrook</t>
  </si>
  <si>
    <t>Heath</t>
  </si>
  <si>
    <t>Longbridge</t>
  </si>
  <si>
    <t>Mayesbrook</t>
  </si>
  <si>
    <t>Parsloes</t>
  </si>
  <si>
    <t>River</t>
  </si>
  <si>
    <t>Thames</t>
  </si>
  <si>
    <t>Valence</t>
  </si>
  <si>
    <t>* as created by The Borough of Oldham (Electoral Changes) Order 2004</t>
  </si>
  <si>
    <t>ROCHDALE BOROUGH  *</t>
  </si>
  <si>
    <t>Balderstone and Kirkholt</t>
  </si>
  <si>
    <t>Bamford</t>
  </si>
  <si>
    <t>Castleton</t>
  </si>
  <si>
    <t>Central Rochdale</t>
  </si>
  <si>
    <t>East Middleton</t>
  </si>
  <si>
    <t>Healey</t>
  </si>
  <si>
    <t>Hopwood Hall</t>
  </si>
  <si>
    <t>Littleborough Lakeside</t>
  </si>
  <si>
    <t>Milkstone and Deeplish</t>
  </si>
  <si>
    <t>Milnrow and Newhey</t>
  </si>
  <si>
    <t>Norden</t>
  </si>
  <si>
    <t>North Heywood</t>
  </si>
  <si>
    <t>North Middleton</t>
  </si>
  <si>
    <t>Smallbridge and Firgrove</t>
  </si>
  <si>
    <t>South Middleton</t>
  </si>
  <si>
    <t>Bethnal Green and Bow BC</t>
  </si>
  <si>
    <t>Tower Hamlets (pt)</t>
  </si>
  <si>
    <t>Chorlton</t>
  </si>
  <si>
    <t>Chorlton Park</t>
  </si>
  <si>
    <t>Fishergate</t>
  </si>
  <si>
    <t>Guildhall</t>
  </si>
  <si>
    <t>Northenden</t>
  </si>
  <si>
    <t>Old Moat</t>
  </si>
  <si>
    <t>Rusholme</t>
  </si>
  <si>
    <t>Sharston</t>
  </si>
  <si>
    <t>Whalley Range</t>
  </si>
  <si>
    <t>Withington</t>
  </si>
  <si>
    <t>Poulton North</t>
  </si>
  <si>
    <t>Poulton South</t>
  </si>
  <si>
    <t>Stockton Heath</t>
  </si>
  <si>
    <t>Wednesbury North</t>
  </si>
  <si>
    <t>Wednesbury South</t>
  </si>
  <si>
    <t>West Bromwich Central</t>
  </si>
  <si>
    <t>Within 5% of EQ</t>
  </si>
  <si>
    <t>Honeybourne and Pebworth</t>
  </si>
  <si>
    <t>Inkberrow</t>
  </si>
  <si>
    <t>Little Hampton</t>
  </si>
  <si>
    <t>Lovett and North Claines</t>
  </si>
  <si>
    <t>Norton and Whittington</t>
  </si>
  <si>
    <t>Ombersley</t>
  </si>
  <si>
    <t>Pershore</t>
  </si>
  <si>
    <t>Pinvin</t>
  </si>
  <si>
    <t>South Bredon Hill</t>
  </si>
  <si>
    <t>The Littletons</t>
  </si>
  <si>
    <t>Upton Snodsbury</t>
  </si>
  <si>
    <t>* as created by The District of Wychavon (Electoral Changes) Order 2002</t>
  </si>
  <si>
    <t>WYRE FOREST DISTRICT  *</t>
  </si>
  <si>
    <t>Broadwaters</t>
  </si>
  <si>
    <t>Lickhill</t>
  </si>
  <si>
    <t>Mitton</t>
  </si>
  <si>
    <t>Norton West</t>
  </si>
  <si>
    <t>Pickering East</t>
  </si>
  <si>
    <t>Pickering West</t>
  </si>
  <si>
    <t>Rillington</t>
  </si>
  <si>
    <t>* as created by The Borough of Amber Valley (Electoral Changes) Order 1999 and</t>
  </si>
  <si>
    <t xml:space="preserve">   as altered by The Amber Valley (Related Alterations) Order 2009</t>
  </si>
  <si>
    <t>E05001528</t>
  </si>
  <si>
    <t>E05001529</t>
  </si>
  <si>
    <t>E05001530</t>
  </si>
  <si>
    <t>E05001531</t>
  </si>
  <si>
    <t>E05001532</t>
  </si>
  <si>
    <t>E05001533</t>
  </si>
  <si>
    <t>E05001534</t>
  </si>
  <si>
    <t>E05001535</t>
  </si>
  <si>
    <t>E05001536</t>
  </si>
  <si>
    <t>E05001537</t>
  </si>
  <si>
    <t>E05001538</t>
  </si>
  <si>
    <t>E05001539</t>
  </si>
  <si>
    <t>E05001540</t>
  </si>
  <si>
    <t>E05001541</t>
  </si>
  <si>
    <t>E05001542</t>
  </si>
  <si>
    <t>E05001543</t>
  </si>
  <si>
    <t>E05001544</t>
  </si>
  <si>
    <t>E05001545</t>
  </si>
  <si>
    <t>E05001546</t>
  </si>
  <si>
    <t>E05001547</t>
  </si>
  <si>
    <t>E05001548</t>
  </si>
  <si>
    <t>E05001549</t>
  </si>
  <si>
    <t>E05001550</t>
  </si>
  <si>
    <t>E05001551</t>
  </si>
  <si>
    <t>E05001552</t>
  </si>
  <si>
    <t>E05001643</t>
  </si>
  <si>
    <t>E05001644</t>
  </si>
  <si>
    <t>E05001645</t>
  </si>
  <si>
    <t>E05001646</t>
  </si>
  <si>
    <t>E05001647</t>
  </si>
  <si>
    <t>E05001648</t>
  </si>
  <si>
    <t>E05001649</t>
  </si>
  <si>
    <t>E05001650</t>
  </si>
  <si>
    <t>E05001651</t>
  </si>
  <si>
    <t>E05001652</t>
  </si>
  <si>
    <t>E05001653</t>
  </si>
  <si>
    <t>E05001654</t>
  </si>
  <si>
    <t>E05001655</t>
  </si>
  <si>
    <t>E05001656</t>
  </si>
  <si>
    <t>E05001657</t>
  </si>
  <si>
    <t>E05001658</t>
  </si>
  <si>
    <t>E05001659</t>
  </si>
  <si>
    <t>E05001660</t>
  </si>
  <si>
    <t>E05001661</t>
  </si>
  <si>
    <t>E05001662</t>
  </si>
  <si>
    <t>E05001663</t>
  </si>
  <si>
    <t>Ulverston East</t>
  </si>
  <si>
    <t>Micklegate</t>
  </si>
  <si>
    <t>Rural West York</t>
  </si>
  <si>
    <t>Nunthorpe</t>
  </si>
  <si>
    <t>Alton Westbrooke</t>
  </si>
  <si>
    <t>Alton Whitedown</t>
  </si>
  <si>
    <t>Alton Wooteys</t>
  </si>
  <si>
    <t>South Oxfordshire (pt)</t>
  </si>
  <si>
    <t>Oxford East BC</t>
  </si>
  <si>
    <t>Fratton</t>
  </si>
  <si>
    <t>Hilsea</t>
  </si>
  <si>
    <t>Paulsgrove</t>
  </si>
  <si>
    <t>St Jude</t>
  </si>
  <si>
    <t>* as created by The City of Portsmouth (Electoral Changes) Order 2001</t>
  </si>
  <si>
    <t>REDBRIDGE LONDON BOROUGH  * #</t>
  </si>
  <si>
    <t xml:space="preserve">Chingford and Woodford Green BC </t>
  </si>
  <si>
    <t>Redbridge (pt)</t>
  </si>
  <si>
    <t>Waltham Forest (pt)</t>
  </si>
  <si>
    <t>Ilford North BC</t>
  </si>
  <si>
    <t>Ilford South BC</t>
  </si>
  <si>
    <t xml:space="preserve">Leyton and Wanstead BC  </t>
  </si>
  <si>
    <t xml:space="preserve">Walthamstow BC </t>
  </si>
  <si>
    <t>Aldborough</t>
  </si>
  <si>
    <t>Barkingside</t>
  </si>
  <si>
    <t>Chadwell</t>
  </si>
  <si>
    <t>Chingford and Woodford Green BC</t>
  </si>
  <si>
    <t>Clayhall</t>
  </si>
  <si>
    <t>Clementswood</t>
  </si>
  <si>
    <t>Cranbrook</t>
  </si>
  <si>
    <t>Fairlop</t>
  </si>
  <si>
    <t>Fullwell</t>
  </si>
  <si>
    <t>Addison</t>
  </si>
  <si>
    <t>Colliers Wood</t>
  </si>
  <si>
    <t>Cricket Green</t>
  </si>
  <si>
    <t>Figge's Marsh</t>
  </si>
  <si>
    <t>Graveney</t>
  </si>
  <si>
    <t>Lavender Fields</t>
  </si>
  <si>
    <t>Longthornton</t>
  </si>
  <si>
    <t>Lower Morden</t>
  </si>
  <si>
    <t>Merton Park</t>
  </si>
  <si>
    <t>Pollards Hill</t>
  </si>
  <si>
    <t>Ravensbury</t>
  </si>
  <si>
    <t>Exbourne</t>
  </si>
  <si>
    <t>Hatherleigh</t>
  </si>
  <si>
    <t>Mary Tavy</t>
  </si>
  <si>
    <t>Milton Ford</t>
  </si>
  <si>
    <t>North East Hampshire CC (pt)</t>
  </si>
  <si>
    <t>North West Hampshire CC (pt)</t>
  </si>
  <si>
    <t>* as created by The Borough of Rossendale (Electoral Changes) Order 2001</t>
  </si>
  <si>
    <t>SOUTH RIBBLE BOROUGH  *</t>
  </si>
  <si>
    <t>Bamber Bridge East</t>
  </si>
  <si>
    <t>Bamber Bridge West</t>
  </si>
  <si>
    <t>Broad Oak</t>
  </si>
  <si>
    <t>Charnock</t>
  </si>
  <si>
    <t>Earnshaw Bridge</t>
  </si>
  <si>
    <t>Ranskill</t>
  </si>
  <si>
    <t>Sturton</t>
  </si>
  <si>
    <t>Tuxford and Trent</t>
  </si>
  <si>
    <t>Welbeck</t>
  </si>
  <si>
    <t>Worksop East</t>
  </si>
  <si>
    <t>Worksop North</t>
  </si>
  <si>
    <t>Worksop North East</t>
  </si>
  <si>
    <t>Newtown</t>
  </si>
  <si>
    <t>Ridgeway</t>
  </si>
  <si>
    <t>Rufford</t>
  </si>
  <si>
    <t>Dorridge and Hockley Heath</t>
  </si>
  <si>
    <t>Knowsley BC</t>
  </si>
  <si>
    <t>Liverpool, Riverside BC</t>
  </si>
  <si>
    <t>Liverpool, Walton BC</t>
  </si>
  <si>
    <t>Liverpool, Wavertree BC</t>
  </si>
  <si>
    <t>Liverpool, West Derby BC</t>
  </si>
  <si>
    <t>St Helens North BC</t>
  </si>
  <si>
    <t>St Helens (pt)</t>
  </si>
  <si>
    <t>St Helens South and Whiston BC</t>
  </si>
  <si>
    <t>Sefton Central CC</t>
  </si>
  <si>
    <t>Southport BC</t>
  </si>
  <si>
    <t>Wallasey BC</t>
  </si>
  <si>
    <t>Wirral South CC</t>
  </si>
  <si>
    <t>Wirral West CC</t>
  </si>
  <si>
    <t>KNOWSLEY BOROUGH  *</t>
  </si>
  <si>
    <t>Cherryfield</t>
  </si>
  <si>
    <t>Halewood North</t>
  </si>
  <si>
    <t>Halewood South</t>
  </si>
  <si>
    <t>Page Moss</t>
  </si>
  <si>
    <t>Roby</t>
  </si>
  <si>
    <t>St Gabriels</t>
  </si>
  <si>
    <t>Shevington</t>
  </si>
  <si>
    <t>Stockbridge</t>
  </si>
  <si>
    <t>Sumners and Kingsmoor</t>
  </si>
  <si>
    <t>Coventry North East BC</t>
  </si>
  <si>
    <t>Coventry (pt)</t>
  </si>
  <si>
    <t>WEST LANCASHIRE BOROUGH</t>
  </si>
  <si>
    <t>WEST LANCASHIRE BOROUGH  *</t>
  </si>
  <si>
    <t xml:space="preserve">   District granted Borough status on 20 May 2009</t>
  </si>
  <si>
    <t>Fosse</t>
  </si>
  <si>
    <t>Hillmorton</t>
  </si>
  <si>
    <t>Leam Valley</t>
  </si>
  <si>
    <t>New Bilton</t>
  </si>
  <si>
    <t>North Tyneside</t>
  </si>
  <si>
    <t>South Tyneside</t>
  </si>
  <si>
    <t>Sunderland</t>
  </si>
  <si>
    <t>County Average (East Cheshire) (4 seats)</t>
  </si>
  <si>
    <t>Ducklington</t>
  </si>
  <si>
    <t>Eynsham and Cassington</t>
  </si>
  <si>
    <t>Freeland and Hanborough</t>
  </si>
  <si>
    <t>Charles Dickens</t>
  </si>
  <si>
    <t>Copnor</t>
  </si>
  <si>
    <t>Cosham</t>
  </si>
  <si>
    <t>Drayton and Farlington</t>
  </si>
  <si>
    <t>Eastney and Craneswater</t>
  </si>
  <si>
    <t>Phoenix</t>
  </si>
  <si>
    <t>Porchester</t>
  </si>
  <si>
    <t>Woodthorpe</t>
  </si>
  <si>
    <t>MANSFIELD DISTRICT  *</t>
  </si>
  <si>
    <t>Broomhill</t>
  </si>
  <si>
    <t>Eakring</t>
  </si>
  <si>
    <t>Grange Farm</t>
  </si>
  <si>
    <t>Ladybrook</t>
  </si>
  <si>
    <t>Lindhurst</t>
  </si>
  <si>
    <t>Meden</t>
  </si>
  <si>
    <t>Oak Tree</t>
  </si>
  <si>
    <t>Portland</t>
  </si>
  <si>
    <t>South Kesteven</t>
  </si>
  <si>
    <t>West Lindsey</t>
  </si>
  <si>
    <t>LINCOLNSHIRE</t>
  </si>
  <si>
    <t>Middlesbrough *</t>
  </si>
  <si>
    <t>Redcar and Cleveland *</t>
  </si>
  <si>
    <t>Milton Keynes *</t>
  </si>
  <si>
    <t>Breckland</t>
  </si>
  <si>
    <t>Broadland</t>
  </si>
  <si>
    <t>Great Yarmouth</t>
  </si>
  <si>
    <t>Kings Lynn and West Norfolk</t>
  </si>
  <si>
    <t>North Norfolk</t>
  </si>
  <si>
    <t>Norwich</t>
  </si>
  <si>
    <t>Charville</t>
  </si>
  <si>
    <t>Heathrow Villages</t>
  </si>
  <si>
    <t>Hillingdon East</t>
  </si>
  <si>
    <t>Whitnash</t>
  </si>
  <si>
    <t>Bath and North East Somerset *</t>
  </si>
  <si>
    <t>BEDFORDSHIRE &amp; LUTON</t>
  </si>
  <si>
    <t>Selsey South</t>
  </si>
  <si>
    <t>Southbourne</t>
  </si>
  <si>
    <t>County Average (Bracknell Forest) (1 seat)</t>
  </si>
  <si>
    <t>County Average (Reading) (1 seat)</t>
  </si>
  <si>
    <t>County Average (Slough) (1 seat)</t>
  </si>
  <si>
    <t>County Average (West Berkshire) (2 seats)</t>
  </si>
  <si>
    <t>County Average (Windsor and Maidenhead) (1 seat)</t>
  </si>
  <si>
    <t>* as created by The London Borough of Harrow (Electoral Changes) Order 2000</t>
  </si>
  <si>
    <t># paired with the London Borough of Hillingdon</t>
  </si>
  <si>
    <t>HILLINGDON LONDON BOROUGH  * #</t>
  </si>
  <si>
    <t>Cavendish</t>
  </si>
  <si>
    <t>Unsworth</t>
  </si>
  <si>
    <t>* as created by The Borough of Bury (Electoral Changes) Order 2004</t>
  </si>
  <si>
    <t>CITY OF MANCHESTER  *</t>
  </si>
  <si>
    <t>Oxford (pt)</t>
  </si>
  <si>
    <t>Oxford West and Abingdon CC</t>
  </si>
  <si>
    <t>Vale of White Horse (pt)</t>
  </si>
  <si>
    <t>Wantage CC</t>
  </si>
  <si>
    <t>Witney CC</t>
  </si>
  <si>
    <t>CHERWELL DISTRICT  *</t>
  </si>
  <si>
    <t>Weaver Vale CC (pt)</t>
  </si>
  <si>
    <t>Appleton</t>
  </si>
  <si>
    <t>Birchfield</t>
  </si>
  <si>
    <t>Broadheath</t>
  </si>
  <si>
    <t>Halton Castle</t>
  </si>
  <si>
    <t>Ditton</t>
  </si>
  <si>
    <t>Farnworth</t>
  </si>
  <si>
    <t>Grange</t>
  </si>
  <si>
    <t>Halton Lea</t>
  </si>
  <si>
    <t>Halton View</t>
  </si>
  <si>
    <t>Hough Green</t>
  </si>
  <si>
    <t>Kingsway</t>
  </si>
  <si>
    <t>Norton North</t>
  </si>
  <si>
    <t>Norton South</t>
  </si>
  <si>
    <t>Riverside</t>
  </si>
  <si>
    <t>* as created by The Borough of Halton (Electoral Changes) Order 2002</t>
  </si>
  <si>
    <t>Cheshire West and Chester *</t>
  </si>
  <si>
    <t>Cheshire East *</t>
  </si>
  <si>
    <t>Cornwall *</t>
  </si>
  <si>
    <t>Bullbrook</t>
  </si>
  <si>
    <t>Central Sandhurst</t>
  </si>
  <si>
    <t>College Town</t>
  </si>
  <si>
    <t>Crown Wood</t>
  </si>
  <si>
    <t>Crowthorne</t>
  </si>
  <si>
    <t>Great Hollands North</t>
  </si>
  <si>
    <t>Walsall</t>
  </si>
  <si>
    <t>Cleeve West</t>
  </si>
  <si>
    <t>Coombe Hill</t>
  </si>
  <si>
    <t>Highnam with Haw Bridge</t>
  </si>
  <si>
    <t>Isbourne</t>
  </si>
  <si>
    <t>SOUTH TYNESIDE BOROUGH  *</t>
  </si>
  <si>
    <t>Beacon and Bents</t>
  </si>
  <si>
    <t>Biddick and All Saints</t>
  </si>
  <si>
    <t>Boldon Colliery</t>
  </si>
  <si>
    <t>Cleadon and East Boldon</t>
  </si>
  <si>
    <t>Cleadon Park</t>
  </si>
  <si>
    <t>Fellgate and Hedworth</t>
  </si>
  <si>
    <t>Harton</t>
  </si>
  <si>
    <t>Benhall and The Reddings</t>
  </si>
  <si>
    <t>Charlton Kings</t>
  </si>
  <si>
    <t>Charlton Park</t>
  </si>
  <si>
    <t>Hesters Way</t>
  </si>
  <si>
    <t>Leckhampton</t>
  </si>
  <si>
    <t>Pittville</t>
  </si>
  <si>
    <t>Prestbury</t>
  </si>
  <si>
    <t>St Mark's</t>
  </si>
  <si>
    <t>St Paul's</t>
  </si>
  <si>
    <t>St Peter's</t>
  </si>
  <si>
    <t>Springbank</t>
  </si>
  <si>
    <t>Swindon Village</t>
  </si>
  <si>
    <t>Pevensey</t>
  </si>
  <si>
    <t>Rustington East</t>
  </si>
  <si>
    <t>Rustington West</t>
  </si>
  <si>
    <t>Yapton</t>
  </si>
  <si>
    <t>Arundel and South Downs CC (pt)</t>
  </si>
  <si>
    <t>Worthing West BC (pt)</t>
  </si>
  <si>
    <t>CHICHESTER DISTRICT  *</t>
  </si>
  <si>
    <t>Chichester East</t>
  </si>
  <si>
    <t>Chichester North</t>
  </si>
  <si>
    <t>Chichester South</t>
  </si>
  <si>
    <t>Chichester West</t>
  </si>
  <si>
    <t>Easington</t>
  </si>
  <si>
    <t>Sedgefield</t>
  </si>
  <si>
    <t>Darlington *</t>
  </si>
  <si>
    <t>CO. DURHAM &amp; DARLINGTON</t>
  </si>
  <si>
    <t>Eastbourne</t>
  </si>
  <si>
    <t>Hastings</t>
  </si>
  <si>
    <t>Southend-on-Sea *</t>
  </si>
  <si>
    <t>Thurrock *</t>
  </si>
  <si>
    <t>ESSEX, SOUTHEND &amp; THURROCK</t>
  </si>
  <si>
    <t>Cheltenham</t>
  </si>
  <si>
    <t>Cotswold</t>
  </si>
  <si>
    <t>Forest of Dean</t>
  </si>
  <si>
    <t>Besses</t>
  </si>
  <si>
    <t>South Ruislip</t>
  </si>
  <si>
    <t>West Drayton</t>
  </si>
  <si>
    <t>Yeading</t>
  </si>
  <si>
    <t>Yiewsley</t>
  </si>
  <si>
    <t>Haywards Heath Ashenground</t>
  </si>
  <si>
    <t>Haywards Heath Bentswood</t>
  </si>
  <si>
    <t>Leeds North East BC</t>
  </si>
  <si>
    <t>Leeds North West BC</t>
  </si>
  <si>
    <t>Leeds West BC</t>
  </si>
  <si>
    <t>Morley and Outwood CC</t>
  </si>
  <si>
    <t>Normanton, Pontefract and Castleford CC</t>
  </si>
  <si>
    <t>Pudsey BC</t>
  </si>
  <si>
    <t>Shipley CC</t>
  </si>
  <si>
    <t>Wakefield CC</t>
  </si>
  <si>
    <t>CITY OF BRADFORD  *</t>
  </si>
  <si>
    <t>Baildon</t>
  </si>
  <si>
    <t>Bingley</t>
  </si>
  <si>
    <t>Bingley Rural</t>
  </si>
  <si>
    <t>Bolton and Undercliffe</t>
  </si>
  <si>
    <t>Bowling and Barkerend</t>
  </si>
  <si>
    <t>Bradford Moor</t>
  </si>
  <si>
    <t>Clayton and Fairweather Green</t>
  </si>
  <si>
    <t>Eccleshill</t>
  </si>
  <si>
    <t>Adeyfield West</t>
  </si>
  <si>
    <t>Aldbury and Wigginton</t>
  </si>
  <si>
    <t>Apsley and Corner Hall</t>
  </si>
  <si>
    <t>Ashridge</t>
  </si>
  <si>
    <t>Bennetts End</t>
  </si>
  <si>
    <t>Longbenton</t>
  </si>
  <si>
    <t>Monkseaton North</t>
  </si>
  <si>
    <t>Shipley</t>
  </si>
  <si>
    <t>Thornton and Allerton</t>
  </si>
  <si>
    <t>Tong</t>
  </si>
  <si>
    <t>Hevingham</t>
  </si>
  <si>
    <t>Horsford and Felthorpe</t>
  </si>
  <si>
    <t>Marshes</t>
  </si>
  <si>
    <t>Old Catton and Sprowston West</t>
  </si>
  <si>
    <t>Reepham</t>
  </si>
  <si>
    <t>Spixworth with St Faiths</t>
  </si>
  <si>
    <t>% change</t>
  </si>
  <si>
    <t>Rank</t>
  </si>
  <si>
    <t>Total</t>
  </si>
  <si>
    <t>Disparity</t>
  </si>
  <si>
    <t>Highest</t>
  </si>
  <si>
    <t>Lowest</t>
  </si>
  <si>
    <t>Standard Deviation</t>
  </si>
  <si>
    <t>Electoral Quota</t>
  </si>
  <si>
    <t>Wimborne Minster</t>
  </si>
  <si>
    <t>Berkhamsted Castle</t>
  </si>
  <si>
    <t>Berkhamsted East</t>
  </si>
  <si>
    <t>Berkhamsted West</t>
  </si>
  <si>
    <t>Bovingdon, Flaunden and Chipperfield</t>
  </si>
  <si>
    <t>Boxmoor</t>
  </si>
  <si>
    <t>Chaulden and Warners End</t>
  </si>
  <si>
    <t>Gadebridge</t>
  </si>
  <si>
    <t>Grovehill</t>
  </si>
  <si>
    <t>Hemel Hempstead Town</t>
  </si>
  <si>
    <t>Kings Langley</t>
  </si>
  <si>
    <t>Leverstock Green</t>
  </si>
  <si>
    <t>Nash Mills</t>
  </si>
  <si>
    <t>Northchurch</t>
  </si>
  <si>
    <t>Padstow</t>
  </si>
  <si>
    <t>Leominster South</t>
  </si>
  <si>
    <t>Llangarron</t>
  </si>
  <si>
    <t>Old Gore</t>
  </si>
  <si>
    <t>Penyard</t>
  </si>
  <si>
    <t>St Nicholas</t>
  </si>
  <si>
    <t>Stoney Street</t>
  </si>
  <si>
    <t>Sutton Walls</t>
  </si>
  <si>
    <t>Penzance East</t>
  </si>
  <si>
    <t>Penzance Promenade</t>
  </si>
  <si>
    <t>Perranporth</t>
  </si>
  <si>
    <t>Poundstock</t>
  </si>
  <si>
    <t>Tupsley</t>
  </si>
  <si>
    <t>HARTLEPOOL BOROUGH  *</t>
  </si>
  <si>
    <t>County Average (1 seat)</t>
  </si>
  <si>
    <t>Hartlepool BC</t>
  </si>
  <si>
    <t>Hartlepool</t>
  </si>
  <si>
    <t>Burn Valley</t>
  </si>
  <si>
    <t>Foggy Furze</t>
  </si>
  <si>
    <t>Nuneaton and Bedworth</t>
  </si>
  <si>
    <t>Rugby</t>
  </si>
  <si>
    <t>Warwick</t>
  </si>
  <si>
    <t>WARWICKSHIRE</t>
  </si>
  <si>
    <t>Adur</t>
  </si>
  <si>
    <t>Arun</t>
  </si>
  <si>
    <t>Chichester</t>
  </si>
  <si>
    <t>Crawley</t>
  </si>
  <si>
    <t>Horsham</t>
  </si>
  <si>
    <t>Mid Sussex</t>
  </si>
  <si>
    <t>Worthing</t>
  </si>
  <si>
    <t>WEST SUSSEX</t>
  </si>
  <si>
    <t>Bromsgrove</t>
  </si>
  <si>
    <t>Malvern Hills</t>
  </si>
  <si>
    <t>Redditch</t>
  </si>
  <si>
    <t>Worcester</t>
  </si>
  <si>
    <t>Wychavon</t>
  </si>
  <si>
    <t>TOTAL ENGLAND</t>
  </si>
  <si>
    <t>Monkseaton South</t>
  </si>
  <si>
    <t>Northumberland</t>
  </si>
  <si>
    <t>Tynemouth</t>
  </si>
  <si>
    <t>Wallsend</t>
  </si>
  <si>
    <t>Weetslade</t>
  </si>
  <si>
    <t>Whitley Bay</t>
  </si>
  <si>
    <t>* as created by The Borough of North Tyneside (Electoral Changes) Order 2004</t>
  </si>
  <si>
    <t>Wyre Forest</t>
  </si>
  <si>
    <t>WORCESTERSHIRE</t>
  </si>
  <si>
    <t>York *</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</si>
  <si>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</si>
  <si>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</si>
  <si>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</si>
  <si>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</si>
  <si>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</si>
  <si>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</si>
  <si>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</si>
  <si>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</si>
  <si>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</si>
  <si>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</si>
  <si>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</si>
  <si>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</si>
  <si>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</si>
  <si>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</si>
  <si>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</si>
  <si>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</si>
  <si>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</si>
  <si>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</si>
  <si>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</si>
  <si>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</si>
  <si>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</si>
  <si>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</si>
  <si>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</si>
  <si>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</si>
  <si>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</si>
  <si>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</si>
  <si>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</si>
  <si>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</si>
  <si>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</si>
  <si>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</si>
  <si>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</si>
  <si>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</si>
  <si>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City of London</t>
  </si>
  <si>
    <t>South Cambridgeshire CC (pt)</t>
  </si>
  <si>
    <t>Ripon Minster</t>
  </si>
  <si>
    <t>Ripon Moorside</t>
  </si>
  <si>
    <t>Ripon Spa</t>
  </si>
  <si>
    <t>Spofforth with Lower Wharfedale</t>
  </si>
  <si>
    <t>Washburn</t>
  </si>
  <si>
    <t>Wathvale</t>
  </si>
  <si>
    <t xml:space="preserve">   as altered by The Bradford (Electoral Changes) Order 2008</t>
  </si>
  <si>
    <t>CALDERDALE BOROUGH  *</t>
  </si>
  <si>
    <t>Brighouse</t>
  </si>
  <si>
    <t>Elland</t>
  </si>
  <si>
    <t>Greetland and Stainland</t>
  </si>
  <si>
    <t>Hipperholme and Lightcliffe</t>
  </si>
  <si>
    <t>Illingworth and Mixenden</t>
  </si>
  <si>
    <t>Longlands</t>
  </si>
  <si>
    <t>Northumberland Heath</t>
  </si>
  <si>
    <t>St Mary's</t>
  </si>
  <si>
    <t>St Michael's</t>
  </si>
  <si>
    <t>Sidcup</t>
  </si>
  <si>
    <t>Thamesmead East</t>
  </si>
  <si>
    <t># paired with the London Borough of Greenwich</t>
  </si>
  <si>
    <t xml:space="preserve">GREENWICH LONDON BOROUGH  * # </t>
  </si>
  <si>
    <t>Abbey Wood</t>
  </si>
  <si>
    <t>Blackheath Westcombe</t>
  </si>
  <si>
    <t>Charlton</t>
  </si>
  <si>
    <t>Coldharbour and New Eltham</t>
  </si>
  <si>
    <t>Eltham North</t>
  </si>
  <si>
    <t>* as created by The London Borough of Barnet (Electoral Changes) Order 2000</t>
  </si>
  <si>
    <t>COUNTY ELECTORATE TABLE</t>
  </si>
  <si>
    <t>Little Hulton</t>
  </si>
  <si>
    <t>Redruth North</t>
  </si>
  <si>
    <t>St Agnes</t>
  </si>
  <si>
    <t>E05000475</t>
  </si>
  <si>
    <t>E05000476</t>
  </si>
  <si>
    <t>E05000477</t>
  </si>
  <si>
    <t>E05000478</t>
  </si>
  <si>
    <t>E05000479</t>
  </si>
  <si>
    <t>E05000480</t>
  </si>
  <si>
    <t>E05000481</t>
  </si>
  <si>
    <t>E05000482</t>
  </si>
  <si>
    <t>E05000483</t>
  </si>
  <si>
    <t>E05000484</t>
  </si>
  <si>
    <t>E05000485</t>
  </si>
  <si>
    <t>E05000486</t>
  </si>
  <si>
    <t>E05000487</t>
  </si>
  <si>
    <t>E05000488</t>
  </si>
  <si>
    <t>E05000489</t>
  </si>
  <si>
    <t>E05000490</t>
  </si>
  <si>
    <t>E05000491</t>
  </si>
  <si>
    <t>E05000492</t>
  </si>
  <si>
    <t>E05000493</t>
  </si>
  <si>
    <t>E05000494</t>
  </si>
  <si>
    <t>E05000590</t>
  </si>
  <si>
    <t>E05000591</t>
  </si>
  <si>
    <t>E05000592</t>
  </si>
  <si>
    <t>E05000593</t>
  </si>
  <si>
    <t>E05000594</t>
  </si>
  <si>
    <t>E05000595</t>
  </si>
  <si>
    <t>E05000596</t>
  </si>
  <si>
    <t>E05000597</t>
  </si>
  <si>
    <t>E05000598</t>
  </si>
  <si>
    <t>E05000599</t>
  </si>
  <si>
    <t>E05000600</t>
  </si>
  <si>
    <t>E05000601</t>
  </si>
  <si>
    <t>E05000602</t>
  </si>
  <si>
    <t>E05000603</t>
  </si>
  <si>
    <t>E05000604</t>
  </si>
  <si>
    <t>E05000605</t>
  </si>
  <si>
    <t>E05000606</t>
  </si>
  <si>
    <t>E05000607</t>
  </si>
  <si>
    <t>E05000608</t>
  </si>
  <si>
    <t>E05000609</t>
  </si>
  <si>
    <t>E05000610</t>
  </si>
  <si>
    <t>E05000611</t>
  </si>
  <si>
    <t>E05000612</t>
  </si>
  <si>
    <t>E05000613</t>
  </si>
  <si>
    <t>E05000614</t>
  </si>
  <si>
    <t>E05000615</t>
  </si>
  <si>
    <t>E05000616</t>
  </si>
  <si>
    <t>E05000617</t>
  </si>
  <si>
    <t>E05000618</t>
  </si>
  <si>
    <t>E05000619</t>
  </si>
  <si>
    <t>E05000620</t>
  </si>
  <si>
    <t>E05000621</t>
  </si>
  <si>
    <t>E05000622</t>
  </si>
  <si>
    <t>E05000623</t>
  </si>
  <si>
    <t>E05000624</t>
  </si>
  <si>
    <t>E05000625</t>
  </si>
  <si>
    <t>E05000626</t>
  </si>
  <si>
    <t>E05000627</t>
  </si>
  <si>
    <t>E05000628</t>
  </si>
  <si>
    <t>E05000629</t>
  </si>
  <si>
    <t>CITY OF WESTMINSTER  *</t>
  </si>
  <si>
    <t>E05000650</t>
  </si>
  <si>
    <t>E05000651</t>
  </si>
  <si>
    <t>E05000652</t>
  </si>
  <si>
    <t>E05000653</t>
  </si>
  <si>
    <t>E05000654</t>
  </si>
  <si>
    <t>E05000655</t>
  </si>
  <si>
    <t>E05000656</t>
  </si>
  <si>
    <t>E05000657</t>
  </si>
  <si>
    <t>E05000658</t>
  </si>
  <si>
    <t>E05000659</t>
  </si>
  <si>
    <t>E05000660</t>
  </si>
  <si>
    <t>E05000661</t>
  </si>
  <si>
    <t>E05000662</t>
  </si>
  <si>
    <t>E05000663</t>
  </si>
  <si>
    <t>E05000664</t>
  </si>
  <si>
    <t>E05000665</t>
  </si>
  <si>
    <t>E05000666</t>
  </si>
  <si>
    <t>E05000667</t>
  </si>
  <si>
    <t>E05000668</t>
  </si>
  <si>
    <t>E05000669</t>
  </si>
  <si>
    <t>E05000670</t>
  </si>
  <si>
    <t>E05000671</t>
  </si>
  <si>
    <t>E05000672</t>
  </si>
  <si>
    <t>E05000673</t>
  </si>
  <si>
    <t>E05000674</t>
  </si>
  <si>
    <t>E05000675</t>
  </si>
  <si>
    <t>E05000676</t>
  </si>
  <si>
    <t>E05000677</t>
  </si>
  <si>
    <t>E05000678</t>
  </si>
  <si>
    <t>E05000679</t>
  </si>
  <si>
    <t>E05000680</t>
  </si>
  <si>
    <t>E05000681</t>
  </si>
  <si>
    <t>E05000682</t>
  </si>
  <si>
    <t>E05000683</t>
  </si>
  <si>
    <t>E05000684</t>
  </si>
  <si>
    <t>E05000685</t>
  </si>
  <si>
    <t>E05000686</t>
  </si>
  <si>
    <t>E05000719</t>
  </si>
  <si>
    <t>E05000720</t>
  </si>
  <si>
    <t>E05000721</t>
  </si>
  <si>
    <t>E05000722</t>
  </si>
  <si>
    <t>E05000723</t>
  </si>
  <si>
    <t>E05000724</t>
  </si>
  <si>
    <t>E05000725</t>
  </si>
  <si>
    <t>E05000726</t>
  </si>
  <si>
    <t>E05000727</t>
  </si>
  <si>
    <t>E05000728</t>
  </si>
  <si>
    <t>E05000729</t>
  </si>
  <si>
    <t>E05000730</t>
  </si>
  <si>
    <t>E05000731</t>
  </si>
  <si>
    <t>E05000732</t>
  </si>
  <si>
    <t>E05000733</t>
  </si>
  <si>
    <t>E05000734</t>
  </si>
  <si>
    <t>E05000735</t>
  </si>
  <si>
    <t>E05000736</t>
  </si>
  <si>
    <t>E05000737</t>
  </si>
  <si>
    <t>E05000738</t>
  </si>
  <si>
    <t>E05000739</t>
  </si>
  <si>
    <t>E05000740</t>
  </si>
  <si>
    <t>E05000741</t>
  </si>
  <si>
    <t>E05000742</t>
  </si>
  <si>
    <t>E05000743</t>
  </si>
  <si>
    <t>E05000744</t>
  </si>
  <si>
    <t>E05000745</t>
  </si>
  <si>
    <t>E05000746</t>
  </si>
  <si>
    <t>E05000747</t>
  </si>
  <si>
    <t>E05000748</t>
  </si>
  <si>
    <t>E05000749</t>
  </si>
  <si>
    <t>E05000750</t>
  </si>
  <si>
    <t>E05000751</t>
  </si>
  <si>
    <t>E05000752</t>
  </si>
  <si>
    <t>E05000753</t>
  </si>
  <si>
    <t>E05000754</t>
  </si>
  <si>
    <t>E05000755</t>
  </si>
  <si>
    <t>E05000756</t>
  </si>
  <si>
    <t>E05000757</t>
  </si>
  <si>
    <t>E05000758</t>
  </si>
  <si>
    <t>E05000779</t>
  </si>
  <si>
    <t>E05000780</t>
  </si>
  <si>
    <t>E05000781</t>
  </si>
  <si>
    <t>E05000782</t>
  </si>
  <si>
    <t>E05000783</t>
  </si>
  <si>
    <t>E05000784</t>
  </si>
  <si>
    <t>E05000785</t>
  </si>
  <si>
    <t>E05000786</t>
  </si>
  <si>
    <t>E05000787</t>
  </si>
  <si>
    <t>E05000788</t>
  </si>
  <si>
    <t>E05000789</t>
  </si>
  <si>
    <t>E05000790</t>
  </si>
  <si>
    <t>E05000791</t>
  </si>
  <si>
    <t>E05000792</t>
  </si>
  <si>
    <t>E05000793</t>
  </si>
  <si>
    <t>E05000794</t>
  </si>
  <si>
    <t>E05000795</t>
  </si>
  <si>
    <t>E05000796</t>
  </si>
  <si>
    <t>E05000797</t>
  </si>
  <si>
    <t>E05000798</t>
  </si>
  <si>
    <t>E05000799</t>
  </si>
  <si>
    <t>E05000800</t>
  </si>
  <si>
    <t>E05000801</t>
  </si>
  <si>
    <t>E05000802</t>
  </si>
  <si>
    <t>E05000803</t>
  </si>
  <si>
    <t>E05000804</t>
  </si>
  <si>
    <t>E05000805</t>
  </si>
  <si>
    <t>E05000806</t>
  </si>
  <si>
    <t>E05000807</t>
  </si>
  <si>
    <t>E05000808</t>
  </si>
  <si>
    <t>E05000809</t>
  </si>
  <si>
    <t>E05000810</t>
  </si>
  <si>
    <t>E05000811</t>
  </si>
  <si>
    <t>E05000812</t>
  </si>
  <si>
    <t>E05000813</t>
  </si>
  <si>
    <t>E05000814</t>
  </si>
  <si>
    <t>E05000815</t>
  </si>
  <si>
    <t>E05000816</t>
  </si>
  <si>
    <t>E05000817</t>
  </si>
  <si>
    <t>E05000818</t>
  </si>
  <si>
    <t>E05000819</t>
  </si>
  <si>
    <t>E05000820</t>
  </si>
  <si>
    <t>E05000821</t>
  </si>
  <si>
    <t>E05000822</t>
  </si>
  <si>
    <t>E05000823</t>
  </si>
  <si>
    <t>E05000824</t>
  </si>
  <si>
    <t>E05000825</t>
  </si>
  <si>
    <t>E05000826</t>
  </si>
  <si>
    <t>E05000827</t>
  </si>
  <si>
    <t>E05000828</t>
  </si>
  <si>
    <t>E05000829</t>
  </si>
  <si>
    <t>E05000830</t>
  </si>
  <si>
    <t>E05000831</t>
  </si>
  <si>
    <t>E05000832</t>
  </si>
  <si>
    <t>E05000833</t>
  </si>
  <si>
    <t>E05000834</t>
  </si>
  <si>
    <t>E05000835</t>
  </si>
  <si>
    <t>E05000836</t>
  </si>
  <si>
    <t>E05000837</t>
  </si>
  <si>
    <t>E05000838</t>
  </si>
  <si>
    <t>E05000839</t>
  </si>
  <si>
    <t>E05000840</t>
  </si>
  <si>
    <t>E05000841</t>
  </si>
  <si>
    <t>E05000842</t>
  </si>
  <si>
    <t>E05000843</t>
  </si>
  <si>
    <t>E05000844</t>
  </si>
  <si>
    <t>E05000845</t>
  </si>
  <si>
    <t>E05000846</t>
  </si>
  <si>
    <t>E05000847</t>
  </si>
  <si>
    <t>E05000848</t>
  </si>
  <si>
    <t>E05000849</t>
  </si>
  <si>
    <t>E05000850</t>
  </si>
  <si>
    <t>E05000851</t>
  </si>
  <si>
    <t>E05000852</t>
  </si>
  <si>
    <t>E05000853</t>
  </si>
  <si>
    <t>E05000854</t>
  </si>
  <si>
    <t>E05000855</t>
  </si>
  <si>
    <t>E05000856</t>
  </si>
  <si>
    <t>E05000857</t>
  </si>
  <si>
    <t>E05000858</t>
  </si>
  <si>
    <t>E05000859</t>
  </si>
  <si>
    <t>E05000860</t>
  </si>
  <si>
    <t>E05000861</t>
  </si>
  <si>
    <t>E05000862</t>
  </si>
  <si>
    <t>E05000863</t>
  </si>
  <si>
    <t>E05000864</t>
  </si>
  <si>
    <t>E05000886</t>
  </si>
  <si>
    <t>E05000887</t>
  </si>
  <si>
    <t>E05000888</t>
  </si>
  <si>
    <t>E05000889</t>
  </si>
  <si>
    <t>E05000890</t>
  </si>
  <si>
    <t>E05000891</t>
  </si>
  <si>
    <t>E05000892</t>
  </si>
  <si>
    <t>E05000893</t>
  </si>
  <si>
    <t>E05000894</t>
  </si>
  <si>
    <t>E05000895</t>
  </si>
  <si>
    <t>E05000896</t>
  </si>
  <si>
    <t>E05000897</t>
  </si>
  <si>
    <t>E05000898</t>
  </si>
  <si>
    <t>E05000899</t>
  </si>
  <si>
    <t>E05000900</t>
  </si>
  <si>
    <t>E05000901</t>
  </si>
  <si>
    <t>E05000902</t>
  </si>
  <si>
    <t>E05000903</t>
  </si>
  <si>
    <t>E05000904</t>
  </si>
  <si>
    <t>E05000905</t>
  </si>
  <si>
    <t>E05000906</t>
  </si>
  <si>
    <t>E05000907</t>
  </si>
  <si>
    <t>E05000908</t>
  </si>
  <si>
    <t>E05000909</t>
  </si>
  <si>
    <t>E05000910</t>
  </si>
  <si>
    <t>E05000911</t>
  </si>
  <si>
    <t>E05000912</t>
  </si>
  <si>
    <t>E05000913</t>
  </si>
  <si>
    <t>E05000914</t>
  </si>
  <si>
    <t>E05000915</t>
  </si>
  <si>
    <t>E05000916</t>
  </si>
  <si>
    <t>E05000917</t>
  </si>
  <si>
    <t>E05000918</t>
  </si>
  <si>
    <t>E05000919</t>
  </si>
  <si>
    <t>E05000920</t>
  </si>
  <si>
    <t>E05000921</t>
  </si>
  <si>
    <t>E05000922</t>
  </si>
  <si>
    <t>E05000923</t>
  </si>
  <si>
    <t>E05000924</t>
  </si>
  <si>
    <t>E05000925</t>
  </si>
  <si>
    <t>E05000926</t>
  </si>
  <si>
    <t>E05000927</t>
  </si>
  <si>
    <t>E05000928</t>
  </si>
  <si>
    <t>E05000929</t>
  </si>
  <si>
    <t>E05000930</t>
  </si>
  <si>
    <t>E05000931</t>
  </si>
  <si>
    <t>E05000932</t>
  </si>
  <si>
    <t>E05000933</t>
  </si>
  <si>
    <t>E05000934</t>
  </si>
  <si>
    <t>E05000935</t>
  </si>
  <si>
    <t>E05000936</t>
  </si>
  <si>
    <t>E05000937</t>
  </si>
  <si>
    <t>E05000938</t>
  </si>
  <si>
    <t>E05000939</t>
  </si>
  <si>
    <t>E05000940</t>
  </si>
  <si>
    <t>E05000941</t>
  </si>
  <si>
    <t>E05000942</t>
  </si>
  <si>
    <t>E05000943</t>
  </si>
  <si>
    <t>E05000944</t>
  </si>
  <si>
    <t>E05000945</t>
  </si>
  <si>
    <t>E05000946</t>
  </si>
  <si>
    <t>E05000947</t>
  </si>
  <si>
    <t>E05000948</t>
  </si>
  <si>
    <t>E05000949</t>
  </si>
  <si>
    <t>E05000950</t>
  </si>
  <si>
    <t>E05000951</t>
  </si>
  <si>
    <t>E05000952</t>
  </si>
  <si>
    <t>E05000953</t>
  </si>
  <si>
    <t>E05000954</t>
  </si>
  <si>
    <t>E05000955</t>
  </si>
  <si>
    <t>E05000956</t>
  </si>
  <si>
    <t>E05000957</t>
  </si>
  <si>
    <t>E05000958</t>
  </si>
  <si>
    <t>E05000959</t>
  </si>
  <si>
    <t>E05000960</t>
  </si>
  <si>
    <t>E05000961</t>
  </si>
  <si>
    <t>E05000962</t>
  </si>
  <si>
    <t>E05000963</t>
  </si>
  <si>
    <t>E05000964</t>
  </si>
  <si>
    <t>E05000965</t>
  </si>
  <si>
    <t>E05000966</t>
  </si>
  <si>
    <t>E05000967</t>
  </si>
  <si>
    <t>E05000968</t>
  </si>
  <si>
    <t>E05000969</t>
  </si>
  <si>
    <t>E05000970</t>
  </si>
  <si>
    <t>E05000971</t>
  </si>
  <si>
    <t>E05000972</t>
  </si>
  <si>
    <t>E05000973</t>
  </si>
  <si>
    <t>E05000974</t>
  </si>
  <si>
    <t>E05000975</t>
  </si>
  <si>
    <t>E05000976</t>
  </si>
  <si>
    <t>E05000977</t>
  </si>
  <si>
    <t>E05000978</t>
  </si>
  <si>
    <t>E05000979</t>
  </si>
  <si>
    <t>E05000980</t>
  </si>
  <si>
    <t>E05000981</t>
  </si>
  <si>
    <t>E05000982</t>
  </si>
  <si>
    <t>E05000983</t>
  </si>
  <si>
    <t>E05000984</t>
  </si>
  <si>
    <t>E05000985</t>
  </si>
  <si>
    <t>E05000986</t>
  </si>
  <si>
    <t>E05000987</t>
  </si>
  <si>
    <t>E05000988</t>
  </si>
  <si>
    <t>E05000989</t>
  </si>
  <si>
    <t>E05000990</t>
  </si>
  <si>
    <t>E05000991</t>
  </si>
  <si>
    <t>E05000992</t>
  </si>
  <si>
    <t>E05000993</t>
  </si>
  <si>
    <t>E05000994</t>
  </si>
  <si>
    <t>E05000995</t>
  </si>
  <si>
    <t>E05000996</t>
  </si>
  <si>
    <t>E05001067</t>
  </si>
  <si>
    <t>E05001068</t>
  </si>
  <si>
    <t>E05001069</t>
  </si>
  <si>
    <t>E05001071</t>
  </si>
  <si>
    <t>E05001072</t>
  </si>
  <si>
    <t>E05001073</t>
  </si>
  <si>
    <t>E05001074</t>
  </si>
  <si>
    <t>E05001075</t>
  </si>
  <si>
    <t>E05001076</t>
  </si>
  <si>
    <t>E05001077</t>
  </si>
  <si>
    <t>E05001078</t>
  </si>
  <si>
    <t>E05001079</t>
  </si>
  <si>
    <t>E05001080</t>
  </si>
  <si>
    <t>E05001081</t>
  </si>
  <si>
    <t>E05001082</t>
  </si>
  <si>
    <t>E05001083</t>
  </si>
  <si>
    <t>E05001084</t>
  </si>
  <si>
    <t>E05001085</t>
  </si>
  <si>
    <t>E05001086</t>
  </si>
  <si>
    <t>E05001087</t>
  </si>
  <si>
    <t>E05001088</t>
  </si>
  <si>
    <t>E05001115</t>
  </si>
  <si>
    <t>E05001116</t>
  </si>
  <si>
    <t>E05001117</t>
  </si>
  <si>
    <t>E05001118</t>
  </si>
  <si>
    <t>E05001119</t>
  </si>
  <si>
    <t>E05001120</t>
  </si>
  <si>
    <t>E05001121</t>
  </si>
  <si>
    <t>E05001122</t>
  </si>
  <si>
    <t>E05001123</t>
  </si>
  <si>
    <t>E05001124</t>
  </si>
  <si>
    <t>E05001125</t>
  </si>
  <si>
    <t>E05001126</t>
  </si>
  <si>
    <t>E05001127</t>
  </si>
  <si>
    <t>E05001128</t>
  </si>
  <si>
    <t>E05001129</t>
  </si>
  <si>
    <t>E05001130</t>
  </si>
  <si>
    <t>E05001131</t>
  </si>
  <si>
    <t>E05001132</t>
  </si>
  <si>
    <t>E05001133</t>
  </si>
  <si>
    <t>E05001134</t>
  </si>
  <si>
    <t>E05001135</t>
  </si>
  <si>
    <t>E05001136</t>
  </si>
  <si>
    <t>E05001137</t>
  </si>
  <si>
    <t>E05001138</t>
  </si>
  <si>
    <t>E05001139</t>
  </si>
  <si>
    <t>E05001140</t>
  </si>
  <si>
    <t>E05001141</t>
  </si>
  <si>
    <t>E05001142</t>
  </si>
  <si>
    <t>E05001143</t>
  </si>
  <si>
    <t>E05001144</t>
  </si>
  <si>
    <t>E05001145</t>
  </si>
  <si>
    <t>E05001146</t>
  </si>
  <si>
    <t>E05001147</t>
  </si>
  <si>
    <t>E05001148</t>
  </si>
  <si>
    <t>E05001149</t>
  </si>
  <si>
    <t>E05001150</t>
  </si>
  <si>
    <t>E05001151</t>
  </si>
  <si>
    <t>E05001152</t>
  </si>
  <si>
    <t>E05001153</t>
  </si>
  <si>
    <t>E05001154</t>
  </si>
  <si>
    <t>E05001155</t>
  </si>
  <si>
    <t>E05001156</t>
  </si>
  <si>
    <t>E05001157</t>
  </si>
  <si>
    <t>E05001158</t>
  </si>
  <si>
    <t>E05001159</t>
  </si>
  <si>
    <t>E05001160</t>
  </si>
  <si>
    <t>E05001161</t>
  </si>
  <si>
    <t>E05001162</t>
  </si>
  <si>
    <t>E05001163</t>
  </si>
  <si>
    <t>E05001164</t>
  </si>
  <si>
    <t>E05001165</t>
  </si>
  <si>
    <t>E05001166</t>
  </si>
  <si>
    <t>E05001167</t>
  </si>
  <si>
    <t>E05001168</t>
  </si>
  <si>
    <t>E05001169</t>
  </si>
  <si>
    <t>E05001170</t>
  </si>
  <si>
    <t>E05001171</t>
  </si>
  <si>
    <t>E05001172</t>
  </si>
  <si>
    <t>E05001173</t>
  </si>
  <si>
    <t>E05001174</t>
  </si>
  <si>
    <t>E05001175</t>
  </si>
  <si>
    <t>E05001176</t>
  </si>
  <si>
    <t>E05001177</t>
  </si>
  <si>
    <t>E05001218</t>
  </si>
  <si>
    <t>E05001219</t>
  </si>
  <si>
    <t>E05001220</t>
  </si>
  <si>
    <t>E05001221</t>
  </si>
  <si>
    <t>E05001222</t>
  </si>
  <si>
    <t>E05001223</t>
  </si>
  <si>
    <t>E05001224</t>
  </si>
  <si>
    <t>E05001225</t>
  </si>
  <si>
    <t>E05001226</t>
  </si>
  <si>
    <t>E05001227</t>
  </si>
  <si>
    <t>E05001228</t>
  </si>
  <si>
    <t>E05001229</t>
  </si>
  <si>
    <t>E05001230</t>
  </si>
  <si>
    <t>E05001231</t>
  </si>
  <si>
    <t>E05001232</t>
  </si>
  <si>
    <t>E05001233</t>
  </si>
  <si>
    <t>E05001234</t>
  </si>
  <si>
    <t>E05001235</t>
  </si>
  <si>
    <t>E05001236</t>
  </si>
  <si>
    <t>E05001237</t>
  </si>
  <si>
    <t>E05001238</t>
  </si>
  <si>
    <t>E05001239</t>
  </si>
  <si>
    <t>E05001240</t>
  </si>
  <si>
    <t>E05001241</t>
  </si>
  <si>
    <t>E05001242</t>
  </si>
  <si>
    <t>E05001243</t>
  </si>
  <si>
    <t>E05001244</t>
  </si>
  <si>
    <t>E05001245</t>
  </si>
  <si>
    <t>E05001246</t>
  </si>
  <si>
    <t>E05001247</t>
  </si>
  <si>
    <t>E05001248</t>
  </si>
  <si>
    <t>E05001249</t>
  </si>
  <si>
    <t>E05001250</t>
  </si>
  <si>
    <t>E05001251</t>
  </si>
  <si>
    <t>E05001252</t>
  </si>
  <si>
    <t>E05001253</t>
  </si>
  <si>
    <t>E05001254</t>
  </si>
  <si>
    <t>E05001255</t>
  </si>
  <si>
    <t>E05001256</t>
  </si>
  <si>
    <t>E05001257</t>
  </si>
  <si>
    <t>E05001258</t>
  </si>
  <si>
    <t>E05001259</t>
  </si>
  <si>
    <t>E05001260</t>
  </si>
  <si>
    <t>E05001261</t>
  </si>
  <si>
    <t>E05001262</t>
  </si>
  <si>
    <t>E05001263</t>
  </si>
  <si>
    <t>E05001264</t>
  </si>
  <si>
    <t>E05001265</t>
  </si>
  <si>
    <t>E05001266</t>
  </si>
  <si>
    <t>E05001267</t>
  </si>
  <si>
    <t>E05001268</t>
  </si>
  <si>
    <t>E05001269</t>
  </si>
  <si>
    <t>E05001270</t>
  </si>
  <si>
    <t>E05001271</t>
  </si>
  <si>
    <t>E05001272</t>
  </si>
  <si>
    <t>E05001273</t>
  </si>
  <si>
    <t>E05001274</t>
  </si>
  <si>
    <t>E05001275</t>
  </si>
  <si>
    <t>E05001276</t>
  </si>
  <si>
    <t>E05001277</t>
  </si>
  <si>
    <t>E05001278</t>
  </si>
  <si>
    <t>E05001279</t>
  </si>
  <si>
    <t>E05001280</t>
  </si>
  <si>
    <t>E05001281</t>
  </si>
  <si>
    <t>E05001282</t>
  </si>
  <si>
    <t>E05001283</t>
  </si>
  <si>
    <t>E05001284</t>
  </si>
  <si>
    <t>E05001285</t>
  </si>
  <si>
    <t>E05001286</t>
  </si>
  <si>
    <t>E05001287</t>
  </si>
  <si>
    <t>E05001288</t>
  </si>
  <si>
    <t>E05001289</t>
  </si>
  <si>
    <t>E05001290</t>
  </si>
  <si>
    <t>E05001291</t>
  </si>
  <si>
    <t>E05001292</t>
  </si>
  <si>
    <t>E05001293</t>
  </si>
  <si>
    <t>E05001294</t>
  </si>
  <si>
    <t>E05001295</t>
  </si>
  <si>
    <t>E05001296</t>
  </si>
  <si>
    <t>E05001297</t>
  </si>
  <si>
    <t>E05001298</t>
  </si>
  <si>
    <t>E05001299</t>
  </si>
  <si>
    <t>E05001300</t>
  </si>
  <si>
    <t>E05001301</t>
  </si>
  <si>
    <t>E05001302</t>
  </si>
  <si>
    <t>E05001303</t>
  </si>
  <si>
    <t>E05001304</t>
  </si>
  <si>
    <t>E05001305</t>
  </si>
  <si>
    <t>E05001306</t>
  </si>
  <si>
    <t>E05001307</t>
  </si>
  <si>
    <t>E05001308</t>
  </si>
  <si>
    <t>E05001309</t>
  </si>
  <si>
    <t>E05001310</t>
  </si>
  <si>
    <t>E05001311</t>
  </si>
  <si>
    <t>E05001312</t>
  </si>
  <si>
    <t>E05001313</t>
  </si>
  <si>
    <t>E05001314</t>
  </si>
  <si>
    <t>E05001315</t>
  </si>
  <si>
    <t>E05001316</t>
  </si>
  <si>
    <t>E05001317</t>
  </si>
  <si>
    <t>E05001318</t>
  </si>
  <si>
    <t>E05001319</t>
  </si>
  <si>
    <t>E05001320</t>
  </si>
  <si>
    <t>E05001321</t>
  </si>
  <si>
    <t>E05001322</t>
  </si>
  <si>
    <t>E05001323</t>
  </si>
  <si>
    <t>E05001324</t>
  </si>
  <si>
    <t>E05001325</t>
  </si>
  <si>
    <t>E05001326</t>
  </si>
  <si>
    <t>E05001327</t>
  </si>
  <si>
    <t>E05001328</t>
  </si>
  <si>
    <t>E05001329</t>
  </si>
  <si>
    <t>E05001330</t>
  </si>
  <si>
    <t>E05001331</t>
  </si>
  <si>
    <t>E05001332</t>
  </si>
  <si>
    <t>E05001333</t>
  </si>
  <si>
    <t>E05001334</t>
  </si>
  <si>
    <t>E05001335</t>
  </si>
  <si>
    <t>E05001336</t>
  </si>
  <si>
    <t>E05001337</t>
  </si>
  <si>
    <t>E05001338</t>
  </si>
  <si>
    <t>E05001339</t>
  </si>
  <si>
    <t>E05001340</t>
  </si>
  <si>
    <t>E05001341</t>
  </si>
  <si>
    <t>E05001342</t>
  </si>
  <si>
    <t>E05001343</t>
  </si>
  <si>
    <t>E05001344</t>
  </si>
  <si>
    <t>E05001345</t>
  </si>
  <si>
    <t>E05001346</t>
  </si>
  <si>
    <t>E05001347</t>
  </si>
  <si>
    <t>E05001348</t>
  </si>
  <si>
    <t>E05001349</t>
  </si>
  <si>
    <t>E05001350</t>
  </si>
  <si>
    <t>E05001351</t>
  </si>
  <si>
    <t>E05001352</t>
  </si>
  <si>
    <t>E05001353</t>
  </si>
  <si>
    <t>E05001354</t>
  </si>
  <si>
    <t>E05001355</t>
  </si>
  <si>
    <t>E05001356</t>
  </si>
  <si>
    <t>E05001357</t>
  </si>
  <si>
    <t>E05001358</t>
  </si>
  <si>
    <t>E05001359</t>
  </si>
  <si>
    <t>E05001360</t>
  </si>
  <si>
    <t>E05001361</t>
  </si>
  <si>
    <t>E05001362</t>
  </si>
  <si>
    <t>E05001363</t>
  </si>
  <si>
    <t>E05001364</t>
  </si>
  <si>
    <t>E05001365</t>
  </si>
  <si>
    <t>E05001366</t>
  </si>
  <si>
    <t>E05001367</t>
  </si>
  <si>
    <t>E05001368</t>
  </si>
  <si>
    <t>E05001369</t>
  </si>
  <si>
    <t>E05001370</t>
  </si>
  <si>
    <t>E05001371</t>
  </si>
  <si>
    <t>E05001372</t>
  </si>
  <si>
    <t>E05001373</t>
  </si>
  <si>
    <t>E05001374</t>
  </si>
  <si>
    <t>E05001375</t>
  </si>
  <si>
    <t>Weston-super-Mare Central</t>
  </si>
  <si>
    <t>Weston-super-Mare North Worle</t>
  </si>
  <si>
    <t>Weston-super-Mare South Worle</t>
  </si>
  <si>
    <t>E05002078</t>
  </si>
  <si>
    <t>E05002079</t>
  </si>
  <si>
    <t>E05002080</t>
  </si>
  <si>
    <t>E05002081</t>
  </si>
  <si>
    <t>E05002082</t>
  </si>
  <si>
    <t>E05002083</t>
  </si>
  <si>
    <t>E05002084</t>
  </si>
  <si>
    <t>E05002085</t>
  </si>
  <si>
    <t>E05002086</t>
  </si>
  <si>
    <t>E05002087</t>
  </si>
  <si>
    <t>E05002088</t>
  </si>
  <si>
    <t>E05002089</t>
  </si>
  <si>
    <t>E05002090</t>
  </si>
  <si>
    <t>E05002091</t>
  </si>
  <si>
    <t>E05002092</t>
  </si>
  <si>
    <t>E05002093</t>
  </si>
  <si>
    <t>E05002094</t>
  </si>
  <si>
    <t>E05002095</t>
  </si>
  <si>
    <t>E05002096</t>
  </si>
  <si>
    <t>E05002097</t>
  </si>
  <si>
    <t>E05002193</t>
  </si>
  <si>
    <t>E05002194</t>
  </si>
  <si>
    <t>E05002195</t>
  </si>
  <si>
    <t>E05002196</t>
  </si>
  <si>
    <t>E05002197</t>
  </si>
  <si>
    <t>E05002198</t>
  </si>
  <si>
    <t>E05002199</t>
  </si>
  <si>
    <t>E05002200</t>
  </si>
  <si>
    <t>E05002201</t>
  </si>
  <si>
    <t>E05002202</t>
  </si>
  <si>
    <t>E05002203</t>
  </si>
  <si>
    <t>E05002204</t>
  </si>
  <si>
    <t>E05002205</t>
  </si>
  <si>
    <t>E05002206</t>
  </si>
  <si>
    <t>E05002207</t>
  </si>
  <si>
    <t>E05002208</t>
  </si>
  <si>
    <t>E05002209</t>
  </si>
  <si>
    <t>E05002210</t>
  </si>
  <si>
    <t>E05002211</t>
  </si>
  <si>
    <t>E05002212</t>
  </si>
  <si>
    <t>E05002213</t>
  </si>
  <si>
    <t>E05002214</t>
  </si>
  <si>
    <t>E05002215</t>
  </si>
  <si>
    <t>E05002216</t>
  </si>
  <si>
    <t>E05002217</t>
  </si>
  <si>
    <t>E05002218</t>
  </si>
  <si>
    <t>E05002219</t>
  </si>
  <si>
    <t>E05002220</t>
  </si>
  <si>
    <t>E05002221</t>
  </si>
  <si>
    <t>E05002222</t>
  </si>
  <si>
    <t>E05002223</t>
  </si>
  <si>
    <t>E05002224</t>
  </si>
  <si>
    <t>E05002225</t>
  </si>
  <si>
    <t>E05002226</t>
  </si>
  <si>
    <t>E05002227</t>
  </si>
  <si>
    <t>E05002228</t>
  </si>
  <si>
    <t>E05002229</t>
  </si>
  <si>
    <t>E05002230</t>
  </si>
  <si>
    <t>E05002231</t>
  </si>
  <si>
    <t>E05002232</t>
  </si>
  <si>
    <t>E05002233</t>
  </si>
  <si>
    <t>E05002234</t>
  </si>
  <si>
    <t>E05002235</t>
  </si>
  <si>
    <t>E05002236</t>
  </si>
  <si>
    <t>E05002237</t>
  </si>
  <si>
    <t>E05002238</t>
  </si>
  <si>
    <t>E05002239</t>
  </si>
  <si>
    <t>E05002240</t>
  </si>
  <si>
    <t>E05002241</t>
  </si>
  <si>
    <t>E05002242</t>
  </si>
  <si>
    <t>E05002243</t>
  </si>
  <si>
    <t>E05002244</t>
  </si>
  <si>
    <t>E05002245</t>
  </si>
  <si>
    <t>E05002246</t>
  </si>
  <si>
    <t>E05002247</t>
  </si>
  <si>
    <t>E05002248</t>
  </si>
  <si>
    <t>E05008136</t>
  </si>
  <si>
    <t>E05008137</t>
  </si>
  <si>
    <t>E05008138</t>
  </si>
  <si>
    <t>E05008139</t>
  </si>
  <si>
    <t>E05008140</t>
  </si>
  <si>
    <t>E05008141</t>
  </si>
  <si>
    <t>E05008142</t>
  </si>
  <si>
    <t>E05008143</t>
  </si>
  <si>
    <t>E05008144</t>
  </si>
  <si>
    <t>E05008145</t>
  </si>
  <si>
    <t>E05008146</t>
  </si>
  <si>
    <t>E05008147</t>
  </si>
  <si>
    <t>E05008148</t>
  </si>
  <si>
    <t>E05008149</t>
  </si>
  <si>
    <t>E05008150</t>
  </si>
  <si>
    <t>E05008151</t>
  </si>
  <si>
    <t>E05008152</t>
  </si>
  <si>
    <t>E05008153</t>
  </si>
  <si>
    <t>E05008154</t>
  </si>
  <si>
    <t>E05008155</t>
  </si>
  <si>
    <t>E05008156</t>
  </si>
  <si>
    <t>E05008157</t>
  </si>
  <si>
    <t>E05008158</t>
  </si>
  <si>
    <t>E05008159</t>
  </si>
  <si>
    <t>E05008160</t>
  </si>
  <si>
    <t>E05008161</t>
  </si>
  <si>
    <t>E05008162</t>
  </si>
  <si>
    <t>E05008163</t>
  </si>
  <si>
    <t>E05008164</t>
  </si>
  <si>
    <t>E05008165</t>
  </si>
  <si>
    <t>E05008166</t>
  </si>
  <si>
    <t>E05008167</t>
  </si>
  <si>
    <t>E05008168</t>
  </si>
  <si>
    <t>E05008169</t>
  </si>
  <si>
    <t>E05008170</t>
  </si>
  <si>
    <t>E05008171</t>
  </si>
  <si>
    <t>E05008172</t>
  </si>
  <si>
    <t>E05008173</t>
  </si>
  <si>
    <t>E05008174</t>
  </si>
  <si>
    <t>E05008178</t>
  </si>
  <si>
    <t>E05008179</t>
  </si>
  <si>
    <t>E05008180</t>
  </si>
  <si>
    <t>E05008181</t>
  </si>
  <si>
    <t>E05008183</t>
  </si>
  <si>
    <t>E05008186</t>
  </si>
  <si>
    <t>E05008187</t>
  </si>
  <si>
    <t>E05008188</t>
  </si>
  <si>
    <t>E05008189</t>
  </si>
  <si>
    <t>E05008190</t>
  </si>
  <si>
    <t>E05008191</t>
  </si>
  <si>
    <t>E05008192</t>
  </si>
  <si>
    <t>E05008193</t>
  </si>
  <si>
    <t>E05008194</t>
  </si>
  <si>
    <t>E05008195</t>
  </si>
  <si>
    <t>E05008196</t>
  </si>
  <si>
    <t>E05008198</t>
  </si>
  <si>
    <t>E05002249</t>
  </si>
  <si>
    <t>E05002250</t>
  </si>
  <si>
    <t>E05002251</t>
  </si>
  <si>
    <t>E05002252</t>
  </si>
  <si>
    <t>E05002253</t>
  </si>
  <si>
    <t>E05002254</t>
  </si>
  <si>
    <t>E05002255</t>
  </si>
  <si>
    <t>E05002256</t>
  </si>
  <si>
    <t>E05002257</t>
  </si>
  <si>
    <t>E05002258</t>
  </si>
  <si>
    <t>E05002259</t>
  </si>
  <si>
    <t>E05002260</t>
  </si>
  <si>
    <t>E05002261</t>
  </si>
  <si>
    <t>E05002262</t>
  </si>
  <si>
    <t>E05002263</t>
  </si>
  <si>
    <t>E05002264</t>
  </si>
  <si>
    <t>E05002265</t>
  </si>
  <si>
    <t>E05002266</t>
  </si>
  <si>
    <t>E05002267</t>
  </si>
  <si>
    <t>E05002268</t>
  </si>
  <si>
    <t>E05002269</t>
  </si>
  <si>
    <t>E05002270</t>
  </si>
  <si>
    <t>E05002271</t>
  </si>
  <si>
    <t>E05002272</t>
  </si>
  <si>
    <t>E05002273</t>
  </si>
  <si>
    <t>E05002274</t>
  </si>
  <si>
    <t>E05002275</t>
  </si>
  <si>
    <t>E05002276</t>
  </si>
  <si>
    <t>E05002277</t>
  </si>
  <si>
    <t>E05002278</t>
  </si>
  <si>
    <t>E05002279</t>
  </si>
  <si>
    <t>E05002280</t>
  </si>
  <si>
    <t>E05002281</t>
  </si>
  <si>
    <t>E05002282</t>
  </si>
  <si>
    <t>E05002283</t>
  </si>
  <si>
    <t>E05002284</t>
  </si>
  <si>
    <t>E05002285</t>
  </si>
  <si>
    <t>E05002286</t>
  </si>
  <si>
    <t>E05002287</t>
  </si>
  <si>
    <t>E05002288</t>
  </si>
  <si>
    <t>E05002319</t>
  </si>
  <si>
    <t>E05002320</t>
  </si>
  <si>
    <t>E05002321</t>
  </si>
  <si>
    <t>E05002322</t>
  </si>
  <si>
    <t>E05002323</t>
  </si>
  <si>
    <t>E05002324</t>
  </si>
  <si>
    <t>E05002325</t>
  </si>
  <si>
    <t>E05002326</t>
  </si>
  <si>
    <t>E05002327</t>
  </si>
  <si>
    <t>E05002328</t>
  </si>
  <si>
    <t>E05002329</t>
  </si>
  <si>
    <t>E05002330</t>
  </si>
  <si>
    <t>E05002331</t>
  </si>
  <si>
    <t>E05002332</t>
  </si>
  <si>
    <t>E05002333</t>
  </si>
  <si>
    <t>E05002334</t>
  </si>
  <si>
    <t>E05002372</t>
  </si>
  <si>
    <t>E05002373</t>
  </si>
  <si>
    <t>E05002374</t>
  </si>
  <si>
    <t>E05002375</t>
  </si>
  <si>
    <t>E05002376</t>
  </si>
  <si>
    <t>E05002377</t>
  </si>
  <si>
    <t>E05002378</t>
  </si>
  <si>
    <t>E05002379</t>
  </si>
  <si>
    <t>E05002380</t>
  </si>
  <si>
    <t>E05002381</t>
  </si>
  <si>
    <t>E05002382</t>
  </si>
  <si>
    <t>E05002383</t>
  </si>
  <si>
    <t>E05002384</t>
  </si>
  <si>
    <t>E05002385</t>
  </si>
  <si>
    <t>E05002386</t>
  </si>
  <si>
    <t>E05002387</t>
  </si>
  <si>
    <t>E05002388</t>
  </si>
  <si>
    <t>E05002389</t>
  </si>
  <si>
    <t>E05002390</t>
  </si>
  <si>
    <t>E05002391</t>
  </si>
  <si>
    <t>E05002392</t>
  </si>
  <si>
    <t>E05002393</t>
  </si>
  <si>
    <t>E05002394</t>
  </si>
  <si>
    <t>E05002395</t>
  </si>
  <si>
    <t>E05002396</t>
  </si>
  <si>
    <t>E05002420</t>
  </si>
  <si>
    <t>E05002421</t>
  </si>
  <si>
    <t>E05002422</t>
  </si>
  <si>
    <t>E05002423</t>
  </si>
  <si>
    <t>E05002424</t>
  </si>
  <si>
    <t>E05002425</t>
  </si>
  <si>
    <t>E05002426</t>
  </si>
  <si>
    <t>E05002427</t>
  </si>
  <si>
    <t>E05002428</t>
  </si>
  <si>
    <t>E05002429</t>
  </si>
  <si>
    <t>E05002430</t>
  </si>
  <si>
    <t>E05002431</t>
  </si>
  <si>
    <t>E05002432</t>
  </si>
  <si>
    <t>E05002433</t>
  </si>
  <si>
    <t>E05002434</t>
  </si>
  <si>
    <t>E05002435</t>
  </si>
  <si>
    <t>E05002436</t>
  </si>
  <si>
    <t>E05002437</t>
  </si>
  <si>
    <t>E05002438</t>
  </si>
  <si>
    <t>E05002439</t>
  </si>
  <si>
    <t>E05002440</t>
  </si>
  <si>
    <t>E05002441</t>
  </si>
  <si>
    <t>E05002442</t>
  </si>
  <si>
    <t>E05002443</t>
  </si>
  <si>
    <t>E05002444</t>
  </si>
  <si>
    <t>E05002445</t>
  </si>
  <si>
    <t>E05002446</t>
  </si>
  <si>
    <t>E05002447</t>
  </si>
  <si>
    <t>E05002448</t>
  </si>
  <si>
    <t>E05002449</t>
  </si>
  <si>
    <t>E05002450</t>
  </si>
  <si>
    <t>E05002451</t>
  </si>
  <si>
    <t>E05002452</t>
  </si>
  <si>
    <t>E05002453</t>
  </si>
  <si>
    <t>E05002454</t>
  </si>
  <si>
    <t>E05003145</t>
  </si>
  <si>
    <t>E05003146</t>
  </si>
  <si>
    <t>E05003147</t>
  </si>
  <si>
    <t>E05003148</t>
  </si>
  <si>
    <t>E05003149</t>
  </si>
  <si>
    <t>E05003150</t>
  </si>
  <si>
    <t>E05003151</t>
  </si>
  <si>
    <t>E05003152</t>
  </si>
  <si>
    <t>E05003153</t>
  </si>
  <si>
    <t>E05003154</t>
  </si>
  <si>
    <t>E05003155</t>
  </si>
  <si>
    <t>E05003156</t>
  </si>
  <si>
    <t>E05003157</t>
  </si>
  <si>
    <t>E05003205</t>
  </si>
  <si>
    <t>E05003206</t>
  </si>
  <si>
    <t>E05003207</t>
  </si>
  <si>
    <t>E05003208</t>
  </si>
  <si>
    <t>E05003209</t>
  </si>
  <si>
    <t>E05003210</t>
  </si>
  <si>
    <t>E05003211</t>
  </si>
  <si>
    <t>E05003212</t>
  </si>
  <si>
    <t>E05003213</t>
  </si>
  <si>
    <t>E05003214</t>
  </si>
  <si>
    <t>E05003215</t>
  </si>
  <si>
    <t>E05003216</t>
  </si>
  <si>
    <t>E05003217</t>
  </si>
  <si>
    <t>E05003218</t>
  </si>
  <si>
    <t>E05003219</t>
  </si>
  <si>
    <t>E05003220</t>
  </si>
  <si>
    <t>E05003221</t>
  </si>
  <si>
    <t>E05003222</t>
  </si>
  <si>
    <t>E05003223</t>
  </si>
  <si>
    <t>E05003224</t>
  </si>
  <si>
    <t>E05003225</t>
  </si>
  <si>
    <t>E05003226</t>
  </si>
  <si>
    <t>E05003227</t>
  </si>
  <si>
    <t>E05003228</t>
  </si>
  <si>
    <t>E05003229</t>
  </si>
  <si>
    <t>E05003230</t>
  </si>
  <si>
    <t>E05003231</t>
  </si>
  <si>
    <t>E05003232</t>
  </si>
  <si>
    <t>E05003233</t>
  </si>
  <si>
    <t>E05003234</t>
  </si>
  <si>
    <t>E05006191</t>
  </si>
  <si>
    <t>E05006198</t>
  </si>
  <si>
    <t>E05006203</t>
  </si>
  <si>
    <t>E05006206</t>
  </si>
  <si>
    <t>E05006297</t>
  </si>
  <si>
    <t>E05006298</t>
  </si>
  <si>
    <t>E05006299</t>
  </si>
  <si>
    <t>E05006300</t>
  </si>
  <si>
    <t>E05006301</t>
  </si>
  <si>
    <t>E05006302</t>
  </si>
  <si>
    <t>E05006303</t>
  </si>
  <si>
    <t>E05006304</t>
  </si>
  <si>
    <t>E05006305</t>
  </si>
  <si>
    <t>E05006306</t>
  </si>
  <si>
    <t>E05006307</t>
  </si>
  <si>
    <t>E05006308</t>
  </si>
  <si>
    <t>E05006309</t>
  </si>
  <si>
    <t>E05006310</t>
  </si>
  <si>
    <t>E05006311</t>
  </si>
  <si>
    <t>E05006312</t>
  </si>
  <si>
    <t>E05006313</t>
  </si>
  <si>
    <t>E05006314</t>
  </si>
  <si>
    <t>E05006315</t>
  </si>
  <si>
    <t>E05006316</t>
  </si>
  <si>
    <t>E05004021</t>
  </si>
  <si>
    <t>E05004022</t>
  </si>
  <si>
    <t>E05004023</t>
  </si>
  <si>
    <t>E05004024</t>
  </si>
  <si>
    <t>E05004025</t>
  </si>
  <si>
    <t>E05004026</t>
  </si>
  <si>
    <t>E05004027</t>
  </si>
  <si>
    <t>E05004028</t>
  </si>
  <si>
    <t>E05004029</t>
  </si>
  <si>
    <t>E05004030</t>
  </si>
  <si>
    <t>E05004031</t>
  </si>
  <si>
    <t>E05004032</t>
  </si>
  <si>
    <t>E05004033</t>
  </si>
  <si>
    <t>E05004034</t>
  </si>
  <si>
    <t>E05004035</t>
  </si>
  <si>
    <t>E05004036</t>
  </si>
  <si>
    <t>E05004067</t>
  </si>
  <si>
    <t>E05004068</t>
  </si>
  <si>
    <t>E05004069</t>
  </si>
  <si>
    <t>E05004070</t>
  </si>
  <si>
    <t>E05004071</t>
  </si>
  <si>
    <t>E05004072</t>
  </si>
  <si>
    <t>E05004073</t>
  </si>
  <si>
    <t>E05004074</t>
  </si>
  <si>
    <t>E05004075</t>
  </si>
  <si>
    <t>E05004076</t>
  </si>
  <si>
    <t>E05004077</t>
  </si>
  <si>
    <t>E05004078</t>
  </si>
  <si>
    <t>E05004079</t>
  </si>
  <si>
    <t>E05004080</t>
  </si>
  <si>
    <t>E05004081</t>
  </si>
  <si>
    <t>E05004082</t>
  </si>
  <si>
    <t>E05004083</t>
  </si>
  <si>
    <t>E05004084</t>
  </si>
  <si>
    <t>E05004085</t>
  </si>
  <si>
    <t>E05004086</t>
  </si>
  <si>
    <t>E05004087</t>
  </si>
  <si>
    <t>E05004088</t>
  </si>
  <si>
    <t>E05004089</t>
  </si>
  <si>
    <t>E05004090</t>
  </si>
  <si>
    <t>E05004091</t>
  </si>
  <si>
    <t>E05004092</t>
  </si>
  <si>
    <t>E05004093</t>
  </si>
  <si>
    <t>E05004094</t>
  </si>
  <si>
    <t>E05004095</t>
  </si>
  <si>
    <t>E05004096</t>
  </si>
  <si>
    <t>E05004097</t>
  </si>
  <si>
    <t>E05004098</t>
  </si>
  <si>
    <t>E05004099</t>
  </si>
  <si>
    <t>E05004100</t>
  </si>
  <si>
    <t>E05004101</t>
  </si>
  <si>
    <t>E05004102</t>
  </si>
  <si>
    <t>E05004103</t>
  </si>
  <si>
    <t>E05004104</t>
  </si>
  <si>
    <t>E05004105</t>
  </si>
  <si>
    <t>E05004106</t>
  </si>
  <si>
    <t>E05004107</t>
  </si>
  <si>
    <t>E05004108</t>
  </si>
  <si>
    <t>E05004109</t>
  </si>
  <si>
    <t>E05004110</t>
  </si>
  <si>
    <t>E05004111</t>
  </si>
  <si>
    <t>E05004112</t>
  </si>
  <si>
    <t>E05004113</t>
  </si>
  <si>
    <t>E05004114</t>
  </si>
  <si>
    <t>E05004115</t>
  </si>
  <si>
    <t>E05004116</t>
  </si>
  <si>
    <t>E05004117</t>
  </si>
  <si>
    <t>E05004118</t>
  </si>
  <si>
    <t>E05004119</t>
  </si>
  <si>
    <t>E05004147</t>
  </si>
  <si>
    <t>E05004148</t>
  </si>
  <si>
    <t>E05004149</t>
  </si>
  <si>
    <t>E05004150</t>
  </si>
  <si>
    <t>E05004151</t>
  </si>
  <si>
    <t>E05004152</t>
  </si>
  <si>
    <t>E05004153</t>
  </si>
  <si>
    <t>E05004154</t>
  </si>
  <si>
    <t>E05004155</t>
  </si>
  <si>
    <t>E05004157</t>
  </si>
  <si>
    <t>E05004158</t>
  </si>
  <si>
    <t>E05004159</t>
  </si>
  <si>
    <t>E05004160</t>
  </si>
  <si>
    <t>E05004161</t>
  </si>
  <si>
    <t>E05004162</t>
  </si>
  <si>
    <t>E05004163</t>
  </si>
  <si>
    <t>E05004164</t>
  </si>
  <si>
    <t>E05004165</t>
  </si>
  <si>
    <t>E05004166</t>
  </si>
  <si>
    <t>E05004167</t>
  </si>
  <si>
    <t>E05004169</t>
  </si>
  <si>
    <t>E05004170</t>
  </si>
  <si>
    <t>E05004171</t>
  </si>
  <si>
    <t>E05004172</t>
  </si>
  <si>
    <t>E05004173</t>
  </si>
  <si>
    <t>E05004174</t>
  </si>
  <si>
    <t>E05004175</t>
  </si>
  <si>
    <t>E05004176</t>
  </si>
  <si>
    <t>E05004177</t>
  </si>
  <si>
    <t>E05004178</t>
  </si>
  <si>
    <t>E05004179</t>
  </si>
  <si>
    <t>E05004180</t>
  </si>
  <si>
    <t>E05004181</t>
  </si>
  <si>
    <t>E05004182</t>
  </si>
  <si>
    <t>E05004183</t>
  </si>
  <si>
    <t>E05004184</t>
  </si>
  <si>
    <t>E05004185</t>
  </si>
  <si>
    <t>E05004186</t>
  </si>
  <si>
    <t>E05004187</t>
  </si>
  <si>
    <t>E05004188</t>
  </si>
  <si>
    <t>E05004189</t>
  </si>
  <si>
    <t>E05004190</t>
  </si>
  <si>
    <t>E05004191</t>
  </si>
  <si>
    <t>E05004192</t>
  </si>
  <si>
    <t>E05004193</t>
  </si>
  <si>
    <t>E05004194</t>
  </si>
  <si>
    <t>E05004195</t>
  </si>
  <si>
    <t>E05004196</t>
  </si>
  <si>
    <t>E05004197</t>
  </si>
  <si>
    <t>E05004198</t>
  </si>
  <si>
    <t>E05004199</t>
  </si>
  <si>
    <t>E05004200</t>
  </si>
  <si>
    <t>E05004201</t>
  </si>
  <si>
    <t>E05004202</t>
  </si>
  <si>
    <t>E05004203</t>
  </si>
  <si>
    <t>E05004204</t>
  </si>
  <si>
    <t>E05004205</t>
  </si>
  <si>
    <t>E05004206</t>
  </si>
  <si>
    <t>E05007846</t>
  </si>
  <si>
    <t>E05007847</t>
  </si>
  <si>
    <t>E05007848</t>
  </si>
  <si>
    <t>E05007849</t>
  </si>
  <si>
    <t>E05007850</t>
  </si>
  <si>
    <t>E05007851</t>
  </si>
  <si>
    <t>E05007852</t>
  </si>
  <si>
    <t>E05007853</t>
  </si>
  <si>
    <t>E05007854</t>
  </si>
  <si>
    <t>E05007855</t>
  </si>
  <si>
    <t>E05007856</t>
  </si>
  <si>
    <t>E05007857</t>
  </si>
  <si>
    <t>E05007858</t>
  </si>
  <si>
    <t>E05007859</t>
  </si>
  <si>
    <t>E05007860</t>
  </si>
  <si>
    <t>E05007861</t>
  </si>
  <si>
    <t>E05007862</t>
  </si>
  <si>
    <t>E05007863</t>
  </si>
  <si>
    <t>E05007864</t>
  </si>
  <si>
    <t>E05007865</t>
  </si>
  <si>
    <t>E05007866</t>
  </si>
  <si>
    <t>E05007867</t>
  </si>
  <si>
    <t>E05007868</t>
  </si>
  <si>
    <t>E05007869</t>
  </si>
  <si>
    <t>E05007870</t>
  </si>
  <si>
    <t>E05007871</t>
  </si>
  <si>
    <t>E05007872</t>
  </si>
  <si>
    <t>E05007873</t>
  </si>
  <si>
    <t>E05007874</t>
  </si>
  <si>
    <t>E05007875</t>
  </si>
  <si>
    <t>E05007876</t>
  </si>
  <si>
    <t>E05007877</t>
  </si>
  <si>
    <t>E05007878</t>
  </si>
  <si>
    <t>E05007879</t>
  </si>
  <si>
    <t>E05007880</t>
  </si>
  <si>
    <t>E05007881</t>
  </si>
  <si>
    <t>E05007882</t>
  </si>
  <si>
    <t>E05007883</t>
  </si>
  <si>
    <t>E05007884</t>
  </si>
  <si>
    <t>E05007885</t>
  </si>
  <si>
    <t>E05007886</t>
  </si>
  <si>
    <t>E05007887</t>
  </si>
  <si>
    <t>E05007888</t>
  </si>
  <si>
    <t>E05007889</t>
  </si>
  <si>
    <t>E05007890</t>
  </si>
  <si>
    <t>E05007891</t>
  </si>
  <si>
    <t>E05007892</t>
  </si>
  <si>
    <t>E05007893</t>
  </si>
  <si>
    <t>E05007894</t>
  </si>
  <si>
    <t>E05007895</t>
  </si>
  <si>
    <t>E05007896</t>
  </si>
  <si>
    <t>E05007897</t>
  </si>
  <si>
    <t>E05007898</t>
  </si>
  <si>
    <t>E05007899</t>
  </si>
  <si>
    <t>E05007900</t>
  </si>
  <si>
    <t>E05007901</t>
  </si>
  <si>
    <t>E05007902</t>
  </si>
  <si>
    <t>E05007903</t>
  </si>
  <si>
    <t>E05007904</t>
  </si>
  <si>
    <t>E05007905</t>
  </si>
  <si>
    <t>E05007906</t>
  </si>
  <si>
    <t>E05007907</t>
  </si>
  <si>
    <t>E05007908</t>
  </si>
  <si>
    <t>E05007909</t>
  </si>
  <si>
    <t>E05007910</t>
  </si>
  <si>
    <t>E05007911</t>
  </si>
  <si>
    <t>E05007912</t>
  </si>
  <si>
    <t>E05007913</t>
  </si>
  <si>
    <t>E05007914</t>
  </si>
  <si>
    <t>E05007915</t>
  </si>
  <si>
    <t>E05007916</t>
  </si>
  <si>
    <t>E05007917</t>
  </si>
  <si>
    <t>E05007918</t>
  </si>
  <si>
    <t>E05007919</t>
  </si>
  <si>
    <t>E05007920</t>
  </si>
  <si>
    <t>E05007921</t>
  </si>
  <si>
    <t>E05007922</t>
  </si>
  <si>
    <t>E05007923</t>
  </si>
  <si>
    <t>E05007924</t>
  </si>
  <si>
    <t>E05007925</t>
  </si>
  <si>
    <t>E05007926</t>
  </si>
  <si>
    <t>E05006902</t>
  </si>
  <si>
    <t>E05006903</t>
  </si>
  <si>
    <t>E05006904</t>
  </si>
  <si>
    <t>E05006905</t>
  </si>
  <si>
    <t>E05006906</t>
  </si>
  <si>
    <t>E05006907</t>
  </si>
  <si>
    <t>E05006908</t>
  </si>
  <si>
    <t>E05006909</t>
  </si>
  <si>
    <t>E05006910</t>
  </si>
  <si>
    <t>E05006911</t>
  </si>
  <si>
    <t>E05006912</t>
  </si>
  <si>
    <t>E05006913</t>
  </si>
  <si>
    <t>E05006914</t>
  </si>
  <si>
    <t>E05006915</t>
  </si>
  <si>
    <t>E05006916</t>
  </si>
  <si>
    <t>E05006917</t>
  </si>
  <si>
    <t>E05006918</t>
  </si>
  <si>
    <t>E05006919</t>
  </si>
  <si>
    <t>E05006920</t>
  </si>
  <si>
    <t>E05006921</t>
  </si>
  <si>
    <t>E05006922</t>
  </si>
  <si>
    <t>E05006923</t>
  </si>
  <si>
    <t>E05006924</t>
  </si>
  <si>
    <t>E05006925</t>
  </si>
  <si>
    <t>E05006926</t>
  </si>
  <si>
    <t>E05006927</t>
  </si>
  <si>
    <t>E05006928</t>
  </si>
  <si>
    <t>E05006929</t>
  </si>
  <si>
    <t>E05006930</t>
  </si>
  <si>
    <t>E05006931</t>
  </si>
  <si>
    <t>E05006932</t>
  </si>
  <si>
    <t>E05006933</t>
  </si>
  <si>
    <t>E05006934</t>
  </si>
  <si>
    <t>E05006935</t>
  </si>
  <si>
    <t>E05006936</t>
  </si>
  <si>
    <t>E05006937</t>
  </si>
  <si>
    <t>E05006988</t>
  </si>
  <si>
    <t>E05006989</t>
  </si>
  <si>
    <t>E05006990</t>
  </si>
  <si>
    <t>E05006991</t>
  </si>
  <si>
    <t>E05006992</t>
  </si>
  <si>
    <t>E05006993</t>
  </si>
  <si>
    <t>E05006994</t>
  </si>
  <si>
    <t>E05006995</t>
  </si>
  <si>
    <t>E05006996</t>
  </si>
  <si>
    <t>E05006997</t>
  </si>
  <si>
    <t>E05006998</t>
  </si>
  <si>
    <t>E05006999</t>
  </si>
  <si>
    <t>E05007000</t>
  </si>
  <si>
    <t>E05007001</t>
  </si>
  <si>
    <t>E05007002</t>
  </si>
  <si>
    <t>E05007003</t>
  </si>
  <si>
    <t>E05007004</t>
  </si>
  <si>
    <t>E05007005</t>
  </si>
  <si>
    <t>E05007006</t>
  </si>
  <si>
    <t>E05007007</t>
  </si>
  <si>
    <t>E05007008</t>
  </si>
  <si>
    <t>E05007009</t>
  </si>
  <si>
    <t>E05007010</t>
  </si>
  <si>
    <t>E05007011</t>
  </si>
  <si>
    <t>E05007012</t>
  </si>
  <si>
    <t>E05007039</t>
  </si>
  <si>
    <t>E05007040</t>
  </si>
  <si>
    <t>E05007041</t>
  </si>
  <si>
    <t>E05007042</t>
  </si>
  <si>
    <t>E05007043</t>
  </si>
  <si>
    <t>E05007044</t>
  </si>
  <si>
    <t>E05007045</t>
  </si>
  <si>
    <t>E05007046</t>
  </si>
  <si>
    <t>E05007047</t>
  </si>
  <si>
    <t>E05007048</t>
  </si>
  <si>
    <t>E05007049</t>
  </si>
  <si>
    <t>E05007050</t>
  </si>
  <si>
    <t>E05007051</t>
  </si>
  <si>
    <t>E05007052</t>
  </si>
  <si>
    <t>E05007053</t>
  </si>
  <si>
    <t>E05007054</t>
  </si>
  <si>
    <t>E05007055</t>
  </si>
  <si>
    <t>E05007056</t>
  </si>
  <si>
    <t>E05007057</t>
  </si>
  <si>
    <t>E05007058</t>
  </si>
  <si>
    <t>E05007059</t>
  </si>
  <si>
    <t>E05007060</t>
  </si>
  <si>
    <t>E05007061</t>
  </si>
  <si>
    <t>E05007062</t>
  </si>
  <si>
    <t>E05007063</t>
  </si>
  <si>
    <t>E05007064</t>
  </si>
  <si>
    <t>E05007065</t>
  </si>
  <si>
    <t>E05007066</t>
  </si>
  <si>
    <t>E05007067</t>
  </si>
  <si>
    <t>E05007068</t>
  </si>
  <si>
    <t>E05007069</t>
  </si>
  <si>
    <t>E05007070</t>
  </si>
  <si>
    <t>E05007071</t>
  </si>
  <si>
    <t>E05007072</t>
  </si>
  <si>
    <t>E05007073</t>
  </si>
  <si>
    <t>E05007074</t>
  </si>
  <si>
    <t>E05007075</t>
  </si>
  <si>
    <t>E05007457</t>
  </si>
  <si>
    <t>E05007458</t>
  </si>
  <si>
    <t>E05007459</t>
  </si>
  <si>
    <t>E05007460</t>
  </si>
  <si>
    <t>E05007461</t>
  </si>
  <si>
    <t>E05007462</t>
  </si>
  <si>
    <t>E05007463</t>
  </si>
  <si>
    <t>E05007464</t>
  </si>
  <si>
    <t>E05007465</t>
  </si>
  <si>
    <t>E05007466</t>
  </si>
  <si>
    <t>E05007467</t>
  </si>
  <si>
    <t>E05007468</t>
  </si>
  <si>
    <t>E05007469</t>
  </si>
  <si>
    <t>E05007470</t>
  </si>
  <si>
    <t>E05007471</t>
  </si>
  <si>
    <t>E05007472</t>
  </si>
  <si>
    <t>E05007473</t>
  </si>
  <si>
    <t>E05007474</t>
  </si>
  <si>
    <t>E05007475</t>
  </si>
  <si>
    <t>E05007476</t>
  </si>
  <si>
    <t>E05007477</t>
  </si>
  <si>
    <t>E05007478</t>
  </si>
  <si>
    <t>E05007479</t>
  </si>
  <si>
    <t>E05007480</t>
  </si>
  <si>
    <t>E05007481</t>
  </si>
  <si>
    <t>E05007482</t>
  </si>
  <si>
    <t>E05007483</t>
  </si>
  <si>
    <t>E05007484</t>
  </si>
  <si>
    <t>E05007485</t>
  </si>
  <si>
    <t>E05007486</t>
  </si>
  <si>
    <t>E05007487</t>
  </si>
  <si>
    <t>E05007488</t>
  </si>
  <si>
    <t>E05007489</t>
  </si>
  <si>
    <t>E05007490</t>
  </si>
  <si>
    <t>E05004964</t>
  </si>
  <si>
    <t>E05004965</t>
  </si>
  <si>
    <t>E05004966</t>
  </si>
  <si>
    <t>E05004967</t>
  </si>
  <si>
    <t>E05004968</t>
  </si>
  <si>
    <t>E05004969</t>
  </si>
  <si>
    <t>E05004970</t>
  </si>
  <si>
    <t>E05004971</t>
  </si>
  <si>
    <t>E05004972</t>
  </si>
  <si>
    <t>E05004973</t>
  </si>
  <si>
    <t>E05004974</t>
  </si>
  <si>
    <t>E05004975</t>
  </si>
  <si>
    <t>E05004976</t>
  </si>
  <si>
    <t>E05004977</t>
  </si>
  <si>
    <t>E05004978</t>
  </si>
  <si>
    <t>E05004979</t>
  </si>
  <si>
    <t>E05004980</t>
  </si>
  <si>
    <t>E05004981</t>
  </si>
  <si>
    <t>E05004982</t>
  </si>
  <si>
    <t>E05004983</t>
  </si>
  <si>
    <t>E05004984</t>
  </si>
  <si>
    <t>E05004985</t>
  </si>
  <si>
    <t>E05004986</t>
  </si>
  <si>
    <t>E05004987</t>
  </si>
  <si>
    <t>E05004989</t>
  </si>
  <si>
    <t>E05004990</t>
  </si>
  <si>
    <t>E05004991</t>
  </si>
  <si>
    <t>E05004992</t>
  </si>
  <si>
    <t>E05004993</t>
  </si>
  <si>
    <t>E05004994</t>
  </si>
  <si>
    <t>E05004995</t>
  </si>
  <si>
    <t>E05004996</t>
  </si>
  <si>
    <t>E05004997</t>
  </si>
  <si>
    <t>E05004999</t>
  </si>
  <si>
    <t>E05005000</t>
  </si>
  <si>
    <t>E05005001</t>
  </si>
  <si>
    <t>E05005002</t>
  </si>
  <si>
    <t>E05005003</t>
  </si>
  <si>
    <t>E05005004</t>
  </si>
  <si>
    <t>E05005006</t>
  </si>
  <si>
    <t>E05005007</t>
  </si>
  <si>
    <t>E05005010</t>
  </si>
  <si>
    <t>E05005011</t>
  </si>
  <si>
    <t>E05005012</t>
  </si>
  <si>
    <t>E05005013</t>
  </si>
  <si>
    <t>E05005014</t>
  </si>
  <si>
    <t>E05005016</t>
  </si>
  <si>
    <t>E05005017</t>
  </si>
  <si>
    <t>E05005018</t>
  </si>
  <si>
    <t>E05005021</t>
  </si>
  <si>
    <t>E05005026</t>
  </si>
  <si>
    <t>E05005027</t>
  </si>
  <si>
    <t>E05005028</t>
  </si>
  <si>
    <t>E05005029</t>
  </si>
  <si>
    <t>E05005031</t>
  </si>
  <si>
    <t>E05005032</t>
  </si>
  <si>
    <t>E05005081</t>
  </si>
  <si>
    <t>E05005082</t>
  </si>
  <si>
    <t>E05005083</t>
  </si>
  <si>
    <t>E05005084</t>
  </si>
  <si>
    <t>E05005085</t>
  </si>
  <si>
    <t>E05005086</t>
  </si>
  <si>
    <t>E05005087</t>
  </si>
  <si>
    <t>E05005088</t>
  </si>
  <si>
    <t>E05005089</t>
  </si>
  <si>
    <t>E05005090</t>
  </si>
  <si>
    <t>E05005091</t>
  </si>
  <si>
    <t>E05005092</t>
  </si>
  <si>
    <t>E05005093</t>
  </si>
  <si>
    <t>E05005094</t>
  </si>
  <si>
    <t>E05005095</t>
  </si>
  <si>
    <t>E05005096</t>
  </si>
  <si>
    <t>E05005097</t>
  </si>
  <si>
    <t>E05005098</t>
  </si>
  <si>
    <t>E05005099</t>
  </si>
  <si>
    <t>E05005100</t>
  </si>
  <si>
    <t>E05005101</t>
  </si>
  <si>
    <t>E05005102</t>
  </si>
  <si>
    <t>E05005103</t>
  </si>
  <si>
    <t>E05005130</t>
  </si>
  <si>
    <t>E05005131</t>
  </si>
  <si>
    <t>E05005132</t>
  </si>
  <si>
    <t>E05005133</t>
  </si>
  <si>
    <t>E05005134</t>
  </si>
  <si>
    <t>E05005135</t>
  </si>
  <si>
    <t>E05005136</t>
  </si>
  <si>
    <t>E05005137</t>
  </si>
  <si>
    <t>E05005138</t>
  </si>
  <si>
    <t>E05005139</t>
  </si>
  <si>
    <t>E05005140</t>
  </si>
  <si>
    <t>E05005141</t>
  </si>
  <si>
    <t>E05005142</t>
  </si>
  <si>
    <t>E05005143</t>
  </si>
  <si>
    <t>E05005144</t>
  </si>
  <si>
    <t>E05005145</t>
  </si>
  <si>
    <t>E05005146</t>
  </si>
  <si>
    <t>E05005147</t>
  </si>
  <si>
    <t>E05005148</t>
  </si>
  <si>
    <t>E05005149</t>
  </si>
  <si>
    <t>E05006627</t>
  </si>
  <si>
    <t>E05006628</t>
  </si>
  <si>
    <t>E05006629</t>
  </si>
  <si>
    <t>E05006632</t>
  </si>
  <si>
    <t>E05006634</t>
  </si>
  <si>
    <t>E05006637</t>
  </si>
  <si>
    <t>E05006638</t>
  </si>
  <si>
    <t>E05006639</t>
  </si>
  <si>
    <t>E05006640</t>
  </si>
  <si>
    <t>E05006642</t>
  </si>
  <si>
    <t>E05006643</t>
  </si>
  <si>
    <t>E05006644</t>
  </si>
  <si>
    <t>E05006645</t>
  </si>
  <si>
    <t>E05006646</t>
  </si>
  <si>
    <t>E05006647</t>
  </si>
  <si>
    <t>E05006648</t>
  </si>
  <si>
    <t>E05006649</t>
  </si>
  <si>
    <t>E05006650</t>
  </si>
  <si>
    <t>E05006651</t>
  </si>
  <si>
    <t>E05006652</t>
  </si>
  <si>
    <t>E05006653</t>
  </si>
  <si>
    <t>E05007273</t>
  </si>
  <si>
    <t>E05007274</t>
  </si>
  <si>
    <t>E05007275</t>
  </si>
  <si>
    <t>E05007276</t>
  </si>
  <si>
    <t>E05007277</t>
  </si>
  <si>
    <t>E05007278</t>
  </si>
  <si>
    <t>E05007279</t>
  </si>
  <si>
    <t>E05007280</t>
  </si>
  <si>
    <t>E05007281</t>
  </si>
  <si>
    <t>E05007282</t>
  </si>
  <si>
    <t>E05007283</t>
  </si>
  <si>
    <t>E05007284</t>
  </si>
  <si>
    <t>E05007285</t>
  </si>
  <si>
    <t>E05007286</t>
  </si>
  <si>
    <t>E05007287</t>
  </si>
  <si>
    <t>E05007288</t>
  </si>
  <si>
    <t>E05007289</t>
  </si>
  <si>
    <t>E05007290</t>
  </si>
  <si>
    <t>E05007291</t>
  </si>
  <si>
    <t>E05007292</t>
  </si>
  <si>
    <t>E05007293</t>
  </si>
  <si>
    <t>E05007294</t>
  </si>
  <si>
    <t>E05007295</t>
  </si>
  <si>
    <t>E05007296</t>
  </si>
  <si>
    <t>E05007297</t>
  </si>
  <si>
    <t>E05007298</t>
  </si>
  <si>
    <t>E05007299</t>
  </si>
  <si>
    <t>E05007300</t>
  </si>
  <si>
    <t>E05007301</t>
  </si>
  <si>
    <t>E05007302</t>
  </si>
  <si>
    <t>E05007303</t>
  </si>
  <si>
    <t>E05007304</t>
  </si>
  <si>
    <t>E05007305</t>
  </si>
  <si>
    <t>E05007306</t>
  </si>
  <si>
    <t>E05007307</t>
  </si>
  <si>
    <t>E05007308</t>
  </si>
  <si>
    <t>E05007309</t>
  </si>
  <si>
    <t>E05007310</t>
  </si>
  <si>
    <t>E05007311</t>
  </si>
  <si>
    <t>E05007312</t>
  </si>
  <si>
    <t>E05007313</t>
  </si>
  <si>
    <t>E05007314</t>
  </si>
  <si>
    <t>E05007315</t>
  </si>
  <si>
    <t>E05007316</t>
  </si>
  <si>
    <t>E05007317</t>
  </si>
  <si>
    <t>E05007318</t>
  </si>
  <si>
    <t>E05007319</t>
  </si>
  <si>
    <t>E05007320</t>
  </si>
  <si>
    <t>E05007321</t>
  </si>
  <si>
    <t>E05007322</t>
  </si>
  <si>
    <t>E05007323</t>
  </si>
  <si>
    <t>E05007324</t>
  </si>
  <si>
    <t>E05007325</t>
  </si>
  <si>
    <t>E05007326</t>
  </si>
  <si>
    <t>E05007327</t>
  </si>
  <si>
    <t>E05007328</t>
  </si>
  <si>
    <t>E05007362</t>
  </si>
  <si>
    <t>E05007363</t>
  </si>
  <si>
    <t>E05007364</t>
  </si>
  <si>
    <t>E05007365</t>
  </si>
  <si>
    <t>E05007366</t>
  </si>
  <si>
    <t>E05007367</t>
  </si>
  <si>
    <t>E05007368</t>
  </si>
  <si>
    <t>E05007369</t>
  </si>
  <si>
    <t>E05007370</t>
  </si>
  <si>
    <t>E05007371</t>
  </si>
  <si>
    <t>E05007372</t>
  </si>
  <si>
    <t>E05007373</t>
  </si>
  <si>
    <t>E05007374</t>
  </si>
  <si>
    <t>E05007391</t>
  </si>
  <si>
    <t>E05007392</t>
  </si>
  <si>
    <t>E05007393</t>
  </si>
  <si>
    <t>E05007394</t>
  </si>
  <si>
    <t>E05007395</t>
  </si>
  <si>
    <t>E05007396</t>
  </si>
  <si>
    <t>E05007397</t>
  </si>
  <si>
    <t>E05007398</t>
  </si>
  <si>
    <t>E05007399</t>
  </si>
  <si>
    <t>E05007400</t>
  </si>
  <si>
    <t>E05007401</t>
  </si>
  <si>
    <t>E05007402</t>
  </si>
  <si>
    <t>E05007403</t>
  </si>
  <si>
    <t>E05007404</t>
  </si>
  <si>
    <t>E05007405</t>
  </si>
  <si>
    <t>E05007406</t>
  </si>
  <si>
    <t>E05007407</t>
  </si>
  <si>
    <t>E05007408</t>
  </si>
  <si>
    <t>E05007409</t>
  </si>
  <si>
    <t>E05007410</t>
  </si>
  <si>
    <t>E05007411</t>
  </si>
  <si>
    <t>E05007412</t>
  </si>
  <si>
    <t>E05007413</t>
  </si>
  <si>
    <t>E05007414</t>
  </si>
  <si>
    <t>E05007415</t>
  </si>
  <si>
    <t>E05007416</t>
  </si>
  <si>
    <t>E05007417</t>
  </si>
  <si>
    <t>E05007418</t>
  </si>
  <si>
    <t>E05007419</t>
  </si>
  <si>
    <t>E05007420</t>
  </si>
  <si>
    <t>E05007421</t>
  </si>
  <si>
    <t>E05007422</t>
  </si>
  <si>
    <t>E05007423</t>
  </si>
  <si>
    <t>E05007424</t>
  </si>
  <si>
    <t>E05007425</t>
  </si>
  <si>
    <t>E05007426</t>
  </si>
  <si>
    <t>E05007427</t>
  </si>
  <si>
    <t>E05007428</t>
  </si>
  <si>
    <t>E05007429</t>
  </si>
  <si>
    <t>E05007430</t>
  </si>
  <si>
    <t>E05007431</t>
  </si>
  <si>
    <t>E05007432</t>
  </si>
  <si>
    <t>E05007433</t>
  </si>
  <si>
    <t>E05007434</t>
  </si>
  <si>
    <t>E05007435</t>
  </si>
  <si>
    <t>E05007436</t>
  </si>
  <si>
    <t>E05007437</t>
  </si>
  <si>
    <t>E05007438</t>
  </si>
  <si>
    <t>E05007439</t>
  </si>
  <si>
    <t>E05007562</t>
  </si>
  <si>
    <t>E05007563</t>
  </si>
  <si>
    <t>E05007564</t>
  </si>
  <si>
    <t>E05007565</t>
  </si>
  <si>
    <t>E05007566</t>
  </si>
  <si>
    <t>E05007567</t>
  </si>
  <si>
    <t>E05007568</t>
  </si>
  <si>
    <t>E05007569</t>
  </si>
  <si>
    <t>E05007570</t>
  </si>
  <si>
    <t>E05007571</t>
  </si>
  <si>
    <t>E05007572</t>
  </si>
  <si>
    <t>E05007573</t>
  </si>
  <si>
    <t>E05007574</t>
  </si>
  <si>
    <t>E05007575</t>
  </si>
  <si>
    <t>E05007668</t>
  </si>
  <si>
    <t>E05007669</t>
  </si>
  <si>
    <t>E05007670</t>
  </si>
  <si>
    <t>E05007671</t>
  </si>
  <si>
    <t>E05007672</t>
  </si>
  <si>
    <t>E05007673</t>
  </si>
  <si>
    <t>E05007674</t>
  </si>
  <si>
    <t>E05007675</t>
  </si>
  <si>
    <t>E05007676</t>
  </si>
  <si>
    <t>E05007677</t>
  </si>
  <si>
    <t>E05007678</t>
  </si>
  <si>
    <t>E05007679</t>
  </si>
  <si>
    <t>E05007680</t>
  </si>
  <si>
    <t>E05007681</t>
  </si>
  <si>
    <t>E05007682</t>
  </si>
  <si>
    <t>E05007683</t>
  </si>
  <si>
    <t>E05007684</t>
  </si>
  <si>
    <t>E05007685</t>
  </si>
  <si>
    <t>E05007686</t>
  </si>
  <si>
    <t>E05007687</t>
  </si>
  <si>
    <t>E05007688</t>
  </si>
  <si>
    <t>E05007689</t>
  </si>
  <si>
    <t>E05007690</t>
  </si>
  <si>
    <t>E05007691</t>
  </si>
  <si>
    <t>E05007692</t>
  </si>
  <si>
    <t>E05007693</t>
  </si>
  <si>
    <t>E05007694</t>
  </si>
  <si>
    <t>E05007695</t>
  </si>
  <si>
    <t>E05007696</t>
  </si>
  <si>
    <t>E05007697</t>
  </si>
  <si>
    <t>E05007698</t>
  </si>
  <si>
    <t>E05007700</t>
  </si>
  <si>
    <t>E05007701</t>
  </si>
  <si>
    <t>E05007702</t>
  </si>
  <si>
    <t>E05007703</t>
  </si>
  <si>
    <t>E05007704</t>
  </si>
  <si>
    <t>E05007705</t>
  </si>
  <si>
    <t>E05007706</t>
  </si>
  <si>
    <t>E05005408</t>
  </si>
  <si>
    <t>E05005409</t>
  </si>
  <si>
    <t>E05005410</t>
  </si>
  <si>
    <t>E05005411</t>
  </si>
  <si>
    <t>E05005412</t>
  </si>
  <si>
    <t>E05005413</t>
  </si>
  <si>
    <t>E05005414</t>
  </si>
  <si>
    <t>E05005416</t>
  </si>
  <si>
    <t>E05005417</t>
  </si>
  <si>
    <t>E05005418</t>
  </si>
  <si>
    <t>E05005419</t>
  </si>
  <si>
    <t>E05005420</t>
  </si>
  <si>
    <t>E05005421</t>
  </si>
  <si>
    <t>E05005422</t>
  </si>
  <si>
    <t>E05005423</t>
  </si>
  <si>
    <t>E05005424</t>
  </si>
  <si>
    <t>E05005426</t>
  </si>
  <si>
    <t>E05005427</t>
  </si>
  <si>
    <t>E05005428</t>
  </si>
  <si>
    <t>E05005429</t>
  </si>
  <si>
    <t>E05005430</t>
  </si>
  <si>
    <t>E05005431</t>
  </si>
  <si>
    <t>E05005432</t>
  </si>
  <si>
    <t>E05005433</t>
  </si>
  <si>
    <t>E05005434</t>
  </si>
  <si>
    <t>E05005435</t>
  </si>
  <si>
    <t>E05005436</t>
  </si>
  <si>
    <t>E05005437</t>
  </si>
  <si>
    <t>E05005438</t>
  </si>
  <si>
    <t>E05005439</t>
  </si>
  <si>
    <t>E05005440</t>
  </si>
  <si>
    <t>E05005441</t>
  </si>
  <si>
    <t>E05005442</t>
  </si>
  <si>
    <t>E05005443</t>
  </si>
  <si>
    <t>E05005444</t>
  </si>
  <si>
    <t>E05005445</t>
  </si>
  <si>
    <t>E05005446</t>
  </si>
  <si>
    <t>E05005447</t>
  </si>
  <si>
    <t>E05005448</t>
  </si>
  <si>
    <t>E05005449</t>
  </si>
  <si>
    <t>E05005450</t>
  </si>
  <si>
    <t>E05005451</t>
  </si>
  <si>
    <t>E05005452</t>
  </si>
  <si>
    <t>E05005453</t>
  </si>
  <si>
    <t>E05005479</t>
  </si>
  <si>
    <t>E05005480</t>
  </si>
  <si>
    <t>E05005481</t>
  </si>
  <si>
    <t>E05005482</t>
  </si>
  <si>
    <t>E05005483</t>
  </si>
  <si>
    <t>E05005484</t>
  </si>
  <si>
    <t>E05005485</t>
  </si>
  <si>
    <t>E05005486</t>
  </si>
  <si>
    <t>E05005487</t>
  </si>
  <si>
    <t>E05005488</t>
  </si>
  <si>
    <t>E05005489</t>
  </si>
  <si>
    <t>E05005490</t>
  </si>
  <si>
    <t>E05005491</t>
  </si>
  <si>
    <t>E05005492</t>
  </si>
  <si>
    <t>E05005493</t>
  </si>
  <si>
    <t>E05005494</t>
  </si>
  <si>
    <t>E05005495</t>
  </si>
  <si>
    <t>E05005496</t>
  </si>
  <si>
    <t>E05005497</t>
  </si>
  <si>
    <t>E05005498</t>
  </si>
  <si>
    <t>E05005499</t>
  </si>
  <si>
    <t>E05005500</t>
  </si>
  <si>
    <t>E05005501</t>
  </si>
  <si>
    <t>E05005502</t>
  </si>
  <si>
    <t>E05005503</t>
  </si>
  <si>
    <t>E05005504</t>
  </si>
  <si>
    <t>E05005505</t>
  </si>
  <si>
    <t>E05005506</t>
  </si>
  <si>
    <t>E05005507</t>
  </si>
  <si>
    <t>E05005508</t>
  </si>
  <si>
    <t>E05005509</t>
  </si>
  <si>
    <t>E05005510</t>
  </si>
  <si>
    <t>E05005531</t>
  </si>
  <si>
    <t>E05005532</t>
  </si>
  <si>
    <t>E05005533</t>
  </si>
  <si>
    <t>E05005534</t>
  </si>
  <si>
    <t>E05005535</t>
  </si>
  <si>
    <t>E05005536</t>
  </si>
  <si>
    <t>E05005537</t>
  </si>
  <si>
    <t>E05005538</t>
  </si>
  <si>
    <t>E05005539</t>
  </si>
  <si>
    <t>E05005540</t>
  </si>
  <si>
    <t>E05006377</t>
  </si>
  <si>
    <t>E05006378</t>
  </si>
  <si>
    <t>E05006379</t>
  </si>
  <si>
    <t>E05006380</t>
  </si>
  <si>
    <t>E05006381</t>
  </si>
  <si>
    <t>E05006382</t>
  </si>
  <si>
    <t>E05006383</t>
  </si>
  <si>
    <t>E05006384</t>
  </si>
  <si>
    <t>E05006385</t>
  </si>
  <si>
    <t>E05006386</t>
  </si>
  <si>
    <t>E05006387</t>
  </si>
  <si>
    <t>E05006388</t>
  </si>
  <si>
    <t>E05006389</t>
  </si>
  <si>
    <t>E05006390</t>
  </si>
  <si>
    <t>E05006391</t>
  </si>
  <si>
    <t>E05006392</t>
  </si>
  <si>
    <t>E05006393</t>
  </si>
  <si>
    <t>E05006394</t>
  </si>
  <si>
    <t>E05006395</t>
  </si>
  <si>
    <t>E05006396</t>
  </si>
  <si>
    <t>E05006397</t>
  </si>
  <si>
    <t>E05006398</t>
  </si>
  <si>
    <t>E05006399</t>
  </si>
  <si>
    <t>E05006400</t>
  </si>
  <si>
    <t>E05006401</t>
  </si>
  <si>
    <t>E05005150</t>
  </si>
  <si>
    <t>E05005151</t>
  </si>
  <si>
    <t>E05005152</t>
  </si>
  <si>
    <t>E05005153</t>
  </si>
  <si>
    <t>E05005154</t>
  </si>
  <si>
    <t>E05005155</t>
  </si>
  <si>
    <t>E05005156</t>
  </si>
  <si>
    <t>E05005157</t>
  </si>
  <si>
    <t>E05005158</t>
  </si>
  <si>
    <t>E05005159</t>
  </si>
  <si>
    <t>E05005160</t>
  </si>
  <si>
    <t>E05005161</t>
  </si>
  <si>
    <t>E05005162</t>
  </si>
  <si>
    <t>E05005163</t>
  </si>
  <si>
    <t>E05005164</t>
  </si>
  <si>
    <t>E05005185</t>
  </si>
  <si>
    <t>E05005186</t>
  </si>
  <si>
    <t>E05005187</t>
  </si>
  <si>
    <t>E05005188</t>
  </si>
  <si>
    <t>E05005189</t>
  </si>
  <si>
    <t>E05005190</t>
  </si>
  <si>
    <t>E05005191</t>
  </si>
  <si>
    <t>E05005192</t>
  </si>
  <si>
    <t>E05005193</t>
  </si>
  <si>
    <t>E05005194</t>
  </si>
  <si>
    <t>E05005195</t>
  </si>
  <si>
    <t>E05005196</t>
  </si>
  <si>
    <t>E05005197</t>
  </si>
  <si>
    <t>E05005198</t>
  </si>
  <si>
    <t>E05005199</t>
  </si>
  <si>
    <t>E05005200</t>
  </si>
  <si>
    <t>E05005201</t>
  </si>
  <si>
    <t>E05005202</t>
  </si>
  <si>
    <t>E05005203</t>
  </si>
  <si>
    <t>E05005204</t>
  </si>
  <si>
    <t>E05005205</t>
  </si>
  <si>
    <t>E05005206</t>
  </si>
  <si>
    <t>E05005207</t>
  </si>
  <si>
    <t>E05005208</t>
  </si>
  <si>
    <t>E05005209</t>
  </si>
  <si>
    <t>E05005210</t>
  </si>
  <si>
    <t>E05005211</t>
  </si>
  <si>
    <t>E05005212</t>
  </si>
  <si>
    <t>E05005213</t>
  </si>
  <si>
    <t>E05005214</t>
  </si>
  <si>
    <t>E05005215</t>
  </si>
  <si>
    <t>E05005216</t>
  </si>
  <si>
    <t>E05005217</t>
  </si>
  <si>
    <t>E05005218</t>
  </si>
  <si>
    <t>E05005219</t>
  </si>
  <si>
    <t>E05005220</t>
  </si>
  <si>
    <t>E05005221</t>
  </si>
  <si>
    <t>E05005316</t>
  </si>
  <si>
    <t>E05005317</t>
  </si>
  <si>
    <t>E05005318</t>
  </si>
  <si>
    <t>E05005319</t>
  </si>
  <si>
    <t>E05005320</t>
  </si>
  <si>
    <t>E05005321</t>
  </si>
  <si>
    <t>E05005322</t>
  </si>
  <si>
    <t>E05005323</t>
  </si>
  <si>
    <t>E05005324</t>
  </si>
  <si>
    <t>E05005325</t>
  </si>
  <si>
    <t>E05005326</t>
  </si>
  <si>
    <t>E05005327</t>
  </si>
  <si>
    <t>E05005328</t>
  </si>
  <si>
    <t>E05005329</t>
  </si>
  <si>
    <t>E05005357</t>
  </si>
  <si>
    <t>E05005358</t>
  </si>
  <si>
    <t>E05005359</t>
  </si>
  <si>
    <t>E05005360</t>
  </si>
  <si>
    <t>E05005361</t>
  </si>
  <si>
    <t>E05005362</t>
  </si>
  <si>
    <t>E05005363</t>
  </si>
  <si>
    <t>E05005364</t>
  </si>
  <si>
    <t>E05005365</t>
  </si>
  <si>
    <t>E05005366</t>
  </si>
  <si>
    <t>E05005367</t>
  </si>
  <si>
    <t>E05005368</t>
  </si>
  <si>
    <t>E05005369</t>
  </si>
  <si>
    <t>E05005370</t>
  </si>
  <si>
    <t>E05005371</t>
  </si>
  <si>
    <t>E05005372</t>
  </si>
  <si>
    <t>E05005373</t>
  </si>
  <si>
    <t>E05005374</t>
  </si>
  <si>
    <t>E05005375</t>
  </si>
  <si>
    <t>E05005376</t>
  </si>
  <si>
    <t>E05005377</t>
  </si>
  <si>
    <t>E05005378</t>
  </si>
  <si>
    <t>E05005379</t>
  </si>
  <si>
    <t>E05005380</t>
  </si>
  <si>
    <t>E05005381</t>
  </si>
  <si>
    <t>E05005757</t>
  </si>
  <si>
    <t>E05005758</t>
  </si>
  <si>
    <t>E05005759</t>
  </si>
  <si>
    <t>E05005760</t>
  </si>
  <si>
    <t>E05005761</t>
  </si>
  <si>
    <t>E05005762</t>
  </si>
  <si>
    <t>E05005763</t>
  </si>
  <si>
    <t>E05005764</t>
  </si>
  <si>
    <t>E05005765</t>
  </si>
  <si>
    <t>E05005766</t>
  </si>
  <si>
    <t>E05005767</t>
  </si>
  <si>
    <t>E05005768</t>
  </si>
  <si>
    <t>E05005769</t>
  </si>
  <si>
    <t>E05005770</t>
  </si>
  <si>
    <t>E05005771</t>
  </si>
  <si>
    <t>E05005772</t>
  </si>
  <si>
    <t>E05005773</t>
  </si>
  <si>
    <t>E05005774</t>
  </si>
  <si>
    <t>E05005775</t>
  </si>
  <si>
    <t>E05005776</t>
  </si>
  <si>
    <t>E05005777</t>
  </si>
  <si>
    <t>E05005778</t>
  </si>
  <si>
    <t>E05005779</t>
  </si>
  <si>
    <t>E05005780</t>
  </si>
  <si>
    <t>E05005781</t>
  </si>
  <si>
    <t>E05005782</t>
  </si>
  <si>
    <t>E05005783</t>
  </si>
  <si>
    <t>E05005784</t>
  </si>
  <si>
    <t>E05005785</t>
  </si>
  <si>
    <t>E05005786</t>
  </si>
  <si>
    <t>E05005787</t>
  </si>
  <si>
    <t>E05005788</t>
  </si>
  <si>
    <t>E05005789</t>
  </si>
  <si>
    <t>E05005790</t>
  </si>
  <si>
    <t>E05005791</t>
  </si>
  <si>
    <t>E05005792</t>
  </si>
  <si>
    <t>E05005793</t>
  </si>
  <si>
    <t>E05005794</t>
  </si>
  <si>
    <t>E05005795</t>
  </si>
  <si>
    <t>E05005796</t>
  </si>
  <si>
    <t>E05005797</t>
  </si>
  <si>
    <t>E05005798</t>
  </si>
  <si>
    <t>E05005799</t>
  </si>
  <si>
    <t>E05005800</t>
  </si>
  <si>
    <t>E05007117</t>
  </si>
  <si>
    <t>E05007118</t>
  </si>
  <si>
    <t>E05007119</t>
  </si>
  <si>
    <t>E05007120</t>
  </si>
  <si>
    <t>E05007121</t>
  </si>
  <si>
    <t>E05007122</t>
  </si>
  <si>
    <t>E05007123</t>
  </si>
  <si>
    <t>E05007124</t>
  </si>
  <si>
    <t>E05007125</t>
  </si>
  <si>
    <t>E05007126</t>
  </si>
  <si>
    <t>E05007127</t>
  </si>
  <si>
    <t>E05007128</t>
  </si>
  <si>
    <t>E05007129</t>
  </si>
  <si>
    <t>E05007130</t>
  </si>
  <si>
    <t>E05007131</t>
  </si>
  <si>
    <t>E05007132</t>
  </si>
  <si>
    <t>E05006760</t>
  </si>
  <si>
    <t>E05006761</t>
  </si>
  <si>
    <t>E05006762</t>
  </si>
  <si>
    <t>E05006763</t>
  </si>
  <si>
    <t>E05006764</t>
  </si>
  <si>
    <t>E05006765</t>
  </si>
  <si>
    <t>E05006766</t>
  </si>
  <si>
    <t>E05006767</t>
  </si>
  <si>
    <t>E05006768</t>
  </si>
  <si>
    <t>E05006769</t>
  </si>
  <si>
    <t>E05006770</t>
  </si>
  <si>
    <t>E05006771</t>
  </si>
  <si>
    <t>E05006772</t>
  </si>
  <si>
    <t>E05006773</t>
  </si>
  <si>
    <t>E05006774</t>
  </si>
  <si>
    <t>E05006775</t>
  </si>
  <si>
    <t>E05006776</t>
  </si>
  <si>
    <t>E05006777</t>
  </si>
  <si>
    <t>E05006778</t>
  </si>
  <si>
    <t>E05006779</t>
  </si>
  <si>
    <t>E05006780</t>
  </si>
  <si>
    <t>E05006781</t>
  </si>
  <si>
    <t>E05006782</t>
  </si>
  <si>
    <t>E05006783</t>
  </si>
  <si>
    <t>E05006784</t>
  </si>
  <si>
    <t>E05006785</t>
  </si>
  <si>
    <t>E05006786</t>
  </si>
  <si>
    <t>E05006787</t>
  </si>
  <si>
    <t>E05006788</t>
  </si>
  <si>
    <t>E05006789</t>
  </si>
  <si>
    <t>E05006790</t>
  </si>
  <si>
    <t>E05006791</t>
  </si>
  <si>
    <t>E05006792</t>
  </si>
  <si>
    <t>E05006793</t>
  </si>
  <si>
    <t>E05003510</t>
  </si>
  <si>
    <t>E05003511</t>
  </si>
  <si>
    <t>E05003512</t>
  </si>
  <si>
    <t>E05003513</t>
  </si>
  <si>
    <t>E05003514</t>
  </si>
  <si>
    <t>E05003515</t>
  </si>
  <si>
    <t>E05003516</t>
  </si>
  <si>
    <t>E05003517</t>
  </si>
  <si>
    <t>E05003518</t>
  </si>
  <si>
    <t>E05003519</t>
  </si>
  <si>
    <t>E05003520</t>
  </si>
  <si>
    <t>E05003521</t>
  </si>
  <si>
    <t>E05003522</t>
  </si>
  <si>
    <t>E05003524</t>
  </si>
  <si>
    <t>E05003525</t>
  </si>
  <si>
    <t>E05003526</t>
  </si>
  <si>
    <t>E05003527</t>
  </si>
  <si>
    <t>E05003528</t>
  </si>
  <si>
    <t>E05003529</t>
  </si>
  <si>
    <t>E05003530</t>
  </si>
  <si>
    <t>E05003531</t>
  </si>
  <si>
    <t>E05004288</t>
  </si>
  <si>
    <t>E05004289</t>
  </si>
  <si>
    <t>E05004290</t>
  </si>
  <si>
    <t>E05004291</t>
  </si>
  <si>
    <t>E05004292</t>
  </si>
  <si>
    <t>E05004293</t>
  </si>
  <si>
    <t>E05004294</t>
  </si>
  <si>
    <t>E05004295</t>
  </si>
  <si>
    <t>E05004296</t>
  </si>
  <si>
    <t>E05004297</t>
  </si>
  <si>
    <t>E05004298</t>
  </si>
  <si>
    <t>E05004299</t>
  </si>
  <si>
    <t>E05004300</t>
  </si>
  <si>
    <t>E05004301</t>
  </si>
  <si>
    <t>E05004302</t>
  </si>
  <si>
    <t>E05004303</t>
  </si>
  <si>
    <t>E05004304</t>
  </si>
  <si>
    <t>E05004305</t>
  </si>
  <si>
    <t>E05004306</t>
  </si>
  <si>
    <t>E05004307</t>
  </si>
  <si>
    <t>E05004691</t>
  </si>
  <si>
    <t>E05004692</t>
  </si>
  <si>
    <t>E05004693</t>
  </si>
  <si>
    <t>E05004694</t>
  </si>
  <si>
    <t>E05004695</t>
  </si>
  <si>
    <t>E05004696</t>
  </si>
  <si>
    <t>E05004697</t>
  </si>
  <si>
    <t>E05004698</t>
  </si>
  <si>
    <t>E05004699</t>
  </si>
  <si>
    <t>E05004700</t>
  </si>
  <si>
    <t>E05004701</t>
  </si>
  <si>
    <t>E05004702</t>
  </si>
  <si>
    <t>E05004703</t>
  </si>
  <si>
    <t>E05004704</t>
  </si>
  <si>
    <t>E05004705</t>
  </si>
  <si>
    <t>E05004706</t>
  </si>
  <si>
    <t>E05004707</t>
  </si>
  <si>
    <t>E05004708</t>
  </si>
  <si>
    <t>E05004709</t>
  </si>
  <si>
    <t>E05004710</t>
  </si>
  <si>
    <t>E05004711</t>
  </si>
  <si>
    <t>E05004712</t>
  </si>
  <si>
    <t>E05004713</t>
  </si>
  <si>
    <t>E05004714</t>
  </si>
  <si>
    <t>E05004715</t>
  </si>
  <si>
    <t>E05004721</t>
  </si>
  <si>
    <t>E05004723</t>
  </si>
  <si>
    <t>E05004724</t>
  </si>
  <si>
    <t>E05004725</t>
  </si>
  <si>
    <t>E05004726</t>
  </si>
  <si>
    <t>E05004727</t>
  </si>
  <si>
    <t>E05004728</t>
  </si>
  <si>
    <t>E05004729</t>
  </si>
  <si>
    <t>E05004730</t>
  </si>
  <si>
    <t>E05004731</t>
  </si>
  <si>
    <t>E05004732</t>
  </si>
  <si>
    <t>E05004733</t>
  </si>
  <si>
    <t>E05004735</t>
  </si>
  <si>
    <t>E05004736</t>
  </si>
  <si>
    <t>E05004737</t>
  </si>
  <si>
    <t>E05004738</t>
  </si>
  <si>
    <t>E05004739</t>
  </si>
  <si>
    <t>E05004741</t>
  </si>
  <si>
    <t>E05004742</t>
  </si>
  <si>
    <t>E05004743</t>
  </si>
  <si>
    <t>E05004744</t>
  </si>
  <si>
    <t>E05004745</t>
  </si>
  <si>
    <t>E05004761</t>
  </si>
  <si>
    <t>E05004762</t>
  </si>
  <si>
    <t>E05004763</t>
  </si>
  <si>
    <t>E05004764</t>
  </si>
  <si>
    <t>E05004765</t>
  </si>
  <si>
    <t>E05004766</t>
  </si>
  <si>
    <t>E05004767</t>
  </si>
  <si>
    <t>E05004768</t>
  </si>
  <si>
    <t>E05004769</t>
  </si>
  <si>
    <t>E05004770</t>
  </si>
  <si>
    <t>E05004771</t>
  </si>
  <si>
    <t>E05004772</t>
  </si>
  <si>
    <t>E05004773</t>
  </si>
  <si>
    <t>E05004774</t>
  </si>
  <si>
    <t>E05004775</t>
  </si>
  <si>
    <t>E05004776</t>
  </si>
  <si>
    <t>E05004777</t>
  </si>
  <si>
    <t>E05004778</t>
  </si>
  <si>
    <t>E05004779</t>
  </si>
  <si>
    <t>E05004780</t>
  </si>
  <si>
    <t>E05004781</t>
  </si>
  <si>
    <t>E05004782</t>
  </si>
  <si>
    <t>E05004783</t>
  </si>
  <si>
    <t>E05004784</t>
  </si>
  <si>
    <t>E05004785</t>
  </si>
  <si>
    <t>E05004786</t>
  </si>
  <si>
    <t>E05004787</t>
  </si>
  <si>
    <t>E05004789</t>
  </si>
  <si>
    <t>E05004790</t>
  </si>
  <si>
    <t>E05004791</t>
  </si>
  <si>
    <t>E05004792</t>
  </si>
  <si>
    <t>E05004793</t>
  </si>
  <si>
    <t>E05004794</t>
  </si>
  <si>
    <t>E05004795</t>
  </si>
  <si>
    <t>E05004796</t>
  </si>
  <si>
    <t>E05004797</t>
  </si>
  <si>
    <t>E05004798</t>
  </si>
  <si>
    <t>E05004799</t>
  </si>
  <si>
    <t>E05004800</t>
  </si>
  <si>
    <t>E05004801</t>
  </si>
  <si>
    <t>E05004802</t>
  </si>
  <si>
    <t>E05004803</t>
  </si>
  <si>
    <t>E05004804</t>
  </si>
  <si>
    <t>E05004805</t>
  </si>
  <si>
    <t>E05004806</t>
  </si>
  <si>
    <t>E05004807</t>
  </si>
  <si>
    <t>E05004808</t>
  </si>
  <si>
    <t>E05004810</t>
  </si>
  <si>
    <t>E05004811</t>
  </si>
  <si>
    <t>E05004812</t>
  </si>
  <si>
    <t>E05004813</t>
  </si>
  <si>
    <t>E05004814</t>
  </si>
  <si>
    <t>E05004815</t>
  </si>
  <si>
    <t>E05004816</t>
  </si>
  <si>
    <t>E05004817</t>
  </si>
  <si>
    <t>CURRENT CONSTITUENCY ELECTORATE TABLE</t>
  </si>
  <si>
    <t>Batchley &amp; Brockhill</t>
  </si>
  <si>
    <t>Rea Valley</t>
  </si>
  <si>
    <t>Morton-on-Swale</t>
  </si>
  <si>
    <t>Netteswell</t>
  </si>
  <si>
    <t>Quarry and Coton Hill</t>
  </si>
  <si>
    <t>Portchester East</t>
  </si>
  <si>
    <t>Portchester West</t>
  </si>
  <si>
    <t>Aspley and Woburn</t>
  </si>
  <si>
    <t>Barton-le-Clay</t>
  </si>
  <si>
    <t>Biggleswade North</t>
  </si>
  <si>
    <t>Biggleswade South</t>
  </si>
  <si>
    <t>Cranfield and Marston Moretaine</t>
  </si>
  <si>
    <t>Eaton Bray</t>
  </si>
  <si>
    <t>Flitwick</t>
  </si>
  <si>
    <t>Heath and Reach</t>
  </si>
  <si>
    <t>Houghton Conquest and Haynes</t>
  </si>
  <si>
    <t>Houghton Hall</t>
  </si>
  <si>
    <t>Leighton Buzzard North</t>
  </si>
  <si>
    <t>Leighton Buzzard South</t>
  </si>
  <si>
    <t>Linslade</t>
  </si>
  <si>
    <t>Northill</t>
  </si>
  <si>
    <t>Stotfold and Langford</t>
  </si>
  <si>
    <t>Tithe Farm</t>
  </si>
  <si>
    <t>Westoning, Flitton and Greenfield</t>
  </si>
  <si>
    <t>* as created by The Central Bedfordshire (Electoral Changes) Order 2011</t>
  </si>
  <si>
    <t>Bromham and Biddenham</t>
  </si>
  <si>
    <t>Kempston Central and East</t>
  </si>
  <si>
    <t>Wyboston</t>
  </si>
  <si>
    <t>Kempston West</t>
  </si>
  <si>
    <t>Kempston Rural</t>
  </si>
  <si>
    <t>* as created by The Bedford (Electoral Changes) Order 2011</t>
  </si>
  <si>
    <t>Caddington</t>
  </si>
  <si>
    <t>* as created by The Cheshire East (Electoral Changes) Order 2011</t>
  </si>
  <si>
    <t>Alderley Edge</t>
  </si>
  <si>
    <t>Wybunbury</t>
  </si>
  <si>
    <t>Wrenbury</t>
  </si>
  <si>
    <t>Wistaston</t>
  </si>
  <si>
    <t>Wilmslow Dean Row</t>
  </si>
  <si>
    <t>Wilmslow East</t>
  </si>
  <si>
    <t>Wilmslow Lacey Green</t>
  </si>
  <si>
    <t>Wilmslow West and Chorley</t>
  </si>
  <si>
    <t>Willaston and Rope</t>
  </si>
  <si>
    <t>Shavington</t>
  </si>
  <si>
    <t>Sandbach Elworth</t>
  </si>
  <si>
    <t>Sandbach Ettiley Heath and Wheelock</t>
  </si>
  <si>
    <t>Sandbach Heath and East</t>
  </si>
  <si>
    <t>Sandbach Town</t>
  </si>
  <si>
    <t>Poynton East and Pott Shrigley</t>
  </si>
  <si>
    <t>Poynton West and Adlington</t>
  </si>
  <si>
    <t>Odd Rode</t>
  </si>
  <si>
    <t>Nantwich North and West</t>
  </si>
  <si>
    <t>Nantwich South and Stapeley</t>
  </si>
  <si>
    <t>Mobberley</t>
  </si>
  <si>
    <t>Macclesfield Central</t>
  </si>
  <si>
    <t>Macclesfield East</t>
  </si>
  <si>
    <t>Macclesfield Hurdsfield</t>
  </si>
  <si>
    <t>Macclesfield South</t>
  </si>
  <si>
    <t>Macclesfield Tytherington</t>
  </si>
  <si>
    <t>Macclesfield West and Ivy</t>
  </si>
  <si>
    <t>Leighton</t>
  </si>
  <si>
    <t>High Legh</t>
  </si>
  <si>
    <t>Haslington</t>
  </si>
  <si>
    <t>Handforth</t>
  </si>
  <si>
    <t>Gawsworth</t>
  </si>
  <si>
    <t>Disley</t>
  </si>
  <si>
    <t>Crewe Central</t>
  </si>
  <si>
    <t>Crewe St Barnabas</t>
  </si>
  <si>
    <t>Congleton East</t>
  </si>
  <si>
    <t>Congleton West</t>
  </si>
  <si>
    <t>Chelford</t>
  </si>
  <si>
    <t>Bunbury</t>
  </si>
  <si>
    <t>Broken Cross and Upton</t>
  </si>
  <si>
    <t>Brereton Rural</t>
  </si>
  <si>
    <t>Bollington</t>
  </si>
  <si>
    <t>Audlem</t>
  </si>
  <si>
    <t>Hoole</t>
  </si>
  <si>
    <t>E05008751</t>
  </si>
  <si>
    <t>E05008752</t>
  </si>
  <si>
    <t>E05008753</t>
  </si>
  <si>
    <t>E05008754</t>
  </si>
  <si>
    <t>E05008755</t>
  </si>
  <si>
    <t>E05008756</t>
  </si>
  <si>
    <t>E05008757</t>
  </si>
  <si>
    <t>E05008758</t>
  </si>
  <si>
    <t>E05008759</t>
  </si>
  <si>
    <t>E05008760</t>
  </si>
  <si>
    <t>E05008761</t>
  </si>
  <si>
    <t>E05008762</t>
  </si>
  <si>
    <t>E05008763</t>
  </si>
  <si>
    <t>E05008764</t>
  </si>
  <si>
    <t>E05008765</t>
  </si>
  <si>
    <t>E05008766</t>
  </si>
  <si>
    <t>E05008767</t>
  </si>
  <si>
    <t>E05008768</t>
  </si>
  <si>
    <t>E05008769</t>
  </si>
  <si>
    <t>E05008770</t>
  </si>
  <si>
    <t>E05008771</t>
  </si>
  <si>
    <t>E05008772</t>
  </si>
  <si>
    <t>E05008773</t>
  </si>
  <si>
    <t>E05008774</t>
  </si>
  <si>
    <t>E05008775</t>
  </si>
  <si>
    <t>E05008776</t>
  </si>
  <si>
    <t>E05008777</t>
  </si>
  <si>
    <t>E05008779</t>
  </si>
  <si>
    <t>E05008780</t>
  </si>
  <si>
    <t>E05008781</t>
  </si>
  <si>
    <t>E05008782</t>
  </si>
  <si>
    <t>E05008783</t>
  </si>
  <si>
    <t>E05008785</t>
  </si>
  <si>
    <t>E05008786</t>
  </si>
  <si>
    <t>E05008787</t>
  </si>
  <si>
    <t>E05008790</t>
  </si>
  <si>
    <t>E05008791</t>
  </si>
  <si>
    <t>E05008792</t>
  </si>
  <si>
    <t>E05008793</t>
  </si>
  <si>
    <t>E05008796</t>
  </si>
  <si>
    <t>E05008797</t>
  </si>
  <si>
    <t>E05008798</t>
  </si>
  <si>
    <t>E05008800</t>
  </si>
  <si>
    <t>E05008801</t>
  </si>
  <si>
    <t>E05008803</t>
  </si>
  <si>
    <t>E05008804</t>
  </si>
  <si>
    <t>E05008805</t>
  </si>
  <si>
    <t>E05008806</t>
  </si>
  <si>
    <t>E05008807</t>
  </si>
  <si>
    <t>E05008808</t>
  </si>
  <si>
    <t>E05008610</t>
  </si>
  <si>
    <t>E05008611</t>
  </si>
  <si>
    <t>E05008612</t>
  </si>
  <si>
    <t>E05008613</t>
  </si>
  <si>
    <t>E05008614</t>
  </si>
  <si>
    <t>E05008615</t>
  </si>
  <si>
    <t>E05008616</t>
  </si>
  <si>
    <t>E05008617</t>
  </si>
  <si>
    <t>E05008618</t>
  </si>
  <si>
    <t>E05008619</t>
  </si>
  <si>
    <t>E05008620</t>
  </si>
  <si>
    <t>E05008621</t>
  </si>
  <si>
    <t>E05008622</t>
  </si>
  <si>
    <t>E05008623</t>
  </si>
  <si>
    <t>E05008624</t>
  </si>
  <si>
    <t>E05008625</t>
  </si>
  <si>
    <t>E05008626</t>
  </si>
  <si>
    <t>E05008627</t>
  </si>
  <si>
    <t>E05008628</t>
  </si>
  <si>
    <t>E05008629</t>
  </si>
  <si>
    <t>E05008630</t>
  </si>
  <si>
    <t>E05008631</t>
  </si>
  <si>
    <t>E05008632</t>
  </si>
  <si>
    <t>E05008633</t>
  </si>
  <si>
    <t>E05008634</t>
  </si>
  <si>
    <t>E05008635</t>
  </si>
  <si>
    <t>E05008636</t>
  </si>
  <si>
    <t>E05008637</t>
  </si>
  <si>
    <t>E05008638</t>
  </si>
  <si>
    <t>E05008639</t>
  </si>
  <si>
    <t>E05008640</t>
  </si>
  <si>
    <t>E05008641</t>
  </si>
  <si>
    <t>E05008642</t>
  </si>
  <si>
    <t>E05008643</t>
  </si>
  <si>
    <t>E05008644</t>
  </si>
  <si>
    <t>E05008645</t>
  </si>
  <si>
    <t>E05008646</t>
  </si>
  <si>
    <t>E05008647</t>
  </si>
  <si>
    <t>E05008648</t>
  </si>
  <si>
    <t>E05008649</t>
  </si>
  <si>
    <t>E05008650</t>
  </si>
  <si>
    <t>E05008651</t>
  </si>
  <si>
    <t>E05008652</t>
  </si>
  <si>
    <t>E05008653</t>
  </si>
  <si>
    <t>E05008654</t>
  </si>
  <si>
    <t>E05008655</t>
  </si>
  <si>
    <t>E05008656</t>
  </si>
  <si>
    <t>E05008657</t>
  </si>
  <si>
    <t>E05008658</t>
  </si>
  <si>
    <t>E05008659</t>
  </si>
  <si>
    <t>E05008660</t>
  </si>
  <si>
    <t>E05008661</t>
  </si>
  <si>
    <t>E05008809</t>
  </si>
  <si>
    <t>E05008810</t>
  </si>
  <si>
    <t>E05008811</t>
  </si>
  <si>
    <t>E05008812</t>
  </si>
  <si>
    <t>E05008813</t>
  </si>
  <si>
    <t>E05008814</t>
  </si>
  <si>
    <t>E05008815</t>
  </si>
  <si>
    <t>E05008816</t>
  </si>
  <si>
    <t>E05008817</t>
  </si>
  <si>
    <t>E05008818</t>
  </si>
  <si>
    <t>E05008819</t>
  </si>
  <si>
    <t>E05008820</t>
  </si>
  <si>
    <t>E05008821</t>
  </si>
  <si>
    <t>E05008822</t>
  </si>
  <si>
    <t>E05008823</t>
  </si>
  <si>
    <t>Ethandune</t>
  </si>
  <si>
    <t>Talavera</t>
  </si>
  <si>
    <t xml:space="preserve">   The District of Basildon was granted Borough status on 26 October 2010</t>
  </si>
  <si>
    <t>* as created by The District of Epping Forest (Electoral Changes) Order 2001 and</t>
  </si>
  <si>
    <t>Ash and New Ash Green</t>
  </si>
  <si>
    <t>Gobowen, Selattyn and Weston Rhyn</t>
  </si>
  <si>
    <t>* as created by The South Derbyshire (Electoral Changes) Order 2011</t>
  </si>
  <si>
    <t>Alcombe</t>
  </si>
  <si>
    <t>Minehead Central</t>
  </si>
  <si>
    <t>Axevale</t>
  </si>
  <si>
    <t>E05008893</t>
  </si>
  <si>
    <t>E05008894</t>
  </si>
  <si>
    <t>Bridgwater Dunwear</t>
  </si>
  <si>
    <t>E05008895</t>
  </si>
  <si>
    <t>E05008896</t>
  </si>
  <si>
    <t>Bridgwater Fairfax</t>
  </si>
  <si>
    <t>E05008897</t>
  </si>
  <si>
    <t>E05008898</t>
  </si>
  <si>
    <t>E05008899</t>
  </si>
  <si>
    <t>Bridgwater Westover</t>
  </si>
  <si>
    <t>E05008900</t>
  </si>
  <si>
    <t>Bridgwater Wyndham</t>
  </si>
  <si>
    <t>E05008901</t>
  </si>
  <si>
    <t>Burnham Central</t>
  </si>
  <si>
    <t>E05008902</t>
  </si>
  <si>
    <t>E05008903</t>
  </si>
  <si>
    <t>Cannington and Wembdon</t>
  </si>
  <si>
    <t>E05008904</t>
  </si>
  <si>
    <t>E05008905</t>
  </si>
  <si>
    <t>East Polden</t>
  </si>
  <si>
    <t>E05008906</t>
  </si>
  <si>
    <t>Highbridge and Burnham Marine</t>
  </si>
  <si>
    <t>E05008907</t>
  </si>
  <si>
    <t>E05008908</t>
  </si>
  <si>
    <t>E05008909</t>
  </si>
  <si>
    <t>E05008910</t>
  </si>
  <si>
    <t>E05008911</t>
  </si>
  <si>
    <t>Puriton and Woolavington</t>
  </si>
  <si>
    <t>E05008912</t>
  </si>
  <si>
    <t>Quantocks</t>
  </si>
  <si>
    <t>E05008913</t>
  </si>
  <si>
    <t>E05008914</t>
  </si>
  <si>
    <t>West Polden</t>
  </si>
  <si>
    <t>E05008915</t>
  </si>
  <si>
    <t>Abbott</t>
  </si>
  <si>
    <t>E05008857</t>
  </si>
  <si>
    <t>E05008858</t>
  </si>
  <si>
    <t>Brick Kiln</t>
  </si>
  <si>
    <t>E05008859</t>
  </si>
  <si>
    <t>E05008860</t>
  </si>
  <si>
    <t>Bull Farm and Pleasley Hill</t>
  </si>
  <si>
    <t>E05008861</t>
  </si>
  <si>
    <t>Carr Bank</t>
  </si>
  <si>
    <t>E05008862</t>
  </si>
  <si>
    <t>E05008863</t>
  </si>
  <si>
    <t>E05008864</t>
  </si>
  <si>
    <t>Holly</t>
  </si>
  <si>
    <t>E05008865</t>
  </si>
  <si>
    <t>Hornby</t>
  </si>
  <si>
    <t>E05008866</t>
  </si>
  <si>
    <t>Kings Walk</t>
  </si>
  <si>
    <t>E05008867</t>
  </si>
  <si>
    <t>E05008868</t>
  </si>
  <si>
    <t>E05008869</t>
  </si>
  <si>
    <t>E05008870</t>
  </si>
  <si>
    <t>Ling Forest</t>
  </si>
  <si>
    <t>E05008871</t>
  </si>
  <si>
    <t>E05008872</t>
  </si>
  <si>
    <t>Market Warsop</t>
  </si>
  <si>
    <t>E05008873</t>
  </si>
  <si>
    <t>Maun Valley</t>
  </si>
  <si>
    <t>E05008874</t>
  </si>
  <si>
    <t>E05008875</t>
  </si>
  <si>
    <t>Netherfield</t>
  </si>
  <si>
    <t>E05008876</t>
  </si>
  <si>
    <t>Newgate</t>
  </si>
  <si>
    <t>E05008877</t>
  </si>
  <si>
    <t>Newlands</t>
  </si>
  <si>
    <t>E05008878</t>
  </si>
  <si>
    <t>E05008879</t>
  </si>
  <si>
    <t>Oakham</t>
  </si>
  <si>
    <t>E05008880</t>
  </si>
  <si>
    <t>Park Hall</t>
  </si>
  <si>
    <t>E05008881</t>
  </si>
  <si>
    <t>Peafields</t>
  </si>
  <si>
    <t>E05008882</t>
  </si>
  <si>
    <t>Penniment</t>
  </si>
  <si>
    <t>E05008883</t>
  </si>
  <si>
    <t>E05008884</t>
  </si>
  <si>
    <t>Racecourse</t>
  </si>
  <si>
    <t>E05008885</t>
  </si>
  <si>
    <t>Ransom Wood</t>
  </si>
  <si>
    <t>E05008886</t>
  </si>
  <si>
    <t>Sandhurst</t>
  </si>
  <si>
    <t>E05008887</t>
  </si>
  <si>
    <t>E05008888</t>
  </si>
  <si>
    <t>Warsop Carrs</t>
  </si>
  <si>
    <t>E05008889</t>
  </si>
  <si>
    <t>E05008890</t>
  </si>
  <si>
    <t>E05008891</t>
  </si>
  <si>
    <t>Yeoman Hill</t>
  </si>
  <si>
    <t>E05008892</t>
  </si>
  <si>
    <t>* as created by The Mansfield (Electoral Changes) Order 2011</t>
  </si>
  <si>
    <t>Abbey Hulton and Townsend</t>
  </si>
  <si>
    <t>E05008714</t>
  </si>
  <si>
    <t>Baddeley, Milton and Norton</t>
  </si>
  <si>
    <t>E05008715</t>
  </si>
  <si>
    <t>Bentilee and Ubberley</t>
  </si>
  <si>
    <t>E05008716</t>
  </si>
  <si>
    <t>Birches Head and Central Forest Park</t>
  </si>
  <si>
    <t>E05008717</t>
  </si>
  <si>
    <t>Blurton East</t>
  </si>
  <si>
    <t>E05008718</t>
  </si>
  <si>
    <t>Blurton West and Newstead</t>
  </si>
  <si>
    <t>E05008719</t>
  </si>
  <si>
    <t>Boothen and Oak Hill</t>
  </si>
  <si>
    <t>E05008720</t>
  </si>
  <si>
    <t>Bradeley and Chell Heath</t>
  </si>
  <si>
    <t>E05008721</t>
  </si>
  <si>
    <t>Broadway and Longton East</t>
  </si>
  <si>
    <t>E05008722</t>
  </si>
  <si>
    <t>Burslem Central</t>
  </si>
  <si>
    <t>E05008723</t>
  </si>
  <si>
    <t>Burslem Park</t>
  </si>
  <si>
    <t>E05008724</t>
  </si>
  <si>
    <t>Dresden and Florence</t>
  </si>
  <si>
    <t>E05008725</t>
  </si>
  <si>
    <t>Eaton Park</t>
  </si>
  <si>
    <t>E05008726</t>
  </si>
  <si>
    <t>Etruria and Hanley</t>
  </si>
  <si>
    <t>E05008727</t>
  </si>
  <si>
    <t>Fenton East</t>
  </si>
  <si>
    <t>E05008728</t>
  </si>
  <si>
    <t>Fenton West and Mount Pleasant</t>
  </si>
  <si>
    <t>E05008729</t>
  </si>
  <si>
    <t>Ford Green and Smallthorne</t>
  </si>
  <si>
    <t>E05008730</t>
  </si>
  <si>
    <t>Goldenhill and Sandyford</t>
  </si>
  <si>
    <t>E05008731</t>
  </si>
  <si>
    <t>Great Chell and Packmoor</t>
  </si>
  <si>
    <t>E05008732</t>
  </si>
  <si>
    <t>E05008733</t>
  </si>
  <si>
    <t>Hanley Park and Shelton</t>
  </si>
  <si>
    <t>E05008734</t>
  </si>
  <si>
    <t>Hartshill and Basford</t>
  </si>
  <si>
    <t>E05008735</t>
  </si>
  <si>
    <t>Hollybush and Longton West</t>
  </si>
  <si>
    <t>E05008736</t>
  </si>
  <si>
    <t>Joiner's Square</t>
  </si>
  <si>
    <t>E05008737</t>
  </si>
  <si>
    <t>Lightwood North and Normacot</t>
  </si>
  <si>
    <t>E05008738</t>
  </si>
  <si>
    <t>Little Chell and Stanfield</t>
  </si>
  <si>
    <t>E05008739</t>
  </si>
  <si>
    <t>Meir Hay</t>
  </si>
  <si>
    <t>E05008740</t>
  </si>
  <si>
    <t>Meir North</t>
  </si>
  <si>
    <t>E05008741</t>
  </si>
  <si>
    <t>Meir Park</t>
  </si>
  <si>
    <t>E05008742</t>
  </si>
  <si>
    <t>Meir South</t>
  </si>
  <si>
    <t>E05008743</t>
  </si>
  <si>
    <t>Moorcroft</t>
  </si>
  <si>
    <t>E05008744</t>
  </si>
  <si>
    <t>Penkhull and Stoke</t>
  </si>
  <si>
    <t>E05008745</t>
  </si>
  <si>
    <t>Sandford Hill</t>
  </si>
  <si>
    <t>E05008746</t>
  </si>
  <si>
    <t>Sneyd Green</t>
  </si>
  <si>
    <t>E05008747</t>
  </si>
  <si>
    <t>Springfields and Trent Vale</t>
  </si>
  <si>
    <t>E05008748</t>
  </si>
  <si>
    <t>E05008749</t>
  </si>
  <si>
    <t>Weston Coyney</t>
  </si>
  <si>
    <t>E05008750</t>
  </si>
  <si>
    <t>* as created by The Stoke-on-Trent (Electoral Changes) Order 2011</t>
  </si>
  <si>
    <t>E05008546</t>
  </si>
  <si>
    <t>* as created by The District of Mid Devon (Electoral Changes) Order 1999 and</t>
  </si>
  <si>
    <t xml:space="preserve">   as altered by The Mid Devon (Related Alterations) Order 2009</t>
  </si>
  <si>
    <t>* as created by The District of Teignbridge (Electoral Changes) Order 1999 and</t>
  </si>
  <si>
    <t xml:space="preserve">   as altered by The Teignbridge (Electoral Changes) Order 2010</t>
  </si>
  <si>
    <t>* as created by The District of New Forest (Parishes and Electoral Changes) Order 2001 and</t>
  </si>
  <si>
    <t>E05008932</t>
  </si>
  <si>
    <t>E05008933</t>
  </si>
  <si>
    <t>E05008934</t>
  </si>
  <si>
    <t>* as created by The Borough of Maidstone (Electoral Changes) Order 2001 and</t>
  </si>
  <si>
    <t xml:space="preserve">   as altered by The Maidstone (Electoral Changes) Order 2008</t>
  </si>
  <si>
    <t>E05008553</t>
  </si>
  <si>
    <t>E05008554</t>
  </si>
  <si>
    <t>E05008555</t>
  </si>
  <si>
    <t xml:space="preserve">   as altered by The Epping Forest (Electoral Changes) Order 2011</t>
  </si>
  <si>
    <t>E05008940</t>
  </si>
  <si>
    <t>E05008941</t>
  </si>
  <si>
    <t>* as created by The Borough of Pendle (Electoral Changes) Order 2001 and</t>
  </si>
  <si>
    <t>* as created by The Borough of Kirklees (Electoral Changes) Order 2003 and</t>
  </si>
  <si>
    <t xml:space="preserve">   as altered by The Kirklees (Related Alterations) Order 2010</t>
  </si>
  <si>
    <t>E05008558</t>
  </si>
  <si>
    <t>E05008559</t>
  </si>
  <si>
    <t>E05008560</t>
  </si>
  <si>
    <t>E05008561</t>
  </si>
  <si>
    <t>E05008562</t>
  </si>
  <si>
    <t xml:space="preserve">   as altered by The New Forest (Electoral Changes) Order 2011</t>
  </si>
  <si>
    <t>Halstead St Andrew's</t>
  </si>
  <si>
    <t>* as created by The Rushmoor (Electoral Changes) Order 2012</t>
  </si>
  <si>
    <t>Aldershot Park</t>
  </si>
  <si>
    <t>Cherrywood</t>
  </si>
  <si>
    <t>West Heath</t>
  </si>
  <si>
    <t>E05008989</t>
  </si>
  <si>
    <t>E05008990</t>
  </si>
  <si>
    <t>E05008991</t>
  </si>
  <si>
    <t>E05008992</t>
  </si>
  <si>
    <t>E05008993</t>
  </si>
  <si>
    <t>E05008994</t>
  </si>
  <si>
    <t>E05008995</t>
  </si>
  <si>
    <t>E05008996</t>
  </si>
  <si>
    <t>E05008997</t>
  </si>
  <si>
    <t>E05008998</t>
  </si>
  <si>
    <t>E05008999</t>
  </si>
  <si>
    <t>E05009000</t>
  </si>
  <si>
    <t>E05009001</t>
  </si>
  <si>
    <t>De Bruce</t>
  </si>
  <si>
    <t>Manor House</t>
  </si>
  <si>
    <t>Cheshunt South and Theobalds</t>
  </si>
  <si>
    <t>Hoddesdon Town and Rye Park</t>
  </si>
  <si>
    <t>Rosedale and Bury Green</t>
  </si>
  <si>
    <t>Wormley and Turnford</t>
  </si>
  <si>
    <t>* as created by The Broxbourne (Electoral Changes) Order 2012</t>
  </si>
  <si>
    <t>E05009002</t>
  </si>
  <si>
    <t>E05009003</t>
  </si>
  <si>
    <t>E05009004</t>
  </si>
  <si>
    <t>E05009005</t>
  </si>
  <si>
    <t>E05009006</t>
  </si>
  <si>
    <t>E05009007</t>
  </si>
  <si>
    <t>E05009008</t>
  </si>
  <si>
    <t>E05009009</t>
  </si>
  <si>
    <t>E05009010</t>
  </si>
  <si>
    <t>E05009011</t>
  </si>
  <si>
    <t>Welwyn Hatfield CC (pt)</t>
  </si>
  <si>
    <t xml:space="preserve">   as altered by The St Albans (Parish Electoral Arrangements and Electoral Changes) Order 2007 and</t>
  </si>
  <si>
    <t xml:space="preserve">   The St Albans and Welwyn Hatfield (Boundary Change) Order 2012</t>
  </si>
  <si>
    <t>Blunsdon and Highworth</t>
  </si>
  <si>
    <t>Chiseldon and Lawn</t>
  </si>
  <si>
    <t>Covingham and Dorcan</t>
  </si>
  <si>
    <t>Liden, Eldene and Park South</t>
  </si>
  <si>
    <t>Lydiard and Freshbrook</t>
  </si>
  <si>
    <t>Mannington and Western</t>
  </si>
  <si>
    <t>Penhill and Upper Stratton</t>
  </si>
  <si>
    <t>Priory Vale</t>
  </si>
  <si>
    <t>Rodbourne Cheney</t>
  </si>
  <si>
    <t>St Margaret and South Marston</t>
  </si>
  <si>
    <t>Walcot and Park North</t>
  </si>
  <si>
    <t>Wroughton and Wichelstowe</t>
  </si>
  <si>
    <t>E05008954</t>
  </si>
  <si>
    <t>E05008955</t>
  </si>
  <si>
    <t>E05008956</t>
  </si>
  <si>
    <t>E05008957</t>
  </si>
  <si>
    <t>E05008958</t>
  </si>
  <si>
    <t>E05008960</t>
  </si>
  <si>
    <t>E05008961</t>
  </si>
  <si>
    <t>E05008962</t>
  </si>
  <si>
    <t>E05008963</t>
  </si>
  <si>
    <t>E05008965</t>
  </si>
  <si>
    <t>E05008966</t>
  </si>
  <si>
    <t>E05008967</t>
  </si>
  <si>
    <t>E05008968</t>
  </si>
  <si>
    <t>E05008969</t>
  </si>
  <si>
    <t>E05008970</t>
  </si>
  <si>
    <t>E05008971</t>
  </si>
  <si>
    <t>E05008972</t>
  </si>
  <si>
    <t>E05008974</t>
  </si>
  <si>
    <t>E05008975</t>
  </si>
  <si>
    <t>Admirals and Cawston</t>
  </si>
  <si>
    <t>Clifton, Newton and Churchover</t>
  </si>
  <si>
    <t>Coton and Boughton</t>
  </si>
  <si>
    <t>Dunsmore</t>
  </si>
  <si>
    <t>Newbold and Brownsover</t>
  </si>
  <si>
    <t>Rokeby and Overslade</t>
  </si>
  <si>
    <t>Revel and Binley Woods</t>
  </si>
  <si>
    <t>Wolston and the Lawfords</t>
  </si>
  <si>
    <t>Wolvey and Shilton</t>
  </si>
  <si>
    <t>E05008976</t>
  </si>
  <si>
    <t>E05008977</t>
  </si>
  <si>
    <t>E05008979</t>
  </si>
  <si>
    <t>E05008980</t>
  </si>
  <si>
    <t>E05008981</t>
  </si>
  <si>
    <t>E05008982</t>
  </si>
  <si>
    <t>E05008983</t>
  </si>
  <si>
    <t>E05008984</t>
  </si>
  <si>
    <t>E05008985</t>
  </si>
  <si>
    <t>E05008988</t>
  </si>
  <si>
    <t>CITY OF CHELMSFORD</t>
  </si>
  <si>
    <t>CITY OF CHELMSFORD *</t>
  </si>
  <si>
    <t xml:space="preserve">   Borough granted City status on 14 March 2012</t>
  </si>
  <si>
    <t>E05009028</t>
  </si>
  <si>
    <t>* as created by The City of St Albans (Electoral Changes) Order 1998 and</t>
  </si>
  <si>
    <t>Eastlands</t>
  </si>
  <si>
    <t>Hanford and Trentham</t>
  </si>
  <si>
    <t>Aycliffe North and Middridge</t>
  </si>
  <si>
    <t>Bishop Middleham and Cornforth</t>
  </si>
  <si>
    <t>Chester-le-Street East</t>
  </si>
  <si>
    <t>Chester-le-Street North</t>
  </si>
  <si>
    <t>Consett South</t>
  </si>
  <si>
    <t>Crook</t>
  </si>
  <si>
    <t>Deerness</t>
  </si>
  <si>
    <t>Delves Lane</t>
  </si>
  <si>
    <t>Elvet and Gilesgate</t>
  </si>
  <si>
    <t>Esh and Witton Gilbert</t>
  </si>
  <si>
    <t>North Lodge</t>
  </si>
  <si>
    <t>Passfield</t>
  </si>
  <si>
    <t>Shildon and Dene Valley</t>
  </si>
  <si>
    <t>Shotton and South Hetton</t>
  </si>
  <si>
    <t>Spennymoor</t>
  </si>
  <si>
    <t>Tow Law</t>
  </si>
  <si>
    <t>Trimdon and Thornley</t>
  </si>
  <si>
    <t>Willington and Hunwick</t>
  </si>
  <si>
    <t>UK Electoral quota</t>
  </si>
  <si>
    <t>* as created by The Durham (Electoral Changes) Order 2012</t>
  </si>
  <si>
    <t>E05009030</t>
  </si>
  <si>
    <t>E05008986</t>
  </si>
  <si>
    <t>E05009031</t>
  </si>
  <si>
    <t>E05009032</t>
  </si>
  <si>
    <t>E05009033</t>
  </si>
  <si>
    <t>E05009034</t>
  </si>
  <si>
    <t>E05009035</t>
  </si>
  <si>
    <t>E05009036</t>
  </si>
  <si>
    <t>E05009037</t>
  </si>
  <si>
    <t>E05009038</t>
  </si>
  <si>
    <t>E05009039</t>
  </si>
  <si>
    <t>E05009040</t>
  </si>
  <si>
    <t>E05009041</t>
  </si>
  <si>
    <t>E05009042</t>
  </si>
  <si>
    <t>E05009043</t>
  </si>
  <si>
    <t>E05009044</t>
  </si>
  <si>
    <t>E05009045</t>
  </si>
  <si>
    <t>E05009046</t>
  </si>
  <si>
    <t>E05009047</t>
  </si>
  <si>
    <t>E05009048</t>
  </si>
  <si>
    <t>E05009049</t>
  </si>
  <si>
    <t>E05009050</t>
  </si>
  <si>
    <t>E05009051</t>
  </si>
  <si>
    <t>E05009052</t>
  </si>
  <si>
    <t>E05009053</t>
  </si>
  <si>
    <t>E05009054</t>
  </si>
  <si>
    <t>E05009055</t>
  </si>
  <si>
    <t>E05009056</t>
  </si>
  <si>
    <t>E05009057</t>
  </si>
  <si>
    <t>E05009058</t>
  </si>
  <si>
    <t>E05009059</t>
  </si>
  <si>
    <t>E05009060</t>
  </si>
  <si>
    <t>E05009061</t>
  </si>
  <si>
    <t>E05009062</t>
  </si>
  <si>
    <t>E05009063</t>
  </si>
  <si>
    <t>E05009064</t>
  </si>
  <si>
    <t>E05009065</t>
  </si>
  <si>
    <t>E05009066</t>
  </si>
  <si>
    <t>E05009067</t>
  </si>
  <si>
    <t>E05009068</t>
  </si>
  <si>
    <t>E05009069</t>
  </si>
  <si>
    <t>E05009070</t>
  </si>
  <si>
    <t>E05009071</t>
  </si>
  <si>
    <t>E05009072</t>
  </si>
  <si>
    <t>E05009073</t>
  </si>
  <si>
    <t>E05009074</t>
  </si>
  <si>
    <t>E05009075</t>
  </si>
  <si>
    <t>E05009076</t>
  </si>
  <si>
    <t>E05009077</t>
  </si>
  <si>
    <t>E05009078</t>
  </si>
  <si>
    <t>E05009079</t>
  </si>
  <si>
    <t>E05009080</t>
  </si>
  <si>
    <t>E05009081</t>
  </si>
  <si>
    <t>E05009082</t>
  </si>
  <si>
    <t>E05009083</t>
  </si>
  <si>
    <t>E05009084</t>
  </si>
  <si>
    <t>E05009085</t>
  </si>
  <si>
    <t>E05009086</t>
  </si>
  <si>
    <t>E05009087</t>
  </si>
  <si>
    <t>E05009088</t>
  </si>
  <si>
    <t>E05009089</t>
  </si>
  <si>
    <t>E05009090</t>
  </si>
  <si>
    <t>E05009091</t>
  </si>
  <si>
    <t>E05009092</t>
  </si>
  <si>
    <t>E05008547</t>
  </si>
  <si>
    <t>Lye and Stourbridge North</t>
  </si>
  <si>
    <t>Cradley and Wollescote</t>
  </si>
  <si>
    <t>Frampton Cotterell</t>
  </si>
  <si>
    <t>Cullompton South</t>
  </si>
  <si>
    <t>Kingsteignton East</t>
  </si>
  <si>
    <t>Kingsteignton West</t>
  </si>
  <si>
    <t>Bransgore and Burley</t>
  </si>
  <si>
    <t>Wheaton Aston, Bishopswood and Lapley</t>
  </si>
  <si>
    <t>Trowbridge Lambrok</t>
  </si>
  <si>
    <t>Arlesey</t>
  </si>
  <si>
    <t>Broxbourne and Hoddesdon South</t>
  </si>
  <si>
    <t>Current</t>
  </si>
  <si>
    <t>Britwell and Northborough</t>
  </si>
  <si>
    <t>Elliman</t>
  </si>
  <si>
    <t>Haymill and Lynch Hill</t>
  </si>
  <si>
    <t>Langley Kedermister</t>
  </si>
  <si>
    <t>* as created by The Slough (Electoral Changes) Order 2012</t>
  </si>
  <si>
    <t>* as created by The County of Shropshire (Electoral Changes) Order 2009 and</t>
  </si>
  <si>
    <t xml:space="preserve">  as altered by The County of Shropshire (Electoral Changes) Order 2012</t>
  </si>
  <si>
    <t>* as created by The District of West Oxfordshire (Electoral Changes) Order 2001 and</t>
  </si>
  <si>
    <t>Druridge Bay</t>
  </si>
  <si>
    <t>Ponteland East and Stannington</t>
  </si>
  <si>
    <t>Prudhoe North</t>
  </si>
  <si>
    <t>Prudhoe South</t>
  </si>
  <si>
    <t>* as created by The Northumberland (Electoral Changes) Order 2011 and</t>
  </si>
  <si>
    <t>Hexham CC (pt)</t>
  </si>
  <si>
    <t>Blaydon BC (pt)</t>
  </si>
  <si>
    <t>* as created by The Borough of Gateshead (Electoral Changes) Order 2004 and</t>
  </si>
  <si>
    <t>* as created by The District of East Hertfordshire (Electoral Changes) Order 1998 and</t>
  </si>
  <si>
    <t>* as created by The Borough of Stevenage (Electoral Changes) Order 1998 and</t>
  </si>
  <si>
    <t>Stevenage (pt)</t>
  </si>
  <si>
    <t>Bude</t>
  </si>
  <si>
    <t>Camborne Trelowarren</t>
  </si>
  <si>
    <t>Lynher</t>
  </si>
  <si>
    <t>St Blazey</t>
  </si>
  <si>
    <t>County Average (West Cheshire &amp; Chester) (3 seats)</t>
  </si>
  <si>
    <t>County Average (Plymouth) (2 seats)</t>
  </si>
  <si>
    <t>County Average (Durham) (5 seats)</t>
  </si>
  <si>
    <t>County Average (26 seats)</t>
  </si>
  <si>
    <t>County Average (25 seats)</t>
  </si>
  <si>
    <t>County Average (Hampshire) (13 seats)</t>
  </si>
  <si>
    <t>County Average (All) (15 seats)</t>
  </si>
  <si>
    <t>County Average (Lancashire) (12 seats)</t>
  </si>
  <si>
    <t>County Average (All) (14 seats)</t>
  </si>
  <si>
    <t>County Average (21 seats)</t>
  </si>
  <si>
    <t># paired with the Lonon Borough of Hammersmith and Fulham</t>
  </si>
  <si>
    <t>Crookham East</t>
  </si>
  <si>
    <t>Crookham West and Ewshot</t>
  </si>
  <si>
    <t>Fleet East</t>
  </si>
  <si>
    <t>* as created by The Hart (Electoral Changes) Order 2014</t>
  </si>
  <si>
    <t xml:space="preserve">   as altered by The District of West Oxfordshire (Electoral Changes) Order 2012</t>
  </si>
  <si>
    <t xml:space="preserve">   as altered by The East Hertfordshire and Stevenage (Boundary Change) Order 2013</t>
  </si>
  <si>
    <t xml:space="preserve">   as altered by The Gateshead and Northumberland (Boundary Change) Order 2013</t>
  </si>
  <si>
    <t>LONDON REGION</t>
  </si>
  <si>
    <t>E05009337</t>
  </si>
  <si>
    <t>E05009338</t>
  </si>
  <si>
    <t>E05009339</t>
  </si>
  <si>
    <t>E05009340</t>
  </si>
  <si>
    <t>E05009341</t>
  </si>
  <si>
    <t>E05009342</t>
  </si>
  <si>
    <t>E05009343</t>
  </si>
  <si>
    <t>E05009344</t>
  </si>
  <si>
    <t>E05009345</t>
  </si>
  <si>
    <t>E05009346</t>
  </si>
  <si>
    <t>E05009347</t>
  </si>
  <si>
    <t>E05009348</t>
  </si>
  <si>
    <t>E05009349</t>
  </si>
  <si>
    <t>E05009350</t>
  </si>
  <si>
    <t>E05009351</t>
  </si>
  <si>
    <t>E05009352</t>
  </si>
  <si>
    <t>E05009353</t>
  </si>
  <si>
    <t>E05009354</t>
  </si>
  <si>
    <t>E05009355</t>
  </si>
  <si>
    <t>E05009356</t>
  </si>
  <si>
    <t>E05009357</t>
  </si>
  <si>
    <t>E05009358</t>
  </si>
  <si>
    <t>E05009359</t>
  </si>
  <si>
    <t>E05009360</t>
  </si>
  <si>
    <t>E05009361</t>
  </si>
  <si>
    <t>E05009362</t>
  </si>
  <si>
    <t>E05009363</t>
  </si>
  <si>
    <t>E05009364</t>
  </si>
  <si>
    <t>E05009365</t>
  </si>
  <si>
    <t>E05009287</t>
  </si>
  <si>
    <t>E05009281</t>
  </si>
  <si>
    <t>E05009282</t>
  </si>
  <si>
    <t>E05009283</t>
  </si>
  <si>
    <t>E05009284</t>
  </si>
  <si>
    <t>E05009285</t>
  </si>
  <si>
    <t>E05009286</t>
  </si>
  <si>
    <t>E05009315</t>
  </si>
  <si>
    <t>E05009316</t>
  </si>
  <si>
    <t>E05009093</t>
  </si>
  <si>
    <t>E05009094</t>
  </si>
  <si>
    <t>E05009095</t>
  </si>
  <si>
    <t>E05009096</t>
  </si>
  <si>
    <t>E05009097</t>
  </si>
  <si>
    <t>E05009098</t>
  </si>
  <si>
    <t>E05009099</t>
  </si>
  <si>
    <t>E05009100</t>
  </si>
  <si>
    <t>E05009101</t>
  </si>
  <si>
    <t>E05009102</t>
  </si>
  <si>
    <t>E05009103</t>
  </si>
  <si>
    <t>E05009104</t>
  </si>
  <si>
    <t>E05009105</t>
  </si>
  <si>
    <t>E05009106</t>
  </si>
  <si>
    <t>E05009107</t>
  </si>
  <si>
    <t>E05009108</t>
  </si>
  <si>
    <t>E05009109</t>
  </si>
  <si>
    <t>E05009110</t>
  </si>
  <si>
    <t>E05009111</t>
  </si>
  <si>
    <t>E05009112</t>
  </si>
  <si>
    <t>E05009113</t>
  </si>
  <si>
    <t>E05009114</t>
  </si>
  <si>
    <t>E05009115</t>
  </si>
  <si>
    <t>E05009116</t>
  </si>
  <si>
    <t>E05009117</t>
  </si>
  <si>
    <t>E05009118</t>
  </si>
  <si>
    <t>E05009119</t>
  </si>
  <si>
    <t>E05009120</t>
  </si>
  <si>
    <t>E05009121</t>
  </si>
  <si>
    <t>E05009122</t>
  </si>
  <si>
    <t>E05009123</t>
  </si>
  <si>
    <t>E05009124</t>
  </si>
  <si>
    <t>E05009125</t>
  </si>
  <si>
    <t>E05009126</t>
  </si>
  <si>
    <t>E05009127</t>
  </si>
  <si>
    <t>E05009128</t>
  </si>
  <si>
    <t>E05009129</t>
  </si>
  <si>
    <t>E05009130</t>
  </si>
  <si>
    <t>E05009131</t>
  </si>
  <si>
    <t>E05009132</t>
  </si>
  <si>
    <t>E05009133</t>
  </si>
  <si>
    <t>E05009134</t>
  </si>
  <si>
    <t>E05009135</t>
  </si>
  <si>
    <t>E05009136</t>
  </si>
  <si>
    <t>E05009137</t>
  </si>
  <si>
    <t>E05009139</t>
  </si>
  <si>
    <t>E05009140</t>
  </si>
  <si>
    <t>E05009141</t>
  </si>
  <si>
    <t>E05009142</t>
  </si>
  <si>
    <t>E05009143</t>
  </si>
  <si>
    <t>E05009144</t>
  </si>
  <si>
    <t>E05009145</t>
  </si>
  <si>
    <t>E05009146</t>
  </si>
  <si>
    <t>E05009147</t>
  </si>
  <si>
    <t>E05009148</t>
  </si>
  <si>
    <t>E05009149</t>
  </si>
  <si>
    <t>E05009151</t>
  </si>
  <si>
    <t>E05009152</t>
  </si>
  <si>
    <t>E05009153</t>
  </si>
  <si>
    <t>E05009154</t>
  </si>
  <si>
    <t>E05009155</t>
  </si>
  <si>
    <t>E05009156</t>
  </si>
  <si>
    <t>E05009157</t>
  </si>
  <si>
    <t>E05009158</t>
  </si>
  <si>
    <t>* as created by The Borough of Wirral (Electoral Changes) Order 2003</t>
  </si>
  <si>
    <t>* as created by The District of Craven (Electoral Changes) Order 2000 and</t>
  </si>
  <si>
    <t xml:space="preserve">  as altered by The District of Craven (Electoral Changes) Order 2012</t>
  </si>
  <si>
    <t>Framwellgate and Newton Hall</t>
  </si>
  <si>
    <t>Hackney Wick</t>
  </si>
  <si>
    <t>Homerton</t>
  </si>
  <si>
    <t>Hoxton East &amp; Shoreditch</t>
  </si>
  <si>
    <t>Hoxton West</t>
  </si>
  <si>
    <t>London Fields</t>
  </si>
  <si>
    <t>Shacklewell</t>
  </si>
  <si>
    <t>Stamford Hill West</t>
  </si>
  <si>
    <t>Stoke Newington</t>
  </si>
  <si>
    <t>Woodberry Down</t>
  </si>
  <si>
    <t>* as created by The Hackney (Electoral Changes) Order 2013</t>
  </si>
  <si>
    <t>E05009367</t>
  </si>
  <si>
    <t>E05009368</t>
  </si>
  <si>
    <t>E05009369</t>
  </si>
  <si>
    <t>E05009370</t>
  </si>
  <si>
    <t>E05009371</t>
  </si>
  <si>
    <t>E05009372</t>
  </si>
  <si>
    <t>E05009373</t>
  </si>
  <si>
    <t>E05009374</t>
  </si>
  <si>
    <t>E05009375</t>
  </si>
  <si>
    <t>E05009376</t>
  </si>
  <si>
    <t>E05009377</t>
  </si>
  <si>
    <t>E05009378</t>
  </si>
  <si>
    <t>E05009379</t>
  </si>
  <si>
    <t>E05009380</t>
  </si>
  <si>
    <t>E05009381</t>
  </si>
  <si>
    <t>E05009382</t>
  </si>
  <si>
    <t>E05009383</t>
  </si>
  <si>
    <t>E05009384</t>
  </si>
  <si>
    <t>E05009385</t>
  </si>
  <si>
    <t>E05009386</t>
  </si>
  <si>
    <t>E05009387</t>
  </si>
  <si>
    <t>E05009388</t>
  </si>
  <si>
    <t>Brompton &amp; Hans Town</t>
  </si>
  <si>
    <t>E05009389</t>
  </si>
  <si>
    <t>E05009390</t>
  </si>
  <si>
    <t>Chelsea Riverside</t>
  </si>
  <si>
    <t>E05009391</t>
  </si>
  <si>
    <t>E05009392</t>
  </si>
  <si>
    <t>E05009393</t>
  </si>
  <si>
    <t>Dalgarno</t>
  </si>
  <si>
    <t>E05009394</t>
  </si>
  <si>
    <t>E05009395</t>
  </si>
  <si>
    <t>E05009396</t>
  </si>
  <si>
    <t>E05009397</t>
  </si>
  <si>
    <t>E05009398</t>
  </si>
  <si>
    <t>Notting Dale</t>
  </si>
  <si>
    <t>E05009399</t>
  </si>
  <si>
    <t>E05009400</t>
  </si>
  <si>
    <t>E05009401</t>
  </si>
  <si>
    <t>E05009402</t>
  </si>
  <si>
    <t>E05009403</t>
  </si>
  <si>
    <t>E05009404</t>
  </si>
  <si>
    <t>E05009405</t>
  </si>
  <si>
    <t>* as created by The Kensington and Chelsea (Electoral Changes) Order 2014</t>
  </si>
  <si>
    <t>Bethnal Green</t>
  </si>
  <si>
    <t>Blackwall &amp; Cubitt Town</t>
  </si>
  <si>
    <t>Bromley North</t>
  </si>
  <si>
    <t>Bromley South</t>
  </si>
  <si>
    <t>Canary Wharf</t>
  </si>
  <si>
    <t>Island Gardens</t>
  </si>
  <si>
    <t>Lansbury</t>
  </si>
  <si>
    <t>St Dunstan's</t>
  </si>
  <si>
    <t>St Katherine's &amp; Wapping</t>
  </si>
  <si>
    <t>Spitalfields &amp; Banglatown</t>
  </si>
  <si>
    <t>Stepney Green</t>
  </si>
  <si>
    <t>* as created by The Tower Hamlets (Electoral Changes) Order 2013</t>
  </si>
  <si>
    <t>E05009317</t>
  </si>
  <si>
    <t>E05009318</t>
  </si>
  <si>
    <t>E05009319</t>
  </si>
  <si>
    <t>E05009320</t>
  </si>
  <si>
    <t>E05009321</t>
  </si>
  <si>
    <t>E05009322</t>
  </si>
  <si>
    <t>E05009323</t>
  </si>
  <si>
    <t>E05009324</t>
  </si>
  <si>
    <t>E05009325</t>
  </si>
  <si>
    <t>E05009326</t>
  </si>
  <si>
    <t>E05009327</t>
  </si>
  <si>
    <t>E05009328</t>
  </si>
  <si>
    <t>E05009329</t>
  </si>
  <si>
    <t>E05009330</t>
  </si>
  <si>
    <t>E05009331</t>
  </si>
  <si>
    <t>E05009332</t>
  </si>
  <si>
    <t>E05009333</t>
  </si>
  <si>
    <t>E05009334</t>
  </si>
  <si>
    <t>E05009335</t>
  </si>
  <si>
    <t>E05009336</t>
  </si>
  <si>
    <t>Bletchley East</t>
  </si>
  <si>
    <t>Bletchley Park</t>
  </si>
  <si>
    <t>Bletchley West</t>
  </si>
  <si>
    <t>Campbell Park &amp; Old Woughton</t>
  </si>
  <si>
    <t>Central Milton Keynes</t>
  </si>
  <si>
    <t>Danesborough &amp; Walton</t>
  </si>
  <si>
    <t>Loughton &amp; Shenley</t>
  </si>
  <si>
    <t>Monkston</t>
  </si>
  <si>
    <t>Newport Pagnell North &amp; Hanslope</t>
  </si>
  <si>
    <t>Shenley Brook End</t>
  </si>
  <si>
    <t>Tattenhoe</t>
  </si>
  <si>
    <t>Woughton &amp; Fishermead</t>
  </si>
  <si>
    <t>* as created by The Milton Keynes (Electoral Changes) Order 2014</t>
  </si>
  <si>
    <t>E05009406</t>
  </si>
  <si>
    <t>E05009407</t>
  </si>
  <si>
    <t>E05009408</t>
  </si>
  <si>
    <t>E05009409</t>
  </si>
  <si>
    <t>E05009410</t>
  </si>
  <si>
    <t>E05009411</t>
  </si>
  <si>
    <t>E05009412</t>
  </si>
  <si>
    <t>E05009413</t>
  </si>
  <si>
    <t>E05009414</t>
  </si>
  <si>
    <t>E05009415</t>
  </si>
  <si>
    <t>E05009416</t>
  </si>
  <si>
    <t>E05009417</t>
  </si>
  <si>
    <t>E05009418</t>
  </si>
  <si>
    <t>E05009419</t>
  </si>
  <si>
    <t>E05009420</t>
  </si>
  <si>
    <t>E05009421</t>
  </si>
  <si>
    <t>E05009422</t>
  </si>
  <si>
    <t>E05009423</t>
  </si>
  <si>
    <t>E05009424</t>
  </si>
  <si>
    <t>E05009425</t>
  </si>
  <si>
    <t>Abbots Langley &amp; Bedmond</t>
  </si>
  <si>
    <t>E05009426</t>
  </si>
  <si>
    <t>E05009427</t>
  </si>
  <si>
    <t>Chorleywood North &amp; Sarratt</t>
  </si>
  <si>
    <t>E05009428</t>
  </si>
  <si>
    <t>Chorleywood South &amp; Maple Cross</t>
  </si>
  <si>
    <t>E05009429</t>
  </si>
  <si>
    <t>Dickinsons</t>
  </si>
  <si>
    <t>E05009430</t>
  </si>
  <si>
    <t>Durrants</t>
  </si>
  <si>
    <t>E05009431</t>
  </si>
  <si>
    <t>Gade Valley</t>
  </si>
  <si>
    <t>E05009432</t>
  </si>
  <si>
    <t>E05009433</t>
  </si>
  <si>
    <t>E05009434</t>
  </si>
  <si>
    <t>Oxhey Hall &amp; Hayling</t>
  </si>
  <si>
    <t>E05009435</t>
  </si>
  <si>
    <t>Penn &amp; Mill End</t>
  </si>
  <si>
    <t>E05009436</t>
  </si>
  <si>
    <t>Rickmansworth Town</t>
  </si>
  <si>
    <t>E05009437</t>
  </si>
  <si>
    <t>South Oxhey</t>
  </si>
  <si>
    <t>* as created by The Three Rivers (Electoral Changes) Order 2014</t>
  </si>
  <si>
    <t>NOTTINGHAMSHIRE &amp; NOTTINGHAM</t>
  </si>
  <si>
    <t>* as created by The Essex (Boroughs of Colchester, Southend-on-Sea and Thurrock and District of Tendring) (Structural, Boundary and Electoral Changes) Order 1996</t>
  </si>
  <si>
    <t>"CLEVELAND" #</t>
  </si>
  <si>
    <t>LEICESTERSHIRE, LEICESTER &amp; RUTLAND</t>
  </si>
  <si>
    <t>CHESHIRE, HALTON &amp; WARRINGTON</t>
  </si>
  <si>
    <t>HAMPSHIRE, PORTSMOUTH &amp; SOUTHAMPTON</t>
  </si>
  <si>
    <t>BUCKINGHAMSHIRE &amp; MILTON KEYNES</t>
  </si>
  <si>
    <t>"AVON" #</t>
  </si>
  <si>
    <t>WILTSHIRE &amp; SWINDON</t>
  </si>
  <si>
    <t>E05009313</t>
  </si>
  <si>
    <t>Victoria &amp; Norcross</t>
  </si>
  <si>
    <t>Brock with Catterrall</t>
  </si>
  <si>
    <t>Hambleton &amp; Stalmine</t>
  </si>
  <si>
    <t>Hardhorn with High Cross</t>
  </si>
  <si>
    <t>Marsh Mill</t>
  </si>
  <si>
    <t>Stanah</t>
  </si>
  <si>
    <t>Pheasant's Wood</t>
  </si>
  <si>
    <t>* as created by The Wyre (Electoral Changes) Order 2014</t>
  </si>
  <si>
    <t>Alvechurch South</t>
  </si>
  <si>
    <t>Alvechurch Village</t>
  </si>
  <si>
    <t>Aston Fields</t>
  </si>
  <si>
    <t>Avoncroft</t>
  </si>
  <si>
    <t>Barnt Green &amp; Hopwood</t>
  </si>
  <si>
    <t>Belbroughton &amp; Romsley</t>
  </si>
  <si>
    <t>Bromsgrove Central</t>
  </si>
  <si>
    <t>Catshill North</t>
  </si>
  <si>
    <t>Catshill South</t>
  </si>
  <si>
    <t>Cofton</t>
  </si>
  <si>
    <t>Drakes Cross</t>
  </si>
  <si>
    <t>Hagley East</t>
  </si>
  <si>
    <t>Hagley West</t>
  </si>
  <si>
    <t>Hill Top</t>
  </si>
  <si>
    <t>Hollywood</t>
  </si>
  <si>
    <t>Lickey Hills</t>
  </si>
  <si>
    <t>Wythall West</t>
  </si>
  <si>
    <t>Wythall East</t>
  </si>
  <si>
    <t>Sanders Park</t>
  </si>
  <si>
    <t>Rubery South</t>
  </si>
  <si>
    <t>Rubery North</t>
  </si>
  <si>
    <t>Rock Hill</t>
  </si>
  <si>
    <t>Perryfields</t>
  </si>
  <si>
    <t>Lowes Hill</t>
  </si>
  <si>
    <t>* as created by The Bromsgrove (Electoral Changes) Order 2014</t>
  </si>
  <si>
    <t>Huby</t>
  </si>
  <si>
    <t>Hutton Rudby</t>
  </si>
  <si>
    <t>Northallerton North &amp; Brompton</t>
  </si>
  <si>
    <t>Northallerton South</t>
  </si>
  <si>
    <t>Osmotherley &amp; Swainby</t>
  </si>
  <si>
    <t>Raskelf &amp; White Horse</t>
  </si>
  <si>
    <t>Sowerby &amp; Topcliffe</t>
  </si>
  <si>
    <t>Appleton Wiske &amp; Smeatons</t>
  </si>
  <si>
    <t>Bagby &amp; Thorntons</t>
  </si>
  <si>
    <t>* as created by The Hambleton (Electoral Changes) Order 2014</t>
  </si>
  <si>
    <t>Elstow and Stewartby</t>
  </si>
  <si>
    <t>All Saints &amp; Wayland</t>
  </si>
  <si>
    <t>Ashill</t>
  </si>
  <si>
    <t>Attleborough Burgh &amp; Haverscroft</t>
  </si>
  <si>
    <t>Attleborough Queens &amp; Besthorpe</t>
  </si>
  <si>
    <t>Dereham Neatherd</t>
  </si>
  <si>
    <t>Dereham Toftwood</t>
  </si>
  <si>
    <t>Dereham Withburga</t>
  </si>
  <si>
    <t>Guiltcross</t>
  </si>
  <si>
    <t>Harling &amp; Heathlands</t>
  </si>
  <si>
    <t>Mattishall</t>
  </si>
  <si>
    <t>Saham Toney</t>
  </si>
  <si>
    <t>Shipdham-with-Scarning</t>
  </si>
  <si>
    <t>The Buckenhams &amp; Banham</t>
  </si>
  <si>
    <t>Thetford Boudica</t>
  </si>
  <si>
    <t>Thetford Burrell</t>
  </si>
  <si>
    <t>Thetford Castle</t>
  </si>
  <si>
    <t>Thetford Priory</t>
  </si>
  <si>
    <t>* as created by The Breckland (Electoral Changes) Order 2014</t>
  </si>
  <si>
    <t>Beltinge</t>
  </si>
  <si>
    <t>Chartham &amp; Stone Street</t>
  </si>
  <si>
    <t>Chestfield</t>
  </si>
  <si>
    <t>Herne &amp; Broomfield</t>
  </si>
  <si>
    <t>Little Stour &amp; Adisham</t>
  </si>
  <si>
    <t>Nailbourne</t>
  </si>
  <si>
    <t>St Stephen's</t>
  </si>
  <si>
    <t>Sturry</t>
  </si>
  <si>
    <t>Swalecliffe</t>
  </si>
  <si>
    <t>* as created by The Canterbury (Electoral Changes) Order 2014</t>
  </si>
  <si>
    <t>Coningsby &amp; Mareham</t>
  </si>
  <si>
    <t>Friskney</t>
  </si>
  <si>
    <t>Fulstow</t>
  </si>
  <si>
    <t>Hagworthingham</t>
  </si>
  <si>
    <t>Holton-le-Clay &amp; North Thoresby</t>
  </si>
  <si>
    <t>Mablethorpe</t>
  </si>
  <si>
    <t>Marshchapel &amp; Somercotes</t>
  </si>
  <si>
    <t>Priory &amp; St James'</t>
  </si>
  <si>
    <t>Scarbrough &amp; Seacroft</t>
  </si>
  <si>
    <t>Sibsey &amp; Stickney</t>
  </si>
  <si>
    <t>Sutton on Sea</t>
  </si>
  <si>
    <t>Tetford &amp; Donington</t>
  </si>
  <si>
    <t>Wainfleet</t>
  </si>
  <si>
    <t>Withern &amp; Theddlethorpe</t>
  </si>
  <si>
    <t>Appleton Roebuck &amp; Church Fenton</t>
  </si>
  <si>
    <t>Barlby Village</t>
  </si>
  <si>
    <t>Byram &amp; Brotherton</t>
  </si>
  <si>
    <t>Camblesforth &amp; Carlton</t>
  </si>
  <si>
    <t>Cawood &amp; Wistow</t>
  </si>
  <si>
    <t>Escrick</t>
  </si>
  <si>
    <t>Monk Fryston</t>
  </si>
  <si>
    <t>Riccall</t>
  </si>
  <si>
    <t>Selby East</t>
  </si>
  <si>
    <t>South Milford</t>
  </si>
  <si>
    <t>Tadcaster</t>
  </si>
  <si>
    <t>Thorpe Willoughby</t>
  </si>
  <si>
    <t>* as created by The Selby (Electoral Changes) Order 2014</t>
  </si>
  <si>
    <t>* as created by The East Lindsey (Electoral Changes) Order 2014</t>
  </si>
  <si>
    <t>Allington &amp; Strete</t>
  </si>
  <si>
    <t>Bickleigh &amp; Cornwood</t>
  </si>
  <si>
    <t>Blackawton &amp; Stoke Fleming</t>
  </si>
  <si>
    <t>Dartington &amp; Staverton</t>
  </si>
  <si>
    <t>Dartmouth &amp; East Dart</t>
  </si>
  <si>
    <t>Ermington &amp; Ugborough</t>
  </si>
  <si>
    <t>Ivbridge East</t>
  </si>
  <si>
    <t>Ivybridge West</t>
  </si>
  <si>
    <t>Kingsbridge</t>
  </si>
  <si>
    <t>Loddiswell &amp; Aveton Gifford</t>
  </si>
  <si>
    <t>Salcombe &amp; Thurlestone</t>
  </si>
  <si>
    <t>Totnes</t>
  </si>
  <si>
    <t>Wembury &amp; Brixton</t>
  </si>
  <si>
    <t>Woolwell</t>
  </si>
  <si>
    <t>* as created by The South Hams (Electoral Changes) Order 2014</t>
  </si>
  <si>
    <t>Aylesford North and Walderslade</t>
  </si>
  <si>
    <t>Aylesford South</t>
  </si>
  <si>
    <t>Burham and Wouldham</t>
  </si>
  <si>
    <t>Downs and Mereworth</t>
  </si>
  <si>
    <t>Hadlow and East Peckham</t>
  </si>
  <si>
    <t>Snodland East and Ham Hill</t>
  </si>
  <si>
    <t>Snodland West and Holborough Lakes</t>
  </si>
  <si>
    <t>Wrotham, Ightham and Stansted</t>
  </si>
  <si>
    <t>* as created by The Tonbridge and Malling (Electoral Changes) Order 2013</t>
  </si>
  <si>
    <t>Braintree Central &amp; Beckers Green</t>
  </si>
  <si>
    <t>Braintree West</t>
  </si>
  <si>
    <t>Coggeshall</t>
  </si>
  <si>
    <t>Gosfield &amp; Greenstead Green</t>
  </si>
  <si>
    <t>Great Notley &amp; Black Notley</t>
  </si>
  <si>
    <t>Hatfield Peverel &amp; Terling</t>
  </si>
  <si>
    <t>Hedingham</t>
  </si>
  <si>
    <t>Kelvedon &amp; Feering</t>
  </si>
  <si>
    <t>Silver End &amp; Cressing</t>
  </si>
  <si>
    <t>The Colnes</t>
  </si>
  <si>
    <t>Witham Central</t>
  </si>
  <si>
    <t>* as created by The Braintree (Electoral Changes) Order 2014</t>
  </si>
  <si>
    <t>Broadmead</t>
  </si>
  <si>
    <t>Cheriton</t>
  </si>
  <si>
    <t>East Folkestone</t>
  </si>
  <si>
    <t>Folkestone Central</t>
  </si>
  <si>
    <t>Hythe</t>
  </si>
  <si>
    <t>Hythe Rural</t>
  </si>
  <si>
    <t>New Romney</t>
  </si>
  <si>
    <t>Sandgate &amp; West Folkestone</t>
  </si>
  <si>
    <t>Wallend &amp; Denge Marsh</t>
  </si>
  <si>
    <t>* as created by The Shepway (Electoral Changes) Order 2014</t>
  </si>
  <si>
    <t>Braunstone Park &amp; Rowley Fields</t>
  </si>
  <si>
    <t>Humberstone &amp; Hamilton</t>
  </si>
  <si>
    <t>North Evington</t>
  </si>
  <si>
    <t>Saffron</t>
  </si>
  <si>
    <t>Troon</t>
  </si>
  <si>
    <t>Western</t>
  </si>
  <si>
    <t>Wycliffe</t>
  </si>
  <si>
    <t>* as created by The Leicester (Electoral Changes) Order 2014</t>
  </si>
  <si>
    <t>* as created by The North West Leicestershire (Electoral Changes) Order 2014</t>
  </si>
  <si>
    <t>Ashby Money Hill</t>
  </si>
  <si>
    <t>Ashby Willesley</t>
  </si>
  <si>
    <t>Ashby Woulds</t>
  </si>
  <si>
    <t>Blackfordby</t>
  </si>
  <si>
    <t>Broom Leys</t>
  </si>
  <si>
    <t>Castle Donington Castle</t>
  </si>
  <si>
    <t>Castle Donington Central</t>
  </si>
  <si>
    <t>Castle Donington Park</t>
  </si>
  <si>
    <t>Castle Rock</t>
  </si>
  <si>
    <t>Coalville East</t>
  </si>
  <si>
    <t>Coalville West</t>
  </si>
  <si>
    <t>Daleacre Hill</t>
  </si>
  <si>
    <t>Ellistown &amp; Battleflat</t>
  </si>
  <si>
    <t>Holly Hayes</t>
  </si>
  <si>
    <t>Hugglescote St John's</t>
  </si>
  <si>
    <t>Hugglescote St Mary's</t>
  </si>
  <si>
    <t>Ibstock East</t>
  </si>
  <si>
    <t>Ibstock West</t>
  </si>
  <si>
    <t>Kegworth</t>
  </si>
  <si>
    <t>Long Whatton &amp; Diseworth</t>
  </si>
  <si>
    <t>Measham North</t>
  </si>
  <si>
    <t>Measham South</t>
  </si>
  <si>
    <t>Oakthorpe &amp; Donisthorpe</t>
  </si>
  <si>
    <t>Ravenstone &amp; Packington</t>
  </si>
  <si>
    <t>Sence Valley</t>
  </si>
  <si>
    <t>Snibston North</t>
  </si>
  <si>
    <t>Snibston South</t>
  </si>
  <si>
    <t>Thornborough</t>
  </si>
  <si>
    <t>Worthington &amp; Breedon</t>
  </si>
  <si>
    <t>Bestwood St Albans</t>
  </si>
  <si>
    <t>Colwick</t>
  </si>
  <si>
    <t>Coppice</t>
  </si>
  <si>
    <t>Dumbles</t>
  </si>
  <si>
    <t>Ernehale</t>
  </si>
  <si>
    <t>Newstead Abbey</t>
  </si>
  <si>
    <t>Plains</t>
  </si>
  <si>
    <t>Trent Valley</t>
  </si>
  <si>
    <t>* as created by The Gedling (Electoral Changes) Order 2014</t>
  </si>
  <si>
    <t>Sutton Bonington</t>
  </si>
  <si>
    <t>Radcliffe on Trent</t>
  </si>
  <si>
    <t>Nevile &amp; Langar</t>
  </si>
  <si>
    <t>Keyworth &amp; Wolds</t>
  </si>
  <si>
    <t>Gamston North</t>
  </si>
  <si>
    <t>Gamston South</t>
  </si>
  <si>
    <t>Edwalton</t>
  </si>
  <si>
    <t>East Bridgford</t>
  </si>
  <si>
    <t>Cropwell</t>
  </si>
  <si>
    <t>Bunny</t>
  </si>
  <si>
    <t>Caistor and Yarborough</t>
  </si>
  <si>
    <t>Dunholme and Welton</t>
  </si>
  <si>
    <t>Kelsey Wold</t>
  </si>
  <si>
    <t>Scotter and Blyton</t>
  </si>
  <si>
    <t>* as created by The West Lindsey (Electoral Changes) Order 2012</t>
  </si>
  <si>
    <t>BARKING AND DAGENHAM LONDON BOROUGH  * #</t>
  </si>
  <si>
    <t>E05009689</t>
  </si>
  <si>
    <t>E05009690</t>
  </si>
  <si>
    <t>E05009691</t>
  </si>
  <si>
    <t>E05009692</t>
  </si>
  <si>
    <t>E05009693</t>
  </si>
  <si>
    <t>E05009694</t>
  </si>
  <si>
    <t>E05009695</t>
  </si>
  <si>
    <t>E05009696</t>
  </si>
  <si>
    <t>E05009697</t>
  </si>
  <si>
    <t>E05009698</t>
  </si>
  <si>
    <t>E05009699</t>
  </si>
  <si>
    <t>E05009700</t>
  </si>
  <si>
    <t>E05009701</t>
  </si>
  <si>
    <t>E05009702</t>
  </si>
  <si>
    <t>E05009703</t>
  </si>
  <si>
    <t>E05009704</t>
  </si>
  <si>
    <t>E05009705</t>
  </si>
  <si>
    <t>E05009706</t>
  </si>
  <si>
    <t>E05009707</t>
  </si>
  <si>
    <t>E05009708</t>
  </si>
  <si>
    <t>E05009709</t>
  </si>
  <si>
    <t>E05009710</t>
  </si>
  <si>
    <t>E05009711</t>
  </si>
  <si>
    <t>E05009712</t>
  </si>
  <si>
    <t>E05009713</t>
  </si>
  <si>
    <t>E05009714</t>
  </si>
  <si>
    <t>E05009715</t>
  </si>
  <si>
    <t>E05009716</t>
  </si>
  <si>
    <t>E05009717</t>
  </si>
  <si>
    <t>E05009718</t>
  </si>
  <si>
    <t>E05009719</t>
  </si>
  <si>
    <t>E05009720</t>
  </si>
  <si>
    <t>E05009721</t>
  </si>
  <si>
    <t>E05009722</t>
  </si>
  <si>
    <t>E05009723</t>
  </si>
  <si>
    <t>E05009724</t>
  </si>
  <si>
    <t>E05009725</t>
  </si>
  <si>
    <t>E05009726</t>
  </si>
  <si>
    <t>E05009727</t>
  </si>
  <si>
    <t>E05009728</t>
  </si>
  <si>
    <t>E05009729</t>
  </si>
  <si>
    <t>E05009730</t>
  </si>
  <si>
    <t>E05009731</t>
  </si>
  <si>
    <t>E05009732</t>
  </si>
  <si>
    <t>* as created by The Rushcliffe (Electoral Changes) Order 2013</t>
  </si>
  <si>
    <t>E05010237</t>
  </si>
  <si>
    <t>E05010238</t>
  </si>
  <si>
    <t>E05010239</t>
  </si>
  <si>
    <t>E05010240</t>
  </si>
  <si>
    <t>E05010241</t>
  </si>
  <si>
    <t>E05010242</t>
  </si>
  <si>
    <t>E05010243</t>
  </si>
  <si>
    <t>E05010244</t>
  </si>
  <si>
    <t>E05010245</t>
  </si>
  <si>
    <t>E05010246</t>
  </si>
  <si>
    <t>E05010247</t>
  </si>
  <si>
    <t>E05010248</t>
  </si>
  <si>
    <t>E05010249</t>
  </si>
  <si>
    <t>E05010250</t>
  </si>
  <si>
    <t>E05010251</t>
  </si>
  <si>
    <t>E05010252</t>
  </si>
  <si>
    <t>E05010253</t>
  </si>
  <si>
    <t>E05010254</t>
  </si>
  <si>
    <t>E05010255</t>
  </si>
  <si>
    <t>E05010256</t>
  </si>
  <si>
    <t>E05010257</t>
  </si>
  <si>
    <t>E05010258</t>
  </si>
  <si>
    <t>E05010259</t>
  </si>
  <si>
    <t>E05010260</t>
  </si>
  <si>
    <t>E05010261</t>
  </si>
  <si>
    <t>E05010262</t>
  </si>
  <si>
    <t>E05010263</t>
  </si>
  <si>
    <t>E05009873</t>
  </si>
  <si>
    <t>E05009874</t>
  </si>
  <si>
    <t>E05009875</t>
  </si>
  <si>
    <t>E05009876</t>
  </si>
  <si>
    <t>E05009877</t>
  </si>
  <si>
    <t>E05009878</t>
  </si>
  <si>
    <t>E05009879</t>
  </si>
  <si>
    <t>E05009880</t>
  </si>
  <si>
    <t>E05009881</t>
  </si>
  <si>
    <t>E05009882</t>
  </si>
  <si>
    <t>E05009883</t>
  </si>
  <si>
    <t>E05009884</t>
  </si>
  <si>
    <t>E05009885</t>
  </si>
  <si>
    <t>E05009886</t>
  </si>
  <si>
    <t>E05009887</t>
  </si>
  <si>
    <t>E05009888</t>
  </si>
  <si>
    <t>E05009889</t>
  </si>
  <si>
    <t>E05009890</t>
  </si>
  <si>
    <t>E05009891</t>
  </si>
  <si>
    <t>E05009892</t>
  </si>
  <si>
    <t>E05009893</t>
  </si>
  <si>
    <t>E05009894</t>
  </si>
  <si>
    <t>E05009895</t>
  </si>
  <si>
    <t>E05009896</t>
  </si>
  <si>
    <t>E05009897</t>
  </si>
  <si>
    <t>E05009898</t>
  </si>
  <si>
    <t>E05009899</t>
  </si>
  <si>
    <t>E05009900</t>
  </si>
  <si>
    <t>E05009901</t>
  </si>
  <si>
    <t>E05009902</t>
  </si>
  <si>
    <t>E05009903</t>
  </si>
  <si>
    <t>E05009904</t>
  </si>
  <si>
    <t>E05009905</t>
  </si>
  <si>
    <t>E05009906</t>
  </si>
  <si>
    <t>E05009907</t>
  </si>
  <si>
    <t>E05009908</t>
  </si>
  <si>
    <t>E05009909</t>
  </si>
  <si>
    <t>E05009636</t>
  </si>
  <si>
    <t>E05009637</t>
  </si>
  <si>
    <t>E05009638</t>
  </si>
  <si>
    <t>E05009639</t>
  </si>
  <si>
    <t>E05009640</t>
  </si>
  <si>
    <t>E05009641</t>
  </si>
  <si>
    <t>E05009642</t>
  </si>
  <si>
    <t>E05009643</t>
  </si>
  <si>
    <t>E05009644</t>
  </si>
  <si>
    <t>E05009645</t>
  </si>
  <si>
    <t>E05009646</t>
  </si>
  <si>
    <t>E05009647</t>
  </si>
  <si>
    <t>E05009648</t>
  </si>
  <si>
    <t>E05009649</t>
  </si>
  <si>
    <t>E05009650</t>
  </si>
  <si>
    <t>E05009651</t>
  </si>
  <si>
    <t>E05009652</t>
  </si>
  <si>
    <t>E05009653</t>
  </si>
  <si>
    <t>E05009654</t>
  </si>
  <si>
    <t>E05009655</t>
  </si>
  <si>
    <t>* as created by The District of Blaby (Electoral Changes) Order 2002 and</t>
  </si>
  <si>
    <t>E05009619</t>
  </si>
  <si>
    <t>E05009620</t>
  </si>
  <si>
    <t>E05010090</t>
  </si>
  <si>
    <t>E05010091</t>
  </si>
  <si>
    <t>E05010092</t>
  </si>
  <si>
    <t>E05010093</t>
  </si>
  <si>
    <t>E05010094</t>
  </si>
  <si>
    <t>E05010095</t>
  </si>
  <si>
    <t>E05010096</t>
  </si>
  <si>
    <t>E05010097</t>
  </si>
  <si>
    <t>E05010098</t>
  </si>
  <si>
    <t>E05010099</t>
  </si>
  <si>
    <t>E05010100</t>
  </si>
  <si>
    <t>E05010101</t>
  </si>
  <si>
    <t>E05010102</t>
  </si>
  <si>
    <t>E05010103</t>
  </si>
  <si>
    <t>E05010104</t>
  </si>
  <si>
    <t>E05010105</t>
  </si>
  <si>
    <t>E05010106</t>
  </si>
  <si>
    <t>E05010107</t>
  </si>
  <si>
    <t>E05010108</t>
  </si>
  <si>
    <t>E05010109</t>
  </si>
  <si>
    <t>E05010110</t>
  </si>
  <si>
    <t>E05010111</t>
  </si>
  <si>
    <t>E05010112</t>
  </si>
  <si>
    <t>E05010113</t>
  </si>
  <si>
    <t>E05010114</t>
  </si>
  <si>
    <t>E05010115</t>
  </si>
  <si>
    <t>E05010116</t>
  </si>
  <si>
    <t>E05010117</t>
  </si>
  <si>
    <t>E05010118</t>
  </si>
  <si>
    <t>E05010119</t>
  </si>
  <si>
    <t>E05010120</t>
  </si>
  <si>
    <t>E05010121</t>
  </si>
  <si>
    <t>E05010122</t>
  </si>
  <si>
    <t>E05010123</t>
  </si>
  <si>
    <t>E05010124</t>
  </si>
  <si>
    <t>E05010125</t>
  </si>
  <si>
    <t>E05010126</t>
  </si>
  <si>
    <t>E05010127</t>
  </si>
  <si>
    <t>E05010458</t>
  </si>
  <si>
    <t>E05010459</t>
  </si>
  <si>
    <t>E05010460</t>
  </si>
  <si>
    <t>E05010461</t>
  </si>
  <si>
    <t>E05010462</t>
  </si>
  <si>
    <t>E05010463</t>
  </si>
  <si>
    <t>E05010464</t>
  </si>
  <si>
    <t>E05010465</t>
  </si>
  <si>
    <t>E05010466</t>
  </si>
  <si>
    <t>E05010467</t>
  </si>
  <si>
    <t>E05010468</t>
  </si>
  <si>
    <t>E05010469</t>
  </si>
  <si>
    <t>E05010470</t>
  </si>
  <si>
    <t>E05010471</t>
  </si>
  <si>
    <t>E05010472</t>
  </si>
  <si>
    <t>E05010473</t>
  </si>
  <si>
    <t>E05010474</t>
  </si>
  <si>
    <t>E05010475</t>
  </si>
  <si>
    <t>E05010476</t>
  </si>
  <si>
    <t>E05010477</t>
  </si>
  <si>
    <t>E05010478</t>
  </si>
  <si>
    <t>E05009932</t>
  </si>
  <si>
    <t>E05009933</t>
  </si>
  <si>
    <t>E05009934</t>
  </si>
  <si>
    <t>E05009935</t>
  </si>
  <si>
    <t>E05009936</t>
  </si>
  <si>
    <t>E05009937</t>
  </si>
  <si>
    <t>E05009938</t>
  </si>
  <si>
    <t>E05009939</t>
  </si>
  <si>
    <t>E05009940</t>
  </si>
  <si>
    <t>E05009941</t>
  </si>
  <si>
    <t>E05009942</t>
  </si>
  <si>
    <t>E05009943</t>
  </si>
  <si>
    <t>E05009944</t>
  </si>
  <si>
    <t>E05009945</t>
  </si>
  <si>
    <t>E05009946</t>
  </si>
  <si>
    <t>E05009947</t>
  </si>
  <si>
    <t>E05009948</t>
  </si>
  <si>
    <t>E05009949</t>
  </si>
  <si>
    <t>E05009950</t>
  </si>
  <si>
    <t>E05009951</t>
  </si>
  <si>
    <t>E05009952</t>
  </si>
  <si>
    <t>E05009953</t>
  </si>
  <si>
    <t>E05009954</t>
  </si>
  <si>
    <t>E05009955</t>
  </si>
  <si>
    <t>* as created by The District of Sevenoaks (Electoral Changes) Order 1999 and</t>
  </si>
  <si>
    <t>E05009956</t>
  </si>
  <si>
    <t>E05009958</t>
  </si>
  <si>
    <t>E05009959</t>
  </si>
  <si>
    <t>E05009960</t>
  </si>
  <si>
    <t>E05009961</t>
  </si>
  <si>
    <t>E05009962</t>
  </si>
  <si>
    <t>E05009963</t>
  </si>
  <si>
    <t>E05009964</t>
  </si>
  <si>
    <t>E05009965</t>
  </si>
  <si>
    <t>E05010015</t>
  </si>
  <si>
    <t>E05010016</t>
  </si>
  <si>
    <t>E05010017</t>
  </si>
  <si>
    <t>E05010018</t>
  </si>
  <si>
    <t>E05010019</t>
  </si>
  <si>
    <t>E05010020</t>
  </si>
  <si>
    <t>E05010021</t>
  </si>
  <si>
    <t>E05010022</t>
  </si>
  <si>
    <t>E05010023</t>
  </si>
  <si>
    <t>E05010024</t>
  </si>
  <si>
    <t>E05010025</t>
  </si>
  <si>
    <t>E05010026</t>
  </si>
  <si>
    <t>E05010027</t>
  </si>
  <si>
    <t>E05009568</t>
  </si>
  <si>
    <t>E05009569</t>
  </si>
  <si>
    <t>E05009570</t>
  </si>
  <si>
    <t>E05009571</t>
  </si>
  <si>
    <t>E05009572</t>
  </si>
  <si>
    <t>E05009573</t>
  </si>
  <si>
    <t>E05009574</t>
  </si>
  <si>
    <t>E05009575</t>
  </si>
  <si>
    <t>E05009577</t>
  </si>
  <si>
    <t>E05009578</t>
  </si>
  <si>
    <t>E05009579</t>
  </si>
  <si>
    <t>E05009580</t>
  </si>
  <si>
    <t>E05009582</t>
  </si>
  <si>
    <t>E05009583</t>
  </si>
  <si>
    <t>E05009584</t>
  </si>
  <si>
    <t>E05009585</t>
  </si>
  <si>
    <t>E05009586</t>
  </si>
  <si>
    <t>E05009587</t>
  </si>
  <si>
    <t>E05009588</t>
  </si>
  <si>
    <t>E05009589</t>
  </si>
  <si>
    <t>E05009590</t>
  </si>
  <si>
    <t>E05009591</t>
  </si>
  <si>
    <t>E05010311</t>
  </si>
  <si>
    <t>Copmanthorpe</t>
  </si>
  <si>
    <t>Dringhouses &amp; Woodthorpe</t>
  </si>
  <si>
    <t>Fulford &amp; Heslington</t>
  </si>
  <si>
    <t>E05010312</t>
  </si>
  <si>
    <t>E05010313</t>
  </si>
  <si>
    <t>E05010314</t>
  </si>
  <si>
    <t>E05010315</t>
  </si>
  <si>
    <t>E05010316</t>
  </si>
  <si>
    <t>E05010317</t>
  </si>
  <si>
    <t>Haxby &amp; Wigginton</t>
  </si>
  <si>
    <t>E05010318</t>
  </si>
  <si>
    <t>E05010319</t>
  </si>
  <si>
    <t>E05010320</t>
  </si>
  <si>
    <t>E05010321</t>
  </si>
  <si>
    <t>E05010322</t>
  </si>
  <si>
    <t>E05010323</t>
  </si>
  <si>
    <t>Huntington &amp; New Earswick</t>
  </si>
  <si>
    <t>Osbaldwick &amp; Derwent</t>
  </si>
  <si>
    <t>Rawcliffe &amp; Clifton Without</t>
  </si>
  <si>
    <t>E05010324</t>
  </si>
  <si>
    <t>E05010325</t>
  </si>
  <si>
    <t>E05010326</t>
  </si>
  <si>
    <t>E05010327</t>
  </si>
  <si>
    <t>E05010328</t>
  </si>
  <si>
    <t>E05010329</t>
  </si>
  <si>
    <t>E05010330</t>
  </si>
  <si>
    <t>E05010331</t>
  </si>
  <si>
    <t>* as created by The York (Electoral Changes) Order 2014</t>
  </si>
  <si>
    <t>* as created by The Uttlesford (Electoral Changes) Order 2014</t>
  </si>
  <si>
    <t>E05009910</t>
  </si>
  <si>
    <t>Broad Oak &amp; the Hallingburys</t>
  </si>
  <si>
    <t>Debden &amp; Wimbush</t>
  </si>
  <si>
    <t>Elsenham &amp; Henham</t>
  </si>
  <si>
    <t>Felsted &amp; Stebbing</t>
  </si>
  <si>
    <t>Flitch Green &amp; Little Dunmow</t>
  </si>
  <si>
    <t>Great Dunmow South &amp; Barnston</t>
  </si>
  <si>
    <t>High Easter &amp; the Rodings</t>
  </si>
  <si>
    <t>Littlebury, Chesterford &amp; Wenden Lofts</t>
  </si>
  <si>
    <t>Stansted South &amp; Birchanger</t>
  </si>
  <si>
    <t>Takeley</t>
  </si>
  <si>
    <t>Thaxted &amp; the Eastons</t>
  </si>
  <si>
    <t>Balderton North &amp; Coddington</t>
  </si>
  <si>
    <t>Balderton South</t>
  </si>
  <si>
    <t>Bilsthorpe</t>
  </si>
  <si>
    <t>Collingham</t>
  </si>
  <si>
    <t>Dover Beck</t>
  </si>
  <si>
    <t>E05010064</t>
  </si>
  <si>
    <t>E05010066</t>
  </si>
  <si>
    <t>E05010067</t>
  </si>
  <si>
    <t>E05010068</t>
  </si>
  <si>
    <t>E05010070</t>
  </si>
  <si>
    <t>E05010071</t>
  </si>
  <si>
    <t>E05010072</t>
  </si>
  <si>
    <t>Edwinstowe &amp; Clipstone</t>
  </si>
  <si>
    <t>Farndon &amp; Fernwood</t>
  </si>
  <si>
    <t>Farnsfield</t>
  </si>
  <si>
    <t>Rainworth North &amp; Rufford</t>
  </si>
  <si>
    <t>E05010073</t>
  </si>
  <si>
    <t>E05010075</t>
  </si>
  <si>
    <t>E05010076</t>
  </si>
  <si>
    <t>E05010077</t>
  </si>
  <si>
    <t>E05010078</t>
  </si>
  <si>
    <t>E05010079</t>
  </si>
  <si>
    <t>E05010080</t>
  </si>
  <si>
    <t>Rainworth South &amp; Blidworth</t>
  </si>
  <si>
    <t>Southwell</t>
  </si>
  <si>
    <t>E05010081</t>
  </si>
  <si>
    <t>E05010082</t>
  </si>
  <si>
    <t>E05010083</t>
  </si>
  <si>
    <t>County Average (10 seats)</t>
  </si>
  <si>
    <t>E05010128</t>
  </si>
  <si>
    <t>E05010129</t>
  </si>
  <si>
    <t>E05010130</t>
  </si>
  <si>
    <t>E05010131</t>
  </si>
  <si>
    <t>E05010132</t>
  </si>
  <si>
    <t>E05010133</t>
  </si>
  <si>
    <t>E05010134</t>
  </si>
  <si>
    <t>E05010135</t>
  </si>
  <si>
    <t>E05010136</t>
  </si>
  <si>
    <t>E05010137</t>
  </si>
  <si>
    <t>E05010138</t>
  </si>
  <si>
    <t>E05010139</t>
  </si>
  <si>
    <t>E05010140</t>
  </si>
  <si>
    <t>E05010141</t>
  </si>
  <si>
    <t>E05010142</t>
  </si>
  <si>
    <t>E05010143</t>
  </si>
  <si>
    <t>E05010144</t>
  </si>
  <si>
    <t>E05010145</t>
  </si>
  <si>
    <t>E05010146</t>
  </si>
  <si>
    <t>E05010147</t>
  </si>
  <si>
    <t>E05010365</t>
  </si>
  <si>
    <t>E05010366</t>
  </si>
  <si>
    <t>E05010367</t>
  </si>
  <si>
    <t>E05010368</t>
  </si>
  <si>
    <t>E05010369</t>
  </si>
  <si>
    <t>E05010370</t>
  </si>
  <si>
    <t>E05010371</t>
  </si>
  <si>
    <t>E05010372</t>
  </si>
  <si>
    <t>E05010374</t>
  </si>
  <si>
    <t>E05010378</t>
  </si>
  <si>
    <t>E05010379</t>
  </si>
  <si>
    <t>E05010380</t>
  </si>
  <si>
    <t>E05010382</t>
  </si>
  <si>
    <t>E05010383</t>
  </si>
  <si>
    <t>E05010384</t>
  </si>
  <si>
    <t>E05010385</t>
  </si>
  <si>
    <t>E05010388</t>
  </si>
  <si>
    <t>E05010389</t>
  </si>
  <si>
    <t>E05010390</t>
  </si>
  <si>
    <t>E05009911</t>
  </si>
  <si>
    <t>E05009912</t>
  </si>
  <si>
    <t>E05009913</t>
  </si>
  <si>
    <t>E05009914</t>
  </si>
  <si>
    <t>E05009915</t>
  </si>
  <si>
    <t>E05009916</t>
  </si>
  <si>
    <t>E05009917</t>
  </si>
  <si>
    <t>E05009918</t>
  </si>
  <si>
    <t>E05009919</t>
  </si>
  <si>
    <t>E05009920</t>
  </si>
  <si>
    <t>E05009921</t>
  </si>
  <si>
    <t>E05009922</t>
  </si>
  <si>
    <t>E05009923</t>
  </si>
  <si>
    <t>E05009924</t>
  </si>
  <si>
    <t>E05009925</t>
  </si>
  <si>
    <t>E05009926</t>
  </si>
  <si>
    <t>E05009927</t>
  </si>
  <si>
    <t>E05009928</t>
  </si>
  <si>
    <t>E05009929</t>
  </si>
  <si>
    <t>E05009930</t>
  </si>
  <si>
    <t>E05009931</t>
  </si>
  <si>
    <t>E05010044</t>
  </si>
  <si>
    <t>E05010045</t>
  </si>
  <si>
    <t>E05010046</t>
  </si>
  <si>
    <t>E05010047</t>
  </si>
  <si>
    <t>E05010048</t>
  </si>
  <si>
    <t>E05010049</t>
  </si>
  <si>
    <t>E05010050</t>
  </si>
  <si>
    <t>E05010051</t>
  </si>
  <si>
    <t>E05010052</t>
  </si>
  <si>
    <t>E05010053</t>
  </si>
  <si>
    <t>E05010054</t>
  </si>
  <si>
    <t>E05010055</t>
  </si>
  <si>
    <t>E05010056</t>
  </si>
  <si>
    <t>E05010057</t>
  </si>
  <si>
    <t>E05010058</t>
  </si>
  <si>
    <t>E05010059</t>
  </si>
  <si>
    <t>E05010060</t>
  </si>
  <si>
    <t>E05010061</t>
  </si>
  <si>
    <t>E05010062</t>
  </si>
  <si>
    <t>E05009664</t>
  </si>
  <si>
    <t>E05009665</t>
  </si>
  <si>
    <t>E05009666</t>
  </si>
  <si>
    <t>E05009667</t>
  </si>
  <si>
    <t>E05009668</t>
  </si>
  <si>
    <t>E05009669</t>
  </si>
  <si>
    <t>E05009670</t>
  </si>
  <si>
    <t>E05009671</t>
  </si>
  <si>
    <t>E05009672</t>
  </si>
  <si>
    <t>E05009673</t>
  </si>
  <si>
    <t>E05009674</t>
  </si>
  <si>
    <t>E05009675</t>
  </si>
  <si>
    <t>E05009676</t>
  </si>
  <si>
    <t>E05009677</t>
  </si>
  <si>
    <t>E05009678</t>
  </si>
  <si>
    <t>E05009679</t>
  </si>
  <si>
    <t>E05009680</t>
  </si>
  <si>
    <t>E05009681</t>
  </si>
  <si>
    <t>E05009682</t>
  </si>
  <si>
    <t>E05009683</t>
  </si>
  <si>
    <t>E05009684</t>
  </si>
  <si>
    <t>E05009685</t>
  </si>
  <si>
    <t>E05009686</t>
  </si>
  <si>
    <t>E05009687</t>
  </si>
  <si>
    <t>E05009688</t>
  </si>
  <si>
    <t>"HUMBERSIDE" #</t>
  </si>
  <si>
    <t>NORTH YORKSHIRE &amp; YORK</t>
  </si>
  <si>
    <t>"BERKSHIRE" #</t>
  </si>
  <si>
    <t>Greater than EQ - More than 20%</t>
  </si>
  <si>
    <t>Greater than EQ - More than 15% up to 20%</t>
  </si>
  <si>
    <t>Greater than EQ - More than 10% up to 15%</t>
  </si>
  <si>
    <t>Greater than EQ - More than 5% up to 10%</t>
  </si>
  <si>
    <t>Less than EQ - More than 5% up to 10%</t>
  </si>
  <si>
    <t>Less than EQ - More than 10% up to 15%</t>
  </si>
  <si>
    <t>Less than EQ - More than 15% up to 20%</t>
  </si>
  <si>
    <t>Less than EQ - More than 20%</t>
  </si>
  <si>
    <t>E05009288</t>
  </si>
  <si>
    <t>E05009289</t>
  </si>
  <si>
    <t>E05009290</t>
  </si>
  <si>
    <t>E05009291</t>
  </si>
  <si>
    <t>E05009292</t>
  </si>
  <si>
    <t>E05009293</t>
  </si>
  <si>
    <t>E05009294</t>
  </si>
  <si>
    <t>E05009295</t>
  </si>
  <si>
    <t>E05009296</t>
  </si>
  <si>
    <t>E05009297</t>
  </si>
  <si>
    <t>E05009298</t>
  </si>
  <si>
    <t>E05009299</t>
  </si>
  <si>
    <t>E05009300</t>
  </si>
  <si>
    <t>E05009301</t>
  </si>
  <si>
    <t>E05009302</t>
  </si>
  <si>
    <t>E05009303</t>
  </si>
  <si>
    <t>E05009304</t>
  </si>
  <si>
    <t>E05009305</t>
  </si>
  <si>
    <t>E05009306</t>
  </si>
  <si>
    <t>E05009307</t>
  </si>
  <si>
    <t>E05009308</t>
  </si>
  <si>
    <t>E05009309</t>
  </si>
  <si>
    <t>E05009310</t>
  </si>
  <si>
    <t>E05009311</t>
  </si>
  <si>
    <t>E05009312</t>
  </si>
  <si>
    <t>Denham</t>
  </si>
  <si>
    <t>Gerrards Cross</t>
  </si>
  <si>
    <t>E05009491</t>
  </si>
  <si>
    <t>Benwick, Coates &amp; Eastrea</t>
  </si>
  <si>
    <t>Doddington &amp; Wimblington</t>
  </si>
  <si>
    <t>Elm &amp; Christchurch</t>
  </si>
  <si>
    <t>Octavia Hill</t>
  </si>
  <si>
    <t>Parson Drove &amp; Wisbech St Mary</t>
  </si>
  <si>
    <t>Stonald</t>
  </si>
  <si>
    <t>Waterlees Village</t>
  </si>
  <si>
    <t>E05009492</t>
  </si>
  <si>
    <t>E05009493</t>
  </si>
  <si>
    <t>E05009494</t>
  </si>
  <si>
    <t>E05009495</t>
  </si>
  <si>
    <t>E05009496</t>
  </si>
  <si>
    <t>E05009497</t>
  </si>
  <si>
    <t>E05009498</t>
  </si>
  <si>
    <t>E05009499</t>
  </si>
  <si>
    <t>E05009500</t>
  </si>
  <si>
    <t>E05009501</t>
  </si>
  <si>
    <t>E05009502</t>
  </si>
  <si>
    <t>E05009503</t>
  </si>
  <si>
    <t>E05009504</t>
  </si>
  <si>
    <t>E05009505</t>
  </si>
  <si>
    <t>E05009506</t>
  </si>
  <si>
    <t>E05009507</t>
  </si>
  <si>
    <t>E05009508</t>
  </si>
  <si>
    <t>E05009509</t>
  </si>
  <si>
    <t>E05009510</t>
  </si>
  <si>
    <t>E05009511</t>
  </si>
  <si>
    <t>E05009512</t>
  </si>
  <si>
    <t>E05009513</t>
  </si>
  <si>
    <t>E05009514</t>
  </si>
  <si>
    <t>* as created by The Fenland (Electoral Changes) Order 2014</t>
  </si>
  <si>
    <t>Awsworth Road</t>
  </si>
  <si>
    <t>Draycott &amp; Risley</t>
  </si>
  <si>
    <t>E05010604</t>
  </si>
  <si>
    <t>Kirk Hallam &amp; Stanton-by-Dale</t>
  </si>
  <si>
    <t>Larklands</t>
  </si>
  <si>
    <t>Little Eaton &amp; Stanley</t>
  </si>
  <si>
    <t>Ockbrook &amp; Borrowash</t>
  </si>
  <si>
    <t>Sandiacre</t>
  </si>
  <si>
    <t>Shipley View</t>
  </si>
  <si>
    <t>West Hallam &amp; Dale Abbey</t>
  </si>
  <si>
    <t>E05010605</t>
  </si>
  <si>
    <t>E05010606</t>
  </si>
  <si>
    <t>E05010607</t>
  </si>
  <si>
    <t>E05010608</t>
  </si>
  <si>
    <t>E05010609</t>
  </si>
  <si>
    <t>E05010610</t>
  </si>
  <si>
    <t>E05010611</t>
  </si>
  <si>
    <t>E05010612</t>
  </si>
  <si>
    <t>E05010613</t>
  </si>
  <si>
    <t>E05010614</t>
  </si>
  <si>
    <t>E05010615</t>
  </si>
  <si>
    <t>E05010616</t>
  </si>
  <si>
    <t>E05010617</t>
  </si>
  <si>
    <t>E05010618</t>
  </si>
  <si>
    <t>E05010619</t>
  </si>
  <si>
    <t>E05010620</t>
  </si>
  <si>
    <t>E05010621</t>
  </si>
  <si>
    <t>E05010622</t>
  </si>
  <si>
    <t>* as created by The Erewash (Electoral Changes) Order 2015</t>
  </si>
  <si>
    <t>E05010623</t>
  </si>
  <si>
    <t>E05010624</t>
  </si>
  <si>
    <t>E05010625</t>
  </si>
  <si>
    <t>E05010626</t>
  </si>
  <si>
    <t>E05010627</t>
  </si>
  <si>
    <t>E05010628</t>
  </si>
  <si>
    <t>E05010629</t>
  </si>
  <si>
    <t>E05010630</t>
  </si>
  <si>
    <t>E05010631</t>
  </si>
  <si>
    <t>E05010632</t>
  </si>
  <si>
    <t>E05010633</t>
  </si>
  <si>
    <t>E05010634</t>
  </si>
  <si>
    <t>E05010635</t>
  </si>
  <si>
    <t>E05010636</t>
  </si>
  <si>
    <t>E05010637</t>
  </si>
  <si>
    <t>E05010638</t>
  </si>
  <si>
    <t>E05010639</t>
  </si>
  <si>
    <t>E05010640</t>
  </si>
  <si>
    <t>E05010641</t>
  </si>
  <si>
    <t>E05010642</t>
  </si>
  <si>
    <t>E05010643</t>
  </si>
  <si>
    <t>E05010644</t>
  </si>
  <si>
    <t>E05010645</t>
  </si>
  <si>
    <t>E05010646</t>
  </si>
  <si>
    <t>E05010647</t>
  </si>
  <si>
    <t>E05010648</t>
  </si>
  <si>
    <t>E05010649</t>
  </si>
  <si>
    <t>E05010650</t>
  </si>
  <si>
    <t>* as created by The High Peak (Electoral Changes) Order 2015</t>
  </si>
  <si>
    <t>E05010550</t>
  </si>
  <si>
    <t>E05010551</t>
  </si>
  <si>
    <t>Dartmoor</t>
  </si>
  <si>
    <t>Okehampton North</t>
  </si>
  <si>
    <t>Okehampton South</t>
  </si>
  <si>
    <t>Tavistock South East</t>
  </si>
  <si>
    <t>E05010552</t>
  </si>
  <si>
    <t>E05010553</t>
  </si>
  <si>
    <t>E05010554</t>
  </si>
  <si>
    <t>E05010555</t>
  </si>
  <si>
    <t>E05010556</t>
  </si>
  <si>
    <t>E05010557</t>
  </si>
  <si>
    <t>E05010558</t>
  </si>
  <si>
    <t>E05010559</t>
  </si>
  <si>
    <t>E05010560</t>
  </si>
  <si>
    <t>E05010561</t>
  </si>
  <si>
    <t>E05010562</t>
  </si>
  <si>
    <t>E05010563</t>
  </si>
  <si>
    <t>E05010564</t>
  </si>
  <si>
    <t>E05010565</t>
  </si>
  <si>
    <t>E05010566</t>
  </si>
  <si>
    <t>E05010567</t>
  </si>
  <si>
    <t>* as created by The West Devon (Electoral Changes) Order 2015</t>
  </si>
  <si>
    <t>Corfe Mullen</t>
  </si>
  <si>
    <t>E05010673</t>
  </si>
  <si>
    <t>Abbey Hill</t>
  </si>
  <si>
    <t>Annesley &amp; Kirkby Woodhouse</t>
  </si>
  <si>
    <t>Ashfields</t>
  </si>
  <si>
    <t>Carsic</t>
  </si>
  <si>
    <t>Central &amp; New Cross</t>
  </si>
  <si>
    <t>Hucknall South</t>
  </si>
  <si>
    <t>Huthwaite &amp; Brierley</t>
  </si>
  <si>
    <t>Kirkby Cross &amp; Portland</t>
  </si>
  <si>
    <t>Larwood</t>
  </si>
  <si>
    <t>Leamington</t>
  </si>
  <si>
    <t>Skegby</t>
  </si>
  <si>
    <t>Stanton Hill &amp; Teversal</t>
  </si>
  <si>
    <t>Summit</t>
  </si>
  <si>
    <t>Sutton Junction &amp; Harlow Wood</t>
  </si>
  <si>
    <t>The Dales</t>
  </si>
  <si>
    <t>E05010674</t>
  </si>
  <si>
    <t>E05010675</t>
  </si>
  <si>
    <t>E05010676</t>
  </si>
  <si>
    <t>E05010677</t>
  </si>
  <si>
    <t>E05010678</t>
  </si>
  <si>
    <t>E05010679</t>
  </si>
  <si>
    <t>E05010680</t>
  </si>
  <si>
    <t>E05010681</t>
  </si>
  <si>
    <t>E05010682</t>
  </si>
  <si>
    <t>E05010683</t>
  </si>
  <si>
    <t>E05010684</t>
  </si>
  <si>
    <t>E05010685</t>
  </si>
  <si>
    <t>E05010686</t>
  </si>
  <si>
    <t>E05010687</t>
  </si>
  <si>
    <t>E05010688</t>
  </si>
  <si>
    <t>E05010689</t>
  </si>
  <si>
    <t>E05010690</t>
  </si>
  <si>
    <t>E05010691</t>
  </si>
  <si>
    <t>E05010692</t>
  </si>
  <si>
    <t>E05010693</t>
  </si>
  <si>
    <t>E05010694</t>
  </si>
  <si>
    <t>E05010695</t>
  </si>
  <si>
    <t>* as created by The Ashfield (Electoral Changes) Order 2015</t>
  </si>
  <si>
    <t>Wormside</t>
  </si>
  <si>
    <t>Widemarsh</t>
  </si>
  <si>
    <t>Whitecross</t>
  </si>
  <si>
    <t>Weobley</t>
  </si>
  <si>
    <t>Three Crosses</t>
  </si>
  <si>
    <t>Saxon Gate</t>
  </si>
  <si>
    <t>Ross West</t>
  </si>
  <si>
    <t>Ross North</t>
  </si>
  <si>
    <t>Ross East</t>
  </si>
  <si>
    <t>Red Hill</t>
  </si>
  <si>
    <t>Queenswood</t>
  </si>
  <si>
    <t>Newton Farm</t>
  </si>
  <si>
    <t>Leominster West</t>
  </si>
  <si>
    <t>Leominster North &amp; Rural</t>
  </si>
  <si>
    <t>Leominster East</t>
  </si>
  <si>
    <t>Ledbury West</t>
  </si>
  <si>
    <t>Ledbury South</t>
  </si>
  <si>
    <t>Ledbury North</t>
  </si>
  <si>
    <t>Kings Acre</t>
  </si>
  <si>
    <t>Holmer</t>
  </si>
  <si>
    <t>Hinton &amp; Hunderton</t>
  </si>
  <si>
    <t>Eign Hill</t>
  </si>
  <si>
    <t>Dinedor Hill</t>
  </si>
  <si>
    <t>Bromyard West</t>
  </si>
  <si>
    <t>Bromyard Bringsty</t>
  </si>
  <si>
    <t>Bobblestock</t>
  </si>
  <si>
    <t>Bishops Frome &amp; Cradley</t>
  </si>
  <si>
    <t>Belmont Rural</t>
  </si>
  <si>
    <t>Aylestone Hill</t>
  </si>
  <si>
    <t>Arrow</t>
  </si>
  <si>
    <t>E05009438</t>
  </si>
  <si>
    <t>E05009439</t>
  </si>
  <si>
    <t>E05009440</t>
  </si>
  <si>
    <t>E05009441</t>
  </si>
  <si>
    <t>E05009442</t>
  </si>
  <si>
    <t>E05009443</t>
  </si>
  <si>
    <t>E05009444</t>
  </si>
  <si>
    <t>E05009445</t>
  </si>
  <si>
    <t>E05009446</t>
  </si>
  <si>
    <t>E05009447</t>
  </si>
  <si>
    <t>E05009448</t>
  </si>
  <si>
    <t>E05009449</t>
  </si>
  <si>
    <t>E05009450</t>
  </si>
  <si>
    <t>E05009452</t>
  </si>
  <si>
    <t>E05009453</t>
  </si>
  <si>
    <t>E05009454</t>
  </si>
  <si>
    <t>E05009455</t>
  </si>
  <si>
    <t>E05009456</t>
  </si>
  <si>
    <t>E05009457</t>
  </si>
  <si>
    <t>E05009458</t>
  </si>
  <si>
    <t>E05009459</t>
  </si>
  <si>
    <t>E05009460</t>
  </si>
  <si>
    <t>E05009461</t>
  </si>
  <si>
    <t>E05009462</t>
  </si>
  <si>
    <t>E05009463</t>
  </si>
  <si>
    <t>E05009464</t>
  </si>
  <si>
    <t>E05009465</t>
  </si>
  <si>
    <t>E05009466</t>
  </si>
  <si>
    <t>E05009467</t>
  </si>
  <si>
    <t>E05009468</t>
  </si>
  <si>
    <t>E05009469</t>
  </si>
  <si>
    <t>E05009470</t>
  </si>
  <si>
    <t>E05009471</t>
  </si>
  <si>
    <t>E05009472</t>
  </si>
  <si>
    <t>E05009473</t>
  </si>
  <si>
    <t>E05009474</t>
  </si>
  <si>
    <t>E05009475</t>
  </si>
  <si>
    <t>E05009476</t>
  </si>
  <si>
    <t>E05009478</t>
  </si>
  <si>
    <t>E05009479</t>
  </si>
  <si>
    <t>E05009480</t>
  </si>
  <si>
    <t>E05009481</t>
  </si>
  <si>
    <t>E05009482</t>
  </si>
  <si>
    <t>E05009485</t>
  </si>
  <si>
    <t>E05009486</t>
  </si>
  <si>
    <t>E05009487</t>
  </si>
  <si>
    <t>E05009488</t>
  </si>
  <si>
    <t>E05009489</t>
  </si>
  <si>
    <t>E05009490</t>
  </si>
  <si>
    <t>* as created by The Herefordshire (Electoral Changes) Order 2014</t>
  </si>
  <si>
    <t>Sturminster Newton</t>
  </si>
  <si>
    <t>* as created by The Cotswold (Electoral Changes) Order 2015</t>
  </si>
  <si>
    <t>E05010696</t>
  </si>
  <si>
    <t>E05010697</t>
  </si>
  <si>
    <t>E05010698</t>
  </si>
  <si>
    <t>E05010699</t>
  </si>
  <si>
    <t>E05010700</t>
  </si>
  <si>
    <t>E05010701</t>
  </si>
  <si>
    <t>E05010702</t>
  </si>
  <si>
    <t>E05010703</t>
  </si>
  <si>
    <t>E05010704</t>
  </si>
  <si>
    <t>E05010705</t>
  </si>
  <si>
    <t>E05010706</t>
  </si>
  <si>
    <t>E05010707</t>
  </si>
  <si>
    <t>E05010708</t>
  </si>
  <si>
    <t>E05010709</t>
  </si>
  <si>
    <t>E05010710</t>
  </si>
  <si>
    <t>E05010711</t>
  </si>
  <si>
    <t>E05010712</t>
  </si>
  <si>
    <t>E05010713</t>
  </si>
  <si>
    <t>E05010714</t>
  </si>
  <si>
    <t>E05010715</t>
  </si>
  <si>
    <t>E05010716</t>
  </si>
  <si>
    <t>E05010717</t>
  </si>
  <si>
    <t>E05010718</t>
  </si>
  <si>
    <t>E05010719</t>
  </si>
  <si>
    <t>E05010720</t>
  </si>
  <si>
    <t>E05010721</t>
  </si>
  <si>
    <t>E05010722</t>
  </si>
  <si>
    <t>E05010723</t>
  </si>
  <si>
    <t>E05010724</t>
  </si>
  <si>
    <t>E05010725</t>
  </si>
  <si>
    <t>E05010726</t>
  </si>
  <si>
    <t>E05010727</t>
  </si>
  <si>
    <t>Watermoor</t>
  </si>
  <si>
    <t>The Rissingtons</t>
  </si>
  <si>
    <t>The Beeches</t>
  </si>
  <si>
    <t>The Ampneys &amp; Hampton</t>
  </si>
  <si>
    <t>Tetbury with Upton</t>
  </si>
  <si>
    <t>Tetbury Town</t>
  </si>
  <si>
    <t>Tetbury East &amp; Rural</t>
  </si>
  <si>
    <t>South Cerney Village</t>
  </si>
  <si>
    <t>Siddington &amp; Cerney Rural</t>
  </si>
  <si>
    <t>Bourton Vale</t>
  </si>
  <si>
    <t>Bourton Village</t>
  </si>
  <si>
    <t>Campden &amp; Vale</t>
  </si>
  <si>
    <t>Chedworth &amp; Churn Valley</t>
  </si>
  <si>
    <t>Coln Valley</t>
  </si>
  <si>
    <t>Fairford North</t>
  </si>
  <si>
    <t>Grumbolds Ash with Avening</t>
  </si>
  <si>
    <t>Kemble</t>
  </si>
  <si>
    <t>Lechlade, Kempsford &amp; Fairford South</t>
  </si>
  <si>
    <t>Moreton East</t>
  </si>
  <si>
    <t>Moreton West</t>
  </si>
  <si>
    <t>New Mills</t>
  </si>
  <si>
    <t>Four Acres</t>
  </si>
  <si>
    <t>* as created by The Darlington (Electoral Changes) Order 2014</t>
  </si>
  <si>
    <t>Bank Top &amp; Lascelles</t>
  </si>
  <si>
    <t>E05010412</t>
  </si>
  <si>
    <t>E05010413</t>
  </si>
  <si>
    <t>E05010414</t>
  </si>
  <si>
    <t>E05010415</t>
  </si>
  <si>
    <t>E05010416</t>
  </si>
  <si>
    <t>E05010417</t>
  </si>
  <si>
    <t>E05010418</t>
  </si>
  <si>
    <t>E05010419</t>
  </si>
  <si>
    <t>E05010420</t>
  </si>
  <si>
    <t>E05010421</t>
  </si>
  <si>
    <t>E05010422</t>
  </si>
  <si>
    <t>E05010423</t>
  </si>
  <si>
    <t>E05010424</t>
  </si>
  <si>
    <t>E05010425</t>
  </si>
  <si>
    <t>E05010426</t>
  </si>
  <si>
    <t>E05010427</t>
  </si>
  <si>
    <t>E05010428</t>
  </si>
  <si>
    <t>E05010429</t>
  </si>
  <si>
    <t>E05010430</t>
  </si>
  <si>
    <t>E05010431</t>
  </si>
  <si>
    <t>Brinkburn &amp; Faverdale</t>
  </si>
  <si>
    <t>Cockerton</t>
  </si>
  <si>
    <t>Heighington &amp; Coniscliffe</t>
  </si>
  <si>
    <t>Red Hall &amp; Lingfield</t>
  </si>
  <si>
    <t>Sadberge &amp; Middleton St George</t>
  </si>
  <si>
    <t>Stephenson</t>
  </si>
  <si>
    <t>Whinfield</t>
  </si>
  <si>
    <t>E05009544</t>
  </si>
  <si>
    <t>* as created by The Swale (Electoral Changes) Order 2014</t>
  </si>
  <si>
    <t>Borden and Grove Park</t>
  </si>
  <si>
    <t>Bobbing, Iwade and Lower Halstow</t>
  </si>
  <si>
    <t>Sheerness</t>
  </si>
  <si>
    <t>Sheppey East</t>
  </si>
  <si>
    <t>The Meads</t>
  </si>
  <si>
    <t>E05009545</t>
  </si>
  <si>
    <t>E05009546</t>
  </si>
  <si>
    <t>E05009547</t>
  </si>
  <si>
    <t>E05009548</t>
  </si>
  <si>
    <t>E05009549</t>
  </si>
  <si>
    <t>E05009550</t>
  </si>
  <si>
    <t>E05009551</t>
  </si>
  <si>
    <t>E05009552</t>
  </si>
  <si>
    <t>E05009553</t>
  </si>
  <si>
    <t>E05009554</t>
  </si>
  <si>
    <t>E05009555</t>
  </si>
  <si>
    <t>E05009556</t>
  </si>
  <si>
    <t>E05009557</t>
  </si>
  <si>
    <t>E05009558</t>
  </si>
  <si>
    <t>E05009559</t>
  </si>
  <si>
    <t>E05009560</t>
  </si>
  <si>
    <t>E05009561</t>
  </si>
  <si>
    <t>E05009562</t>
  </si>
  <si>
    <t>E05009563</t>
  </si>
  <si>
    <t>E05009564</t>
  </si>
  <si>
    <t>E05009565</t>
  </si>
  <si>
    <t>E05009566</t>
  </si>
  <si>
    <t>E05009567</t>
  </si>
  <si>
    <t>Bolton &amp; Slyne</t>
  </si>
  <si>
    <t>Carnforth &amp; Millhead</t>
  </si>
  <si>
    <t>E05009592</t>
  </si>
  <si>
    <t>University &amp; Scotforth Rural</t>
  </si>
  <si>
    <t>* as created by The Lancaster (Electoral Changes) Order 2014</t>
  </si>
  <si>
    <t>E05009593</t>
  </si>
  <si>
    <t>E05009594</t>
  </si>
  <si>
    <t>E05009595</t>
  </si>
  <si>
    <t>E05009596</t>
  </si>
  <si>
    <t>E05009597</t>
  </si>
  <si>
    <t>E05009598</t>
  </si>
  <si>
    <t>E05009599</t>
  </si>
  <si>
    <t>E05009600</t>
  </si>
  <si>
    <t>E05009601</t>
  </si>
  <si>
    <t>E05009602</t>
  </si>
  <si>
    <t>E05009603</t>
  </si>
  <si>
    <t>E05009604</t>
  </si>
  <si>
    <t>E05009605</t>
  </si>
  <si>
    <t>E05009606</t>
  </si>
  <si>
    <t>E05009607</t>
  </si>
  <si>
    <t>E05009608</t>
  </si>
  <si>
    <t>E05009609</t>
  </si>
  <si>
    <t>E05009610</t>
  </si>
  <si>
    <t>E05009611</t>
  </si>
  <si>
    <t>E05009612</t>
  </si>
  <si>
    <t>E05009613</t>
  </si>
  <si>
    <t>E05009614</t>
  </si>
  <si>
    <t>E05009615</t>
  </si>
  <si>
    <t>E05009616</t>
  </si>
  <si>
    <t>E05009617</t>
  </si>
  <si>
    <t>E05009618</t>
  </si>
  <si>
    <t>E05010214</t>
  </si>
  <si>
    <t>Broadfield</t>
  </si>
  <si>
    <t>Buckshaw &amp; Worden</t>
  </si>
  <si>
    <t>Coupe Green &amp; Gregson Lane</t>
  </si>
  <si>
    <t>E05010215</t>
  </si>
  <si>
    <t>E05010216</t>
  </si>
  <si>
    <t>E05010217</t>
  </si>
  <si>
    <t>E05010218</t>
  </si>
  <si>
    <t>E05010219</t>
  </si>
  <si>
    <t>E05010220</t>
  </si>
  <si>
    <t>E05010221</t>
  </si>
  <si>
    <t>E05010222</t>
  </si>
  <si>
    <t>Howick &amp; Priory</t>
  </si>
  <si>
    <t>Longton &amp; Hutton West</t>
  </si>
  <si>
    <t>New Longton &amp; Hutton East</t>
  </si>
  <si>
    <t>E05010223</t>
  </si>
  <si>
    <t>E05010224</t>
  </si>
  <si>
    <t>E05010225</t>
  </si>
  <si>
    <t>E05010226</t>
  </si>
  <si>
    <t>E05010227</t>
  </si>
  <si>
    <t>E05010228</t>
  </si>
  <si>
    <t>E05010229</t>
  </si>
  <si>
    <t>E05010230</t>
  </si>
  <si>
    <t>E05010231</t>
  </si>
  <si>
    <t>St Ambrose</t>
  </si>
  <si>
    <t>Samlesbury &amp; Walton</t>
  </si>
  <si>
    <t>Walton-le-Dale East</t>
  </si>
  <si>
    <t>Walton-le-Dale West</t>
  </si>
  <si>
    <t>E05010232</t>
  </si>
  <si>
    <t>E05010233</t>
  </si>
  <si>
    <t>E05010234</t>
  </si>
  <si>
    <t>E05010235</t>
  </si>
  <si>
    <t>E05010236</t>
  </si>
  <si>
    <t>E05009621</t>
  </si>
  <si>
    <t>* as created by The Boston (Electoral Changes) Order 2013</t>
  </si>
  <si>
    <t>Kirton and Frampton</t>
  </si>
  <si>
    <t>St Thomas'</t>
  </si>
  <si>
    <t>Staniland</t>
  </si>
  <si>
    <t>Station</t>
  </si>
  <si>
    <t>E05009622</t>
  </si>
  <si>
    <t>E05009623</t>
  </si>
  <si>
    <t>E05009624</t>
  </si>
  <si>
    <t>E05009625</t>
  </si>
  <si>
    <t>E05009626</t>
  </si>
  <si>
    <t>E05009627</t>
  </si>
  <si>
    <t>E05009628</t>
  </si>
  <si>
    <t>E05009629</t>
  </si>
  <si>
    <t>E05009630</t>
  </si>
  <si>
    <t>E05009631</t>
  </si>
  <si>
    <t>E05009632</t>
  </si>
  <si>
    <t>E05009633</t>
  </si>
  <si>
    <t>E05009634</t>
  </si>
  <si>
    <t>E05009635</t>
  </si>
  <si>
    <t>* as created by The South Kesteven (Electoral Changes) Order 2014</t>
  </si>
  <si>
    <t>E05010148</t>
  </si>
  <si>
    <t>Belvoir</t>
  </si>
  <si>
    <t>E05010149</t>
  </si>
  <si>
    <t>E05010150</t>
  </si>
  <si>
    <t>Bourne Austerby</t>
  </si>
  <si>
    <t>Casewick</t>
  </si>
  <si>
    <t>Dole Wood</t>
  </si>
  <si>
    <t>Grantham Arnoldfield</t>
  </si>
  <si>
    <t>E05010151</t>
  </si>
  <si>
    <t>E05010152</t>
  </si>
  <si>
    <t>E05010153</t>
  </si>
  <si>
    <t>E05010154</t>
  </si>
  <si>
    <t>E05010155</t>
  </si>
  <si>
    <t>E05010156</t>
  </si>
  <si>
    <t>E05010157</t>
  </si>
  <si>
    <t>E05010158</t>
  </si>
  <si>
    <t>E05010159</t>
  </si>
  <si>
    <t>Grantham Barrowby Gate</t>
  </si>
  <si>
    <t>Grantham Earlesfield</t>
  </si>
  <si>
    <t>Grantham Harrowby</t>
  </si>
  <si>
    <t>Grantham St Vincent's</t>
  </si>
  <si>
    <t>Grantham St Wulfram's</t>
  </si>
  <si>
    <t>Grantham Springfield</t>
  </si>
  <si>
    <t>E05010160</t>
  </si>
  <si>
    <t>E05010161</t>
  </si>
  <si>
    <t>E05010162</t>
  </si>
  <si>
    <t>E05010163</t>
  </si>
  <si>
    <t>E05010164</t>
  </si>
  <si>
    <t>E05010165</t>
  </si>
  <si>
    <t>Loveden Heath</t>
  </si>
  <si>
    <t>Market &amp; West Deeping</t>
  </si>
  <si>
    <t>Peascliffe &amp; Ridgeway</t>
  </si>
  <si>
    <t>Stamford All Saints</t>
  </si>
  <si>
    <t>Stamford St George's</t>
  </si>
  <si>
    <t>Stamford St Mary's</t>
  </si>
  <si>
    <t>E05010166</t>
  </si>
  <si>
    <t>E05010167</t>
  </si>
  <si>
    <t>E05010168</t>
  </si>
  <si>
    <t>E05010169</t>
  </si>
  <si>
    <t>E05010170</t>
  </si>
  <si>
    <t>E05010171</t>
  </si>
  <si>
    <t>E05010172</t>
  </si>
  <si>
    <t>E05010173</t>
  </si>
  <si>
    <t>E05010174</t>
  </si>
  <si>
    <t>E05010175</t>
  </si>
  <si>
    <t>E05010176</t>
  </si>
  <si>
    <t>E05010177</t>
  </si>
  <si>
    <t>E05009853</t>
  </si>
  <si>
    <t>* as created by The Middlesbrough (Electoral Changes) Order 2014</t>
  </si>
  <si>
    <t>Berwick Hills &amp; Pallister</t>
  </si>
  <si>
    <t>E05009854</t>
  </si>
  <si>
    <t>E05009855</t>
  </si>
  <si>
    <t>Brambles &amp; Thorntree</t>
  </si>
  <si>
    <t>E05009856</t>
  </si>
  <si>
    <t>E05009857</t>
  </si>
  <si>
    <t>E05009858</t>
  </si>
  <si>
    <t>E05009859</t>
  </si>
  <si>
    <t>E05009860</t>
  </si>
  <si>
    <t>E05009861</t>
  </si>
  <si>
    <t>E05009862</t>
  </si>
  <si>
    <t>E05009863</t>
  </si>
  <si>
    <t>Longlands &amp; Beechwood</t>
  </si>
  <si>
    <t>Marton East</t>
  </si>
  <si>
    <t>North Ormesby</t>
  </si>
  <si>
    <t>Park End &amp; Beckfield</t>
  </si>
  <si>
    <t>E05009864</t>
  </si>
  <si>
    <t>E05009865</t>
  </si>
  <si>
    <t>E05009866</t>
  </si>
  <si>
    <t>E05009867</t>
  </si>
  <si>
    <t>E05009868</t>
  </si>
  <si>
    <t>E05009869</t>
  </si>
  <si>
    <t>E05009870</t>
  </si>
  <si>
    <t>Stainton &amp; Thornton</t>
  </si>
  <si>
    <t>Trimdon</t>
  </si>
  <si>
    <t>E05009871</t>
  </si>
  <si>
    <t>E05009872</t>
  </si>
  <si>
    <t>Lloyds</t>
  </si>
  <si>
    <t>E05010276</t>
  </si>
  <si>
    <t>* as created by The North Somerset (Electoral Changes) Order 2014</t>
  </si>
  <si>
    <t>Banwell &amp; Winscombe</t>
  </si>
  <si>
    <t>Blagdon &amp; Churchill</t>
  </si>
  <si>
    <t>Congresbury &amp; Puxton</t>
  </si>
  <si>
    <t>Gordano Valley</t>
  </si>
  <si>
    <t>Hutton &amp; Locking</t>
  </si>
  <si>
    <t>Long Ashton</t>
  </si>
  <si>
    <t>Nailsea Golden Valley</t>
  </si>
  <si>
    <t>Nailsea West End</t>
  </si>
  <si>
    <t>Nailsea Yeo</t>
  </si>
  <si>
    <t>Nailsea Youngwood</t>
  </si>
  <si>
    <t>Portishead North</t>
  </si>
  <si>
    <t>Portishead South</t>
  </si>
  <si>
    <t>Weston-Super-Mare Hillside</t>
  </si>
  <si>
    <t>Weston-super-Mare Kewstoke</t>
  </si>
  <si>
    <t>Weston-super-Mare Mid Worle</t>
  </si>
  <si>
    <t>Weston-super-Mare Milton</t>
  </si>
  <si>
    <t>Weston-super-Mare Uphill</t>
  </si>
  <si>
    <t>Weston-super-Mare Winterstoke</t>
  </si>
  <si>
    <t>Wick St Lawrence &amp; St Georges</t>
  </si>
  <si>
    <t>E05010277</t>
  </si>
  <si>
    <t>E05010278</t>
  </si>
  <si>
    <t>E05010279</t>
  </si>
  <si>
    <t>E05010280</t>
  </si>
  <si>
    <t>E05010281</t>
  </si>
  <si>
    <t>E05010282</t>
  </si>
  <si>
    <t>E05010283</t>
  </si>
  <si>
    <t>E05010284</t>
  </si>
  <si>
    <t>E05010285</t>
  </si>
  <si>
    <t>E05010286</t>
  </si>
  <si>
    <t>E05010287</t>
  </si>
  <si>
    <t>E05010288</t>
  </si>
  <si>
    <t>E05010289</t>
  </si>
  <si>
    <t>E05010290</t>
  </si>
  <si>
    <t>E05010291</t>
  </si>
  <si>
    <t>E05010292</t>
  </si>
  <si>
    <t>E05010293</t>
  </si>
  <si>
    <t>E05010294</t>
  </si>
  <si>
    <t>E05010295</t>
  </si>
  <si>
    <t>E05010296</t>
  </si>
  <si>
    <t>E05010297</t>
  </si>
  <si>
    <t>E05010298</t>
  </si>
  <si>
    <t>E05010299</t>
  </si>
  <si>
    <t>E05010300</t>
  </si>
  <si>
    <t>E05010301</t>
  </si>
  <si>
    <t>E05010302</t>
  </si>
  <si>
    <t>E05010303</t>
  </si>
  <si>
    <t>E05010304</t>
  </si>
  <si>
    <t>E05010305</t>
  </si>
  <si>
    <t>E05010306</t>
  </si>
  <si>
    <t>E05010307</t>
  </si>
  <si>
    <t>E05010308</t>
  </si>
  <si>
    <t>E05010309</t>
  </si>
  <si>
    <t>E05010310</t>
  </si>
  <si>
    <t>E05010514</t>
  </si>
  <si>
    <t>Attenborough &amp; Chilwell East</t>
  </si>
  <si>
    <t>Awsworth, Cossall &amp; Trowell</t>
  </si>
  <si>
    <t>Eastwood Hall</t>
  </si>
  <si>
    <t>Eastwood Hilltop</t>
  </si>
  <si>
    <t>Eastwood St Mary's</t>
  </si>
  <si>
    <t>Greasley</t>
  </si>
  <si>
    <t>Kimberley</t>
  </si>
  <si>
    <t>Nuthall East &amp; Strelley</t>
  </si>
  <si>
    <t>Toton &amp; Chilwell Meadows</t>
  </si>
  <si>
    <t>Watnall &amp; Nuthall West</t>
  </si>
  <si>
    <t>* as created by The Broxtowe (Electoral Changes) Order 2015</t>
  </si>
  <si>
    <t>E05010515</t>
  </si>
  <si>
    <t>E05010516</t>
  </si>
  <si>
    <t>E05010517</t>
  </si>
  <si>
    <t>E05010518</t>
  </si>
  <si>
    <t>E05010519</t>
  </si>
  <si>
    <t>E05010520</t>
  </si>
  <si>
    <t>E05010521</t>
  </si>
  <si>
    <t>E05010522</t>
  </si>
  <si>
    <t>E05010523</t>
  </si>
  <si>
    <t>E05010524</t>
  </si>
  <si>
    <t>E05010525</t>
  </si>
  <si>
    <t>E05010526</t>
  </si>
  <si>
    <t>E05010527</t>
  </si>
  <si>
    <t>E05010528</t>
  </si>
  <si>
    <t>E05010529</t>
  </si>
  <si>
    <t>E05010530</t>
  </si>
  <si>
    <t>E05010531</t>
  </si>
  <si>
    <t>E05010532</t>
  </si>
  <si>
    <t>E05010533</t>
  </si>
  <si>
    <t>Benson &amp; Crowmarsh</t>
  </si>
  <si>
    <t>E05009733</t>
  </si>
  <si>
    <t>Cholsey</t>
  </si>
  <si>
    <t>Didcot North East</t>
  </si>
  <si>
    <t>Didcot South</t>
  </si>
  <si>
    <t>Didcot West</t>
  </si>
  <si>
    <t>Forest Hill &amp; Holton</t>
  </si>
  <si>
    <t>Garsington &amp; Horspath</t>
  </si>
  <si>
    <t>Haseley Brook</t>
  </si>
  <si>
    <t>Henley-on-Thames</t>
  </si>
  <si>
    <t>Kidmore End &amp; Whitchurch</t>
  </si>
  <si>
    <t>Sandford &amp; the Wittenhams</t>
  </si>
  <si>
    <t>Thame</t>
  </si>
  <si>
    <t>Wallingford</t>
  </si>
  <si>
    <t>Woodcote &amp; Rotherfield</t>
  </si>
  <si>
    <t>* as created by The South Oxfordshire (Electoral Changes) Order 2014</t>
  </si>
  <si>
    <t>E05009734</t>
  </si>
  <si>
    <t>E05009735</t>
  </si>
  <si>
    <t>E05009736</t>
  </si>
  <si>
    <t>E05009740</t>
  </si>
  <si>
    <t>E05009742</t>
  </si>
  <si>
    <t>E05009743</t>
  </si>
  <si>
    <t>E05009749</t>
  </si>
  <si>
    <t>E05009751</t>
  </si>
  <si>
    <t>E05009754</t>
  </si>
  <si>
    <t>Abingdon Abbey Northcourt</t>
  </si>
  <si>
    <t>* as created by The Vale of White Horse (Electoral Changes) Order 2014</t>
  </si>
  <si>
    <t>Blewbury &amp; Harwell</t>
  </si>
  <si>
    <t>Botley &amp; Sunningwell</t>
  </si>
  <si>
    <t>Cumnor</t>
  </si>
  <si>
    <t>Faringdon</t>
  </si>
  <si>
    <t>Grove North</t>
  </si>
  <si>
    <t>Kennington &amp; Radley</t>
  </si>
  <si>
    <t>Kingston Bagpuize</t>
  </si>
  <si>
    <t>Marcham</t>
  </si>
  <si>
    <t>E05009755</t>
  </si>
  <si>
    <t>E05009757</t>
  </si>
  <si>
    <t>E05009769</t>
  </si>
  <si>
    <t>E05009770</t>
  </si>
  <si>
    <t>Steventon &amp; the Hanneys</t>
  </si>
  <si>
    <t>Sutton Courtenay</t>
  </si>
  <si>
    <t>E05009771</t>
  </si>
  <si>
    <t>Wantage &amp; Grove Brook</t>
  </si>
  <si>
    <t>Watchfield &amp; Shrivenham</t>
  </si>
  <si>
    <t>Admaston &amp; Bratton</t>
  </si>
  <si>
    <t>E05009966</t>
  </si>
  <si>
    <t>* as created by The Telford and Wrekin (Electoral Changes) Order 2014</t>
  </si>
  <si>
    <t>Church Aston &amp; Lilleshall</t>
  </si>
  <si>
    <t>Dawley &amp; Aqueduct</t>
  </si>
  <si>
    <t>Edgmond &amp; Ercall Magna</t>
  </si>
  <si>
    <t>Hadley &amp; Leegomery</t>
  </si>
  <si>
    <t>Horsehay &amp; Lightmoor</t>
  </si>
  <si>
    <t>Ketley &amp; Overdale</t>
  </si>
  <si>
    <t>Madeley &amp; Sutton Hill</t>
  </si>
  <si>
    <t>Malinslee &amp; Dawley Bank</t>
  </si>
  <si>
    <t>Newport North &amp; West</t>
  </si>
  <si>
    <t>Newport South &amp; East</t>
  </si>
  <si>
    <t>Oakengates &amp; Ketley Bank</t>
  </si>
  <si>
    <t>Wrockwardine Wood &amp; Trench</t>
  </si>
  <si>
    <t>E05009967</t>
  </si>
  <si>
    <t>E05009968</t>
  </si>
  <si>
    <t>E05009969</t>
  </si>
  <si>
    <t>E05009970</t>
  </si>
  <si>
    <t>E05009971</t>
  </si>
  <si>
    <t>E05009972</t>
  </si>
  <si>
    <t>E05009973</t>
  </si>
  <si>
    <t>E05009974</t>
  </si>
  <si>
    <t>E05009975</t>
  </si>
  <si>
    <t>E05009976</t>
  </si>
  <si>
    <t>E05009977</t>
  </si>
  <si>
    <t>E05009978</t>
  </si>
  <si>
    <t>E05009979</t>
  </si>
  <si>
    <t>E05009980</t>
  </si>
  <si>
    <t>E05009981</t>
  </si>
  <si>
    <t>E05009982</t>
  </si>
  <si>
    <t>E05009983</t>
  </si>
  <si>
    <t>E05009984</t>
  </si>
  <si>
    <t>E05009985</t>
  </si>
  <si>
    <t>E05009986</t>
  </si>
  <si>
    <t>E05009987</t>
  </si>
  <si>
    <t>E05009988</t>
  </si>
  <si>
    <t>E05009989</t>
  </si>
  <si>
    <t>E05009990</t>
  </si>
  <si>
    <t>E05009991</t>
  </si>
  <si>
    <t>E05009992</t>
  </si>
  <si>
    <t>E05009993</t>
  </si>
  <si>
    <t>E05009994</t>
  </si>
  <si>
    <t>E05009995</t>
  </si>
  <si>
    <t>Adwick le Street &amp; Carcroft</t>
  </si>
  <si>
    <t>E05010728</t>
  </si>
  <si>
    <t>Balby South</t>
  </si>
  <si>
    <t>Bessacarr</t>
  </si>
  <si>
    <t>Conisbrough</t>
  </si>
  <si>
    <t>Edenthorpe &amp; Kirk Sandall</t>
  </si>
  <si>
    <t>Edlington &amp; Warmsworth</t>
  </si>
  <si>
    <t>Hexthorpe &amp; Balby North</t>
  </si>
  <si>
    <t>Norton &amp; Askern</t>
  </si>
  <si>
    <t>Roman Ridge</t>
  </si>
  <si>
    <t>Rossington &amp; Bawtry</t>
  </si>
  <si>
    <t>Stainforth &amp; Barnby Dun</t>
  </si>
  <si>
    <t>Thorne &amp; Moorends</t>
  </si>
  <si>
    <t>Wheatley Hills &amp; Intake</t>
  </si>
  <si>
    <t>* as created by The Doncaster (Electoral Changes) Order 2015</t>
  </si>
  <si>
    <t>E05010729</t>
  </si>
  <si>
    <t>E05010730</t>
  </si>
  <si>
    <t>E05010731</t>
  </si>
  <si>
    <t>E05010732</t>
  </si>
  <si>
    <t>E05010733</t>
  </si>
  <si>
    <t>E05010734</t>
  </si>
  <si>
    <t>E05010735</t>
  </si>
  <si>
    <t>E05010736</t>
  </si>
  <si>
    <t>E05010737</t>
  </si>
  <si>
    <t>E05010738</t>
  </si>
  <si>
    <t>E05010739</t>
  </si>
  <si>
    <t>E05010740</t>
  </si>
  <si>
    <t>E05010741</t>
  </si>
  <si>
    <t>E05010742</t>
  </si>
  <si>
    <t>E05010743</t>
  </si>
  <si>
    <t>E05010744</t>
  </si>
  <si>
    <t>E05010745</t>
  </si>
  <si>
    <t>E05010746</t>
  </si>
  <si>
    <t>E05010747</t>
  </si>
  <si>
    <t>E05010748</t>
  </si>
  <si>
    <t>* as created by The Lichfield (Electoral Changes) Order 2015</t>
  </si>
  <si>
    <t>E05010651</t>
  </si>
  <si>
    <t>Alrewas &amp; Fradley</t>
  </si>
  <si>
    <t>Boney Hay &amp; Central</t>
  </si>
  <si>
    <t>Colton &amp; the Ridwares</t>
  </si>
  <si>
    <t>Hammerwich with Wall</t>
  </si>
  <si>
    <t>Little Aston &amp; Stonnall</t>
  </si>
  <si>
    <t>E05010652</t>
  </si>
  <si>
    <t>E05010653</t>
  </si>
  <si>
    <t>E05010654</t>
  </si>
  <si>
    <t>E05010655</t>
  </si>
  <si>
    <t>E05010656</t>
  </si>
  <si>
    <t>E05010657</t>
  </si>
  <si>
    <t>E05010658</t>
  </si>
  <si>
    <t>E05010659</t>
  </si>
  <si>
    <t>E05010660</t>
  </si>
  <si>
    <t>E05010661</t>
  </si>
  <si>
    <t>E05010662</t>
  </si>
  <si>
    <t>E05010663</t>
  </si>
  <si>
    <t>E05010664</t>
  </si>
  <si>
    <t>E05010665</t>
  </si>
  <si>
    <t>Mease Valley</t>
  </si>
  <si>
    <t>Summerfield &amp; All Saints</t>
  </si>
  <si>
    <t>Whittington &amp; Streethay</t>
  </si>
  <si>
    <t>E05010666</t>
  </si>
  <si>
    <t>E05010667</t>
  </si>
  <si>
    <t>E05010668</t>
  </si>
  <si>
    <t>E05010669</t>
  </si>
  <si>
    <t>E05010670</t>
  </si>
  <si>
    <t>E05010671</t>
  </si>
  <si>
    <t>E05010672</t>
  </si>
  <si>
    <t>E05010479</t>
  </si>
  <si>
    <t>* as created by The Stafford (Electoral Changes) Order 2015</t>
  </si>
  <si>
    <t>Barlaston</t>
  </si>
  <si>
    <t>Doxey &amp; Castletown</t>
  </si>
  <si>
    <t>Gnosall &amp; Woodseaves</t>
  </si>
  <si>
    <t>Haywood &amp; Hixon</t>
  </si>
  <si>
    <t>Highfields &amp; Western Downs</t>
  </si>
  <si>
    <t>St Michael's &amp; Stonefield</t>
  </si>
  <si>
    <t>Seighford &amp; Church Eaton</t>
  </si>
  <si>
    <t>Swynnerton &amp; Oulton</t>
  </si>
  <si>
    <t>Weeping Cross &amp; Wildwood</t>
  </si>
  <si>
    <t>E05010480</t>
  </si>
  <si>
    <t>E05010481</t>
  </si>
  <si>
    <t>E05010482</t>
  </si>
  <si>
    <t>E05010483</t>
  </si>
  <si>
    <t>E05010484</t>
  </si>
  <si>
    <t>E05010485</t>
  </si>
  <si>
    <t>E05010486</t>
  </si>
  <si>
    <t>E05010487</t>
  </si>
  <si>
    <t>E05010488</t>
  </si>
  <si>
    <t>E05010489</t>
  </si>
  <si>
    <t>E05010490</t>
  </si>
  <si>
    <t>E05010491</t>
  </si>
  <si>
    <t>E05010492</t>
  </si>
  <si>
    <t>E05010493</t>
  </si>
  <si>
    <t>E05010494</t>
  </si>
  <si>
    <t>E05010495</t>
  </si>
  <si>
    <t>E05010496</t>
  </si>
  <si>
    <t>E05010497</t>
  </si>
  <si>
    <t>E05010498</t>
  </si>
  <si>
    <t>E05010499</t>
  </si>
  <si>
    <t>E05010500</t>
  </si>
  <si>
    <t>E05010501</t>
  </si>
  <si>
    <t>Deben</t>
  </si>
  <si>
    <t>Woodbridge</t>
  </si>
  <si>
    <t>E05010756</t>
  </si>
  <si>
    <t>E05010755</t>
  </si>
  <si>
    <t>E05010757</t>
  </si>
  <si>
    <t>* as created by The Swindon (Electoral Changes) Order 2012 and</t>
  </si>
  <si>
    <t xml:space="preserve">   as altered by The Swindon (Electoral Changes) Order 2015</t>
  </si>
  <si>
    <t>E05010758</t>
  </si>
  <si>
    <t>E05010759</t>
  </si>
  <si>
    <t>E05010760</t>
  </si>
  <si>
    <t>* as created by The Rugby (Electoral Changes) Order 2012 and</t>
  </si>
  <si>
    <t xml:space="preserve">  as altered by The Rugby (Electoral Changes) Order 2015</t>
  </si>
  <si>
    <t>Alcester Town</t>
  </si>
  <si>
    <t>Alcester &amp; Rural</t>
  </si>
  <si>
    <t>E05010178</t>
  </si>
  <si>
    <t>Bidford East</t>
  </si>
  <si>
    <t>Bidford West &amp; Salford</t>
  </si>
  <si>
    <t>Bishop's Itchington</t>
  </si>
  <si>
    <t>Bishopton</t>
  </si>
  <si>
    <t>Brailes &amp; Compton</t>
  </si>
  <si>
    <t>Bridgetown</t>
  </si>
  <si>
    <t>Clopton</t>
  </si>
  <si>
    <t>Hathaway</t>
  </si>
  <si>
    <t>Henley-in-Arden</t>
  </si>
  <si>
    <t>Long Itchington &amp; Stockton</t>
  </si>
  <si>
    <t>Napton &amp; Fenny Compton</t>
  </si>
  <si>
    <t>Red Horse</t>
  </si>
  <si>
    <t>Shipston North</t>
  </si>
  <si>
    <t>Shipston South</t>
  </si>
  <si>
    <t>Shottery</t>
  </si>
  <si>
    <t>Southam North</t>
  </si>
  <si>
    <t>Southam South</t>
  </si>
  <si>
    <t>Studley with Mappleborough Green</t>
  </si>
  <si>
    <t>Studley with Sambourne</t>
  </si>
  <si>
    <t>Tanworth-in-Arden</t>
  </si>
  <si>
    <t>Tiddington</t>
  </si>
  <si>
    <t>Welcombe</t>
  </si>
  <si>
    <t>Welford-on-Avon</t>
  </si>
  <si>
    <t>Wellesbourne East</t>
  </si>
  <si>
    <t>Wellesbourne West</t>
  </si>
  <si>
    <t>* as created by The Stratford-on-Avon (Electoral Changes) Order 2014</t>
  </si>
  <si>
    <t>E05010179</t>
  </si>
  <si>
    <t>E05010180</t>
  </si>
  <si>
    <t>E05010181</t>
  </si>
  <si>
    <t>E05010182</t>
  </si>
  <si>
    <t>E05010183</t>
  </si>
  <si>
    <t>E05010184</t>
  </si>
  <si>
    <t>E05010185</t>
  </si>
  <si>
    <t>E05010186</t>
  </si>
  <si>
    <t>E05010187</t>
  </si>
  <si>
    <t>E05010188</t>
  </si>
  <si>
    <t>E05010189</t>
  </si>
  <si>
    <t>E05010190</t>
  </si>
  <si>
    <t>E05010191</t>
  </si>
  <si>
    <t>E05010192</t>
  </si>
  <si>
    <t>E05010193</t>
  </si>
  <si>
    <t>E05010194</t>
  </si>
  <si>
    <t>E05010195</t>
  </si>
  <si>
    <t>E05010196</t>
  </si>
  <si>
    <t>E05010197</t>
  </si>
  <si>
    <t>E05010198</t>
  </si>
  <si>
    <t>E05010199</t>
  </si>
  <si>
    <t>E05010200</t>
  </si>
  <si>
    <t>E05010201</t>
  </si>
  <si>
    <t>E05010202</t>
  </si>
  <si>
    <t>E05010203</t>
  </si>
  <si>
    <t>E05010204</t>
  </si>
  <si>
    <t>E05010205</t>
  </si>
  <si>
    <t>E05010206</t>
  </si>
  <si>
    <t>E05010207</t>
  </si>
  <si>
    <t>E05010208</t>
  </si>
  <si>
    <t>E05010209</t>
  </si>
  <si>
    <t>E05010210</t>
  </si>
  <si>
    <t>E05010211</t>
  </si>
  <si>
    <t>E05010212</t>
  </si>
  <si>
    <t>E05010213</t>
  </si>
  <si>
    <t>Royal Wootton Bassett North</t>
  </si>
  <si>
    <t>E05010502</t>
  </si>
  <si>
    <t>Aggborough &amp; Spennells</t>
  </si>
  <si>
    <t>Areley Kings &amp; Riverside</t>
  </si>
  <si>
    <t>Bewdley &amp; Rock</t>
  </si>
  <si>
    <t>Blakebrook &amp; Habberley South</t>
  </si>
  <si>
    <t>Foley Park &amp; Hoobrook</t>
  </si>
  <si>
    <t>Franche &amp; Habberley North</t>
  </si>
  <si>
    <t>Offmore &amp; Comberton</t>
  </si>
  <si>
    <t>Wribbenhall &amp; Arley</t>
  </si>
  <si>
    <t>Wyre Forest Rural</t>
  </si>
  <si>
    <t>E05010503</t>
  </si>
  <si>
    <t>E05010504</t>
  </si>
  <si>
    <t>E05010505</t>
  </si>
  <si>
    <t>E05010506</t>
  </si>
  <si>
    <t>E05010507</t>
  </si>
  <si>
    <t>E05010508</t>
  </si>
  <si>
    <t>E05010509</t>
  </si>
  <si>
    <t>E05010510</t>
  </si>
  <si>
    <t>E05010511</t>
  </si>
  <si>
    <t>E05010512</t>
  </si>
  <si>
    <t>E05010513</t>
  </si>
  <si>
    <t>* as created by The Wyre Forest (Electoral Changes) Order 2015</t>
  </si>
  <si>
    <t>E05009800</t>
  </si>
  <si>
    <t>Angmering &amp; Findon</t>
  </si>
  <si>
    <t>Arundel &amp; Walberton</t>
  </si>
  <si>
    <t>Courtwick with Toddington</t>
  </si>
  <si>
    <t>East Preston</t>
  </si>
  <si>
    <t>E05009801</t>
  </si>
  <si>
    <t>E05009802</t>
  </si>
  <si>
    <t>E05009803</t>
  </si>
  <si>
    <t>E05009804</t>
  </si>
  <si>
    <t>E05009805</t>
  </si>
  <si>
    <t>E05009806</t>
  </si>
  <si>
    <t>E05009807</t>
  </si>
  <si>
    <t>E05009808</t>
  </si>
  <si>
    <t>E05009809</t>
  </si>
  <si>
    <t>Pagham</t>
  </si>
  <si>
    <t>E05009810</t>
  </si>
  <si>
    <t>E05009811</t>
  </si>
  <si>
    <t>E05009812</t>
  </si>
  <si>
    <t>E05009813</t>
  </si>
  <si>
    <t>E05009814</t>
  </si>
  <si>
    <t>E05009815</t>
  </si>
  <si>
    <t>E05009816</t>
  </si>
  <si>
    <t>E05009817</t>
  </si>
  <si>
    <t>E05009818</t>
  </si>
  <si>
    <t>E05009819</t>
  </si>
  <si>
    <t>E05009820</t>
  </si>
  <si>
    <t>E05009821</t>
  </si>
  <si>
    <t>E05009822</t>
  </si>
  <si>
    <t>* as created by The Arun (Electoral Changes) Order 2015</t>
  </si>
  <si>
    <t>Homewood</t>
  </si>
  <si>
    <t>Hardwick and Salters Lane</t>
  </si>
  <si>
    <t>Haughton &amp; Springfield</t>
  </si>
  <si>
    <t>* as created by The Lincoln (Electoral Changes) Order 2015</t>
  </si>
  <si>
    <t>County Average (Lancashire) (11 seats)</t>
  </si>
  <si>
    <t>E05010784</t>
  </si>
  <si>
    <t>E05010785</t>
  </si>
  <si>
    <t>E05010786</t>
  </si>
  <si>
    <t>E05010787</t>
  </si>
  <si>
    <t>E05010788</t>
  </si>
  <si>
    <t>E05010789</t>
  </si>
  <si>
    <t>E05010790</t>
  </si>
  <si>
    <t>E05010791</t>
  </si>
  <si>
    <t>E05010792</t>
  </si>
  <si>
    <t>E05010793</t>
  </si>
  <si>
    <t>E05010794</t>
  </si>
  <si>
    <t>E05010827</t>
  </si>
  <si>
    <t>E05010828</t>
  </si>
  <si>
    <t>E05010829</t>
  </si>
  <si>
    <t>Greenstead</t>
  </si>
  <si>
    <t>E05010830</t>
  </si>
  <si>
    <t>E05010831</t>
  </si>
  <si>
    <t>E05010832</t>
  </si>
  <si>
    <t>E05010833</t>
  </si>
  <si>
    <t>E05010834</t>
  </si>
  <si>
    <t>E05010835</t>
  </si>
  <si>
    <t>New Town and Christ Church</t>
  </si>
  <si>
    <t>E05010836</t>
  </si>
  <si>
    <t>E05010837</t>
  </si>
  <si>
    <t>E05010838</t>
  </si>
  <si>
    <t>Rural North</t>
  </si>
  <si>
    <t>E05010839</t>
  </si>
  <si>
    <t>St Anne's and St John's</t>
  </si>
  <si>
    <t>E05010840</t>
  </si>
  <si>
    <t>E05010841</t>
  </si>
  <si>
    <t>E05010842</t>
  </si>
  <si>
    <t>E05010843</t>
  </si>
  <si>
    <t>Wivenhoe</t>
  </si>
  <si>
    <t>Lexden &amp; Braiswick</t>
  </si>
  <si>
    <t>Marks Tey &amp; Layer</t>
  </si>
  <si>
    <t>Mersea &amp; Pyefleet</t>
  </si>
  <si>
    <t>Old Heath &amp; The Hythe</t>
  </si>
  <si>
    <t>* as created by The Colchester (Electoral Changes) Order 2015</t>
  </si>
  <si>
    <t>E05009823</t>
  </si>
  <si>
    <t>E05009824</t>
  </si>
  <si>
    <t>E05009825</t>
  </si>
  <si>
    <t>E05009826</t>
  </si>
  <si>
    <t>E05009827</t>
  </si>
  <si>
    <t>E05009828</t>
  </si>
  <si>
    <t>E05009829</t>
  </si>
  <si>
    <t>E05009830</t>
  </si>
  <si>
    <t>E05009831</t>
  </si>
  <si>
    <t>E05009832</t>
  </si>
  <si>
    <t>E05009833</t>
  </si>
  <si>
    <t>E05009834</t>
  </si>
  <si>
    <t>E05009835</t>
  </si>
  <si>
    <t>E05009836</t>
  </si>
  <si>
    <t>E05009837</t>
  </si>
  <si>
    <t>E05009838</t>
  </si>
  <si>
    <t>E05009839</t>
  </si>
  <si>
    <t>E05009840</t>
  </si>
  <si>
    <t>E05009841</t>
  </si>
  <si>
    <t>E05009842</t>
  </si>
  <si>
    <t>E05009843</t>
  </si>
  <si>
    <t>E05009844</t>
  </si>
  <si>
    <t>E05009845</t>
  </si>
  <si>
    <t>E05009846</t>
  </si>
  <si>
    <t>E05009847</t>
  </si>
  <si>
    <t>E05009848</t>
  </si>
  <si>
    <t>E05009849</t>
  </si>
  <si>
    <t>E05009850</t>
  </si>
  <si>
    <t>E05009851</t>
  </si>
  <si>
    <t>E05009852</t>
  </si>
  <si>
    <t>E05010392</t>
  </si>
  <si>
    <t>E05010393</t>
  </si>
  <si>
    <t>E05010395</t>
  </si>
  <si>
    <t>E05010396</t>
  </si>
  <si>
    <t>E05010397</t>
  </si>
  <si>
    <t>E05010398</t>
  </si>
  <si>
    <t>E05010399</t>
  </si>
  <si>
    <t>E05010402</t>
  </si>
  <si>
    <t>E05010404</t>
  </si>
  <si>
    <t>E05010405</t>
  </si>
  <si>
    <t>E05010407</t>
  </si>
  <si>
    <t>E05010408</t>
  </si>
  <si>
    <t>E05010409</t>
  </si>
  <si>
    <t>E05010410</t>
  </si>
  <si>
    <t>E05010411</t>
  </si>
  <si>
    <t>E05008548</t>
  </si>
  <si>
    <t>Bracknell Forest *</t>
  </si>
  <si>
    <t>Reading *</t>
  </si>
  <si>
    <t>Slough *</t>
  </si>
  <si>
    <t>West Berkshire *</t>
  </si>
  <si>
    <t>Windsor and Maidenhead *</t>
  </si>
  <si>
    <t>Wokingham *</t>
  </si>
  <si>
    <t>Marldon &amp; Littlehempston</t>
  </si>
  <si>
    <t>Wotton Wawen</t>
  </si>
  <si>
    <t>Bedingfeld</t>
  </si>
  <si>
    <t>Newton &amp; Yealmpton</t>
  </si>
  <si>
    <t>Sprotbrough</t>
  </si>
  <si>
    <t>Tickhill &amp; Wadsworth</t>
  </si>
  <si>
    <t>E05010774</t>
  </si>
  <si>
    <t>E05010775</t>
  </si>
  <si>
    <t>E05010776</t>
  </si>
  <si>
    <t>E05010777</t>
  </si>
  <si>
    <t>E05010778</t>
  </si>
  <si>
    <t>E05010779</t>
  </si>
  <si>
    <t>E05010780</t>
  </si>
  <si>
    <t>E05010781</t>
  </si>
  <si>
    <t>E05010782</t>
  </si>
  <si>
    <t>E05010783</t>
  </si>
  <si>
    <t>* as created by The Woking (Electoral Changes) Order 2015</t>
  </si>
  <si>
    <t>Byfleet and West Byfleet</t>
  </si>
  <si>
    <t>E05010795</t>
  </si>
  <si>
    <t>E05010796</t>
  </si>
  <si>
    <t>E05010797</t>
  </si>
  <si>
    <t>E05010798</t>
  </si>
  <si>
    <t>E05010799</t>
  </si>
  <si>
    <t>E05010800</t>
  </si>
  <si>
    <t>E05010801</t>
  </si>
  <si>
    <t>E05010802</t>
  </si>
  <si>
    <t>E05010803</t>
  </si>
  <si>
    <t>E05010804</t>
  </si>
  <si>
    <t>Canalside</t>
  </si>
  <si>
    <t>Goldsworth Park</t>
  </si>
  <si>
    <t>Heathlands</t>
  </si>
  <si>
    <t>Hoe Valley</t>
  </si>
  <si>
    <t>Horsell</t>
  </si>
  <si>
    <t>Mount Hermon</t>
  </si>
  <si>
    <t>E05010805</t>
  </si>
  <si>
    <t>E05010806</t>
  </si>
  <si>
    <t>Bretton</t>
  </si>
  <si>
    <t>E05010807</t>
  </si>
  <si>
    <t>E05010808</t>
  </si>
  <si>
    <t>E05010809</t>
  </si>
  <si>
    <t>Eye, Thorney &amp; Newborough</t>
  </si>
  <si>
    <t>Fletton &amp; Stanground</t>
  </si>
  <si>
    <t>Fletton &amp; Woodston</t>
  </si>
  <si>
    <t>E05010810</t>
  </si>
  <si>
    <t>E05010811</t>
  </si>
  <si>
    <t>E05010812</t>
  </si>
  <si>
    <t>Glinton &amp; Castor</t>
  </si>
  <si>
    <t>E05010813</t>
  </si>
  <si>
    <t>Gunthorpe</t>
  </si>
  <si>
    <t>Hampton Vale</t>
  </si>
  <si>
    <t>Hargate &amp; Hempsted</t>
  </si>
  <si>
    <t>E05010814</t>
  </si>
  <si>
    <t>E05010815</t>
  </si>
  <si>
    <t>E05010816</t>
  </si>
  <si>
    <t>E05010817</t>
  </si>
  <si>
    <t>E05010818</t>
  </si>
  <si>
    <t>E05010819</t>
  </si>
  <si>
    <t>E05010820</t>
  </si>
  <si>
    <t>E05010821</t>
  </si>
  <si>
    <t>E05010822</t>
  </si>
  <si>
    <t>E05010823</t>
  </si>
  <si>
    <t>E05010824</t>
  </si>
  <si>
    <t>E05010825</t>
  </si>
  <si>
    <t>E05010826</t>
  </si>
  <si>
    <t>Paston &amp; Walton</t>
  </si>
  <si>
    <t>Stanground South</t>
  </si>
  <si>
    <t>Wittering</t>
  </si>
  <si>
    <t>* as created by The Peterborough (Electoral Changes) Order 2015</t>
  </si>
  <si>
    <t>E05010844</t>
  </si>
  <si>
    <t>Foulness &amp; The Wakerings</t>
  </si>
  <si>
    <t>Downhall &amp; Rawreth</t>
  </si>
  <si>
    <t>E05010845</t>
  </si>
  <si>
    <t>E05010846</t>
  </si>
  <si>
    <t>E05010847</t>
  </si>
  <si>
    <t>E05010848</t>
  </si>
  <si>
    <t>E05010849</t>
  </si>
  <si>
    <t>E05010850</t>
  </si>
  <si>
    <t>E05010851</t>
  </si>
  <si>
    <t>E05010852</t>
  </si>
  <si>
    <t>E05010853</t>
  </si>
  <si>
    <t>E05010854</t>
  </si>
  <si>
    <t>E05010855</t>
  </si>
  <si>
    <t>E05010856</t>
  </si>
  <si>
    <t>Hawkwell East</t>
  </si>
  <si>
    <t>Hockley</t>
  </si>
  <si>
    <t>Hockley &amp; Ashingdon</t>
  </si>
  <si>
    <t>Roche North &amp; Rural</t>
  </si>
  <si>
    <t>Roche South</t>
  </si>
  <si>
    <t>Sweyne Park &amp; Grange</t>
  </si>
  <si>
    <t>* as created by The Rochford (Electoral Changes) Order 2015</t>
  </si>
  <si>
    <t>E05010857</t>
  </si>
  <si>
    <t>Beauchief &amp; Greenhill</t>
  </si>
  <si>
    <t>E05010858</t>
  </si>
  <si>
    <t>E05010859</t>
  </si>
  <si>
    <t>E05010860</t>
  </si>
  <si>
    <t>Broomhill &amp; Sharrow Vale</t>
  </si>
  <si>
    <t>E05010861</t>
  </si>
  <si>
    <t>E05010862</t>
  </si>
  <si>
    <t>E05010863</t>
  </si>
  <si>
    <t>E05010864</t>
  </si>
  <si>
    <t>E05010865</t>
  </si>
  <si>
    <t>E05010866</t>
  </si>
  <si>
    <t>E05010867</t>
  </si>
  <si>
    <t>E05010868</t>
  </si>
  <si>
    <t>E05010869</t>
  </si>
  <si>
    <t>E05010870</t>
  </si>
  <si>
    <t>E05010871</t>
  </si>
  <si>
    <t>E05010872</t>
  </si>
  <si>
    <t>E05010873</t>
  </si>
  <si>
    <t>E05010874</t>
  </si>
  <si>
    <t>E05010875</t>
  </si>
  <si>
    <t>E05010876</t>
  </si>
  <si>
    <t>E05010877</t>
  </si>
  <si>
    <t>E05010878</t>
  </si>
  <si>
    <t>E05010879</t>
  </si>
  <si>
    <t>E05010880</t>
  </si>
  <si>
    <t>E05010881</t>
  </si>
  <si>
    <t>E05010882</t>
  </si>
  <si>
    <t>E05010883</t>
  </si>
  <si>
    <t>E05010884</t>
  </si>
  <si>
    <t>Crookes &amp; Crosspool</t>
  </si>
  <si>
    <t>Dore &amp; Totley</t>
  </si>
  <si>
    <t>Nether Edge &amp; Sharrow</t>
  </si>
  <si>
    <t>Park &amp; Arbourthorne</t>
  </si>
  <si>
    <t>Shiregreen &amp; Brightside</t>
  </si>
  <si>
    <t>Stocksbridge &amp; Upper Don</t>
  </si>
  <si>
    <t>* as created by The Sheffield (Electoral Changes) Order 2015</t>
  </si>
  <si>
    <t>E05010885</t>
  </si>
  <si>
    <t>E05010886</t>
  </si>
  <si>
    <t>E05010887</t>
  </si>
  <si>
    <t>E05010888</t>
  </si>
  <si>
    <t>E05010889</t>
  </si>
  <si>
    <t>E05010890</t>
  </si>
  <si>
    <t>E05010891</t>
  </si>
  <si>
    <t>E05010892</t>
  </si>
  <si>
    <t>E05010893</t>
  </si>
  <si>
    <t>E05010894</t>
  </si>
  <si>
    <t>E05010895</t>
  </si>
  <si>
    <t>E05010896</t>
  </si>
  <si>
    <t>E05010897</t>
  </si>
  <si>
    <t>E05010898</t>
  </si>
  <si>
    <t>E05010899</t>
  </si>
  <si>
    <t>E05010900</t>
  </si>
  <si>
    <t>E05010901</t>
  </si>
  <si>
    <t>E05010902</t>
  </si>
  <si>
    <t>E05010903</t>
  </si>
  <si>
    <t>E05010904</t>
  </si>
  <si>
    <t>E05010905</t>
  </si>
  <si>
    <t>E05010906</t>
  </si>
  <si>
    <t>E05010907</t>
  </si>
  <si>
    <t>E05010908</t>
  </si>
  <si>
    <t>E05010909</t>
  </si>
  <si>
    <t>E05010910</t>
  </si>
  <si>
    <t>E05010911</t>
  </si>
  <si>
    <t>E05010912</t>
  </si>
  <si>
    <t>E05010913</t>
  </si>
  <si>
    <t>E05010914</t>
  </si>
  <si>
    <t>E05010915</t>
  </si>
  <si>
    <t>E05010916</t>
  </si>
  <si>
    <t>E05010917</t>
  </si>
  <si>
    <t>E05010918</t>
  </si>
  <si>
    <t>* as created by The Bristol (Electoral Changes) Order 2015</t>
  </si>
  <si>
    <t>Avonmouth &amp; Lawrence Weston</t>
  </si>
  <si>
    <t>Bishopston &amp; Ashley Downs</t>
  </si>
  <si>
    <t>Clifton Down</t>
  </si>
  <si>
    <t>Hartcliffe &amp; Withywood</t>
  </si>
  <si>
    <t>Henbury &amp; Brentry</t>
  </si>
  <si>
    <t>Hengrove &amp; Whitchurch Park</t>
  </si>
  <si>
    <t>Hotwells &amp; Harbourside</t>
  </si>
  <si>
    <t>St George Central</t>
  </si>
  <si>
    <t>St George Troopers Hill</t>
  </si>
  <si>
    <t>Westbury-on-Trym &amp; Henleaze</t>
  </si>
  <si>
    <t>E05010921</t>
  </si>
  <si>
    <t>E05010922</t>
  </si>
  <si>
    <t>E05010923</t>
  </si>
  <si>
    <t>E05010924</t>
  </si>
  <si>
    <t>E05010925</t>
  </si>
  <si>
    <t>E05010926</t>
  </si>
  <si>
    <t>E05010928</t>
  </si>
  <si>
    <t>E05010929</t>
  </si>
  <si>
    <t>E05010930</t>
  </si>
  <si>
    <t>E05010932</t>
  </si>
  <si>
    <t>E05010933</t>
  </si>
  <si>
    <t>E05010934</t>
  </si>
  <si>
    <t>Adderbury, Bloxham &amp; Bodicote</t>
  </si>
  <si>
    <t>Banbury Calthorpe &amp; Easington</t>
  </si>
  <si>
    <t>Banbury Cross &amp; Neithrop</t>
  </si>
  <si>
    <t>Banbury Grimsbury &amp; Hightown</t>
  </si>
  <si>
    <t>Bicester North &amp; Caversfield</t>
  </si>
  <si>
    <t>Bicester South &amp; Ambrosden</t>
  </si>
  <si>
    <t>Cropredy, Sibfords &amp; Wroxton</t>
  </si>
  <si>
    <t>Fringford &amp; Heyfords</t>
  </si>
  <si>
    <t>Kidlington East</t>
  </si>
  <si>
    <t>Kidlington West</t>
  </si>
  <si>
    <t>Launton &amp; Otmoor</t>
  </si>
  <si>
    <t>* as created by The Knowsley (Electoral Changes) Order 2015</t>
  </si>
  <si>
    <t>E05010935</t>
  </si>
  <si>
    <t>E05010936</t>
  </si>
  <si>
    <t>E05010937</t>
  </si>
  <si>
    <t>E05010938</t>
  </si>
  <si>
    <t>E05010939</t>
  </si>
  <si>
    <t>E05010940</t>
  </si>
  <si>
    <t>E05010941</t>
  </si>
  <si>
    <t>E05010942</t>
  </si>
  <si>
    <t>E05010943</t>
  </si>
  <si>
    <t>E05010944</t>
  </si>
  <si>
    <t>E05010945</t>
  </si>
  <si>
    <t>E05010946</t>
  </si>
  <si>
    <t>E05010947</t>
  </si>
  <si>
    <t>E05010948</t>
  </si>
  <si>
    <t>E05010949</t>
  </si>
  <si>
    <t>Prescot North</t>
  </si>
  <si>
    <t>Prescot South</t>
  </si>
  <si>
    <t>Whiston &amp; Cronton</t>
  </si>
  <si>
    <t>E05010950</t>
  </si>
  <si>
    <t>E05010951</t>
  </si>
  <si>
    <t>E05010952</t>
  </si>
  <si>
    <t>E05010953</t>
  </si>
  <si>
    <t>E05010954</t>
  </si>
  <si>
    <t>E05010955</t>
  </si>
  <si>
    <t>E05010956</t>
  </si>
  <si>
    <t>E05010957</t>
  </si>
  <si>
    <t>E05010958</t>
  </si>
  <si>
    <t>E05010959</t>
  </si>
  <si>
    <t>E05010960</t>
  </si>
  <si>
    <t>E05010961</t>
  </si>
  <si>
    <t>E05010962</t>
  </si>
  <si>
    <t>E05010963</t>
  </si>
  <si>
    <t>E05010964</t>
  </si>
  <si>
    <t>E05010965</t>
  </si>
  <si>
    <t>E05010966</t>
  </si>
  <si>
    <t>E05010967</t>
  </si>
  <si>
    <t>Abbeydale</t>
  </si>
  <si>
    <t>Abbeymead</t>
  </si>
  <si>
    <t>Kingsholm &amp; Wotton</t>
  </si>
  <si>
    <t>Matson &amp; Robinswood</t>
  </si>
  <si>
    <t>* as created by The Gloucester (Electoral Changes) Order 2015</t>
  </si>
  <si>
    <t>Barton &amp; Tredworth</t>
  </si>
  <si>
    <t>Coney Hill</t>
  </si>
  <si>
    <t>* as created by The Stroud (Electoral Changes) Order 2015</t>
  </si>
  <si>
    <t>E05010969</t>
  </si>
  <si>
    <t>E05010972</t>
  </si>
  <si>
    <t>E05010973</t>
  </si>
  <si>
    <t>E05010975</t>
  </si>
  <si>
    <t>E05010976</t>
  </si>
  <si>
    <t>E05010981</t>
  </si>
  <si>
    <t>E05010982</t>
  </si>
  <si>
    <t>E05010986</t>
  </si>
  <si>
    <t>E05010987</t>
  </si>
  <si>
    <t>E05010988</t>
  </si>
  <si>
    <t>E05010990</t>
  </si>
  <si>
    <t>E05010991</t>
  </si>
  <si>
    <t>E05010992</t>
  </si>
  <si>
    <t>Berkeley Vale</t>
  </si>
  <si>
    <t>Coaley &amp; Uley</t>
  </si>
  <si>
    <t>Painswick &amp; Upton</t>
  </si>
  <si>
    <t>Randwick, Whiteshill &amp; Ruscombe</t>
  </si>
  <si>
    <t>Stroud Central</t>
  </si>
  <si>
    <t>Stroud Farmhill &amp; Paganhill</t>
  </si>
  <si>
    <t>Stroud Slade</t>
  </si>
  <si>
    <t>Stroud Trinity</t>
  </si>
  <si>
    <t>Stroud Uplands</t>
  </si>
  <si>
    <t>Stroud Valley</t>
  </si>
  <si>
    <t>E05010995</t>
  </si>
  <si>
    <t>E05010996</t>
  </si>
  <si>
    <t>E05010997</t>
  </si>
  <si>
    <t>E05010998</t>
  </si>
  <si>
    <t>E05010999</t>
  </si>
  <si>
    <t>E05011000</t>
  </si>
  <si>
    <t>E05011001</t>
  </si>
  <si>
    <t>E05011002</t>
  </si>
  <si>
    <t>E05011003</t>
  </si>
  <si>
    <t>E05011004</t>
  </si>
  <si>
    <t>E05011005</t>
  </si>
  <si>
    <t>E05011006</t>
  </si>
  <si>
    <t>E05011007</t>
  </si>
  <si>
    <t>E05011008</t>
  </si>
  <si>
    <t>E05011009</t>
  </si>
  <si>
    <t>Alresford &amp; Itchen Valley</t>
  </si>
  <si>
    <t>* as created by The Winchester (Electoral Changes) Order 2015</t>
  </si>
  <si>
    <t>Badger Farm &amp; Oliver's Battery</t>
  </si>
  <si>
    <t>Bishop's Waltham</t>
  </si>
  <si>
    <t>Central Meon Valley</t>
  </si>
  <si>
    <t>Colden Common &amp; Twyford</t>
  </si>
  <si>
    <t>Southwick &amp; Wickham</t>
  </si>
  <si>
    <t>The Worthys</t>
  </si>
  <si>
    <t>Whiteley &amp; Shedfield</t>
  </si>
  <si>
    <t>Wonston &amp; Micheldever</t>
  </si>
  <si>
    <t>E05011010</t>
  </si>
  <si>
    <t>E05011011</t>
  </si>
  <si>
    <t>E05011012</t>
  </si>
  <si>
    <t>E05011013</t>
  </si>
  <si>
    <t>E05011014</t>
  </si>
  <si>
    <t>E05011015</t>
  </si>
  <si>
    <t>E05011016</t>
  </si>
  <si>
    <t>E05011017</t>
  </si>
  <si>
    <t>E05011018</t>
  </si>
  <si>
    <t>E05011019</t>
  </si>
  <si>
    <t>E05011020</t>
  </si>
  <si>
    <t>E05011021</t>
  </si>
  <si>
    <t>E05011022</t>
  </si>
  <si>
    <t>E05011023</t>
  </si>
  <si>
    <t>* as created by The Exeter (Electoral Changes) Order 2016</t>
  </si>
  <si>
    <t>Duryard &amp; St James</t>
  </si>
  <si>
    <t>Mincinglake &amp; Whipton</t>
  </si>
  <si>
    <t>Newtown &amp; St Leonard's</t>
  </si>
  <si>
    <t>E05011024</t>
  </si>
  <si>
    <t>E05011025</t>
  </si>
  <si>
    <t>E05011026</t>
  </si>
  <si>
    <t>E05011027</t>
  </si>
  <si>
    <t>E05011028</t>
  </si>
  <si>
    <t>E05011029</t>
  </si>
  <si>
    <t>E05011030</t>
  </si>
  <si>
    <t>E05011031</t>
  </si>
  <si>
    <t>E05011032</t>
  </si>
  <si>
    <t>E05011033</t>
  </si>
  <si>
    <t>E05011034</t>
  </si>
  <si>
    <t>E05011035</t>
  </si>
  <si>
    <t>E05011036</t>
  </si>
  <si>
    <t>E05011037</t>
  </si>
  <si>
    <t>E05011038</t>
  </si>
  <si>
    <t>E05011039</t>
  </si>
  <si>
    <t>E05011040</t>
  </si>
  <si>
    <t>E05011041</t>
  </si>
  <si>
    <t>E05011042</t>
  </si>
  <si>
    <t>E05011043</t>
  </si>
  <si>
    <t>E05011044</t>
  </si>
  <si>
    <t>E05011045</t>
  </si>
  <si>
    <t>Burtonwood &amp; Winwick</t>
  </si>
  <si>
    <t>Rixton &amp; Woolston</t>
  </si>
  <si>
    <t>Poplars &amp; Hulme</t>
  </si>
  <si>
    <t>Penketh &amp; Cuerdley</t>
  </si>
  <si>
    <t>Lymm South</t>
  </si>
  <si>
    <t>Lymm North &amp; Thelwall</t>
  </si>
  <si>
    <t>Great Sankey North &amp; Whittle Hall</t>
  </si>
  <si>
    <t>Grappenhall</t>
  </si>
  <si>
    <t>Fairfield &amp; Howley</t>
  </si>
  <si>
    <t>Culcheth, Glazebury &amp; Croft</t>
  </si>
  <si>
    <t>Chapelford &amp; Old Hall</t>
  </si>
  <si>
    <t>* as created by The Warrington (Electoral Changes) Order 2016</t>
  </si>
  <si>
    <t>E05011046</t>
  </si>
  <si>
    <t>E05011047</t>
  </si>
  <si>
    <t>E05011048</t>
  </si>
  <si>
    <t>E05011049</t>
  </si>
  <si>
    <t>E05011050</t>
  </si>
  <si>
    <t>E05011051</t>
  </si>
  <si>
    <t>E05011052</t>
  </si>
  <si>
    <t>E05011053</t>
  </si>
  <si>
    <t>E05011054</t>
  </si>
  <si>
    <t>E05011055</t>
  </si>
  <si>
    <t>E05011056</t>
  </si>
  <si>
    <t>E05011057</t>
  </si>
  <si>
    <t>* as created by The Watford (Electoral Changes) Order 2016</t>
  </si>
  <si>
    <t>* as created by The Welwyn Hatfield (Electoral Changes) Order 2016</t>
  </si>
  <si>
    <t>E05011058</t>
  </si>
  <si>
    <t>E05011059</t>
  </si>
  <si>
    <t>E05011060</t>
  </si>
  <si>
    <t>E05011061</t>
  </si>
  <si>
    <t>E05011062</t>
  </si>
  <si>
    <t>E05011063</t>
  </si>
  <si>
    <t>E05011064</t>
  </si>
  <si>
    <t>E05011065</t>
  </si>
  <si>
    <t>E05011066</t>
  </si>
  <si>
    <t>E05011067</t>
  </si>
  <si>
    <t>E05011068</t>
  </si>
  <si>
    <t>E05011069</t>
  </si>
  <si>
    <t>E05011070</t>
  </si>
  <si>
    <t>E05011071</t>
  </si>
  <si>
    <t>E05011072</t>
  </si>
  <si>
    <t>E05011073</t>
  </si>
  <si>
    <t>Brookmans Park &amp; Little Heath</t>
  </si>
  <si>
    <t>Hatfield South West</t>
  </si>
  <si>
    <t>Welham Green &amp; Hatfield South</t>
  </si>
  <si>
    <t>Cobham &amp; Downside</t>
  </si>
  <si>
    <t>E05011074</t>
  </si>
  <si>
    <t>E05011075</t>
  </si>
  <si>
    <t>E05011076</t>
  </si>
  <si>
    <t>E05011077</t>
  </si>
  <si>
    <t>E05011078</t>
  </si>
  <si>
    <t>E05011079</t>
  </si>
  <si>
    <t>E05011080</t>
  </si>
  <si>
    <t>E05011081</t>
  </si>
  <si>
    <t>E05011082</t>
  </si>
  <si>
    <t>E05011083</t>
  </si>
  <si>
    <t>E05011084</t>
  </si>
  <si>
    <t>E05011085</t>
  </si>
  <si>
    <t>E05011086</t>
  </si>
  <si>
    <t>E05011087</t>
  </si>
  <si>
    <t>E05011088</t>
  </si>
  <si>
    <t>E05011089</t>
  </si>
  <si>
    <t>Hersham Village</t>
  </si>
  <si>
    <t>Hinchley Wood &amp; Weston Green</t>
  </si>
  <si>
    <t>Molesey West</t>
  </si>
  <si>
    <t>Oatlands &amp; Burwood Park</t>
  </si>
  <si>
    <t>Oxshott &amp; Stoke D'Abernon</t>
  </si>
  <si>
    <t>Weybridge Riverside</t>
  </si>
  <si>
    <t>Weybridge St George's Hill</t>
  </si>
  <si>
    <t>* as created by The Elmbridge (Electoral Changes) Order 2016</t>
  </si>
  <si>
    <t>Rugby CC (pt)</t>
  </si>
  <si>
    <t>Royal Wootton Bassett East</t>
  </si>
  <si>
    <t>Stratford-on-Avon</t>
  </si>
  <si>
    <t>STRATFORD-ON-AVON DISTRICT</t>
  </si>
  <si>
    <t>Stratford-on-Avon (pt)</t>
  </si>
  <si>
    <t>STRATFORD-ON-AVON DISTRICT  *</t>
  </si>
  <si>
    <t>Longhorsley</t>
  </si>
  <si>
    <t>Alconbury</t>
  </si>
  <si>
    <t>E05011256</t>
  </si>
  <si>
    <t>* as created by The Huntingdonshire (Electoral Changes) Order 2017</t>
  </si>
  <si>
    <t>E05011257</t>
  </si>
  <si>
    <t>E05011258</t>
  </si>
  <si>
    <t>E05011259</t>
  </si>
  <si>
    <t>Godmanchester &amp; Hemingford Abbots</t>
  </si>
  <si>
    <t>E05011260</t>
  </si>
  <si>
    <t>Great Paxton</t>
  </si>
  <si>
    <t>E05011261</t>
  </si>
  <si>
    <t>Great Staughton</t>
  </si>
  <si>
    <t>E05011262</t>
  </si>
  <si>
    <t>Hemingford Grey &amp; Houghton</t>
  </si>
  <si>
    <t>E05011263</t>
  </si>
  <si>
    <t>Holywell-cum-Needingworth</t>
  </si>
  <si>
    <t>E05011264</t>
  </si>
  <si>
    <t>E05011265</t>
  </si>
  <si>
    <t>E05011266</t>
  </si>
  <si>
    <t>Kimbolton</t>
  </si>
  <si>
    <t>E05011267</t>
  </si>
  <si>
    <t>E05011268</t>
  </si>
  <si>
    <t>E05011269</t>
  </si>
  <si>
    <t>E05011276</t>
  </si>
  <si>
    <t>E05011277</t>
  </si>
  <si>
    <t>E05011278</t>
  </si>
  <si>
    <t>E05011270</t>
  </si>
  <si>
    <t>E05011271</t>
  </si>
  <si>
    <t>St Neots East</t>
  </si>
  <si>
    <t>E05011272</t>
  </si>
  <si>
    <t>E05011273</t>
  </si>
  <si>
    <t>E05011274</t>
  </si>
  <si>
    <t>E05011275</t>
  </si>
  <si>
    <t>St Neots Eatons</t>
  </si>
  <si>
    <t>St Neots Priory Park &amp; Little Paxton</t>
  </si>
  <si>
    <t>Stilton, Folksworth &amp; Washingley</t>
  </si>
  <si>
    <t>The Stukeleys</t>
  </si>
  <si>
    <t>E05011279</t>
  </si>
  <si>
    <t>Warboys</t>
  </si>
  <si>
    <t>E05011280</t>
  </si>
  <si>
    <t>E05011281</t>
  </si>
  <si>
    <t>Yaxley</t>
  </si>
  <si>
    <t>* as created by The South Cambridgeshire (Electoral Changes) Order 2017</t>
  </si>
  <si>
    <t>E05011282</t>
  </si>
  <si>
    <t>E05011283</t>
  </si>
  <si>
    <t>Barrington</t>
  </si>
  <si>
    <t>E05011284</t>
  </si>
  <si>
    <t>E05011285</t>
  </si>
  <si>
    <t>E05011286</t>
  </si>
  <si>
    <t>Cambourne</t>
  </si>
  <si>
    <t>E05011287</t>
  </si>
  <si>
    <t>Caxton &amp; Papworth</t>
  </si>
  <si>
    <t>E05011288</t>
  </si>
  <si>
    <t>E05011289</t>
  </si>
  <si>
    <t>E05011290</t>
  </si>
  <si>
    <t>Fen Ditton &amp; Fulbourn</t>
  </si>
  <si>
    <t>E05011291</t>
  </si>
  <si>
    <t>Foxton</t>
  </si>
  <si>
    <t>E05011292</t>
  </si>
  <si>
    <t>E05011293</t>
  </si>
  <si>
    <t>E05011294</t>
  </si>
  <si>
    <t>E05011295</t>
  </si>
  <si>
    <t>Harston &amp; Comberton</t>
  </si>
  <si>
    <t>E05011296</t>
  </si>
  <si>
    <t>Histon &amp; Impington</t>
  </si>
  <si>
    <t>E05011297</t>
  </si>
  <si>
    <t>E05011298</t>
  </si>
  <si>
    <t>E05011299</t>
  </si>
  <si>
    <t>E05011300</t>
  </si>
  <si>
    <t>Milton &amp; Waterbeach</t>
  </si>
  <si>
    <t>E05011301</t>
  </si>
  <si>
    <t>Over &amp; Willingham</t>
  </si>
  <si>
    <t>E05011302</t>
  </si>
  <si>
    <t>E05011303</t>
  </si>
  <si>
    <t>E05011304</t>
  </si>
  <si>
    <t>Shelford</t>
  </si>
  <si>
    <t>E05011305</t>
  </si>
  <si>
    <t>E05011306</t>
  </si>
  <si>
    <t>E05011307</t>
  </si>
  <si>
    <t>E05011090</t>
  </si>
  <si>
    <t>E05011091</t>
  </si>
  <si>
    <t>E05011092</t>
  </si>
  <si>
    <t>E05011093</t>
  </si>
  <si>
    <t>E05011094</t>
  </si>
  <si>
    <t>* as created by The Isles of Scilly (Electoral Changes) Order 2017</t>
  </si>
  <si>
    <t>E05011201</t>
  </si>
  <si>
    <t>* as created by The Hastings (Electoral Changes) Order 2017</t>
  </si>
  <si>
    <t>E05011202</t>
  </si>
  <si>
    <t>E05011203</t>
  </si>
  <si>
    <t>E05011204</t>
  </si>
  <si>
    <t>E05011205</t>
  </si>
  <si>
    <t>E05011206</t>
  </si>
  <si>
    <t>E05011207</t>
  </si>
  <si>
    <t>E05011208</t>
  </si>
  <si>
    <t>E05011209</t>
  </si>
  <si>
    <t>E05011210</t>
  </si>
  <si>
    <t>E05011211</t>
  </si>
  <si>
    <t>E05011212</t>
  </si>
  <si>
    <t>E05011213</t>
  </si>
  <si>
    <t>E05011214</t>
  </si>
  <si>
    <t>E05011215</t>
  </si>
  <si>
    <t>E05011216</t>
  </si>
  <si>
    <t>* as created by The Eastleigh (Electoral Changes) Order 2017</t>
  </si>
  <si>
    <t>Bishopstoke</t>
  </si>
  <si>
    <t>E05011187</t>
  </si>
  <si>
    <t>E05011188</t>
  </si>
  <si>
    <t>Bursledon &amp; Hound North</t>
  </si>
  <si>
    <t>E05011189</t>
  </si>
  <si>
    <t>Chandler's Ford</t>
  </si>
  <si>
    <t>E05011190</t>
  </si>
  <si>
    <t>E05011191</t>
  </si>
  <si>
    <t>E05011192</t>
  </si>
  <si>
    <t>E05011193</t>
  </si>
  <si>
    <t>Fair Oak &amp; Horton Heath</t>
  </si>
  <si>
    <t>E05011194</t>
  </si>
  <si>
    <t>Hamble &amp; Netley</t>
  </si>
  <si>
    <t>E05011195</t>
  </si>
  <si>
    <t>Hedge End North</t>
  </si>
  <si>
    <t>Hedge End South</t>
  </si>
  <si>
    <t>E05011196</t>
  </si>
  <si>
    <t>E05011197</t>
  </si>
  <si>
    <t>Hiltingbury</t>
  </si>
  <si>
    <t>E05011198</t>
  </si>
  <si>
    <t>E05011199</t>
  </si>
  <si>
    <t>E05011200</t>
  </si>
  <si>
    <t>* as created by The Harrogate (Electoral Changes) Order 2017</t>
  </si>
  <si>
    <t>E05011308</t>
  </si>
  <si>
    <t>Bishop Monkton &amp; Newby</t>
  </si>
  <si>
    <t>E05011309</t>
  </si>
  <si>
    <t>E05011310</t>
  </si>
  <si>
    <t>Fountains &amp; Ripley</t>
  </si>
  <si>
    <t>E05011311</t>
  </si>
  <si>
    <t>Harrogate Bilton Grange</t>
  </si>
  <si>
    <t>E05011312</t>
  </si>
  <si>
    <t>Harrogate Bilton Woodfield</t>
  </si>
  <si>
    <t>E05011313</t>
  </si>
  <si>
    <t>Harrogate Central</t>
  </si>
  <si>
    <t>E05011314</t>
  </si>
  <si>
    <t>Harrogate Coppice Valley</t>
  </si>
  <si>
    <t>E05011315</t>
  </si>
  <si>
    <t>Harrogate Duchy</t>
  </si>
  <si>
    <t>Harrogate Fairfax</t>
  </si>
  <si>
    <t>Harrogate High Harrogate</t>
  </si>
  <si>
    <t>Harrogate Hookstone</t>
  </si>
  <si>
    <t>Harrogate Kingsley</t>
  </si>
  <si>
    <t>E05011316</t>
  </si>
  <si>
    <t>E05011317</t>
  </si>
  <si>
    <t>E05011318</t>
  </si>
  <si>
    <t>E05011319</t>
  </si>
  <si>
    <t>E05011320</t>
  </si>
  <si>
    <t>Harrogate New Park</t>
  </si>
  <si>
    <t>E05011321</t>
  </si>
  <si>
    <t>Harrogate Oatlands</t>
  </si>
  <si>
    <t>E05011322</t>
  </si>
  <si>
    <t>Harrogate Old Bilton</t>
  </si>
  <si>
    <t>Harrogate Harlow</t>
  </si>
  <si>
    <t>E05011323</t>
  </si>
  <si>
    <t>E05011324</t>
  </si>
  <si>
    <t>E05011325</t>
  </si>
  <si>
    <t>E05011326</t>
  </si>
  <si>
    <t>E05011327</t>
  </si>
  <si>
    <t>E05011328</t>
  </si>
  <si>
    <t>E05011329</t>
  </si>
  <si>
    <t>E05011330</t>
  </si>
  <si>
    <t>E05011331</t>
  </si>
  <si>
    <t>E05011332</t>
  </si>
  <si>
    <t>E05011333</t>
  </si>
  <si>
    <t>E05011334</t>
  </si>
  <si>
    <t>E05011335</t>
  </si>
  <si>
    <t>E05011336</t>
  </si>
  <si>
    <t>E05011337</t>
  </si>
  <si>
    <t>E05011338</t>
  </si>
  <si>
    <t>E05011339</t>
  </si>
  <si>
    <t>E05011340</t>
  </si>
  <si>
    <t>E05011341</t>
  </si>
  <si>
    <t>E05011342</t>
  </si>
  <si>
    <t>E05011343</t>
  </si>
  <si>
    <t>E05011344</t>
  </si>
  <si>
    <t>E05011345</t>
  </si>
  <si>
    <t>E05011346</t>
  </si>
  <si>
    <t>E05011347</t>
  </si>
  <si>
    <t>Ripon Ure Bank</t>
  </si>
  <si>
    <t>Pateley Bridge &amp; Nidderdale Moors</t>
  </si>
  <si>
    <t>Masham &amp; Kirkby Malzeard</t>
  </si>
  <si>
    <t>Knaresborough Eastfield</t>
  </si>
  <si>
    <t>Knaresborough Castle</t>
  </si>
  <si>
    <t>Knaresborough Aspin &amp; Calcutt</t>
  </si>
  <si>
    <t>Killinghall &amp; Hampsthwaite</t>
  </si>
  <si>
    <t>Harrogate Pannal</t>
  </si>
  <si>
    <t>Harrogate Saltergate</t>
  </si>
  <si>
    <t>Harrogate St Georges</t>
  </si>
  <si>
    <t>Harrogate Starbeck</t>
  </si>
  <si>
    <t>Harrogate Stray</t>
  </si>
  <si>
    <t>Harrogate Valley Gardens</t>
  </si>
  <si>
    <t>E05011348</t>
  </si>
  <si>
    <t>E05011349</t>
  </si>
  <si>
    <t>* as created by The Cherwell (Electoral Changes) Order 2015 and</t>
  </si>
  <si>
    <t>E05011118</t>
  </si>
  <si>
    <t>Allens Cross</t>
  </si>
  <si>
    <t>E05011119</t>
  </si>
  <si>
    <t>Alum Rock</t>
  </si>
  <si>
    <t>E05011120</t>
  </si>
  <si>
    <t>E05011121</t>
  </si>
  <si>
    <t>Balsall Heath West</t>
  </si>
  <si>
    <t>E05011122</t>
  </si>
  <si>
    <t>E05011123</t>
  </si>
  <si>
    <t>E05011124</t>
  </si>
  <si>
    <t>E05011125</t>
  </si>
  <si>
    <t>Bordesley &amp; Highgate</t>
  </si>
  <si>
    <t>E05011126</t>
  </si>
  <si>
    <t>Bournbrook &amp; Selly Park</t>
  </si>
  <si>
    <t>E05011127</t>
  </si>
  <si>
    <t>E05011128</t>
  </si>
  <si>
    <t>Bournville &amp; Cotteridge</t>
  </si>
  <si>
    <t>E05011129</t>
  </si>
  <si>
    <t>Brandwood &amp; King's Heath</t>
  </si>
  <si>
    <t>E05011130</t>
  </si>
  <si>
    <t>Bromford &amp; Hodge Hill</t>
  </si>
  <si>
    <t>E05011131</t>
  </si>
  <si>
    <t>Castle Vale</t>
  </si>
  <si>
    <t>E05011132</t>
  </si>
  <si>
    <t>Druids Heath &amp; Monyhull</t>
  </si>
  <si>
    <t>E05011133</t>
  </si>
  <si>
    <t>E05011134</t>
  </si>
  <si>
    <t>E05011135</t>
  </si>
  <si>
    <t>Frankley Great Park</t>
  </si>
  <si>
    <t>E05011136</t>
  </si>
  <si>
    <t>Garretts Green</t>
  </si>
  <si>
    <t>E05011137</t>
  </si>
  <si>
    <t>Glebe Farm &amp; Tile Cross</t>
  </si>
  <si>
    <t>E05011138</t>
  </si>
  <si>
    <t>Gravelly Hill</t>
  </si>
  <si>
    <t>E05011139</t>
  </si>
  <si>
    <t>Hall Green North</t>
  </si>
  <si>
    <t>Hall Green South</t>
  </si>
  <si>
    <t>E05011140</t>
  </si>
  <si>
    <t>E05011141</t>
  </si>
  <si>
    <t>Handsworth</t>
  </si>
  <si>
    <t>E05011142</t>
  </si>
  <si>
    <t>E05011143</t>
  </si>
  <si>
    <t>E05011144</t>
  </si>
  <si>
    <t>Heartlands</t>
  </si>
  <si>
    <t>E05011145</t>
  </si>
  <si>
    <t>Highter's Heath</t>
  </si>
  <si>
    <t>E05011146</t>
  </si>
  <si>
    <t>Holyhead</t>
  </si>
  <si>
    <t>E05011147</t>
  </si>
  <si>
    <t>King's Norton North</t>
  </si>
  <si>
    <t>E05011148</t>
  </si>
  <si>
    <t>E05011149</t>
  </si>
  <si>
    <t>King's Norton South</t>
  </si>
  <si>
    <t>E05011150</t>
  </si>
  <si>
    <t>E05011151</t>
  </si>
  <si>
    <t>Longbridge &amp; West Heath</t>
  </si>
  <si>
    <t>E05011152</t>
  </si>
  <si>
    <t>Lozells</t>
  </si>
  <si>
    <t>E05011153</t>
  </si>
  <si>
    <t>Moseley</t>
  </si>
  <si>
    <t>E05011154</t>
  </si>
  <si>
    <t>E05011155</t>
  </si>
  <si>
    <t>E05011156</t>
  </si>
  <si>
    <t>North Edgbaston</t>
  </si>
  <si>
    <t>E05011157</t>
  </si>
  <si>
    <t>E05011158</t>
  </si>
  <si>
    <t>E05011159</t>
  </si>
  <si>
    <t>E05011160</t>
  </si>
  <si>
    <t>Perry Common</t>
  </si>
  <si>
    <t>E05011161</t>
  </si>
  <si>
    <t>Pype Hayes</t>
  </si>
  <si>
    <t>E05011162</t>
  </si>
  <si>
    <t>E05011163</t>
  </si>
  <si>
    <t>Rubery &amp; Rednal</t>
  </si>
  <si>
    <t>E05011164</t>
  </si>
  <si>
    <t>E05011165</t>
  </si>
  <si>
    <t>E05011166</t>
  </si>
  <si>
    <t>Small Heath</t>
  </si>
  <si>
    <t>E05011167</t>
  </si>
  <si>
    <t>Soho &amp; Jewellery Quarter</t>
  </si>
  <si>
    <t>E05011168</t>
  </si>
  <si>
    <t>E05011169</t>
  </si>
  <si>
    <t>Sparkbrook &amp; Balsall Heath East</t>
  </si>
  <si>
    <t>E05011170</t>
  </si>
  <si>
    <t>Sparkhill</t>
  </si>
  <si>
    <t>E05011171</t>
  </si>
  <si>
    <t>Stirchley</t>
  </si>
  <si>
    <t>E05011172</t>
  </si>
  <si>
    <t>E05011173</t>
  </si>
  <si>
    <t>E05011174</t>
  </si>
  <si>
    <t>E05011175</t>
  </si>
  <si>
    <t>E05011176</t>
  </si>
  <si>
    <t>E05011177</t>
  </si>
  <si>
    <t>E05011178</t>
  </si>
  <si>
    <t>E05011179</t>
  </si>
  <si>
    <t>E05011180</t>
  </si>
  <si>
    <t>E05011181</t>
  </si>
  <si>
    <t>Sutton Mere Green</t>
  </si>
  <si>
    <t>Sutton Reddicap</t>
  </si>
  <si>
    <t>Sutton Roughley</t>
  </si>
  <si>
    <t>Tyseley &amp; Hay Mills</t>
  </si>
  <si>
    <t>E05011182</t>
  </si>
  <si>
    <t>Ward End</t>
  </si>
  <si>
    <t>Weoley &amp; Selly Oak</t>
  </si>
  <si>
    <t>Yardley East</t>
  </si>
  <si>
    <t>Yardley West &amp; Stechford</t>
  </si>
  <si>
    <t>E05011183</t>
  </si>
  <si>
    <t>E05011184</t>
  </si>
  <si>
    <t>E05011185</t>
  </si>
  <si>
    <t>E05011186</t>
  </si>
  <si>
    <t>Sutton Walmley &amp; Minworth</t>
  </si>
  <si>
    <t>Sutton Wylde Green</t>
  </si>
  <si>
    <t>* as created by The City of Birmingham (Electoral Changes) Order 2016</t>
  </si>
  <si>
    <t>Weston-super-Mare South</t>
  </si>
  <si>
    <t>* as created by The South Lakeland (Electoral Changes) Order 2017</t>
  </si>
  <si>
    <t>Cartmel</t>
  </si>
  <si>
    <t>Windermere</t>
  </si>
  <si>
    <t>Arnside and Milnthorpe</t>
  </si>
  <si>
    <t>Bowness and Levens</t>
  </si>
  <si>
    <t>Broughton and Coniston</t>
  </si>
  <si>
    <t>Burton and Crooklands</t>
  </si>
  <si>
    <t>Furness Peninsula</t>
  </si>
  <si>
    <t>Kendal East</t>
  </si>
  <si>
    <t>Kendal North</t>
  </si>
  <si>
    <t>Kendal South and Natland</t>
  </si>
  <si>
    <t>Kendal Town</t>
  </si>
  <si>
    <t>Kendal West</t>
  </si>
  <si>
    <t>* as created by The London Borough of Redbridge (Electoral Changes) Order 2000</t>
  </si>
  <si>
    <t>* as created by The London Borough of Southwark (Electoral Changes) Order 2000</t>
  </si>
  <si>
    <t>Crackley &amp; Red Street</t>
  </si>
  <si>
    <t>Holditch and Chesterton</t>
  </si>
  <si>
    <t>Kidsgrove &amp; Ravenscliffe</t>
  </si>
  <si>
    <t>Knutton</t>
  </si>
  <si>
    <t>Loggerheads</t>
  </si>
  <si>
    <t>Madeley &amp; Betley</t>
  </si>
  <si>
    <t>Maer &amp; Whitmore</t>
  </si>
  <si>
    <t>Newchapel &amp; Mow Cop</t>
  </si>
  <si>
    <t>Talke &amp; Butt Lane</t>
  </si>
  <si>
    <t>Westbury Park &amp; Northwood</t>
  </si>
  <si>
    <t>* as created by The Newcastle-under-Lyme (Electoral Changes) Order 2017</t>
  </si>
  <si>
    <t>Fawdon and West Gosforth</t>
  </si>
  <si>
    <t>West Fenham</t>
  </si>
  <si>
    <t>Dene and South Gosforth</t>
  </si>
  <si>
    <t>Callerton and Throckley</t>
  </si>
  <si>
    <t>Chapel</t>
  </si>
  <si>
    <t>Denton and Westerhope</t>
  </si>
  <si>
    <t>Kingston Park South and Newbiggin Hall</t>
  </si>
  <si>
    <t>9</t>
  </si>
  <si>
    <t>* as created by The Newcastle upon Tyne (Electoral Changes) Order 2017</t>
  </si>
  <si>
    <t>Aylesford &amp; East Stour</t>
  </si>
  <si>
    <t>Conningbrook &amp; Little Burton Farm</t>
  </si>
  <si>
    <t>Furley</t>
  </si>
  <si>
    <t>Goat Lees</t>
  </si>
  <si>
    <t>Kingsnorth Village &amp; Bridgefield</t>
  </si>
  <si>
    <t>Mersham, Sevington South with Finberry</t>
  </si>
  <si>
    <t>Rolvenden &amp; Tenterden West</t>
  </si>
  <si>
    <t>Singleton East</t>
  </si>
  <si>
    <t>Singleton West</t>
  </si>
  <si>
    <t>Tenterden St Michael`s</t>
  </si>
  <si>
    <t>Upper Weald</t>
  </si>
  <si>
    <t>Willesborough</t>
  </si>
  <si>
    <t>Wye with Hinxhill</t>
  </si>
  <si>
    <t>Bircholt</t>
  </si>
  <si>
    <t>* as created by The Ashford (Electoral Changes) Order 2017</t>
  </si>
  <si>
    <t>Blackburn</t>
  </si>
  <si>
    <t>Audley &amp; Queen`s Park</t>
  </si>
  <si>
    <t>Bastwell &amp; Daisyfield</t>
  </si>
  <si>
    <t>Billinge &amp; Beardwood</t>
  </si>
  <si>
    <t>Blackburn Central</t>
  </si>
  <si>
    <t>Blackburn South &amp; Lower Darwen</t>
  </si>
  <si>
    <t>Blackburn South East</t>
  </si>
  <si>
    <t>Little Harwood &amp; Whitebirk</t>
  </si>
  <si>
    <t>Mill Hill &amp; Moorgate</t>
  </si>
  <si>
    <t>Shear Brow &amp; Corporation Park</t>
  </si>
  <si>
    <t>Darwen East</t>
  </si>
  <si>
    <t>Darwen South</t>
  </si>
  <si>
    <t>Darwen West</t>
  </si>
  <si>
    <t>West Pennine</t>
  </si>
  <si>
    <t>E05011508</t>
  </si>
  <si>
    <t>E05011509</t>
  </si>
  <si>
    <t>E05011510</t>
  </si>
  <si>
    <t>E05011511</t>
  </si>
  <si>
    <t>E05011512</t>
  </si>
  <si>
    <t>E05011513</t>
  </si>
  <si>
    <t>E05011514</t>
  </si>
  <si>
    <t>E05011515</t>
  </si>
  <si>
    <t>E05011516</t>
  </si>
  <si>
    <t>E05011517</t>
  </si>
  <si>
    <t>E05011518</t>
  </si>
  <si>
    <t>E05011519</t>
  </si>
  <si>
    <t>E05011520</t>
  </si>
  <si>
    <t>E05011521</t>
  </si>
  <si>
    <t>E05011522</t>
  </si>
  <si>
    <t>E05011523</t>
  </si>
  <si>
    <t>E05011524</t>
  </si>
  <si>
    <t>* as created by The Blackburn with Darwen (Electoral Changes) Order 2017</t>
  </si>
  <si>
    <t>Ault Hucknall</t>
  </si>
  <si>
    <t>Bolsover East</t>
  </si>
  <si>
    <t>Bolsover North and Shuttlewood</t>
  </si>
  <si>
    <t>Clowne East</t>
  </si>
  <si>
    <t>Clowne West</t>
  </si>
  <si>
    <t>Langwith</t>
  </si>
  <si>
    <t>Shirebrook North</t>
  </si>
  <si>
    <t>Shirebrook South</t>
  </si>
  <si>
    <t>* as created by The Bolsover (Electoral Changes) Order 2017</t>
  </si>
  <si>
    <t>Croydon Central</t>
  </si>
  <si>
    <t>Addiscombe East</t>
  </si>
  <si>
    <t>Addiscombe West</t>
  </si>
  <si>
    <t>New Addington North</t>
  </si>
  <si>
    <t>New Addington South</t>
  </si>
  <si>
    <t>Park Hill and Whitgift</t>
  </si>
  <si>
    <t>Selsdon and Addington Village</t>
  </si>
  <si>
    <t>Selsdon Vale and Forestdale</t>
  </si>
  <si>
    <t>Shirley North</t>
  </si>
  <si>
    <t>South Croydon</t>
  </si>
  <si>
    <t>Croydon North</t>
  </si>
  <si>
    <t>Crystal Palace and Upper Norwood</t>
  </si>
  <si>
    <t>Norbury and Pollards Hill</t>
  </si>
  <si>
    <t>Norbury Park</t>
  </si>
  <si>
    <t>Croydon South</t>
  </si>
  <si>
    <t>Coulsdon Town</t>
  </si>
  <si>
    <t>Old Coulsdon</t>
  </si>
  <si>
    <t>Purley and Woodcote</t>
  </si>
  <si>
    <t>Purley Oaks and Riddlesdown</t>
  </si>
  <si>
    <t>* as created by The London Borough of Croydon (Electoral Changes) Order 2017</t>
  </si>
  <si>
    <t>E05011462</t>
  </si>
  <si>
    <t>E05011463</t>
  </si>
  <si>
    <t>E05011464</t>
  </si>
  <si>
    <t>E05011465</t>
  </si>
  <si>
    <t>E05011466</t>
  </si>
  <si>
    <t>E05011467</t>
  </si>
  <si>
    <t>E05011468</t>
  </si>
  <si>
    <t>E05011469</t>
  </si>
  <si>
    <t>E05011470</t>
  </si>
  <si>
    <t>E05011471</t>
  </si>
  <si>
    <t>E05011472</t>
  </si>
  <si>
    <t>E05011473</t>
  </si>
  <si>
    <t>E05011474</t>
  </si>
  <si>
    <t>E05011475</t>
  </si>
  <si>
    <t>E05011476</t>
  </si>
  <si>
    <t>E05011477</t>
  </si>
  <si>
    <t>E05011478</t>
  </si>
  <si>
    <t>E05011479</t>
  </si>
  <si>
    <t>E05011480</t>
  </si>
  <si>
    <t>E05011481</t>
  </si>
  <si>
    <t>E05011482</t>
  </si>
  <si>
    <t>E05011483</t>
  </si>
  <si>
    <t>E05011484</t>
  </si>
  <si>
    <t>E05011485</t>
  </si>
  <si>
    <t>E05011486</t>
  </si>
  <si>
    <t>E05011487</t>
  </si>
  <si>
    <t>E05011488</t>
  </si>
  <si>
    <t>E05011489</t>
  </si>
  <si>
    <t>Pulborough, Coldwaltham &amp; Amberley</t>
  </si>
  <si>
    <t>Steyning &amp; Ashurst</t>
  </si>
  <si>
    <t>Storrington &amp; Washington</t>
  </si>
  <si>
    <t>West Chiltington, Thakeham &amp; Ashington</t>
  </si>
  <si>
    <t>Billingshurst</t>
  </si>
  <si>
    <t>Nuthurst &amp; Lower Beeding</t>
  </si>
  <si>
    <t>Southwater North</t>
  </si>
  <si>
    <t>Southwater South &amp; Shipley</t>
  </si>
  <si>
    <t>* as created by The Horsham (Electoral Changes) Order 2017</t>
  </si>
  <si>
    <t>Longhill &amp; Bilton Grange</t>
  </si>
  <si>
    <t>Southcoates</t>
  </si>
  <si>
    <t>West Carr</t>
  </si>
  <si>
    <t>Beverley &amp; Newland</t>
  </si>
  <si>
    <t>North Carr</t>
  </si>
  <si>
    <t>Orchard Park</t>
  </si>
  <si>
    <t>Newington &amp; Gipsyville</t>
  </si>
  <si>
    <t>E05011525</t>
  </si>
  <si>
    <t>E05011526</t>
  </si>
  <si>
    <t>E05011527</t>
  </si>
  <si>
    <t>E05011528</t>
  </si>
  <si>
    <t>E05011529</t>
  </si>
  <si>
    <t>E05011530</t>
  </si>
  <si>
    <t>E05011531</t>
  </si>
  <si>
    <t>E05011532</t>
  </si>
  <si>
    <t>E05011533</t>
  </si>
  <si>
    <t>E05011534</t>
  </si>
  <si>
    <t>E05011535</t>
  </si>
  <si>
    <t>E05011536</t>
  </si>
  <si>
    <t>E05011537</t>
  </si>
  <si>
    <t>E05011538</t>
  </si>
  <si>
    <t>E05011539</t>
  </si>
  <si>
    <t>E05011540</t>
  </si>
  <si>
    <t>E05011541</t>
  </si>
  <si>
    <t>E05011542</t>
  </si>
  <si>
    <t>E05011543</t>
  </si>
  <si>
    <t>E05011544</t>
  </si>
  <si>
    <t>E05011545</t>
  </si>
  <si>
    <t>* and amended by The Kingston upon Hull (Electoral Changes) Order 2017</t>
  </si>
  <si>
    <t>Adel &amp; Wharfedale</t>
  </si>
  <si>
    <t>Ardsley &amp; Robin Hood</t>
  </si>
  <si>
    <t>Beeston &amp; Holbeck</t>
  </si>
  <si>
    <t>Bramley &amp; Stanningley</t>
  </si>
  <si>
    <t>Burmantofts &amp; Richmond Hill</t>
  </si>
  <si>
    <t>Calverley &amp; Farsley</t>
  </si>
  <si>
    <t>Cross Gates &amp; Whinmoor</t>
  </si>
  <si>
    <t>Farnley &amp; Wortley</t>
  </si>
  <si>
    <t>Garforth &amp; Swillington</t>
  </si>
  <si>
    <t>Gipton &amp; Harehills</t>
  </si>
  <si>
    <t>Guiseley &amp; Rawdon</t>
  </si>
  <si>
    <t>Headingley &amp; Hyde Park</t>
  </si>
  <si>
    <t>Hunslet &amp; Riverside</t>
  </si>
  <si>
    <t>Killingbeck &amp; Seacroft</t>
  </si>
  <si>
    <t>Kippax &amp; Methley</t>
  </si>
  <si>
    <t>Little London &amp; Woodhouse</t>
  </si>
  <si>
    <t>Otley &amp; Yeadon</t>
  </si>
  <si>
    <t>E05011384</t>
  </si>
  <si>
    <t>E05011385</t>
  </si>
  <si>
    <t>E05011387</t>
  </si>
  <si>
    <t>E05011388</t>
  </si>
  <si>
    <t>E05011389</t>
  </si>
  <si>
    <t>E05011390</t>
  </si>
  <si>
    <t>E05011391</t>
  </si>
  <si>
    <t>E05011394</t>
  </si>
  <si>
    <t>E05011395</t>
  </si>
  <si>
    <t>E05011396</t>
  </si>
  <si>
    <t>E05011397</t>
  </si>
  <si>
    <t>E05011399</t>
  </si>
  <si>
    <t>E05011400</t>
  </si>
  <si>
    <t>E05011402</t>
  </si>
  <si>
    <t>E05011403</t>
  </si>
  <si>
    <t>E05011404</t>
  </si>
  <si>
    <t>E05011405</t>
  </si>
  <si>
    <t>E05011406</t>
  </si>
  <si>
    <t>E05011407</t>
  </si>
  <si>
    <t>E05011409</t>
  </si>
  <si>
    <t>E05011411</t>
  </si>
  <si>
    <t>E05011413</t>
  </si>
  <si>
    <t>E05011414</t>
  </si>
  <si>
    <t>E05011547</t>
  </si>
  <si>
    <t>E05011549</t>
  </si>
  <si>
    <t>Chailey, Barcombe &amp; Hamsey</t>
  </si>
  <si>
    <t>Ditchling &amp; Westmeston</t>
  </si>
  <si>
    <t>East Saltdean &amp; Telscombe Cliffs</t>
  </si>
  <si>
    <t>Newhaven North</t>
  </si>
  <si>
    <t>Newhaven South</t>
  </si>
  <si>
    <t>Ouse Valley &amp; Ringmer</t>
  </si>
  <si>
    <t>Plumpton, Streat, East Chiltington &amp; St John</t>
  </si>
  <si>
    <t>Wivelsfield</t>
  </si>
  <si>
    <t>* as amended by The Lewes (Electoral Changes) Order 2016</t>
  </si>
  <si>
    <t>Stibbard</t>
  </si>
  <si>
    <t>Stody</t>
  </si>
  <si>
    <t>Bacton</t>
  </si>
  <si>
    <t>Beeston Regis and The Runtons</t>
  </si>
  <si>
    <t>Gresham</t>
  </si>
  <si>
    <t>Hickling</t>
  </si>
  <si>
    <t>Hoveton and Tunstead</t>
  </si>
  <si>
    <t>North Walsham Market Cross</t>
  </si>
  <si>
    <t>Stalham</t>
  </si>
  <si>
    <t>Trunch</t>
  </si>
  <si>
    <t>Wells with Holkham</t>
  </si>
  <si>
    <t>Hyson Green and Arboretum</t>
  </si>
  <si>
    <t>Clifton East</t>
  </si>
  <si>
    <t>Clifton West</t>
  </si>
  <si>
    <t>Lenton and Wollaton East</t>
  </si>
  <si>
    <t>Meadows</t>
  </si>
  <si>
    <t>Ingol &amp; Cottam</t>
  </si>
  <si>
    <t>Lea &amp; Larches</t>
  </si>
  <si>
    <t>Fishwick &amp; Frenchwood</t>
  </si>
  <si>
    <t>Plungington</t>
  </si>
  <si>
    <t>St Matthews</t>
  </si>
  <si>
    <t>Churchfields</t>
  </si>
  <si>
    <t>South Woodford</t>
  </si>
  <si>
    <t>Ilford Town</t>
  </si>
  <si>
    <t>Wanstead Park</t>
  </si>
  <si>
    <t>Wanstead Village</t>
  </si>
  <si>
    <t xml:space="preserve">  as amended by The London Borough of Redbridge (Electoral Changes) Order 2017</t>
  </si>
  <si>
    <t>Alston &amp; Hothersall</t>
  </si>
  <si>
    <t>Bowland</t>
  </si>
  <si>
    <t>Derby &amp; Thornley</t>
  </si>
  <si>
    <t>Whalley East, Read &amp; Simonstone</t>
  </si>
  <si>
    <t>Whalley Nethertown</t>
  </si>
  <si>
    <t>Central Wymondham</t>
  </si>
  <si>
    <t>Hingham &amp; Deopham</t>
  </si>
  <si>
    <t>North Wymondham</t>
  </si>
  <si>
    <t>South Wymondham</t>
  </si>
  <si>
    <t>Beck Vale, Dickleburgh &amp; Scole</t>
  </si>
  <si>
    <t>Bressingham &amp; Burston</t>
  </si>
  <si>
    <t>Diss &amp; Roydon</t>
  </si>
  <si>
    <t>Ditchingham &amp; Earsham</t>
  </si>
  <si>
    <t>Loddon &amp; Chedgrave</t>
  </si>
  <si>
    <t>Mulbarton &amp; Stoke Holy Cross</t>
  </si>
  <si>
    <t>Poringland, Framinghams &amp; Trowse</t>
  </si>
  <si>
    <t>Borough &amp; Bankside</t>
  </si>
  <si>
    <t>London Bridge &amp; West Bermondsey</t>
  </si>
  <si>
    <t>North Bermondsey</t>
  </si>
  <si>
    <t>North Walworth</t>
  </si>
  <si>
    <t>Old Kent Road</t>
  </si>
  <si>
    <t>Champion Hill</t>
  </si>
  <si>
    <t>Dulwich Hill</t>
  </si>
  <si>
    <t>Dulwich Village</t>
  </si>
  <si>
    <t>Goose Green</t>
  </si>
  <si>
    <t>Rye Lane</t>
  </si>
  <si>
    <t>St Giles</t>
  </si>
  <si>
    <t>Dulwich Wood</t>
  </si>
  <si>
    <t xml:space="preserve">  and amended by The London Borough of Southwark (Electoral Changes) Order 2016</t>
  </si>
  <si>
    <t>Nunhead &amp; Queen's Road</t>
  </si>
  <si>
    <t>E05011095</t>
  </si>
  <si>
    <t>E05011096</t>
  </si>
  <si>
    <t>E05011097</t>
  </si>
  <si>
    <t>E05011098</t>
  </si>
  <si>
    <t>E05011099</t>
  </si>
  <si>
    <t>E05011100</t>
  </si>
  <si>
    <t>E05011101</t>
  </si>
  <si>
    <t>E05011102</t>
  </si>
  <si>
    <t>E05011103</t>
  </si>
  <si>
    <t>E05011104</t>
  </si>
  <si>
    <t>E05011105</t>
  </si>
  <si>
    <t>E05011106</t>
  </si>
  <si>
    <t>E05011107</t>
  </si>
  <si>
    <t>E05011108</t>
  </si>
  <si>
    <t>E05011109</t>
  </si>
  <si>
    <t>E05011110</t>
  </si>
  <si>
    <t>E05011111</t>
  </si>
  <si>
    <t>E05011112</t>
  </si>
  <si>
    <t>E05011113</t>
  </si>
  <si>
    <t>E05011114</t>
  </si>
  <si>
    <t>E05011115</t>
  </si>
  <si>
    <t>E05011116</t>
  </si>
  <si>
    <t>E05011117</t>
  </si>
  <si>
    <t>Beckermet</t>
  </si>
  <si>
    <t>Hillcrest</t>
  </si>
  <si>
    <t>Kells</t>
  </si>
  <si>
    <t>Moresby</t>
  </si>
  <si>
    <t>St Bees</t>
  </si>
  <si>
    <t>Ashburton &amp; Buckfastleigh</t>
  </si>
  <si>
    <t>Moretonhampstead</t>
  </si>
  <si>
    <t>Buckland &amp; Milber</t>
  </si>
  <si>
    <t>Dawlish North East</t>
  </si>
  <si>
    <t>Kenton &amp; Starcross</t>
  </si>
  <si>
    <t>Shaldon &amp; Stokeinteignhead</t>
  </si>
  <si>
    <t xml:space="preserve">  and The Teignbridge (Electoral Changes) Order 2017</t>
  </si>
  <si>
    <t>Bluehouse</t>
  </si>
  <si>
    <t>Coppins</t>
  </si>
  <si>
    <t>Kirby Cross</t>
  </si>
  <si>
    <t>Kirby-le-Soken and Hamford</t>
  </si>
  <si>
    <t>Little Clacton</t>
  </si>
  <si>
    <t>St Osyth</t>
  </si>
  <si>
    <t>Thorpe, Beaumont and Great Holland</t>
  </si>
  <si>
    <t>Weeley and Tendring</t>
  </si>
  <si>
    <t>West Clacton and Jaywick Sands</t>
  </si>
  <si>
    <t>Alresford and Elmstead</t>
  </si>
  <si>
    <t>Dovercourt All Saints</t>
  </si>
  <si>
    <t>Dovercourt Bay</t>
  </si>
  <si>
    <t>Dovercourt Tollgate</t>
  </si>
  <si>
    <t>Dovercourt Vines and Parkeston</t>
  </si>
  <si>
    <t>Harwich and Kingsway</t>
  </si>
  <si>
    <t>Lawford, Manningtree and Mistley</t>
  </si>
  <si>
    <t>Stour Valley</t>
  </si>
  <si>
    <t>Brockworth East</t>
  </si>
  <si>
    <t>Brockworth West</t>
  </si>
  <si>
    <t>Churchdown Brookfield with Hucclecote</t>
  </si>
  <si>
    <t>Churchdown St Johns</t>
  </si>
  <si>
    <t>Cleeve St Michaels</t>
  </si>
  <si>
    <t>Innsworth</t>
  </si>
  <si>
    <t>Severn Vale North</t>
  </si>
  <si>
    <t>Severn Vale South</t>
  </si>
  <si>
    <t>Tewkesbury East</t>
  </si>
  <si>
    <t>Tewkesbury North &amp; Twyning</t>
  </si>
  <si>
    <t>Tewkesbury South</t>
  </si>
  <si>
    <t>* as created by The Tewkesbury (Electoral Changes) Order 2018</t>
  </si>
  <si>
    <t>Bexleyheath</t>
  </si>
  <si>
    <t>Crook Log</t>
  </si>
  <si>
    <t>Falconwood &amp; Welling</t>
  </si>
  <si>
    <t>Slade Green &amp; Northend</t>
  </si>
  <si>
    <t>Blackfen &amp; Lamorbey</t>
  </si>
  <si>
    <t>Blendon &amp; Penhill</t>
  </si>
  <si>
    <t>* as created by The London Borough of Bexley (Electoral Changes) Order 2017</t>
  </si>
  <si>
    <t>E05011217</t>
  </si>
  <si>
    <t>E05011218</t>
  </si>
  <si>
    <t>E05011219</t>
  </si>
  <si>
    <t>E05011220</t>
  </si>
  <si>
    <t>E05011221</t>
  </si>
  <si>
    <t>E05011222</t>
  </si>
  <si>
    <t>E05011223</t>
  </si>
  <si>
    <t>E05011224</t>
  </si>
  <si>
    <t>E05011225</t>
  </si>
  <si>
    <t>E05011226</t>
  </si>
  <si>
    <t>E05011227</t>
  </si>
  <si>
    <t>E05011228</t>
  </si>
  <si>
    <t>E05011229</t>
  </si>
  <si>
    <t>E05011230</t>
  </si>
  <si>
    <t>E05011231</t>
  </si>
  <si>
    <t>E05011232</t>
  </si>
  <si>
    <t>E05011233</t>
  </si>
  <si>
    <t>St Mary's &amp; St James</t>
  </si>
  <si>
    <t>Fittleworth Ward</t>
  </si>
  <si>
    <t>Loxwood Ward</t>
  </si>
  <si>
    <t>Petworth Ward</t>
  </si>
  <si>
    <t>Chichester Central</t>
  </si>
  <si>
    <t>Easebourne Ward</t>
  </si>
  <si>
    <t>Fernhurst Ward</t>
  </si>
  <si>
    <t>Goodwood Ward</t>
  </si>
  <si>
    <t>Harbour Villages</t>
  </si>
  <si>
    <t>Harting Ward</t>
  </si>
  <si>
    <t>Lavant Ward</t>
  </si>
  <si>
    <t>Midhurst Ward</t>
  </si>
  <si>
    <t>North Mundham and Tangmere</t>
  </si>
  <si>
    <t>Sidlesham with Selsey North</t>
  </si>
  <si>
    <t>The Witterings</t>
  </si>
  <si>
    <t>Westbourne Ward</t>
  </si>
  <si>
    <t>* as created by The Chichester (Electoral Changes) Order 2017</t>
  </si>
  <si>
    <t>Coleford</t>
  </si>
  <si>
    <t>Dymock</t>
  </si>
  <si>
    <t>Hartpury &amp; Redmarley</t>
  </si>
  <si>
    <t>Longhope &amp; Huntley</t>
  </si>
  <si>
    <t>Lydbrook</t>
  </si>
  <si>
    <t>Lydney West &amp; Aylburton</t>
  </si>
  <si>
    <t>Mitcheldean, Ruardean &amp; Drybrook</t>
  </si>
  <si>
    <t>Newent &amp; Taynton</t>
  </si>
  <si>
    <t>Newland &amp; Sling</t>
  </si>
  <si>
    <t>Ruspidge</t>
  </si>
  <si>
    <t>Westbury-on-Severn</t>
  </si>
  <si>
    <t>St Briavels</t>
  </si>
  <si>
    <t>Deansgate</t>
  </si>
  <si>
    <t>Ancoats &amp; Beswick</t>
  </si>
  <si>
    <t>Clayton &amp; Openshaw</t>
  </si>
  <si>
    <t>Miles Platting &amp; Newton Heath</t>
  </si>
  <si>
    <t>Piccadilly</t>
  </si>
  <si>
    <t>Gorton &amp; Abbey Hey</t>
  </si>
  <si>
    <t>E05011350</t>
  </si>
  <si>
    <t>E05011351</t>
  </si>
  <si>
    <t>E05011352</t>
  </si>
  <si>
    <t>E05011353</t>
  </si>
  <si>
    <t>E05011354</t>
  </si>
  <si>
    <t>E05011355</t>
  </si>
  <si>
    <t>E05011356</t>
  </si>
  <si>
    <t>E05011357</t>
  </si>
  <si>
    <t>E05011358</t>
  </si>
  <si>
    <t>E05011359</t>
  </si>
  <si>
    <t>E05011360</t>
  </si>
  <si>
    <t>E05011361</t>
  </si>
  <si>
    <t>E05011362</t>
  </si>
  <si>
    <t>E05011363</t>
  </si>
  <si>
    <t>E05011364</t>
  </si>
  <si>
    <t>E05011365</t>
  </si>
  <si>
    <t>E05011366</t>
  </si>
  <si>
    <t>E05011367</t>
  </si>
  <si>
    <t>E05011368</t>
  </si>
  <si>
    <t>E05011369</t>
  </si>
  <si>
    <t>E05011370</t>
  </si>
  <si>
    <t>E05011371</t>
  </si>
  <si>
    <t>E05011372</t>
  </si>
  <si>
    <t>E05011373</t>
  </si>
  <si>
    <t>E05011374</t>
  </si>
  <si>
    <t>E05011375</t>
  </si>
  <si>
    <t>E05011376</t>
  </si>
  <si>
    <t>E05011377</t>
  </si>
  <si>
    <t>E05011378</t>
  </si>
  <si>
    <t>E05011379</t>
  </si>
  <si>
    <t>E05011380</t>
  </si>
  <si>
    <t>E05011381</t>
  </si>
  <si>
    <t>Arthur's Hill</t>
  </si>
  <si>
    <t>E05011436</t>
  </si>
  <si>
    <t>E05011437</t>
  </si>
  <si>
    <t>E05011438</t>
  </si>
  <si>
    <t>E05011439</t>
  </si>
  <si>
    <t>E05011440</t>
  </si>
  <si>
    <t>E05011441</t>
  </si>
  <si>
    <t>E05011442</t>
  </si>
  <si>
    <t>E05011443</t>
  </si>
  <si>
    <t>E05011444</t>
  </si>
  <si>
    <t>E05011445</t>
  </si>
  <si>
    <t>E05011446</t>
  </si>
  <si>
    <t>E05011447</t>
  </si>
  <si>
    <t>E05011448</t>
  </si>
  <si>
    <t>E05011449</t>
  </si>
  <si>
    <t>E05011450</t>
  </si>
  <si>
    <t>E05011451</t>
  </si>
  <si>
    <t>E05011452</t>
  </si>
  <si>
    <t>E05011453</t>
  </si>
  <si>
    <t>E05011454</t>
  </si>
  <si>
    <t>E05011455</t>
  </si>
  <si>
    <t>E05011456</t>
  </si>
  <si>
    <t>E05011457</t>
  </si>
  <si>
    <t>E05011458</t>
  </si>
  <si>
    <t>E05011459</t>
  </si>
  <si>
    <t>E05011460</t>
  </si>
  <si>
    <t>E05011461</t>
  </si>
  <si>
    <t>Kendal Rural</t>
  </si>
  <si>
    <t>Blackdown &amp; Tatworth</t>
  </si>
  <si>
    <t>Curry Rivel, Huish &amp; Langport</t>
  </si>
  <si>
    <t>Northstone, Ivelchester &amp; St Michael’s</t>
  </si>
  <si>
    <t>Yeovil College</t>
  </si>
  <si>
    <t>Yeovil Lyde</t>
  </si>
  <si>
    <t>Yeovil Summerlands</t>
  </si>
  <si>
    <t>Yeovil Westland</t>
  </si>
  <si>
    <t>FOLKESTONE &amp; HYTHE DISTRICT  *</t>
  </si>
  <si>
    <t>FOLKESTONE &amp; HYTHE DISTRICT</t>
  </si>
  <si>
    <t>Folkestone &amp; Hythe</t>
  </si>
  <si>
    <t>* renamed from Shepway District April 2018</t>
  </si>
  <si>
    <t>East Devon **</t>
  </si>
  <si>
    <t>2019 **</t>
  </si>
  <si>
    <t>Difference from 2020 EQ</t>
  </si>
  <si>
    <t>E05012940</t>
  </si>
  <si>
    <t>Belah &amp; Kingmoor</t>
  </si>
  <si>
    <t>E05012941</t>
  </si>
  <si>
    <t>Botcherby &amp; Harraby North</t>
  </si>
  <si>
    <t>E05012942</t>
  </si>
  <si>
    <t>Brampton &amp; Fellside</t>
  </si>
  <si>
    <t>E05012943</t>
  </si>
  <si>
    <t>Cathedral &amp; Castle</t>
  </si>
  <si>
    <t>E05012944</t>
  </si>
  <si>
    <t>Currock &amp; Upperby</t>
  </si>
  <si>
    <t>E05012945</t>
  </si>
  <si>
    <t>Dalston &amp; Burgh</t>
  </si>
  <si>
    <t>E05012946</t>
  </si>
  <si>
    <t>Denton Holme &amp; Morton South</t>
  </si>
  <si>
    <t>E05012947</t>
  </si>
  <si>
    <t>Harraby South &amp; Parklands</t>
  </si>
  <si>
    <t>E05012948</t>
  </si>
  <si>
    <t>Longtown &amp; the Border</t>
  </si>
  <si>
    <t>E05012949</t>
  </si>
  <si>
    <t>Newtown &amp; Morton North</t>
  </si>
  <si>
    <t>E05012950</t>
  </si>
  <si>
    <t>Sandsfield &amp; Morton West</t>
  </si>
  <si>
    <t>E05012951</t>
  </si>
  <si>
    <t>Stanwix &amp; Houghton</t>
  </si>
  <si>
    <t>E05012952</t>
  </si>
  <si>
    <t>Wetheral &amp; Corby</t>
  </si>
  <si>
    <t>* as created by The Carlisle (Electoral Changes) Order 2019</t>
  </si>
  <si>
    <t>E05012085</t>
  </si>
  <si>
    <t>Andover Downlands</t>
  </si>
  <si>
    <t>E05012088</t>
  </si>
  <si>
    <t>Andover Romans</t>
  </si>
  <si>
    <t>E05012093</t>
  </si>
  <si>
    <t>E05012097</t>
  </si>
  <si>
    <t>E05012098</t>
  </si>
  <si>
    <t>Mid Test</t>
  </si>
  <si>
    <t>E05012100</t>
  </si>
  <si>
    <t>Romsey Abbey</t>
  </si>
  <si>
    <t>E05012102</t>
  </si>
  <si>
    <t>Romsey Tadburn</t>
  </si>
  <si>
    <t>E05012927</t>
  </si>
  <si>
    <t>Ampfield &amp; Braishfield</t>
  </si>
  <si>
    <t>E05012928</t>
  </si>
  <si>
    <t>Andover Harroway</t>
  </si>
  <si>
    <t>E05012929</t>
  </si>
  <si>
    <t>Andover Millway</t>
  </si>
  <si>
    <t>E05012930</t>
  </si>
  <si>
    <t>Andover St Mary's</t>
  </si>
  <si>
    <t>E05012931</t>
  </si>
  <si>
    <t>Andover Winton</t>
  </si>
  <si>
    <t>E05012932</t>
  </si>
  <si>
    <t>E05012933</t>
  </si>
  <si>
    <t>Bellinger</t>
  </si>
  <si>
    <t>E05012934</t>
  </si>
  <si>
    <t>E05012935</t>
  </si>
  <si>
    <t>Charlton &amp; the Pentons</t>
  </si>
  <si>
    <t>E05012936</t>
  </si>
  <si>
    <t>Chilworth, Nursling &amp; Rownhams</t>
  </si>
  <si>
    <t>E05012937</t>
  </si>
  <si>
    <t>E05012938</t>
  </si>
  <si>
    <t>Romsey Cupernham</t>
  </si>
  <si>
    <t>E05012939</t>
  </si>
  <si>
    <t>* as created by The Test Valley (Electoral Changes) Order 2018</t>
  </si>
  <si>
    <t>and amended by The Test Valley (Electoral Changes) Order 2019</t>
  </si>
  <si>
    <t>E05012968</t>
  </si>
  <si>
    <t>E05012969</t>
  </si>
  <si>
    <t xml:space="preserve">   as amended by The Cherwell (Electoral Changes) (No.2) Order 2017 and The Cherwell (Electoral Changes) Order 2019</t>
  </si>
  <si>
    <t>Blackfriars &amp; Trinity</t>
  </si>
  <si>
    <t>Boothstown &amp; Ellenbrook</t>
  </si>
  <si>
    <t>Cadishead &amp; Lower Irlam</t>
  </si>
  <si>
    <t>Higher Irlam &amp; Peel Green</t>
  </si>
  <si>
    <t>Kersal &amp; Broughton Park</t>
  </si>
  <si>
    <t>Pendlebury &amp; Clifton</t>
  </si>
  <si>
    <t>Pendleton &amp; Charlestown</t>
  </si>
  <si>
    <t>Quays</t>
  </si>
  <si>
    <t>Swinton &amp; Wardley</t>
  </si>
  <si>
    <t>Swinton Park</t>
  </si>
  <si>
    <t>Weaste &amp; Seedley</t>
  </si>
  <si>
    <t>Worsley &amp; Westwood Park</t>
  </si>
  <si>
    <t>Barton &amp; Winton</t>
  </si>
  <si>
    <t>* as created by The Salford (Electoral Changes) Order 2019</t>
  </si>
  <si>
    <t>* as created by The Chorley (Electoral Changes) Order 2019</t>
  </si>
  <si>
    <t>Adlington &amp; Anderton</t>
  </si>
  <si>
    <t>Buckshaw &amp; Whittle</t>
  </si>
  <si>
    <t>Chorley North &amp; Astley</t>
  </si>
  <si>
    <t>Chorley South East &amp; Heath Charnock</t>
  </si>
  <si>
    <t>Clayton East, Brindle &amp; Hoghton</t>
  </si>
  <si>
    <t>Clayton West &amp; Cuerden</t>
  </si>
  <si>
    <t>Eccleston, Heskin &amp; Charnock Richard</t>
  </si>
  <si>
    <t>Euxton</t>
  </si>
  <si>
    <t>Croston, Mawdesley &amp; Euxton South</t>
  </si>
  <si>
    <t>* as created by The Cambridge (Electoral Changes) Order 2019</t>
  </si>
  <si>
    <t>* as created by The Basingstoke and Deane (Electoral Changes) Order 2019</t>
  </si>
  <si>
    <t>E05012901</t>
  </si>
  <si>
    <t>E05012902</t>
  </si>
  <si>
    <t>E05012903</t>
  </si>
  <si>
    <t>E05012904</t>
  </si>
  <si>
    <t>E05012905</t>
  </si>
  <si>
    <t>E05012906</t>
  </si>
  <si>
    <t>E05012907</t>
  </si>
  <si>
    <t>E05012908</t>
  </si>
  <si>
    <t>E05012909</t>
  </si>
  <si>
    <t>E05012910</t>
  </si>
  <si>
    <t>E05012911</t>
  </si>
  <si>
    <t>E05012912</t>
  </si>
  <si>
    <t>E05012913</t>
  </si>
  <si>
    <t>* as created by The Norwich (Electoral Changes) Order 2019</t>
  </si>
  <si>
    <t>E05012914</t>
  </si>
  <si>
    <t>Bewbush &amp; North Broadfield</t>
  </si>
  <si>
    <t>E05012915</t>
  </si>
  <si>
    <t>E05012916</t>
  </si>
  <si>
    <t>E05012917</t>
  </si>
  <si>
    <t>Gossops Green &amp; North East Broadfield</t>
  </si>
  <si>
    <t>E05012918</t>
  </si>
  <si>
    <t>E05012919</t>
  </si>
  <si>
    <t>Langley Green &amp; Tushmore</t>
  </si>
  <si>
    <t>E05012920</t>
  </si>
  <si>
    <t>E05012921</t>
  </si>
  <si>
    <t>Northgate &amp; West Green</t>
  </si>
  <si>
    <t>E05012922</t>
  </si>
  <si>
    <t>Pound Hill North &amp; Forge Wood</t>
  </si>
  <si>
    <t>E05012923</t>
  </si>
  <si>
    <t>Pound Hill South &amp; Worth</t>
  </si>
  <si>
    <t>E05012924</t>
  </si>
  <si>
    <t>E05012925</t>
  </si>
  <si>
    <t>E05012926</t>
  </si>
  <si>
    <t>* as created by The Crawley (Electoral Changes) Order 2019</t>
  </si>
  <si>
    <t>E05012887</t>
  </si>
  <si>
    <t>E05012888</t>
  </si>
  <si>
    <t>Addlestone South</t>
  </si>
  <si>
    <t>E05012889</t>
  </si>
  <si>
    <t>Chertsey Riverside</t>
  </si>
  <si>
    <t>E05012890</t>
  </si>
  <si>
    <t>E05012891</t>
  </si>
  <si>
    <t>E05012892</t>
  </si>
  <si>
    <t>E05012893</t>
  </si>
  <si>
    <t>E05012894</t>
  </si>
  <si>
    <t>E05012895</t>
  </si>
  <si>
    <t>Longcross, Lyne &amp; Chertsey South</t>
  </si>
  <si>
    <t>E05012896</t>
  </si>
  <si>
    <t>E05012897</t>
  </si>
  <si>
    <t>Ottershaw</t>
  </si>
  <si>
    <t>E05012898</t>
  </si>
  <si>
    <t>E05012899</t>
  </si>
  <si>
    <t>E05012900</t>
  </si>
  <si>
    <t>Woodham &amp; Rowtown</t>
  </si>
  <si>
    <t>* as created by The Runnymede (Electoral Changes) Order 2019</t>
  </si>
  <si>
    <t>E05012872</t>
  </si>
  <si>
    <t>E05012873</t>
  </si>
  <si>
    <t>Chipstead, Kingswood &amp; Woodmansterne</t>
  </si>
  <si>
    <t>E05012874</t>
  </si>
  <si>
    <t>Earlswood &amp; Whitebushes</t>
  </si>
  <si>
    <t>E05012875</t>
  </si>
  <si>
    <t>Hooley, Merstham &amp; Netherne</t>
  </si>
  <si>
    <t>E05012876</t>
  </si>
  <si>
    <t>Horley Central &amp; South</t>
  </si>
  <si>
    <t>E05012877</t>
  </si>
  <si>
    <t>Horley East &amp; Salfords</t>
  </si>
  <si>
    <t>E05012878</t>
  </si>
  <si>
    <t>Horley West &amp; Sidlow</t>
  </si>
  <si>
    <t>E05012879</t>
  </si>
  <si>
    <t>Lower Kingswood, Tadworth &amp; Walton</t>
  </si>
  <si>
    <t>E05012880</t>
  </si>
  <si>
    <t>Meadvale &amp; St John's</t>
  </si>
  <si>
    <t>E05012881</t>
  </si>
  <si>
    <t>E05012882</t>
  </si>
  <si>
    <t>E05012883</t>
  </si>
  <si>
    <t>Redhill West &amp; Wray Common</t>
  </si>
  <si>
    <t>E05012884</t>
  </si>
  <si>
    <t>Reigate</t>
  </si>
  <si>
    <t>E05012885</t>
  </si>
  <si>
    <t>South Park &amp; Woodhatch</t>
  </si>
  <si>
    <t>E05012886</t>
  </si>
  <si>
    <t>Tattenham Corner &amp; Preston</t>
  </si>
  <si>
    <t>* as created by The Reigate and Banstead (Electoral Changes) Order 2019</t>
  </si>
  <si>
    <t>E05012855</t>
  </si>
  <si>
    <t>Alkham &amp; Capel-le-Ferne</t>
  </si>
  <si>
    <t>E05012856</t>
  </si>
  <si>
    <t>Aylesham, Eythorne &amp; Shepherdswell</t>
  </si>
  <si>
    <t>E05012857</t>
  </si>
  <si>
    <t>E05012858</t>
  </si>
  <si>
    <t>Dover Downs &amp; River</t>
  </si>
  <si>
    <t>E05012859</t>
  </si>
  <si>
    <t>Eastry Rural</t>
  </si>
  <si>
    <t>E05012860</t>
  </si>
  <si>
    <t>Guston, Kingsdown &amp; St Margaret's-at-Cliffe</t>
  </si>
  <si>
    <t>E05012861</t>
  </si>
  <si>
    <t>Little Stour &amp; Ashstone</t>
  </si>
  <si>
    <t>E05012862</t>
  </si>
  <si>
    <t>Maxton &amp; Elms Vale</t>
  </si>
  <si>
    <t>E05012863</t>
  </si>
  <si>
    <t>Middle Deal</t>
  </si>
  <si>
    <t>E05012864</t>
  </si>
  <si>
    <t>E05012865</t>
  </si>
  <si>
    <t>E05012866</t>
  </si>
  <si>
    <t>E05012867</t>
  </si>
  <si>
    <t>E05012868</t>
  </si>
  <si>
    <t>E05012869</t>
  </si>
  <si>
    <t>Town &amp; Castle</t>
  </si>
  <si>
    <t>E05012870</t>
  </si>
  <si>
    <t>E05012871</t>
  </si>
  <si>
    <t>* as created by The Dover (Electoral Changes) Order 2019</t>
  </si>
  <si>
    <t>E05012843</t>
  </si>
  <si>
    <t>E05012844</t>
  </si>
  <si>
    <t>Dunstable-Central</t>
  </si>
  <si>
    <t>Dunstable-Icknield</t>
  </si>
  <si>
    <t>Dunstable-Manshead</t>
  </si>
  <si>
    <t>E05012845</t>
  </si>
  <si>
    <t>Dunstable-Northfields</t>
  </si>
  <si>
    <t>E05012846</t>
  </si>
  <si>
    <t>Dunstable-Watling</t>
  </si>
  <si>
    <t>E05012847</t>
  </si>
  <si>
    <t>E05012848</t>
  </si>
  <si>
    <t>E05012849</t>
  </si>
  <si>
    <t>E05012850</t>
  </si>
  <si>
    <t xml:space="preserve">  and amended by The Central Bedfordshire (Electoral Changes) Order 2019</t>
  </si>
  <si>
    <t>E05011393</t>
  </si>
  <si>
    <t>E05011401</t>
  </si>
  <si>
    <t>Pudsey</t>
  </si>
  <si>
    <t>E05011410</t>
  </si>
  <si>
    <t>E05011412</t>
  </si>
  <si>
    <t>E05012647</t>
  </si>
  <si>
    <t>E05012648</t>
  </si>
  <si>
    <t>E05012841</t>
  </si>
  <si>
    <t>E05012842</t>
  </si>
  <si>
    <t>* as created by The Leeds (Electoral Changes) Order 2017</t>
  </si>
  <si>
    <t xml:space="preserve">  and amended by The Leeds (Electoral Changes) Order 2018 and The Leeds (Electoral Changes) Order 2019</t>
  </si>
  <si>
    <t>E05011866</t>
  </si>
  <si>
    <t>E05011867</t>
  </si>
  <si>
    <t>E05011868</t>
  </si>
  <si>
    <t>E05011869</t>
  </si>
  <si>
    <t>E05011870</t>
  </si>
  <si>
    <t>E05011871</t>
  </si>
  <si>
    <t>E05011872</t>
  </si>
  <si>
    <t>E05011874</t>
  </si>
  <si>
    <t>E05011875</t>
  </si>
  <si>
    <t>E05011877</t>
  </si>
  <si>
    <t>E05011878</t>
  </si>
  <si>
    <t>E05011879</t>
  </si>
  <si>
    <t>E05011880</t>
  </si>
  <si>
    <t>E05011881</t>
  </si>
  <si>
    <t>E05011882</t>
  </si>
  <si>
    <t>E05011883</t>
  </si>
  <si>
    <t>E05011884</t>
  </si>
  <si>
    <t>E05011885</t>
  </si>
  <si>
    <t>E05011886</t>
  </si>
  <si>
    <t>E05011887</t>
  </si>
  <si>
    <t>E05011888</t>
  </si>
  <si>
    <t>E05011889</t>
  </si>
  <si>
    <t>E05011890</t>
  </si>
  <si>
    <t>E05011891</t>
  </si>
  <si>
    <t>E05012851</t>
  </si>
  <si>
    <t>E05012852</t>
  </si>
  <si>
    <t>* as created by The South Norfolk (Electoral Changes) Order 2017</t>
  </si>
  <si>
    <t xml:space="preserve">   as amended by The South Norfolk (Electoral Changes) Order 2019</t>
  </si>
  <si>
    <t>WEST SUFFOLK DISTRICT  *</t>
  </si>
  <si>
    <t>E05012763</t>
  </si>
  <si>
    <t>E05012764</t>
  </si>
  <si>
    <t>E05012765</t>
  </si>
  <si>
    <t>E05012766</t>
  </si>
  <si>
    <t>E05012767</t>
  </si>
  <si>
    <t>Brandon Central</t>
  </si>
  <si>
    <t>E05012768</t>
  </si>
  <si>
    <t>E05012769</t>
  </si>
  <si>
    <t>E05012770</t>
  </si>
  <si>
    <t>Chedburgh &amp; Chevington</t>
  </si>
  <si>
    <t>E05012771</t>
  </si>
  <si>
    <t>Clare, Hundon &amp; Kedington</t>
  </si>
  <si>
    <t>E05012772</t>
  </si>
  <si>
    <t>E05012773</t>
  </si>
  <si>
    <t>E05012774</t>
  </si>
  <si>
    <t>Haverhill Central</t>
  </si>
  <si>
    <t>E05012775</t>
  </si>
  <si>
    <t>E05012776</t>
  </si>
  <si>
    <t>E05012777</t>
  </si>
  <si>
    <t>E05012778</t>
  </si>
  <si>
    <t>Haverhill South East</t>
  </si>
  <si>
    <t>E05012779</t>
  </si>
  <si>
    <t>E05012780</t>
  </si>
  <si>
    <t>Horringer</t>
  </si>
  <si>
    <t>E05012781</t>
  </si>
  <si>
    <t>E05012782</t>
  </si>
  <si>
    <t>E05012783</t>
  </si>
  <si>
    <t>Kentford &amp; Moulton</t>
  </si>
  <si>
    <t>E05012784</t>
  </si>
  <si>
    <t>E05012785</t>
  </si>
  <si>
    <t>E05012786</t>
  </si>
  <si>
    <t>Mildenhall Great Heath</t>
  </si>
  <si>
    <t>E05012787</t>
  </si>
  <si>
    <t>Mildenhall Kingsway &amp; Market</t>
  </si>
  <si>
    <t>E05012788</t>
  </si>
  <si>
    <t>Mildenhall Queensway</t>
  </si>
  <si>
    <t>E05012789</t>
  </si>
  <si>
    <t>E05012790</t>
  </si>
  <si>
    <t>E05012791</t>
  </si>
  <si>
    <t>Newmarket East</t>
  </si>
  <si>
    <t>E05012792</t>
  </si>
  <si>
    <t>Newmarket North</t>
  </si>
  <si>
    <t>E05012793</t>
  </si>
  <si>
    <t>Newmarket West</t>
  </si>
  <si>
    <t>E05012794</t>
  </si>
  <si>
    <t>Pakenham &amp; Troston</t>
  </si>
  <si>
    <t>E05012795</t>
  </si>
  <si>
    <t>E05012796</t>
  </si>
  <si>
    <t>E05012797</t>
  </si>
  <si>
    <t>E05012798</t>
  </si>
  <si>
    <t>E05012799</t>
  </si>
  <si>
    <t>E05012800</t>
  </si>
  <si>
    <t>The Fornhams &amp; Great Barton</t>
  </si>
  <si>
    <t>E05012801</t>
  </si>
  <si>
    <t>The Rows</t>
  </si>
  <si>
    <t>E05012802</t>
  </si>
  <si>
    <t>Tollgate</t>
  </si>
  <si>
    <t>E05012803</t>
  </si>
  <si>
    <t>E05012804</t>
  </si>
  <si>
    <t>Whepstead &amp; Wickhambrook</t>
  </si>
  <si>
    <t>E05012805</t>
  </si>
  <si>
    <t>41.</t>
  </si>
  <si>
    <t>42.</t>
  </si>
  <si>
    <t>43.</t>
  </si>
  <si>
    <t>* as created by The West Suffolk (Electoral Changes) Order 2018</t>
  </si>
  <si>
    <t xml:space="preserve">WEST SUFFOLK DISTRICT </t>
  </si>
  <si>
    <t>West Suffolk (pt)</t>
  </si>
  <si>
    <t>West Suffolk</t>
  </si>
  <si>
    <t>E05007699</t>
  </si>
  <si>
    <t>Aldeburgh &amp; Leiston</t>
  </si>
  <si>
    <t>Beccles &amp; Worlingham</t>
  </si>
  <si>
    <t>Bungay &amp; Wainford</t>
  </si>
  <si>
    <t>Carlford &amp; Fynn Valley</t>
  </si>
  <si>
    <t>Carlton &amp; Whitton</t>
  </si>
  <si>
    <t>Eastern Felixstowe</t>
  </si>
  <si>
    <t>Gunton &amp; St Margarets</t>
  </si>
  <si>
    <t>Halesworth &amp; Blything</t>
  </si>
  <si>
    <t>Harbour &amp; Normanston</t>
  </si>
  <si>
    <t>Kelsale &amp; Yoxford</t>
  </si>
  <si>
    <t>Kesgrave</t>
  </si>
  <si>
    <t>Kirkley &amp; Pakefield</t>
  </si>
  <si>
    <t>Martlesham &amp; Purdis Farm</t>
  </si>
  <si>
    <t>Orwell &amp; Villages</t>
  </si>
  <si>
    <t>Rendlesham &amp; Orford</t>
  </si>
  <si>
    <t>Southwold</t>
  </si>
  <si>
    <t>Western Felixstowe</t>
  </si>
  <si>
    <t>Wrentham, Wangford &amp; Westleton</t>
  </si>
  <si>
    <t>EAST SUFFOLK DISTRICT  *</t>
  </si>
  <si>
    <t>E05012734</t>
  </si>
  <si>
    <t>E05012735</t>
  </si>
  <si>
    <t>E05012736</t>
  </si>
  <si>
    <t>E05012737</t>
  </si>
  <si>
    <t>E05012738</t>
  </si>
  <si>
    <t>E05012739</t>
  </si>
  <si>
    <t>E05012740</t>
  </si>
  <si>
    <t>E05012741</t>
  </si>
  <si>
    <t>E05012742</t>
  </si>
  <si>
    <t>E05012743</t>
  </si>
  <si>
    <t>E05012744</t>
  </si>
  <si>
    <t>E05012745</t>
  </si>
  <si>
    <t>E05012746</t>
  </si>
  <si>
    <t>E05012747</t>
  </si>
  <si>
    <t>E05012748</t>
  </si>
  <si>
    <t>E05012749</t>
  </si>
  <si>
    <t>E05012750</t>
  </si>
  <si>
    <t>E05012751</t>
  </si>
  <si>
    <t>E05012752</t>
  </si>
  <si>
    <t>E05012753</t>
  </si>
  <si>
    <t>E05012754</t>
  </si>
  <si>
    <t>E05012755</t>
  </si>
  <si>
    <t>E05012756</t>
  </si>
  <si>
    <t>Rushmere St Andrew</t>
  </si>
  <si>
    <t>E05012757</t>
  </si>
  <si>
    <t>E05012758</t>
  </si>
  <si>
    <t>E05012759</t>
  </si>
  <si>
    <t>E05012760</t>
  </si>
  <si>
    <t>E05012761</t>
  </si>
  <si>
    <t>E05012762</t>
  </si>
  <si>
    <t>* as created by The East Suffolk (Electoral Changes) Order 2018</t>
  </si>
  <si>
    <t>EAST SUFFOLK DISTRICT</t>
  </si>
  <si>
    <t>East Suffolk (pt)</t>
  </si>
  <si>
    <t>East Suffolk</t>
  </si>
  <si>
    <t>* as created by The Bournemouth, Christchurch and Poole (Electoral Changes) Order 2018</t>
  </si>
  <si>
    <t>E05012682</t>
  </si>
  <si>
    <t>E05012683</t>
  </si>
  <si>
    <t>E05012684</t>
  </si>
  <si>
    <t>Blackmore Vale</t>
  </si>
  <si>
    <t>E05012685</t>
  </si>
  <si>
    <t>Blandford</t>
  </si>
  <si>
    <t>E05012686</t>
  </si>
  <si>
    <t>Bridport</t>
  </si>
  <si>
    <t>E05012687</t>
  </si>
  <si>
    <t>Chalk Valleys</t>
  </si>
  <si>
    <t>E05012688</t>
  </si>
  <si>
    <t>Charminster St Mary's</t>
  </si>
  <si>
    <t>E05012689</t>
  </si>
  <si>
    <t>Chesil Bank</t>
  </si>
  <si>
    <t>E05012690</t>
  </si>
  <si>
    <t>Chickerell</t>
  </si>
  <si>
    <t>E05012691</t>
  </si>
  <si>
    <t>Colehill &amp; Wimborne Minster East</t>
  </si>
  <si>
    <t>E05012692</t>
  </si>
  <si>
    <t>E05012693</t>
  </si>
  <si>
    <t>Cranborne &amp; Alderholt</t>
  </si>
  <si>
    <t>E05012694</t>
  </si>
  <si>
    <t>Cranborne Chase</t>
  </si>
  <si>
    <t>E05012695</t>
  </si>
  <si>
    <t>Crossways</t>
  </si>
  <si>
    <t>E05012696</t>
  </si>
  <si>
    <t>E05012697</t>
  </si>
  <si>
    <t>Dorchester Poundbury</t>
  </si>
  <si>
    <t>E05012698</t>
  </si>
  <si>
    <t>E05012699</t>
  </si>
  <si>
    <t>Eggardon</t>
  </si>
  <si>
    <t>E05012700</t>
  </si>
  <si>
    <t>Ferndown North</t>
  </si>
  <si>
    <t>E05012701</t>
  </si>
  <si>
    <t>Ferndown South</t>
  </si>
  <si>
    <t>E05012702</t>
  </si>
  <si>
    <t>Gillingham</t>
  </si>
  <si>
    <t>E05012703</t>
  </si>
  <si>
    <t>Hill Forts &amp; Upper Tarrants</t>
  </si>
  <si>
    <t>E05012704</t>
  </si>
  <si>
    <t>Littlemoor &amp; Preston</t>
  </si>
  <si>
    <t>E05012705</t>
  </si>
  <si>
    <t>Lyme &amp; Charmouth</t>
  </si>
  <si>
    <t>E05012706</t>
  </si>
  <si>
    <t>Lytchett Matravers &amp; Upton</t>
  </si>
  <si>
    <t>E05012707</t>
  </si>
  <si>
    <t>Marshwood Vale</t>
  </si>
  <si>
    <t>E05012708</t>
  </si>
  <si>
    <t>E05012709</t>
  </si>
  <si>
    <t>E05012710</t>
  </si>
  <si>
    <t>Puddletown &amp; Lower Winterborne</t>
  </si>
  <si>
    <t>E05012711</t>
  </si>
  <si>
    <t>E05012712</t>
  </si>
  <si>
    <t>Rodwell &amp; Wyke</t>
  </si>
  <si>
    <t>E05012713</t>
  </si>
  <si>
    <t>St Leonards &amp; St Ives</t>
  </si>
  <si>
    <t>E05012714</t>
  </si>
  <si>
    <t>Shaftesbury Town</t>
  </si>
  <si>
    <t>E05012715</t>
  </si>
  <si>
    <t>E05012716</t>
  </si>
  <si>
    <t>Sherborne Rural</t>
  </si>
  <si>
    <t>E05012717</t>
  </si>
  <si>
    <t>E05012718</t>
  </si>
  <si>
    <t>South East Purbeck</t>
  </si>
  <si>
    <t>E05012719</t>
  </si>
  <si>
    <t>Stalbridge &amp; Marnhull</t>
  </si>
  <si>
    <t>E05012720</t>
  </si>
  <si>
    <t>Stour &amp; Allen Vale</t>
  </si>
  <si>
    <t>E05012721</t>
  </si>
  <si>
    <t>E05012722</t>
  </si>
  <si>
    <t>Swanage</t>
  </si>
  <si>
    <t>E05012723</t>
  </si>
  <si>
    <t>Upwey &amp; Broadwey</t>
  </si>
  <si>
    <t>E05012724</t>
  </si>
  <si>
    <t>Verwood</t>
  </si>
  <si>
    <t>E05012725</t>
  </si>
  <si>
    <t>E05012726</t>
  </si>
  <si>
    <t>West Moors &amp; Three Legged Cross</t>
  </si>
  <si>
    <t>E05012727</t>
  </si>
  <si>
    <t>West Parley</t>
  </si>
  <si>
    <t>E05012728</t>
  </si>
  <si>
    <t>West Purbeck</t>
  </si>
  <si>
    <t>E05012729</t>
  </si>
  <si>
    <t>Westham</t>
  </si>
  <si>
    <t>E05012730</t>
  </si>
  <si>
    <t>E05012731</t>
  </si>
  <si>
    <t>Winterborne &amp; Broadmayne</t>
  </si>
  <si>
    <t>E05012732</t>
  </si>
  <si>
    <t>Winterborne North</t>
  </si>
  <si>
    <t>E05012733</t>
  </si>
  <si>
    <t>Yetminster</t>
  </si>
  <si>
    <t>BOURNEMOUTH, CHRISTCHURCH AND POOLE DISTRICT  *</t>
  </si>
  <si>
    <t>DORSET DISTRICT  *</t>
  </si>
  <si>
    <t>* as created by The Dorset (Electoral Changes) Order 2018</t>
  </si>
  <si>
    <t>E05012649</t>
  </si>
  <si>
    <t>E05012650</t>
  </si>
  <si>
    <t>E05012651</t>
  </si>
  <si>
    <t>E05012652</t>
  </si>
  <si>
    <t>E05012653</t>
  </si>
  <si>
    <t>E05012654</t>
  </si>
  <si>
    <t>E05012655</t>
  </si>
  <si>
    <t>E05012656</t>
  </si>
  <si>
    <t>E05012657</t>
  </si>
  <si>
    <t>E05012658</t>
  </si>
  <si>
    <t>E05012659</t>
  </si>
  <si>
    <t>E05012660</t>
  </si>
  <si>
    <t>E05012661</t>
  </si>
  <si>
    <t>E05012662</t>
  </si>
  <si>
    <t>E05012663</t>
  </si>
  <si>
    <t>E05012664</t>
  </si>
  <si>
    <t>E05012665</t>
  </si>
  <si>
    <t>E05012666</t>
  </si>
  <si>
    <t>E05012667</t>
  </si>
  <si>
    <t>E05012668</t>
  </si>
  <si>
    <t>E05012669</t>
  </si>
  <si>
    <t>E05012670</t>
  </si>
  <si>
    <t>E05012671</t>
  </si>
  <si>
    <t>E05012672</t>
  </si>
  <si>
    <t>E05012673</t>
  </si>
  <si>
    <t>E05012674</t>
  </si>
  <si>
    <t>E05012675</t>
  </si>
  <si>
    <t>E05012676</t>
  </si>
  <si>
    <t>E05012677</t>
  </si>
  <si>
    <t>E05012678</t>
  </si>
  <si>
    <t>E05012679</t>
  </si>
  <si>
    <t>E05012680</t>
  </si>
  <si>
    <t>E05012681</t>
  </si>
  <si>
    <t>Alderney &amp; Bourne Valley</t>
  </si>
  <si>
    <t>Bearwood &amp; Merley</t>
  </si>
  <si>
    <t>Boscombe East &amp; Pokesdown</t>
  </si>
  <si>
    <t>Bournemouth Central</t>
  </si>
  <si>
    <t>Burton &amp; Grange</t>
  </si>
  <si>
    <t>Canford Heath</t>
  </si>
  <si>
    <t>Christchurch Town</t>
  </si>
  <si>
    <t>Commons</t>
  </si>
  <si>
    <t>East Cliff &amp; Springbourne</t>
  </si>
  <si>
    <t>East Southbourne &amp; Tuckton</t>
  </si>
  <si>
    <t>Hamworthy</t>
  </si>
  <si>
    <t>Highcliffe &amp; Walkford</t>
  </si>
  <si>
    <t>Kinson</t>
  </si>
  <si>
    <t>Littledown &amp; Ilford</t>
  </si>
  <si>
    <t>Mudeford, Stanpit &amp; West Highcliffe</t>
  </si>
  <si>
    <t>Muscliff &amp; Strouden Park</t>
  </si>
  <si>
    <t>Newtown &amp; Heatherlands</t>
  </si>
  <si>
    <t>Redhill &amp; Northbourne</t>
  </si>
  <si>
    <t>Talbot &amp; Branksome Woods</t>
  </si>
  <si>
    <t>Wallisdown &amp; Winton West</t>
  </si>
  <si>
    <t>Westbourne &amp; West Cliff</t>
  </si>
  <si>
    <t>BOURNEMOUTH, CHRISTCHURCH AND POOLE DISTRICT</t>
  </si>
  <si>
    <t>DORSET DISTRICT</t>
  </si>
  <si>
    <t>County Average (Bournemouth, Christchurch and Poole) (4 seats)</t>
  </si>
  <si>
    <t>Bournemouth, Christchurch and Poole (pt)</t>
  </si>
  <si>
    <t>Dorset (pt)</t>
  </si>
  <si>
    <t>Dorset</t>
  </si>
  <si>
    <t>Bournemouth, Christchurch and Poole</t>
  </si>
  <si>
    <t>SOMERSET WEST AND TAUNTON DISTRICT  *</t>
  </si>
  <si>
    <t>E05012806</t>
  </si>
  <si>
    <t>E05012807</t>
  </si>
  <si>
    <t>Blackbrook &amp; Holway</t>
  </si>
  <si>
    <t>E05012808</t>
  </si>
  <si>
    <t>Comeytrowe &amp; Bishop's Hull</t>
  </si>
  <si>
    <t>E05012809</t>
  </si>
  <si>
    <t>Cotford St Luke &amp; Oake</t>
  </si>
  <si>
    <t>E05012810</t>
  </si>
  <si>
    <t>Creech St Michael</t>
  </si>
  <si>
    <t>E05012811</t>
  </si>
  <si>
    <t>Dulverton &amp; District</t>
  </si>
  <si>
    <t>E05012812</t>
  </si>
  <si>
    <t>Exmoor</t>
  </si>
  <si>
    <t>E05012813</t>
  </si>
  <si>
    <t>Halcon &amp; Lane</t>
  </si>
  <si>
    <t>E05012814</t>
  </si>
  <si>
    <t>Hatch &amp; Blackdown</t>
  </si>
  <si>
    <t>E05012815</t>
  </si>
  <si>
    <t>Manor &amp; Tangier</t>
  </si>
  <si>
    <t>E05012816</t>
  </si>
  <si>
    <t>Milverton &amp; District</t>
  </si>
  <si>
    <t>E05012817</t>
  </si>
  <si>
    <t>E05012818</t>
  </si>
  <si>
    <t>E05012819</t>
  </si>
  <si>
    <t>E05012820</t>
  </si>
  <si>
    <t>North Curry &amp; Ruishton</t>
  </si>
  <si>
    <t>E05012821</t>
  </si>
  <si>
    <t>E05012822</t>
  </si>
  <si>
    <t>Norton Fitzwarren &amp; Staplegrove</t>
  </si>
  <si>
    <t>E05012823</t>
  </si>
  <si>
    <t>Old Cleeve &amp; District</t>
  </si>
  <si>
    <t>E05012824</t>
  </si>
  <si>
    <t>Periton &amp; Woodcombe</t>
  </si>
  <si>
    <t>E05012825</t>
  </si>
  <si>
    <t>Porlock &amp; District</t>
  </si>
  <si>
    <t>E05012826</t>
  </si>
  <si>
    <t>Priorswood</t>
  </si>
  <si>
    <t>E05012827</t>
  </si>
  <si>
    <t>E05012828</t>
  </si>
  <si>
    <t>Rockwell Green</t>
  </si>
  <si>
    <t>E05012829</t>
  </si>
  <si>
    <t>South Quantock</t>
  </si>
  <si>
    <t>E05012830</t>
  </si>
  <si>
    <t>Trull, Pitminster &amp; Corfe</t>
  </si>
  <si>
    <t>E05012831</t>
  </si>
  <si>
    <t>E05012832</t>
  </si>
  <si>
    <t>Vivary</t>
  </si>
  <si>
    <t>E05012833</t>
  </si>
  <si>
    <t>Watchet &amp; Williton</t>
  </si>
  <si>
    <t>E05012834</t>
  </si>
  <si>
    <t>E05012835</t>
  </si>
  <si>
    <t>E05012836</t>
  </si>
  <si>
    <t>Wellington South</t>
  </si>
  <si>
    <t>E05012837</t>
  </si>
  <si>
    <t>Wellsprings &amp; Rowbarton</t>
  </si>
  <si>
    <t>E05012838</t>
  </si>
  <si>
    <t>West Monkton &amp; Cheddon Fitzpaine</t>
  </si>
  <si>
    <t>E05012839</t>
  </si>
  <si>
    <t>Wilton &amp; Sherford</t>
  </si>
  <si>
    <t>E05012840</t>
  </si>
  <si>
    <t>Wiveliscombe &amp; District</t>
  </si>
  <si>
    <t>* as created by The Somerset West and Taunton (Electoral Changes) Order 2018</t>
  </si>
  <si>
    <t xml:space="preserve">SOMERSET WEST AND TAUNTON DISTRICT </t>
  </si>
  <si>
    <t>Somerset West and Taunton</t>
  </si>
  <si>
    <t>Somerset West and Taunton (pt)</t>
  </si>
  <si>
    <t>E05012589</t>
  </si>
  <si>
    <t>E05012590</t>
  </si>
  <si>
    <t>Battisford &amp; Ringshall</t>
  </si>
  <si>
    <t>E05012591</t>
  </si>
  <si>
    <t>Blakenham</t>
  </si>
  <si>
    <t>E05012592</t>
  </si>
  <si>
    <t>Bramford</t>
  </si>
  <si>
    <t>E05012593</t>
  </si>
  <si>
    <t>E05012594</t>
  </si>
  <si>
    <t>Claydon &amp; Barham</t>
  </si>
  <si>
    <t>E05012595</t>
  </si>
  <si>
    <t>Combs Ford</t>
  </si>
  <si>
    <t>E05012596</t>
  </si>
  <si>
    <t>E05012597</t>
  </si>
  <si>
    <t>Elmswell &amp; Woolpit</t>
  </si>
  <si>
    <t>E05012598</t>
  </si>
  <si>
    <t>E05012599</t>
  </si>
  <si>
    <t>E05012600</t>
  </si>
  <si>
    <t>E05012601</t>
  </si>
  <si>
    <t>Haughley, Stowupland &amp; Wetherden</t>
  </si>
  <si>
    <t>E05012602</t>
  </si>
  <si>
    <t>Hoxne &amp; Worlingworth</t>
  </si>
  <si>
    <t>E05012603</t>
  </si>
  <si>
    <t>E05012604</t>
  </si>
  <si>
    <t>E05012605</t>
  </si>
  <si>
    <t>E05012606</t>
  </si>
  <si>
    <t>E05012607</t>
  </si>
  <si>
    <t>E05012608</t>
  </si>
  <si>
    <t>Rickinghall</t>
  </si>
  <si>
    <t>E05012609</t>
  </si>
  <si>
    <t>E05012610</t>
  </si>
  <si>
    <t>Stonham</t>
  </si>
  <si>
    <t>E05012611</t>
  </si>
  <si>
    <t>Stow Thorney</t>
  </si>
  <si>
    <t>E05012612</t>
  </si>
  <si>
    <t>Stradbroke &amp; Laxfield</t>
  </si>
  <si>
    <t>E05012613</t>
  </si>
  <si>
    <t>Thurston</t>
  </si>
  <si>
    <t>E05012614</t>
  </si>
  <si>
    <t>Walsham-le-Willows</t>
  </si>
  <si>
    <t>Bury St. Edmunds CC</t>
  </si>
  <si>
    <t>* as created by The Mid Suffolk (Electoral Changes) Order 2018</t>
  </si>
  <si>
    <t>E05012548</t>
  </si>
  <si>
    <t>Arlecdon &amp; Ennerdale</t>
  </si>
  <si>
    <t>E05012549</t>
  </si>
  <si>
    <t>E05012550</t>
  </si>
  <si>
    <t>Black Combe &amp; Scafell</t>
  </si>
  <si>
    <t>E05012551</t>
  </si>
  <si>
    <t>Cleator Moor</t>
  </si>
  <si>
    <t>E05012552</t>
  </si>
  <si>
    <t>Corkickle</t>
  </si>
  <si>
    <t>E05012553</t>
  </si>
  <si>
    <t>Distington, Lowca &amp; Parton</t>
  </si>
  <si>
    <t>E05012554</t>
  </si>
  <si>
    <t>Egremont</t>
  </si>
  <si>
    <t>E05012555</t>
  </si>
  <si>
    <t>Gosforth &amp; Seascale</t>
  </si>
  <si>
    <t>E05012556</t>
  </si>
  <si>
    <t>E05012557</t>
  </si>
  <si>
    <t>E05012558</t>
  </si>
  <si>
    <t>Millom</t>
  </si>
  <si>
    <t>E05012559</t>
  </si>
  <si>
    <t>Moor Row &amp; Bigrigg</t>
  </si>
  <si>
    <t>E05012560</t>
  </si>
  <si>
    <t>E05012561</t>
  </si>
  <si>
    <t>E05012562</t>
  </si>
  <si>
    <t>Sneckyeat</t>
  </si>
  <si>
    <t>E05012563</t>
  </si>
  <si>
    <t>Whitehaven Central</t>
  </si>
  <si>
    <t>E05012564</t>
  </si>
  <si>
    <t>Whitehaven South</t>
  </si>
  <si>
    <t>E05012565</t>
  </si>
  <si>
    <t>Assington</t>
  </si>
  <si>
    <t>E05012566</t>
  </si>
  <si>
    <t>Box Vale</t>
  </si>
  <si>
    <t>E05012567</t>
  </si>
  <si>
    <t>Brantham</t>
  </si>
  <si>
    <t>E05012568</t>
  </si>
  <si>
    <t>E05012569</t>
  </si>
  <si>
    <t>Bures St Mary &amp; Nayland</t>
  </si>
  <si>
    <t>E05012570</t>
  </si>
  <si>
    <t>Capel St Mary</t>
  </si>
  <si>
    <t>E05012571</t>
  </si>
  <si>
    <t>E05012572</t>
  </si>
  <si>
    <t>Copdock &amp; Washbrook</t>
  </si>
  <si>
    <t>E05012573</t>
  </si>
  <si>
    <t>East Bergholt</t>
  </si>
  <si>
    <t>E05012574</t>
  </si>
  <si>
    <t>Ganges</t>
  </si>
  <si>
    <t>E05012575</t>
  </si>
  <si>
    <t>Great Cornard</t>
  </si>
  <si>
    <t>E05012576</t>
  </si>
  <si>
    <t>E05012577</t>
  </si>
  <si>
    <t>E05012578</t>
  </si>
  <si>
    <t>E05012579</t>
  </si>
  <si>
    <t>E05012580</t>
  </si>
  <si>
    <t>North West Cosford</t>
  </si>
  <si>
    <t>E05012581</t>
  </si>
  <si>
    <t>Orwell</t>
  </si>
  <si>
    <t>E05012582</t>
  </si>
  <si>
    <t>South East Cosford</t>
  </si>
  <si>
    <t>E05012583</t>
  </si>
  <si>
    <t>Sproughton &amp; Pinewood</t>
  </si>
  <si>
    <t>E05012584</t>
  </si>
  <si>
    <t>Stour</t>
  </si>
  <si>
    <t>E05012585</t>
  </si>
  <si>
    <t>Sudbury North East</t>
  </si>
  <si>
    <t>E05012586</t>
  </si>
  <si>
    <t>Sudbury North West</t>
  </si>
  <si>
    <t>E05012587</t>
  </si>
  <si>
    <t>Sudbury South East</t>
  </si>
  <si>
    <t>E05012588</t>
  </si>
  <si>
    <t>Sudbury South West</t>
  </si>
  <si>
    <t>* as created by The Babergh (Electoral Changes) Order 2018</t>
  </si>
  <si>
    <t>* as created by The Copeland (Electoral Changes) Order 2018</t>
  </si>
  <si>
    <t>E05012632</t>
  </si>
  <si>
    <t>Barleythorpe</t>
  </si>
  <si>
    <t>E05012633</t>
  </si>
  <si>
    <t>Braunston &amp; Martinsthorpe</t>
  </si>
  <si>
    <t>E05012634</t>
  </si>
  <si>
    <t>E05012635</t>
  </si>
  <si>
    <t>E05012636</t>
  </si>
  <si>
    <t>E05012637</t>
  </si>
  <si>
    <t>E05012638</t>
  </si>
  <si>
    <t>E05012639</t>
  </si>
  <si>
    <t>E05012640</t>
  </si>
  <si>
    <t>E05012641</t>
  </si>
  <si>
    <t>E05012642</t>
  </si>
  <si>
    <t>E05012643</t>
  </si>
  <si>
    <t>Oakham South</t>
  </si>
  <si>
    <t>E05012644</t>
  </si>
  <si>
    <t>Ryhall &amp; Casterton</t>
  </si>
  <si>
    <t>E05012645</t>
  </si>
  <si>
    <t>E05012646</t>
  </si>
  <si>
    <t>* as created by The Rutland (Electoral Changes) Order 2018</t>
  </si>
  <si>
    <t>E05012615</t>
  </si>
  <si>
    <t>E05012616</t>
  </si>
  <si>
    <t>E05012617</t>
  </si>
  <si>
    <t>Cubbington &amp; Leek Wootton</t>
  </si>
  <si>
    <t>E05012618</t>
  </si>
  <si>
    <t>Kenilworth Abbey &amp; Arden</t>
  </si>
  <si>
    <t>E05012619</t>
  </si>
  <si>
    <t>Kenilworth Park Hill</t>
  </si>
  <si>
    <t>E05012620</t>
  </si>
  <si>
    <t>Kenilworth St John's</t>
  </si>
  <si>
    <t>E05012621</t>
  </si>
  <si>
    <t>Leamington Brunswick</t>
  </si>
  <si>
    <t>E05012622</t>
  </si>
  <si>
    <t>Leamington Clarendon</t>
  </si>
  <si>
    <t>E05012623</t>
  </si>
  <si>
    <t>Leamington Lillington</t>
  </si>
  <si>
    <t>E05012624</t>
  </si>
  <si>
    <t>Leamington Milverton</t>
  </si>
  <si>
    <t>E05012625</t>
  </si>
  <si>
    <t>Leamington Willes</t>
  </si>
  <si>
    <t>E05012626</t>
  </si>
  <si>
    <t>E05012627</t>
  </si>
  <si>
    <t>Warwick All Saints &amp; Woodloes</t>
  </si>
  <si>
    <t>E05012628</t>
  </si>
  <si>
    <t>Warwick Aylesford</t>
  </si>
  <si>
    <t>E05012629</t>
  </si>
  <si>
    <t>Warwick Myton &amp; Heathcote</t>
  </si>
  <si>
    <t>E05012630</t>
  </si>
  <si>
    <t>Warwick Saltisford</t>
  </si>
  <si>
    <t>E05012631</t>
  </si>
  <si>
    <t>* as created by The Warwick (Electoral Changes) Order 2018</t>
  </si>
  <si>
    <t>E05012494</t>
  </si>
  <si>
    <t>Ascot &amp; Sunninghill</t>
  </si>
  <si>
    <t>E05012495</t>
  </si>
  <si>
    <t>E05012496</t>
  </si>
  <si>
    <t>Bisham &amp; Cookham</t>
  </si>
  <si>
    <t>E05012497</t>
  </si>
  <si>
    <t>E05012498</t>
  </si>
  <si>
    <t>E05012499</t>
  </si>
  <si>
    <t>Clewer &amp; Dedworth East</t>
  </si>
  <si>
    <t>E05012500</t>
  </si>
  <si>
    <t>Clewer &amp; Dedworth West</t>
  </si>
  <si>
    <t>E05012501</t>
  </si>
  <si>
    <t>E05012502</t>
  </si>
  <si>
    <t>E05012503</t>
  </si>
  <si>
    <t>Datchet, Horton &amp; Wraysbury</t>
  </si>
  <si>
    <t>E05012504</t>
  </si>
  <si>
    <t>Eton &amp; Castle</t>
  </si>
  <si>
    <t>E05012505</t>
  </si>
  <si>
    <t>E05012506</t>
  </si>
  <si>
    <t>Hurley &amp; Walthams</t>
  </si>
  <si>
    <t>E05012507</t>
  </si>
  <si>
    <t>E05012508</t>
  </si>
  <si>
    <t>E05012509</t>
  </si>
  <si>
    <t>E05012510</t>
  </si>
  <si>
    <t>E05012511</t>
  </si>
  <si>
    <t>E05012512</t>
  </si>
  <si>
    <t>Sunningdale &amp; Cheapside</t>
  </si>
  <si>
    <t>* as created by The Windsor and Maidenhead (Electoral Changes) Order 2018</t>
  </si>
  <si>
    <t>E05012513</t>
  </si>
  <si>
    <t>E05012514</t>
  </si>
  <si>
    <t>E05012515</t>
  </si>
  <si>
    <t>E05012516</t>
  </si>
  <si>
    <t>E05012517</t>
  </si>
  <si>
    <t>E05012518</t>
  </si>
  <si>
    <t>E05012519</t>
  </si>
  <si>
    <t>E05012520</t>
  </si>
  <si>
    <t>E05012521</t>
  </si>
  <si>
    <t>E05012522</t>
  </si>
  <si>
    <t>E05012523</t>
  </si>
  <si>
    <t>E05012524</t>
  </si>
  <si>
    <t>E05012525</t>
  </si>
  <si>
    <t>E05012526</t>
  </si>
  <si>
    <t>E05012527</t>
  </si>
  <si>
    <t>E05012528</t>
  </si>
  <si>
    <t>E05012529</t>
  </si>
  <si>
    <t>E05012530</t>
  </si>
  <si>
    <t>E05012531</t>
  </si>
  <si>
    <t>E05012532</t>
  </si>
  <si>
    <t>E05012533</t>
  </si>
  <si>
    <t>E05012534</t>
  </si>
  <si>
    <t>E05012535</t>
  </si>
  <si>
    <t>E05012536</t>
  </si>
  <si>
    <t>E05012537</t>
  </si>
  <si>
    <t>E05012538</t>
  </si>
  <si>
    <t>E05012539</t>
  </si>
  <si>
    <t>E05012540</t>
  </si>
  <si>
    <t>E05012541</t>
  </si>
  <si>
    <t>E05012542</t>
  </si>
  <si>
    <t>E05012543</t>
  </si>
  <si>
    <t>E05012544</t>
  </si>
  <si>
    <t>E05012545</t>
  </si>
  <si>
    <t>E05012546</t>
  </si>
  <si>
    <t>E05012547</t>
  </si>
  <si>
    <t>* as created by The South Somerset (Electoral Changes) Order 2018</t>
  </si>
  <si>
    <t>E05012461</t>
  </si>
  <si>
    <t>E05012462</t>
  </si>
  <si>
    <t>E05012463</t>
  </si>
  <si>
    <t>E05012464</t>
  </si>
  <si>
    <t>Chew Valley</t>
  </si>
  <si>
    <t>E05012465</t>
  </si>
  <si>
    <t>Clutton &amp; Farmborough</t>
  </si>
  <si>
    <t>E05012466</t>
  </si>
  <si>
    <t>E05012467</t>
  </si>
  <si>
    <t>E05012468</t>
  </si>
  <si>
    <t>E05012469</t>
  </si>
  <si>
    <t>E05012470</t>
  </si>
  <si>
    <t>E05012471</t>
  </si>
  <si>
    <t>E05012472</t>
  </si>
  <si>
    <t>E05012473</t>
  </si>
  <si>
    <t>E05012474</t>
  </si>
  <si>
    <t>E05012475</t>
  </si>
  <si>
    <t>E05012476</t>
  </si>
  <si>
    <t>E05012477</t>
  </si>
  <si>
    <t>Moorlands</t>
  </si>
  <si>
    <t>E05012478</t>
  </si>
  <si>
    <t>E05012479</t>
  </si>
  <si>
    <t>E05012480</t>
  </si>
  <si>
    <t>Oldfield Park</t>
  </si>
  <si>
    <t>E05012481</t>
  </si>
  <si>
    <t>E05012482</t>
  </si>
  <si>
    <t>E05012483</t>
  </si>
  <si>
    <t>Publow &amp; Whitchurch</t>
  </si>
  <si>
    <t>E05012484</t>
  </si>
  <si>
    <t>E05012485</t>
  </si>
  <si>
    <t>E05012486</t>
  </si>
  <si>
    <t>E05012487</t>
  </si>
  <si>
    <t>E05012488</t>
  </si>
  <si>
    <t>E05012489</t>
  </si>
  <si>
    <t>E05012490</t>
  </si>
  <si>
    <t>E05012491</t>
  </si>
  <si>
    <t>E05012492</t>
  </si>
  <si>
    <t>E05012493</t>
  </si>
  <si>
    <t>Widcombe &amp; Lyncombe</t>
  </si>
  <si>
    <t>E05012412</t>
  </si>
  <si>
    <t>Barnstaple Central</t>
  </si>
  <si>
    <t>E05012413</t>
  </si>
  <si>
    <t>Barnstaple with Pilton</t>
  </si>
  <si>
    <t>E05012414</t>
  </si>
  <si>
    <t>Barnstaple with Westacott</t>
  </si>
  <si>
    <t>E05012415</t>
  </si>
  <si>
    <t>Bickington</t>
  </si>
  <si>
    <t>E05012416</t>
  </si>
  <si>
    <t>E05012417</t>
  </si>
  <si>
    <t>E05012418</t>
  </si>
  <si>
    <t>E05012419</t>
  </si>
  <si>
    <t>Braunton West &amp; Georgeham</t>
  </si>
  <si>
    <t>E05012420</t>
  </si>
  <si>
    <t>E05012421</t>
  </si>
  <si>
    <t>E05012422</t>
  </si>
  <si>
    <t>E05012423</t>
  </si>
  <si>
    <t>E05012424</t>
  </si>
  <si>
    <t>E05012425</t>
  </si>
  <si>
    <t>E05012426</t>
  </si>
  <si>
    <t>E05012427</t>
  </si>
  <si>
    <t>E05012428</t>
  </si>
  <si>
    <t>Landkey</t>
  </si>
  <si>
    <t>E05012429</t>
  </si>
  <si>
    <t>Lynton &amp; Lynmouth</t>
  </si>
  <si>
    <t>E05012430</t>
  </si>
  <si>
    <t>E05012431</t>
  </si>
  <si>
    <t>Mortehoe</t>
  </si>
  <si>
    <t>E05012432</t>
  </si>
  <si>
    <t>E05012433</t>
  </si>
  <si>
    <t>E05012434</t>
  </si>
  <si>
    <t>Roundswell</t>
  </si>
  <si>
    <t>E05012435</t>
  </si>
  <si>
    <t>E05012436</t>
  </si>
  <si>
    <t>* as created by The North Devon (Electoral Changes) Order 2018</t>
  </si>
  <si>
    <t>E05012437</t>
  </si>
  <si>
    <t>E05012438</t>
  </si>
  <si>
    <t>E05012439</t>
  </si>
  <si>
    <t>E05012440</t>
  </si>
  <si>
    <t>E05012441</t>
  </si>
  <si>
    <t>E05012442</t>
  </si>
  <si>
    <t>E05012443</t>
  </si>
  <si>
    <t>E05012444</t>
  </si>
  <si>
    <t>E05012445</t>
  </si>
  <si>
    <t>E05012446</t>
  </si>
  <si>
    <t>E05012447</t>
  </si>
  <si>
    <t>E05012448</t>
  </si>
  <si>
    <t>E05012449</t>
  </si>
  <si>
    <t>E05012450</t>
  </si>
  <si>
    <t>E05012451</t>
  </si>
  <si>
    <t>E05012452</t>
  </si>
  <si>
    <t>E05012453</t>
  </si>
  <si>
    <t>E05012454</t>
  </si>
  <si>
    <t>Skelton East</t>
  </si>
  <si>
    <t>E05012455</t>
  </si>
  <si>
    <t>Skelton West</t>
  </si>
  <si>
    <t>E05012456</t>
  </si>
  <si>
    <t>E05012457</t>
  </si>
  <si>
    <t>E05012458</t>
  </si>
  <si>
    <t>E05012459</t>
  </si>
  <si>
    <t>Wheatlands</t>
  </si>
  <si>
    <t>E05012460</t>
  </si>
  <si>
    <t>* as created by The Redcar and Cleveland (Electoral Changes) Order 2018</t>
  </si>
  <si>
    <t>E05012392</t>
  </si>
  <si>
    <t>Bean &amp; Village Park</t>
  </si>
  <si>
    <t>E05012393</t>
  </si>
  <si>
    <t>E05012394</t>
  </si>
  <si>
    <t>E05012395</t>
  </si>
  <si>
    <t>E05012396</t>
  </si>
  <si>
    <t>Darenth</t>
  </si>
  <si>
    <t>E05012397</t>
  </si>
  <si>
    <t>Ebbsfleet</t>
  </si>
  <si>
    <t>E05012398</t>
  </si>
  <si>
    <t>Greenhithe &amp; Knockhall</t>
  </si>
  <si>
    <t>E05012399</t>
  </si>
  <si>
    <t>E05012400</t>
  </si>
  <si>
    <t>Joyden's Wood</t>
  </si>
  <si>
    <t>E05012401</t>
  </si>
  <si>
    <t>Longfield, New Barn &amp; Southfleet</t>
  </si>
  <si>
    <t>E05012402</t>
  </si>
  <si>
    <t>Maypole &amp; Leyton Cross</t>
  </si>
  <si>
    <t>E05012403</t>
  </si>
  <si>
    <t>E05012404</t>
  </si>
  <si>
    <t>E05012405</t>
  </si>
  <si>
    <t>Stone Castle</t>
  </si>
  <si>
    <t>E05012406</t>
  </si>
  <si>
    <t>Stone House</t>
  </si>
  <si>
    <t>E05012407</t>
  </si>
  <si>
    <t>E05012408</t>
  </si>
  <si>
    <t>Temple Hill</t>
  </si>
  <si>
    <t>E05012409</t>
  </si>
  <si>
    <t>E05012410</t>
  </si>
  <si>
    <t>E05012411</t>
  </si>
  <si>
    <t>Wilmington, Sutton-at-Hone &amp; Hawley</t>
  </si>
  <si>
    <t>* as created by The Dartford (Electoral Changes) Order 2018</t>
  </si>
  <si>
    <t>E05012321</t>
  </si>
  <si>
    <t>E05012322</t>
  </si>
  <si>
    <t>Bircham with Rudhams</t>
  </si>
  <si>
    <t>E05012323</t>
  </si>
  <si>
    <t>E05012324</t>
  </si>
  <si>
    <t>Burnham Market &amp; Docking</t>
  </si>
  <si>
    <t>E05012325</t>
  </si>
  <si>
    <t>E05012326</t>
  </si>
  <si>
    <t>Denver</t>
  </si>
  <si>
    <t>E05012327</t>
  </si>
  <si>
    <t>E05012328</t>
  </si>
  <si>
    <t>E05012329</t>
  </si>
  <si>
    <t>E05012330</t>
  </si>
  <si>
    <t>Emneth &amp; Outwell</t>
  </si>
  <si>
    <t>E05012331</t>
  </si>
  <si>
    <t>E05012332</t>
  </si>
  <si>
    <t>Feltwell</t>
  </si>
  <si>
    <t>E05012333</t>
  </si>
  <si>
    <t>Gayton &amp; Grimston</t>
  </si>
  <si>
    <t>E05012334</t>
  </si>
  <si>
    <t>E05012335</t>
  </si>
  <si>
    <t>Gaywood Clock</t>
  </si>
  <si>
    <t>E05012336</t>
  </si>
  <si>
    <t>E05012337</t>
  </si>
  <si>
    <t>E05012338</t>
  </si>
  <si>
    <t>E05012339</t>
  </si>
  <si>
    <t>Massingham with Castle Acre</t>
  </si>
  <si>
    <t>E05012340</t>
  </si>
  <si>
    <t>Methwold</t>
  </si>
  <si>
    <t>E05012341</t>
  </si>
  <si>
    <t>E05012342</t>
  </si>
  <si>
    <t>E05012343</t>
  </si>
  <si>
    <t>St. Margaret's with St. Nicholas</t>
  </si>
  <si>
    <t>E05012344</t>
  </si>
  <si>
    <t>E05012345</t>
  </si>
  <si>
    <t>South &amp; West Lynn</t>
  </si>
  <si>
    <t>E05012346</t>
  </si>
  <si>
    <t>E05012347</t>
  </si>
  <si>
    <t>E05012348</t>
  </si>
  <si>
    <t>Terrington</t>
  </si>
  <si>
    <t>E05012349</t>
  </si>
  <si>
    <t>The Woottons</t>
  </si>
  <si>
    <t>E05012350</t>
  </si>
  <si>
    <t>Tilney, Mershe Lande &amp; Wiggenhall</t>
  </si>
  <si>
    <t>E05012351</t>
  </si>
  <si>
    <t>Upwell &amp; Delph</t>
  </si>
  <si>
    <t>E05012352</t>
  </si>
  <si>
    <t>Walsoken, West Walton &amp; Walpole</t>
  </si>
  <si>
    <t>E05012353</t>
  </si>
  <si>
    <t>E05012354</t>
  </si>
  <si>
    <t>E05012355</t>
  </si>
  <si>
    <t>North West Norfolk Co Const</t>
  </si>
  <si>
    <t>South West Norfolk Co Const</t>
  </si>
  <si>
    <t>* as created by The King’s Lynn and West Norfolk (Electoral Changes) Order 2018</t>
  </si>
  <si>
    <t>* as created by The Nottingham (Electoral Changes) Order 2018</t>
  </si>
  <si>
    <t>E05012270</t>
  </si>
  <si>
    <t>E05012271</t>
  </si>
  <si>
    <t>E05012272</t>
  </si>
  <si>
    <t>E05012273</t>
  </si>
  <si>
    <t>E05012274</t>
  </si>
  <si>
    <t>E05012275</t>
  </si>
  <si>
    <t>E05012276</t>
  </si>
  <si>
    <t>E05012277</t>
  </si>
  <si>
    <t>E05012278</t>
  </si>
  <si>
    <t>E05012279</t>
  </si>
  <si>
    <t>E05012280</t>
  </si>
  <si>
    <t>E05012281</t>
  </si>
  <si>
    <t>E05012282</t>
  </si>
  <si>
    <t>E05012283</t>
  </si>
  <si>
    <t>E05012284</t>
  </si>
  <si>
    <t>E05012285</t>
  </si>
  <si>
    <t>E05012286</t>
  </si>
  <si>
    <t>E05012287</t>
  </si>
  <si>
    <t>St. Ann's</t>
  </si>
  <si>
    <t>E05012288</t>
  </si>
  <si>
    <t>E05012289</t>
  </si>
  <si>
    <t>E05012356</t>
  </si>
  <si>
    <t>Catterick &amp; Brompton-on-Swale</t>
  </si>
  <si>
    <t>E05012357</t>
  </si>
  <si>
    <t>E05012358</t>
  </si>
  <si>
    <t>Croft &amp; Middleton Tyas</t>
  </si>
  <si>
    <t>E05012359</t>
  </si>
  <si>
    <t>E05012360</t>
  </si>
  <si>
    <t>Hawes, High Abbotside &amp; Upper Swaledale</t>
  </si>
  <si>
    <t>E05012361</t>
  </si>
  <si>
    <t>E05012362</t>
  </si>
  <si>
    <t>E05012363</t>
  </si>
  <si>
    <t>Lower Swaledale &amp; Arkengarthdale</t>
  </si>
  <si>
    <t>E05012364</t>
  </si>
  <si>
    <t>E05012365</t>
  </si>
  <si>
    <t>E05012366</t>
  </si>
  <si>
    <t>E05012367</t>
  </si>
  <si>
    <t>E05012368</t>
  </si>
  <si>
    <t>Richmond North</t>
  </si>
  <si>
    <t>E05012369</t>
  </si>
  <si>
    <t>E05012370</t>
  </si>
  <si>
    <t>E05012371</t>
  </si>
  <si>
    <t>Yoredale</t>
  </si>
  <si>
    <t>* as created by The Richmondshire (Electoral Changes) Order 2018</t>
  </si>
  <si>
    <t>E05012290</t>
  </si>
  <si>
    <t>E05012291</t>
  </si>
  <si>
    <t>E05012292</t>
  </si>
  <si>
    <t>E05012293</t>
  </si>
  <si>
    <t>Alton Holybourne</t>
  </si>
  <si>
    <t>E05012294</t>
  </si>
  <si>
    <t>E05012295</t>
  </si>
  <si>
    <t>E05012296</t>
  </si>
  <si>
    <t>E05012297</t>
  </si>
  <si>
    <t>Bentworth &amp; Froyle</t>
  </si>
  <si>
    <t>E05012298</t>
  </si>
  <si>
    <t>Binsted, Bentley &amp; Selborne</t>
  </si>
  <si>
    <t>E05012299</t>
  </si>
  <si>
    <t>Bramshott &amp; Liphook</t>
  </si>
  <si>
    <t>E05012300</t>
  </si>
  <si>
    <t>Buriton &amp; East Meon</t>
  </si>
  <si>
    <t>E05012301</t>
  </si>
  <si>
    <t>Clanfield</t>
  </si>
  <si>
    <t>E05012302</t>
  </si>
  <si>
    <t>Four Marks &amp; Medstead</t>
  </si>
  <si>
    <t>E05012303</t>
  </si>
  <si>
    <t>Froxfield, Sheet &amp; Steep</t>
  </si>
  <si>
    <t>E05012304</t>
  </si>
  <si>
    <t>E05012305</t>
  </si>
  <si>
    <t>E05012306</t>
  </si>
  <si>
    <t>Horndean Catherington</t>
  </si>
  <si>
    <t>E05012307</t>
  </si>
  <si>
    <t>E05012308</t>
  </si>
  <si>
    <t>Horndean Kings &amp; Blendworth</t>
  </si>
  <si>
    <t>E05012309</t>
  </si>
  <si>
    <t>E05012310</t>
  </si>
  <si>
    <t>E05012311</t>
  </si>
  <si>
    <t>E05012312</t>
  </si>
  <si>
    <t>E05012313</t>
  </si>
  <si>
    <t>E05012314</t>
  </si>
  <si>
    <t>E05012315</t>
  </si>
  <si>
    <t>Petersfield St Peter's</t>
  </si>
  <si>
    <t>E05012316</t>
  </si>
  <si>
    <t>Ropley, Hawkley &amp; Hangers</t>
  </si>
  <si>
    <t>E05012317</t>
  </si>
  <si>
    <t>E05012318</t>
  </si>
  <si>
    <t>E05012319</t>
  </si>
  <si>
    <t>Whitehill Hogmoor &amp; Greatham</t>
  </si>
  <si>
    <t>E05012320</t>
  </si>
  <si>
    <t>* as created by The East Hampshire (Electoral Changes) Order 2018</t>
  </si>
  <si>
    <t>E05012372</t>
  </si>
  <si>
    <t>Burniston &amp; Cloughton</t>
  </si>
  <si>
    <t>E05012373</t>
  </si>
  <si>
    <t>E05012374</t>
  </si>
  <si>
    <t>E05012375</t>
  </si>
  <si>
    <t>Danby &amp; Mulgrave</t>
  </si>
  <si>
    <t>E05012376</t>
  </si>
  <si>
    <t>Derwent Valley &amp; Moor</t>
  </si>
  <si>
    <t>E05012377</t>
  </si>
  <si>
    <t>E05012378</t>
  </si>
  <si>
    <t>E05012379</t>
  </si>
  <si>
    <t>Falsgrave &amp; Stepney</t>
  </si>
  <si>
    <t>E05012380</t>
  </si>
  <si>
    <t>E05012381</t>
  </si>
  <si>
    <t>Fylingdales &amp; Ravenscar</t>
  </si>
  <si>
    <t>E05012382</t>
  </si>
  <si>
    <t>Hunmanby</t>
  </si>
  <si>
    <t>E05012383</t>
  </si>
  <si>
    <t>E05012384</t>
  </si>
  <si>
    <t>E05012385</t>
  </si>
  <si>
    <t>E05012386</t>
  </si>
  <si>
    <t>Scalby</t>
  </si>
  <si>
    <t>E05012387</t>
  </si>
  <si>
    <t>E05012388</t>
  </si>
  <si>
    <t>E05012389</t>
  </si>
  <si>
    <t>Weaponness &amp; Ramshill</t>
  </si>
  <si>
    <t>E05012390</t>
  </si>
  <si>
    <t>E05012391</t>
  </si>
  <si>
    <t>* as created by The Scarborough (Electoral Changes) Order 2018</t>
  </si>
  <si>
    <t>E05012209</t>
  </si>
  <si>
    <t>E05012210</t>
  </si>
  <si>
    <t>E05012211</t>
  </si>
  <si>
    <t>E05012212</t>
  </si>
  <si>
    <t>E05012213</t>
  </si>
  <si>
    <t>E05012214</t>
  </si>
  <si>
    <t>E05012215</t>
  </si>
  <si>
    <t>E05012216</t>
  </si>
  <si>
    <t>E05012217</t>
  </si>
  <si>
    <t>E05012218</t>
  </si>
  <si>
    <t>E05012219</t>
  </si>
  <si>
    <t>E05012220</t>
  </si>
  <si>
    <t>E05012221</t>
  </si>
  <si>
    <t>E05012222</t>
  </si>
  <si>
    <t>E05012223</t>
  </si>
  <si>
    <t>E05012224</t>
  </si>
  <si>
    <t>E05012225</t>
  </si>
  <si>
    <t>E05012226</t>
  </si>
  <si>
    <t>E05012227</t>
  </si>
  <si>
    <t>E05012228</t>
  </si>
  <si>
    <t>E05012229</t>
  </si>
  <si>
    <t>E05012230</t>
  </si>
  <si>
    <t>E05012231</t>
  </si>
  <si>
    <t>E05012232</t>
  </si>
  <si>
    <t>E05012233</t>
  </si>
  <si>
    <t>E05012234</t>
  </si>
  <si>
    <t>E05012235</t>
  </si>
  <si>
    <t>E05012236</t>
  </si>
  <si>
    <t>E05012237</t>
  </si>
  <si>
    <t>E05012238</t>
  </si>
  <si>
    <t>E05012239</t>
  </si>
  <si>
    <t>E05012240</t>
  </si>
  <si>
    <t>E05012241</t>
  </si>
  <si>
    <t>E05012242</t>
  </si>
  <si>
    <t>E05012243</t>
  </si>
  <si>
    <t>E05012244</t>
  </si>
  <si>
    <t>E05012245</t>
  </si>
  <si>
    <t>E05012246</t>
  </si>
  <si>
    <t>E05012247</t>
  </si>
  <si>
    <t>E05012248</t>
  </si>
  <si>
    <t>E05012249</t>
  </si>
  <si>
    <t>E05012250</t>
  </si>
  <si>
    <t>E05012251</t>
  </si>
  <si>
    <t>E05012252</t>
  </si>
  <si>
    <t>E05012253</t>
  </si>
  <si>
    <t>* as created by The Cheshire West and Chester (Electoral Changes) Order 2018</t>
  </si>
  <si>
    <t>E05012254</t>
  </si>
  <si>
    <t>Barton with Watcombe</t>
  </si>
  <si>
    <t>E05012255</t>
  </si>
  <si>
    <t>Churston with Galmpton</t>
  </si>
  <si>
    <t>E05012256</t>
  </si>
  <si>
    <t>Clifton with Maidenway</t>
  </si>
  <si>
    <t>E05012257</t>
  </si>
  <si>
    <t>Cockington with Chelston</t>
  </si>
  <si>
    <t>E05012258</t>
  </si>
  <si>
    <t>Collaton St Mary</t>
  </si>
  <si>
    <t>E05012259</t>
  </si>
  <si>
    <t>E05012260</t>
  </si>
  <si>
    <t>Furzeham with Summercombe</t>
  </si>
  <si>
    <t>E05012261</t>
  </si>
  <si>
    <t>Goodrington with Roselands</t>
  </si>
  <si>
    <t>E05012262</t>
  </si>
  <si>
    <t>King's Ash</t>
  </si>
  <si>
    <t>E05012263</t>
  </si>
  <si>
    <t>E05012264</t>
  </si>
  <si>
    <t>Roundham with Hyde</t>
  </si>
  <si>
    <t>E05012265</t>
  </si>
  <si>
    <t>E05012266</t>
  </si>
  <si>
    <t>St Peter's with St Mary's</t>
  </si>
  <si>
    <t>E05012267</t>
  </si>
  <si>
    <t>Shiphay</t>
  </si>
  <si>
    <t>E05012268</t>
  </si>
  <si>
    <t>E05012269</t>
  </si>
  <si>
    <t>* as created by The Torbay (Electoral Changes) Order 2018</t>
  </si>
  <si>
    <t>E05012193</t>
  </si>
  <si>
    <t>E05012194</t>
  </si>
  <si>
    <t>E05012195</t>
  </si>
  <si>
    <t>E05012196</t>
  </si>
  <si>
    <t>E05012197</t>
  </si>
  <si>
    <t>E05012198</t>
  </si>
  <si>
    <t>E05012199</t>
  </si>
  <si>
    <t>E05012200</t>
  </si>
  <si>
    <t>E05012201</t>
  </si>
  <si>
    <t>E05012202</t>
  </si>
  <si>
    <t>E05012203</t>
  </si>
  <si>
    <t>E05012204</t>
  </si>
  <si>
    <t>E05012205</t>
  </si>
  <si>
    <t>E05012206</t>
  </si>
  <si>
    <t>E05012207</t>
  </si>
  <si>
    <t>E05012208</t>
  </si>
  <si>
    <t>* as created by  The Preston (Electoral Changes) Order 2018</t>
  </si>
  <si>
    <t>* as created by  The Forest of Dean (Electoral Changes) Order 2018</t>
  </si>
  <si>
    <t>E05012156</t>
  </si>
  <si>
    <t>E05012157</t>
  </si>
  <si>
    <t>E05012158</t>
  </si>
  <si>
    <t>E05012159</t>
  </si>
  <si>
    <t>E05012160</t>
  </si>
  <si>
    <t>E05012161</t>
  </si>
  <si>
    <t>E05012162</t>
  </si>
  <si>
    <t>E05012163</t>
  </si>
  <si>
    <t>E05012164</t>
  </si>
  <si>
    <t>E05012165</t>
  </si>
  <si>
    <t>E05012166</t>
  </si>
  <si>
    <t>E05012167</t>
  </si>
  <si>
    <t>E05012168</t>
  </si>
  <si>
    <t>E05012169</t>
  </si>
  <si>
    <t>E05012170</t>
  </si>
  <si>
    <t>E05012171</t>
  </si>
  <si>
    <t>E05012172</t>
  </si>
  <si>
    <t>E05012173</t>
  </si>
  <si>
    <t>E05012174</t>
  </si>
  <si>
    <t>E05012175</t>
  </si>
  <si>
    <t>E05012176</t>
  </si>
  <si>
    <t>E05012132</t>
  </si>
  <si>
    <t>E05012133</t>
  </si>
  <si>
    <t>E05012134</t>
  </si>
  <si>
    <t>Bradfield</t>
  </si>
  <si>
    <t>E05012135</t>
  </si>
  <si>
    <t>E05012136</t>
  </si>
  <si>
    <t>Burghfield &amp; Mortimer</t>
  </si>
  <si>
    <t>E05012137</t>
  </si>
  <si>
    <t>Chieveley &amp; Cold Ash</t>
  </si>
  <si>
    <t>E05012138</t>
  </si>
  <si>
    <t>E05012139</t>
  </si>
  <si>
    <t>Hungerford &amp; Kintbury</t>
  </si>
  <si>
    <t>E05012140</t>
  </si>
  <si>
    <t>Lambourn</t>
  </si>
  <si>
    <t>E05012141</t>
  </si>
  <si>
    <t>Newbury Central</t>
  </si>
  <si>
    <t>E05012142</t>
  </si>
  <si>
    <t>Newbury Clay Hill</t>
  </si>
  <si>
    <t>E05012143</t>
  </si>
  <si>
    <t>Newbury Greenham</t>
  </si>
  <si>
    <t>E05012144</t>
  </si>
  <si>
    <t>Newbury Speen</t>
  </si>
  <si>
    <t>E05012145</t>
  </si>
  <si>
    <t>Newbury Wash Common</t>
  </si>
  <si>
    <t>E05012146</t>
  </si>
  <si>
    <t>E05012147</t>
  </si>
  <si>
    <t>E05012148</t>
  </si>
  <si>
    <t>E05012149</t>
  </si>
  <si>
    <t>Thatcham Colthrop &amp; Crookham</t>
  </si>
  <si>
    <t>E05012150</t>
  </si>
  <si>
    <t>Thatcham North East</t>
  </si>
  <si>
    <t>E05012151</t>
  </si>
  <si>
    <t>E05012152</t>
  </si>
  <si>
    <t>E05012153</t>
  </si>
  <si>
    <t>Tilehurst &amp; Purley</t>
  </si>
  <si>
    <t>E05012154</t>
  </si>
  <si>
    <t>Tilehurst Birch Copse</t>
  </si>
  <si>
    <t>E05012155</t>
  </si>
  <si>
    <t>Tilehurst South &amp; Holybrook</t>
  </si>
  <si>
    <t>Newbury Co Const</t>
  </si>
  <si>
    <t>Wokingham Co Const</t>
  </si>
  <si>
    <t>Reading West Co Const</t>
  </si>
  <si>
    <t>* as created by The West Berkshire (Electoral Changes) Order 2018</t>
  </si>
  <si>
    <t>E05012177</t>
  </si>
  <si>
    <t>E05012178</t>
  </si>
  <si>
    <t>E05012179</t>
  </si>
  <si>
    <t>Bentley Heath &amp; The Royds</t>
  </si>
  <si>
    <t>E05012180</t>
  </si>
  <si>
    <t>E05012181</t>
  </si>
  <si>
    <t>E05012182</t>
  </si>
  <si>
    <t>E05012183</t>
  </si>
  <si>
    <t>E05012184</t>
  </si>
  <si>
    <t>E05012185</t>
  </si>
  <si>
    <t>E05012186</t>
  </si>
  <si>
    <t>E05012187</t>
  </si>
  <si>
    <t>E05012188</t>
  </si>
  <si>
    <t>E05012189</t>
  </si>
  <si>
    <t>E05012190</t>
  </si>
  <si>
    <t>E05012191</t>
  </si>
  <si>
    <t>E05012192</t>
  </si>
  <si>
    <t>* as created by The Hertsmere (Electoral Changes) Order 2018</t>
  </si>
  <si>
    <t>E05012104</t>
  </si>
  <si>
    <t>Bitton &amp; Oldland Common</t>
  </si>
  <si>
    <t>E05012105</t>
  </si>
  <si>
    <t>E05012106</t>
  </si>
  <si>
    <t>E05012107</t>
  </si>
  <si>
    <t>E05012108</t>
  </si>
  <si>
    <t>E05012109</t>
  </si>
  <si>
    <t>Charlton &amp; Cribbs</t>
  </si>
  <si>
    <t>E05012110</t>
  </si>
  <si>
    <t>Chipping Sodbury &amp; Cotswold Edge</t>
  </si>
  <si>
    <t>E05012111</t>
  </si>
  <si>
    <t>E05012112</t>
  </si>
  <si>
    <t>E05012113</t>
  </si>
  <si>
    <t>E05012114</t>
  </si>
  <si>
    <t>E05012115</t>
  </si>
  <si>
    <t>Frenchay &amp; Downend</t>
  </si>
  <si>
    <t>E05012116</t>
  </si>
  <si>
    <t>E05012117</t>
  </si>
  <si>
    <t>E05012118</t>
  </si>
  <si>
    <t>E05012119</t>
  </si>
  <si>
    <t>New Cheltenham</t>
  </si>
  <si>
    <t>E05012120</t>
  </si>
  <si>
    <t>Parkwall &amp; Warmley</t>
  </si>
  <si>
    <t>E05012121</t>
  </si>
  <si>
    <t>Patchway Coniston</t>
  </si>
  <si>
    <t>E05012122</t>
  </si>
  <si>
    <t>Pilning &amp; Severn Beach</t>
  </si>
  <si>
    <t>E05012123</t>
  </si>
  <si>
    <t>Severn Vale</t>
  </si>
  <si>
    <t>E05012124</t>
  </si>
  <si>
    <t>Staple Hill &amp; Mangotsfield</t>
  </si>
  <si>
    <t>E05012125</t>
  </si>
  <si>
    <t>E05012126</t>
  </si>
  <si>
    <t>Stoke Park &amp; Cheswick</t>
  </si>
  <si>
    <t>E05012127</t>
  </si>
  <si>
    <t>Thornbury</t>
  </si>
  <si>
    <t>E05012128</t>
  </si>
  <si>
    <t>E05012129</t>
  </si>
  <si>
    <t>E05012130</t>
  </si>
  <si>
    <t>E05012131</t>
  </si>
  <si>
    <t>Kingswood Boro Const</t>
  </si>
  <si>
    <t>Thornbury and Yate Co Const</t>
  </si>
  <si>
    <t>Filton and Bradley Stoke Co Const</t>
  </si>
  <si>
    <t>* as created by The South Gloucestershire (Electoral Changes) Order 2018</t>
  </si>
  <si>
    <t>E05012064</t>
  </si>
  <si>
    <t>E05012065</t>
  </si>
  <si>
    <t>E05012066</t>
  </si>
  <si>
    <t>E05012067</t>
  </si>
  <si>
    <t>E05012068</t>
  </si>
  <si>
    <t>E05012069</t>
  </si>
  <si>
    <t>E05012070</t>
  </si>
  <si>
    <t>E05012071</t>
  </si>
  <si>
    <t>E05012072</t>
  </si>
  <si>
    <t>E05012073</t>
  </si>
  <si>
    <t>E05012074</t>
  </si>
  <si>
    <t>E05012075</t>
  </si>
  <si>
    <t>E05012076</t>
  </si>
  <si>
    <t>E05012077</t>
  </si>
  <si>
    <t>E05012078</t>
  </si>
  <si>
    <t>E05012079</t>
  </si>
  <si>
    <t>E05012080</t>
  </si>
  <si>
    <t>E05012081</t>
  </si>
  <si>
    <t>E05012082</t>
  </si>
  <si>
    <t>E05012083</t>
  </si>
  <si>
    <t>E05011666</t>
  </si>
  <si>
    <t>E05011667</t>
  </si>
  <si>
    <t>E05011668</t>
  </si>
  <si>
    <t>E05011669</t>
  </si>
  <si>
    <t>E05011670</t>
  </si>
  <si>
    <t>E05011671</t>
  </si>
  <si>
    <t>E05011672</t>
  </si>
  <si>
    <t>E05011673</t>
  </si>
  <si>
    <t>E05011674</t>
  </si>
  <si>
    <t>E05011675</t>
  </si>
  <si>
    <t>E05011676</t>
  </si>
  <si>
    <t>E05011677</t>
  </si>
  <si>
    <t>E05011678</t>
  </si>
  <si>
    <t>E05011679</t>
  </si>
  <si>
    <t>E05011680</t>
  </si>
  <si>
    <t>E05011681</t>
  </si>
  <si>
    <t>E05011682</t>
  </si>
  <si>
    <t>E05011683</t>
  </si>
  <si>
    <t>E05011684</t>
  </si>
  <si>
    <t>E05011685</t>
  </si>
  <si>
    <t>E05011686</t>
  </si>
  <si>
    <t>Budleigh &amp; Raleigh</t>
  </si>
  <si>
    <t>Newton Poppleford &amp; Harpford</t>
  </si>
  <si>
    <t>Ottery St Mary</t>
  </si>
  <si>
    <t>West Hill &amp; Aylesbeare</t>
  </si>
  <si>
    <t>Whimple &amp; Rockbeare</t>
  </si>
  <si>
    <t>Woodbury &amp; Lympstone</t>
  </si>
  <si>
    <t>Axminster</t>
  </si>
  <si>
    <t>Beer &amp; Branscombe</t>
  </si>
  <si>
    <t>Dunkeswell &amp; Otterhead</t>
  </si>
  <si>
    <t>Feniton</t>
  </si>
  <si>
    <t>E05011782</t>
  </si>
  <si>
    <t>E05011783</t>
  </si>
  <si>
    <t>E05011784</t>
  </si>
  <si>
    <t>E05011785</t>
  </si>
  <si>
    <t>E05011786</t>
  </si>
  <si>
    <t>E05011787</t>
  </si>
  <si>
    <t>E05011788</t>
  </si>
  <si>
    <t>E05011789</t>
  </si>
  <si>
    <t>E05011790</t>
  </si>
  <si>
    <t>E05011791</t>
  </si>
  <si>
    <t>E05011792</t>
  </si>
  <si>
    <t>E05011793</t>
  </si>
  <si>
    <t>E05011794</t>
  </si>
  <si>
    <t>E05011795</t>
  </si>
  <si>
    <t>E05011796</t>
  </si>
  <si>
    <t>E05011797</t>
  </si>
  <si>
    <t>E05011798</t>
  </si>
  <si>
    <t>E05011799</t>
  </si>
  <si>
    <t>E05011800</t>
  </si>
  <si>
    <t>E05011801</t>
  </si>
  <si>
    <t>E05011802</t>
  </si>
  <si>
    <t>E05011803</t>
  </si>
  <si>
    <t>E05011804</t>
  </si>
  <si>
    <t>E05011805</t>
  </si>
  <si>
    <t>E05011806</t>
  </si>
  <si>
    <t>E05011807</t>
  </si>
  <si>
    <t>E05011808</t>
  </si>
  <si>
    <t>E05011809</t>
  </si>
  <si>
    <t>E05011810</t>
  </si>
  <si>
    <t>E05011811</t>
  </si>
  <si>
    <t>* as created by The East Devon (Electoral Changes) Order 2017</t>
  </si>
  <si>
    <t>* as created by The Hartlepool (Electoral Changes) Order 2012</t>
  </si>
  <si>
    <t>Bexhill Central</t>
  </si>
  <si>
    <t>Bexhill Collington</t>
  </si>
  <si>
    <t>Bexhill Kewhurst</t>
  </si>
  <si>
    <t>Bexhill Old Town &amp; Worsham</t>
  </si>
  <si>
    <t>Bexhill Pebsham &amp; St Michaels</t>
  </si>
  <si>
    <t>Bexhill Sackville</t>
  </si>
  <si>
    <t>Bexhill Sidley</t>
  </si>
  <si>
    <t>Bexhill St Marks</t>
  </si>
  <si>
    <t>Bexhill St Stephens</t>
  </si>
  <si>
    <t>Burwash &amp; the Weald</t>
  </si>
  <si>
    <t>Catsfield &amp; Crowhurst</t>
  </si>
  <si>
    <t>Hurst Green &amp; Ticehurst</t>
  </si>
  <si>
    <t>North Battle, Netherfield &amp; Whatlington</t>
  </si>
  <si>
    <t>Northern Rother</t>
  </si>
  <si>
    <t>Robertsbridge</t>
  </si>
  <si>
    <t>Sedlescombe &amp; Westfield</t>
  </si>
  <si>
    <t>South Battle &amp; Telham</t>
  </si>
  <si>
    <t>Brede &amp; Udimore</t>
  </si>
  <si>
    <t>Rye &amp; Winchelsea</t>
  </si>
  <si>
    <t>Southern Rother</t>
  </si>
  <si>
    <t>* as created by The Rother (Electoral Changes) Order 2016</t>
  </si>
  <si>
    <t>E05011604</t>
  </si>
  <si>
    <t>E05011605</t>
  </si>
  <si>
    <t>E05011606</t>
  </si>
  <si>
    <t>E05011607</t>
  </si>
  <si>
    <t>E05011608</t>
  </si>
  <si>
    <t>E05011609</t>
  </si>
  <si>
    <t>E05011610</t>
  </si>
  <si>
    <t>E05011611</t>
  </si>
  <si>
    <t>E05011612</t>
  </si>
  <si>
    <t>E05011613</t>
  </si>
  <si>
    <t>E05011614</t>
  </si>
  <si>
    <t>E05011615</t>
  </si>
  <si>
    <t>E05011616</t>
  </si>
  <si>
    <t>E05011617</t>
  </si>
  <si>
    <t>E05011618</t>
  </si>
  <si>
    <t>E05011619</t>
  </si>
  <si>
    <t>E05011620</t>
  </si>
  <si>
    <t>E05011621</t>
  </si>
  <si>
    <t>E05011622</t>
  </si>
  <si>
    <t>E05011623</t>
  </si>
  <si>
    <t>E05011624</t>
  </si>
  <si>
    <t>* as created by The East Cambridgeshire (Electoral Changes) Order 2016</t>
  </si>
  <si>
    <t>Fordham &amp; Isleham</t>
  </si>
  <si>
    <t>Littleport</t>
  </si>
  <si>
    <t>Woodditton</t>
  </si>
  <si>
    <t>E05011560</t>
  </si>
  <si>
    <t>E05011561</t>
  </si>
  <si>
    <t>E05011562</t>
  </si>
  <si>
    <t>E05011563</t>
  </si>
  <si>
    <t>E05011564</t>
  </si>
  <si>
    <t>E05011565</t>
  </si>
  <si>
    <t>E05011566</t>
  </si>
  <si>
    <t>E05011567</t>
  </si>
  <si>
    <t>E05011568</t>
  </si>
  <si>
    <t>E05011569</t>
  </si>
  <si>
    <t>E05011570</t>
  </si>
  <si>
    <t>E05011571</t>
  </si>
  <si>
    <t>E05011572</t>
  </si>
  <si>
    <t>E05011573</t>
  </si>
  <si>
    <t>Kibworths</t>
  </si>
  <si>
    <t>Billesdon &amp; Tilton</t>
  </si>
  <si>
    <t>Thurnby &amp; Houghton</t>
  </si>
  <si>
    <t>Broughton Astley South &amp; Leire</t>
  </si>
  <si>
    <t>Lutterworth East</t>
  </si>
  <si>
    <t>Lutterworth West</t>
  </si>
  <si>
    <t>*as created by The Harborough (Electoral Changes) Order 2017</t>
  </si>
  <si>
    <t>Broughton Astley-Primethorpe &amp; Sutton</t>
  </si>
  <si>
    <t>Market Harborough-Great Bowden &amp; Arden</t>
  </si>
  <si>
    <t>E05011964</t>
  </si>
  <si>
    <t>E05011965</t>
  </si>
  <si>
    <t>E05011966</t>
  </si>
  <si>
    <t>E05011967</t>
  </si>
  <si>
    <t>E05011968</t>
  </si>
  <si>
    <t>E05011969</t>
  </si>
  <si>
    <t>E05011970</t>
  </si>
  <si>
    <t>E05011971</t>
  </si>
  <si>
    <t>E05011972</t>
  </si>
  <si>
    <t>E05011973</t>
  </si>
  <si>
    <t>E05011974</t>
  </si>
  <si>
    <t>E05011975</t>
  </si>
  <si>
    <t>E05011976</t>
  </si>
  <si>
    <t>E05011977</t>
  </si>
  <si>
    <t>E05011978</t>
  </si>
  <si>
    <t>E05011979</t>
  </si>
  <si>
    <t>E05011980</t>
  </si>
  <si>
    <t>E05011981</t>
  </si>
  <si>
    <t>E05011982</t>
  </si>
  <si>
    <t>E05011892</t>
  </si>
  <si>
    <t>E05011893</t>
  </si>
  <si>
    <t>E05011894</t>
  </si>
  <si>
    <t>E05011895</t>
  </si>
  <si>
    <t>E05011896</t>
  </si>
  <si>
    <t>E05011897</t>
  </si>
  <si>
    <t>E05011898</t>
  </si>
  <si>
    <t>E05011899</t>
  </si>
  <si>
    <t>E05011900</t>
  </si>
  <si>
    <t>E05011901</t>
  </si>
  <si>
    <t>E05011902</t>
  </si>
  <si>
    <t>E05011903</t>
  </si>
  <si>
    <t>E05011904</t>
  </si>
  <si>
    <t>E05011905</t>
  </si>
  <si>
    <t>E05011906</t>
  </si>
  <si>
    <t>E05011907</t>
  </si>
  <si>
    <t>E05011908</t>
  </si>
  <si>
    <t>E05011909</t>
  </si>
  <si>
    <t>E05011910</t>
  </si>
  <si>
    <t>E05011911</t>
  </si>
  <si>
    <t>E05011912</t>
  </si>
  <si>
    <t>E05011913</t>
  </si>
  <si>
    <t>E05011914</t>
  </si>
  <si>
    <t>E05011915</t>
  </si>
  <si>
    <t>* as created by The Cornwall (Electoral Changes) Order 2013</t>
  </si>
  <si>
    <t>Bideford West</t>
  </si>
  <si>
    <t>Great Torrington</t>
  </si>
  <si>
    <t>Hartland</t>
  </si>
  <si>
    <t>Milton &amp; Tamarside</t>
  </si>
  <si>
    <t>Monkleigh &amp; Putford</t>
  </si>
  <si>
    <t>Shebbear &amp; Langtree</t>
  </si>
  <si>
    <t>Two Rivers &amp; Three Moors</t>
  </si>
  <si>
    <t>* as created by The Torridge (Electoral Changes) Order 2017</t>
  </si>
  <si>
    <t>E05011916</t>
  </si>
  <si>
    <t>E05011917</t>
  </si>
  <si>
    <t>E05011918</t>
  </si>
  <si>
    <t>E05011919</t>
  </si>
  <si>
    <t>E05011920</t>
  </si>
  <si>
    <t>E05011921</t>
  </si>
  <si>
    <t>E05011922</t>
  </si>
  <si>
    <t>E05011923</t>
  </si>
  <si>
    <t>E05011924</t>
  </si>
  <si>
    <t>E05011925</t>
  </si>
  <si>
    <t>E05011926</t>
  </si>
  <si>
    <t>E05011927</t>
  </si>
  <si>
    <t>E05011928</t>
  </si>
  <si>
    <t>E05011929</t>
  </si>
  <si>
    <t>E05011930</t>
  </si>
  <si>
    <t>E05011931</t>
  </si>
  <si>
    <t>Framfield &amp; Cross-in-Hand</t>
  </si>
  <si>
    <t>Heathfield North</t>
  </si>
  <si>
    <t>Heathfield South</t>
  </si>
  <si>
    <t>Herstmonceux &amp; Pevensey Levels</t>
  </si>
  <si>
    <t>Horam &amp; Punnetts Town</t>
  </si>
  <si>
    <t>Mayfield &amp; Five Ashes</t>
  </si>
  <si>
    <t>Pevensey Bay</t>
  </si>
  <si>
    <t>Polegate Central</t>
  </si>
  <si>
    <t>Stone Cross</t>
  </si>
  <si>
    <t>Lower Willingdon</t>
  </si>
  <si>
    <t>Polegate South &amp; Willingdon Watermill</t>
  </si>
  <si>
    <t>Upper Willingdon</t>
  </si>
  <si>
    <t>Arlington</t>
  </si>
  <si>
    <t>South Downs</t>
  </si>
  <si>
    <t>Buxted</t>
  </si>
  <si>
    <t>Chiddingly, East Hoathly &amp; Waldron</t>
  </si>
  <si>
    <t>Crowborough Central</t>
  </si>
  <si>
    <t>Crowborough South East</t>
  </si>
  <si>
    <t>Crowborough South West</t>
  </si>
  <si>
    <t>Crowborough St Johns</t>
  </si>
  <si>
    <t>Danehill &amp; Fletching</t>
  </si>
  <si>
    <t>Frant &amp; Wadhurst</t>
  </si>
  <si>
    <t>Hadlow Down &amp; Rotherfield</t>
  </si>
  <si>
    <t>Hailsham Central</t>
  </si>
  <si>
    <t>Hailsham North</t>
  </si>
  <si>
    <t>Hailsham North West</t>
  </si>
  <si>
    <t>Hailsham South</t>
  </si>
  <si>
    <t>Hailsham West</t>
  </si>
  <si>
    <t>Maresfield</t>
  </si>
  <si>
    <t>Uckfield East</t>
  </si>
  <si>
    <t>Uckfield Ridgewood &amp; Little Horsted</t>
  </si>
  <si>
    <t>Withyham</t>
  </si>
  <si>
    <t>* as created by The Wealden (Electoral Changes) Order 2016</t>
  </si>
  <si>
    <t>E05011625</t>
  </si>
  <si>
    <t>E05011626</t>
  </si>
  <si>
    <t>E05011627</t>
  </si>
  <si>
    <t>E05011628</t>
  </si>
  <si>
    <t>E05011629</t>
  </si>
  <si>
    <t>E05011630</t>
  </si>
  <si>
    <t>E05011631</t>
  </si>
  <si>
    <t>E05011632</t>
  </si>
  <si>
    <t>E05011633</t>
  </si>
  <si>
    <t>E05011634</t>
  </si>
  <si>
    <t>E05011635</t>
  </si>
  <si>
    <t>E05011636</t>
  </si>
  <si>
    <t>E05011637</t>
  </si>
  <si>
    <t>E05011638</t>
  </si>
  <si>
    <t>E05011639</t>
  </si>
  <si>
    <t>E05011640</t>
  </si>
  <si>
    <t>E05011641</t>
  </si>
  <si>
    <t>E05011642</t>
  </si>
  <si>
    <t>E05011643</t>
  </si>
  <si>
    <t>E05011644</t>
  </si>
  <si>
    <t>E05011645</t>
  </si>
  <si>
    <t>E05011646</t>
  </si>
  <si>
    <t>E05011647</t>
  </si>
  <si>
    <t>E05011648</t>
  </si>
  <si>
    <t>E05011649</t>
  </si>
  <si>
    <t>E05011650</t>
  </si>
  <si>
    <t>E05011651</t>
  </si>
  <si>
    <t>E05011652</t>
  </si>
  <si>
    <t>E05011653</t>
  </si>
  <si>
    <t>E05011654</t>
  </si>
  <si>
    <t>E05011655</t>
  </si>
  <si>
    <t>E05011656</t>
  </si>
  <si>
    <t>E05011657</t>
  </si>
  <si>
    <t>E05011658</t>
  </si>
  <si>
    <t>E05011659</t>
  </si>
  <si>
    <t>E05011660</t>
  </si>
  <si>
    <t>E05011661</t>
  </si>
  <si>
    <t>E05011662</t>
  </si>
  <si>
    <t>E05011663</t>
  </si>
  <si>
    <t>E05011664</t>
  </si>
  <si>
    <t>E05011665</t>
  </si>
  <si>
    <t>E05011834</t>
  </si>
  <si>
    <t>E05011835</t>
  </si>
  <si>
    <t>E05011836</t>
  </si>
  <si>
    <t>E05011837</t>
  </si>
  <si>
    <t>E05011838</t>
  </si>
  <si>
    <t>E05011839</t>
  </si>
  <si>
    <t>E05011840</t>
  </si>
  <si>
    <t>E05011841</t>
  </si>
  <si>
    <t>E05011842</t>
  </si>
  <si>
    <t>E05011843</t>
  </si>
  <si>
    <t>E05011844</t>
  </si>
  <si>
    <t>E05011845</t>
  </si>
  <si>
    <t>E05011846</t>
  </si>
  <si>
    <t>E05011847</t>
  </si>
  <si>
    <t>E05011848</t>
  </si>
  <si>
    <t>E05011849</t>
  </si>
  <si>
    <t>E05011850</t>
  </si>
  <si>
    <t>E05011851</t>
  </si>
  <si>
    <t>E05011852</t>
  </si>
  <si>
    <t>E05011853</t>
  </si>
  <si>
    <t>E05011854</t>
  </si>
  <si>
    <t>E05011855</t>
  </si>
  <si>
    <t>E05011856</t>
  </si>
  <si>
    <t>E05011857</t>
  </si>
  <si>
    <t>E05011858</t>
  </si>
  <si>
    <t>E05011859</t>
  </si>
  <si>
    <t>E05011860</t>
  </si>
  <si>
    <t>E05011861</t>
  </si>
  <si>
    <t>E05011862</t>
  </si>
  <si>
    <t>E05011863</t>
  </si>
  <si>
    <t>E05011864</t>
  </si>
  <si>
    <t>E05011865</t>
  </si>
  <si>
    <t>* as created by The North Norfolk (Electoral Changes) Order 2017</t>
  </si>
  <si>
    <t>* as created by The City of Oxford (Electoral Changes) Order 2001</t>
  </si>
  <si>
    <t xml:space="preserve">  and amended by The Stroud (Electoral Changes Order) Order 2020</t>
  </si>
  <si>
    <t>E05012000</t>
  </si>
  <si>
    <t>E05012001</t>
  </si>
  <si>
    <t>Billington &amp; Langho</t>
  </si>
  <si>
    <t>E05012002</t>
  </si>
  <si>
    <t>E05012003</t>
  </si>
  <si>
    <t>Brockhall &amp; Dinckley</t>
  </si>
  <si>
    <t>E05012004</t>
  </si>
  <si>
    <t>E05012005</t>
  </si>
  <si>
    <t>E05012006</t>
  </si>
  <si>
    <t>Clayton-le-Dale &amp; Salesbury</t>
  </si>
  <si>
    <t>E05012007</t>
  </si>
  <si>
    <t>E05012008</t>
  </si>
  <si>
    <t>E05012009</t>
  </si>
  <si>
    <t>E05012010</t>
  </si>
  <si>
    <t>Edisford &amp; Low Moor</t>
  </si>
  <si>
    <t>E05012011</t>
  </si>
  <si>
    <t>Gisburn &amp; Rimington</t>
  </si>
  <si>
    <t>E05012012</t>
  </si>
  <si>
    <t>Hurst Green &amp; Whitewell</t>
  </si>
  <si>
    <t>E05012013</t>
  </si>
  <si>
    <t>E05012014</t>
  </si>
  <si>
    <t>E05012015</t>
  </si>
  <si>
    <t>E05012016</t>
  </si>
  <si>
    <t>E05012017</t>
  </si>
  <si>
    <t>E05012018</t>
  </si>
  <si>
    <t>E05012019</t>
  </si>
  <si>
    <t>E05012020</t>
  </si>
  <si>
    <t>Waddington, Bashall Eaves &amp; Mitton</t>
  </si>
  <si>
    <t>E05012021</t>
  </si>
  <si>
    <t>West Bradford &amp; Grindleton</t>
  </si>
  <si>
    <t>E05012022</t>
  </si>
  <si>
    <t>Whalley &amp; Painter Wood</t>
  </si>
  <si>
    <t>E05012023</t>
  </si>
  <si>
    <t>E05012024</t>
  </si>
  <si>
    <t>Wilpshire &amp; Ramsgreave</t>
  </si>
  <si>
    <t>E05012025</t>
  </si>
  <si>
    <t>Wiswell &amp; Barrow</t>
  </si>
  <si>
    <t>* as created by The Borough of Rotherham (Electoral Changes) Order 2004 and</t>
  </si>
  <si>
    <t>E05011490</t>
  </si>
  <si>
    <t>E05011491</t>
  </si>
  <si>
    <t>E05011492</t>
  </si>
  <si>
    <t>E05011493</t>
  </si>
  <si>
    <t>E05011494</t>
  </si>
  <si>
    <t>E05011495</t>
  </si>
  <si>
    <t>E05011496</t>
  </si>
  <si>
    <t>E05011497</t>
  </si>
  <si>
    <t>E05011498</t>
  </si>
  <si>
    <t>E05011499</t>
  </si>
  <si>
    <t>E05011500</t>
  </si>
  <si>
    <t>E05011501</t>
  </si>
  <si>
    <t>E05011502</t>
  </si>
  <si>
    <t>E05011503</t>
  </si>
  <si>
    <t>E05011504</t>
  </si>
  <si>
    <t>E05011505</t>
  </si>
  <si>
    <t>E05011506</t>
  </si>
  <si>
    <t>E05011507</t>
  </si>
  <si>
    <t>* as created by The Allerdale (Electoral Changes) Order 2017</t>
  </si>
  <si>
    <t>E05011720</t>
  </si>
  <si>
    <t>E05011721</t>
  </si>
  <si>
    <t>Allhallow &amp; Waverton</t>
  </si>
  <si>
    <t>E05011722</t>
  </si>
  <si>
    <t>E05011723</t>
  </si>
  <si>
    <t>E05011724</t>
  </si>
  <si>
    <t>Broughton St Bridgets</t>
  </si>
  <si>
    <t>E05011725</t>
  </si>
  <si>
    <t>E05011726</t>
  </si>
  <si>
    <t>Crummock &amp; Derwent Valley</t>
  </si>
  <si>
    <t>E05011727</t>
  </si>
  <si>
    <t>E05011728</t>
  </si>
  <si>
    <t>Ellen &amp; Gilcrux</t>
  </si>
  <si>
    <t>E05011729</t>
  </si>
  <si>
    <t>E05011730</t>
  </si>
  <si>
    <t>Harrington &amp; Salterbeck</t>
  </si>
  <si>
    <t>E05011731</t>
  </si>
  <si>
    <t>E05011732</t>
  </si>
  <si>
    <t>Marsh &amp; Wampool</t>
  </si>
  <si>
    <t>E05011733</t>
  </si>
  <si>
    <t>Maryport North</t>
  </si>
  <si>
    <t>E05011734</t>
  </si>
  <si>
    <t>Maryport South</t>
  </si>
  <si>
    <t>E05011735</t>
  </si>
  <si>
    <t>Moorclose &amp; Moss Bay</t>
  </si>
  <si>
    <t>E05011736</t>
  </si>
  <si>
    <t>E05011737</t>
  </si>
  <si>
    <t>E05011738</t>
  </si>
  <si>
    <t>Seaton &amp; Northside</t>
  </si>
  <si>
    <t>E05011739</t>
  </si>
  <si>
    <t>Silloth &amp; Solway Coast</t>
  </si>
  <si>
    <t>E05011740</t>
  </si>
  <si>
    <t>Stainburn &amp; Clifton</t>
  </si>
  <si>
    <t>E05011741</t>
  </si>
  <si>
    <t>E05011742</t>
  </si>
  <si>
    <t>Wigton &amp; Woodside</t>
  </si>
  <si>
    <t>St Andrew's &amp; Docklands</t>
  </si>
  <si>
    <t>2020 **</t>
  </si>
  <si>
    <t>Bisley &amp; West End</t>
  </si>
  <si>
    <t>Mytchett &amp; Deepcut</t>
  </si>
  <si>
    <t>Windlesham &amp; Chobham</t>
  </si>
  <si>
    <t>E05012026</t>
  </si>
  <si>
    <t>E05012027</t>
  </si>
  <si>
    <t>E05012028</t>
  </si>
  <si>
    <t>E05012029</t>
  </si>
  <si>
    <t>E05012030</t>
  </si>
  <si>
    <t>E05012031</t>
  </si>
  <si>
    <t>E05012032</t>
  </si>
  <si>
    <t>E05012033</t>
  </si>
  <si>
    <t>E05012034</t>
  </si>
  <si>
    <t>E05012035</t>
  </si>
  <si>
    <t>E05012036</t>
  </si>
  <si>
    <t>E05012037</t>
  </si>
  <si>
    <t>E05012038</t>
  </si>
  <si>
    <t>E05012039</t>
  </si>
  <si>
    <t>* as created by The Surrey Heath (Electoral Changes) Order 2017</t>
  </si>
  <si>
    <t>* as created by The Tendring (Electoral Changes) Order 2017</t>
  </si>
  <si>
    <t>E05011932</t>
  </si>
  <si>
    <t>E05011933</t>
  </si>
  <si>
    <t>E05011934</t>
  </si>
  <si>
    <t>E05011935</t>
  </si>
  <si>
    <t>E05011936</t>
  </si>
  <si>
    <t>E05011937</t>
  </si>
  <si>
    <t>E05011938</t>
  </si>
  <si>
    <t>E05011939</t>
  </si>
  <si>
    <t>E05011940</t>
  </si>
  <si>
    <t>E05011941</t>
  </si>
  <si>
    <t>E05011942</t>
  </si>
  <si>
    <t>E05011943</t>
  </si>
  <si>
    <t>E05011944</t>
  </si>
  <si>
    <t>E05011945</t>
  </si>
  <si>
    <t>E05011946</t>
  </si>
  <si>
    <t>E05011947</t>
  </si>
  <si>
    <t>E05011948</t>
  </si>
  <si>
    <t>E05011949</t>
  </si>
  <si>
    <t>E05011950</t>
  </si>
  <si>
    <t>E05011951</t>
  </si>
  <si>
    <t>E05011952</t>
  </si>
  <si>
    <t>E05011953</t>
  </si>
  <si>
    <t>E05011954</t>
  </si>
  <si>
    <t>E05011955</t>
  </si>
  <si>
    <t>E05011956</t>
  </si>
  <si>
    <t>E05011957</t>
  </si>
  <si>
    <t>E05011958</t>
  </si>
  <si>
    <t>The Bentleys &amp; Frating</t>
  </si>
  <si>
    <t>E05011959</t>
  </si>
  <si>
    <t>The Oakleys &amp; Wix</t>
  </si>
  <si>
    <t>E05011960</t>
  </si>
  <si>
    <t>E05011961</t>
  </si>
  <si>
    <t>E05011962</t>
  </si>
  <si>
    <t>E05011963</t>
  </si>
  <si>
    <t>Change</t>
  </si>
  <si>
    <t>From this point forward, the Electoral Quota is calculated using 650 seats for the United Kingdom</t>
  </si>
  <si>
    <t>E05012040</t>
  </si>
  <si>
    <t>E05012041</t>
  </si>
  <si>
    <t>Barlow &amp; Holmesfield</t>
  </si>
  <si>
    <t>E05012042</t>
  </si>
  <si>
    <t>Brampton &amp; Walton</t>
  </si>
  <si>
    <t>E05012043</t>
  </si>
  <si>
    <t>E05012044</t>
  </si>
  <si>
    <t>E05012045</t>
  </si>
  <si>
    <t>E05012046</t>
  </si>
  <si>
    <t>E05012047</t>
  </si>
  <si>
    <t>E05012048</t>
  </si>
  <si>
    <t>E05012049</t>
  </si>
  <si>
    <t>E05012050</t>
  </si>
  <si>
    <t>Eckington South &amp; Renishaw</t>
  </si>
  <si>
    <t>E05012051</t>
  </si>
  <si>
    <t>E05012052</t>
  </si>
  <si>
    <t>E05012053</t>
  </si>
  <si>
    <t>Holmewood &amp; Heath</t>
  </si>
  <si>
    <t>E05012054</t>
  </si>
  <si>
    <t>E05012055</t>
  </si>
  <si>
    <t>E05012056</t>
  </si>
  <si>
    <t>E05012057</t>
  </si>
  <si>
    <t>Pilsley &amp; Morton</t>
  </si>
  <si>
    <t>E05012058</t>
  </si>
  <si>
    <t>Ridgeway &amp; Marsh Lane</t>
  </si>
  <si>
    <t>E05012059</t>
  </si>
  <si>
    <t>E05012060</t>
  </si>
  <si>
    <t>E05012061</t>
  </si>
  <si>
    <t>E05012062</t>
  </si>
  <si>
    <t>E05012063</t>
  </si>
  <si>
    <t>E05011583</t>
  </si>
  <si>
    <t>E05011584</t>
  </si>
  <si>
    <t>E05011585</t>
  </si>
  <si>
    <t>E05011586</t>
  </si>
  <si>
    <t>E05011587</t>
  </si>
  <si>
    <t>E05011588</t>
  </si>
  <si>
    <t>E05011589</t>
  </si>
  <si>
    <t>E05011590</t>
  </si>
  <si>
    <t>E05011591</t>
  </si>
  <si>
    <t>E05011592</t>
  </si>
  <si>
    <t>E05011593</t>
  </si>
  <si>
    <t>E05011594</t>
  </si>
  <si>
    <t>E05011595</t>
  </si>
  <si>
    <t>E05011596</t>
  </si>
  <si>
    <t>E05011597</t>
  </si>
  <si>
    <t>E05011598</t>
  </si>
  <si>
    <t>E05011599</t>
  </si>
  <si>
    <t>E05011600</t>
  </si>
  <si>
    <t>E05011601</t>
  </si>
  <si>
    <t>E05011602</t>
  </si>
  <si>
    <t>E05011603</t>
  </si>
  <si>
    <t>E05013018</t>
  </si>
  <si>
    <t>E05013019</t>
  </si>
  <si>
    <t>E05013020</t>
  </si>
  <si>
    <t>E05013021</t>
  </si>
  <si>
    <t>E05013022</t>
  </si>
  <si>
    <t>E05013023</t>
  </si>
  <si>
    <t>E05013024</t>
  </si>
  <si>
    <t>E05013025</t>
  </si>
  <si>
    <t>E05013026</t>
  </si>
  <si>
    <t>E05013027</t>
  </si>
  <si>
    <t>E05013028</t>
  </si>
  <si>
    <t>E05013029</t>
  </si>
  <si>
    <t>E05013030</t>
  </si>
  <si>
    <t>E05013031</t>
  </si>
  <si>
    <t>E05013032</t>
  </si>
  <si>
    <t>E05013033</t>
  </si>
  <si>
    <t>E05013034</t>
  </si>
  <si>
    <t>E05013035</t>
  </si>
  <si>
    <t>E05013036</t>
  </si>
  <si>
    <t>E05013037</t>
  </si>
  <si>
    <t>Basing &amp; Upton Grey Ward</t>
  </si>
  <si>
    <t>Bramley Ward</t>
  </si>
  <si>
    <t>Brighton Hill Ward</t>
  </si>
  <si>
    <t>Brookvale &amp; Kings Furlong Ward</t>
  </si>
  <si>
    <t>Chineham Ward</t>
  </si>
  <si>
    <t>Eastrop &amp; Grove Ward</t>
  </si>
  <si>
    <t>Evingar Ward</t>
  </si>
  <si>
    <t>Hatch Warren &amp; Beggarwood Ward</t>
  </si>
  <si>
    <t>Kempshott &amp; Buckskin Ward</t>
  </si>
  <si>
    <t>Norden Ward</t>
  </si>
  <si>
    <t>Oakley &amp; The Candovers Ward</t>
  </si>
  <si>
    <t>Popley Ward</t>
  </si>
  <si>
    <t>Sherborne St. John &amp; Rooksdown Ward</t>
  </si>
  <si>
    <t>South Ham Ward</t>
  </si>
  <si>
    <t>Tadley &amp; Pamber Ward</t>
  </si>
  <si>
    <t>Tadley North, Kingsclere &amp; Baughurst Ward</t>
  </si>
  <si>
    <t>Whitchurch, Overton &amp; Laverstoke Ward</t>
  </si>
  <si>
    <t>Winklebury &amp; Manydown Ward</t>
  </si>
  <si>
    <t>E05013078</t>
  </si>
  <si>
    <t>E05013079</t>
  </si>
  <si>
    <t>E05013080</t>
  </si>
  <si>
    <t>E05013081</t>
  </si>
  <si>
    <t>E05013082</t>
  </si>
  <si>
    <t>E05013083</t>
  </si>
  <si>
    <t>E05013084</t>
  </si>
  <si>
    <t>E05013085</t>
  </si>
  <si>
    <t>E05013086</t>
  </si>
  <si>
    <t>E05013087</t>
  </si>
  <si>
    <t>E05013088</t>
  </si>
  <si>
    <t>E05013089</t>
  </si>
  <si>
    <t>E05013090</t>
  </si>
  <si>
    <t>E05013091</t>
  </si>
  <si>
    <t>E05013092</t>
  </si>
  <si>
    <t>E05013093</t>
  </si>
  <si>
    <t>E05013094</t>
  </si>
  <si>
    <t>E05013095</t>
  </si>
  <si>
    <t>E05011743</t>
  </si>
  <si>
    <t>E05011744</t>
  </si>
  <si>
    <t>E05011745</t>
  </si>
  <si>
    <t>E05011746</t>
  </si>
  <si>
    <t>E05011747</t>
  </si>
  <si>
    <t>E05011748</t>
  </si>
  <si>
    <t>E05011749</t>
  </si>
  <si>
    <t>E05011750</t>
  </si>
  <si>
    <t>E05011751</t>
  </si>
  <si>
    <t>E05011752</t>
  </si>
  <si>
    <t>E05011753</t>
  </si>
  <si>
    <t>E05011754</t>
  </si>
  <si>
    <t>E05011755</t>
  </si>
  <si>
    <t>E05011756</t>
  </si>
  <si>
    <t>E05011757</t>
  </si>
  <si>
    <t>E05011758</t>
  </si>
  <si>
    <t>E05011759</t>
  </si>
  <si>
    <t>E05011760</t>
  </si>
  <si>
    <t>E05011761</t>
  </si>
  <si>
    <t>E05011762</t>
  </si>
  <si>
    <t>E05011763</t>
  </si>
  <si>
    <t>E05011764</t>
  </si>
  <si>
    <t>E05011765</t>
  </si>
  <si>
    <t>E05011766</t>
  </si>
  <si>
    <t>E05011767</t>
  </si>
  <si>
    <t>E05011768</t>
  </si>
  <si>
    <t>E05011769</t>
  </si>
  <si>
    <t>E05011770</t>
  </si>
  <si>
    <t>E05011771</t>
  </si>
  <si>
    <t>E05011772</t>
  </si>
  <si>
    <t>E05011773</t>
  </si>
  <si>
    <t>E05011774</t>
  </si>
  <si>
    <t>E05011775</t>
  </si>
  <si>
    <t>E05011776</t>
  </si>
  <si>
    <t>E05011777</t>
  </si>
  <si>
    <t>E05011778</t>
  </si>
  <si>
    <t>E05011779</t>
  </si>
  <si>
    <t>E05011780</t>
  </si>
  <si>
    <t>E05011781</t>
  </si>
  <si>
    <t>E05013064</t>
  </si>
  <si>
    <t>E05013065</t>
  </si>
  <si>
    <t>E05013066</t>
  </si>
  <si>
    <t>E05013067</t>
  </si>
  <si>
    <t>E05013068</t>
  </si>
  <si>
    <t>E05013069</t>
  </si>
  <si>
    <t>E05013070</t>
  </si>
  <si>
    <t>E05013071</t>
  </si>
  <si>
    <t>E05013072</t>
  </si>
  <si>
    <t>E05013073</t>
  </si>
  <si>
    <t>E05013074</t>
  </si>
  <si>
    <t>E05013075</t>
  </si>
  <si>
    <t>E05013076</t>
  </si>
  <si>
    <t>E05013077</t>
  </si>
  <si>
    <t>E05011234</t>
  </si>
  <si>
    <t>E05011235</t>
  </si>
  <si>
    <t>E05011236</t>
  </si>
  <si>
    <t>E05011237</t>
  </si>
  <si>
    <t>E05011238</t>
  </si>
  <si>
    <t>E05011239</t>
  </si>
  <si>
    <t>E05011240</t>
  </si>
  <si>
    <t>E05011241</t>
  </si>
  <si>
    <t>E05011242</t>
  </si>
  <si>
    <t>E05011243</t>
  </si>
  <si>
    <t>E05011244</t>
  </si>
  <si>
    <t>E05011245</t>
  </si>
  <si>
    <t>E05011246</t>
  </si>
  <si>
    <t>E05011247</t>
  </si>
  <si>
    <t>E05011248</t>
  </si>
  <si>
    <t>E05011249</t>
  </si>
  <si>
    <t>E05011250</t>
  </si>
  <si>
    <t>E05011251</t>
  </si>
  <si>
    <t>E05011252</t>
  </si>
  <si>
    <t>E05011253</t>
  </si>
  <si>
    <t>E05011254</t>
  </si>
  <si>
    <t>E05011255</t>
  </si>
  <si>
    <t>Colgate &amp; Rusper</t>
  </si>
  <si>
    <t>E05011812</t>
  </si>
  <si>
    <t>E05011813</t>
  </si>
  <si>
    <t>E05011814</t>
  </si>
  <si>
    <t>E05011815</t>
  </si>
  <si>
    <t>E05011816</t>
  </si>
  <si>
    <t>E05011817</t>
  </si>
  <si>
    <t>E05011818</t>
  </si>
  <si>
    <t>E05011819</t>
  </si>
  <si>
    <t>E05011820</t>
  </si>
  <si>
    <t>E05011821</t>
  </si>
  <si>
    <t>E05011822</t>
  </si>
  <si>
    <t>E05011823</t>
  </si>
  <si>
    <t>E05011824</t>
  </si>
  <si>
    <t>E05011825</t>
  </si>
  <si>
    <t>E05011826</t>
  </si>
  <si>
    <t>E05011827</t>
  </si>
  <si>
    <t>E05011828</t>
  </si>
  <si>
    <t>E05011829</t>
  </si>
  <si>
    <t>E05011830</t>
  </si>
  <si>
    <t>E05011831</t>
  </si>
  <si>
    <t>E05011832</t>
  </si>
  <si>
    <t>E05011833</t>
  </si>
  <si>
    <t>E05011983</t>
  </si>
  <si>
    <t>E05011984</t>
  </si>
  <si>
    <t>E05011985</t>
  </si>
  <si>
    <t>E05011986</t>
  </si>
  <si>
    <t>E05011987</t>
  </si>
  <si>
    <t>E05011988</t>
  </si>
  <si>
    <t>E05011989</t>
  </si>
  <si>
    <t>E05011990</t>
  </si>
  <si>
    <t>E05011991</t>
  </si>
  <si>
    <t>E05011992</t>
  </si>
  <si>
    <t>E05011993</t>
  </si>
  <si>
    <t>E05011994</t>
  </si>
  <si>
    <t>E05011995</t>
  </si>
  <si>
    <t>E05011996</t>
  </si>
  <si>
    <t>E05011997</t>
  </si>
  <si>
    <t>E05011998</t>
  </si>
  <si>
    <t>E05011999</t>
  </si>
  <si>
    <t>E05011574</t>
  </si>
  <si>
    <t>E05011575</t>
  </si>
  <si>
    <t>E05011576</t>
  </si>
  <si>
    <t>E05011577</t>
  </si>
  <si>
    <t>E05011578</t>
  </si>
  <si>
    <t>E05011579</t>
  </si>
  <si>
    <t>E05011580</t>
  </si>
  <si>
    <t>E05011581</t>
  </si>
  <si>
    <t>E05011582</t>
  </si>
  <si>
    <t xml:space="preserve">  and amended by The Eastbourne (Electoral Changes) Order 2016</t>
  </si>
  <si>
    <t>E05012961</t>
  </si>
  <si>
    <t>E05012962</t>
  </si>
  <si>
    <t>E05012963</t>
  </si>
  <si>
    <t>E05012964</t>
  </si>
  <si>
    <t>E05012965</t>
  </si>
  <si>
    <t>E05012966</t>
  </si>
  <si>
    <t>E05012967</t>
  </si>
  <si>
    <t xml:space="preserve">  and amended by The Braintree (Electoral Changes) Order 2019</t>
  </si>
  <si>
    <t>E05012957</t>
  </si>
  <si>
    <t>E05012958</t>
  </si>
  <si>
    <t>E05012959</t>
  </si>
  <si>
    <t>E05012960</t>
  </si>
  <si>
    <t>E05012981</t>
  </si>
  <si>
    <t>E05012982</t>
  </si>
  <si>
    <t>E05012983</t>
  </si>
  <si>
    <t>E05012984</t>
  </si>
  <si>
    <t>E05012985</t>
  </si>
  <si>
    <t>E05012986</t>
  </si>
  <si>
    <t>E05012987</t>
  </si>
  <si>
    <t xml:space="preserve">   as amended by The East Hertfordshire and Stevenage (Boundary Change) Order 2013 and The East Hertfordshire (Electoral Changes) Order 2019</t>
  </si>
  <si>
    <t>E05012953</t>
  </si>
  <si>
    <t>E05012954</t>
  </si>
  <si>
    <t>E05012955</t>
  </si>
  <si>
    <t>E05012956</t>
  </si>
  <si>
    <t>E05012990</t>
  </si>
  <si>
    <t>E05012991</t>
  </si>
  <si>
    <t>E05011558</t>
  </si>
  <si>
    <t>E05011559</t>
  </si>
  <si>
    <t xml:space="preserve">   as altered by The Sevenoaks (Electoral Changes) Order 2014 and The Sevenoaks (Electoral Changes) Order 2016</t>
  </si>
  <si>
    <t xml:space="preserve">  as altered by The Canterbury (Electoral Changes) Order 2019</t>
  </si>
  <si>
    <t>E05012988</t>
  </si>
  <si>
    <t>E05012989</t>
  </si>
  <si>
    <t xml:space="preserve">  as altered by The Tonbridge and Malling (Electoral Changes) Order 2019</t>
  </si>
  <si>
    <t>E05011552</t>
  </si>
  <si>
    <t>E05011553</t>
  </si>
  <si>
    <t>E05011554</t>
  </si>
  <si>
    <t>E05011555</t>
  </si>
  <si>
    <t xml:space="preserve">  as altered by The Newark and Sherwood (Electoral Changes) Order 2016</t>
  </si>
  <si>
    <t>E05011701</t>
  </si>
  <si>
    <t>E05011702</t>
  </si>
  <si>
    <t>E05011703</t>
  </si>
  <si>
    <t>E05011704</t>
  </si>
  <si>
    <t>E05011705</t>
  </si>
  <si>
    <t>E05011707</t>
  </si>
  <si>
    <t>E05011708</t>
  </si>
  <si>
    <t>E05011710</t>
  </si>
  <si>
    <t>E05011711</t>
  </si>
  <si>
    <t>E05011712</t>
  </si>
  <si>
    <t>E05012853</t>
  </si>
  <si>
    <t>E05012854</t>
  </si>
  <si>
    <t xml:space="preserve">  as altered by The South Oxfordshire (Electoral Changes) Order 2017 and The South Oxfordshire (Electoral Changes) Order 2019</t>
  </si>
  <si>
    <t xml:space="preserve">  as altered by The Vale of White Horse (Electoral Changes) Order 2017 and The Vale of White Horse (Electoral Changes) Order 2019</t>
  </si>
  <si>
    <t>E05011713</t>
  </si>
  <si>
    <t>E05011714</t>
  </si>
  <si>
    <t>E05011715</t>
  </si>
  <si>
    <t>E05011717</t>
  </si>
  <si>
    <t>E05011718</t>
  </si>
  <si>
    <t>E05011719</t>
  </si>
  <si>
    <t>E05012970</t>
  </si>
  <si>
    <t>E05012971</t>
  </si>
  <si>
    <t>E05012972</t>
  </si>
  <si>
    <t>E05012973</t>
  </si>
  <si>
    <t>E05012974</t>
  </si>
  <si>
    <t>E05012975</t>
  </si>
  <si>
    <t>E05012976</t>
  </si>
  <si>
    <t>E05012977</t>
  </si>
  <si>
    <t>E05012978</t>
  </si>
  <si>
    <t>E05012979</t>
  </si>
  <si>
    <t>E05012980</t>
  </si>
  <si>
    <t>E05012992</t>
  </si>
  <si>
    <t>E05011415</t>
  </si>
  <si>
    <t>E05011416</t>
  </si>
  <si>
    <t>E05011417</t>
  </si>
  <si>
    <t>E05011418</t>
  </si>
  <si>
    <t>E05011419</t>
  </si>
  <si>
    <t>E05011420</t>
  </si>
  <si>
    <t>E05011421</t>
  </si>
  <si>
    <t>E05011422</t>
  </si>
  <si>
    <t>E05011423</t>
  </si>
  <si>
    <t>E05011424</t>
  </si>
  <si>
    <t>E05011425</t>
  </si>
  <si>
    <t>E05011426</t>
  </si>
  <si>
    <t>E05011427</t>
  </si>
  <si>
    <t>E05011428</t>
  </si>
  <si>
    <t>E05011429</t>
  </si>
  <si>
    <t>E05011430</t>
  </si>
  <si>
    <t>E05011431</t>
  </si>
  <si>
    <t>E05011432</t>
  </si>
  <si>
    <t>E05011433</t>
  </si>
  <si>
    <t>E05011434</t>
  </si>
  <si>
    <t>E05011435</t>
  </si>
  <si>
    <t>** North Hertfordshire District Council submitted their 2019 and 2020 data by county electoral divisions rather than wards. Their data has been allocated to the first listed ward within each division.</t>
  </si>
  <si>
    <t>March 2020</t>
  </si>
  <si>
    <t>2010-Mar20</t>
  </si>
  <si>
    <t xml:space="preserve">   as altered by The Rotherham (Electoral Changes) Order 2010 and The Rotherham (Electoral Changes) Order 2018</t>
  </si>
  <si>
    <t>E05012993</t>
  </si>
  <si>
    <t>Anston &amp; Woodsetts</t>
  </si>
  <si>
    <t>E05012994</t>
  </si>
  <si>
    <t>Aston &amp; Todwick</t>
  </si>
  <si>
    <t>E05012995</t>
  </si>
  <si>
    <t>Aughton &amp; Swallownest</t>
  </si>
  <si>
    <t>E05012996</t>
  </si>
  <si>
    <t>E05012997</t>
  </si>
  <si>
    <t>Bramley &amp; Ravenfield</t>
  </si>
  <si>
    <t>E05012998</t>
  </si>
  <si>
    <t>Brinsworth</t>
  </si>
  <si>
    <t>E05012999</t>
  </si>
  <si>
    <t>Dalton &amp; Thrybergh</t>
  </si>
  <si>
    <t>E05013000</t>
  </si>
  <si>
    <t>E05013001</t>
  </si>
  <si>
    <t>Greasborough</t>
  </si>
  <si>
    <t>E05013002</t>
  </si>
  <si>
    <t>Hellaby &amp; Maltby West</t>
  </si>
  <si>
    <t>E05013003</t>
  </si>
  <si>
    <t>E05013004</t>
  </si>
  <si>
    <t>E05013005</t>
  </si>
  <si>
    <t>Kilnhurst &amp; Swinton East</t>
  </si>
  <si>
    <t>E05013006</t>
  </si>
  <si>
    <t>Maltby East</t>
  </si>
  <si>
    <t>E05013007</t>
  </si>
  <si>
    <t>Rawmarsh East</t>
  </si>
  <si>
    <t>E05013008</t>
  </si>
  <si>
    <t>Rawmarsh West</t>
  </si>
  <si>
    <t>E05013009</t>
  </si>
  <si>
    <t>E05013010</t>
  </si>
  <si>
    <t>E05013011</t>
  </si>
  <si>
    <t>E05013012</t>
  </si>
  <si>
    <t>E05013013</t>
  </si>
  <si>
    <t>Swinton Rockingham</t>
  </si>
  <si>
    <t>E05013014</t>
  </si>
  <si>
    <t>Thurcroft &amp; Wickersley South</t>
  </si>
  <si>
    <t>E05013015</t>
  </si>
  <si>
    <t>E05013016</t>
  </si>
  <si>
    <t>E05013017</t>
  </si>
  <si>
    <t>Wickersley North</t>
  </si>
  <si>
    <t>E05013038</t>
  </si>
  <si>
    <t>E05013039</t>
  </si>
  <si>
    <t>E05013040</t>
  </si>
  <si>
    <t>Fens &amp; Greatham</t>
  </si>
  <si>
    <t>E05013041</t>
  </si>
  <si>
    <t>E05013042</t>
  </si>
  <si>
    <t>E05013043</t>
  </si>
  <si>
    <t>Headland &amp; Harbour</t>
  </si>
  <si>
    <t>E05013044</t>
  </si>
  <si>
    <t>E05013045</t>
  </si>
  <si>
    <t>Rossmere</t>
  </si>
  <si>
    <t>E05013046</t>
  </si>
  <si>
    <t>E05013047</t>
  </si>
  <si>
    <t>E05013048</t>
  </si>
  <si>
    <t>Throston</t>
  </si>
  <si>
    <t>E05013049</t>
  </si>
  <si>
    <t xml:space="preserve">  and amended by The Hartlepool (Electoral Changes) Order 2019</t>
  </si>
  <si>
    <t>E05013050</t>
  </si>
  <si>
    <t>E05013051</t>
  </si>
  <si>
    <t>E05013052</t>
  </si>
  <si>
    <t>E05013053</t>
  </si>
  <si>
    <t>E05013054</t>
  </si>
  <si>
    <t>E05013055</t>
  </si>
  <si>
    <t>E05013056</t>
  </si>
  <si>
    <t>E05013057</t>
  </si>
  <si>
    <t>E05013058</t>
  </si>
  <si>
    <t>E05013059</t>
  </si>
  <si>
    <t>E05013060</t>
  </si>
  <si>
    <t>E05013061</t>
  </si>
  <si>
    <t>E05013062</t>
  </si>
  <si>
    <t>E05013063</t>
  </si>
  <si>
    <t>E05013096</t>
  </si>
  <si>
    <t>Barton &amp; Sandhills</t>
  </si>
  <si>
    <t>E05013097</t>
  </si>
  <si>
    <t>E05013098</t>
  </si>
  <si>
    <t>Carfax &amp; Jericho</t>
  </si>
  <si>
    <t>E05013099</t>
  </si>
  <si>
    <t>E05013100</t>
  </si>
  <si>
    <t>E05013101</t>
  </si>
  <si>
    <t>Cutteslowe &amp; Sunnymead</t>
  </si>
  <si>
    <t>E05013102</t>
  </si>
  <si>
    <t>E05013103</t>
  </si>
  <si>
    <t>E05013104</t>
  </si>
  <si>
    <t>Headington Hill &amp; Northway</t>
  </si>
  <si>
    <t>E05013105</t>
  </si>
  <si>
    <t>E05013106</t>
  </si>
  <si>
    <t>E05013107</t>
  </si>
  <si>
    <t>E05013108</t>
  </si>
  <si>
    <t>E05013109</t>
  </si>
  <si>
    <t>E05013110</t>
  </si>
  <si>
    <t>E05013111</t>
  </si>
  <si>
    <t>Osney &amp; St Thomas</t>
  </si>
  <si>
    <t>E05013112</t>
  </si>
  <si>
    <t>Quarry &amp; Risinghurst</t>
  </si>
  <si>
    <t>E05013113</t>
  </si>
  <si>
    <t>Rose Hill &amp; Iffley</t>
  </si>
  <si>
    <t>E05013114</t>
  </si>
  <si>
    <t>E05013115</t>
  </si>
  <si>
    <t>E05013116</t>
  </si>
  <si>
    <t>E05013117</t>
  </si>
  <si>
    <t>Temple Cowley</t>
  </si>
  <si>
    <t>E05013118</t>
  </si>
  <si>
    <t>Walton Manor</t>
  </si>
  <si>
    <t>E05013119</t>
  </si>
  <si>
    <t xml:space="preserve">  and amended by The Oxford (Electoral Changes) Order 2019</t>
  </si>
  <si>
    <t>E05013120</t>
  </si>
  <si>
    <t>E05013121</t>
  </si>
  <si>
    <t>Amersham and Chesham Bois</t>
  </si>
  <si>
    <t>E05013122</t>
  </si>
  <si>
    <t>Aston Clinton and Bierton</t>
  </si>
  <si>
    <t>E05013123</t>
  </si>
  <si>
    <t>Aylesbury East</t>
  </si>
  <si>
    <t>E05013124</t>
  </si>
  <si>
    <t>Aylesbury North</t>
  </si>
  <si>
    <t>E05013125</t>
  </si>
  <si>
    <t>Aylesbury North West</t>
  </si>
  <si>
    <t>E05013126</t>
  </si>
  <si>
    <t>Aylesbury South East</t>
  </si>
  <si>
    <t>E05013127</t>
  </si>
  <si>
    <t>Aylesbury South West</t>
  </si>
  <si>
    <t>E05013128</t>
  </si>
  <si>
    <t>Aylesbury West</t>
  </si>
  <si>
    <t>E05013129</t>
  </si>
  <si>
    <t>Beaconsfield</t>
  </si>
  <si>
    <t>E05013130</t>
  </si>
  <si>
    <t>Bernwood</t>
  </si>
  <si>
    <t>E05013131</t>
  </si>
  <si>
    <t>Booker, Cressex and Castlefield</t>
  </si>
  <si>
    <t>E05013132</t>
  </si>
  <si>
    <t>Buckingham East</t>
  </si>
  <si>
    <t>E05013133</t>
  </si>
  <si>
    <t>Buckingham West</t>
  </si>
  <si>
    <t>E05013134</t>
  </si>
  <si>
    <t>E05013135</t>
  </si>
  <si>
    <t>Chalfont St Peter</t>
  </si>
  <si>
    <t>E05013136</t>
  </si>
  <si>
    <t>Chesham</t>
  </si>
  <si>
    <t>E05013137</t>
  </si>
  <si>
    <t>Chess Valley</t>
  </si>
  <si>
    <t>E05013138</t>
  </si>
  <si>
    <t>Chiltern Ridges</t>
  </si>
  <si>
    <t>E05013139</t>
  </si>
  <si>
    <t>Chiltern Villages</t>
  </si>
  <si>
    <t>E05013140</t>
  </si>
  <si>
    <t>Cliveden</t>
  </si>
  <si>
    <t>E05013141</t>
  </si>
  <si>
    <t>E05013142</t>
  </si>
  <si>
    <t>Downley</t>
  </si>
  <si>
    <t>E05013143</t>
  </si>
  <si>
    <t>Farnham Common and Burnham Beeches</t>
  </si>
  <si>
    <t>E05013144</t>
  </si>
  <si>
    <t>Flackwell Heath, Little Marlow and Marlow South East</t>
  </si>
  <si>
    <t>E05013145</t>
  </si>
  <si>
    <t>E05013146</t>
  </si>
  <si>
    <t>Great Brickhill</t>
  </si>
  <si>
    <t>E05013147</t>
  </si>
  <si>
    <t>E05013148</t>
  </si>
  <si>
    <t>Grendon Underwood</t>
  </si>
  <si>
    <t>E05013149</t>
  </si>
  <si>
    <t>Hazlemere</t>
  </si>
  <si>
    <t>E05013150</t>
  </si>
  <si>
    <t>Iver</t>
  </si>
  <si>
    <t>E05013151</t>
  </si>
  <si>
    <t>Ivinghoe</t>
  </si>
  <si>
    <t>E05013152</t>
  </si>
  <si>
    <t>Little Chalfont and Amersham Common</t>
  </si>
  <si>
    <t>E05013153</t>
  </si>
  <si>
    <t>Marlow</t>
  </si>
  <si>
    <t>E05013154</t>
  </si>
  <si>
    <t>Penn Wood and Old Amersham</t>
  </si>
  <si>
    <t>E05013155</t>
  </si>
  <si>
    <t>Ridgeway East</t>
  </si>
  <si>
    <t>E05013156</t>
  </si>
  <si>
    <t>Ridgeway West</t>
  </si>
  <si>
    <t>E05013157</t>
  </si>
  <si>
    <t>Ryemead and Micklefield</t>
  </si>
  <si>
    <t>E05013158</t>
  </si>
  <si>
    <t>Stoke Poges and Wexham</t>
  </si>
  <si>
    <t>E05013159</t>
  </si>
  <si>
    <t>Stone and Waddesdon</t>
  </si>
  <si>
    <t>E05013160</t>
  </si>
  <si>
    <t>E05013161</t>
  </si>
  <si>
    <t>E05013162</t>
  </si>
  <si>
    <t>The Wooburns, Bourne End and Hedsor</t>
  </si>
  <si>
    <t>E05013163</t>
  </si>
  <si>
    <t>Totteridge and Bowerdean</t>
  </si>
  <si>
    <t>E05013164</t>
  </si>
  <si>
    <t>E05013165</t>
  </si>
  <si>
    <t>Wendover, Halton and Stoke Mandeville</t>
  </si>
  <si>
    <t>E05013166</t>
  </si>
  <si>
    <t>West Wycombe</t>
  </si>
  <si>
    <t>E05013167</t>
  </si>
  <si>
    <t>E05013168</t>
  </si>
  <si>
    <t>Buckinghamshire (pt)</t>
  </si>
  <si>
    <t>44.</t>
  </si>
  <si>
    <t>45.</t>
  </si>
  <si>
    <t>46.</t>
  </si>
  <si>
    <t>47.</t>
  </si>
  <si>
    <t>48.</t>
  </si>
  <si>
    <t>49.</t>
  </si>
  <si>
    <t>BUCKINGHAMSHIRE  *</t>
  </si>
  <si>
    <t>* as created by The Buckinghamshire (Structural Changes) Order 2019</t>
  </si>
  <si>
    <t>Buckinghamshire *</t>
  </si>
  <si>
    <t>E05013169</t>
  </si>
  <si>
    <t>E05013170</t>
  </si>
  <si>
    <t>Bankfield</t>
  </si>
  <si>
    <t>E05013171</t>
  </si>
  <si>
    <t>Beechwood &amp; Heath</t>
  </si>
  <si>
    <t>E05013172</t>
  </si>
  <si>
    <t>E05013173</t>
  </si>
  <si>
    <t>Bridgewater</t>
  </si>
  <si>
    <t>E05013174</t>
  </si>
  <si>
    <t>Central &amp; West Bank</t>
  </si>
  <si>
    <t>E05013175</t>
  </si>
  <si>
    <t>Daresbury, Moore &amp; Sandymoor</t>
  </si>
  <si>
    <t>E05013176</t>
  </si>
  <si>
    <t>Ditton, Hale Village &amp; Halebank</t>
  </si>
  <si>
    <t>E05013177</t>
  </si>
  <si>
    <t>E05013178</t>
  </si>
  <si>
    <t>E05013179</t>
  </si>
  <si>
    <t>E05013180</t>
  </si>
  <si>
    <t>E05013181</t>
  </si>
  <si>
    <t>E05013182</t>
  </si>
  <si>
    <t>E05013183</t>
  </si>
  <si>
    <t>E05013184</t>
  </si>
  <si>
    <t>Mersey &amp; Weston</t>
  </si>
  <si>
    <t>E05013185</t>
  </si>
  <si>
    <t>E05013186</t>
  </si>
  <si>
    <t>Norton South &amp; Preston Brook</t>
  </si>
  <si>
    <t xml:space="preserve">  and amended by The Halton (Electoral Changes) Order 2020</t>
  </si>
  <si>
    <t>E05013187</t>
  </si>
  <si>
    <t>E05013188</t>
  </si>
  <si>
    <t>E05013189</t>
  </si>
  <si>
    <t>E05013190</t>
  </si>
  <si>
    <t>E05013191</t>
  </si>
  <si>
    <t>E05013192</t>
  </si>
  <si>
    <t>E05013193</t>
  </si>
  <si>
    <t>E05013194</t>
  </si>
  <si>
    <t>E05013195</t>
  </si>
  <si>
    <t>E05013196</t>
  </si>
  <si>
    <t>E05013197</t>
  </si>
  <si>
    <t>E05013198</t>
  </si>
  <si>
    <t>E05013199</t>
  </si>
  <si>
    <t>E05013212</t>
  </si>
  <si>
    <t>E05013200</t>
  </si>
  <si>
    <t>Barnoldswick</t>
  </si>
  <si>
    <t>E05013201</t>
  </si>
  <si>
    <t>Barrowford &amp; Pendleside</t>
  </si>
  <si>
    <t>E05013202</t>
  </si>
  <si>
    <t>Boulsworth &amp; Foulridge</t>
  </si>
  <si>
    <t>E05013203</t>
  </si>
  <si>
    <t>E05013204</t>
  </si>
  <si>
    <t>Brierfield East &amp; Clover Hill</t>
  </si>
  <si>
    <t>E05013205</t>
  </si>
  <si>
    <t>Brierfield West &amp; Reedley</t>
  </si>
  <si>
    <t>E05013206</t>
  </si>
  <si>
    <t>Earby &amp; Coates</t>
  </si>
  <si>
    <t>E05013207</t>
  </si>
  <si>
    <t>Fence &amp; Higham</t>
  </si>
  <si>
    <t>E05013208</t>
  </si>
  <si>
    <t>Marsden &amp; Southfield</t>
  </si>
  <si>
    <t>E05013209</t>
  </si>
  <si>
    <t>E05013210</t>
  </si>
  <si>
    <t>Waterside &amp; Horsfield</t>
  </si>
  <si>
    <t>E05013211</t>
  </si>
  <si>
    <t>Whitefield &amp; Walverden</t>
  </si>
  <si>
    <t xml:space="preserve">   as altered by The Pendle (Related Alterations) Order 2011 and The Pendle (Electoral Changes) Order 2020</t>
  </si>
  <si>
    <t>E05013270</t>
  </si>
  <si>
    <t>E05013271</t>
  </si>
  <si>
    <t xml:space="preserve">  as altered by The Gateshead and Northumbrland (Boundary Change) Order 2013 and The Northumberland (Electoral Changes) Order 2020</t>
  </si>
  <si>
    <t>Brickhill and Queensway</t>
  </si>
  <si>
    <t>Burton and Broughton</t>
  </si>
  <si>
    <t>Corby Rural</t>
  </si>
  <si>
    <t>Corby West</t>
  </si>
  <si>
    <t>Croyland and Swanspool</t>
  </si>
  <si>
    <t>Desborough</t>
  </si>
  <si>
    <t>Hatton Park</t>
  </si>
  <si>
    <t>Higham Ferrers</t>
  </si>
  <si>
    <t>Irthlingborough</t>
  </si>
  <si>
    <t>Ise</t>
  </si>
  <si>
    <t>Northall</t>
  </si>
  <si>
    <t>Raunds</t>
  </si>
  <si>
    <t>Rothwell and Mawsley</t>
  </si>
  <si>
    <t>Rushden Pemberton West</t>
  </si>
  <si>
    <t>Rushden South</t>
  </si>
  <si>
    <t>Thrapston</t>
  </si>
  <si>
    <t>Wicksteed</t>
  </si>
  <si>
    <t>Windmill</t>
  </si>
  <si>
    <t>Abington and Phippsville</t>
  </si>
  <si>
    <t>Billing and Rectory Farm</t>
  </si>
  <si>
    <t>Boothville and Parklands</t>
  </si>
  <si>
    <t>Brackley</t>
  </si>
  <si>
    <t>Braunston and Crick</t>
  </si>
  <si>
    <t>Bugbrooke</t>
  </si>
  <si>
    <t>Dallington Spencer</t>
  </si>
  <si>
    <t>Daventry East</t>
  </si>
  <si>
    <t>Daventry West</t>
  </si>
  <si>
    <t>Delapre and Rushmere</t>
  </si>
  <si>
    <t>Duston East</t>
  </si>
  <si>
    <t>Duston West and St. Crispin</t>
  </si>
  <si>
    <t>East Hunsbury and Shelfleys</t>
  </si>
  <si>
    <t>Hackleton and Grange Park</t>
  </si>
  <si>
    <t>Kingsthorpe North</t>
  </si>
  <si>
    <t>Kingsthorpe South</t>
  </si>
  <si>
    <t>Riverside Park</t>
  </si>
  <si>
    <t>St. George</t>
  </si>
  <si>
    <t>Sixfields</t>
  </si>
  <si>
    <t>Towcester and Roade</t>
  </si>
  <si>
    <t>Woodford and Weedon</t>
  </si>
  <si>
    <t>E05013213</t>
  </si>
  <si>
    <t>E05013214</t>
  </si>
  <si>
    <t>E05013215</t>
  </si>
  <si>
    <t>E05013216</t>
  </si>
  <si>
    <t>E05013217</t>
  </si>
  <si>
    <t>E05013218</t>
  </si>
  <si>
    <t>E05013219</t>
  </si>
  <si>
    <t>E05013220</t>
  </si>
  <si>
    <t>E05013221</t>
  </si>
  <si>
    <t>E05013222</t>
  </si>
  <si>
    <t>E05013223</t>
  </si>
  <si>
    <t>E05013224</t>
  </si>
  <si>
    <t>E05013225</t>
  </si>
  <si>
    <t>E05013226</t>
  </si>
  <si>
    <t>E05013227</t>
  </si>
  <si>
    <t>E05013228</t>
  </si>
  <si>
    <t>E05013229</t>
  </si>
  <si>
    <t>E05013230</t>
  </si>
  <si>
    <t>E05013231</t>
  </si>
  <si>
    <t>E05013232</t>
  </si>
  <si>
    <t>E05013233</t>
  </si>
  <si>
    <t>E05013234</t>
  </si>
  <si>
    <t>E05013235</t>
  </si>
  <si>
    <t>E05013236</t>
  </si>
  <si>
    <t>E05013237</t>
  </si>
  <si>
    <t>E05013238</t>
  </si>
  <si>
    <t>E05013239</t>
  </si>
  <si>
    <t>E05013240</t>
  </si>
  <si>
    <t>E05013241</t>
  </si>
  <si>
    <t>E05013242</t>
  </si>
  <si>
    <t>E05013243</t>
  </si>
  <si>
    <t>E05013244</t>
  </si>
  <si>
    <t>E05013245</t>
  </si>
  <si>
    <t>E05013246</t>
  </si>
  <si>
    <t>E05013247</t>
  </si>
  <si>
    <t>E05013248</t>
  </si>
  <si>
    <t>E05013249</t>
  </si>
  <si>
    <t>E05013250</t>
  </si>
  <si>
    <t>E05013251</t>
  </si>
  <si>
    <t>E05013252</t>
  </si>
  <si>
    <t>E05013253</t>
  </si>
  <si>
    <t>E05013254</t>
  </si>
  <si>
    <t>E05013255</t>
  </si>
  <si>
    <t>E05013256</t>
  </si>
  <si>
    <t>E05013257</t>
  </si>
  <si>
    <t>E05013258</t>
  </si>
  <si>
    <t>E05013259</t>
  </si>
  <si>
    <t>E05013260</t>
  </si>
  <si>
    <t>E05013261</t>
  </si>
  <si>
    <t>E05013262</t>
  </si>
  <si>
    <t>E05013263</t>
  </si>
  <si>
    <t>E05013264</t>
  </si>
  <si>
    <t>E05013265</t>
  </si>
  <si>
    <t>E05013266</t>
  </si>
  <si>
    <t>E05013267</t>
  </si>
  <si>
    <t>E05013268</t>
  </si>
  <si>
    <t>E05013269</t>
  </si>
  <si>
    <t>NORTH NORTHAMPTONSHIRE DISTRICT</t>
  </si>
  <si>
    <t>WEST NORTHAMPTONSHIRE DISTRICT</t>
  </si>
  <si>
    <t>NORTH NORTHAMPTONSHIRE DISTRICT *</t>
  </si>
  <si>
    <t>* As created by The Northamptonshire (Structural Changes) Order 2020</t>
  </si>
  <si>
    <t>WEST NORTHAMPTONSHIRE DISTRICT *</t>
  </si>
  <si>
    <t>North Northamptonshire</t>
  </si>
  <si>
    <t>North Northamptonshire (pt)</t>
  </si>
  <si>
    <t>West Northamptonshire (pt)</t>
  </si>
  <si>
    <t>West Northamptonshire</t>
  </si>
  <si>
    <t>E05013272</t>
  </si>
  <si>
    <t>Altarnun &amp; Stoke Climsland</t>
  </si>
  <si>
    <t>E05013273</t>
  </si>
  <si>
    <t>Bodmin St Mary's &amp; St Leonard</t>
  </si>
  <si>
    <t>E05013274</t>
  </si>
  <si>
    <t>Bodmin St Petroc's</t>
  </si>
  <si>
    <t>E05013275</t>
  </si>
  <si>
    <t>E05013276</t>
  </si>
  <si>
    <t>Callington &amp; St Dominic</t>
  </si>
  <si>
    <t>E05013277</t>
  </si>
  <si>
    <t>Calstock</t>
  </si>
  <si>
    <t>E05013278</t>
  </si>
  <si>
    <t>Camborne Roskear &amp; Tuckingmill</t>
  </si>
  <si>
    <t>E05013279</t>
  </si>
  <si>
    <t>E05013280</t>
  </si>
  <si>
    <t>Camborne West &amp; Treswithian</t>
  </si>
  <si>
    <t>E05013281</t>
  </si>
  <si>
    <t>Camelford &amp; Boscastle</t>
  </si>
  <si>
    <t>E05013282</t>
  </si>
  <si>
    <t>Constantine, Mabe &amp; Mawnan</t>
  </si>
  <si>
    <t>E05013283</t>
  </si>
  <si>
    <t>Crowan, Sithney &amp; Wendron</t>
  </si>
  <si>
    <t>E05013284</t>
  </si>
  <si>
    <t>E05013285</t>
  </si>
  <si>
    <t>E05013286</t>
  </si>
  <si>
    <t>E05013287</t>
  </si>
  <si>
    <t>Falmouth Trescobeas &amp; Budock</t>
  </si>
  <si>
    <t>E05013288</t>
  </si>
  <si>
    <t>Feock &amp; Kea</t>
  </si>
  <si>
    <t>E05013289</t>
  </si>
  <si>
    <t>Four Lanes, Beacon &amp; Troon</t>
  </si>
  <si>
    <t>E05013290</t>
  </si>
  <si>
    <t>Fowey, Tywardreath &amp; Par</t>
  </si>
  <si>
    <t>E05013291</t>
  </si>
  <si>
    <t>Gloweth, Malabar &amp; Shortlanesend</t>
  </si>
  <si>
    <t>E05013292</t>
  </si>
  <si>
    <t>Gwinear-Gwithian &amp; Hayle East</t>
  </si>
  <si>
    <t>E05013293</t>
  </si>
  <si>
    <t>Hayle West</t>
  </si>
  <si>
    <t>E05013294</t>
  </si>
  <si>
    <t>E05013295</t>
  </si>
  <si>
    <t>Helston South &amp; Meneage</t>
  </si>
  <si>
    <t>E05013296</t>
  </si>
  <si>
    <t>Illogan &amp; Portreath</t>
  </si>
  <si>
    <t>E05013297</t>
  </si>
  <si>
    <t>Land's End</t>
  </si>
  <si>
    <t>E05013298</t>
  </si>
  <si>
    <t>Lanivet, Blisland &amp; Bodmin St Lawrence</t>
  </si>
  <si>
    <t>E05013299</t>
  </si>
  <si>
    <t>Lanner, Stithians &amp; Gwennap</t>
  </si>
  <si>
    <t>E05013300</t>
  </si>
  <si>
    <t>Launceston North &amp; North Petherwin</t>
  </si>
  <si>
    <t>E05013301</t>
  </si>
  <si>
    <t>E05013302</t>
  </si>
  <si>
    <t>Liskeard Central</t>
  </si>
  <si>
    <t>E05013303</t>
  </si>
  <si>
    <t>Liskeard South &amp; Dobwalls</t>
  </si>
  <si>
    <t>E05013304</t>
  </si>
  <si>
    <t>Long Rock, Marazion &amp; St Erth</t>
  </si>
  <si>
    <t>E05013305</t>
  </si>
  <si>
    <t>Looe East &amp; Deviock</t>
  </si>
  <si>
    <t>E05013306</t>
  </si>
  <si>
    <t>Looe West, Pelynt, Lansallos &amp; Lanteglos</t>
  </si>
  <si>
    <t>E05013307</t>
  </si>
  <si>
    <t>Lostwithiel &amp; Lanreath</t>
  </si>
  <si>
    <t>E05013308</t>
  </si>
  <si>
    <t>Ludgvan, Madron, Gulval &amp; Heamoor</t>
  </si>
  <si>
    <t>E05013309</t>
  </si>
  <si>
    <t>E05013310</t>
  </si>
  <si>
    <t>Mevagissey &amp; St Austell Bay</t>
  </si>
  <si>
    <t>E05013311</t>
  </si>
  <si>
    <t>Mousehole, Newlyn &amp; St Buryan</t>
  </si>
  <si>
    <t>E05013312</t>
  </si>
  <si>
    <t>Mullion &amp; St Keverne</t>
  </si>
  <si>
    <t>E05013313</t>
  </si>
  <si>
    <t>Mylor, Perranarworthal &amp; Ponsanooth</t>
  </si>
  <si>
    <t>E05013314</t>
  </si>
  <si>
    <t>Newquay Central &amp; Pentire</t>
  </si>
  <si>
    <t>E05013315</t>
  </si>
  <si>
    <t>Newquay Porth &amp; Tretherras</t>
  </si>
  <si>
    <t>E05013316</t>
  </si>
  <si>
    <t>Newquay Trenance</t>
  </si>
  <si>
    <t>E05013317</t>
  </si>
  <si>
    <t>E05013318</t>
  </si>
  <si>
    <t>Penryn</t>
  </si>
  <si>
    <t>E05013319</t>
  </si>
  <si>
    <t>Penwithick &amp; Boscoppa</t>
  </si>
  <si>
    <t>E05013320</t>
  </si>
  <si>
    <t>E05013321</t>
  </si>
  <si>
    <t>E05013322</t>
  </si>
  <si>
    <t>E05013323</t>
  </si>
  <si>
    <t>Pool &amp; Tehidy</t>
  </si>
  <si>
    <t>E05013324</t>
  </si>
  <si>
    <t>Porthleven, Breage &amp; Germoe</t>
  </si>
  <si>
    <t>E05013325</t>
  </si>
  <si>
    <t>E05013326</t>
  </si>
  <si>
    <t>Probus &amp; St Erme</t>
  </si>
  <si>
    <t>E05013327</t>
  </si>
  <si>
    <t>Rame Peninsula &amp; St Germans</t>
  </si>
  <si>
    <t>E05013328</t>
  </si>
  <si>
    <t>Redruth Central, Carharrack &amp; St Day</t>
  </si>
  <si>
    <t>E05013329</t>
  </si>
  <si>
    <t>E05013330</t>
  </si>
  <si>
    <t>E05013331</t>
  </si>
  <si>
    <t>Roche &amp; Bugle</t>
  </si>
  <si>
    <t>E05013332</t>
  </si>
  <si>
    <t>E05013333</t>
  </si>
  <si>
    <t>St Austell Bethel &amp; Holmbush</t>
  </si>
  <si>
    <t>E05013334</t>
  </si>
  <si>
    <t>St Austell Central &amp; Gover</t>
  </si>
  <si>
    <t>E05013335</t>
  </si>
  <si>
    <t>St Austell Poltair &amp; Mount Charles</t>
  </si>
  <si>
    <t>E05013336</t>
  </si>
  <si>
    <t>E05013337</t>
  </si>
  <si>
    <t>St Cleer &amp; Menheniot</t>
  </si>
  <si>
    <t>E05013338</t>
  </si>
  <si>
    <t>St Columb Major, St Mawgan &amp; St Wenn</t>
  </si>
  <si>
    <t>E05013339</t>
  </si>
  <si>
    <t>St Columb Minor &amp; Colan</t>
  </si>
  <si>
    <t>E05013340</t>
  </si>
  <si>
    <t>St Dennis &amp; St Enoder</t>
  </si>
  <si>
    <t>E05013341</t>
  </si>
  <si>
    <t>St Goran, Tregony &amp; the Roseland</t>
  </si>
  <si>
    <t>E05013342</t>
  </si>
  <si>
    <t>St Ives East, Lelant &amp; Carbis Bay</t>
  </si>
  <si>
    <t>E05013343</t>
  </si>
  <si>
    <t>St Ives West &amp; Towednack</t>
  </si>
  <si>
    <t>E05013344</t>
  </si>
  <si>
    <t>St Mewan &amp; Grampound</t>
  </si>
  <si>
    <t>E05013345</t>
  </si>
  <si>
    <t>St Newlyn East, Cubert &amp; Goonhavern</t>
  </si>
  <si>
    <t>E05013346</t>
  </si>
  <si>
    <t>St Stephen-in-Brannel</t>
  </si>
  <si>
    <t>E05013347</t>
  </si>
  <si>
    <t>St Teath &amp; Tintagel</t>
  </si>
  <si>
    <t>E05013348</t>
  </si>
  <si>
    <t>Saltash Essa</t>
  </si>
  <si>
    <t>E05013349</t>
  </si>
  <si>
    <t>Saltash Tamar</t>
  </si>
  <si>
    <t>E05013350</t>
  </si>
  <si>
    <t>Saltash Trematon &amp; Landrake</t>
  </si>
  <si>
    <t>E05013351</t>
  </si>
  <si>
    <t>Stratton, Kilkhampton &amp; Morwenstow</t>
  </si>
  <si>
    <t>E05013352</t>
  </si>
  <si>
    <t>Threemilestone &amp; Chacewater</t>
  </si>
  <si>
    <t>E05013353</t>
  </si>
  <si>
    <t>Torpoint</t>
  </si>
  <si>
    <t>E05013354</t>
  </si>
  <si>
    <t>Truro Boscawen &amp; Redannick</t>
  </si>
  <si>
    <t>E05013355</t>
  </si>
  <si>
    <t>Truro Moresk &amp; Trehaverne</t>
  </si>
  <si>
    <t>E05013356</t>
  </si>
  <si>
    <t>E05013357</t>
  </si>
  <si>
    <t>Wadebridge East &amp; St Minver</t>
  </si>
  <si>
    <t>E05013358</t>
  </si>
  <si>
    <t>Wadebridge West &amp; St Mabyn</t>
  </si>
  <si>
    <t xml:space="preserve">  and amended by The Cornwall (Electoral Changes) Order 2019</t>
  </si>
  <si>
    <t xml:space="preserve">  and amended by The Isle of Wight (Electoral Changes) Order 2020</t>
  </si>
  <si>
    <t>Bembridge</t>
  </si>
  <si>
    <t>Binstead &amp; Fishbourne</t>
  </si>
  <si>
    <t>Brading &amp; St Helens</t>
  </si>
  <si>
    <t>Brighstone, Calbourne &amp; Shalfleet</t>
  </si>
  <si>
    <t>Carisbrooke &amp; Gunville</t>
  </si>
  <si>
    <t>Central Rural</t>
  </si>
  <si>
    <t>Chale, Niton &amp; Shorwell</t>
  </si>
  <si>
    <t>Cowes South &amp; Northwood</t>
  </si>
  <si>
    <t>Cowes West &amp; Gurnard</t>
  </si>
  <si>
    <t>Fairlee &amp; Whippingham</t>
  </si>
  <si>
    <t>Freshwater North &amp; Yarmouth</t>
  </si>
  <si>
    <t>Haylands &amp; Swanmore</t>
  </si>
  <si>
    <t>Mountjoy &amp; Shide</t>
  </si>
  <si>
    <t>Nettlestone &amp; Seaview</t>
  </si>
  <si>
    <t>Newchurch, Havenstreet &amp; Ashey</t>
  </si>
  <si>
    <t>Osborne</t>
  </si>
  <si>
    <t>Pan &amp; Barton</t>
  </si>
  <si>
    <t>Parkhurst &amp; Hunnyhill</t>
  </si>
  <si>
    <t>Ryde Appley &amp; Elmfield</t>
  </si>
  <si>
    <t>Ryde Monktonmead</t>
  </si>
  <si>
    <t>Ryde South East</t>
  </si>
  <si>
    <t>Totland &amp; Colwell</t>
  </si>
  <si>
    <t>Ventnor &amp; St Lawrence</t>
  </si>
  <si>
    <t>Wroxall, Lowtherville &amp; Bonchurch</t>
  </si>
  <si>
    <t>E05013359</t>
  </si>
  <si>
    <t>E05013360</t>
  </si>
  <si>
    <t>E05013361</t>
  </si>
  <si>
    <t>E05013362</t>
  </si>
  <si>
    <t>E05013363</t>
  </si>
  <si>
    <t>E05013364</t>
  </si>
  <si>
    <t>E05013365</t>
  </si>
  <si>
    <t>E05013366</t>
  </si>
  <si>
    <t>E05013367</t>
  </si>
  <si>
    <t>E05013368</t>
  </si>
  <si>
    <t>E05013369</t>
  </si>
  <si>
    <t>E05013370</t>
  </si>
  <si>
    <t>E05013371</t>
  </si>
  <si>
    <t>E05013372</t>
  </si>
  <si>
    <t>E05013373</t>
  </si>
  <si>
    <t>E05013374</t>
  </si>
  <si>
    <t>E05013375</t>
  </si>
  <si>
    <t>E05013376</t>
  </si>
  <si>
    <t>E05013377</t>
  </si>
  <si>
    <t>E05013378</t>
  </si>
  <si>
    <t>E05013379</t>
  </si>
  <si>
    <t>E05013380</t>
  </si>
  <si>
    <t>E05013381</t>
  </si>
  <si>
    <t>E05013382</t>
  </si>
  <si>
    <t>E05013383</t>
  </si>
  <si>
    <t>E05013384</t>
  </si>
  <si>
    <t>E05013385</t>
  </si>
  <si>
    <t>E05013386</t>
  </si>
  <si>
    <t>E05013387</t>
  </si>
  <si>
    <t>E05013388</t>
  </si>
  <si>
    <t>E05013389</t>
  </si>
  <si>
    <t>E05013390</t>
  </si>
  <si>
    <t>E05013391</t>
  </si>
  <si>
    <t>E05013392</t>
  </si>
  <si>
    <t>E05013393</t>
  </si>
  <si>
    <t>E05013394</t>
  </si>
  <si>
    <t>E05013395</t>
  </si>
  <si>
    <t>E05013396</t>
  </si>
  <si>
    <t>E05013397</t>
  </si>
  <si>
    <t>Aldbourne &amp; Ramsbury</t>
  </si>
  <si>
    <t>Alderbury &amp; Whiteparish</t>
  </si>
  <si>
    <t>Amesbury East &amp; Bulford</t>
  </si>
  <si>
    <t>Amesbury South</t>
  </si>
  <si>
    <t>Avon Valley</t>
  </si>
  <si>
    <t>Bowerhill</t>
  </si>
  <si>
    <t>Box &amp; Colerne</t>
  </si>
  <si>
    <t>Bromham, Rowde &amp; Roundway</t>
  </si>
  <si>
    <t>Calne Chilvester &amp; Abberd</t>
  </si>
  <si>
    <t>Calne South</t>
  </si>
  <si>
    <t>Chippenham Cepen Park &amp; Derriads</t>
  </si>
  <si>
    <t>Chippenham Cepen Park &amp; Hunters Moon</t>
  </si>
  <si>
    <t>Chippenham Hardens &amp; Central</t>
  </si>
  <si>
    <t>Chippenham Lowden &amp; Rowden</t>
  </si>
  <si>
    <t>Chippenham Sheldon</t>
  </si>
  <si>
    <t>Corsham Ladbrook</t>
  </si>
  <si>
    <t>Corsham Without</t>
  </si>
  <si>
    <t>Cricklade &amp; Latton</t>
  </si>
  <si>
    <t>Devizes Rural West</t>
  </si>
  <si>
    <t>Devizes South</t>
  </si>
  <si>
    <t>Downton &amp; Ebble Valley</t>
  </si>
  <si>
    <t>Fovant &amp; Chalke Valley</t>
  </si>
  <si>
    <t>Laverstock</t>
  </si>
  <si>
    <t>Ludgershall North &amp; Rural</t>
  </si>
  <si>
    <t>Melksham East</t>
  </si>
  <si>
    <t>Melksham Forest</t>
  </si>
  <si>
    <t>Melksham Without North &amp; Shurnhold</t>
  </si>
  <si>
    <t>Melksham Without West &amp; Rural</t>
  </si>
  <si>
    <t>Nadder Valley</t>
  </si>
  <si>
    <t>Old Sarum &amp; Lower Bourne Valley</t>
  </si>
  <si>
    <t>Pewsey Vale East</t>
  </si>
  <si>
    <t>Pewsey Vale West</t>
  </si>
  <si>
    <t>Redlynch &amp; Landford</t>
  </si>
  <si>
    <t>Royal Wootton Bassett South &amp; West</t>
  </si>
  <si>
    <t>Salisbury Bemerton Heath</t>
  </si>
  <si>
    <t>Salisbury Fisherton &amp; Bemerton Village</t>
  </si>
  <si>
    <t>Salisbury Harnham East</t>
  </si>
  <si>
    <t>Salisbury Harnham West</t>
  </si>
  <si>
    <t>Salisbury Milford</t>
  </si>
  <si>
    <t>Salisbury St Edmund's</t>
  </si>
  <si>
    <t>Salisbury St Francis &amp; Stratford</t>
  </si>
  <si>
    <t>The Lavingtons</t>
  </si>
  <si>
    <t>Tidworth East &amp; Ludgershall South</t>
  </si>
  <si>
    <t>Tidworth North &amp; West</t>
  </si>
  <si>
    <t>Till Valley</t>
  </si>
  <si>
    <t>Urchfont &amp; Bishops Cannings</t>
  </si>
  <si>
    <t>Warminster North &amp; Rural</t>
  </si>
  <si>
    <t>Wilton</t>
  </si>
  <si>
    <t>Winsley &amp; Westwood</t>
  </si>
  <si>
    <t>Winterslow &amp; Upper Bourne Valley</t>
  </si>
  <si>
    <t>Wylye Valley</t>
  </si>
  <si>
    <t xml:space="preserve">  and amended by The Wiltshire (Electoral Changes) Order 2020</t>
  </si>
  <si>
    <t>E05013398</t>
  </si>
  <si>
    <t>E05013399</t>
  </si>
  <si>
    <t>E05013400</t>
  </si>
  <si>
    <t>E05013401</t>
  </si>
  <si>
    <t>E05013402</t>
  </si>
  <si>
    <t>E05013403</t>
  </si>
  <si>
    <t>E05013404</t>
  </si>
  <si>
    <t>E05013405</t>
  </si>
  <si>
    <t>E05013406</t>
  </si>
  <si>
    <t>E05013407</t>
  </si>
  <si>
    <t>E05013408</t>
  </si>
  <si>
    <t>E05013409</t>
  </si>
  <si>
    <t>E05013410</t>
  </si>
  <si>
    <t>E05013411</t>
  </si>
  <si>
    <t>E05013412</t>
  </si>
  <si>
    <t>E05013413</t>
  </si>
  <si>
    <t>E05013414</t>
  </si>
  <si>
    <t>E05013415</t>
  </si>
  <si>
    <t>E05013416</t>
  </si>
  <si>
    <t>E05013417</t>
  </si>
  <si>
    <t>E05013418</t>
  </si>
  <si>
    <t>E05013419</t>
  </si>
  <si>
    <t>E05013420</t>
  </si>
  <si>
    <t>E05013421</t>
  </si>
  <si>
    <t>E05013422</t>
  </si>
  <si>
    <t>E05013423</t>
  </si>
  <si>
    <t>E05013424</t>
  </si>
  <si>
    <t>E05013425</t>
  </si>
  <si>
    <t>E05013426</t>
  </si>
  <si>
    <t>E05013427</t>
  </si>
  <si>
    <t>E05013428</t>
  </si>
  <si>
    <t>E05013429</t>
  </si>
  <si>
    <t>E05013430</t>
  </si>
  <si>
    <t>E05013431</t>
  </si>
  <si>
    <t>E05013432</t>
  </si>
  <si>
    <t>E05013433</t>
  </si>
  <si>
    <t>E05013434</t>
  </si>
  <si>
    <t>E05013435</t>
  </si>
  <si>
    <t>E05013436</t>
  </si>
  <si>
    <t>E05013437</t>
  </si>
  <si>
    <t>E05013438</t>
  </si>
  <si>
    <t>E05013439</t>
  </si>
  <si>
    <t>E05013440</t>
  </si>
  <si>
    <t>E05013441</t>
  </si>
  <si>
    <t>E05013442</t>
  </si>
  <si>
    <t>E05013443</t>
  </si>
  <si>
    <t>E05013444</t>
  </si>
  <si>
    <t>E05013445</t>
  </si>
  <si>
    <t>E05013446</t>
  </si>
  <si>
    <t>E05013447</t>
  </si>
  <si>
    <t>E05013448</t>
  </si>
  <si>
    <t>E05013449</t>
  </si>
  <si>
    <t>E05013450</t>
  </si>
  <si>
    <t>E05013451</t>
  </si>
  <si>
    <t>E05013452</t>
  </si>
  <si>
    <t>E05013453</t>
  </si>
  <si>
    <t>E05013454</t>
  </si>
  <si>
    <t>E05013455</t>
  </si>
  <si>
    <t>E05013456</t>
  </si>
  <si>
    <t>E05013457</t>
  </si>
  <si>
    <t>E05013458</t>
  </si>
  <si>
    <t>E05013459</t>
  </si>
  <si>
    <t>E05013460</t>
  </si>
  <si>
    <t>E05013461</t>
  </si>
  <si>
    <t>E05013462</t>
  </si>
  <si>
    <t>E05013463</t>
  </si>
  <si>
    <t>E05013464</t>
  </si>
  <si>
    <t>E05013465</t>
  </si>
  <si>
    <t>E05013466</t>
  </si>
  <si>
    <t>E05013467</t>
  </si>
  <si>
    <t>E05013468</t>
  </si>
  <si>
    <t>E05013469</t>
  </si>
  <si>
    <t>E05013470</t>
  </si>
  <si>
    <t>E05013471</t>
  </si>
  <si>
    <t>E05013472</t>
  </si>
  <si>
    <t>E05013473</t>
  </si>
  <si>
    <t>E05013474</t>
  </si>
  <si>
    <t>E05013475</t>
  </si>
  <si>
    <t>E05013476</t>
  </si>
  <si>
    <t>E05013477</t>
  </si>
  <si>
    <t>E05013478</t>
  </si>
  <si>
    <t>E05013479</t>
  </si>
  <si>
    <t>E05013480</t>
  </si>
  <si>
    <t>E05013481</t>
  </si>
  <si>
    <t>E05013482</t>
  </si>
  <si>
    <t>E05013483</t>
  </si>
  <si>
    <t>E05013484</t>
  </si>
  <si>
    <t>E05013485</t>
  </si>
  <si>
    <t>E05013486</t>
  </si>
  <si>
    <t>E05013487</t>
  </si>
  <si>
    <t>E05013488</t>
  </si>
  <si>
    <t>E05013489</t>
  </si>
  <si>
    <t>E05013490</t>
  </si>
  <si>
    <t>E05013491</t>
  </si>
  <si>
    <t>E05013492</t>
  </si>
  <si>
    <t>E05013493</t>
  </si>
  <si>
    <t>E05013494</t>
  </si>
  <si>
    <t>E05013495</t>
  </si>
  <si>
    <t>E05013496</t>
  </si>
  <si>
    <t>E05013497</t>
  </si>
  <si>
    <t>E05013498</t>
  </si>
  <si>
    <t>E05013499</t>
  </si>
  <si>
    <t>E05013500</t>
  </si>
  <si>
    <t>E05013501</t>
  </si>
  <si>
    <t>E05013502</t>
  </si>
  <si>
    <t>E05013503</t>
  </si>
  <si>
    <t>E05013504</t>
  </si>
  <si>
    <t>E05013505</t>
  </si>
  <si>
    <t>E05013506</t>
  </si>
  <si>
    <t>E05013507</t>
  </si>
  <si>
    <t>E05013508</t>
  </si>
  <si>
    <t>E05013509</t>
  </si>
  <si>
    <t>E05013510</t>
  </si>
  <si>
    <t>E05013511</t>
  </si>
  <si>
    <t>E05013512</t>
  </si>
  <si>
    <t>E05013513</t>
  </si>
  <si>
    <t>E05013514</t>
  </si>
  <si>
    <t>E05013515</t>
  </si>
  <si>
    <t>E05013516</t>
  </si>
  <si>
    <t>E05013517</t>
  </si>
  <si>
    <t>Cricklewood &amp; Mapesbury</t>
  </si>
  <si>
    <t>Harlesden &amp; Kensal Green</t>
  </si>
  <si>
    <t>Roundwood</t>
  </si>
  <si>
    <t>Wembley Hill</t>
  </si>
  <si>
    <t>Wembley Park</t>
  </si>
  <si>
    <t xml:space="preserve">  and amended by The London Borough of Brent (Electoral Changes) Order 2020</t>
  </si>
  <si>
    <t>E05013518</t>
  </si>
  <si>
    <t>Central Greenford</t>
  </si>
  <si>
    <t>E05013519</t>
  </si>
  <si>
    <t>E05013520</t>
  </si>
  <si>
    <t>E05013521</t>
  </si>
  <si>
    <t>E05013522</t>
  </si>
  <si>
    <t>E05013523</t>
  </si>
  <si>
    <t>E05013524</t>
  </si>
  <si>
    <t>E05013525</t>
  </si>
  <si>
    <t>Hanwell Broadway</t>
  </si>
  <si>
    <t>E05013526</t>
  </si>
  <si>
    <t>E05013527</t>
  </si>
  <si>
    <t>North Acton</t>
  </si>
  <si>
    <t>E05013528</t>
  </si>
  <si>
    <t>E05013529</t>
  </si>
  <si>
    <t>North Hanwell</t>
  </si>
  <si>
    <t>E05013530</t>
  </si>
  <si>
    <t>E05013531</t>
  </si>
  <si>
    <t>E05013532</t>
  </si>
  <si>
    <t>E05013533</t>
  </si>
  <si>
    <t>E05013534</t>
  </si>
  <si>
    <t>E05013535</t>
  </si>
  <si>
    <t>Pitshanger</t>
  </si>
  <si>
    <t>E05013536</t>
  </si>
  <si>
    <t>E05013537</t>
  </si>
  <si>
    <t>E05013538</t>
  </si>
  <si>
    <t>E05013539</t>
  </si>
  <si>
    <t>Southall West</t>
  </si>
  <si>
    <t>E05013540</t>
  </si>
  <si>
    <t>E05013541</t>
  </si>
  <si>
    <t xml:space="preserve">  and amended by The London Borough of Ealing (Electoral Changes) Order 2020</t>
  </si>
  <si>
    <t>E05013542</t>
  </si>
  <si>
    <t>E05013543</t>
  </si>
  <si>
    <t>E05013544</t>
  </si>
  <si>
    <t>Centenary</t>
  </si>
  <si>
    <t>E05013545</t>
  </si>
  <si>
    <t>E05013546</t>
  </si>
  <si>
    <t>E05013547</t>
  </si>
  <si>
    <t>E05013548</t>
  </si>
  <si>
    <t>E05013549</t>
  </si>
  <si>
    <t>E05013550</t>
  </si>
  <si>
    <t>Headstone</t>
  </si>
  <si>
    <t>E05013551</t>
  </si>
  <si>
    <t>E05013552</t>
  </si>
  <si>
    <t>E05013553</t>
  </si>
  <si>
    <t>E05013554</t>
  </si>
  <si>
    <t>North Harrow</t>
  </si>
  <si>
    <t>E05013555</t>
  </si>
  <si>
    <t>E05013556</t>
  </si>
  <si>
    <t>E05013557</t>
  </si>
  <si>
    <t>E05013558</t>
  </si>
  <si>
    <t>E05013559</t>
  </si>
  <si>
    <t>E05013560</t>
  </si>
  <si>
    <t>Stanmore</t>
  </si>
  <si>
    <t>E05013561</t>
  </si>
  <si>
    <t>Wealdstone North</t>
  </si>
  <si>
    <t>E05013562</t>
  </si>
  <si>
    <t>Wealdstone South</t>
  </si>
  <si>
    <t>E05013563</t>
  </si>
  <si>
    <t xml:space="preserve">  and amended by The London Borough of Harrow (Electoral Changes) Order 2020</t>
  </si>
  <si>
    <t xml:space="preserve">  as amended by The London Borough of Hillingdon (Electoral Changes) Order 2020</t>
  </si>
  <si>
    <t>E05013564</t>
  </si>
  <si>
    <t>Belmore</t>
  </si>
  <si>
    <t>E05013565</t>
  </si>
  <si>
    <t>E05013566</t>
  </si>
  <si>
    <t>Colham &amp; Cowley</t>
  </si>
  <si>
    <t>E05013567</t>
  </si>
  <si>
    <t>Eastcote</t>
  </si>
  <si>
    <t>E05013568</t>
  </si>
  <si>
    <t>Harefield Village</t>
  </si>
  <si>
    <t>E05013569</t>
  </si>
  <si>
    <t>Hayes Town</t>
  </si>
  <si>
    <t>E05013570</t>
  </si>
  <si>
    <t>E05013571</t>
  </si>
  <si>
    <t>E05013572</t>
  </si>
  <si>
    <t>Hillingdon West</t>
  </si>
  <si>
    <t>E05013573</t>
  </si>
  <si>
    <t>Ickenham &amp; South Harefield</t>
  </si>
  <si>
    <t>E05013574</t>
  </si>
  <si>
    <t>E05013575</t>
  </si>
  <si>
    <t>E05013576</t>
  </si>
  <si>
    <t>E05013577</t>
  </si>
  <si>
    <t>Ruislip</t>
  </si>
  <si>
    <t>E05013578</t>
  </si>
  <si>
    <t>Ruislip Manor</t>
  </si>
  <si>
    <t>E05013579</t>
  </si>
  <si>
    <t>E05013580</t>
  </si>
  <si>
    <t>Uxbridge</t>
  </si>
  <si>
    <t>E05013581</t>
  </si>
  <si>
    <t>E05013582</t>
  </si>
  <si>
    <t>Wood End</t>
  </si>
  <si>
    <t>E05013583</t>
  </si>
  <si>
    <t>E05013584</t>
  </si>
  <si>
    <t>Blacon</t>
  </si>
  <si>
    <t>Chester City &amp; the Garden Quarter</t>
  </si>
  <si>
    <t>Christleton &amp; Huntington</t>
  </si>
  <si>
    <t>Farndon</t>
  </si>
  <si>
    <t>Gowy Rural</t>
  </si>
  <si>
    <t>Great Boughton</t>
  </si>
  <si>
    <t>Handbridge Park</t>
  </si>
  <si>
    <t>Lache</t>
  </si>
  <si>
    <t>Newton &amp; Hoole</t>
  </si>
  <si>
    <t>Saughall &amp; Mollington</t>
  </si>
  <si>
    <t>Davenham, Moulton &amp; Kingsmead</t>
  </si>
  <si>
    <t>Malpas</t>
  </si>
  <si>
    <t>Sandstone</t>
  </si>
  <si>
    <t>Tarporley</t>
  </si>
  <si>
    <t>Tarvin &amp; Kelsall</t>
  </si>
  <si>
    <t>Tattenhall</t>
  </si>
  <si>
    <t>Weaver &amp; Cuddington</t>
  </si>
  <si>
    <t>Winsford Dene</t>
  </si>
  <si>
    <t>Winsford Gravel</t>
  </si>
  <si>
    <t>Winsford Over &amp; Verdin</t>
  </si>
  <si>
    <t>Winsford Swanlow</t>
  </si>
  <si>
    <t>Winsford Wharton</t>
  </si>
  <si>
    <t>Central &amp; Grange</t>
  </si>
  <si>
    <t>Ledsham &amp; Manor</t>
  </si>
  <si>
    <t>Little Neston</t>
  </si>
  <si>
    <t>Neston</t>
  </si>
  <si>
    <t>Netherpool</t>
  </si>
  <si>
    <t>Parkgate</t>
  </si>
  <si>
    <t>Strawberry</t>
  </si>
  <si>
    <t>Sutton Villages</t>
  </si>
  <si>
    <t>Whitby Groves</t>
  </si>
  <si>
    <t>Whitby Park</t>
  </si>
  <si>
    <t>Willaston &amp; Thornton</t>
  </si>
  <si>
    <t>Wolverham</t>
  </si>
  <si>
    <t>Marbury</t>
  </si>
  <si>
    <t>Rudheath</t>
  </si>
  <si>
    <t>Shakerley</t>
  </si>
  <si>
    <t>Frodsham</t>
  </si>
  <si>
    <t>Hartford &amp; Greenbank</t>
  </si>
  <si>
    <t>Helsby</t>
  </si>
  <si>
    <t>Northwich Leftwich</t>
  </si>
  <si>
    <t>Northwich Winnington &amp; Castle</t>
  </si>
  <si>
    <t>Northwich Witton</t>
  </si>
  <si>
    <t>Deptford</t>
  </si>
  <si>
    <t>Hither Green</t>
  </si>
  <si>
    <t>New Cross Gate</t>
  </si>
  <si>
    <t>E05013714</t>
  </si>
  <si>
    <t>E05013715</t>
  </si>
  <si>
    <t>E05013716</t>
  </si>
  <si>
    <t>E05013717</t>
  </si>
  <si>
    <t>E05013718</t>
  </si>
  <si>
    <t>E05013719</t>
  </si>
  <si>
    <t>E05013720</t>
  </si>
  <si>
    <t>E05013721</t>
  </si>
  <si>
    <t>E05013722</t>
  </si>
  <si>
    <t>E05013723</t>
  </si>
  <si>
    <t>E05013724</t>
  </si>
  <si>
    <t>E05013725</t>
  </si>
  <si>
    <t>E05013726</t>
  </si>
  <si>
    <t>E05013727</t>
  </si>
  <si>
    <t>E05013728</t>
  </si>
  <si>
    <t>E05013729</t>
  </si>
  <si>
    <t>E05013730</t>
  </si>
  <si>
    <t>E05013731</t>
  </si>
  <si>
    <t>E05013732</t>
  </si>
  <si>
    <t>E05013672</t>
  </si>
  <si>
    <t>Arnos Grove</t>
  </si>
  <si>
    <t>E05013673</t>
  </si>
  <si>
    <t>E05013674</t>
  </si>
  <si>
    <t>Brimsdown</t>
  </si>
  <si>
    <t>E05013675</t>
  </si>
  <si>
    <t>Bullsmoor</t>
  </si>
  <si>
    <t>E05013676</t>
  </si>
  <si>
    <t>E05013677</t>
  </si>
  <si>
    <t>Carterhatch</t>
  </si>
  <si>
    <t>E05013678</t>
  </si>
  <si>
    <t>E05013679</t>
  </si>
  <si>
    <t>E05013680</t>
  </si>
  <si>
    <t>E05013681</t>
  </si>
  <si>
    <t>Grange Park</t>
  </si>
  <si>
    <t>E05013682</t>
  </si>
  <si>
    <t>E05013683</t>
  </si>
  <si>
    <t>E05013684</t>
  </si>
  <si>
    <t>E05013685</t>
  </si>
  <si>
    <t>E05013686</t>
  </si>
  <si>
    <t>New Southgate</t>
  </si>
  <si>
    <t>E05013687</t>
  </si>
  <si>
    <t>E05013688</t>
  </si>
  <si>
    <t>E05013689</t>
  </si>
  <si>
    <t>E05013690</t>
  </si>
  <si>
    <t>E05013691</t>
  </si>
  <si>
    <t>E05013692</t>
  </si>
  <si>
    <t>E05013693</t>
  </si>
  <si>
    <t>E05013694</t>
  </si>
  <si>
    <t>E05013695</t>
  </si>
  <si>
    <t>Whitewebbs</t>
  </si>
  <si>
    <t>E05013696</t>
  </si>
  <si>
    <t>* as created by The London Borough of Enfield (Electoral Changes) Order 2020</t>
  </si>
  <si>
    <t xml:space="preserve">  and amended by The London Borough of Lewisham (Electoral Changes) Order 2020</t>
  </si>
  <si>
    <t>E05013652</t>
  </si>
  <si>
    <t>E05013653</t>
  </si>
  <si>
    <t>E05013654</t>
  </si>
  <si>
    <t>Camden Square</t>
  </si>
  <si>
    <t>E05013655</t>
  </si>
  <si>
    <t>Camden Town</t>
  </si>
  <si>
    <t>E05013656</t>
  </si>
  <si>
    <t>E05013657</t>
  </si>
  <si>
    <t>Frognal</t>
  </si>
  <si>
    <t>E05013658</t>
  </si>
  <si>
    <t>E05013659</t>
  </si>
  <si>
    <t>E05013660</t>
  </si>
  <si>
    <t>E05013661</t>
  </si>
  <si>
    <t>E05013662</t>
  </si>
  <si>
    <t>Holborn &amp; Covent Garden</t>
  </si>
  <si>
    <t>E05013663</t>
  </si>
  <si>
    <t>Kentish Town North</t>
  </si>
  <si>
    <t>E05013664</t>
  </si>
  <si>
    <t>Kentish Town South</t>
  </si>
  <si>
    <t>E05013665</t>
  </si>
  <si>
    <t>E05013666</t>
  </si>
  <si>
    <t>E05013667</t>
  </si>
  <si>
    <t>Primrose Hill</t>
  </si>
  <si>
    <t>E05013668</t>
  </si>
  <si>
    <t>E05013669</t>
  </si>
  <si>
    <t>St Pancras &amp; Somers Town</t>
  </si>
  <si>
    <t>E05013670</t>
  </si>
  <si>
    <t>South Hampstead</t>
  </si>
  <si>
    <t>E05013671</t>
  </si>
  <si>
    <t xml:space="preserve">  and amended by The London Borough of Camden (Electoral Changes) Order 2020</t>
  </si>
  <si>
    <t>Dec 19  - Mar 20</t>
  </si>
  <si>
    <t>South East</t>
  </si>
  <si>
    <t>West Midlands</t>
  </si>
  <si>
    <t>North West</t>
  </si>
  <si>
    <t>East Midlands</t>
  </si>
  <si>
    <t>London</t>
  </si>
  <si>
    <t>Yorkshire &amp; the Humber</t>
  </si>
  <si>
    <t>Eastern</t>
  </si>
  <si>
    <t>South West</t>
  </si>
  <si>
    <t>Region</t>
  </si>
  <si>
    <t>Arsenal</t>
  </si>
  <si>
    <t>Tufnell Park</t>
  </si>
  <si>
    <t>Laycock</t>
  </si>
  <si>
    <t>Highbury</t>
  </si>
  <si>
    <t>E05013697</t>
  </si>
  <si>
    <t>E05013698</t>
  </si>
  <si>
    <t>E05013699</t>
  </si>
  <si>
    <t>E05013700</t>
  </si>
  <si>
    <t>E05013701</t>
  </si>
  <si>
    <t>E05013702</t>
  </si>
  <si>
    <t>E05013703</t>
  </si>
  <si>
    <t>E05013704</t>
  </si>
  <si>
    <t>E05013705</t>
  </si>
  <si>
    <t>E05013706</t>
  </si>
  <si>
    <t>E05013707</t>
  </si>
  <si>
    <t>E05013708</t>
  </si>
  <si>
    <t>E05013709</t>
  </si>
  <si>
    <t>E05013710</t>
  </si>
  <si>
    <t>St Mary's &amp; St James'</t>
  </si>
  <si>
    <t>E05013711</t>
  </si>
  <si>
    <t>St Peter's &amp; Canalside</t>
  </si>
  <si>
    <t>E05013712</t>
  </si>
  <si>
    <t>E05013713</t>
  </si>
  <si>
    <t xml:space="preserve">  and amended by The London Borough of Islington (Electoral Changes) Order 2020</t>
  </si>
  <si>
    <t>Barnet Vale</t>
  </si>
  <si>
    <t>E05013628</t>
  </si>
  <si>
    <t>E05013629</t>
  </si>
  <si>
    <t>E05013630</t>
  </si>
  <si>
    <t>E05013631</t>
  </si>
  <si>
    <t>Colindale North</t>
  </si>
  <si>
    <t>E05013632</t>
  </si>
  <si>
    <t>Colindale South</t>
  </si>
  <si>
    <t>E05013633</t>
  </si>
  <si>
    <t>Cricklewood</t>
  </si>
  <si>
    <t>E05013634</t>
  </si>
  <si>
    <t>E05013635</t>
  </si>
  <si>
    <t>E05013636</t>
  </si>
  <si>
    <t>E05013637</t>
  </si>
  <si>
    <t>Edgwarebury</t>
  </si>
  <si>
    <t>E05013638</t>
  </si>
  <si>
    <t>E05013639</t>
  </si>
  <si>
    <t>Friern Barnet</t>
  </si>
  <si>
    <t>E05013640</t>
  </si>
  <si>
    <t>E05013641</t>
  </si>
  <si>
    <t>E05013642</t>
  </si>
  <si>
    <t>E05013643</t>
  </si>
  <si>
    <t>E05013644</t>
  </si>
  <si>
    <t>E05013645</t>
  </si>
  <si>
    <t>Totteridge &amp; Woodside</t>
  </si>
  <si>
    <t>E05013646</t>
  </si>
  <si>
    <t>E05013647</t>
  </si>
  <si>
    <t>E05013648</t>
  </si>
  <si>
    <t>E05013649</t>
  </si>
  <si>
    <t>Whetstone</t>
  </si>
  <si>
    <t>E05013650</t>
  </si>
  <si>
    <t>E05013651</t>
  </si>
  <si>
    <t xml:space="preserve">  and amended by The London Borough of Barnet (Electoral Changes) Order 2020</t>
  </si>
  <si>
    <t>E05013733</t>
  </si>
  <si>
    <t>Avonmore</t>
  </si>
  <si>
    <t>E05013734</t>
  </si>
  <si>
    <t>Brook Green</t>
  </si>
  <si>
    <t>E05013735</t>
  </si>
  <si>
    <t>College Park &amp; Old Oak</t>
  </si>
  <si>
    <t>E05013736</t>
  </si>
  <si>
    <t>Coningham</t>
  </si>
  <si>
    <t>E05013737</t>
  </si>
  <si>
    <t>E05013738</t>
  </si>
  <si>
    <t>Fulham Town</t>
  </si>
  <si>
    <t>E05013739</t>
  </si>
  <si>
    <t>E05013740</t>
  </si>
  <si>
    <t>E05013741</t>
  </si>
  <si>
    <t>Lillie</t>
  </si>
  <si>
    <t>E05013742</t>
  </si>
  <si>
    <t>E05013743</t>
  </si>
  <si>
    <t>Palace &amp; Hurlingham</t>
  </si>
  <si>
    <t>E05013744</t>
  </si>
  <si>
    <t>Parsons Green &amp; Sandford</t>
  </si>
  <si>
    <t>E05013745</t>
  </si>
  <si>
    <t>Ravenscourt</t>
  </si>
  <si>
    <t>E05013746</t>
  </si>
  <si>
    <t>E05013747</t>
  </si>
  <si>
    <t>E05013748</t>
  </si>
  <si>
    <t>Walham Green</t>
  </si>
  <si>
    <t>E05013749</t>
  </si>
  <si>
    <t>Wendell Park</t>
  </si>
  <si>
    <t>E05013750</t>
  </si>
  <si>
    <t>West Kensington</t>
  </si>
  <si>
    <t>E05013751</t>
  </si>
  <si>
    <t>White City</t>
  </si>
  <si>
    <t>E05013752</t>
  </si>
  <si>
    <t>Wormholt</t>
  </si>
  <si>
    <t>E05013753</t>
  </si>
  <si>
    <t xml:space="preserve">  as amended by The London Borough of Hammersmith &amp; Fulham (Electoral Changes) Order 2020</t>
  </si>
  <si>
    <t>E05013810</t>
  </si>
  <si>
    <t>E05013811</t>
  </si>
  <si>
    <t>E05013812</t>
  </si>
  <si>
    <t>E05013813</t>
  </si>
  <si>
    <t>E05013814</t>
  </si>
  <si>
    <t>E05013815</t>
  </si>
  <si>
    <t>E05013816</t>
  </si>
  <si>
    <t>E05013817</t>
  </si>
  <si>
    <t>E05013818</t>
  </si>
  <si>
    <t>E05013819</t>
  </si>
  <si>
    <t>E05013820</t>
  </si>
  <si>
    <t>E05013821</t>
  </si>
  <si>
    <t>E05013822</t>
  </si>
  <si>
    <t>E05013823</t>
  </si>
  <si>
    <t>E05013824</t>
  </si>
  <si>
    <t>E05013825</t>
  </si>
  <si>
    <t>Wandle</t>
  </si>
  <si>
    <t>E05013826</t>
  </si>
  <si>
    <t>E05013827</t>
  </si>
  <si>
    <t>Wimbledon Town &amp; Dundonald</t>
  </si>
  <si>
    <t>E05013829</t>
  </si>
  <si>
    <t>E05013828</t>
  </si>
  <si>
    <t>Knightsbridge &amp; Belgravia</t>
  </si>
  <si>
    <t>Marylebone</t>
  </si>
  <si>
    <t>Pimlico North</t>
  </si>
  <si>
    <t>Pimlico South</t>
  </si>
  <si>
    <t>E05013792</t>
  </si>
  <si>
    <t>E05013793</t>
  </si>
  <si>
    <t>E05013794</t>
  </si>
  <si>
    <t>E05013795</t>
  </si>
  <si>
    <t>E05013796</t>
  </si>
  <si>
    <t>E05013797</t>
  </si>
  <si>
    <t>E05013798</t>
  </si>
  <si>
    <t>E05013799</t>
  </si>
  <si>
    <t>E05013800</t>
  </si>
  <si>
    <t>E05013801</t>
  </si>
  <si>
    <t>E05013802</t>
  </si>
  <si>
    <t>E05013803</t>
  </si>
  <si>
    <t>E05013804</t>
  </si>
  <si>
    <t>E05013805</t>
  </si>
  <si>
    <t>E05013806</t>
  </si>
  <si>
    <t>E05013807</t>
  </si>
  <si>
    <t>E05013808</t>
  </si>
  <si>
    <t>E05013809</t>
  </si>
  <si>
    <t>E05013774</t>
  </si>
  <si>
    <t>E05013775</t>
  </si>
  <si>
    <t>E05013776</t>
  </si>
  <si>
    <t>Fulwell &amp; Hampton Hill</t>
  </si>
  <si>
    <t>E05013777</t>
  </si>
  <si>
    <t>Ham, Petersham &amp; Richmond Riverside</t>
  </si>
  <si>
    <t>E05013778</t>
  </si>
  <si>
    <t>E05013779</t>
  </si>
  <si>
    <t>E05013780</t>
  </si>
  <si>
    <t>Hampton Wick &amp; South Teddington</t>
  </si>
  <si>
    <t>E05013781</t>
  </si>
  <si>
    <t>E05013782</t>
  </si>
  <si>
    <t>E05013783</t>
  </si>
  <si>
    <t>Mortlake &amp; Barnes Common</t>
  </si>
  <si>
    <t>E05013784</t>
  </si>
  <si>
    <t>E05013785</t>
  </si>
  <si>
    <t>St Margarets &amp; North Twickenham</t>
  </si>
  <si>
    <t>E05013786</t>
  </si>
  <si>
    <t>E05013787</t>
  </si>
  <si>
    <t>E05013788</t>
  </si>
  <si>
    <t>E05013789</t>
  </si>
  <si>
    <t>E05013790</t>
  </si>
  <si>
    <t>E05013791</t>
  </si>
  <si>
    <t xml:space="preserve">  as amended by The London Borough of Richmond upon Thames (Electoral Changes) Order 2020</t>
  </si>
  <si>
    <t>E05013607</t>
  </si>
  <si>
    <t>Brentford East</t>
  </si>
  <si>
    <t>E05013608</t>
  </si>
  <si>
    <t>Brentford West</t>
  </si>
  <si>
    <t>E05013609</t>
  </si>
  <si>
    <t>Chiswick Gunnersbury</t>
  </si>
  <si>
    <t>E05013610</t>
  </si>
  <si>
    <t>E05013611</t>
  </si>
  <si>
    <t>E05013620</t>
  </si>
  <si>
    <t>E05013621</t>
  </si>
  <si>
    <t>Hounslow East</t>
  </si>
  <si>
    <t>E05013622</t>
  </si>
  <si>
    <t>E05013623</t>
  </si>
  <si>
    <t>E05013625</t>
  </si>
  <si>
    <t>E05013626</t>
  </si>
  <si>
    <t>Osterley &amp; Spring Grove</t>
  </si>
  <si>
    <t>E05013627</t>
  </si>
  <si>
    <t>Syon &amp; Brentford Lock</t>
  </si>
  <si>
    <t>E05013606</t>
  </si>
  <si>
    <t>E05013612</t>
  </si>
  <si>
    <t>E05013613</t>
  </si>
  <si>
    <t>E05013614</t>
  </si>
  <si>
    <t>E05013615</t>
  </si>
  <si>
    <t>E05013616</t>
  </si>
  <si>
    <t>Hanworth Village</t>
  </si>
  <si>
    <t>E05013617</t>
  </si>
  <si>
    <t>E05013618</t>
  </si>
  <si>
    <t>E05013619</t>
  </si>
  <si>
    <t>E05013624</t>
  </si>
  <si>
    <t xml:space="preserve">  as amended by The London Borough of Hounslow (Electoral Changes) Order 2020</t>
  </si>
  <si>
    <t>NOTES</t>
  </si>
  <si>
    <t>The March 2020 electorates for the Camden wards of Gospel Oak, Haverstock and Primrose Hill provided by Camden did not detail the split of electors between Hamsptead and Kilburn BC, and Holborn and St Pancras BC.</t>
  </si>
  <si>
    <t>The constituency totals for March 2020 have been taken directly from the RPF29 rather than being calculated as the sum of the relevant wards.</t>
  </si>
  <si>
    <t>Redruth South</t>
  </si>
  <si>
    <t>E05013585</t>
  </si>
  <si>
    <t>Alexandra Park</t>
  </si>
  <si>
    <t>E05013586</t>
  </si>
  <si>
    <t>E05013588</t>
  </si>
  <si>
    <t>E05013589</t>
  </si>
  <si>
    <t>E05013592</t>
  </si>
  <si>
    <t>E05013593</t>
  </si>
  <si>
    <t>E05013594</t>
  </si>
  <si>
    <t>E05013595</t>
  </si>
  <si>
    <t>E05013600</t>
  </si>
  <si>
    <t>E05013603</t>
  </si>
  <si>
    <t>E05013604</t>
  </si>
  <si>
    <t>E05013605</t>
  </si>
  <si>
    <t>E05013587</t>
  </si>
  <si>
    <t>Bruce Castle</t>
  </si>
  <si>
    <t>E05013590</t>
  </si>
  <si>
    <t>E05013591</t>
  </si>
  <si>
    <t>Hermitage &amp; Gardens</t>
  </si>
  <si>
    <t>E05013596</t>
  </si>
  <si>
    <t>E05013598</t>
  </si>
  <si>
    <t>E05013599</t>
  </si>
  <si>
    <t>South Tottenham</t>
  </si>
  <si>
    <t>E05013597</t>
  </si>
  <si>
    <t>E05013601</t>
  </si>
  <si>
    <t>Tottenham Central</t>
  </si>
  <si>
    <t>E05013602</t>
  </si>
  <si>
    <t>E05013754</t>
  </si>
  <si>
    <t>Beddington</t>
  </si>
  <si>
    <t>E05013756</t>
  </si>
  <si>
    <t>E05013757</t>
  </si>
  <si>
    <t>Carshalton South &amp; Clockhouse</t>
  </si>
  <si>
    <t>E05013759</t>
  </si>
  <si>
    <t>Hackbridge</t>
  </si>
  <si>
    <t>E05013763</t>
  </si>
  <si>
    <t>South Beddington &amp; Roundshaw</t>
  </si>
  <si>
    <t>E05013761</t>
  </si>
  <si>
    <t>St Helier East</t>
  </si>
  <si>
    <t>E05013762</t>
  </si>
  <si>
    <t>St Helier West</t>
  </si>
  <si>
    <t>E05013765</t>
  </si>
  <si>
    <t>E05013766</t>
  </si>
  <si>
    <t>E05013769</t>
  </si>
  <si>
    <t>E05013770</t>
  </si>
  <si>
    <t>E05013771</t>
  </si>
  <si>
    <t>E05013755</t>
  </si>
  <si>
    <t>E05013758</t>
  </si>
  <si>
    <t>E05013760</t>
  </si>
  <si>
    <t>North Cheam</t>
  </si>
  <si>
    <t>E05013764</t>
  </si>
  <si>
    <t>E05013767</t>
  </si>
  <si>
    <t>E05013768</t>
  </si>
  <si>
    <t>Sutton West &amp; East Cheam</t>
  </si>
  <si>
    <t>E05013772</t>
  </si>
  <si>
    <t>Worcester Park North</t>
  </si>
  <si>
    <t>E05013773</t>
  </si>
  <si>
    <t>Worcester Park South</t>
  </si>
  <si>
    <t>and amended by The London Borough of Sutton (Electoral Changes) Order 2020</t>
  </si>
  <si>
    <t>The March 2020 electorates for the Sutton wards of Carshalton South &amp; Clockhouse, Sutton Central, Sutton North, and The Wrythe provided by Sutton did not detail the split of electors between Carshalton and Wallington BC and Sutton and Cheam BC.</t>
  </si>
  <si>
    <t>The March 2020 electorates for the Hammersmith and Fulham wards of Fulham Reach, Munster, and Palace &amp; Hurlingham provided by Hammersmith and Fulham did not detail the split of electors between Chelsea and Fulham BC and Hammersmith BC.</t>
  </si>
  <si>
    <t>* as created by The District of Bath and North East Somerset (Electoral Changes) Order 1998</t>
  </si>
  <si>
    <t xml:space="preserve">  and amended by The Bath and North East Somerset (Electoral Changes) Order 2018</t>
  </si>
  <si>
    <t>Bradford</t>
  </si>
  <si>
    <t>Luton *</t>
  </si>
  <si>
    <t>North Hertfordshire</t>
  </si>
  <si>
    <t>Stevenage</t>
  </si>
  <si>
    <t>Blaby</t>
  </si>
  <si>
    <t>DORSET, BOURNEMOUTH, CHRISTCHURCH &amp; POOLE</t>
  </si>
  <si>
    <t>The electorate figures for March 2020 for the borough of Haringey are estimates produced by the Boundary Commisison for England, which have been agreed with the Electoral Registration Officer for Haringey.</t>
  </si>
  <si>
    <t xml:space="preserve">  and amended by The Ribble Valley (Electoral Changes) Order 2017</t>
  </si>
  <si>
    <t xml:space="preserve">   as amended by The District of Blaby (Electoral Changes) Order 2012</t>
  </si>
  <si>
    <t xml:space="preserve">  and amended by The London Borough of Merton (Electoral Changes) Order 2020</t>
  </si>
  <si>
    <t xml:space="preserve">  and amended by The City of Westminster (Electoral Changes) Order 2020</t>
  </si>
  <si>
    <t>The March 2020 data has been produced for wards which were in prospect as at 1 December 2020.</t>
  </si>
  <si>
    <t>Wiltshire Council provided corrected electorate figures for the Tidworth East &amp; Ludgershall South, and Tidworth North &amp; West divisions in November 2022.</t>
  </si>
  <si>
    <t>As this transferred electors between neighbouring wards within a single constituency and our initial and revised proposals keep them together, it has had no impact on the 2023 review of Parliamentary constituency boundaries.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</si>
</sst>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General_)"/>
    <numFmt numFmtId="165" formatCode="0.00_)"/>
    <numFmt numFmtId="166" formatCode="0_)"/>
    <numFmt numFmtId="167" formatCode="0."/>
    <numFmt numFmtId="168" formatCode="#,###"/>
    <numFmt numFmtId="169" formatCode="d/m/yy;@"/>
    <numFmt numFmtId="170" formatCode="0.0000%"/>
  </numFmts>
  <fonts count="26">
    <font>
      <sz val="10"/>
      <name val="Book Antiqu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LinePrinter"/>
    </font>
    <font>
      <sz val="8"/>
      <name val="Book Antiqua"/>
      <family val="1"/>
    </font>
    <font>
      <sz val="11"/>
      <color theme="1"/>
      <name val="Calibri"/>
      <family val="2"/>
      <scheme val="minor"/>
    </font>
    <font>
      <sz val="10"/>
      <name val="Arial"/>
      <family val="2"/>
    </font>
    <font>
      <sz val="11"/>
      <name val="Calibri"/>
      <family val="2"/>
      <scheme val="minor"/>
    </font>
    <font>
      <sz val="11"/>
      <color indexed="8"/>
      <name val="Calibri"/>
      <family val="2"/>
      <scheme val="minor"/>
    </font>
    <font>
      <i/>
      <sz val="11"/>
      <color indexed="8"/>
      <name val="Calibri"/>
      <family val="2"/>
      <scheme val="minor"/>
    </font>
    <font>
      <b/>
      <sz val="11"/>
      <color indexed="8"/>
      <name val="Calibri"/>
      <family val="2"/>
      <scheme val="minor"/>
    </font>
    <font>
      <sz val="11"/>
      <color indexed="12"/>
      <name val="Calibri"/>
      <family val="2"/>
      <scheme val="minor"/>
    </font>
    <font>
      <b/>
      <sz val="11"/>
      <name val="Calibri"/>
      <family val="2"/>
      <scheme val="minor"/>
    </font>
    <font>
      <sz val="11"/>
      <name val="Calibri"/>
      <family val="2"/>
    </font>
    <font>
      <sz val="11"/>
      <color indexed="8"/>
      <name val="Calibri"/>
      <family val="2"/>
    </font>
    <font>
      <u/>
      <sz val="11"/>
      <name val="Calibri"/>
      <family val="2"/>
      <scheme val="minor"/>
    </font>
    <font>
      <sz val="10"/>
      <color indexed="8"/>
      <name val="Arial"/>
      <family val="2"/>
    </font>
    <font>
      <sz val="11"/>
      <name val="Cambria"/>
      <family val="1"/>
      <scheme val="major"/>
    </font>
    <font>
      <sz val="11"/>
      <color rgb="FF000000"/>
      <name val="Calibri"/>
      <family val="2"/>
    </font>
    <font>
      <sz val="11"/>
      <color rgb="FF9C0006"/>
      <name val="Calibri"/>
      <family val="2"/>
      <scheme val="minor"/>
    </font>
    <font>
      <sz val="11"/>
      <color rgb="FF9C6500"/>
      <name val="Calibri"/>
      <family val="2"/>
      <scheme val="minor"/>
    </font>
    <font>
      <sz val="11"/>
      <color rgb="FF000000"/>
      <name val="Calibri"/>
      <family val="2"/>
      <scheme val="minor"/>
    </font>
    <font>
      <sz val="12"/>
      <color theme="1"/>
      <name val="Arial"/>
      <family val="2"/>
    </font>
    <font>
      <sz val="11"/>
      <color theme="1"/>
      <name val="Arial"/>
      <family val="2"/>
    </font>
  </fonts>
  <fills count="4">
    <fill>
      <patternFill patternType="none"/>
    </fill>
    <fill>
      <patternFill patternType="gray125"/>
    </fill>
    <fill>
      <patternFill patternType="solid">
        <fgColor rgb="FFFFC7CE"/>
      </patternFill>
    </fill>
    <fill>
      <patternFill patternType="solid">
        <fgColor rgb="FFFFEB9C"/>
      </patternFill>
    </fill>
  </fills>
  <borders count="3">
    <border>
      <left/>
      <right/>
      <top/>
      <bottom/>
      <diagonal/>
    </border>
    <border>
      <left/>
      <right/>
      <top/>
      <bottom style="medium">
        <color indexed="64"/>
      </bottom>
      <diagonal/>
    </border>
    <border>
      <left/>
      <right/>
      <top style="medium">
        <color indexed="64"/>
      </top>
      <bottom style="medium">
        <color indexed="64"/>
      </bottom>
      <diagonal/>
    </border>
  </borders>
  <cellStyleXfs count="116">
    <xf numFmtId="0" fontId="0"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applyFont="0"/>
    <xf numFmtId="164" fontId="5" fillId="0" borderId="0"/>
    <xf numFmtId="164" fontId="5" fillId="0" borderId="0" applyFont="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6"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7" fillId="0" borderId="0"/>
    <xf numFmtId="0" fontId="18" fillId="0" borderId="0"/>
    <xf numFmtId="0" fontId="20" fillId="0" borderId="0">
      <alignment wrapText="1"/>
    </xf>
    <xf numFmtId="0" fontId="21" fillId="2" borderId="0" applyNumberFormat="0" applyBorder="0" applyAlignment="0" applyProtection="0"/>
    <xf numFmtId="0" fontId="2" fillId="0" borderId="0"/>
    <xf numFmtId="0" fontId="22" fillId="3" borderId="0" applyNumberFormat="0" applyBorder="0" applyAlignment="0" applyProtection="0"/>
    <xf numFmtId="0" fontId="24" fillId="0" borderId="0"/>
    <xf numFmtId="0" fontId="25" fillId="0" borderId="0"/>
  </cellStyleXfs>
  <cellXfs count="1016">
    <xf numFmtId="0" fontId="0" fillId="0" borderId="0" xfId="0"/>
    <xf numFmtId="164" fontId="9" fillId="0" borderId="0" xfId="21" applyFont="1" applyFill="1" applyAlignment="1" applyProtection="1">
      <alignment horizontal="left"/>
      <protection locked="0"/>
    </xf>
    <xf numFmtId="3" fontId="9" fillId="0" borderId="0" xfId="106" applyNumberFormat="1" applyFont="1" applyFill="1" applyBorder="1"/>
    <xf numFmtId="0" fontId="10" fillId="0" borderId="0" xfId="109" applyFont="1" applyFill="1" applyBorder="1" applyAlignment="1">
      <alignment wrapText="1"/>
    </xf>
    <xf numFmtId="3" fontId="1" fillId="0" borderId="0" xfId="111" applyNumberFormat="1" applyFont="1" applyFill="1" applyBorder="1" applyAlignment="1" applyProtection="1">
      <protection locked="0"/>
    </xf>
    <xf numFmtId="164" fontId="9" fillId="0" borderId="0" xfId="35" applyFont="1" applyFill="1" applyAlignment="1" applyProtection="1">
      <alignment horizontal="right"/>
    </xf>
    <xf numFmtId="164" fontId="9" fillId="0" borderId="0" xfId="35" applyFont="1" applyFill="1" applyProtection="1"/>
    <xf numFmtId="3" fontId="9" fillId="0" borderId="0" xfId="35" applyNumberFormat="1" applyFont="1" applyFill="1" applyProtection="1"/>
    <xf numFmtId="3" fontId="9" fillId="0" borderId="0" xfId="35" applyNumberFormat="1" applyFont="1" applyFill="1" applyAlignment="1" applyProtection="1"/>
    <xf numFmtId="3" fontId="14" fillId="0" borderId="0" xfId="35" applyNumberFormat="1" applyFont="1" applyFill="1" applyProtection="1"/>
    <xf numFmtId="164" fontId="9" fillId="0" borderId="0" xfId="113" applyNumberFormat="1" applyFont="1" applyFill="1" applyProtection="1"/>
    <xf numFmtId="164" fontId="9" fillId="0" borderId="0" xfId="27" applyFont="1" applyFill="1"/>
    <xf numFmtId="3" fontId="9" fillId="0" borderId="1" xfId="27" applyNumberFormat="1" applyFont="1" applyFill="1" applyBorder="1" applyProtection="1">
      <protection locked="0"/>
    </xf>
    <xf numFmtId="164" fontId="9" fillId="0" borderId="0" xfId="27" applyFont="1" applyFill="1" applyAlignment="1" applyProtection="1">
      <alignment horizontal="left"/>
      <protection locked="0"/>
    </xf>
    <xf numFmtId="3" fontId="9" fillId="0" borderId="0" xfId="27" applyNumberFormat="1" applyFont="1" applyFill="1"/>
    <xf numFmtId="3" fontId="9" fillId="0" borderId="0" xfId="27" applyNumberFormat="1" applyFont="1" applyFill="1" applyProtection="1">
      <protection locked="0"/>
    </xf>
    <xf numFmtId="164" fontId="10" fillId="0" borderId="0" xfId="36" applyFont="1" applyFill="1" applyProtection="1"/>
    <xf numFmtId="164" fontId="9" fillId="0" borderId="0" xfId="36" applyFont="1" applyFill="1" applyProtection="1"/>
    <xf numFmtId="0" fontId="10" fillId="0" borderId="0" xfId="0" applyFont="1" applyFill="1" applyAlignment="1" applyProtection="1">
      <alignment horizontal="left"/>
    </xf>
    <xf numFmtId="164" fontId="10" fillId="0" borderId="0" xfId="36" applyFont="1" applyFill="1" applyAlignment="1" applyProtection="1">
      <alignment horizontal="centerContinuous"/>
    </xf>
    <xf numFmtId="165" fontId="10" fillId="0" borderId="0" xfId="36" applyNumberFormat="1" applyFont="1" applyFill="1" applyAlignment="1" applyProtection="1">
      <alignment horizontal="left"/>
    </xf>
    <xf numFmtId="164" fontId="10" fillId="0" borderId="0" xfId="36" applyFont="1" applyFill="1" applyAlignment="1" applyProtection="1">
      <alignment horizontal="left"/>
    </xf>
    <xf numFmtId="164" fontId="10" fillId="0" borderId="0" xfId="36" applyFont="1" applyFill="1" applyAlignment="1" applyProtection="1">
      <alignment horizontal="right"/>
    </xf>
    <xf numFmtId="3" fontId="10" fillId="0" borderId="0" xfId="36" applyNumberFormat="1" applyFont="1" applyFill="1" applyProtection="1"/>
    <xf numFmtId="165" fontId="10" fillId="0" borderId="0" xfId="36" applyNumberFormat="1" applyFont="1" applyFill="1" applyProtection="1"/>
    <xf numFmtId="164" fontId="11" fillId="0" borderId="0" xfId="36" applyFont="1" applyFill="1" applyAlignment="1" applyProtection="1">
      <alignment horizontal="left"/>
    </xf>
    <xf numFmtId="164" fontId="12" fillId="0" borderId="0" xfId="36" applyFont="1" applyFill="1" applyProtection="1"/>
    <xf numFmtId="3" fontId="12" fillId="0" borderId="0" xfId="36" applyNumberFormat="1" applyFont="1" applyFill="1" applyProtection="1"/>
    <xf numFmtId="165" fontId="12" fillId="0" borderId="0" xfId="36" applyNumberFormat="1" applyFont="1" applyFill="1" applyProtection="1"/>
    <xf numFmtId="164" fontId="12" fillId="0" borderId="0" xfId="36" applyFont="1" applyFill="1" applyAlignment="1" applyProtection="1">
      <alignment horizontal="left"/>
    </xf>
    <xf numFmtId="3" fontId="9" fillId="0" borderId="0" xfId="36" applyNumberFormat="1" applyFont="1" applyFill="1" applyProtection="1"/>
    <xf numFmtId="164" fontId="11" fillId="0" borderId="0" xfId="36" applyFont="1" applyFill="1" applyProtection="1"/>
    <xf numFmtId="166" fontId="10" fillId="0" borderId="0" xfId="36" applyNumberFormat="1" applyFont="1" applyFill="1" applyProtection="1"/>
    <xf numFmtId="164" fontId="9" fillId="0" borderId="0" xfId="35" applyFont="1" applyFill="1" applyAlignment="1" applyProtection="1">
      <alignment horizontal="left"/>
    </xf>
    <xf numFmtId="10" fontId="9" fillId="0" borderId="0" xfId="35" applyNumberFormat="1" applyFont="1" applyFill="1" applyProtection="1"/>
    <xf numFmtId="166" fontId="9" fillId="0" borderId="0" xfId="35" applyNumberFormat="1" applyFont="1" applyFill="1" applyAlignment="1" applyProtection="1">
      <alignment horizontal="right"/>
    </xf>
    <xf numFmtId="164" fontId="9" fillId="0" borderId="0" xfId="0" applyNumberFormat="1" applyFont="1" applyFill="1" applyProtection="1"/>
    <xf numFmtId="0" fontId="9" fillId="0" borderId="0" xfId="0" applyFont="1" applyFill="1" applyProtection="1"/>
    <xf numFmtId="164" fontId="9" fillId="0" borderId="0" xfId="39" applyFont="1" applyFill="1" applyAlignment="1" applyProtection="1">
      <alignment horizontal="left"/>
      <protection locked="0"/>
    </xf>
    <xf numFmtId="164" fontId="10" fillId="0" borderId="0" xfId="43" applyFont="1" applyFill="1"/>
    <xf numFmtId="164" fontId="10" fillId="0" borderId="0" xfId="50" applyFont="1" applyFill="1" applyAlignment="1" applyProtection="1">
      <alignment horizontal="right"/>
      <protection locked="0"/>
    </xf>
    <xf numFmtId="164" fontId="10" fillId="0" borderId="0" xfId="43" applyFont="1" applyFill="1" applyAlignment="1" applyProtection="1">
      <alignment horizontal="left"/>
      <protection locked="0"/>
    </xf>
    <xf numFmtId="3" fontId="10" fillId="0" borderId="0" xfId="43" applyNumberFormat="1" applyFont="1" applyFill="1" applyProtection="1">
      <protection locked="0"/>
    </xf>
    <xf numFmtId="3" fontId="10" fillId="0" borderId="1" xfId="43" applyNumberFormat="1" applyFont="1" applyFill="1" applyBorder="1" applyProtection="1">
      <protection locked="0"/>
    </xf>
    <xf numFmtId="3" fontId="10" fillId="0" borderId="0" xfId="43" applyNumberFormat="1" applyFont="1" applyFill="1"/>
    <xf numFmtId="165" fontId="10" fillId="0" borderId="0" xfId="43" applyNumberFormat="1" applyFont="1" applyFill="1" applyAlignment="1" applyProtection="1">
      <alignment horizontal="left"/>
      <protection locked="0"/>
    </xf>
    <xf numFmtId="166" fontId="10" fillId="0" borderId="0" xfId="43" applyNumberFormat="1" applyFont="1" applyFill="1" applyProtection="1">
      <protection locked="0"/>
    </xf>
    <xf numFmtId="3" fontId="10" fillId="0" borderId="1" xfId="43" applyNumberFormat="1" applyFont="1" applyFill="1" applyBorder="1"/>
    <xf numFmtId="3" fontId="10" fillId="0" borderId="2" xfId="43" applyNumberFormat="1" applyFont="1" applyFill="1" applyBorder="1"/>
    <xf numFmtId="3" fontId="10" fillId="0" borderId="2" xfId="43" applyNumberFormat="1" applyFont="1" applyFill="1" applyBorder="1" applyProtection="1">
      <protection locked="0"/>
    </xf>
    <xf numFmtId="164" fontId="10" fillId="0" borderId="0" xfId="36" applyFont="1" applyFill="1"/>
    <xf numFmtId="164" fontId="9" fillId="0" borderId="0" xfId="6" applyFont="1" applyFill="1" applyAlignment="1" applyProtection="1">
      <alignment horizontal="right"/>
      <protection locked="0"/>
    </xf>
    <xf numFmtId="164" fontId="10" fillId="0" borderId="0" xfId="50" applyFont="1" applyFill="1"/>
    <xf numFmtId="164" fontId="9" fillId="0" borderId="0" xfId="50" applyFont="1" applyFill="1"/>
    <xf numFmtId="164" fontId="10" fillId="0" borderId="0" xfId="50" applyFont="1" applyFill="1" applyAlignment="1" applyProtection="1">
      <alignment horizontal="left"/>
      <protection locked="0"/>
    </xf>
    <xf numFmtId="0" fontId="9" fillId="0" borderId="0" xfId="0" quotePrefix="1" applyNumberFormat="1" applyFont="1" applyFill="1"/>
    <xf numFmtId="3" fontId="9" fillId="0" borderId="0" xfId="0" applyNumberFormat="1" applyFont="1" applyFill="1" applyBorder="1" applyAlignment="1" applyProtection="1">
      <protection locked="0"/>
    </xf>
    <xf numFmtId="3" fontId="10" fillId="0" borderId="0" xfId="43" applyNumberFormat="1" applyFont="1" applyFill="1" applyBorder="1" applyProtection="1">
      <protection locked="0"/>
    </xf>
    <xf numFmtId="3" fontId="9" fillId="0" borderId="0" xfId="0" applyNumberFormat="1" applyFont="1" applyFill="1" applyAlignment="1"/>
    <xf numFmtId="167" fontId="10" fillId="0" borderId="0" xfId="43" applyNumberFormat="1" applyFont="1" applyFill="1" applyAlignment="1" applyProtection="1">
      <alignment horizontal="left"/>
      <protection locked="0"/>
    </xf>
    <xf numFmtId="164" fontId="10" fillId="0" borderId="0" xfId="43" applyFont="1" applyFill="1" applyAlignment="1">
      <alignment horizontal="left"/>
    </xf>
    <xf numFmtId="164" fontId="10" fillId="0" borderId="0" xfId="43" applyFont="1" applyFill="1" applyProtection="1">
      <protection locked="0"/>
    </xf>
    <xf numFmtId="0" fontId="9" fillId="0" borderId="0" xfId="0" applyFont="1" applyFill="1"/>
    <xf numFmtId="3" fontId="9" fillId="0" borderId="0" xfId="0" applyNumberFormat="1" applyFont="1" applyFill="1"/>
    <xf numFmtId="0" fontId="8" fillId="0" borderId="0" xfId="0" applyFont="1" applyFill="1" applyBorder="1" applyAlignment="1" applyProtection="1">
      <protection locked="0"/>
    </xf>
    <xf numFmtId="164" fontId="9" fillId="0" borderId="0" xfId="43" applyFont="1" applyFill="1"/>
    <xf numFmtId="164" fontId="10" fillId="0" borderId="0" xfId="62" applyFont="1" applyFill="1" applyAlignment="1" applyProtection="1">
      <alignment horizontal="left"/>
      <protection locked="0"/>
    </xf>
    <xf numFmtId="164" fontId="10" fillId="0" borderId="0" xfId="62" applyFont="1" applyFill="1"/>
    <xf numFmtId="164" fontId="10" fillId="0" borderId="0" xfId="62" applyFont="1" applyFill="1" applyAlignment="1" applyProtection="1">
      <alignment horizontal="right"/>
    </xf>
    <xf numFmtId="164" fontId="10" fillId="0" borderId="0" xfId="62" applyFont="1" applyFill="1" applyAlignment="1" applyProtection="1">
      <alignment horizontal="right"/>
      <protection locked="0"/>
    </xf>
    <xf numFmtId="164" fontId="9" fillId="0" borderId="0" xfId="62" applyFont="1" applyFill="1"/>
    <xf numFmtId="164" fontId="10" fillId="0" borderId="0" xfId="62" applyFont="1" applyFill="1" applyProtection="1"/>
    <xf numFmtId="3" fontId="10" fillId="0" borderId="0" xfId="62" applyNumberFormat="1" applyFont="1" applyFill="1" applyProtection="1"/>
    <xf numFmtId="3" fontId="10" fillId="0" borderId="0" xfId="62" applyNumberFormat="1" applyFont="1" applyFill="1" applyProtection="1">
      <protection locked="0"/>
    </xf>
    <xf numFmtId="3" fontId="10" fillId="0" borderId="1" xfId="62" applyNumberFormat="1" applyFont="1" applyFill="1" applyBorder="1" applyProtection="1"/>
    <xf numFmtId="3" fontId="10" fillId="0" borderId="1" xfId="62" applyNumberFormat="1" applyFont="1" applyFill="1" applyBorder="1" applyProtection="1">
      <protection locked="0"/>
    </xf>
    <xf numFmtId="164" fontId="9" fillId="0" borderId="0" xfId="36" applyFont="1" applyFill="1"/>
    <xf numFmtId="3" fontId="10" fillId="0" borderId="1" xfId="36" applyNumberFormat="1" applyFont="1" applyFill="1" applyBorder="1" applyProtection="1"/>
    <xf numFmtId="3" fontId="10" fillId="0" borderId="1" xfId="36" applyNumberFormat="1" applyFont="1" applyFill="1" applyBorder="1"/>
    <xf numFmtId="3" fontId="10" fillId="0" borderId="0" xfId="36" applyNumberFormat="1" applyFont="1" applyFill="1" applyBorder="1" applyProtection="1"/>
    <xf numFmtId="3" fontId="10" fillId="0" borderId="0" xfId="36" applyNumberFormat="1" applyFont="1" applyFill="1" applyBorder="1"/>
    <xf numFmtId="165" fontId="10" fillId="0" borderId="0" xfId="62" applyNumberFormat="1" applyFont="1" applyFill="1" applyAlignment="1" applyProtection="1">
      <alignment horizontal="left"/>
      <protection locked="0"/>
    </xf>
    <xf numFmtId="166" fontId="10" fillId="0" borderId="0" xfId="62" applyNumberFormat="1" applyFont="1" applyFill="1" applyProtection="1"/>
    <xf numFmtId="166" fontId="10" fillId="0" borderId="0" xfId="62" applyNumberFormat="1" applyFont="1" applyFill="1" applyProtection="1">
      <protection locked="0"/>
    </xf>
    <xf numFmtId="3" fontId="10" fillId="0" borderId="0" xfId="62" applyNumberFormat="1" applyFont="1" applyFill="1"/>
    <xf numFmtId="3" fontId="10" fillId="0" borderId="0" xfId="62" applyNumberFormat="1" applyFont="1" applyFill="1" applyBorder="1" applyProtection="1"/>
    <xf numFmtId="3" fontId="10" fillId="0" borderId="0" xfId="62" applyNumberFormat="1" applyFont="1" applyFill="1" applyBorder="1" applyProtection="1">
      <protection locked="0"/>
    </xf>
    <xf numFmtId="3" fontId="9" fillId="0" borderId="0" xfId="62" applyNumberFormat="1" applyFont="1" applyFill="1" applyProtection="1"/>
    <xf numFmtId="3" fontId="9" fillId="0" borderId="0" xfId="62" applyNumberFormat="1" applyFont="1" applyFill="1"/>
    <xf numFmtId="3" fontId="10" fillId="0" borderId="2" xfId="62" applyNumberFormat="1" applyFont="1" applyFill="1" applyBorder="1" applyProtection="1"/>
    <xf numFmtId="3" fontId="10" fillId="0" borderId="2" xfId="62" applyNumberFormat="1" applyFont="1" applyFill="1" applyBorder="1" applyProtection="1">
      <protection locked="0"/>
    </xf>
    <xf numFmtId="164" fontId="9" fillId="0" borderId="0" xfId="62" applyFont="1" applyFill="1" applyProtection="1"/>
    <xf numFmtId="164" fontId="9" fillId="0" borderId="0" xfId="6" applyFont="1" applyFill="1" applyAlignment="1" applyProtection="1">
      <alignment horizontal="right"/>
    </xf>
    <xf numFmtId="164" fontId="10" fillId="0" borderId="0" xfId="50" applyFont="1" applyFill="1" applyAlignment="1" applyProtection="1">
      <alignment horizontal="right"/>
    </xf>
    <xf numFmtId="167" fontId="10" fillId="0" borderId="0" xfId="62" applyNumberFormat="1" applyFont="1" applyFill="1" applyAlignment="1" applyProtection="1">
      <alignment horizontal="left"/>
      <protection locked="0"/>
    </xf>
    <xf numFmtId="3" fontId="9" fillId="0" borderId="0" xfId="0" applyNumberFormat="1" applyFont="1" applyFill="1" applyProtection="1"/>
    <xf numFmtId="3" fontId="9" fillId="0" borderId="0" xfId="0" applyNumberFormat="1" applyFont="1" applyFill="1" applyAlignment="1" applyProtection="1">
      <alignment vertical="center"/>
    </xf>
    <xf numFmtId="3" fontId="9" fillId="0" borderId="0" xfId="0" applyNumberFormat="1" applyFont="1" applyFill="1" applyAlignment="1">
      <alignment vertical="center"/>
    </xf>
    <xf numFmtId="3" fontId="10" fillId="0" borderId="0" xfId="36" applyNumberFormat="1" applyFont="1" applyFill="1"/>
    <xf numFmtId="164" fontId="10" fillId="0" borderId="0" xfId="62" applyFont="1" applyFill="1" applyProtection="1">
      <protection locked="0"/>
    </xf>
    <xf numFmtId="3" fontId="9" fillId="0" borderId="0" xfId="0" applyNumberFormat="1" applyFont="1" applyFill="1" applyBorder="1" applyAlignment="1" applyProtection="1"/>
    <xf numFmtId="3" fontId="9" fillId="0" borderId="0" xfId="0" applyNumberFormat="1" applyFont="1" applyFill="1" applyAlignment="1" applyProtection="1"/>
    <xf numFmtId="3" fontId="9" fillId="0" borderId="1" xfId="0" applyNumberFormat="1" applyFont="1" applyFill="1" applyBorder="1" applyAlignment="1" applyProtection="1"/>
    <xf numFmtId="3" fontId="9" fillId="0" borderId="2" xfId="0" applyNumberFormat="1" applyFont="1" applyFill="1" applyBorder="1" applyAlignment="1" applyProtection="1"/>
    <xf numFmtId="3" fontId="9" fillId="0" borderId="2" xfId="0" applyNumberFormat="1" applyFont="1" applyFill="1" applyBorder="1" applyAlignment="1"/>
    <xf numFmtId="164" fontId="10" fillId="0" borderId="0" xfId="43" applyFont="1" applyFill="1" applyAlignment="1" applyProtection="1">
      <alignment horizontal="right"/>
      <protection locked="0"/>
    </xf>
    <xf numFmtId="3" fontId="10" fillId="0" borderId="0" xfId="43" applyNumberFormat="1" applyFont="1" applyFill="1" applyBorder="1"/>
    <xf numFmtId="164" fontId="9" fillId="0" borderId="0" xfId="85" applyFont="1" applyFill="1"/>
    <xf numFmtId="164" fontId="9" fillId="0" borderId="0" xfId="106" applyFont="1" applyFill="1"/>
    <xf numFmtId="164" fontId="9" fillId="0" borderId="0" xfId="105" applyFont="1" applyFill="1"/>
    <xf numFmtId="164" fontId="9" fillId="0" borderId="0" xfId="104" applyFont="1" applyFill="1"/>
    <xf numFmtId="164" fontId="9" fillId="0" borderId="0" xfId="107" applyFont="1" applyFill="1"/>
    <xf numFmtId="164" fontId="9" fillId="0" borderId="0" xfId="103" applyFont="1" applyFill="1"/>
    <xf numFmtId="164" fontId="9" fillId="0" borderId="0" xfId="59" applyFont="1" applyFill="1"/>
    <xf numFmtId="164" fontId="9" fillId="0" borderId="0" xfId="102" applyFont="1" applyFill="1"/>
    <xf numFmtId="164" fontId="9" fillId="0" borderId="0" xfId="19" applyFont="1" applyFill="1"/>
    <xf numFmtId="164" fontId="9" fillId="0" borderId="0" xfId="100" applyFont="1" applyFill="1"/>
    <xf numFmtId="164" fontId="9" fillId="0" borderId="0" xfId="88" applyFont="1" applyFill="1"/>
    <xf numFmtId="164" fontId="9" fillId="0" borderId="0" xfId="99" applyFont="1" applyFill="1"/>
    <xf numFmtId="164" fontId="9" fillId="0" borderId="0" xfId="78" applyFont="1" applyFill="1"/>
    <xf numFmtId="164" fontId="9" fillId="0" borderId="0" xfId="97" applyFont="1" applyFill="1"/>
    <xf numFmtId="164" fontId="9" fillId="0" borderId="0" xfId="96" applyFont="1" applyFill="1"/>
    <xf numFmtId="164" fontId="9" fillId="0" borderId="0" xfId="95" applyFont="1" applyFill="1"/>
    <xf numFmtId="164" fontId="9" fillId="0" borderId="0" xfId="20" applyFont="1" applyFill="1"/>
    <xf numFmtId="164" fontId="9" fillId="0" borderId="0" xfId="93" applyFont="1" applyFill="1" applyProtection="1"/>
    <xf numFmtId="164" fontId="9" fillId="0" borderId="0" xfId="66" applyFont="1" applyFill="1"/>
    <xf numFmtId="164" fontId="9" fillId="0" borderId="0" xfId="94" applyFont="1" applyFill="1"/>
    <xf numFmtId="164" fontId="9" fillId="0" borderId="0" xfId="1" applyFont="1" applyFill="1"/>
    <xf numFmtId="166" fontId="9" fillId="0" borderId="0" xfId="92" applyFont="1" applyFill="1"/>
    <xf numFmtId="164" fontId="9" fillId="0" borderId="0" xfId="91" applyFont="1" applyFill="1"/>
    <xf numFmtId="164" fontId="9" fillId="0" borderId="0" xfId="63" applyFont="1" applyFill="1"/>
    <xf numFmtId="164" fontId="9" fillId="0" borderId="0" xfId="87" applyFont="1" applyFill="1"/>
    <xf numFmtId="164" fontId="9" fillId="0" borderId="0" xfId="86" applyFont="1" applyFill="1"/>
    <xf numFmtId="164" fontId="9" fillId="0" borderId="0" xfId="84" applyFont="1" applyFill="1"/>
    <xf numFmtId="164" fontId="9" fillId="0" borderId="0" xfId="83" applyFont="1" applyFill="1"/>
    <xf numFmtId="164" fontId="9" fillId="0" borderId="0" xfId="82" applyFont="1" applyFill="1"/>
    <xf numFmtId="164" fontId="9" fillId="0" borderId="0" xfId="81" applyFont="1" applyFill="1"/>
    <xf numFmtId="164" fontId="9" fillId="0" borderId="0" xfId="77" applyFont="1" applyFill="1"/>
    <xf numFmtId="164" fontId="9" fillId="0" borderId="0" xfId="16" applyFont="1" applyFill="1"/>
    <xf numFmtId="164" fontId="9" fillId="0" borderId="0" xfId="75" applyFont="1" applyFill="1"/>
    <xf numFmtId="164" fontId="9" fillId="0" borderId="0" xfId="74" applyFont="1" applyFill="1"/>
    <xf numFmtId="164" fontId="9" fillId="0" borderId="0" xfId="73" applyFont="1" applyFill="1"/>
    <xf numFmtId="164" fontId="9" fillId="0" borderId="0" xfId="71" applyFont="1" applyFill="1"/>
    <xf numFmtId="164" fontId="9" fillId="0" borderId="0" xfId="70" applyFont="1" applyFill="1"/>
    <xf numFmtId="164" fontId="9" fillId="0" borderId="0" xfId="65" applyFont="1" applyFill="1"/>
    <xf numFmtId="164" fontId="9" fillId="0" borderId="0" xfId="57" applyFont="1" applyFill="1"/>
    <xf numFmtId="164" fontId="9" fillId="0" borderId="0" xfId="56" applyFont="1" applyFill="1"/>
    <xf numFmtId="164" fontId="9" fillId="0" borderId="0" xfId="55" applyFont="1" applyFill="1"/>
    <xf numFmtId="164" fontId="9" fillId="0" borderId="0" xfId="53" applyFont="1" applyFill="1"/>
    <xf numFmtId="164" fontId="9" fillId="0" borderId="0" xfId="51" applyFont="1" applyFill="1"/>
    <xf numFmtId="164" fontId="9" fillId="0" borderId="0" xfId="48" applyFont="1" applyFill="1"/>
    <xf numFmtId="164" fontId="9" fillId="0" borderId="0" xfId="46" applyFont="1" applyFill="1"/>
    <xf numFmtId="164" fontId="9" fillId="0" borderId="0" xfId="44" applyFont="1" applyFill="1"/>
    <xf numFmtId="164" fontId="9" fillId="0" borderId="0" xfId="29" applyFont="1" applyFill="1"/>
    <xf numFmtId="164" fontId="9" fillId="0" borderId="0" xfId="41" applyFont="1" applyFill="1"/>
    <xf numFmtId="164" fontId="9" fillId="0" borderId="0" xfId="9" applyFont="1" applyFill="1"/>
    <xf numFmtId="164" fontId="9" fillId="0" borderId="0" xfId="40" applyFont="1" applyFill="1"/>
    <xf numFmtId="164" fontId="9" fillId="0" borderId="0" xfId="39" applyFont="1" applyFill="1"/>
    <xf numFmtId="3" fontId="9" fillId="0" borderId="0" xfId="37" applyNumberFormat="1" applyFont="1" applyFill="1" applyProtection="1">
      <protection locked="0"/>
    </xf>
    <xf numFmtId="164" fontId="9" fillId="0" borderId="0" xfId="32" applyFont="1" applyFill="1"/>
    <xf numFmtId="164" fontId="9" fillId="0" borderId="0" xfId="38" applyFont="1" applyFill="1"/>
    <xf numFmtId="164" fontId="9" fillId="0" borderId="0" xfId="28" applyFont="1" applyFill="1"/>
    <xf numFmtId="164" fontId="9" fillId="0" borderId="0" xfId="26" applyFont="1" applyFill="1"/>
    <xf numFmtId="164" fontId="9" fillId="0" borderId="0" xfId="25" applyFont="1" applyFill="1"/>
    <xf numFmtId="164" fontId="9" fillId="0" borderId="0" xfId="24" applyFont="1" applyFill="1"/>
    <xf numFmtId="164" fontId="9" fillId="0" borderId="0" xfId="22" applyFont="1" applyFill="1"/>
    <xf numFmtId="164" fontId="9" fillId="0" borderId="0" xfId="21" applyFont="1" applyFill="1"/>
    <xf numFmtId="164" fontId="9" fillId="0" borderId="0" xfId="18" applyFont="1" applyFill="1"/>
    <xf numFmtId="164" fontId="9" fillId="0" borderId="0" xfId="17" applyFont="1" applyFill="1"/>
    <xf numFmtId="164" fontId="9" fillId="0" borderId="0" xfId="14" applyFont="1" applyFill="1"/>
    <xf numFmtId="164" fontId="9" fillId="0" borderId="0" xfId="12" applyFont="1" applyFill="1"/>
    <xf numFmtId="164" fontId="9" fillId="0" borderId="0" xfId="8" applyFont="1" applyFill="1"/>
    <xf numFmtId="164" fontId="9" fillId="0" borderId="0" xfId="7" applyFont="1" applyFill="1"/>
    <xf numFmtId="164" fontId="9" fillId="0" borderId="0" xfId="6" applyFont="1" applyFill="1"/>
    <xf numFmtId="164" fontId="9" fillId="0" borderId="0" xfId="4" applyFont="1" applyFill="1"/>
    <xf numFmtId="164" fontId="9" fillId="0" borderId="0" xfId="2" applyFont="1" applyFill="1"/>
    <xf numFmtId="164" fontId="9" fillId="0" borderId="0" xfId="85" applyFont="1" applyFill="1" applyAlignment="1" applyProtection="1">
      <alignment horizontal="left"/>
      <protection locked="0"/>
    </xf>
    <xf numFmtId="164" fontId="9" fillId="0" borderId="0" xfId="85" applyFont="1" applyFill="1" applyAlignment="1" applyProtection="1">
      <alignment horizontal="right"/>
      <protection locked="0"/>
    </xf>
    <xf numFmtId="3" fontId="9" fillId="0" borderId="0" xfId="85" applyNumberFormat="1" applyFont="1" applyFill="1" applyBorder="1" applyProtection="1">
      <protection locked="0"/>
    </xf>
    <xf numFmtId="3" fontId="9" fillId="0" borderId="0" xfId="85" applyNumberFormat="1" applyFont="1" applyFill="1"/>
    <xf numFmtId="3" fontId="9" fillId="0" borderId="0" xfId="85" applyNumberFormat="1" applyFont="1" applyFill="1" applyProtection="1">
      <protection locked="0"/>
    </xf>
    <xf numFmtId="3" fontId="9" fillId="0" borderId="0" xfId="85" applyNumberFormat="1" applyFont="1" applyFill="1" applyAlignment="1" applyProtection="1">
      <alignment horizontal="left"/>
      <protection locked="0"/>
    </xf>
    <xf numFmtId="167" fontId="9" fillId="0" borderId="0" xfId="85" applyNumberFormat="1" applyFont="1" applyFill="1" applyAlignment="1" applyProtection="1">
      <alignment horizontal="left"/>
      <protection locked="0"/>
    </xf>
    <xf numFmtId="3" fontId="9" fillId="0" borderId="1" xfId="85" applyNumberFormat="1" applyFont="1" applyFill="1" applyBorder="1" applyProtection="1">
      <protection locked="0"/>
    </xf>
    <xf numFmtId="3" fontId="9" fillId="0" borderId="2" xfId="85" applyNumberFormat="1" applyFont="1" applyFill="1" applyBorder="1" applyProtection="1">
      <protection locked="0"/>
    </xf>
    <xf numFmtId="3" fontId="9" fillId="0" borderId="1" xfId="0" applyNumberFormat="1" applyFont="1" applyFill="1" applyBorder="1"/>
    <xf numFmtId="167" fontId="9" fillId="0" borderId="0" xfId="85" applyNumberFormat="1" applyFont="1" applyFill="1" applyAlignment="1">
      <alignment horizontal="left"/>
    </xf>
    <xf numFmtId="164" fontId="9" fillId="0" borderId="0" xfId="106" applyFont="1" applyFill="1" applyAlignment="1" applyProtection="1">
      <alignment horizontal="left"/>
      <protection locked="0"/>
    </xf>
    <xf numFmtId="3" fontId="9" fillId="0" borderId="0" xfId="106" applyNumberFormat="1" applyFont="1" applyFill="1" applyBorder="1" applyProtection="1">
      <protection locked="0"/>
    </xf>
    <xf numFmtId="3" fontId="9" fillId="0" borderId="0" xfId="106" applyNumberFormat="1" applyFont="1" applyFill="1"/>
    <xf numFmtId="3" fontId="9" fillId="0" borderId="0" xfId="106" applyNumberFormat="1" applyFont="1" applyFill="1" applyProtection="1">
      <protection locked="0"/>
    </xf>
    <xf numFmtId="165" fontId="9" fillId="0" borderId="0" xfId="106" applyNumberFormat="1" applyFont="1" applyFill="1" applyAlignment="1" applyProtection="1">
      <alignment horizontal="left"/>
      <protection locked="0"/>
    </xf>
    <xf numFmtId="3" fontId="9" fillId="0" borderId="1" xfId="106" applyNumberFormat="1" applyFont="1" applyFill="1" applyBorder="1" applyProtection="1">
      <protection locked="0"/>
    </xf>
    <xf numFmtId="166" fontId="9" fillId="0" borderId="0" xfId="106" applyNumberFormat="1" applyFont="1" applyFill="1" applyAlignment="1" applyProtection="1">
      <alignment horizontal="left"/>
      <protection locked="0"/>
    </xf>
    <xf numFmtId="166" fontId="9" fillId="0" borderId="0" xfId="106" applyNumberFormat="1" applyFont="1" applyFill="1" applyProtection="1">
      <protection locked="0"/>
    </xf>
    <xf numFmtId="164" fontId="9" fillId="0" borderId="0" xfId="106" quotePrefix="1" applyFont="1" applyFill="1" applyAlignment="1" applyProtection="1">
      <alignment horizontal="left"/>
      <protection locked="0"/>
    </xf>
    <xf numFmtId="167" fontId="9" fillId="0" borderId="0" xfId="106" applyNumberFormat="1" applyFont="1" applyFill="1" applyAlignment="1" applyProtection="1">
      <alignment horizontal="left"/>
      <protection locked="0"/>
    </xf>
    <xf numFmtId="167" fontId="9" fillId="0" borderId="0" xfId="106" applyNumberFormat="1" applyFont="1" applyFill="1" applyAlignment="1">
      <alignment horizontal="left"/>
    </xf>
    <xf numFmtId="164" fontId="9" fillId="0" borderId="0" xfId="106" applyFont="1" applyFill="1" applyProtection="1">
      <protection locked="0"/>
    </xf>
    <xf numFmtId="3" fontId="9" fillId="0" borderId="0" xfId="36" applyNumberFormat="1" applyFont="1" applyFill="1"/>
    <xf numFmtId="164" fontId="9" fillId="0" borderId="0" xfId="105" applyFont="1" applyFill="1" applyAlignment="1" applyProtection="1">
      <alignment horizontal="left"/>
      <protection locked="0"/>
    </xf>
    <xf numFmtId="164" fontId="9" fillId="0" borderId="0" xfId="105" applyFont="1" applyFill="1" applyAlignment="1" applyProtection="1">
      <alignment horizontal="right"/>
      <protection locked="0"/>
    </xf>
    <xf numFmtId="3" fontId="9" fillId="0" borderId="0" xfId="105" applyNumberFormat="1" applyFont="1" applyFill="1" applyProtection="1">
      <protection locked="0"/>
    </xf>
    <xf numFmtId="164" fontId="9" fillId="0" borderId="0" xfId="105" applyFont="1" applyFill="1" applyProtection="1">
      <protection locked="0"/>
    </xf>
    <xf numFmtId="3" fontId="9" fillId="0" borderId="0" xfId="105" applyNumberFormat="1" applyFont="1" applyFill="1"/>
    <xf numFmtId="166" fontId="9" fillId="0" borderId="0" xfId="105" applyNumberFormat="1" applyFont="1" applyFill="1" applyProtection="1">
      <protection locked="0"/>
    </xf>
    <xf numFmtId="164" fontId="9" fillId="0" borderId="0" xfId="6" applyFont="1" applyFill="1" applyAlignment="1" applyProtection="1">
      <alignment horizontal="left"/>
      <protection locked="0"/>
    </xf>
    <xf numFmtId="3" fontId="9" fillId="0" borderId="1" xfId="105" applyNumberFormat="1" applyFont="1" applyFill="1" applyBorder="1" applyProtection="1">
      <protection locked="0"/>
    </xf>
    <xf numFmtId="3" fontId="9" fillId="0" borderId="0" xfId="105" applyNumberFormat="1" applyFont="1" applyFill="1" applyBorder="1" applyProtection="1">
      <protection locked="0"/>
    </xf>
    <xf numFmtId="3" fontId="9" fillId="0" borderId="2" xfId="105" applyNumberFormat="1" applyFont="1" applyFill="1" applyBorder="1" applyProtection="1">
      <protection locked="0"/>
    </xf>
    <xf numFmtId="167" fontId="9" fillId="0" borderId="0" xfId="28" applyNumberFormat="1" applyFont="1" applyFill="1" applyAlignment="1" applyProtection="1">
      <alignment horizontal="left"/>
      <protection locked="0"/>
    </xf>
    <xf numFmtId="164" fontId="9" fillId="0" borderId="0" xfId="104" applyFont="1" applyFill="1" applyAlignment="1" applyProtection="1">
      <alignment horizontal="left"/>
      <protection locked="0"/>
    </xf>
    <xf numFmtId="164" fontId="9" fillId="0" borderId="0" xfId="104" applyFont="1" applyFill="1" applyAlignment="1" applyProtection="1">
      <alignment horizontal="right"/>
      <protection locked="0"/>
    </xf>
    <xf numFmtId="3" fontId="9" fillId="0" borderId="0" xfId="104" applyNumberFormat="1" applyFont="1" applyFill="1" applyProtection="1">
      <protection locked="0"/>
    </xf>
    <xf numFmtId="3" fontId="9" fillId="0" borderId="0" xfId="104" applyNumberFormat="1" applyFont="1" applyFill="1"/>
    <xf numFmtId="165" fontId="9" fillId="0" borderId="0" xfId="104" applyNumberFormat="1" applyFont="1" applyFill="1" applyAlignment="1" applyProtection="1">
      <alignment horizontal="left"/>
      <protection locked="0"/>
    </xf>
    <xf numFmtId="3" fontId="9" fillId="0" borderId="1" xfId="104" applyNumberFormat="1" applyFont="1" applyFill="1" applyBorder="1" applyProtection="1">
      <protection locked="0"/>
    </xf>
    <xf numFmtId="3" fontId="9" fillId="0" borderId="2" xfId="104" applyNumberFormat="1" applyFont="1" applyFill="1" applyBorder="1" applyProtection="1">
      <protection locked="0"/>
    </xf>
    <xf numFmtId="3" fontId="9" fillId="0" borderId="0" xfId="104" applyNumberFormat="1" applyFont="1" applyFill="1" applyBorder="1" applyProtection="1">
      <protection locked="0"/>
    </xf>
    <xf numFmtId="166" fontId="9" fillId="0" borderId="0" xfId="104" applyNumberFormat="1" applyFont="1" applyFill="1" applyAlignment="1" applyProtection="1">
      <alignment horizontal="left"/>
      <protection locked="0"/>
    </xf>
    <xf numFmtId="3" fontId="9" fillId="0" borderId="1" xfId="104" applyNumberFormat="1" applyFont="1" applyFill="1" applyBorder="1"/>
    <xf numFmtId="3" fontId="9" fillId="0" borderId="0" xfId="104" applyNumberFormat="1" applyFont="1" applyFill="1" applyBorder="1"/>
    <xf numFmtId="3" fontId="9" fillId="0" borderId="0" xfId="104" applyNumberFormat="1" applyFont="1" applyFill="1" applyBorder="1" applyAlignment="1"/>
    <xf numFmtId="3" fontId="9" fillId="0" borderId="2" xfId="104" applyNumberFormat="1" applyFont="1" applyFill="1" applyBorder="1" applyAlignment="1" applyProtection="1">
      <protection locked="0"/>
    </xf>
    <xf numFmtId="164" fontId="9" fillId="0" borderId="0" xfId="104" applyFont="1" applyFill="1" applyProtection="1">
      <protection locked="0"/>
    </xf>
    <xf numFmtId="167" fontId="9" fillId="0" borderId="0" xfId="104" applyNumberFormat="1" applyFont="1" applyFill="1" applyAlignment="1" applyProtection="1">
      <alignment horizontal="left"/>
      <protection locked="0"/>
    </xf>
    <xf numFmtId="164" fontId="9" fillId="0" borderId="0" xfId="107" applyFont="1" applyFill="1" applyAlignment="1" applyProtection="1">
      <alignment horizontal="left"/>
      <protection locked="0"/>
    </xf>
    <xf numFmtId="164" fontId="9" fillId="0" borderId="0" xfId="107" applyFont="1" applyFill="1" applyAlignment="1" applyProtection="1">
      <alignment horizontal="right"/>
      <protection locked="0"/>
    </xf>
    <xf numFmtId="3" fontId="9" fillId="0" borderId="0" xfId="107" applyNumberFormat="1" applyFont="1" applyFill="1" applyProtection="1">
      <protection locked="0"/>
    </xf>
    <xf numFmtId="3" fontId="9" fillId="0" borderId="0" xfId="107" applyNumberFormat="1" applyFont="1" applyFill="1"/>
    <xf numFmtId="165" fontId="9" fillId="0" borderId="0" xfId="107" applyNumberFormat="1" applyFont="1" applyFill="1" applyAlignment="1" applyProtection="1">
      <alignment horizontal="left"/>
      <protection locked="0"/>
    </xf>
    <xf numFmtId="3" fontId="9" fillId="0" borderId="1" xfId="107" applyNumberFormat="1" applyFont="1" applyFill="1" applyBorder="1" applyProtection="1">
      <protection locked="0"/>
    </xf>
    <xf numFmtId="166" fontId="9" fillId="0" borderId="0" xfId="107" applyNumberFormat="1" applyFont="1" applyFill="1" applyProtection="1">
      <protection locked="0"/>
    </xf>
    <xf numFmtId="164" fontId="9" fillId="0" borderId="0" xfId="107" applyFont="1" applyFill="1" applyProtection="1">
      <protection locked="0"/>
    </xf>
    <xf numFmtId="3" fontId="9" fillId="0" borderId="2" xfId="107" applyNumberFormat="1" applyFont="1" applyFill="1" applyBorder="1" applyProtection="1">
      <protection locked="0"/>
    </xf>
    <xf numFmtId="49" fontId="9" fillId="0" borderId="0" xfId="107" applyNumberFormat="1" applyFont="1" applyFill="1" applyAlignment="1" applyProtection="1">
      <alignment horizontal="left"/>
      <protection locked="0"/>
    </xf>
    <xf numFmtId="3" fontId="9" fillId="0" borderId="0" xfId="107" applyNumberFormat="1" applyFont="1" applyFill="1" applyBorder="1" applyProtection="1">
      <protection locked="0"/>
    </xf>
    <xf numFmtId="167" fontId="9" fillId="0" borderId="0" xfId="107" applyNumberFormat="1" applyFont="1" applyFill="1" applyAlignment="1">
      <alignment horizontal="left"/>
    </xf>
    <xf numFmtId="164" fontId="9" fillId="0" borderId="0" xfId="103" applyFont="1" applyFill="1" applyAlignment="1" applyProtection="1">
      <alignment horizontal="left"/>
      <protection locked="0"/>
    </xf>
    <xf numFmtId="164" fontId="9" fillId="0" borderId="0" xfId="103" applyFont="1" applyFill="1" applyAlignment="1" applyProtection="1">
      <alignment horizontal="right"/>
      <protection locked="0"/>
    </xf>
    <xf numFmtId="3" fontId="9" fillId="0" borderId="0" xfId="103" applyNumberFormat="1" applyFont="1" applyFill="1" applyProtection="1">
      <protection locked="0"/>
    </xf>
    <xf numFmtId="3" fontId="9" fillId="0" borderId="0" xfId="103" applyNumberFormat="1" applyFont="1" applyFill="1"/>
    <xf numFmtId="165" fontId="9" fillId="0" borderId="0" xfId="103" applyNumberFormat="1" applyFont="1" applyFill="1" applyAlignment="1" applyProtection="1">
      <alignment horizontal="left"/>
      <protection locked="0"/>
    </xf>
    <xf numFmtId="164" fontId="9" fillId="0" borderId="0" xfId="103" quotePrefix="1" applyFont="1" applyFill="1" applyAlignment="1" applyProtection="1">
      <alignment horizontal="left"/>
      <protection locked="0"/>
    </xf>
    <xf numFmtId="3" fontId="9" fillId="0" borderId="1" xfId="103" applyNumberFormat="1" applyFont="1" applyFill="1" applyBorder="1" applyProtection="1">
      <protection locked="0"/>
    </xf>
    <xf numFmtId="3" fontId="9" fillId="0" borderId="2" xfId="103" applyNumberFormat="1" applyFont="1" applyFill="1" applyBorder="1" applyProtection="1">
      <protection locked="0"/>
    </xf>
    <xf numFmtId="166" fontId="9" fillId="0" borderId="0" xfId="103" applyNumberFormat="1" applyFont="1" applyFill="1" applyAlignment="1" applyProtection="1">
      <alignment horizontal="left"/>
      <protection locked="0"/>
    </xf>
    <xf numFmtId="167" fontId="9" fillId="0" borderId="0" xfId="103" applyNumberFormat="1" applyFont="1" applyFill="1" applyAlignment="1">
      <alignment horizontal="left"/>
    </xf>
    <xf numFmtId="3" fontId="9" fillId="0" borderId="0" xfId="103" applyNumberFormat="1" applyFont="1" applyFill="1" applyBorder="1"/>
    <xf numFmtId="164" fontId="9" fillId="0" borderId="0" xfId="103" applyFont="1" applyFill="1" applyProtection="1">
      <protection locked="0"/>
    </xf>
    <xf numFmtId="164" fontId="9" fillId="0" borderId="0" xfId="59" applyFont="1" applyFill="1" applyAlignment="1" applyProtection="1">
      <alignment horizontal="left"/>
      <protection locked="0"/>
    </xf>
    <xf numFmtId="164" fontId="9" fillId="0" borderId="0" xfId="59" applyFont="1" applyFill="1" applyProtection="1">
      <protection locked="0"/>
    </xf>
    <xf numFmtId="3" fontId="9" fillId="0" borderId="0" xfId="59" applyNumberFormat="1" applyFont="1" applyFill="1" applyBorder="1" applyProtection="1">
      <protection locked="0"/>
    </xf>
    <xf numFmtId="165" fontId="9" fillId="0" borderId="0" xfId="59" applyNumberFormat="1" applyFont="1" applyFill="1" applyProtection="1">
      <protection locked="0"/>
    </xf>
    <xf numFmtId="166" fontId="9" fillId="0" borderId="0" xfId="59" applyNumberFormat="1" applyFont="1" applyFill="1" applyAlignment="1" applyProtection="1">
      <alignment horizontal="left"/>
      <protection locked="0"/>
    </xf>
    <xf numFmtId="3" fontId="9" fillId="0" borderId="0" xfId="59" applyNumberFormat="1" applyFont="1" applyFill="1" applyProtection="1">
      <protection locked="0"/>
    </xf>
    <xf numFmtId="3" fontId="9" fillId="0" borderId="0" xfId="59" applyNumberFormat="1" applyFont="1" applyFill="1"/>
    <xf numFmtId="3" fontId="9" fillId="0" borderId="1" xfId="59" applyNumberFormat="1" applyFont="1" applyFill="1" applyBorder="1" applyProtection="1">
      <protection locked="0"/>
    </xf>
    <xf numFmtId="3" fontId="9" fillId="0" borderId="0" xfId="60" applyNumberFormat="1" applyFont="1" applyFill="1" applyProtection="1">
      <protection locked="0"/>
    </xf>
    <xf numFmtId="164" fontId="9" fillId="0" borderId="0" xfId="59" applyFont="1" applyFill="1" applyAlignment="1" applyProtection="1">
      <alignment horizontal="right"/>
      <protection locked="0"/>
    </xf>
    <xf numFmtId="164" fontId="9" fillId="0" borderId="0" xfId="102" applyFont="1" applyFill="1" applyAlignment="1" applyProtection="1">
      <alignment horizontal="left"/>
      <protection locked="0"/>
    </xf>
    <xf numFmtId="164" fontId="9" fillId="0" borderId="0" xfId="102" applyFont="1" applyFill="1" applyAlignment="1" applyProtection="1">
      <alignment horizontal="right"/>
      <protection locked="0"/>
    </xf>
    <xf numFmtId="3" fontId="9" fillId="0" borderId="0" xfId="102" applyNumberFormat="1" applyFont="1" applyFill="1" applyProtection="1">
      <protection locked="0"/>
    </xf>
    <xf numFmtId="165" fontId="9" fillId="0" borderId="0" xfId="102" applyNumberFormat="1" applyFont="1" applyFill="1" applyAlignment="1" applyProtection="1">
      <alignment horizontal="left"/>
      <protection locked="0"/>
    </xf>
    <xf numFmtId="3" fontId="9" fillId="0" borderId="0" xfId="102" applyNumberFormat="1" applyFont="1" applyFill="1"/>
    <xf numFmtId="3" fontId="9" fillId="0" borderId="1" xfId="102" applyNumberFormat="1" applyFont="1" applyFill="1" applyBorder="1"/>
    <xf numFmtId="3" fontId="9" fillId="0" borderId="2" xfId="102" applyNumberFormat="1" applyFont="1" applyFill="1" applyBorder="1"/>
    <xf numFmtId="3" fontId="9" fillId="0" borderId="1" xfId="102" applyNumberFormat="1" applyFont="1" applyFill="1" applyBorder="1" applyProtection="1">
      <protection locked="0"/>
    </xf>
    <xf numFmtId="3" fontId="9" fillId="0" borderId="0" xfId="102" applyNumberFormat="1" applyFont="1" applyFill="1" applyBorder="1" applyProtection="1">
      <protection locked="0"/>
    </xf>
    <xf numFmtId="166" fontId="9" fillId="0" borderId="0" xfId="102" applyNumberFormat="1" applyFont="1" applyFill="1" applyProtection="1">
      <protection locked="0"/>
    </xf>
    <xf numFmtId="164" fontId="9" fillId="0" borderId="0" xfId="96" applyFont="1" applyFill="1" applyAlignment="1" applyProtection="1">
      <alignment horizontal="right"/>
      <protection locked="0"/>
    </xf>
    <xf numFmtId="167" fontId="9" fillId="0" borderId="0" xfId="102" applyNumberFormat="1" applyFont="1" applyFill="1" applyAlignment="1" applyProtection="1">
      <alignment horizontal="left"/>
      <protection locked="0"/>
    </xf>
    <xf numFmtId="164" fontId="9" fillId="0" borderId="0" xfId="102" applyFont="1" applyFill="1" applyProtection="1">
      <protection locked="0"/>
    </xf>
    <xf numFmtId="167" fontId="9" fillId="0" borderId="0" xfId="102" applyNumberFormat="1" applyFont="1" applyFill="1" applyAlignment="1">
      <alignment horizontal="left"/>
    </xf>
    <xf numFmtId="3" fontId="9" fillId="0" borderId="1" xfId="0" applyNumberFormat="1" applyFont="1" applyFill="1" applyBorder="1" applyAlignment="1" applyProtection="1">
      <protection locked="0"/>
    </xf>
    <xf numFmtId="3" fontId="9" fillId="0" borderId="0" xfId="102" applyNumberFormat="1" applyFont="1" applyFill="1" applyBorder="1"/>
    <xf numFmtId="164" fontId="9" fillId="0" borderId="0" xfId="6" applyFont="1" applyFill="1" applyAlignment="1" applyProtection="1">
      <protection locked="0"/>
    </xf>
    <xf numFmtId="164" fontId="9" fillId="0" borderId="0" xfId="19" applyFont="1" applyFill="1" applyAlignment="1" applyProtection="1">
      <alignment horizontal="left"/>
      <protection locked="0"/>
    </xf>
    <xf numFmtId="164" fontId="9" fillId="0" borderId="0" xfId="19" applyFont="1" applyFill="1" applyAlignment="1" applyProtection="1">
      <alignment horizontal="right"/>
      <protection locked="0"/>
    </xf>
    <xf numFmtId="3" fontId="9" fillId="0" borderId="0" xfId="19" applyNumberFormat="1" applyFont="1" applyFill="1" applyBorder="1" applyProtection="1">
      <protection locked="0"/>
    </xf>
    <xf numFmtId="3" fontId="9" fillId="0" borderId="0" xfId="19" applyNumberFormat="1" applyFont="1" applyFill="1" applyProtection="1">
      <protection locked="0"/>
    </xf>
    <xf numFmtId="3" fontId="9" fillId="0" borderId="0" xfId="19" applyNumberFormat="1" applyFont="1" applyFill="1"/>
    <xf numFmtId="166" fontId="9" fillId="0" borderId="0" xfId="19" applyNumberFormat="1" applyFont="1" applyFill="1" applyProtection="1">
      <protection locked="0"/>
    </xf>
    <xf numFmtId="3" fontId="9" fillId="0" borderId="1" xfId="19" applyNumberFormat="1" applyFont="1" applyFill="1" applyBorder="1" applyProtection="1">
      <protection locked="0"/>
    </xf>
    <xf numFmtId="3" fontId="9" fillId="0" borderId="2" xfId="19" applyNumberFormat="1" applyFont="1" applyFill="1" applyBorder="1" applyProtection="1">
      <protection locked="0"/>
    </xf>
    <xf numFmtId="164" fontId="9" fillId="0" borderId="0" xfId="19" applyFont="1" applyFill="1" applyProtection="1">
      <protection locked="0"/>
    </xf>
    <xf numFmtId="164" fontId="9" fillId="0" borderId="0" xfId="100" applyFont="1" applyFill="1" applyAlignment="1" applyProtection="1">
      <alignment horizontal="left"/>
      <protection locked="0"/>
    </xf>
    <xf numFmtId="164" fontId="9" fillId="0" borderId="0" xfId="100" applyFont="1" applyFill="1" applyProtection="1">
      <protection locked="0"/>
    </xf>
    <xf numFmtId="3" fontId="9" fillId="0" borderId="0" xfId="100" applyNumberFormat="1" applyFont="1" applyFill="1" applyProtection="1">
      <protection locked="0"/>
    </xf>
    <xf numFmtId="3" fontId="9" fillId="0" borderId="0" xfId="100" applyNumberFormat="1" applyFont="1" applyFill="1"/>
    <xf numFmtId="3" fontId="9" fillId="0" borderId="0" xfId="101" applyNumberFormat="1" applyFont="1" applyFill="1" applyProtection="1">
      <protection locked="0"/>
    </xf>
    <xf numFmtId="3" fontId="9" fillId="0" borderId="0" xfId="101" applyNumberFormat="1" applyFont="1" applyFill="1" applyBorder="1" applyProtection="1">
      <protection locked="0"/>
    </xf>
    <xf numFmtId="164" fontId="9" fillId="0" borderId="0" xfId="88" applyFont="1" applyFill="1" applyAlignment="1" applyProtection="1">
      <alignment horizontal="left"/>
      <protection locked="0"/>
    </xf>
    <xf numFmtId="164" fontId="9" fillId="0" borderId="0" xfId="88" applyFont="1" applyFill="1" applyProtection="1">
      <protection locked="0"/>
    </xf>
    <xf numFmtId="3" fontId="9" fillId="0" borderId="0" xfId="88" applyNumberFormat="1" applyFont="1" applyFill="1" applyProtection="1">
      <protection locked="0"/>
    </xf>
    <xf numFmtId="3" fontId="9" fillId="0" borderId="0" xfId="88" applyNumberFormat="1" applyFont="1" applyFill="1"/>
    <xf numFmtId="3" fontId="9" fillId="0" borderId="1" xfId="88" applyNumberFormat="1" applyFont="1" applyFill="1" applyBorder="1" applyProtection="1">
      <protection locked="0"/>
    </xf>
    <xf numFmtId="3" fontId="9" fillId="0" borderId="0" xfId="89" applyNumberFormat="1" applyFont="1" applyFill="1" applyProtection="1">
      <protection locked="0"/>
    </xf>
    <xf numFmtId="3" fontId="9" fillId="0" borderId="0" xfId="89" applyNumberFormat="1" applyFont="1" applyFill="1" applyBorder="1" applyProtection="1">
      <protection locked="0"/>
    </xf>
    <xf numFmtId="164" fontId="9" fillId="0" borderId="0" xfId="99" applyFont="1" applyFill="1" applyAlignment="1" applyProtection="1">
      <alignment horizontal="left"/>
      <protection locked="0"/>
    </xf>
    <xf numFmtId="164" fontId="9" fillId="0" borderId="0" xfId="99" applyFont="1" applyFill="1" applyAlignment="1" applyProtection="1">
      <alignment horizontal="right"/>
      <protection locked="0"/>
    </xf>
    <xf numFmtId="3" fontId="9" fillId="0" borderId="0" xfId="99" applyNumberFormat="1" applyFont="1" applyFill="1" applyProtection="1">
      <protection locked="0"/>
    </xf>
    <xf numFmtId="3" fontId="9" fillId="0" borderId="0" xfId="99" applyNumberFormat="1" applyFont="1" applyFill="1"/>
    <xf numFmtId="165" fontId="9" fillId="0" borderId="0" xfId="99" applyNumberFormat="1" applyFont="1" applyFill="1" applyAlignment="1" applyProtection="1">
      <alignment horizontal="left"/>
      <protection locked="0"/>
    </xf>
    <xf numFmtId="3" fontId="9" fillId="0" borderId="1" xfId="99" applyNumberFormat="1" applyFont="1" applyFill="1" applyBorder="1"/>
    <xf numFmtId="3" fontId="9" fillId="0" borderId="1" xfId="99" applyNumberFormat="1" applyFont="1" applyFill="1" applyBorder="1" applyProtection="1">
      <protection locked="0"/>
    </xf>
    <xf numFmtId="166" fontId="9" fillId="0" borderId="0" xfId="99" applyNumberFormat="1" applyFont="1" applyFill="1" applyAlignment="1" applyProtection="1">
      <alignment horizontal="left"/>
      <protection locked="0"/>
    </xf>
    <xf numFmtId="166" fontId="9" fillId="0" borderId="0" xfId="99" applyNumberFormat="1" applyFont="1" applyFill="1" applyProtection="1">
      <protection locked="0"/>
    </xf>
    <xf numFmtId="3" fontId="9" fillId="0" borderId="0" xfId="99" applyNumberFormat="1" applyFont="1" applyFill="1" applyBorder="1" applyProtection="1">
      <protection locked="0"/>
    </xf>
    <xf numFmtId="3" fontId="9" fillId="0" borderId="2" xfId="99" applyNumberFormat="1" applyFont="1" applyFill="1" applyBorder="1" applyProtection="1">
      <protection locked="0"/>
    </xf>
    <xf numFmtId="3" fontId="9" fillId="0" borderId="2" xfId="99" applyNumberFormat="1" applyFont="1" applyFill="1" applyBorder="1" applyProtection="1"/>
    <xf numFmtId="164" fontId="9" fillId="0" borderId="0" xfId="99" applyFont="1" applyFill="1" applyProtection="1">
      <protection locked="0"/>
    </xf>
    <xf numFmtId="49" fontId="9" fillId="0" borderId="0" xfId="99" applyNumberFormat="1" applyFont="1" applyFill="1" applyAlignment="1" applyProtection="1">
      <alignment horizontal="left"/>
      <protection locked="0"/>
    </xf>
    <xf numFmtId="164" fontId="9" fillId="0" borderId="0" xfId="78" applyFont="1" applyFill="1" applyAlignment="1" applyProtection="1">
      <alignment horizontal="left"/>
      <protection locked="0"/>
    </xf>
    <xf numFmtId="164" fontId="9" fillId="0" borderId="0" xfId="78" applyFont="1" applyFill="1" applyProtection="1">
      <protection locked="0"/>
    </xf>
    <xf numFmtId="3" fontId="9" fillId="0" borderId="0" xfId="78" applyNumberFormat="1" applyFont="1" applyFill="1" applyProtection="1">
      <protection locked="0"/>
    </xf>
    <xf numFmtId="3" fontId="9" fillId="0" borderId="0" xfId="78" applyNumberFormat="1" applyFont="1" applyFill="1"/>
    <xf numFmtId="3" fontId="9" fillId="0" borderId="0" xfId="78" applyNumberFormat="1" applyFont="1" applyFill="1" applyBorder="1" applyProtection="1">
      <protection locked="0"/>
    </xf>
    <xf numFmtId="166" fontId="9" fillId="0" borderId="0" xfId="78" applyNumberFormat="1" applyFont="1" applyFill="1" applyAlignment="1" applyProtection="1">
      <alignment horizontal="left"/>
      <protection locked="0"/>
    </xf>
    <xf numFmtId="3" fontId="9" fillId="0" borderId="0" xfId="79" applyNumberFormat="1" applyFont="1" applyFill="1" applyProtection="1">
      <protection locked="0"/>
    </xf>
    <xf numFmtId="167" fontId="9" fillId="0" borderId="0" xfId="1" applyNumberFormat="1" applyFont="1" applyFill="1" applyAlignment="1" applyProtection="1">
      <alignment horizontal="left"/>
      <protection locked="0"/>
    </xf>
    <xf numFmtId="3" fontId="9" fillId="0" borderId="0" xfId="79" applyNumberFormat="1" applyFont="1" applyFill="1" applyBorder="1" applyProtection="1">
      <protection locked="0"/>
    </xf>
    <xf numFmtId="3" fontId="9" fillId="0" borderId="2" xfId="79" applyNumberFormat="1" applyFont="1" applyFill="1" applyBorder="1" applyProtection="1">
      <protection locked="0"/>
    </xf>
    <xf numFmtId="164" fontId="17" fillId="0" borderId="0" xfId="105" applyFont="1" applyFill="1" applyProtection="1">
      <protection locked="0"/>
    </xf>
    <xf numFmtId="167" fontId="9" fillId="0" borderId="0" xfId="105" applyNumberFormat="1" applyFont="1" applyFill="1" applyAlignment="1" applyProtection="1">
      <alignment horizontal="left"/>
      <protection locked="0"/>
    </xf>
    <xf numFmtId="164" fontId="9" fillId="0" borderId="0" xfId="97" applyFont="1" applyFill="1" applyAlignment="1" applyProtection="1">
      <alignment horizontal="left"/>
      <protection locked="0"/>
    </xf>
    <xf numFmtId="164" fontId="9" fillId="0" borderId="0" xfId="97" applyFont="1" applyFill="1" applyProtection="1">
      <protection locked="0"/>
    </xf>
    <xf numFmtId="3" fontId="9" fillId="0" borderId="0" xfId="97" applyNumberFormat="1" applyFont="1" applyFill="1" applyProtection="1">
      <protection locked="0"/>
    </xf>
    <xf numFmtId="3" fontId="9" fillId="0" borderId="0" xfId="97" applyNumberFormat="1" applyFont="1" applyFill="1"/>
    <xf numFmtId="3" fontId="9" fillId="0" borderId="0" xfId="97" applyNumberFormat="1" applyFont="1" applyFill="1" applyBorder="1" applyProtection="1">
      <protection locked="0"/>
    </xf>
    <xf numFmtId="3" fontId="9" fillId="0" borderId="0" xfId="98" applyNumberFormat="1" applyFont="1" applyFill="1" applyProtection="1">
      <protection locked="0"/>
    </xf>
    <xf numFmtId="164" fontId="9" fillId="0" borderId="0" xfId="97" quotePrefix="1" applyFont="1" applyFill="1"/>
    <xf numFmtId="164" fontId="9" fillId="0" borderId="0" xfId="96" applyFont="1" applyFill="1" applyAlignment="1" applyProtection="1">
      <alignment horizontal="left"/>
      <protection locked="0"/>
    </xf>
    <xf numFmtId="3" fontId="9" fillId="0" borderId="0" xfId="96" applyNumberFormat="1" applyFont="1" applyFill="1" applyProtection="1">
      <protection locked="0"/>
    </xf>
    <xf numFmtId="3" fontId="9" fillId="0" borderId="0" xfId="96" applyNumberFormat="1" applyFont="1" applyFill="1"/>
    <xf numFmtId="165" fontId="9" fillId="0" borderId="0" xfId="96" applyNumberFormat="1" applyFont="1" applyFill="1" applyAlignment="1" applyProtection="1">
      <alignment horizontal="left"/>
      <protection locked="0"/>
    </xf>
    <xf numFmtId="166" fontId="9" fillId="0" borderId="0" xfId="96" applyNumberFormat="1" applyFont="1" applyFill="1" applyProtection="1">
      <protection locked="0"/>
    </xf>
    <xf numFmtId="3" fontId="9" fillId="0" borderId="1" xfId="96" applyNumberFormat="1" applyFont="1" applyFill="1" applyBorder="1" applyProtection="1">
      <protection locked="0"/>
    </xf>
    <xf numFmtId="3" fontId="9" fillId="0" borderId="0" xfId="96" applyNumberFormat="1" applyFont="1" applyFill="1" applyBorder="1" applyProtection="1">
      <protection locked="0"/>
    </xf>
    <xf numFmtId="166" fontId="9" fillId="0" borderId="0" xfId="96" applyNumberFormat="1" applyFont="1" applyFill="1" applyAlignment="1" applyProtection="1">
      <alignment horizontal="left"/>
      <protection locked="0"/>
    </xf>
    <xf numFmtId="167" fontId="9" fillId="0" borderId="0" xfId="96" applyNumberFormat="1" applyFont="1" applyFill="1" applyAlignment="1">
      <alignment horizontal="left"/>
    </xf>
    <xf numFmtId="164" fontId="9" fillId="0" borderId="0" xfId="96" applyFont="1" applyFill="1" applyProtection="1">
      <protection locked="0"/>
    </xf>
    <xf numFmtId="164" fontId="9" fillId="0" borderId="0" xfId="95" applyFont="1" applyFill="1" applyAlignment="1" applyProtection="1">
      <alignment horizontal="left"/>
      <protection locked="0"/>
    </xf>
    <xf numFmtId="164" fontId="9" fillId="0" borderId="0" xfId="95" applyFont="1" applyFill="1" applyAlignment="1" applyProtection="1">
      <alignment horizontal="right"/>
      <protection locked="0"/>
    </xf>
    <xf numFmtId="3" fontId="9" fillId="0" borderId="0" xfId="95" applyNumberFormat="1" applyFont="1" applyFill="1" applyProtection="1">
      <protection locked="0"/>
    </xf>
    <xf numFmtId="3" fontId="9" fillId="0" borderId="0" xfId="95" applyNumberFormat="1" applyFont="1" applyFill="1"/>
    <xf numFmtId="165" fontId="9" fillId="0" borderId="0" xfId="95" applyNumberFormat="1" applyFont="1" applyFill="1" applyAlignment="1" applyProtection="1">
      <alignment horizontal="left"/>
      <protection locked="0"/>
    </xf>
    <xf numFmtId="3" fontId="9" fillId="0" borderId="1" xfId="95" applyNumberFormat="1" applyFont="1" applyFill="1" applyBorder="1" applyProtection="1">
      <protection locked="0"/>
    </xf>
    <xf numFmtId="164" fontId="9" fillId="0" borderId="0" xfId="95" applyFont="1" applyFill="1" applyBorder="1"/>
    <xf numFmtId="166" fontId="9" fillId="0" borderId="0" xfId="95" applyNumberFormat="1" applyFont="1" applyFill="1" applyProtection="1">
      <protection locked="0"/>
    </xf>
    <xf numFmtId="164" fontId="9" fillId="0" borderId="0" xfId="27" applyFont="1" applyFill="1" applyAlignment="1" applyProtection="1">
      <alignment horizontal="right"/>
      <protection locked="0"/>
    </xf>
    <xf numFmtId="3" fontId="9" fillId="0" borderId="1" xfId="95" applyNumberFormat="1" applyFont="1" applyFill="1" applyBorder="1"/>
    <xf numFmtId="3" fontId="9" fillId="0" borderId="2" xfId="95" applyNumberFormat="1" applyFont="1" applyFill="1" applyBorder="1"/>
    <xf numFmtId="164" fontId="9" fillId="0" borderId="0" xfId="95" applyFont="1" applyFill="1" applyProtection="1">
      <protection locked="0"/>
    </xf>
    <xf numFmtId="3" fontId="9" fillId="0" borderId="0" xfId="95" applyNumberFormat="1" applyFont="1" applyFill="1" applyBorder="1"/>
    <xf numFmtId="49" fontId="9" fillId="0" borderId="0" xfId="95" applyNumberFormat="1" applyFont="1" applyFill="1" applyAlignment="1" applyProtection="1">
      <alignment horizontal="left"/>
      <protection locked="0"/>
    </xf>
    <xf numFmtId="164" fontId="9" fillId="0" borderId="0" xfId="20" applyFont="1" applyFill="1" applyAlignment="1" applyProtection="1">
      <alignment horizontal="left"/>
      <protection locked="0"/>
    </xf>
    <xf numFmtId="164" fontId="9" fillId="0" borderId="0" xfId="20" applyFont="1" applyFill="1" applyAlignment="1" applyProtection="1">
      <alignment horizontal="right"/>
      <protection locked="0"/>
    </xf>
    <xf numFmtId="3" fontId="9" fillId="0" borderId="0" xfId="20" applyNumberFormat="1" applyFont="1" applyFill="1" applyBorder="1" applyProtection="1">
      <protection locked="0"/>
    </xf>
    <xf numFmtId="3" fontId="9" fillId="0" borderId="0" xfId="20" applyNumberFormat="1" applyFont="1" applyFill="1" applyProtection="1">
      <protection locked="0"/>
    </xf>
    <xf numFmtId="3" fontId="9" fillId="0" borderId="0" xfId="20" applyNumberFormat="1" applyFont="1" applyFill="1"/>
    <xf numFmtId="164" fontId="9" fillId="0" borderId="0" xfId="93" applyFont="1" applyFill="1" applyAlignment="1" applyProtection="1">
      <alignment horizontal="left"/>
    </xf>
    <xf numFmtId="164" fontId="9" fillId="0" borderId="0" xfId="93" applyFont="1" applyFill="1" applyAlignment="1" applyProtection="1">
      <alignment horizontal="right"/>
    </xf>
    <xf numFmtId="3" fontId="9" fillId="0" borderId="0" xfId="93" applyNumberFormat="1" applyFont="1" applyFill="1" applyProtection="1"/>
    <xf numFmtId="3" fontId="9" fillId="0" borderId="1" xfId="93" applyNumberFormat="1" applyFont="1" applyFill="1" applyBorder="1" applyProtection="1"/>
    <xf numFmtId="165" fontId="9" fillId="0" borderId="0" xfId="93" applyNumberFormat="1" applyFont="1" applyFill="1" applyAlignment="1" applyProtection="1">
      <alignment horizontal="left"/>
    </xf>
    <xf numFmtId="166" fontId="9" fillId="0" borderId="0" xfId="93" applyNumberFormat="1" applyFont="1" applyFill="1" applyProtection="1"/>
    <xf numFmtId="164" fontId="9" fillId="0" borderId="0" xfId="27" applyFont="1" applyFill="1" applyProtection="1"/>
    <xf numFmtId="164" fontId="9" fillId="0" borderId="0" xfId="27" applyFont="1" applyFill="1" applyAlignment="1" applyProtection="1">
      <alignment horizontal="right"/>
    </xf>
    <xf numFmtId="164" fontId="9" fillId="0" borderId="0" xfId="27" applyFont="1" applyFill="1" applyAlignment="1" applyProtection="1">
      <alignment horizontal="left"/>
    </xf>
    <xf numFmtId="0" fontId="9" fillId="0" borderId="0" xfId="0" quotePrefix="1" applyNumberFormat="1" applyFont="1" applyFill="1" applyProtection="1"/>
    <xf numFmtId="3" fontId="9" fillId="0" borderId="2" xfId="93" applyNumberFormat="1" applyFont="1" applyFill="1" applyBorder="1" applyProtection="1"/>
    <xf numFmtId="3" fontId="9" fillId="0" borderId="0" xfId="93" applyNumberFormat="1" applyFont="1" applyFill="1" applyBorder="1" applyProtection="1"/>
    <xf numFmtId="164" fontId="9" fillId="0" borderId="0" xfId="103" applyFont="1" applyFill="1" applyAlignment="1" applyProtection="1">
      <alignment horizontal="left"/>
    </xf>
    <xf numFmtId="3" fontId="9" fillId="0" borderId="1" xfId="0" applyNumberFormat="1" applyFont="1" applyFill="1" applyBorder="1" applyProtection="1"/>
    <xf numFmtId="164" fontId="9" fillId="0" borderId="0" xfId="66" applyFont="1" applyFill="1" applyAlignment="1" applyProtection="1">
      <alignment horizontal="left"/>
      <protection locked="0"/>
    </xf>
    <xf numFmtId="164" fontId="9" fillId="0" borderId="0" xfId="66" applyFont="1" applyFill="1" applyProtection="1">
      <protection locked="0"/>
    </xf>
    <xf numFmtId="3" fontId="9" fillId="0" borderId="0" xfId="66" applyNumberFormat="1" applyFont="1" applyFill="1" applyProtection="1">
      <protection locked="0"/>
    </xf>
    <xf numFmtId="3" fontId="9" fillId="0" borderId="0" xfId="66" applyNumberFormat="1" applyFont="1" applyFill="1"/>
    <xf numFmtId="3" fontId="9" fillId="0" borderId="1" xfId="66" applyNumberFormat="1" applyFont="1" applyFill="1" applyBorder="1" applyProtection="1">
      <protection locked="0"/>
    </xf>
    <xf numFmtId="3" fontId="9" fillId="0" borderId="0" xfId="67" applyNumberFormat="1" applyFont="1" applyFill="1" applyProtection="1">
      <protection locked="0"/>
    </xf>
    <xf numFmtId="3" fontId="9" fillId="0" borderId="2" xfId="66" applyNumberFormat="1" applyFont="1" applyFill="1" applyBorder="1" applyProtection="1">
      <protection locked="0"/>
    </xf>
    <xf numFmtId="164" fontId="9" fillId="0" borderId="0" xfId="66" quotePrefix="1" applyFont="1" applyFill="1"/>
    <xf numFmtId="164" fontId="9" fillId="0" borderId="0" xfId="94" applyFont="1" applyFill="1" applyAlignment="1" applyProtection="1">
      <alignment horizontal="left"/>
      <protection locked="0"/>
    </xf>
    <xf numFmtId="164" fontId="9" fillId="0" borderId="0" xfId="94" applyFont="1" applyFill="1" applyAlignment="1" applyProtection="1">
      <alignment horizontal="right"/>
      <protection locked="0"/>
    </xf>
    <xf numFmtId="3" fontId="9" fillId="0" borderId="0" xfId="94" applyNumberFormat="1" applyFont="1" applyFill="1" applyProtection="1">
      <protection locked="0"/>
    </xf>
    <xf numFmtId="3" fontId="9" fillId="0" borderId="0" xfId="94" applyNumberFormat="1" applyFont="1" applyFill="1"/>
    <xf numFmtId="164" fontId="9" fillId="0" borderId="0" xfId="94" applyFont="1" applyFill="1" applyAlignment="1">
      <alignment horizontal="left"/>
    </xf>
    <xf numFmtId="165" fontId="9" fillId="0" borderId="0" xfId="94" applyNumberFormat="1" applyFont="1" applyFill="1" applyAlignment="1" applyProtection="1">
      <alignment horizontal="left"/>
      <protection locked="0"/>
    </xf>
    <xf numFmtId="3" fontId="9" fillId="0" borderId="1" xfId="94" applyNumberFormat="1" applyFont="1" applyFill="1" applyBorder="1"/>
    <xf numFmtId="3" fontId="9" fillId="0" borderId="2" xfId="94" applyNumberFormat="1" applyFont="1" applyFill="1" applyBorder="1"/>
    <xf numFmtId="3" fontId="9" fillId="0" borderId="2" xfId="94" applyNumberFormat="1" applyFont="1" applyFill="1" applyBorder="1" applyProtection="1">
      <protection locked="0"/>
    </xf>
    <xf numFmtId="166" fontId="9" fillId="0" borderId="0" xfId="94" applyNumberFormat="1" applyFont="1" applyFill="1" applyProtection="1">
      <protection locked="0"/>
    </xf>
    <xf numFmtId="3" fontId="9" fillId="0" borderId="1" xfId="94" applyNumberFormat="1" applyFont="1" applyFill="1" applyBorder="1" applyProtection="1">
      <protection locked="0"/>
    </xf>
    <xf numFmtId="3" fontId="9" fillId="0" borderId="1" xfId="0" applyNumberFormat="1" applyFont="1" applyFill="1" applyBorder="1" applyAlignment="1"/>
    <xf numFmtId="3" fontId="9" fillId="0" borderId="0" xfId="94" applyNumberFormat="1" applyFont="1" applyFill="1" applyBorder="1" applyProtection="1">
      <protection locked="0"/>
    </xf>
    <xf numFmtId="164" fontId="9" fillId="0" borderId="0" xfId="94" applyFont="1" applyFill="1" applyProtection="1">
      <protection locked="0"/>
    </xf>
    <xf numFmtId="164" fontId="9" fillId="0" borderId="0" xfId="1" applyFont="1" applyFill="1" applyAlignment="1" applyProtection="1">
      <alignment horizontal="left"/>
      <protection locked="0"/>
    </xf>
    <xf numFmtId="164" fontId="9" fillId="0" borderId="0" xfId="1" applyFont="1" applyFill="1" applyAlignment="1" applyProtection="1">
      <alignment horizontal="right"/>
      <protection locked="0"/>
    </xf>
    <xf numFmtId="3" fontId="9" fillId="0" borderId="0" xfId="1" applyNumberFormat="1" applyFont="1" applyFill="1" applyBorder="1" applyProtection="1">
      <protection locked="0"/>
    </xf>
    <xf numFmtId="165" fontId="9" fillId="0" borderId="0" xfId="1" applyNumberFormat="1" applyFont="1" applyFill="1" applyAlignment="1" applyProtection="1">
      <alignment horizontal="left"/>
      <protection locked="0"/>
    </xf>
    <xf numFmtId="3" fontId="9" fillId="0" borderId="0" xfId="1" applyNumberFormat="1" applyFont="1" applyFill="1" applyProtection="1">
      <protection locked="0"/>
    </xf>
    <xf numFmtId="3" fontId="9" fillId="0" borderId="0" xfId="1" applyNumberFormat="1" applyFont="1" applyFill="1"/>
    <xf numFmtId="167" fontId="9" fillId="0" borderId="0" xfId="1" applyNumberFormat="1" applyFont="1" applyFill="1" applyAlignment="1">
      <alignment horizontal="left"/>
    </xf>
    <xf numFmtId="166" fontId="9" fillId="0" borderId="0" xfId="92" applyFont="1" applyFill="1" applyAlignment="1" applyProtection="1">
      <alignment horizontal="left"/>
      <protection locked="0"/>
    </xf>
    <xf numFmtId="3" fontId="9" fillId="0" borderId="0" xfId="92" applyNumberFormat="1" applyFont="1" applyFill="1" applyProtection="1">
      <protection locked="0"/>
    </xf>
    <xf numFmtId="3" fontId="9" fillId="0" borderId="0" xfId="92" applyNumberFormat="1" applyFont="1" applyFill="1"/>
    <xf numFmtId="2" fontId="9" fillId="0" borderId="0" xfId="92" applyNumberFormat="1" applyFont="1" applyFill="1" applyAlignment="1">
      <alignment horizontal="left"/>
    </xf>
    <xf numFmtId="3" fontId="9" fillId="0" borderId="1" xfId="92" applyNumberFormat="1" applyFont="1" applyFill="1" applyBorder="1" applyProtection="1">
      <protection locked="0"/>
    </xf>
    <xf numFmtId="166" fontId="9" fillId="0" borderId="0" xfId="92" applyNumberFormat="1" applyFont="1" applyFill="1" applyProtection="1">
      <protection locked="0"/>
    </xf>
    <xf numFmtId="164" fontId="10" fillId="0" borderId="0" xfId="73" applyFont="1" applyFill="1"/>
    <xf numFmtId="167" fontId="9" fillId="0" borderId="0" xfId="92" applyNumberFormat="1" applyFont="1" applyFill="1" applyAlignment="1" applyProtection="1">
      <alignment horizontal="left"/>
      <protection locked="0"/>
    </xf>
    <xf numFmtId="166" fontId="9" fillId="0" borderId="0" xfId="92" applyFont="1" applyFill="1" applyProtection="1">
      <protection locked="0"/>
    </xf>
    <xf numFmtId="3" fontId="9" fillId="0" borderId="1" xfId="92" applyNumberFormat="1" applyFont="1" applyFill="1" applyBorder="1"/>
    <xf numFmtId="3" fontId="9" fillId="0" borderId="0" xfId="92" applyNumberFormat="1" applyFont="1" applyFill="1" applyBorder="1"/>
    <xf numFmtId="3" fontId="9" fillId="0" borderId="2" xfId="92" applyNumberFormat="1" applyFont="1" applyFill="1" applyBorder="1"/>
    <xf numFmtId="164" fontId="9" fillId="0" borderId="0" xfId="91" applyFont="1" applyFill="1" applyAlignment="1" applyProtection="1">
      <alignment horizontal="left"/>
      <protection locked="0"/>
    </xf>
    <xf numFmtId="164" fontId="9" fillId="0" borderId="0" xfId="91" applyFont="1" applyFill="1" applyAlignment="1" applyProtection="1">
      <alignment horizontal="right"/>
      <protection locked="0"/>
    </xf>
    <xf numFmtId="3" fontId="9" fillId="0" borderId="0" xfId="91" applyNumberFormat="1" applyFont="1" applyFill="1" applyProtection="1">
      <protection locked="0"/>
    </xf>
    <xf numFmtId="3" fontId="9" fillId="0" borderId="1" xfId="91" applyNumberFormat="1" applyFont="1" applyFill="1" applyBorder="1" applyProtection="1">
      <protection locked="0"/>
    </xf>
    <xf numFmtId="3" fontId="9" fillId="0" borderId="0" xfId="91" applyNumberFormat="1" applyFont="1" applyFill="1"/>
    <xf numFmtId="167" fontId="9" fillId="0" borderId="0" xfId="91" applyNumberFormat="1" applyFont="1" applyFill="1" applyAlignment="1">
      <alignment horizontal="left"/>
    </xf>
    <xf numFmtId="167" fontId="9" fillId="0" borderId="0" xfId="83" applyNumberFormat="1" applyFont="1" applyFill="1" applyAlignment="1" applyProtection="1">
      <alignment horizontal="left"/>
      <protection locked="0"/>
    </xf>
    <xf numFmtId="167" fontId="9" fillId="0" borderId="0" xfId="83" applyNumberFormat="1" applyFont="1" applyFill="1" applyAlignment="1">
      <alignment horizontal="left"/>
    </xf>
    <xf numFmtId="3" fontId="9" fillId="0" borderId="2" xfId="91" applyNumberFormat="1" applyFont="1" applyFill="1" applyBorder="1" applyProtection="1">
      <protection locked="0"/>
    </xf>
    <xf numFmtId="164" fontId="9" fillId="0" borderId="0" xfId="63" applyFont="1" applyFill="1" applyAlignment="1" applyProtection="1">
      <alignment horizontal="left"/>
      <protection locked="0"/>
    </xf>
    <xf numFmtId="164" fontId="9" fillId="0" borderId="0" xfId="63" applyFont="1" applyFill="1" applyProtection="1">
      <protection locked="0"/>
    </xf>
    <xf numFmtId="3" fontId="9" fillId="0" borderId="0" xfId="63" applyNumberFormat="1" applyFont="1" applyFill="1" applyProtection="1">
      <protection locked="0"/>
    </xf>
    <xf numFmtId="3" fontId="9" fillId="0" borderId="0" xfId="63" applyNumberFormat="1" applyFont="1" applyFill="1"/>
    <xf numFmtId="3" fontId="9" fillId="0" borderId="1" xfId="63" applyNumberFormat="1" applyFont="1" applyFill="1" applyBorder="1" applyProtection="1">
      <protection locked="0"/>
    </xf>
    <xf numFmtId="164" fontId="9" fillId="0" borderId="0" xfId="63" applyFont="1" applyFill="1" applyBorder="1" applyProtection="1">
      <protection locked="0"/>
    </xf>
    <xf numFmtId="3" fontId="9" fillId="0" borderId="0" xfId="64" applyNumberFormat="1" applyFont="1" applyFill="1" applyProtection="1">
      <protection locked="0"/>
    </xf>
    <xf numFmtId="164" fontId="9" fillId="0" borderId="0" xfId="87" applyFont="1" applyFill="1" applyAlignment="1" applyProtection="1">
      <alignment horizontal="left"/>
      <protection locked="0"/>
    </xf>
    <xf numFmtId="164" fontId="9" fillId="0" borderId="0" xfId="87" applyFont="1" applyFill="1" applyProtection="1">
      <protection locked="0"/>
    </xf>
    <xf numFmtId="3" fontId="9" fillId="0" borderId="0" xfId="87" applyNumberFormat="1" applyFont="1" applyFill="1" applyProtection="1">
      <protection locked="0"/>
    </xf>
    <xf numFmtId="3" fontId="9" fillId="0" borderId="0" xfId="87" applyNumberFormat="1" applyFont="1" applyFill="1"/>
    <xf numFmtId="3" fontId="9" fillId="0" borderId="1" xfId="87" applyNumberFormat="1" applyFont="1" applyFill="1" applyBorder="1" applyProtection="1">
      <protection locked="0"/>
    </xf>
    <xf numFmtId="3" fontId="9" fillId="0" borderId="0" xfId="90" applyNumberFormat="1" applyFont="1" applyFill="1" applyProtection="1">
      <protection locked="0"/>
    </xf>
    <xf numFmtId="3" fontId="9" fillId="0" borderId="2" xfId="87" applyNumberFormat="1" applyFont="1" applyFill="1" applyBorder="1" applyProtection="1">
      <protection locked="0"/>
    </xf>
    <xf numFmtId="49" fontId="9" fillId="0" borderId="0" xfId="87" applyNumberFormat="1" applyFont="1" applyFill="1" applyAlignment="1" applyProtection="1">
      <alignment horizontal="left"/>
      <protection locked="0"/>
    </xf>
    <xf numFmtId="167" fontId="9" fillId="0" borderId="0" xfId="87" applyNumberFormat="1" applyFont="1" applyFill="1" applyAlignment="1" applyProtection="1">
      <alignment horizontal="left"/>
      <protection locked="0"/>
    </xf>
    <xf numFmtId="164" fontId="9" fillId="0" borderId="0" xfId="86" applyFont="1" applyFill="1" applyAlignment="1" applyProtection="1">
      <alignment horizontal="left"/>
      <protection locked="0"/>
    </xf>
    <xf numFmtId="164" fontId="9" fillId="0" borderId="0" xfId="86" applyFont="1" applyFill="1" applyAlignment="1" applyProtection="1">
      <alignment horizontal="right"/>
      <protection locked="0"/>
    </xf>
    <xf numFmtId="3" fontId="9" fillId="0" borderId="0" xfId="86" applyNumberFormat="1" applyFont="1" applyFill="1" applyProtection="1">
      <protection locked="0"/>
    </xf>
    <xf numFmtId="3" fontId="9" fillId="0" borderId="0" xfId="86" applyNumberFormat="1" applyFont="1" applyFill="1"/>
    <xf numFmtId="165" fontId="9" fillId="0" borderId="0" xfId="86" applyNumberFormat="1" applyFont="1" applyFill="1" applyAlignment="1" applyProtection="1">
      <alignment horizontal="left"/>
      <protection locked="0"/>
    </xf>
    <xf numFmtId="3" fontId="9" fillId="0" borderId="1" xfId="86" applyNumberFormat="1" applyFont="1" applyFill="1" applyBorder="1" applyProtection="1">
      <protection locked="0"/>
    </xf>
    <xf numFmtId="3" fontId="9" fillId="0" borderId="0" xfId="86" applyNumberFormat="1" applyFont="1" applyFill="1" applyBorder="1" applyProtection="1">
      <protection locked="0"/>
    </xf>
    <xf numFmtId="166" fontId="9" fillId="0" borderId="0" xfId="86" applyNumberFormat="1" applyFont="1" applyFill="1" applyProtection="1">
      <protection locked="0"/>
    </xf>
    <xf numFmtId="3" fontId="9" fillId="0" borderId="2" xfId="86" applyNumberFormat="1" applyFont="1" applyFill="1" applyBorder="1" applyProtection="1">
      <protection locked="0"/>
    </xf>
    <xf numFmtId="164" fontId="9" fillId="0" borderId="0" xfId="86" applyFont="1" applyFill="1" applyProtection="1">
      <protection locked="0"/>
    </xf>
    <xf numFmtId="164" fontId="9" fillId="0" borderId="0" xfId="84" applyFont="1" applyFill="1" applyAlignment="1" applyProtection="1">
      <alignment horizontal="left"/>
      <protection locked="0"/>
    </xf>
    <xf numFmtId="164" fontId="9" fillId="0" borderId="0" xfId="84" applyFont="1" applyFill="1" applyAlignment="1" applyProtection="1">
      <alignment horizontal="right"/>
      <protection locked="0"/>
    </xf>
    <xf numFmtId="3" fontId="9" fillId="0" borderId="0" xfId="84" applyNumberFormat="1" applyFont="1" applyFill="1" applyProtection="1">
      <protection locked="0"/>
    </xf>
    <xf numFmtId="165" fontId="9" fillId="0" borderId="0" xfId="84" applyNumberFormat="1" applyFont="1" applyFill="1" applyAlignment="1" applyProtection="1">
      <alignment horizontal="left"/>
      <protection locked="0"/>
    </xf>
    <xf numFmtId="3" fontId="9" fillId="0" borderId="0" xfId="84" applyNumberFormat="1" applyFont="1" applyFill="1"/>
    <xf numFmtId="3" fontId="9" fillId="0" borderId="1" xfId="84" applyNumberFormat="1" applyFont="1" applyFill="1" applyBorder="1" applyProtection="1">
      <protection locked="0"/>
    </xf>
    <xf numFmtId="3" fontId="9" fillId="0" borderId="0" xfId="84" applyNumberFormat="1" applyFont="1" applyFill="1" applyBorder="1" applyProtection="1">
      <protection locked="0"/>
    </xf>
    <xf numFmtId="166" fontId="9" fillId="0" borderId="0" xfId="84" applyNumberFormat="1" applyFont="1" applyFill="1" applyProtection="1">
      <protection locked="0"/>
    </xf>
    <xf numFmtId="164" fontId="9" fillId="0" borderId="0" xfId="84" applyFont="1" applyFill="1" applyProtection="1">
      <protection locked="0"/>
    </xf>
    <xf numFmtId="3" fontId="9" fillId="0" borderId="2" xfId="84" applyNumberFormat="1" applyFont="1" applyFill="1" applyBorder="1" applyProtection="1">
      <protection locked="0"/>
    </xf>
    <xf numFmtId="167" fontId="9" fillId="0" borderId="0" xfId="84" applyNumberFormat="1" applyFont="1" applyFill="1" applyAlignment="1" applyProtection="1">
      <alignment horizontal="left"/>
      <protection locked="0"/>
    </xf>
    <xf numFmtId="3" fontId="9" fillId="0" borderId="0" xfId="84" applyNumberFormat="1" applyFont="1" applyFill="1" applyAlignment="1"/>
    <xf numFmtId="165" fontId="9" fillId="0" borderId="0" xfId="85" applyNumberFormat="1" applyFont="1" applyFill="1" applyAlignment="1" applyProtection="1">
      <alignment horizontal="left"/>
      <protection locked="0"/>
    </xf>
    <xf numFmtId="164" fontId="9" fillId="0" borderId="0" xfId="85" applyFont="1" applyFill="1" applyProtection="1">
      <protection locked="0"/>
    </xf>
    <xf numFmtId="164" fontId="9" fillId="0" borderId="0" xfId="1" applyFont="1" applyFill="1" applyAlignment="1">
      <alignment horizontal="right"/>
    </xf>
    <xf numFmtId="164" fontId="9" fillId="0" borderId="0" xfId="83" applyFont="1" applyFill="1" applyAlignment="1" applyProtection="1">
      <alignment horizontal="left"/>
      <protection locked="0"/>
    </xf>
    <xf numFmtId="164" fontId="9" fillId="0" borderId="0" xfId="83" applyFont="1" applyFill="1" applyAlignment="1" applyProtection="1">
      <alignment horizontal="right"/>
      <protection locked="0"/>
    </xf>
    <xf numFmtId="3" fontId="9" fillId="0" borderId="0" xfId="83" applyNumberFormat="1" applyFont="1" applyFill="1" applyProtection="1">
      <protection locked="0"/>
    </xf>
    <xf numFmtId="3" fontId="9" fillId="0" borderId="0" xfId="83" applyNumberFormat="1" applyFont="1" applyFill="1"/>
    <xf numFmtId="3" fontId="9" fillId="0" borderId="1" xfId="83" applyNumberFormat="1" applyFont="1" applyFill="1" applyBorder="1" applyProtection="1">
      <protection locked="0"/>
    </xf>
    <xf numFmtId="3" fontId="9" fillId="0" borderId="2" xfId="83" applyNumberFormat="1" applyFont="1" applyFill="1" applyBorder="1" applyProtection="1">
      <protection locked="0"/>
    </xf>
    <xf numFmtId="166" fontId="9" fillId="0" borderId="0" xfId="83" applyNumberFormat="1" applyFont="1" applyFill="1" applyProtection="1">
      <protection locked="0"/>
    </xf>
    <xf numFmtId="164" fontId="9" fillId="0" borderId="0" xfId="34" applyFont="1" applyFill="1"/>
    <xf numFmtId="3" fontId="9" fillId="0" borderId="2" xfId="83" applyNumberFormat="1" applyFont="1" applyFill="1" applyBorder="1"/>
    <xf numFmtId="3" fontId="9" fillId="0" borderId="0" xfId="83" applyNumberFormat="1" applyFont="1" applyFill="1" applyBorder="1"/>
    <xf numFmtId="164" fontId="9" fillId="0" borderId="0" xfId="82" applyFont="1" applyFill="1" applyAlignment="1" applyProtection="1">
      <alignment horizontal="left"/>
      <protection locked="0"/>
    </xf>
    <xf numFmtId="164" fontId="9" fillId="0" borderId="0" xfId="82" applyFont="1" applyFill="1" applyAlignment="1" applyProtection="1">
      <alignment horizontal="right"/>
      <protection locked="0"/>
    </xf>
    <xf numFmtId="3" fontId="9" fillId="0" borderId="0" xfId="82" applyNumberFormat="1" applyFont="1" applyFill="1" applyProtection="1">
      <protection locked="0"/>
    </xf>
    <xf numFmtId="3" fontId="9" fillId="0" borderId="0" xfId="82" applyNumberFormat="1" applyFont="1" applyFill="1"/>
    <xf numFmtId="165" fontId="9" fillId="0" borderId="0" xfId="82" applyNumberFormat="1" applyFont="1" applyFill="1" applyAlignment="1" applyProtection="1">
      <alignment horizontal="left"/>
      <protection locked="0"/>
    </xf>
    <xf numFmtId="3" fontId="9" fillId="0" borderId="0" xfId="82" applyNumberFormat="1" applyFont="1" applyFill="1" applyBorder="1" applyProtection="1">
      <protection locked="0"/>
    </xf>
    <xf numFmtId="166" fontId="9" fillId="0" borderId="0" xfId="82" applyNumberFormat="1" applyFont="1" applyFill="1" applyProtection="1">
      <protection locked="0"/>
    </xf>
    <xf numFmtId="167" fontId="9" fillId="0" borderId="0" xfId="82" applyNumberFormat="1" applyFont="1" applyFill="1" applyAlignment="1" applyProtection="1">
      <alignment horizontal="left"/>
      <protection locked="0"/>
    </xf>
    <xf numFmtId="0" fontId="9" fillId="0" borderId="0" xfId="0" applyNumberFormat="1" applyFont="1" applyFill="1"/>
    <xf numFmtId="3" fontId="9" fillId="0" borderId="2" xfId="82" applyNumberFormat="1" applyFont="1" applyFill="1" applyBorder="1" applyProtection="1">
      <protection locked="0"/>
    </xf>
    <xf numFmtId="164" fontId="9" fillId="0" borderId="0" xfId="81" applyFont="1" applyFill="1" applyAlignment="1" applyProtection="1">
      <alignment horizontal="left"/>
      <protection locked="0"/>
    </xf>
    <xf numFmtId="164" fontId="9" fillId="0" borderId="0" xfId="81" applyFont="1" applyFill="1" applyAlignment="1" applyProtection="1">
      <alignment horizontal="right"/>
      <protection locked="0"/>
    </xf>
    <xf numFmtId="3" fontId="9" fillId="0" borderId="0" xfId="81" applyNumberFormat="1" applyFont="1" applyFill="1" applyProtection="1">
      <protection locked="0"/>
    </xf>
    <xf numFmtId="3" fontId="9" fillId="0" borderId="0" xfId="81" applyNumberFormat="1" applyFont="1" applyFill="1"/>
    <xf numFmtId="165" fontId="9" fillId="0" borderId="0" xfId="81" applyNumberFormat="1" applyFont="1" applyFill="1" applyAlignment="1" applyProtection="1">
      <alignment horizontal="left"/>
      <protection locked="0"/>
    </xf>
    <xf numFmtId="3" fontId="9" fillId="0" borderId="1" xfId="81" applyNumberFormat="1" applyFont="1" applyFill="1" applyBorder="1"/>
    <xf numFmtId="3" fontId="9" fillId="0" borderId="2" xfId="81" applyNumberFormat="1" applyFont="1" applyFill="1" applyBorder="1"/>
    <xf numFmtId="3" fontId="9" fillId="0" borderId="1" xfId="81" applyNumberFormat="1" applyFont="1" applyFill="1" applyBorder="1" applyProtection="1">
      <protection locked="0"/>
    </xf>
    <xf numFmtId="166" fontId="9" fillId="0" borderId="0" xfId="81" applyNumberFormat="1" applyFont="1" applyFill="1" applyProtection="1">
      <protection locked="0"/>
    </xf>
    <xf numFmtId="3" fontId="9" fillId="0" borderId="2" xfId="81" applyNumberFormat="1" applyFont="1" applyFill="1" applyBorder="1" applyProtection="1">
      <protection locked="0"/>
    </xf>
    <xf numFmtId="164" fontId="9" fillId="0" borderId="0" xfId="81" applyFont="1" applyFill="1" applyProtection="1">
      <protection locked="0"/>
    </xf>
    <xf numFmtId="164" fontId="9" fillId="0" borderId="0" xfId="77" applyFont="1" applyFill="1" applyAlignment="1" applyProtection="1">
      <alignment horizontal="left"/>
      <protection locked="0"/>
    </xf>
    <xf numFmtId="164" fontId="9" fillId="0" borderId="0" xfId="77" applyFont="1" applyFill="1" applyProtection="1">
      <protection locked="0"/>
    </xf>
    <xf numFmtId="3" fontId="9" fillId="0" borderId="0" xfId="77" applyNumberFormat="1" applyFont="1" applyFill="1" applyProtection="1">
      <protection locked="0"/>
    </xf>
    <xf numFmtId="165" fontId="9" fillId="0" borderId="0" xfId="77" applyNumberFormat="1" applyFont="1" applyFill="1" applyAlignment="1" applyProtection="1">
      <alignment horizontal="left"/>
      <protection locked="0"/>
    </xf>
    <xf numFmtId="3" fontId="9" fillId="0" borderId="0" xfId="77" applyNumberFormat="1" applyFont="1" applyFill="1"/>
    <xf numFmtId="166" fontId="9" fillId="0" borderId="0" xfId="77" applyNumberFormat="1" applyFont="1" applyFill="1" applyAlignment="1" applyProtection="1">
      <alignment horizontal="left"/>
      <protection locked="0"/>
    </xf>
    <xf numFmtId="3" fontId="9" fillId="0" borderId="0" xfId="80" applyNumberFormat="1" applyFont="1" applyFill="1" applyProtection="1">
      <protection locked="0"/>
    </xf>
    <xf numFmtId="3" fontId="9" fillId="0" borderId="0" xfId="77" applyNumberFormat="1" applyFont="1" applyFill="1" applyBorder="1" applyProtection="1">
      <protection locked="0"/>
    </xf>
    <xf numFmtId="3" fontId="9" fillId="0" borderId="0" xfId="80" applyNumberFormat="1" applyFont="1" applyFill="1" applyBorder="1" applyProtection="1">
      <protection locked="0"/>
    </xf>
    <xf numFmtId="164" fontId="9" fillId="0" borderId="0" xfId="16" applyFont="1" applyFill="1" applyAlignment="1" applyProtection="1">
      <alignment horizontal="left"/>
      <protection locked="0"/>
    </xf>
    <xf numFmtId="164" fontId="9" fillId="0" borderId="0" xfId="16" applyFont="1" applyFill="1" applyAlignment="1" applyProtection="1">
      <alignment horizontal="right"/>
      <protection locked="0"/>
    </xf>
    <xf numFmtId="3" fontId="9" fillId="0" borderId="0" xfId="16" applyNumberFormat="1" applyFont="1" applyFill="1" applyBorder="1" applyProtection="1">
      <protection locked="0"/>
    </xf>
    <xf numFmtId="3" fontId="9" fillId="0" borderId="0" xfId="16" applyNumberFormat="1" applyFont="1" applyFill="1"/>
    <xf numFmtId="3" fontId="9" fillId="0" borderId="0" xfId="16" applyNumberFormat="1" applyFont="1" applyFill="1" applyProtection="1">
      <protection locked="0"/>
    </xf>
    <xf numFmtId="166" fontId="9" fillId="0" borderId="0" xfId="16" applyNumberFormat="1" applyFont="1" applyFill="1" applyAlignment="1" applyProtection="1">
      <alignment horizontal="left"/>
      <protection locked="0"/>
    </xf>
    <xf numFmtId="3" fontId="9" fillId="0" borderId="2" xfId="0" applyNumberFormat="1" applyFont="1" applyFill="1" applyBorder="1" applyAlignment="1" applyProtection="1">
      <protection locked="0"/>
    </xf>
    <xf numFmtId="3" fontId="9" fillId="0" borderId="1" xfId="20" applyNumberFormat="1" applyFont="1" applyFill="1" applyBorder="1" applyProtection="1">
      <protection locked="0"/>
    </xf>
    <xf numFmtId="164" fontId="9" fillId="0" borderId="0" xfId="20" applyFont="1" applyFill="1" applyProtection="1">
      <protection locked="0"/>
    </xf>
    <xf numFmtId="3" fontId="9" fillId="0" borderId="2" xfId="20" applyNumberFormat="1" applyFont="1" applyFill="1" applyBorder="1" applyProtection="1">
      <protection locked="0"/>
    </xf>
    <xf numFmtId="167" fontId="9" fillId="0" borderId="0" xfId="20" applyNumberFormat="1" applyFont="1" applyFill="1" applyAlignment="1" applyProtection="1">
      <alignment horizontal="left"/>
      <protection locked="0"/>
    </xf>
    <xf numFmtId="164" fontId="9" fillId="0" borderId="0" xfId="75" applyFont="1" applyFill="1" applyAlignment="1" applyProtection="1">
      <alignment horizontal="left"/>
      <protection locked="0"/>
    </xf>
    <xf numFmtId="164" fontId="9" fillId="0" borderId="0" xfId="75" applyFont="1" applyFill="1" applyProtection="1">
      <protection locked="0"/>
    </xf>
    <xf numFmtId="3" fontId="9" fillId="0" borderId="0" xfId="75" applyNumberFormat="1" applyFont="1" applyFill="1" applyProtection="1">
      <protection locked="0"/>
    </xf>
    <xf numFmtId="3" fontId="9" fillId="0" borderId="0" xfId="75" applyNumberFormat="1" applyFont="1" applyFill="1"/>
    <xf numFmtId="3" fontId="9" fillId="0" borderId="0" xfId="76" applyNumberFormat="1" applyFont="1" applyFill="1" applyProtection="1">
      <protection locked="0"/>
    </xf>
    <xf numFmtId="164" fontId="9" fillId="0" borderId="0" xfId="75" quotePrefix="1" applyFont="1" applyFill="1"/>
    <xf numFmtId="164" fontId="9" fillId="0" borderId="0" xfId="74" applyFont="1" applyFill="1" applyAlignment="1" applyProtection="1">
      <alignment horizontal="left"/>
      <protection locked="0"/>
    </xf>
    <xf numFmtId="164" fontId="9" fillId="0" borderId="0" xfId="74" applyFont="1" applyFill="1" applyAlignment="1" applyProtection="1">
      <alignment horizontal="right"/>
      <protection locked="0"/>
    </xf>
    <xf numFmtId="3" fontId="9" fillId="0" borderId="0" xfId="74" applyNumberFormat="1" applyFont="1" applyFill="1" applyProtection="1">
      <protection locked="0"/>
    </xf>
    <xf numFmtId="3" fontId="9" fillId="0" borderId="0" xfId="74" applyNumberFormat="1" applyFont="1" applyFill="1"/>
    <xf numFmtId="164" fontId="9" fillId="0" borderId="0" xfId="74" applyFont="1" applyFill="1" applyAlignment="1">
      <alignment horizontal="left"/>
    </xf>
    <xf numFmtId="165" fontId="9" fillId="0" borderId="0" xfId="74" applyNumberFormat="1" applyFont="1" applyFill="1" applyAlignment="1" applyProtection="1">
      <alignment horizontal="left"/>
      <protection locked="0"/>
    </xf>
    <xf numFmtId="3" fontId="9" fillId="0" borderId="1" xfId="74" applyNumberFormat="1" applyFont="1" applyFill="1" applyBorder="1" applyProtection="1">
      <protection locked="0"/>
    </xf>
    <xf numFmtId="3" fontId="9" fillId="0" borderId="2" xfId="74" applyNumberFormat="1" applyFont="1" applyFill="1" applyBorder="1" applyProtection="1">
      <protection locked="0"/>
    </xf>
    <xf numFmtId="3" fontId="9" fillId="0" borderId="0" xfId="74" applyNumberFormat="1" applyFont="1" applyFill="1" applyBorder="1" applyProtection="1">
      <protection locked="0"/>
    </xf>
    <xf numFmtId="166" fontId="9" fillId="0" borderId="0" xfId="74" applyNumberFormat="1" applyFont="1" applyFill="1" applyAlignment="1" applyProtection="1">
      <alignment horizontal="left"/>
      <protection locked="0"/>
    </xf>
    <xf numFmtId="166" fontId="9" fillId="0" borderId="0" xfId="74" applyNumberFormat="1" applyFont="1" applyFill="1" applyProtection="1">
      <protection locked="0"/>
    </xf>
    <xf numFmtId="3" fontId="9" fillId="0" borderId="1" xfId="74" applyNumberFormat="1" applyFont="1" applyFill="1" applyBorder="1"/>
    <xf numFmtId="3" fontId="9" fillId="0" borderId="2" xfId="74" applyNumberFormat="1" applyFont="1" applyFill="1" applyBorder="1"/>
    <xf numFmtId="164" fontId="9" fillId="0" borderId="0" xfId="74" applyFont="1" applyFill="1" applyProtection="1">
      <protection locked="0"/>
    </xf>
    <xf numFmtId="3" fontId="9" fillId="0" borderId="0" xfId="74" applyNumberFormat="1" applyFont="1" applyFill="1" applyBorder="1"/>
    <xf numFmtId="3" fontId="15" fillId="0" borderId="0" xfId="0" applyNumberFormat="1" applyFont="1" applyFill="1" applyBorder="1" applyAlignment="1" applyProtection="1">
      <protection locked="0"/>
    </xf>
    <xf numFmtId="3" fontId="16" fillId="0" borderId="0" xfId="0" applyNumberFormat="1" applyFont="1" applyFill="1" applyAlignment="1"/>
    <xf numFmtId="164" fontId="10" fillId="0" borderId="0" xfId="73" applyFont="1" applyFill="1" applyAlignment="1" applyProtection="1">
      <alignment horizontal="left"/>
      <protection locked="0"/>
    </xf>
    <xf numFmtId="164" fontId="10" fillId="0" borderId="0" xfId="73" applyFont="1" applyFill="1" applyAlignment="1" applyProtection="1">
      <alignment horizontal="right"/>
      <protection locked="0"/>
    </xf>
    <xf numFmtId="3" fontId="10" fillId="0" borderId="0" xfId="73" applyNumberFormat="1" applyFont="1" applyFill="1" applyProtection="1">
      <protection locked="0"/>
    </xf>
    <xf numFmtId="3" fontId="10" fillId="0" borderId="0" xfId="73" applyNumberFormat="1" applyFont="1" applyFill="1"/>
    <xf numFmtId="165" fontId="10" fillId="0" borderId="0" xfId="73" applyNumberFormat="1" applyFont="1" applyFill="1" applyAlignment="1" applyProtection="1">
      <alignment horizontal="left"/>
      <protection locked="0"/>
    </xf>
    <xf numFmtId="3" fontId="10" fillId="0" borderId="1" xfId="73" applyNumberFormat="1" applyFont="1" applyFill="1" applyBorder="1" applyProtection="1">
      <protection locked="0"/>
    </xf>
    <xf numFmtId="166" fontId="10" fillId="0" borderId="0" xfId="73" applyNumberFormat="1" applyFont="1" applyFill="1" applyProtection="1">
      <protection locked="0"/>
    </xf>
    <xf numFmtId="167" fontId="10" fillId="0" borderId="0" xfId="73" applyNumberFormat="1" applyFont="1" applyFill="1" applyAlignment="1" applyProtection="1">
      <alignment horizontal="left"/>
      <protection locked="0"/>
    </xf>
    <xf numFmtId="164" fontId="10" fillId="0" borderId="0" xfId="73" applyFont="1" applyFill="1" applyProtection="1">
      <protection locked="0"/>
    </xf>
    <xf numFmtId="3" fontId="10" fillId="0" borderId="0" xfId="73" applyNumberFormat="1" applyFont="1" applyFill="1" applyBorder="1" applyProtection="1">
      <protection locked="0"/>
    </xf>
    <xf numFmtId="3" fontId="10" fillId="0" borderId="2" xfId="73" applyNumberFormat="1" applyFont="1" applyFill="1" applyBorder="1" applyProtection="1">
      <protection locked="0"/>
    </xf>
    <xf numFmtId="3" fontId="9" fillId="0" borderId="0" xfId="0" applyNumberFormat="1" applyFont="1" applyFill="1" applyAlignment="1">
      <alignment horizontal="right"/>
    </xf>
    <xf numFmtId="3" fontId="9" fillId="0" borderId="0" xfId="0" applyNumberFormat="1" applyFont="1" applyFill="1" applyBorder="1" applyAlignment="1" applyProtection="1">
      <alignment horizontal="right"/>
      <protection locked="0"/>
    </xf>
    <xf numFmtId="164" fontId="10" fillId="0" borderId="0" xfId="71" applyFont="1" applyFill="1" applyAlignment="1" applyProtection="1">
      <alignment horizontal="left"/>
      <protection locked="0"/>
    </xf>
    <xf numFmtId="164" fontId="10" fillId="0" borderId="0" xfId="71" applyFont="1" applyFill="1"/>
    <xf numFmtId="164" fontId="10" fillId="0" borderId="0" xfId="71" applyFont="1" applyFill="1" applyProtection="1">
      <protection locked="0"/>
    </xf>
    <xf numFmtId="3" fontId="10" fillId="0" borderId="0" xfId="71" applyNumberFormat="1" applyFont="1" applyFill="1" applyProtection="1">
      <protection locked="0"/>
    </xf>
    <xf numFmtId="3" fontId="10" fillId="0" borderId="0" xfId="71" applyNumberFormat="1" applyFont="1" applyFill="1"/>
    <xf numFmtId="3" fontId="9" fillId="0" borderId="0" xfId="71" applyNumberFormat="1" applyFont="1" applyFill="1"/>
    <xf numFmtId="164" fontId="9" fillId="0" borderId="0" xfId="14" applyFont="1" applyFill="1" applyAlignment="1" applyProtection="1">
      <alignment horizontal="left"/>
      <protection locked="0"/>
    </xf>
    <xf numFmtId="3" fontId="10" fillId="0" borderId="2" xfId="71" applyNumberFormat="1" applyFont="1" applyFill="1" applyBorder="1" applyProtection="1">
      <protection locked="0"/>
    </xf>
    <xf numFmtId="3" fontId="10" fillId="0" borderId="0" xfId="72" applyNumberFormat="1" applyFont="1" applyFill="1" applyProtection="1">
      <protection locked="0"/>
    </xf>
    <xf numFmtId="164" fontId="10" fillId="0" borderId="0" xfId="70" applyFont="1" applyFill="1" applyAlignment="1" applyProtection="1">
      <alignment horizontal="left"/>
      <protection locked="0"/>
    </xf>
    <xf numFmtId="164" fontId="10" fillId="0" borderId="0" xfId="70" applyFont="1" applyFill="1"/>
    <xf numFmtId="164" fontId="10" fillId="0" borderId="0" xfId="70" applyFont="1" applyFill="1" applyAlignment="1" applyProtection="1">
      <alignment horizontal="right"/>
      <protection locked="0"/>
    </xf>
    <xf numFmtId="3" fontId="10" fillId="0" borderId="0" xfId="70" applyNumberFormat="1" applyFont="1" applyFill="1" applyProtection="1">
      <protection locked="0"/>
    </xf>
    <xf numFmtId="3" fontId="10" fillId="0" borderId="1" xfId="70" applyNumberFormat="1" applyFont="1" applyFill="1" applyBorder="1" applyProtection="1">
      <protection locked="0"/>
    </xf>
    <xf numFmtId="3" fontId="10" fillId="0" borderId="0" xfId="70" applyNumberFormat="1" applyFont="1" applyFill="1"/>
    <xf numFmtId="165" fontId="10" fillId="0" borderId="0" xfId="70" applyNumberFormat="1" applyFont="1" applyFill="1" applyAlignment="1" applyProtection="1">
      <alignment horizontal="left"/>
      <protection locked="0"/>
    </xf>
    <xf numFmtId="166" fontId="10" fillId="0" borderId="0" xfId="70" applyNumberFormat="1" applyFont="1" applyFill="1" applyAlignment="1" applyProtection="1">
      <alignment horizontal="left"/>
      <protection locked="0"/>
    </xf>
    <xf numFmtId="166" fontId="10" fillId="0" borderId="0" xfId="70" applyNumberFormat="1" applyFont="1" applyFill="1" applyProtection="1">
      <protection locked="0"/>
    </xf>
    <xf numFmtId="3" fontId="10" fillId="0" borderId="0" xfId="70" applyNumberFormat="1" applyFont="1" applyFill="1" applyBorder="1" applyProtection="1">
      <protection locked="0"/>
    </xf>
    <xf numFmtId="3" fontId="10" fillId="0" borderId="2" xfId="70" applyNumberFormat="1" applyFont="1" applyFill="1" applyBorder="1" applyProtection="1">
      <protection locked="0"/>
    </xf>
    <xf numFmtId="164" fontId="10" fillId="0" borderId="0" xfId="70" applyFont="1" applyFill="1" applyProtection="1">
      <protection locked="0"/>
    </xf>
    <xf numFmtId="164" fontId="10" fillId="0" borderId="0" xfId="69" applyFont="1" applyFill="1"/>
    <xf numFmtId="164" fontId="10" fillId="0" borderId="0" xfId="69" applyFont="1" applyFill="1" applyAlignment="1" applyProtection="1">
      <alignment horizontal="right"/>
      <protection locked="0"/>
    </xf>
    <xf numFmtId="164" fontId="9" fillId="0" borderId="0" xfId="69" applyFont="1" applyFill="1"/>
    <xf numFmtId="164" fontId="10" fillId="0" borderId="0" xfId="69" applyFont="1" applyFill="1" applyAlignment="1" applyProtection="1">
      <alignment horizontal="left"/>
      <protection locked="0"/>
    </xf>
    <xf numFmtId="3" fontId="10" fillId="0" borderId="0" xfId="69" applyNumberFormat="1" applyFont="1" applyFill="1" applyProtection="1">
      <protection locked="0"/>
    </xf>
    <xf numFmtId="3" fontId="10" fillId="0" borderId="1" xfId="69" applyNumberFormat="1" applyFont="1" applyFill="1" applyBorder="1" applyProtection="1">
      <protection locked="0"/>
    </xf>
    <xf numFmtId="164" fontId="10" fillId="0" borderId="0" xfId="69" applyFont="1" applyFill="1" applyBorder="1" applyProtection="1">
      <protection locked="0"/>
    </xf>
    <xf numFmtId="3" fontId="10" fillId="0" borderId="1" xfId="69" applyNumberFormat="1" applyFont="1" applyFill="1" applyBorder="1"/>
    <xf numFmtId="165" fontId="10" fillId="0" borderId="0" xfId="69" applyNumberFormat="1" applyFont="1" applyFill="1" applyAlignment="1" applyProtection="1">
      <alignment horizontal="left"/>
      <protection locked="0"/>
    </xf>
    <xf numFmtId="166" fontId="10" fillId="0" borderId="0" xfId="69" applyNumberFormat="1" applyFont="1" applyFill="1" applyProtection="1">
      <protection locked="0"/>
    </xf>
    <xf numFmtId="3" fontId="10" fillId="0" borderId="0" xfId="69" applyNumberFormat="1" applyFont="1" applyFill="1"/>
    <xf numFmtId="3" fontId="10" fillId="0" borderId="2" xfId="69" applyNumberFormat="1" applyFont="1" applyFill="1" applyBorder="1"/>
    <xf numFmtId="166" fontId="10" fillId="0" borderId="0" xfId="69" applyNumberFormat="1" applyFont="1" applyFill="1" applyAlignment="1" applyProtection="1">
      <alignment horizontal="left"/>
      <protection locked="0"/>
    </xf>
    <xf numFmtId="3" fontId="10" fillId="0" borderId="0" xfId="69" applyNumberFormat="1" applyFont="1" applyFill="1" applyBorder="1" applyProtection="1">
      <protection locked="0"/>
    </xf>
    <xf numFmtId="0" fontId="0" fillId="0" borderId="0" xfId="0" applyFill="1" applyAlignment="1"/>
    <xf numFmtId="164" fontId="10" fillId="0" borderId="0" xfId="69" applyFont="1" applyFill="1" applyProtection="1">
      <protection locked="0"/>
    </xf>
    <xf numFmtId="0" fontId="0" fillId="0" borderId="0" xfId="0" applyFill="1"/>
    <xf numFmtId="167" fontId="9" fillId="0" borderId="0" xfId="69" applyNumberFormat="1" applyFont="1" applyFill="1" applyAlignment="1">
      <alignment horizontal="left"/>
    </xf>
    <xf numFmtId="3" fontId="10" fillId="0" borderId="2" xfId="69" applyNumberFormat="1" applyFont="1" applyFill="1" applyBorder="1" applyProtection="1">
      <protection locked="0"/>
    </xf>
    <xf numFmtId="164" fontId="10" fillId="0" borderId="0" xfId="69" quotePrefix="1" applyFont="1" applyFill="1" applyAlignment="1" applyProtection="1">
      <alignment horizontal="left"/>
      <protection locked="0"/>
    </xf>
    <xf numFmtId="167" fontId="10" fillId="0" borderId="0" xfId="69" applyNumberFormat="1" applyFont="1" applyFill="1" applyAlignment="1" applyProtection="1">
      <alignment horizontal="left"/>
      <protection locked="0"/>
    </xf>
    <xf numFmtId="164" fontId="10" fillId="0" borderId="0" xfId="65" applyFont="1" applyFill="1" applyAlignment="1" applyProtection="1">
      <alignment horizontal="left"/>
      <protection locked="0"/>
    </xf>
    <xf numFmtId="164" fontId="10" fillId="0" borderId="0" xfId="65" applyFont="1" applyFill="1"/>
    <xf numFmtId="164" fontId="10" fillId="0" borderId="0" xfId="65" applyFont="1" applyFill="1" applyProtection="1">
      <protection locked="0"/>
    </xf>
    <xf numFmtId="3" fontId="10" fillId="0" borderId="0" xfId="65" applyNumberFormat="1" applyFont="1" applyFill="1" applyProtection="1">
      <protection locked="0"/>
    </xf>
    <xf numFmtId="3" fontId="10" fillId="0" borderId="0" xfId="65" applyNumberFormat="1" applyFont="1" applyFill="1"/>
    <xf numFmtId="3" fontId="10" fillId="0" borderId="1" xfId="65" applyNumberFormat="1" applyFont="1" applyFill="1" applyBorder="1" applyProtection="1">
      <protection locked="0"/>
    </xf>
    <xf numFmtId="3" fontId="10" fillId="0" borderId="0" xfId="68" applyNumberFormat="1" applyFont="1" applyFill="1" applyProtection="1">
      <protection locked="0"/>
    </xf>
    <xf numFmtId="164" fontId="13" fillId="0" borderId="0" xfId="65" applyFont="1" applyFill="1" applyAlignment="1" applyProtection="1">
      <alignment horizontal="left"/>
      <protection locked="0"/>
    </xf>
    <xf numFmtId="164" fontId="13" fillId="0" borderId="0" xfId="65" applyFont="1" applyFill="1" applyProtection="1">
      <protection locked="0"/>
    </xf>
    <xf numFmtId="3" fontId="9" fillId="0" borderId="0" xfId="64" applyNumberFormat="1" applyFont="1" applyFill="1" applyBorder="1" applyProtection="1">
      <protection locked="0"/>
    </xf>
    <xf numFmtId="3" fontId="9" fillId="0" borderId="2" xfId="59" applyNumberFormat="1" applyFont="1" applyFill="1" applyBorder="1" applyProtection="1">
      <protection locked="0"/>
    </xf>
    <xf numFmtId="3" fontId="9" fillId="0" borderId="0" xfId="61" applyNumberFormat="1" applyFont="1" applyFill="1" applyProtection="1">
      <protection locked="0"/>
    </xf>
    <xf numFmtId="3" fontId="9" fillId="0" borderId="0" xfId="61" applyNumberFormat="1" applyFont="1" applyFill="1" applyBorder="1" applyProtection="1">
      <protection locked="0"/>
    </xf>
    <xf numFmtId="3" fontId="9" fillId="0" borderId="2" xfId="61" applyNumberFormat="1" applyFont="1" applyFill="1" applyBorder="1" applyProtection="1">
      <protection locked="0"/>
    </xf>
    <xf numFmtId="3" fontId="9" fillId="0" borderId="0" xfId="59" applyNumberFormat="1" applyFont="1" applyFill="1" applyBorder="1"/>
    <xf numFmtId="164" fontId="9" fillId="0" borderId="0" xfId="57" applyFont="1" applyFill="1" applyAlignment="1" applyProtection="1">
      <alignment horizontal="left"/>
      <protection locked="0"/>
    </xf>
    <xf numFmtId="164" fontId="9" fillId="0" borderId="0" xfId="57" applyFont="1" applyFill="1" applyProtection="1">
      <protection locked="0"/>
    </xf>
    <xf numFmtId="3" fontId="9" fillId="0" borderId="0" xfId="57" applyNumberFormat="1" applyFont="1" applyFill="1" applyProtection="1">
      <protection locked="0"/>
    </xf>
    <xf numFmtId="3" fontId="9" fillId="0" borderId="0" xfId="57" applyNumberFormat="1" applyFont="1" applyFill="1"/>
    <xf numFmtId="3" fontId="9" fillId="0" borderId="0" xfId="58" applyNumberFormat="1" applyFont="1" applyFill="1" applyProtection="1">
      <protection locked="0"/>
    </xf>
    <xf numFmtId="164" fontId="10" fillId="0" borderId="0" xfId="56" applyFont="1" applyFill="1" applyAlignment="1" applyProtection="1">
      <alignment horizontal="left"/>
      <protection locked="0"/>
    </xf>
    <xf numFmtId="164" fontId="10" fillId="0" borderId="0" xfId="56" applyFont="1" applyFill="1"/>
    <xf numFmtId="3" fontId="10" fillId="0" borderId="0" xfId="56" applyNumberFormat="1" applyFont="1" applyFill="1" applyProtection="1">
      <protection locked="0"/>
    </xf>
    <xf numFmtId="3" fontId="10" fillId="0" borderId="0" xfId="56" applyNumberFormat="1" applyFont="1" applyFill="1"/>
    <xf numFmtId="164" fontId="9" fillId="0" borderId="0" xfId="55" applyFont="1" applyFill="1" applyAlignment="1" applyProtection="1">
      <alignment horizontal="left"/>
      <protection locked="0"/>
    </xf>
    <xf numFmtId="164" fontId="9" fillId="0" borderId="0" xfId="55" applyFont="1" applyFill="1" applyAlignment="1" applyProtection="1">
      <alignment horizontal="right"/>
      <protection locked="0"/>
    </xf>
    <xf numFmtId="3" fontId="9" fillId="0" borderId="0" xfId="55" applyNumberFormat="1" applyFont="1" applyFill="1" applyProtection="1">
      <protection locked="0"/>
    </xf>
    <xf numFmtId="3" fontId="9" fillId="0" borderId="1" xfId="55" applyNumberFormat="1" applyFont="1" applyFill="1" applyBorder="1" applyProtection="1">
      <protection locked="0"/>
    </xf>
    <xf numFmtId="3" fontId="9" fillId="0" borderId="0" xfId="55" applyNumberFormat="1" applyFont="1" applyFill="1"/>
    <xf numFmtId="3" fontId="9" fillId="0" borderId="0" xfId="55" applyNumberFormat="1" applyFont="1" applyFill="1" applyBorder="1" applyProtection="1">
      <protection locked="0"/>
    </xf>
    <xf numFmtId="3" fontId="9" fillId="0" borderId="2" xfId="55" applyNumberFormat="1" applyFont="1" applyFill="1" applyBorder="1" applyProtection="1">
      <protection locked="0"/>
    </xf>
    <xf numFmtId="167" fontId="9" fillId="0" borderId="0" xfId="55" applyNumberFormat="1" applyFont="1" applyFill="1" applyAlignment="1">
      <alignment horizontal="left"/>
    </xf>
    <xf numFmtId="164" fontId="9" fillId="0" borderId="0" xfId="55" applyFont="1" applyFill="1" applyProtection="1">
      <protection locked="0"/>
    </xf>
    <xf numFmtId="164" fontId="9" fillId="0" borderId="0" xfId="53" applyFont="1" applyFill="1" applyAlignment="1" applyProtection="1">
      <alignment horizontal="left"/>
      <protection locked="0"/>
    </xf>
    <xf numFmtId="164" fontId="9" fillId="0" borderId="0" xfId="53" applyFont="1" applyFill="1" applyProtection="1">
      <protection locked="0"/>
    </xf>
    <xf numFmtId="3" fontId="9" fillId="0" borderId="0" xfId="53" applyNumberFormat="1" applyFont="1" applyFill="1" applyProtection="1">
      <protection locked="0"/>
    </xf>
    <xf numFmtId="3" fontId="9" fillId="0" borderId="0" xfId="53" applyNumberFormat="1" applyFont="1" applyFill="1"/>
    <xf numFmtId="166" fontId="9" fillId="0" borderId="0" xfId="53" applyNumberFormat="1" applyFont="1" applyFill="1" applyAlignment="1" applyProtection="1">
      <alignment horizontal="left"/>
      <protection locked="0"/>
    </xf>
    <xf numFmtId="3" fontId="9" fillId="0" borderId="0" xfId="54" applyNumberFormat="1" applyFont="1" applyFill="1" applyProtection="1">
      <protection locked="0"/>
    </xf>
    <xf numFmtId="164" fontId="9" fillId="0" borderId="0" xfId="51" applyFont="1" applyFill="1" applyAlignment="1" applyProtection="1">
      <alignment horizontal="left"/>
      <protection locked="0"/>
    </xf>
    <xf numFmtId="164" fontId="9" fillId="0" borderId="0" xfId="51" applyFont="1" applyFill="1" applyProtection="1">
      <protection locked="0"/>
    </xf>
    <xf numFmtId="3" fontId="9" fillId="0" borderId="0" xfId="51" applyNumberFormat="1" applyFont="1" applyFill="1" applyProtection="1">
      <protection locked="0"/>
    </xf>
    <xf numFmtId="3" fontId="9" fillId="0" borderId="0" xfId="51" applyNumberFormat="1" applyFont="1" applyFill="1"/>
    <xf numFmtId="3" fontId="9" fillId="0" borderId="1" xfId="51" applyNumberFormat="1" applyFont="1" applyFill="1" applyBorder="1" applyProtection="1">
      <protection locked="0"/>
    </xf>
    <xf numFmtId="3" fontId="9" fillId="0" borderId="2" xfId="51" applyNumberFormat="1" applyFont="1" applyFill="1" applyBorder="1" applyProtection="1">
      <protection locked="0"/>
    </xf>
    <xf numFmtId="166" fontId="9" fillId="0" borderId="0" xfId="51" applyNumberFormat="1" applyFont="1" applyFill="1" applyAlignment="1" applyProtection="1">
      <alignment horizontal="left"/>
      <protection locked="0"/>
    </xf>
    <xf numFmtId="3" fontId="9" fillId="0" borderId="0" xfId="52" applyNumberFormat="1" applyFont="1" applyFill="1" applyProtection="1">
      <protection locked="0"/>
    </xf>
    <xf numFmtId="3" fontId="10" fillId="0" borderId="0" xfId="50" applyNumberFormat="1" applyFont="1" applyFill="1" applyProtection="1">
      <protection locked="0"/>
    </xf>
    <xf numFmtId="3" fontId="10" fillId="0" borderId="0" xfId="50" applyNumberFormat="1" applyFont="1" applyFill="1"/>
    <xf numFmtId="165" fontId="10" fillId="0" borderId="0" xfId="50" applyNumberFormat="1" applyFont="1" applyFill="1" applyAlignment="1" applyProtection="1">
      <alignment horizontal="left"/>
      <protection locked="0"/>
    </xf>
    <xf numFmtId="3" fontId="10" fillId="0" borderId="1" xfId="50" applyNumberFormat="1" applyFont="1" applyFill="1" applyBorder="1" applyProtection="1">
      <protection locked="0"/>
    </xf>
    <xf numFmtId="3" fontId="10" fillId="0" borderId="0" xfId="50" applyNumberFormat="1" applyFont="1" applyFill="1" applyBorder="1" applyProtection="1">
      <protection locked="0"/>
    </xf>
    <xf numFmtId="166" fontId="10" fillId="0" borderId="0" xfId="50" applyNumberFormat="1" applyFont="1" applyFill="1" applyAlignment="1" applyProtection="1">
      <alignment horizontal="left"/>
      <protection locked="0"/>
    </xf>
    <xf numFmtId="166" fontId="10" fillId="0" borderId="0" xfId="50" applyNumberFormat="1" applyFont="1" applyFill="1" applyProtection="1">
      <protection locked="0"/>
    </xf>
    <xf numFmtId="167" fontId="10" fillId="0" borderId="0" xfId="50" applyNumberFormat="1" applyFont="1" applyFill="1" applyAlignment="1" applyProtection="1">
      <alignment horizontal="left"/>
      <protection locked="0"/>
    </xf>
    <xf numFmtId="164" fontId="10" fillId="0" borderId="0" xfId="50" applyFont="1" applyFill="1" applyProtection="1">
      <protection locked="0"/>
    </xf>
    <xf numFmtId="3" fontId="9" fillId="0" borderId="0" xfId="50" applyNumberFormat="1" applyFont="1" applyFill="1" applyBorder="1" applyProtection="1">
      <protection locked="0"/>
    </xf>
    <xf numFmtId="164" fontId="10" fillId="0" borderId="0" xfId="34" applyFont="1" applyFill="1"/>
    <xf numFmtId="0" fontId="9" fillId="0" borderId="0" xfId="0" applyFont="1" applyFill="1" applyAlignment="1">
      <alignment horizontal="center"/>
    </xf>
    <xf numFmtId="3" fontId="10" fillId="0" borderId="2" xfId="50" applyNumberFormat="1" applyFont="1" applyFill="1" applyBorder="1" applyProtection="1">
      <protection locked="0"/>
    </xf>
    <xf numFmtId="167" fontId="9" fillId="0" borderId="0" xfId="36" applyNumberFormat="1" applyFont="1" applyFill="1" applyAlignment="1">
      <alignment horizontal="left"/>
    </xf>
    <xf numFmtId="3" fontId="9" fillId="0" borderId="2" xfId="0" applyNumberFormat="1" applyFont="1" applyFill="1" applyBorder="1"/>
    <xf numFmtId="3" fontId="19" fillId="0" borderId="0" xfId="0" applyNumberFormat="1" applyFont="1" applyFill="1"/>
    <xf numFmtId="164" fontId="9" fillId="0" borderId="0" xfId="48" applyFont="1" applyFill="1" applyAlignment="1" applyProtection="1">
      <alignment horizontal="left"/>
      <protection locked="0"/>
    </xf>
    <xf numFmtId="164" fontId="9" fillId="0" borderId="0" xfId="48" applyFont="1" applyFill="1" applyProtection="1">
      <protection locked="0"/>
    </xf>
    <xf numFmtId="3" fontId="9" fillId="0" borderId="0" xfId="48" applyNumberFormat="1" applyFont="1" applyFill="1" applyProtection="1">
      <protection locked="0"/>
    </xf>
    <xf numFmtId="3" fontId="9" fillId="0" borderId="0" xfId="48" applyNumberFormat="1" applyFont="1" applyFill="1"/>
    <xf numFmtId="3" fontId="9" fillId="0" borderId="1" xfId="48" applyNumberFormat="1" applyFont="1" applyFill="1" applyBorder="1" applyProtection="1">
      <protection locked="0"/>
    </xf>
    <xf numFmtId="3" fontId="9" fillId="0" borderId="2" xfId="48" applyNumberFormat="1" applyFont="1" applyFill="1" applyBorder="1" applyProtection="1">
      <protection locked="0"/>
    </xf>
    <xf numFmtId="166" fontId="9" fillId="0" borderId="0" xfId="48" applyNumberFormat="1" applyFont="1" applyFill="1" applyAlignment="1" applyProtection="1">
      <alignment horizontal="left"/>
      <protection locked="0"/>
    </xf>
    <xf numFmtId="3" fontId="9" fillId="0" borderId="0" xfId="49" applyNumberFormat="1" applyFont="1" applyFill="1" applyProtection="1">
      <protection locked="0"/>
    </xf>
    <xf numFmtId="3" fontId="9" fillId="0" borderId="0" xfId="48" applyNumberFormat="1" applyFont="1" applyFill="1" applyBorder="1" applyProtection="1">
      <protection locked="0"/>
    </xf>
    <xf numFmtId="164" fontId="9" fillId="0" borderId="0" xfId="46" applyFont="1" applyFill="1" applyAlignment="1" applyProtection="1">
      <alignment horizontal="left"/>
      <protection locked="0"/>
    </xf>
    <xf numFmtId="164" fontId="9" fillId="0" borderId="0" xfId="46" applyFont="1" applyFill="1" applyProtection="1">
      <protection locked="0"/>
    </xf>
    <xf numFmtId="3" fontId="9" fillId="0" borderId="0" xfId="46" applyNumberFormat="1" applyFont="1" applyFill="1" applyProtection="1">
      <protection locked="0"/>
    </xf>
    <xf numFmtId="3" fontId="9" fillId="0" borderId="0" xfId="46" applyNumberFormat="1" applyFont="1" applyFill="1"/>
    <xf numFmtId="3" fontId="9" fillId="0" borderId="1" xfId="46" applyNumberFormat="1" applyFont="1" applyFill="1" applyBorder="1"/>
    <xf numFmtId="3" fontId="9" fillId="0" borderId="2" xfId="46" applyNumberFormat="1" applyFont="1" applyFill="1" applyBorder="1"/>
    <xf numFmtId="3" fontId="9" fillId="0" borderId="0" xfId="47" applyNumberFormat="1" applyFont="1" applyFill="1" applyProtection="1">
      <protection locked="0"/>
    </xf>
    <xf numFmtId="164" fontId="9" fillId="0" borderId="0" xfId="44" applyFont="1" applyFill="1" applyAlignment="1" applyProtection="1">
      <alignment horizontal="left"/>
      <protection locked="0"/>
    </xf>
    <xf numFmtId="164" fontId="9" fillId="0" borderId="0" xfId="44" applyFont="1" applyFill="1" applyProtection="1">
      <protection locked="0"/>
    </xf>
    <xf numFmtId="3" fontId="9" fillId="0" borderId="0" xfId="44" applyNumberFormat="1" applyFont="1" applyFill="1" applyProtection="1">
      <protection locked="0"/>
    </xf>
    <xf numFmtId="3" fontId="9" fillId="0" borderId="0" xfId="44" applyNumberFormat="1" applyFont="1" applyFill="1"/>
    <xf numFmtId="3" fontId="9" fillId="0" borderId="0" xfId="45" applyNumberFormat="1" applyFont="1" applyFill="1" applyProtection="1">
      <protection locked="0"/>
    </xf>
    <xf numFmtId="164" fontId="9" fillId="0" borderId="0" xfId="29" applyFont="1" applyFill="1" applyAlignment="1" applyProtection="1">
      <alignment horizontal="left"/>
      <protection locked="0"/>
    </xf>
    <xf numFmtId="164" fontId="9" fillId="0" borderId="0" xfId="29" applyFont="1" applyFill="1" applyProtection="1">
      <protection locked="0"/>
    </xf>
    <xf numFmtId="3" fontId="9" fillId="0" borderId="0" xfId="29" applyNumberFormat="1" applyFont="1" applyFill="1" applyProtection="1">
      <protection locked="0"/>
    </xf>
    <xf numFmtId="3" fontId="9" fillId="0" borderId="0" xfId="29" applyNumberFormat="1" applyFont="1" applyFill="1"/>
    <xf numFmtId="3" fontId="9" fillId="0" borderId="1" xfId="29" applyNumberFormat="1" applyFont="1" applyFill="1" applyBorder="1" applyProtection="1">
      <protection locked="0"/>
    </xf>
    <xf numFmtId="166" fontId="9" fillId="0" borderId="0" xfId="29" applyNumberFormat="1" applyFont="1" applyFill="1" applyAlignment="1" applyProtection="1">
      <alignment horizontal="left"/>
      <protection locked="0"/>
    </xf>
    <xf numFmtId="3" fontId="9" fillId="0" borderId="0" xfId="31" applyNumberFormat="1" applyFont="1" applyFill="1" applyProtection="1">
      <protection locked="0"/>
    </xf>
    <xf numFmtId="164" fontId="9" fillId="0" borderId="0" xfId="41" applyFont="1" applyFill="1" applyAlignment="1" applyProtection="1">
      <alignment horizontal="left"/>
      <protection locked="0"/>
    </xf>
    <xf numFmtId="164" fontId="9" fillId="0" borderId="0" xfId="41" applyFont="1" applyFill="1" applyProtection="1">
      <protection locked="0"/>
    </xf>
    <xf numFmtId="3" fontId="9" fillId="0" borderId="0" xfId="41" applyNumberFormat="1" applyFont="1" applyFill="1" applyProtection="1">
      <protection locked="0"/>
    </xf>
    <xf numFmtId="165" fontId="9" fillId="0" borderId="0" xfId="41" applyNumberFormat="1" applyFont="1" applyFill="1" applyAlignment="1" applyProtection="1">
      <alignment horizontal="left"/>
      <protection locked="0"/>
    </xf>
    <xf numFmtId="3" fontId="9" fillId="0" borderId="0" xfId="41" applyNumberFormat="1" applyFont="1" applyFill="1"/>
    <xf numFmtId="3" fontId="9" fillId="0" borderId="0" xfId="42" applyNumberFormat="1" applyFont="1" applyFill="1" applyProtection="1">
      <protection locked="0"/>
    </xf>
    <xf numFmtId="3" fontId="9" fillId="0" borderId="0" xfId="41" applyNumberFormat="1" applyFont="1" applyFill="1" applyBorder="1" applyProtection="1">
      <protection locked="0"/>
    </xf>
    <xf numFmtId="3" fontId="9" fillId="0" borderId="2" xfId="41" applyNumberFormat="1" applyFont="1" applyFill="1" applyBorder="1" applyProtection="1">
      <protection locked="0"/>
    </xf>
    <xf numFmtId="3" fontId="9" fillId="0" borderId="0" xfId="41" applyNumberFormat="1" applyFont="1" applyFill="1" applyBorder="1"/>
    <xf numFmtId="164" fontId="9" fillId="0" borderId="0" xfId="40" applyFont="1" applyFill="1" applyAlignment="1" applyProtection="1">
      <alignment horizontal="left"/>
      <protection locked="0"/>
    </xf>
    <xf numFmtId="164" fontId="9" fillId="0" borderId="0" xfId="9" applyFont="1" applyFill="1" applyAlignment="1" applyProtection="1">
      <alignment horizontal="left"/>
      <protection locked="0"/>
    </xf>
    <xf numFmtId="164" fontId="9" fillId="0" borderId="0" xfId="9" applyFont="1" applyFill="1" applyAlignment="1" applyProtection="1">
      <alignment horizontal="right"/>
      <protection locked="0"/>
    </xf>
    <xf numFmtId="3" fontId="9" fillId="0" borderId="0" xfId="9" applyNumberFormat="1" applyFont="1" applyFill="1" applyProtection="1">
      <protection locked="0"/>
    </xf>
    <xf numFmtId="165" fontId="9" fillId="0" borderId="0" xfId="9" applyNumberFormat="1" applyFont="1" applyFill="1" applyAlignment="1" applyProtection="1">
      <alignment horizontal="left"/>
      <protection locked="0"/>
    </xf>
    <xf numFmtId="3" fontId="9" fillId="0" borderId="0" xfId="9" applyNumberFormat="1" applyFont="1" applyFill="1"/>
    <xf numFmtId="3" fontId="9" fillId="0" borderId="1" xfId="9" applyNumberFormat="1" applyFont="1" applyFill="1" applyBorder="1" applyProtection="1">
      <protection locked="0"/>
    </xf>
    <xf numFmtId="3" fontId="9" fillId="0" borderId="0" xfId="10" applyNumberFormat="1" applyFont="1" applyFill="1" applyProtection="1">
      <protection locked="0"/>
    </xf>
    <xf numFmtId="3" fontId="9" fillId="0" borderId="0" xfId="0" applyNumberFormat="1" applyFont="1" applyFill="1" applyAlignment="1">
      <alignment vertical="top"/>
    </xf>
    <xf numFmtId="3" fontId="9" fillId="0" borderId="0" xfId="9" applyNumberFormat="1" applyFont="1" applyFill="1" applyBorder="1" applyProtection="1">
      <protection locked="0"/>
    </xf>
    <xf numFmtId="164" fontId="9" fillId="0" borderId="0" xfId="40" applyFont="1" applyFill="1" applyAlignment="1" applyProtection="1">
      <alignment horizontal="right"/>
      <protection locked="0"/>
    </xf>
    <xf numFmtId="3" fontId="9" fillId="0" borderId="0" xfId="40" applyNumberFormat="1" applyFont="1" applyFill="1" applyProtection="1">
      <protection locked="0"/>
    </xf>
    <xf numFmtId="3" fontId="9" fillId="0" borderId="0" xfId="40" applyNumberFormat="1" applyFont="1" applyFill="1"/>
    <xf numFmtId="164" fontId="9" fillId="0" borderId="0" xfId="40" applyFont="1" applyFill="1" applyAlignment="1">
      <alignment horizontal="left"/>
    </xf>
    <xf numFmtId="165" fontId="9" fillId="0" borderId="0" xfId="40" applyNumberFormat="1" applyFont="1" applyFill="1" applyAlignment="1" applyProtection="1">
      <alignment horizontal="left"/>
      <protection locked="0"/>
    </xf>
    <xf numFmtId="3" fontId="9" fillId="0" borderId="1" xfId="40" applyNumberFormat="1" applyFont="1" applyFill="1" applyBorder="1" applyProtection="1">
      <protection locked="0"/>
    </xf>
    <xf numFmtId="3" fontId="9" fillId="0" borderId="2" xfId="40" applyNumberFormat="1" applyFont="1" applyFill="1" applyBorder="1" applyProtection="1">
      <protection locked="0"/>
    </xf>
    <xf numFmtId="166" fontId="9" fillId="0" borderId="0" xfId="40" applyNumberFormat="1" applyFont="1" applyFill="1" applyAlignment="1" applyProtection="1">
      <alignment horizontal="left"/>
      <protection locked="0"/>
    </xf>
    <xf numFmtId="3" fontId="9" fillId="0" borderId="0" xfId="40" applyNumberFormat="1" applyFont="1" applyFill="1" applyBorder="1" applyProtection="1">
      <protection locked="0"/>
    </xf>
    <xf numFmtId="167" fontId="9" fillId="0" borderId="0" xfId="40" applyNumberFormat="1" applyFont="1" applyFill="1" applyAlignment="1" applyProtection="1">
      <alignment horizontal="left"/>
      <protection locked="0"/>
    </xf>
    <xf numFmtId="164" fontId="9" fillId="0" borderId="0" xfId="40" applyFont="1" applyFill="1" applyProtection="1">
      <protection locked="0"/>
    </xf>
    <xf numFmtId="167" fontId="9" fillId="0" borderId="0" xfId="40" applyNumberFormat="1" applyFont="1" applyFill="1" applyAlignment="1">
      <alignment horizontal="left"/>
    </xf>
    <xf numFmtId="164" fontId="9" fillId="0" borderId="0" xfId="39" applyFont="1" applyFill="1" applyAlignment="1" applyProtection="1">
      <alignment horizontal="right"/>
      <protection locked="0"/>
    </xf>
    <xf numFmtId="3" fontId="9" fillId="0" borderId="0" xfId="39" applyNumberFormat="1" applyFont="1" applyFill="1" applyProtection="1">
      <protection locked="0"/>
    </xf>
    <xf numFmtId="165" fontId="9" fillId="0" borderId="0" xfId="39" applyNumberFormat="1" applyFont="1" applyFill="1" applyAlignment="1" applyProtection="1">
      <alignment horizontal="left"/>
      <protection locked="0"/>
    </xf>
    <xf numFmtId="3" fontId="9" fillId="0" borderId="0" xfId="39" applyNumberFormat="1" applyFont="1" applyFill="1"/>
    <xf numFmtId="3" fontId="9" fillId="0" borderId="1" xfId="39" applyNumberFormat="1" applyFont="1" applyFill="1" applyBorder="1" applyProtection="1">
      <protection locked="0"/>
    </xf>
    <xf numFmtId="166" fontId="9" fillId="0" borderId="0" xfId="39" applyNumberFormat="1" applyFont="1" applyFill="1" applyProtection="1">
      <protection locked="0"/>
    </xf>
    <xf numFmtId="167" fontId="9" fillId="0" borderId="0" xfId="39" applyNumberFormat="1" applyFont="1" applyFill="1" applyAlignment="1" applyProtection="1">
      <alignment horizontal="left"/>
      <protection locked="0"/>
    </xf>
    <xf numFmtId="3" fontId="9" fillId="0" borderId="0" xfId="39" applyNumberFormat="1" applyFont="1" applyFill="1" applyBorder="1" applyProtection="1">
      <protection locked="0"/>
    </xf>
    <xf numFmtId="167" fontId="9" fillId="0" borderId="0" xfId="39" applyNumberFormat="1" applyFont="1" applyFill="1" applyAlignment="1">
      <alignment horizontal="left"/>
    </xf>
    <xf numFmtId="164" fontId="9" fillId="0" borderId="0" xfId="39" applyFont="1" applyFill="1" applyProtection="1">
      <protection locked="0"/>
    </xf>
    <xf numFmtId="3" fontId="9" fillId="0" borderId="2" xfId="39" applyNumberFormat="1" applyFont="1" applyFill="1" applyBorder="1" applyProtection="1">
      <protection locked="0"/>
    </xf>
    <xf numFmtId="3" fontId="4" fillId="0" borderId="0" xfId="0" applyNumberFormat="1" applyFont="1" applyFill="1" applyBorder="1" applyAlignment="1"/>
    <xf numFmtId="164" fontId="9" fillId="0" borderId="0" xfId="37" applyFont="1" applyFill="1" applyAlignment="1" applyProtection="1">
      <alignment horizontal="left"/>
      <protection locked="0"/>
    </xf>
    <xf numFmtId="164" fontId="9" fillId="0" borderId="0" xfId="37" applyFont="1" applyFill="1"/>
    <xf numFmtId="164" fontId="9" fillId="0" borderId="0" xfId="37" applyFont="1" applyFill="1" applyAlignment="1" applyProtection="1">
      <alignment horizontal="right"/>
      <protection locked="0"/>
    </xf>
    <xf numFmtId="3" fontId="9" fillId="0" borderId="1" xfId="37" applyNumberFormat="1" applyFont="1" applyFill="1" applyBorder="1" applyProtection="1">
      <protection locked="0"/>
    </xf>
    <xf numFmtId="3" fontId="9" fillId="0" borderId="0" xfId="37" applyNumberFormat="1" applyFont="1" applyFill="1"/>
    <xf numFmtId="165" fontId="9" fillId="0" borderId="0" xfId="37" applyNumberFormat="1" applyFont="1" applyFill="1" applyAlignment="1" applyProtection="1">
      <alignment horizontal="left"/>
      <protection locked="0"/>
    </xf>
    <xf numFmtId="166" fontId="9" fillId="0" borderId="0" xfId="37" applyNumberFormat="1" applyFont="1" applyFill="1" applyProtection="1">
      <protection locked="0"/>
    </xf>
    <xf numFmtId="3" fontId="9" fillId="0" borderId="2" xfId="37" applyNumberFormat="1" applyFont="1" applyFill="1" applyBorder="1" applyProtection="1">
      <protection locked="0"/>
    </xf>
    <xf numFmtId="3" fontId="9" fillId="0" borderId="0" xfId="37" applyNumberFormat="1" applyFont="1" applyFill="1" applyBorder="1" applyProtection="1">
      <protection locked="0"/>
    </xf>
    <xf numFmtId="164" fontId="9" fillId="0" borderId="0" xfId="37" applyFont="1" applyFill="1" applyAlignment="1">
      <alignment horizontal="left"/>
    </xf>
    <xf numFmtId="166" fontId="9" fillId="0" borderId="0" xfId="37" applyNumberFormat="1" applyFont="1" applyFill="1" applyAlignment="1" applyProtection="1">
      <alignment horizontal="left"/>
      <protection locked="0"/>
    </xf>
    <xf numFmtId="167" fontId="9" fillId="0" borderId="0" xfId="37" applyNumberFormat="1" applyFont="1" applyFill="1" applyAlignment="1">
      <alignment horizontal="left"/>
    </xf>
    <xf numFmtId="167" fontId="9" fillId="0" borderId="0" xfId="37" applyNumberFormat="1" applyFont="1" applyFill="1" applyAlignment="1" applyProtection="1">
      <alignment horizontal="left"/>
      <protection locked="0"/>
    </xf>
    <xf numFmtId="164" fontId="9" fillId="0" borderId="0" xfId="37" applyFont="1" applyFill="1" applyProtection="1">
      <protection locked="0"/>
    </xf>
    <xf numFmtId="3" fontId="9" fillId="0" borderId="0" xfId="37" applyNumberFormat="1" applyFont="1" applyFill="1" applyAlignment="1" applyProtection="1">
      <protection locked="0"/>
    </xf>
    <xf numFmtId="164" fontId="9" fillId="0" borderId="0" xfId="37" applyFont="1" applyFill="1" applyAlignment="1"/>
    <xf numFmtId="164" fontId="9" fillId="0" borderId="0" xfId="32" applyFont="1" applyFill="1" applyAlignment="1" applyProtection="1">
      <alignment horizontal="left"/>
      <protection locked="0"/>
    </xf>
    <xf numFmtId="164" fontId="9" fillId="0" borderId="0" xfId="32" applyFont="1" applyFill="1" applyProtection="1">
      <protection locked="0"/>
    </xf>
    <xf numFmtId="3" fontId="9" fillId="0" borderId="0" xfId="32" applyNumberFormat="1" applyFont="1" applyFill="1" applyProtection="1">
      <protection locked="0"/>
    </xf>
    <xf numFmtId="3" fontId="9" fillId="0" borderId="0" xfId="32" applyNumberFormat="1" applyFont="1" applyFill="1"/>
    <xf numFmtId="167" fontId="9" fillId="0" borderId="0" xfId="32" applyNumberFormat="1" applyFont="1" applyFill="1" applyAlignment="1" applyProtection="1">
      <alignment horizontal="left"/>
      <protection locked="0"/>
    </xf>
    <xf numFmtId="3" fontId="9" fillId="0" borderId="0" xfId="33" applyNumberFormat="1" applyFont="1" applyFill="1" applyProtection="1">
      <protection locked="0"/>
    </xf>
    <xf numFmtId="164" fontId="9" fillId="0" borderId="0" xfId="38" applyFont="1" applyFill="1" applyAlignment="1" applyProtection="1">
      <alignment horizontal="left"/>
      <protection locked="0"/>
    </xf>
    <xf numFmtId="164" fontId="9" fillId="0" borderId="0" xfId="38" applyFont="1" applyFill="1" applyAlignment="1" applyProtection="1">
      <alignment horizontal="right"/>
      <protection locked="0"/>
    </xf>
    <xf numFmtId="3" fontId="9" fillId="0" borderId="0" xfId="38" applyNumberFormat="1" applyFont="1" applyFill="1" applyProtection="1">
      <protection locked="0"/>
    </xf>
    <xf numFmtId="3" fontId="9" fillId="0" borderId="1" xfId="38" applyNumberFormat="1" applyFont="1" applyFill="1" applyBorder="1" applyProtection="1">
      <protection locked="0"/>
    </xf>
    <xf numFmtId="3" fontId="9" fillId="0" borderId="0" xfId="38" applyNumberFormat="1" applyFont="1" applyFill="1"/>
    <xf numFmtId="165" fontId="9" fillId="0" borderId="0" xfId="38" applyNumberFormat="1" applyFont="1" applyFill="1" applyAlignment="1" applyProtection="1">
      <alignment horizontal="left"/>
      <protection locked="0"/>
    </xf>
    <xf numFmtId="3" fontId="9" fillId="0" borderId="2" xfId="38" applyNumberFormat="1" applyFont="1" applyFill="1" applyBorder="1" applyProtection="1">
      <protection locked="0"/>
    </xf>
    <xf numFmtId="167" fontId="9" fillId="0" borderId="0" xfId="38" applyNumberFormat="1" applyFont="1" applyFill="1" applyAlignment="1" applyProtection="1">
      <alignment horizontal="left"/>
      <protection locked="0"/>
    </xf>
    <xf numFmtId="3" fontId="9" fillId="0" borderId="0" xfId="38" applyNumberFormat="1" applyFont="1" applyFill="1" applyBorder="1" applyProtection="1">
      <protection locked="0"/>
    </xf>
    <xf numFmtId="164" fontId="9" fillId="0" borderId="0" xfId="38" applyFont="1" applyFill="1" applyProtection="1">
      <protection locked="0"/>
    </xf>
    <xf numFmtId="3" fontId="9" fillId="0" borderId="2" xfId="38" applyNumberFormat="1" applyFont="1" applyFill="1" applyBorder="1" applyAlignment="1" applyProtection="1">
      <protection locked="0"/>
    </xf>
    <xf numFmtId="164" fontId="9" fillId="0" borderId="0" xfId="38" applyFont="1" applyFill="1" applyAlignment="1"/>
    <xf numFmtId="167" fontId="9" fillId="0" borderId="0" xfId="38" applyNumberFormat="1" applyFont="1" applyFill="1" applyAlignment="1">
      <alignment horizontal="left"/>
    </xf>
    <xf numFmtId="167" fontId="9" fillId="0" borderId="0" xfId="29" applyNumberFormat="1" applyFont="1" applyFill="1" applyAlignment="1" applyProtection="1">
      <alignment horizontal="left"/>
      <protection locked="0"/>
    </xf>
    <xf numFmtId="3" fontId="9" fillId="0" borderId="0" xfId="30" applyNumberFormat="1" applyFont="1" applyFill="1" applyProtection="1">
      <protection locked="0"/>
    </xf>
    <xf numFmtId="164" fontId="9" fillId="0" borderId="0" xfId="29" applyFont="1" applyFill="1" applyAlignment="1" applyProtection="1">
      <alignment horizontal="right"/>
      <protection locked="0"/>
    </xf>
    <xf numFmtId="164" fontId="9" fillId="0" borderId="0" xfId="28" applyFont="1" applyFill="1" applyAlignment="1" applyProtection="1">
      <alignment horizontal="left"/>
      <protection locked="0"/>
    </xf>
    <xf numFmtId="164" fontId="9" fillId="0" borderId="0" xfId="28" applyFont="1" applyFill="1" applyAlignment="1" applyProtection="1">
      <alignment horizontal="right"/>
      <protection locked="0"/>
    </xf>
    <xf numFmtId="3" fontId="9" fillId="0" borderId="0" xfId="28" applyNumberFormat="1" applyFont="1" applyFill="1" applyBorder="1" applyProtection="1">
      <protection locked="0"/>
    </xf>
    <xf numFmtId="3" fontId="9" fillId="0" borderId="1" xfId="28" applyNumberFormat="1" applyFont="1" applyFill="1" applyBorder="1" applyProtection="1">
      <protection locked="0"/>
    </xf>
    <xf numFmtId="3" fontId="9" fillId="0" borderId="0" xfId="28" applyNumberFormat="1" applyFont="1" applyFill="1"/>
    <xf numFmtId="3" fontId="9" fillId="0" borderId="0" xfId="28" applyNumberFormat="1" applyFont="1" applyFill="1" applyProtection="1">
      <protection locked="0"/>
    </xf>
    <xf numFmtId="3" fontId="9" fillId="0" borderId="2" xfId="28" applyNumberFormat="1" applyFont="1" applyFill="1" applyBorder="1" applyProtection="1">
      <protection locked="0"/>
    </xf>
    <xf numFmtId="3" fontId="9" fillId="0" borderId="2" xfId="27" applyNumberFormat="1" applyFont="1" applyFill="1" applyBorder="1" applyProtection="1">
      <protection locked="0"/>
    </xf>
    <xf numFmtId="167" fontId="9" fillId="0" borderId="0" xfId="27" applyNumberFormat="1" applyFont="1" applyFill="1" applyAlignment="1" applyProtection="1">
      <alignment horizontal="left"/>
      <protection locked="0"/>
    </xf>
    <xf numFmtId="164" fontId="9" fillId="0" borderId="0" xfId="26" applyFont="1" applyFill="1" applyAlignment="1" applyProtection="1">
      <alignment horizontal="left"/>
      <protection locked="0"/>
    </xf>
    <xf numFmtId="164" fontId="9" fillId="0" borderId="0" xfId="26" applyFont="1" applyFill="1" applyAlignment="1" applyProtection="1">
      <alignment horizontal="right"/>
      <protection locked="0"/>
    </xf>
    <xf numFmtId="3" fontId="9" fillId="0" borderId="0" xfId="26" applyNumberFormat="1" applyFont="1" applyFill="1" applyProtection="1">
      <protection locked="0"/>
    </xf>
    <xf numFmtId="3" fontId="9" fillId="0" borderId="1" xfId="26" applyNumberFormat="1" applyFont="1" applyFill="1" applyBorder="1" applyProtection="1">
      <protection locked="0"/>
    </xf>
    <xf numFmtId="3" fontId="9" fillId="0" borderId="1" xfId="36" applyNumberFormat="1" applyFont="1" applyFill="1" applyBorder="1"/>
    <xf numFmtId="165" fontId="9" fillId="0" borderId="0" xfId="26" applyNumberFormat="1" applyFont="1" applyFill="1" applyAlignment="1" applyProtection="1">
      <alignment horizontal="left"/>
      <protection locked="0"/>
    </xf>
    <xf numFmtId="164" fontId="9" fillId="0" borderId="0" xfId="26" applyFont="1" applyFill="1" applyProtection="1">
      <protection locked="0"/>
    </xf>
    <xf numFmtId="166" fontId="9" fillId="0" borderId="0" xfId="26" applyNumberFormat="1" applyFont="1" applyFill="1" applyProtection="1">
      <protection locked="0"/>
    </xf>
    <xf numFmtId="3" fontId="9" fillId="0" borderId="0" xfId="26" applyNumberFormat="1" applyFont="1" applyFill="1"/>
    <xf numFmtId="3" fontId="9" fillId="0" borderId="1" xfId="26" applyNumberFormat="1" applyFont="1" applyFill="1" applyBorder="1"/>
    <xf numFmtId="3" fontId="9" fillId="0" borderId="2" xfId="26" applyNumberFormat="1" applyFont="1" applyFill="1" applyBorder="1"/>
    <xf numFmtId="3" fontId="9" fillId="0" borderId="2" xfId="26" applyNumberFormat="1" applyFont="1" applyFill="1" applyBorder="1" applyProtection="1">
      <protection locked="0"/>
    </xf>
    <xf numFmtId="3" fontId="9" fillId="0" borderId="0" xfId="26" applyNumberFormat="1" applyFont="1" applyFill="1" applyBorder="1" applyProtection="1">
      <protection locked="0"/>
    </xf>
    <xf numFmtId="167" fontId="9" fillId="0" borderId="0" xfId="26" applyNumberFormat="1" applyFont="1" applyFill="1" applyAlignment="1" applyProtection="1">
      <alignment horizontal="left"/>
      <protection locked="0"/>
    </xf>
    <xf numFmtId="3" fontId="9" fillId="0" borderId="0" xfId="26" applyNumberFormat="1" applyFont="1" applyFill="1" applyAlignment="1" applyProtection="1">
      <protection locked="0"/>
    </xf>
    <xf numFmtId="164" fontId="9" fillId="0" borderId="0" xfId="25" applyFont="1" applyFill="1" applyAlignment="1" applyProtection="1">
      <alignment horizontal="left"/>
      <protection locked="0"/>
    </xf>
    <xf numFmtId="164" fontId="9" fillId="0" borderId="0" xfId="25" applyFont="1" applyFill="1" applyAlignment="1" applyProtection="1">
      <alignment horizontal="right"/>
      <protection locked="0"/>
    </xf>
    <xf numFmtId="3" fontId="9" fillId="0" borderId="0" xfId="25" applyNumberFormat="1" applyFont="1" applyFill="1" applyProtection="1">
      <protection locked="0"/>
    </xf>
    <xf numFmtId="3" fontId="9" fillId="0" borderId="1" xfId="25" applyNumberFormat="1" applyFont="1" applyFill="1" applyBorder="1" applyProtection="1">
      <protection locked="0"/>
    </xf>
    <xf numFmtId="3" fontId="9" fillId="0" borderId="0" xfId="25" applyNumberFormat="1" applyFont="1" applyFill="1"/>
    <xf numFmtId="165" fontId="9" fillId="0" borderId="0" xfId="25" applyNumberFormat="1" applyFont="1" applyFill="1" applyAlignment="1" applyProtection="1">
      <protection locked="0"/>
    </xf>
    <xf numFmtId="166" fontId="9" fillId="0" borderId="0" xfId="25" applyNumberFormat="1" applyFont="1" applyFill="1" applyProtection="1">
      <protection locked="0"/>
    </xf>
    <xf numFmtId="3" fontId="9" fillId="0" borderId="0" xfId="25" applyNumberFormat="1" applyFont="1" applyFill="1" applyBorder="1" applyProtection="1">
      <protection locked="0"/>
    </xf>
    <xf numFmtId="3" fontId="9" fillId="0" borderId="2" xfId="25" applyNumberFormat="1" applyFont="1" applyFill="1" applyBorder="1" applyProtection="1">
      <protection locked="0"/>
    </xf>
    <xf numFmtId="167" fontId="9" fillId="0" borderId="0" xfId="25" applyNumberFormat="1" applyFont="1" applyFill="1" applyAlignment="1" applyProtection="1">
      <alignment horizontal="left"/>
      <protection locked="0"/>
    </xf>
    <xf numFmtId="164" fontId="9" fillId="0" borderId="0" xfId="25" applyFont="1" applyFill="1" applyProtection="1">
      <protection locked="0"/>
    </xf>
    <xf numFmtId="164" fontId="9" fillId="0" borderId="0" xfId="24" applyFont="1" applyFill="1" applyAlignment="1" applyProtection="1">
      <alignment horizontal="left"/>
      <protection locked="0"/>
    </xf>
    <xf numFmtId="164" fontId="9" fillId="0" borderId="0" xfId="24" applyFont="1" applyFill="1" applyAlignment="1" applyProtection="1">
      <alignment horizontal="right"/>
      <protection locked="0"/>
    </xf>
    <xf numFmtId="3" fontId="9" fillId="0" borderId="0" xfId="24" applyNumberFormat="1" applyFont="1" applyFill="1" applyProtection="1">
      <protection locked="0"/>
    </xf>
    <xf numFmtId="3" fontId="9" fillId="0" borderId="0" xfId="24" applyNumberFormat="1" applyFont="1" applyFill="1"/>
    <xf numFmtId="165" fontId="9" fillId="0" borderId="0" xfId="24" applyNumberFormat="1" applyFont="1" applyFill="1" applyAlignment="1" applyProtection="1">
      <alignment horizontal="left"/>
      <protection locked="0"/>
    </xf>
    <xf numFmtId="3" fontId="9" fillId="0" borderId="1" xfId="24" applyNumberFormat="1" applyFont="1" applyFill="1" applyBorder="1" applyProtection="1">
      <protection locked="0"/>
    </xf>
    <xf numFmtId="3" fontId="9" fillId="0" borderId="2" xfId="24" applyNumberFormat="1" applyFont="1" applyFill="1" applyBorder="1" applyProtection="1">
      <protection locked="0"/>
    </xf>
    <xf numFmtId="166" fontId="9" fillId="0" borderId="0" xfId="24" applyNumberFormat="1" applyFont="1" applyFill="1" applyProtection="1">
      <protection locked="0"/>
    </xf>
    <xf numFmtId="167" fontId="9" fillId="0" borderId="0" xfId="24" applyNumberFormat="1" applyFont="1" applyFill="1" applyAlignment="1" applyProtection="1">
      <alignment horizontal="left"/>
      <protection locked="0"/>
    </xf>
    <xf numFmtId="3" fontId="9" fillId="0" borderId="2" xfId="24" applyNumberFormat="1" applyFont="1" applyFill="1" applyBorder="1"/>
    <xf numFmtId="164" fontId="9" fillId="0" borderId="0" xfId="24" applyFont="1" applyFill="1" applyProtection="1">
      <protection locked="0"/>
    </xf>
    <xf numFmtId="164" fontId="10" fillId="0" borderId="0" xfId="50" applyFont="1" applyFill="1" applyAlignment="1" applyProtection="1">
      <alignment horizontal="center"/>
      <protection locked="0"/>
    </xf>
    <xf numFmtId="49" fontId="9" fillId="0" borderId="0" xfId="22" applyNumberFormat="1" applyFont="1" applyFill="1" applyAlignment="1" applyProtection="1">
      <alignment horizontal="left"/>
      <protection locked="0"/>
    </xf>
    <xf numFmtId="164" fontId="9" fillId="0" borderId="0" xfId="22" applyFont="1" applyFill="1" applyProtection="1">
      <protection locked="0"/>
    </xf>
    <xf numFmtId="3" fontId="9" fillId="0" borderId="0" xfId="22" applyNumberFormat="1" applyFont="1" applyFill="1" applyProtection="1">
      <protection locked="0"/>
    </xf>
    <xf numFmtId="49" fontId="9" fillId="0" borderId="0" xfId="22" applyNumberFormat="1" applyFont="1" applyFill="1"/>
    <xf numFmtId="3" fontId="9" fillId="0" borderId="0" xfId="22" applyNumberFormat="1" applyFont="1" applyFill="1"/>
    <xf numFmtId="164" fontId="9" fillId="0" borderId="0" xfId="22" applyFont="1" applyFill="1" applyAlignment="1" applyProtection="1">
      <alignment horizontal="left"/>
      <protection locked="0"/>
    </xf>
    <xf numFmtId="3" fontId="9" fillId="0" borderId="0" xfId="23" applyNumberFormat="1" applyFont="1" applyFill="1" applyProtection="1">
      <protection locked="0"/>
    </xf>
    <xf numFmtId="3" fontId="9" fillId="0" borderId="2" xfId="21" applyNumberFormat="1" applyFont="1" applyFill="1" applyBorder="1" applyProtection="1">
      <protection locked="0"/>
    </xf>
    <xf numFmtId="164" fontId="9" fillId="0" borderId="0" xfId="21" applyFont="1" applyFill="1" applyAlignment="1" applyProtection="1">
      <alignment horizontal="right"/>
      <protection locked="0"/>
    </xf>
    <xf numFmtId="3" fontId="9" fillId="0" borderId="0" xfId="21" applyNumberFormat="1" applyFont="1" applyFill="1" applyProtection="1">
      <protection locked="0"/>
    </xf>
    <xf numFmtId="3" fontId="9" fillId="0" borderId="1" xfId="21" applyNumberFormat="1" applyFont="1" applyFill="1" applyBorder="1" applyProtection="1">
      <protection locked="0"/>
    </xf>
    <xf numFmtId="165" fontId="9" fillId="0" borderId="0" xfId="21" applyNumberFormat="1" applyFont="1" applyFill="1" applyAlignment="1" applyProtection="1">
      <alignment horizontal="left"/>
      <protection locked="0"/>
    </xf>
    <xf numFmtId="3" fontId="9" fillId="0" borderId="0" xfId="21" applyNumberFormat="1" applyFont="1" applyFill="1"/>
    <xf numFmtId="166" fontId="9" fillId="0" borderId="0" xfId="21" applyNumberFormat="1" applyFont="1" applyFill="1" applyProtection="1">
      <protection locked="0"/>
    </xf>
    <xf numFmtId="3" fontId="9" fillId="0" borderId="2" xfId="21" applyNumberFormat="1" applyFont="1" applyFill="1" applyBorder="1"/>
    <xf numFmtId="167" fontId="9" fillId="0" borderId="0" xfId="21" applyNumberFormat="1" applyFont="1" applyFill="1" applyAlignment="1" applyProtection="1">
      <alignment horizontal="left"/>
      <protection locked="0"/>
    </xf>
    <xf numFmtId="164" fontId="9" fillId="0" borderId="0" xfId="21" applyFont="1" applyFill="1" applyProtection="1">
      <protection locked="0"/>
    </xf>
    <xf numFmtId="164" fontId="9" fillId="0" borderId="0" xfId="59" applyFont="1" applyFill="1" applyAlignment="1">
      <alignment horizontal="left"/>
    </xf>
    <xf numFmtId="167" fontId="9" fillId="0" borderId="0" xfId="59" applyNumberFormat="1" applyFont="1" applyFill="1" applyAlignment="1" applyProtection="1">
      <alignment horizontal="left"/>
      <protection locked="0"/>
    </xf>
    <xf numFmtId="167" fontId="9" fillId="0" borderId="0" xfId="19" applyNumberFormat="1" applyFont="1" applyFill="1" applyAlignment="1" applyProtection="1">
      <alignment horizontal="left"/>
      <protection locked="0"/>
    </xf>
    <xf numFmtId="167" fontId="9" fillId="0" borderId="0" xfId="19" applyNumberFormat="1" applyFont="1" applyFill="1" applyAlignment="1">
      <alignment horizontal="left"/>
    </xf>
    <xf numFmtId="164" fontId="9" fillId="0" borderId="0" xfId="18" applyFont="1" applyFill="1" applyAlignment="1" applyProtection="1">
      <alignment horizontal="left"/>
      <protection locked="0"/>
    </xf>
    <xf numFmtId="164" fontId="9" fillId="0" borderId="0" xfId="18" applyFont="1" applyFill="1" applyProtection="1">
      <protection locked="0"/>
    </xf>
    <xf numFmtId="3" fontId="9" fillId="0" borderId="0" xfId="18" applyNumberFormat="1" applyFont="1" applyFill="1" applyProtection="1">
      <protection locked="0"/>
    </xf>
    <xf numFmtId="3" fontId="9" fillId="0" borderId="0" xfId="18" applyNumberFormat="1" applyFont="1" applyFill="1"/>
    <xf numFmtId="3" fontId="9" fillId="0" borderId="1" xfId="18" applyNumberFormat="1" applyFont="1" applyFill="1" applyBorder="1" applyProtection="1">
      <protection locked="0"/>
    </xf>
    <xf numFmtId="3" fontId="9" fillId="0" borderId="2" xfId="18" applyNumberFormat="1" applyFont="1" applyFill="1" applyBorder="1" applyProtection="1">
      <protection locked="0"/>
    </xf>
    <xf numFmtId="166" fontId="9" fillId="0" borderId="0" xfId="18" applyNumberFormat="1" applyFont="1" applyFill="1" applyAlignment="1" applyProtection="1">
      <alignment horizontal="left"/>
      <protection locked="0"/>
    </xf>
    <xf numFmtId="164" fontId="9" fillId="0" borderId="0" xfId="17" applyFont="1" applyFill="1" applyAlignment="1" applyProtection="1">
      <alignment horizontal="left"/>
      <protection locked="0"/>
    </xf>
    <xf numFmtId="164" fontId="9" fillId="0" borderId="0" xfId="17" applyFont="1" applyFill="1" applyAlignment="1" applyProtection="1">
      <alignment horizontal="right"/>
      <protection locked="0"/>
    </xf>
    <xf numFmtId="3" fontId="9" fillId="0" borderId="0" xfId="17" applyNumberFormat="1" applyFont="1" applyFill="1" applyProtection="1">
      <protection locked="0"/>
    </xf>
    <xf numFmtId="3" fontId="9" fillId="0" borderId="1" xfId="17" applyNumberFormat="1" applyFont="1" applyFill="1" applyBorder="1" applyProtection="1">
      <protection locked="0"/>
    </xf>
    <xf numFmtId="165" fontId="9" fillId="0" borderId="0" xfId="17" applyNumberFormat="1" applyFont="1" applyFill="1" applyAlignment="1" applyProtection="1">
      <alignment horizontal="left"/>
      <protection locked="0"/>
    </xf>
    <xf numFmtId="3" fontId="9" fillId="0" borderId="0" xfId="17" applyNumberFormat="1" applyFont="1" applyFill="1"/>
    <xf numFmtId="3" fontId="9" fillId="0" borderId="0" xfId="17" applyNumberFormat="1" applyFont="1" applyFill="1" applyBorder="1" applyProtection="1">
      <protection locked="0"/>
    </xf>
    <xf numFmtId="166" fontId="9" fillId="0" borderId="0" xfId="17" applyNumberFormat="1" applyFont="1" applyFill="1" applyProtection="1">
      <protection locked="0"/>
    </xf>
    <xf numFmtId="3" fontId="9" fillId="0" borderId="2" xfId="17" applyNumberFormat="1" applyFont="1" applyFill="1" applyBorder="1" applyProtection="1">
      <protection locked="0"/>
    </xf>
    <xf numFmtId="164" fontId="9" fillId="0" borderId="0" xfId="17" applyFont="1" applyFill="1" applyProtection="1">
      <protection locked="0"/>
    </xf>
    <xf numFmtId="3" fontId="9" fillId="0" borderId="2" xfId="16" applyNumberFormat="1" applyFont="1" applyFill="1" applyBorder="1" applyProtection="1">
      <protection locked="0"/>
    </xf>
    <xf numFmtId="164" fontId="9" fillId="0" borderId="0" xfId="14" applyFont="1" applyFill="1" applyProtection="1">
      <protection locked="0"/>
    </xf>
    <xf numFmtId="3" fontId="9" fillId="0" borderId="0" xfId="14" applyNumberFormat="1" applyFont="1" applyFill="1" applyProtection="1">
      <protection locked="0"/>
    </xf>
    <xf numFmtId="3" fontId="9" fillId="0" borderId="0" xfId="14" applyNumberFormat="1" applyFont="1" applyFill="1"/>
    <xf numFmtId="3" fontId="9" fillId="0" borderId="1" xfId="14" applyNumberFormat="1" applyFont="1" applyFill="1" applyBorder="1"/>
    <xf numFmtId="3" fontId="9" fillId="0" borderId="2" xfId="14" applyNumberFormat="1" applyFont="1" applyFill="1" applyBorder="1"/>
    <xf numFmtId="3" fontId="9" fillId="0" borderId="0" xfId="15" applyNumberFormat="1" applyFont="1" applyFill="1" applyProtection="1">
      <protection locked="0"/>
    </xf>
    <xf numFmtId="167" fontId="9" fillId="0" borderId="0" xfId="14" applyNumberFormat="1" applyFont="1" applyFill="1" applyAlignment="1" applyProtection="1">
      <alignment horizontal="left"/>
      <protection locked="0"/>
    </xf>
    <xf numFmtId="3" fontId="9" fillId="0" borderId="0" xfId="14" applyNumberFormat="1" applyFont="1" applyFill="1" applyBorder="1" applyProtection="1">
      <protection locked="0"/>
    </xf>
    <xf numFmtId="3" fontId="9" fillId="0" borderId="1" xfId="1" applyNumberFormat="1" applyFont="1" applyFill="1" applyBorder="1" applyProtection="1">
      <protection locked="0"/>
    </xf>
    <xf numFmtId="3" fontId="9" fillId="0" borderId="2" xfId="1" applyNumberFormat="1" applyFont="1" applyFill="1" applyBorder="1" applyProtection="1">
      <protection locked="0"/>
    </xf>
    <xf numFmtId="3" fontId="9" fillId="0" borderId="0" xfId="0" applyNumberFormat="1" applyFont="1" applyFill="1" applyBorder="1"/>
    <xf numFmtId="3" fontId="9" fillId="0" borderId="0" xfId="0" applyNumberFormat="1" applyFont="1" applyFill="1" applyBorder="1" applyAlignment="1"/>
    <xf numFmtId="164" fontId="9" fillId="0" borderId="0" xfId="1" applyFont="1" applyFill="1" applyProtection="1">
      <protection locked="0"/>
    </xf>
    <xf numFmtId="164" fontId="9" fillId="0" borderId="0" xfId="12" applyFont="1" applyFill="1" applyAlignment="1" applyProtection="1">
      <alignment horizontal="left"/>
      <protection locked="0"/>
    </xf>
    <xf numFmtId="164" fontId="9" fillId="0" borderId="0" xfId="12" applyFont="1" applyFill="1" applyProtection="1">
      <protection locked="0"/>
    </xf>
    <xf numFmtId="3" fontId="9" fillId="0" borderId="0" xfId="12" applyNumberFormat="1" applyFont="1" applyFill="1" applyProtection="1">
      <protection locked="0"/>
    </xf>
    <xf numFmtId="3" fontId="9" fillId="0" borderId="0" xfId="12" applyNumberFormat="1" applyFont="1" applyFill="1"/>
    <xf numFmtId="3" fontId="9" fillId="0" borderId="1" xfId="12" applyNumberFormat="1" applyFont="1" applyFill="1" applyBorder="1" applyProtection="1">
      <protection locked="0"/>
    </xf>
    <xf numFmtId="3" fontId="9" fillId="0" borderId="2" xfId="12" applyNumberFormat="1" applyFont="1" applyFill="1" applyBorder="1" applyProtection="1">
      <protection locked="0"/>
    </xf>
    <xf numFmtId="166" fontId="9" fillId="0" borderId="0" xfId="12" applyNumberFormat="1" applyFont="1" applyFill="1" applyAlignment="1" applyProtection="1">
      <alignment horizontal="left"/>
      <protection locked="0"/>
    </xf>
    <xf numFmtId="3" fontId="9" fillId="0" borderId="0" xfId="13" applyNumberFormat="1" applyFont="1" applyFill="1" applyProtection="1">
      <protection locked="0"/>
    </xf>
    <xf numFmtId="164" fontId="9" fillId="0" borderId="0" xfId="8" applyFont="1" applyFill="1" applyAlignment="1" applyProtection="1">
      <alignment horizontal="left"/>
      <protection locked="0"/>
    </xf>
    <xf numFmtId="164" fontId="9" fillId="0" borderId="0" xfId="8" applyFont="1" applyFill="1" applyAlignment="1" applyProtection="1">
      <alignment horizontal="right"/>
      <protection locked="0"/>
    </xf>
    <xf numFmtId="3" fontId="9" fillId="0" borderId="0" xfId="8" applyNumberFormat="1" applyFont="1" applyFill="1" applyProtection="1">
      <protection locked="0"/>
    </xf>
    <xf numFmtId="165" fontId="9" fillId="0" borderId="0" xfId="8" applyNumberFormat="1" applyFont="1" applyFill="1" applyAlignment="1" applyProtection="1">
      <alignment horizontal="left"/>
      <protection locked="0"/>
    </xf>
    <xf numFmtId="3" fontId="9" fillId="0" borderId="0" xfId="8" applyNumberFormat="1" applyFont="1" applyFill="1"/>
    <xf numFmtId="3" fontId="9" fillId="0" borderId="1" xfId="8" applyNumberFormat="1" applyFont="1" applyFill="1" applyBorder="1" applyProtection="1">
      <protection locked="0"/>
    </xf>
    <xf numFmtId="3" fontId="9" fillId="0" borderId="0" xfId="11" applyNumberFormat="1" applyFont="1" applyFill="1" applyProtection="1">
      <protection locked="0"/>
    </xf>
    <xf numFmtId="3" fontId="9" fillId="0" borderId="2" xfId="8" applyNumberFormat="1" applyFont="1" applyFill="1" applyBorder="1" applyProtection="1">
      <protection locked="0"/>
    </xf>
    <xf numFmtId="164" fontId="9" fillId="0" borderId="0" xfId="7" applyFont="1" applyFill="1" applyAlignment="1" applyProtection="1">
      <alignment horizontal="left"/>
      <protection locked="0"/>
    </xf>
    <xf numFmtId="164" fontId="9" fillId="0" borderId="0" xfId="7" applyFont="1" applyFill="1" applyAlignment="1" applyProtection="1">
      <alignment horizontal="right"/>
      <protection locked="0"/>
    </xf>
    <xf numFmtId="3" fontId="9" fillId="0" borderId="0" xfId="7" applyNumberFormat="1" applyFont="1" applyFill="1" applyProtection="1">
      <protection locked="0"/>
    </xf>
    <xf numFmtId="3" fontId="9" fillId="0" borderId="1" xfId="7" applyNumberFormat="1" applyFont="1" applyFill="1" applyBorder="1" applyProtection="1">
      <protection locked="0"/>
    </xf>
    <xf numFmtId="166" fontId="9" fillId="0" borderId="0" xfId="7" applyNumberFormat="1" applyFont="1" applyFill="1" applyProtection="1">
      <protection locked="0"/>
    </xf>
    <xf numFmtId="3" fontId="9" fillId="0" borderId="0" xfId="7" applyNumberFormat="1" applyFont="1" applyFill="1"/>
    <xf numFmtId="3" fontId="9" fillId="0" borderId="0" xfId="7" applyNumberFormat="1" applyFont="1" applyFill="1" applyBorder="1" applyProtection="1">
      <protection locked="0"/>
    </xf>
    <xf numFmtId="0" fontId="9" fillId="0" borderId="0" xfId="0" quotePrefix="1" applyFont="1" applyFill="1"/>
    <xf numFmtId="3" fontId="9" fillId="0" borderId="0" xfId="6" applyNumberFormat="1" applyFont="1" applyFill="1" applyAlignment="1" applyProtection="1">
      <alignment horizontal="right"/>
      <protection locked="0"/>
    </xf>
    <xf numFmtId="167" fontId="9" fillId="0" borderId="0" xfId="7" applyNumberFormat="1" applyFont="1" applyFill="1" applyAlignment="1">
      <alignment horizontal="left"/>
    </xf>
    <xf numFmtId="164" fontId="9" fillId="0" borderId="0" xfId="7" applyFont="1" applyFill="1" applyProtection="1">
      <protection locked="0"/>
    </xf>
    <xf numFmtId="3" fontId="9" fillId="0" borderId="2" xfId="7" applyNumberFormat="1" applyFont="1" applyFill="1" applyBorder="1" applyProtection="1">
      <protection locked="0"/>
    </xf>
    <xf numFmtId="167" fontId="9" fillId="0" borderId="0" xfId="7" applyNumberFormat="1" applyFont="1" applyFill="1" applyAlignment="1" applyProtection="1">
      <alignment horizontal="left"/>
      <protection locked="0"/>
    </xf>
    <xf numFmtId="3" fontId="9" fillId="0" borderId="0" xfId="6" applyNumberFormat="1" applyFont="1" applyFill="1" applyProtection="1">
      <protection locked="0"/>
    </xf>
    <xf numFmtId="3" fontId="9" fillId="0" borderId="1" xfId="6" applyNumberFormat="1" applyFont="1" applyFill="1" applyBorder="1" applyProtection="1">
      <protection locked="0"/>
    </xf>
    <xf numFmtId="3" fontId="9" fillId="0" borderId="0" xfId="6" applyNumberFormat="1" applyFont="1" applyFill="1"/>
    <xf numFmtId="3" fontId="3" fillId="0" borderId="0" xfId="0" applyNumberFormat="1" applyFont="1" applyFill="1" applyAlignment="1"/>
    <xf numFmtId="3" fontId="9" fillId="0" borderId="0" xfId="6" applyNumberFormat="1" applyFont="1" applyFill="1" applyBorder="1" applyProtection="1">
      <protection locked="0"/>
    </xf>
    <xf numFmtId="3" fontId="9" fillId="0" borderId="2" xfId="6" applyNumberFormat="1" applyFont="1" applyFill="1" applyBorder="1" applyProtection="1">
      <protection locked="0"/>
    </xf>
    <xf numFmtId="168" fontId="9" fillId="0" borderId="0" xfId="0" applyNumberFormat="1" applyFont="1" applyFill="1" applyAlignment="1"/>
    <xf numFmtId="167" fontId="9" fillId="0" borderId="0" xfId="6" applyNumberFormat="1" applyFont="1" applyFill="1" applyAlignment="1" applyProtection="1">
      <alignment horizontal="left"/>
      <protection locked="0"/>
    </xf>
    <xf numFmtId="164" fontId="9" fillId="0" borderId="0" xfId="6" applyFont="1" applyFill="1" applyProtection="1">
      <protection locked="0"/>
    </xf>
    <xf numFmtId="164" fontId="9" fillId="0" borderId="0" xfId="4" applyFont="1" applyFill="1" applyAlignment="1" applyProtection="1">
      <alignment horizontal="left"/>
      <protection locked="0"/>
    </xf>
    <xf numFmtId="3" fontId="9" fillId="0" borderId="0" xfId="4" applyNumberFormat="1" applyFont="1" applyFill="1" applyProtection="1">
      <protection locked="0"/>
    </xf>
    <xf numFmtId="3" fontId="9" fillId="0" borderId="0" xfId="4" applyNumberFormat="1" applyFont="1" applyFill="1"/>
    <xf numFmtId="3" fontId="9" fillId="0" borderId="0" xfId="5" applyNumberFormat="1" applyFont="1" applyFill="1" applyProtection="1">
      <protection locked="0"/>
    </xf>
    <xf numFmtId="167" fontId="9" fillId="0" borderId="0" xfId="4" applyNumberFormat="1" applyFont="1" applyFill="1" applyAlignment="1" applyProtection="1">
      <alignment horizontal="left"/>
      <protection locked="0"/>
    </xf>
    <xf numFmtId="164" fontId="9" fillId="0" borderId="0" xfId="2" applyFont="1" applyFill="1" applyAlignment="1" applyProtection="1">
      <alignment horizontal="left"/>
      <protection locked="0"/>
    </xf>
    <xf numFmtId="164" fontId="9" fillId="0" borderId="0" xfId="2" applyFont="1" applyFill="1" applyAlignment="1" applyProtection="1">
      <alignment horizontal="right"/>
      <protection locked="0"/>
    </xf>
    <xf numFmtId="3" fontId="9" fillId="0" borderId="0" xfId="2" applyNumberFormat="1" applyFont="1" applyFill="1" applyProtection="1">
      <protection locked="0"/>
    </xf>
    <xf numFmtId="165" fontId="9" fillId="0" borderId="0" xfId="2" applyNumberFormat="1" applyFont="1" applyFill="1" applyAlignment="1" applyProtection="1">
      <alignment horizontal="left"/>
      <protection locked="0"/>
    </xf>
    <xf numFmtId="3" fontId="9" fillId="0" borderId="0" xfId="2" applyNumberFormat="1" applyFont="1" applyFill="1"/>
    <xf numFmtId="3" fontId="9" fillId="0" borderId="1" xfId="2" applyNumberFormat="1" applyFont="1" applyFill="1" applyBorder="1"/>
    <xf numFmtId="3" fontId="9" fillId="0" borderId="2" xfId="2" applyNumberFormat="1" applyFont="1" applyFill="1" applyBorder="1"/>
    <xf numFmtId="167" fontId="9" fillId="0" borderId="0" xfId="2" applyNumberFormat="1" applyFont="1" applyFill="1" applyAlignment="1" applyProtection="1">
      <alignment horizontal="left"/>
      <protection locked="0"/>
    </xf>
    <xf numFmtId="3" fontId="9" fillId="0" borderId="0" xfId="3" applyNumberFormat="1" applyFont="1" applyFill="1" applyProtection="1">
      <protection locked="0"/>
    </xf>
    <xf numFmtId="3" fontId="9" fillId="0" borderId="0" xfId="2" applyNumberFormat="1" applyFont="1" applyFill="1" applyBorder="1" applyProtection="1">
      <protection locked="0"/>
    </xf>
    <xf numFmtId="0" fontId="23" fillId="0" borderId="0" xfId="0" applyFont="1"/>
    <xf numFmtId="169" fontId="9" fillId="0" borderId="0" xfId="35" quotePrefix="1" applyNumberFormat="1" applyFont="1" applyFill="1" applyAlignment="1" applyProtection="1">
      <alignment horizontal="right"/>
    </xf>
    <xf numFmtId="164" fontId="10" fillId="0" borderId="0" xfId="36" quotePrefix="1" applyFont="1" applyFill="1" applyAlignment="1" applyProtection="1">
      <alignment horizontal="right"/>
    </xf>
    <xf numFmtId="164" fontId="9" fillId="0" borderId="0" xfId="2" quotePrefix="1" applyFont="1" applyFill="1" applyAlignment="1" applyProtection="1">
      <alignment horizontal="right"/>
      <protection locked="0"/>
    </xf>
    <xf numFmtId="164" fontId="9" fillId="0" borderId="0" xfId="85" quotePrefix="1" applyFont="1" applyFill="1" applyAlignment="1" applyProtection="1">
      <alignment horizontal="right"/>
      <protection locked="0"/>
    </xf>
    <xf numFmtId="164" fontId="9" fillId="0" borderId="0" xfId="106" quotePrefix="1" applyFont="1" applyFill="1"/>
    <xf numFmtId="164" fontId="9" fillId="0" borderId="0" xfId="105" quotePrefix="1" applyFont="1" applyFill="1" applyAlignment="1" applyProtection="1">
      <alignment horizontal="right"/>
      <protection locked="0"/>
    </xf>
    <xf numFmtId="164" fontId="9" fillId="0" borderId="0" xfId="104" quotePrefix="1" applyFont="1" applyFill="1" applyAlignment="1" applyProtection="1">
      <alignment horizontal="right"/>
      <protection locked="0"/>
    </xf>
    <xf numFmtId="164" fontId="9" fillId="0" borderId="0" xfId="107" quotePrefix="1" applyFont="1" applyFill="1" applyAlignment="1" applyProtection="1">
      <alignment horizontal="right"/>
      <protection locked="0"/>
    </xf>
    <xf numFmtId="164" fontId="9" fillId="0" borderId="0" xfId="103" quotePrefix="1" applyFont="1" applyFill="1" applyAlignment="1" applyProtection="1">
      <alignment horizontal="right"/>
      <protection locked="0"/>
    </xf>
    <xf numFmtId="164" fontId="9" fillId="0" borderId="0" xfId="59" quotePrefix="1" applyFont="1" applyFill="1" applyProtection="1">
      <protection locked="0"/>
    </xf>
    <xf numFmtId="164" fontId="9" fillId="0" borderId="0" xfId="102" quotePrefix="1" applyFont="1" applyFill="1" applyAlignment="1" applyProtection="1">
      <alignment horizontal="right"/>
      <protection locked="0"/>
    </xf>
    <xf numFmtId="164" fontId="9" fillId="0" borderId="0" xfId="19" quotePrefix="1" applyFont="1" applyFill="1" applyAlignment="1" applyProtection="1">
      <alignment horizontal="right"/>
      <protection locked="0"/>
    </xf>
    <xf numFmtId="164" fontId="9" fillId="0" borderId="0" xfId="100" quotePrefix="1" applyFont="1" applyFill="1" applyProtection="1">
      <protection locked="0"/>
    </xf>
    <xf numFmtId="164" fontId="9" fillId="0" borderId="0" xfId="88" quotePrefix="1" applyFont="1" applyFill="1" applyProtection="1">
      <protection locked="0"/>
    </xf>
    <xf numFmtId="164" fontId="9" fillId="0" borderId="0" xfId="99" quotePrefix="1" applyFont="1" applyFill="1" applyAlignment="1" applyProtection="1">
      <alignment horizontal="right"/>
      <protection locked="0"/>
    </xf>
    <xf numFmtId="164" fontId="9" fillId="0" borderId="0" xfId="78" quotePrefix="1" applyFont="1" applyFill="1" applyProtection="1">
      <protection locked="0"/>
    </xf>
    <xf numFmtId="164" fontId="9" fillId="0" borderId="0" xfId="97" quotePrefix="1" applyFont="1" applyFill="1" applyProtection="1">
      <protection locked="0"/>
    </xf>
    <xf numFmtId="164" fontId="9" fillId="0" borderId="0" xfId="96" quotePrefix="1" applyFont="1" applyFill="1" applyAlignment="1" applyProtection="1">
      <alignment horizontal="right"/>
      <protection locked="0"/>
    </xf>
    <xf numFmtId="164" fontId="9" fillId="0" borderId="0" xfId="95" quotePrefix="1" applyFont="1" applyFill="1" applyAlignment="1" applyProtection="1">
      <alignment horizontal="right"/>
      <protection locked="0"/>
    </xf>
    <xf numFmtId="164" fontId="9" fillId="0" borderId="0" xfId="20" quotePrefix="1" applyFont="1" applyFill="1" applyAlignment="1" applyProtection="1">
      <alignment horizontal="right"/>
      <protection locked="0"/>
    </xf>
    <xf numFmtId="164" fontId="9" fillId="0" borderId="0" xfId="93" quotePrefix="1" applyFont="1" applyFill="1" applyAlignment="1" applyProtection="1">
      <alignment horizontal="right"/>
    </xf>
    <xf numFmtId="164" fontId="9" fillId="0" borderId="0" xfId="66" quotePrefix="1" applyFont="1" applyFill="1" applyProtection="1">
      <protection locked="0"/>
    </xf>
    <xf numFmtId="164" fontId="9" fillId="0" borderId="0" xfId="94" quotePrefix="1" applyFont="1" applyFill="1" applyAlignment="1" applyProtection="1">
      <alignment horizontal="right"/>
      <protection locked="0"/>
    </xf>
    <xf numFmtId="164" fontId="9" fillId="0" borderId="0" xfId="1" quotePrefix="1" applyFont="1" applyFill="1" applyAlignment="1" applyProtection="1">
      <alignment horizontal="right"/>
      <protection locked="0"/>
    </xf>
    <xf numFmtId="164" fontId="9" fillId="0" borderId="0" xfId="27" quotePrefix="1" applyFont="1" applyFill="1" applyAlignment="1" applyProtection="1">
      <alignment horizontal="right"/>
      <protection locked="0"/>
    </xf>
    <xf numFmtId="164" fontId="9" fillId="0" borderId="0" xfId="91" quotePrefix="1" applyFont="1" applyFill="1" applyAlignment="1" applyProtection="1">
      <alignment horizontal="right"/>
      <protection locked="0"/>
    </xf>
    <xf numFmtId="164" fontId="9" fillId="0" borderId="0" xfId="63" quotePrefix="1" applyFont="1" applyFill="1" applyProtection="1">
      <protection locked="0"/>
    </xf>
    <xf numFmtId="164" fontId="9" fillId="0" borderId="0" xfId="87" quotePrefix="1" applyFont="1" applyFill="1" applyProtection="1">
      <protection locked="0"/>
    </xf>
    <xf numFmtId="164" fontId="10" fillId="0" borderId="0" xfId="43" quotePrefix="1" applyFont="1" applyFill="1" applyAlignment="1" applyProtection="1">
      <alignment horizontal="right"/>
      <protection locked="0"/>
    </xf>
    <xf numFmtId="164" fontId="9" fillId="0" borderId="0" xfId="86" quotePrefix="1" applyFont="1" applyFill="1" applyAlignment="1" applyProtection="1">
      <alignment horizontal="right"/>
      <protection locked="0"/>
    </xf>
    <xf numFmtId="164" fontId="9" fillId="0" borderId="0" xfId="84" quotePrefix="1" applyFont="1" applyFill="1" applyAlignment="1" applyProtection="1">
      <alignment horizontal="right"/>
      <protection locked="0"/>
    </xf>
    <xf numFmtId="164" fontId="9" fillId="0" borderId="0" xfId="83" quotePrefix="1" applyFont="1" applyFill="1" applyAlignment="1" applyProtection="1">
      <alignment horizontal="right"/>
      <protection locked="0"/>
    </xf>
    <xf numFmtId="164" fontId="9" fillId="0" borderId="0" xfId="82" quotePrefix="1" applyFont="1" applyFill="1" applyAlignment="1" applyProtection="1">
      <alignment horizontal="right"/>
      <protection locked="0"/>
    </xf>
    <xf numFmtId="164" fontId="9" fillId="0" borderId="0" xfId="81" quotePrefix="1" applyFont="1" applyFill="1" applyAlignment="1" applyProtection="1">
      <alignment horizontal="right"/>
      <protection locked="0"/>
    </xf>
    <xf numFmtId="164" fontId="9" fillId="0" borderId="0" xfId="77" quotePrefix="1" applyFont="1" applyFill="1" applyProtection="1">
      <protection locked="0"/>
    </xf>
    <xf numFmtId="164" fontId="9" fillId="0" borderId="0" xfId="16" quotePrefix="1" applyFont="1" applyFill="1" applyAlignment="1" applyProtection="1">
      <alignment horizontal="right"/>
      <protection locked="0"/>
    </xf>
    <xf numFmtId="164" fontId="9" fillId="0" borderId="0" xfId="75" quotePrefix="1" applyFont="1" applyFill="1" applyProtection="1">
      <protection locked="0"/>
    </xf>
    <xf numFmtId="164" fontId="9" fillId="0" borderId="0" xfId="74" quotePrefix="1" applyFont="1" applyFill="1" applyAlignment="1" applyProtection="1">
      <alignment horizontal="right"/>
      <protection locked="0"/>
    </xf>
    <xf numFmtId="164" fontId="10" fillId="0" borderId="0" xfId="73" quotePrefix="1" applyFont="1" applyFill="1" applyAlignment="1" applyProtection="1">
      <alignment horizontal="right"/>
      <protection locked="0"/>
    </xf>
    <xf numFmtId="164" fontId="10" fillId="0" borderId="0" xfId="71" quotePrefix="1" applyFont="1" applyFill="1" applyProtection="1">
      <protection locked="0"/>
    </xf>
    <xf numFmtId="164" fontId="10" fillId="0" borderId="0" xfId="70" quotePrefix="1" applyFont="1" applyFill="1" applyAlignment="1" applyProtection="1">
      <alignment horizontal="right"/>
      <protection locked="0"/>
    </xf>
    <xf numFmtId="164" fontId="10" fillId="0" borderId="0" xfId="69" quotePrefix="1" applyFont="1" applyFill="1" applyAlignment="1" applyProtection="1">
      <alignment horizontal="right"/>
      <protection locked="0"/>
    </xf>
    <xf numFmtId="164" fontId="10" fillId="0" borderId="0" xfId="65" quotePrefix="1" applyFont="1" applyFill="1" applyProtection="1">
      <protection locked="0"/>
    </xf>
    <xf numFmtId="164" fontId="10" fillId="0" borderId="0" xfId="62" quotePrefix="1" applyFont="1" applyFill="1" applyAlignment="1" applyProtection="1">
      <alignment horizontal="right"/>
      <protection locked="0"/>
    </xf>
    <xf numFmtId="164" fontId="9" fillId="0" borderId="0" xfId="57" quotePrefix="1" applyFont="1" applyFill="1" applyProtection="1">
      <protection locked="0"/>
    </xf>
    <xf numFmtId="164" fontId="9" fillId="0" borderId="0" xfId="55" quotePrefix="1" applyFont="1" applyFill="1" applyAlignment="1" applyProtection="1">
      <alignment horizontal="right"/>
      <protection locked="0"/>
    </xf>
    <xf numFmtId="164" fontId="9" fillId="0" borderId="0" xfId="53" quotePrefix="1" applyFont="1" applyFill="1" applyProtection="1">
      <protection locked="0"/>
    </xf>
    <xf numFmtId="164" fontId="9" fillId="0" borderId="0" xfId="51" quotePrefix="1" applyFont="1" applyFill="1" applyProtection="1">
      <protection locked="0"/>
    </xf>
    <xf numFmtId="164" fontId="9" fillId="0" borderId="0" xfId="48" quotePrefix="1" applyFont="1" applyFill="1" applyProtection="1">
      <protection locked="0"/>
    </xf>
    <xf numFmtId="164" fontId="9" fillId="0" borderId="0" xfId="46" quotePrefix="1" applyFont="1" applyFill="1" applyProtection="1">
      <protection locked="0"/>
    </xf>
    <xf numFmtId="164" fontId="9" fillId="0" borderId="0" xfId="44" quotePrefix="1" applyFont="1" applyFill="1" applyProtection="1">
      <protection locked="0"/>
    </xf>
    <xf numFmtId="164" fontId="10" fillId="0" borderId="0" xfId="50" quotePrefix="1" applyFont="1" applyFill="1" applyAlignment="1" applyProtection="1">
      <alignment horizontal="right"/>
      <protection locked="0"/>
    </xf>
    <xf numFmtId="164" fontId="9" fillId="0" borderId="0" xfId="29" quotePrefix="1" applyFont="1" applyFill="1" applyProtection="1">
      <protection locked="0"/>
    </xf>
    <xf numFmtId="164" fontId="9" fillId="0" borderId="0" xfId="41" quotePrefix="1" applyFont="1" applyFill="1" applyProtection="1">
      <protection locked="0"/>
    </xf>
    <xf numFmtId="164" fontId="9" fillId="0" borderId="0" xfId="9" quotePrefix="1" applyFont="1" applyFill="1" applyAlignment="1" applyProtection="1">
      <alignment horizontal="right"/>
      <protection locked="0"/>
    </xf>
    <xf numFmtId="164" fontId="9" fillId="0" borderId="0" xfId="40" quotePrefix="1" applyFont="1" applyFill="1" applyAlignment="1" applyProtection="1">
      <alignment horizontal="right"/>
      <protection locked="0"/>
    </xf>
    <xf numFmtId="164" fontId="9" fillId="0" borderId="0" xfId="39" quotePrefix="1" applyFont="1" applyFill="1" applyAlignment="1" applyProtection="1">
      <alignment horizontal="right"/>
      <protection locked="0"/>
    </xf>
    <xf numFmtId="164" fontId="9" fillId="0" borderId="0" xfId="37" quotePrefix="1" applyFont="1" applyFill="1" applyAlignment="1" applyProtection="1">
      <alignment horizontal="right"/>
      <protection locked="0"/>
    </xf>
    <xf numFmtId="164" fontId="9" fillId="0" borderId="0" xfId="32" quotePrefix="1" applyFont="1" applyFill="1" applyProtection="1">
      <protection locked="0"/>
    </xf>
    <xf numFmtId="164" fontId="9" fillId="0" borderId="0" xfId="38" quotePrefix="1" applyFont="1" applyFill="1" applyAlignment="1" applyProtection="1">
      <alignment horizontal="right"/>
      <protection locked="0"/>
    </xf>
    <xf numFmtId="164" fontId="9" fillId="0" borderId="0" xfId="28" quotePrefix="1" applyFont="1" applyFill="1" applyAlignment="1" applyProtection="1">
      <alignment horizontal="right"/>
      <protection locked="0"/>
    </xf>
    <xf numFmtId="164" fontId="9" fillId="0" borderId="0" xfId="26" quotePrefix="1" applyFont="1" applyFill="1" applyAlignment="1" applyProtection="1">
      <alignment horizontal="right"/>
      <protection locked="0"/>
    </xf>
    <xf numFmtId="164" fontId="9" fillId="0" borderId="0" xfId="25" quotePrefix="1" applyFont="1" applyFill="1" applyAlignment="1" applyProtection="1">
      <alignment horizontal="right"/>
      <protection locked="0"/>
    </xf>
    <xf numFmtId="164" fontId="9" fillId="0" borderId="0" xfId="24" quotePrefix="1" applyFont="1" applyFill="1" applyAlignment="1" applyProtection="1">
      <alignment horizontal="right"/>
      <protection locked="0"/>
    </xf>
    <xf numFmtId="164" fontId="9" fillId="0" borderId="0" xfId="22" quotePrefix="1" applyFont="1" applyFill="1" applyProtection="1">
      <protection locked="0"/>
    </xf>
    <xf numFmtId="164" fontId="9" fillId="0" borderId="0" xfId="21" quotePrefix="1" applyFont="1" applyFill="1" applyAlignment="1" applyProtection="1">
      <alignment horizontal="right"/>
      <protection locked="0"/>
    </xf>
    <xf numFmtId="164" fontId="9" fillId="0" borderId="0" xfId="18" quotePrefix="1" applyFont="1" applyFill="1" applyProtection="1">
      <protection locked="0"/>
    </xf>
    <xf numFmtId="164" fontId="9" fillId="0" borderId="0" xfId="17" quotePrefix="1" applyFont="1" applyFill="1" applyAlignment="1" applyProtection="1">
      <alignment horizontal="right"/>
      <protection locked="0"/>
    </xf>
    <xf numFmtId="164" fontId="9" fillId="0" borderId="0" xfId="14" quotePrefix="1" applyFont="1" applyFill="1" applyProtection="1">
      <protection locked="0"/>
    </xf>
    <xf numFmtId="164" fontId="9" fillId="0" borderId="0" xfId="12" quotePrefix="1" applyFont="1" applyFill="1" applyProtection="1">
      <protection locked="0"/>
    </xf>
    <xf numFmtId="164" fontId="9" fillId="0" borderId="0" xfId="8" quotePrefix="1" applyFont="1" applyFill="1" applyAlignment="1" applyProtection="1">
      <alignment horizontal="right"/>
      <protection locked="0"/>
    </xf>
    <xf numFmtId="164" fontId="9" fillId="0" borderId="0" xfId="7" quotePrefix="1" applyFont="1" applyFill="1" applyAlignment="1" applyProtection="1">
      <alignment horizontal="right"/>
      <protection locked="0"/>
    </xf>
    <xf numFmtId="164" fontId="9" fillId="0" borderId="0" xfId="6" quotePrefix="1" applyFont="1" applyFill="1" applyAlignment="1" applyProtection="1">
      <alignment horizontal="right"/>
      <protection locked="0"/>
    </xf>
    <xf numFmtId="49" fontId="9" fillId="0" borderId="0" xfId="94" applyNumberFormat="1" applyFont="1" applyFill="1" applyAlignment="1" applyProtection="1">
      <alignment horizontal="left"/>
      <protection locked="0"/>
    </xf>
    <xf numFmtId="49" fontId="9" fillId="0" borderId="0" xfId="94" applyNumberFormat="1" applyFont="1" applyFill="1"/>
    <xf numFmtId="49" fontId="9" fillId="0" borderId="0" xfId="20" applyNumberFormat="1" applyFont="1" applyFill="1" applyAlignment="1" applyProtection="1">
      <alignment horizontal="left"/>
      <protection locked="0"/>
    </xf>
    <xf numFmtId="0" fontId="9" fillId="0" borderId="0" xfId="0" applyFont="1"/>
    <xf numFmtId="49" fontId="9" fillId="0" borderId="0" xfId="16" applyNumberFormat="1" applyFont="1" applyFill="1"/>
    <xf numFmtId="49" fontId="9" fillId="0" borderId="0" xfId="16" applyNumberFormat="1" applyFont="1" applyFill="1" applyAlignment="1" applyProtection="1">
      <alignment horizontal="left"/>
      <protection locked="0"/>
    </xf>
    <xf numFmtId="0" fontId="9" fillId="0" borderId="0" xfId="0" quotePrefix="1" applyFont="1"/>
    <xf numFmtId="49" fontId="9" fillId="0" borderId="0" xfId="82" applyNumberFormat="1" applyFont="1" applyFill="1"/>
    <xf numFmtId="49" fontId="9" fillId="0" borderId="0" xfId="82" applyNumberFormat="1" applyFont="1" applyFill="1" applyAlignment="1" applyProtection="1">
      <alignment horizontal="left"/>
      <protection locked="0"/>
    </xf>
    <xf numFmtId="49" fontId="9" fillId="0" borderId="0" xfId="46" applyNumberFormat="1" applyFont="1" applyFill="1" applyAlignment="1" applyProtection="1">
      <alignment horizontal="left"/>
      <protection locked="0"/>
    </xf>
    <xf numFmtId="49" fontId="9" fillId="0" borderId="0" xfId="18" applyNumberFormat="1" applyFont="1" applyFill="1"/>
    <xf numFmtId="170" fontId="9" fillId="0" borderId="0" xfId="35" applyNumberFormat="1" applyFont="1" applyFill="1" applyProtection="1"/>
    <xf numFmtId="164" fontId="9" fillId="0" borderId="0" xfId="35" applyFont="1" applyFill="1" applyAlignment="1" applyProtection="1"/>
    <xf numFmtId="49" fontId="9" fillId="0" borderId="0" xfId="57" applyNumberFormat="1" applyFont="1" applyFill="1" applyAlignment="1" applyProtection="1">
      <alignment horizontal="left"/>
      <protection locked="0"/>
    </xf>
    <xf numFmtId="164" fontId="9" fillId="0" borderId="0" xfId="53" quotePrefix="1" applyFont="1" applyFill="1" applyAlignment="1" applyProtection="1">
      <alignment horizontal="left"/>
      <protection locked="0"/>
    </xf>
    <xf numFmtId="164" fontId="17" fillId="0" borderId="0" xfId="18" applyFont="1" applyFill="1"/>
    <xf numFmtId="164" fontId="17" fillId="0" borderId="0" xfId="44" applyFont="1" applyFill="1" applyBorder="1"/>
    <xf numFmtId="49" fontId="9" fillId="0" borderId="0" xfId="97" applyNumberFormat="1" applyFont="1" applyFill="1" applyAlignment="1" applyProtection="1">
      <alignment horizontal="left"/>
      <protection locked="0"/>
    </xf>
    <xf numFmtId="3" fontId="9" fillId="0" borderId="2" xfId="96" applyNumberFormat="1" applyFont="1" applyFill="1" applyBorder="1" applyProtection="1">
      <protection locked="0"/>
    </xf>
    <xf numFmtId="164" fontId="17" fillId="0" borderId="0" xfId="97" applyFont="1" applyFill="1"/>
    <xf numFmtId="49" fontId="9" fillId="0" borderId="0" xfId="44" applyNumberFormat="1" applyFont="1" applyFill="1"/>
    <xf numFmtId="164" fontId="17" fillId="0" borderId="0" xfId="4" applyFont="1" applyFill="1"/>
    <xf numFmtId="164" fontId="9" fillId="0" borderId="0" xfId="6" applyFont="1" applyFill="1" applyAlignment="1" applyProtection="1">
      <alignment horizontal="center"/>
      <protection locked="0"/>
    </xf>
  </cellXfs>
  <cellStyles count="116">
    <cellStyle name="Bad" xfId="111" builtinId="27"/>
    <cellStyle name="Neutral" xfId="113" builtinId="28"/>
    <cellStyle name="Normal" xfId="0" builtinId="0"/>
    <cellStyle name="Normal 2" xfId="108" xr:uid="{00000000-0005-0000-0000-000003000000}"/>
    <cellStyle name="Normal 3" xfId="110" xr:uid="{00000000-0005-0000-0000-000004000000}"/>
    <cellStyle name="Normal 4" xfId="112" xr:uid="{00000000-0005-0000-0000-000005000000}"/>
    <cellStyle name="Normal 5" xfId="114" xr:uid="{00000000-0005-0000-0000-000006000000}"/>
    <cellStyle name="Normal 6" xfId="115" xr:uid="{00000000-0005-0000-0000-000007000000}"/>
    <cellStyle name="Normal_AVON" xfId="1" xr:uid="{00000000-0005-0000-0000-000008000000}"/>
    <cellStyle name="Normal_BARKDAG" xfId="2" xr:uid="{00000000-0005-0000-0000-000009000000}"/>
    <cellStyle name="Normal_BARKDAG_Barking and Havering" xfId="3" xr:uid="{00000000-0005-0000-0000-00000A000000}"/>
    <cellStyle name="Normal_BARNET" xfId="4" xr:uid="{00000000-0005-0000-0000-00000B000000}"/>
    <cellStyle name="Normal_BARNET_BARNET" xfId="5" xr:uid="{00000000-0005-0000-0000-00000C000000}"/>
    <cellStyle name="Normal_BEDS" xfId="6" xr:uid="{00000000-0005-0000-0000-00000D000000}"/>
    <cellStyle name="Normal_BERKS" xfId="7" xr:uid="{00000000-0005-0000-0000-00000E000000}"/>
    <cellStyle name="Normal_BEXGREEN" xfId="8" xr:uid="{00000000-0005-0000-0000-00000F000000}"/>
    <cellStyle name="Normal_BEXGREEN (2)" xfId="9" xr:uid="{00000000-0005-0000-0000-000010000000}"/>
    <cellStyle name="Normal_BEXGREEN (2)_Bexley and Greenwich" xfId="10" xr:uid="{00000000-0005-0000-0000-000011000000}"/>
    <cellStyle name="Normal_BEXGREEN_Bexley and Greenwich" xfId="11" xr:uid="{00000000-0005-0000-0000-000012000000}"/>
    <cellStyle name="Normal_BRENT" xfId="12" xr:uid="{00000000-0005-0000-0000-000013000000}"/>
    <cellStyle name="Normal_BRENT_Brent and Westminster" xfId="13" xr:uid="{00000000-0005-0000-0000-000014000000}"/>
    <cellStyle name="Normal_BROMLEY" xfId="14" xr:uid="{00000000-0005-0000-0000-000015000000}"/>
    <cellStyle name="Normal_BROMLEY_Bromley and Lewisham" xfId="15" xr:uid="{00000000-0005-0000-0000-000016000000}"/>
    <cellStyle name="Normal_BUCKS" xfId="16" xr:uid="{00000000-0005-0000-0000-000017000000}"/>
    <cellStyle name="Normal_CAMBS" xfId="17" xr:uid="{00000000-0005-0000-0000-000018000000}"/>
    <cellStyle name="Normal_CAMDEN" xfId="18" xr:uid="{00000000-0005-0000-0000-000019000000}"/>
    <cellStyle name="Normal_CHESHIRE" xfId="19" xr:uid="{00000000-0005-0000-0000-00001A000000}"/>
    <cellStyle name="Normal_CLEVELAND" xfId="20" xr:uid="{00000000-0005-0000-0000-00001B000000}"/>
    <cellStyle name="Normal_CORNWALL" xfId="21" xr:uid="{00000000-0005-0000-0000-00001C000000}"/>
    <cellStyle name="Normal_CROYDON" xfId="22" xr:uid="{00000000-0005-0000-0000-00001D000000}"/>
    <cellStyle name="Normal_CROYDON_CROYDON" xfId="23" xr:uid="{00000000-0005-0000-0000-00001E000000}"/>
    <cellStyle name="Normal_CUMBRIA" xfId="24" xr:uid="{00000000-0005-0000-0000-00001F000000}"/>
    <cellStyle name="Normal_DERBY" xfId="25" xr:uid="{00000000-0005-0000-0000-000020000000}"/>
    <cellStyle name="Normal_DEVON" xfId="26" xr:uid="{00000000-0005-0000-0000-000021000000}"/>
    <cellStyle name="Normal_DORSET" xfId="27" xr:uid="{00000000-0005-0000-0000-000022000000}"/>
    <cellStyle name="Normal_DURHAM" xfId="28" xr:uid="{00000000-0005-0000-0000-000023000000}"/>
    <cellStyle name="Normal_EALIHAMM (2)" xfId="29" xr:uid="{00000000-0005-0000-0000-000024000000}"/>
    <cellStyle name="Normal_EALIHAMM (2)_Ealing" xfId="30" xr:uid="{00000000-0005-0000-0000-000025000000}"/>
    <cellStyle name="Normal_EALIHAMM (2)_Hammersmith and Kensington" xfId="31" xr:uid="{00000000-0005-0000-0000-000026000000}"/>
    <cellStyle name="Normal_ENFIELD" xfId="32" xr:uid="{00000000-0005-0000-0000-000027000000}"/>
    <cellStyle name="Normal_ENFIELD_ENFIELD" xfId="33" xr:uid="{00000000-0005-0000-0000-000028000000}"/>
    <cellStyle name="Normal_ENGLAN99" xfId="34" xr:uid="{00000000-0005-0000-0000-000029000000}"/>
    <cellStyle name="Normal_ENGLAND" xfId="35" xr:uid="{00000000-0005-0000-0000-00002A000000}"/>
    <cellStyle name="Normal_ENGLAND2000" xfId="36" xr:uid="{00000000-0005-0000-0000-00002B000000}"/>
    <cellStyle name="Normal_ESSEX" xfId="37" xr:uid="{00000000-0005-0000-0000-00002C000000}"/>
    <cellStyle name="Normal_ESUSSEX" xfId="38" xr:uid="{00000000-0005-0000-0000-00002D000000}"/>
    <cellStyle name="Normal_GLOUCS" xfId="39" xr:uid="{00000000-0005-0000-0000-00002E000000}"/>
    <cellStyle name="Normal_GTRMANCHESTER" xfId="40" xr:uid="{00000000-0005-0000-0000-00002F000000}"/>
    <cellStyle name="Normal_HACKNEY" xfId="41" xr:uid="{00000000-0005-0000-0000-000030000000}"/>
    <cellStyle name="Normal_HACKNEY_HACKNEY" xfId="42" xr:uid="{00000000-0005-0000-0000-000031000000}"/>
    <cellStyle name="Normal_HAMPSHIR" xfId="43" xr:uid="{00000000-0005-0000-0000-000032000000}"/>
    <cellStyle name="Normal_HARINGEY" xfId="44" xr:uid="{00000000-0005-0000-0000-000033000000}"/>
    <cellStyle name="Normal_HARINGEY_HARINGEY" xfId="45" xr:uid="{00000000-0005-0000-0000-000034000000}"/>
    <cellStyle name="Normal_HARROW" xfId="46" xr:uid="{00000000-0005-0000-0000-000035000000}"/>
    <cellStyle name="Normal_HARROW_Harrow and Hillingdon" xfId="47" xr:uid="{00000000-0005-0000-0000-000036000000}"/>
    <cellStyle name="Normal_HAVERING" xfId="48" xr:uid="{00000000-0005-0000-0000-000037000000}"/>
    <cellStyle name="Normal_HAVERING_Barking and Havering" xfId="49" xr:uid="{00000000-0005-0000-0000-000038000000}"/>
    <cellStyle name="Normal_HERTS" xfId="50" xr:uid="{00000000-0005-0000-0000-000039000000}"/>
    <cellStyle name="Normal_HILLINGD" xfId="51" xr:uid="{00000000-0005-0000-0000-00003A000000}"/>
    <cellStyle name="Normal_HILLINGD_Harrow and Hillingdon" xfId="52" xr:uid="{00000000-0005-0000-0000-00003B000000}"/>
    <cellStyle name="Normal_HOUNSLOW" xfId="53" xr:uid="{00000000-0005-0000-0000-00003C000000}"/>
    <cellStyle name="Normal_HOUNSLOW_HOUNSLOW" xfId="54" xr:uid="{00000000-0005-0000-0000-00003D000000}"/>
    <cellStyle name="Normal_HUMBER" xfId="55" xr:uid="{00000000-0005-0000-0000-00003E000000}"/>
    <cellStyle name="Normal_IOWIGHT" xfId="56" xr:uid="{00000000-0005-0000-0000-00003F000000}"/>
    <cellStyle name="Normal_ISLINGTO" xfId="57" xr:uid="{00000000-0005-0000-0000-000040000000}"/>
    <cellStyle name="Normal_ISLINGTO_Islington" xfId="58" xr:uid="{00000000-0005-0000-0000-000041000000}"/>
    <cellStyle name="Normal_KENCHEWM" xfId="59" xr:uid="{00000000-0005-0000-0000-000042000000}"/>
    <cellStyle name="Normal_KENCHEWM_Brent and Westminster" xfId="60" xr:uid="{00000000-0005-0000-0000-000043000000}"/>
    <cellStyle name="Normal_KENCHEWM_Hammersmith and Kensington" xfId="61" xr:uid="{00000000-0005-0000-0000-000044000000}"/>
    <cellStyle name="Normal_KENT" xfId="62" xr:uid="{00000000-0005-0000-0000-000045000000}"/>
    <cellStyle name="Normal_KINGRICH" xfId="63" xr:uid="{00000000-0005-0000-0000-000046000000}"/>
    <cellStyle name="Normal_KINGRICH_Kingston and Richmond" xfId="64" xr:uid="{00000000-0005-0000-0000-000047000000}"/>
    <cellStyle name="Normal_LAMSOUTH" xfId="65" xr:uid="{00000000-0005-0000-0000-000048000000}"/>
    <cellStyle name="Normal_LAMSOUTH (2)" xfId="66" xr:uid="{00000000-0005-0000-0000-000049000000}"/>
    <cellStyle name="Normal_LAMSOUTH (2)_Lambeth and Southwark" xfId="67" xr:uid="{00000000-0005-0000-0000-00004A000000}"/>
    <cellStyle name="Normal_LAMSOUTH_Lambeth and Southwark" xfId="68" xr:uid="{00000000-0005-0000-0000-00004B000000}"/>
    <cellStyle name="Normal_LANCS" xfId="69" xr:uid="{00000000-0005-0000-0000-00004C000000}"/>
    <cellStyle name="Normal_LEICS" xfId="70" xr:uid="{00000000-0005-0000-0000-00004D000000}"/>
    <cellStyle name="Normal_LEWISHAM" xfId="71" xr:uid="{00000000-0005-0000-0000-00004E000000}"/>
    <cellStyle name="Normal_LEWISHAM_Bromley and Lewisham" xfId="72" xr:uid="{00000000-0005-0000-0000-00004F000000}"/>
    <cellStyle name="Normal_LINCS" xfId="73" xr:uid="{00000000-0005-0000-0000-000050000000}"/>
    <cellStyle name="Normal_MERSEY" xfId="74" xr:uid="{00000000-0005-0000-0000-000051000000}"/>
    <cellStyle name="Normal_MERTON" xfId="75" xr:uid="{00000000-0005-0000-0000-000052000000}"/>
    <cellStyle name="Normal_MERTON_MERTON" xfId="76" xr:uid="{00000000-0005-0000-0000-000053000000}"/>
    <cellStyle name="Normal_NEWTOWER" xfId="77" xr:uid="{00000000-0005-0000-0000-000054000000}"/>
    <cellStyle name="Normal_NEWTOWER (2)" xfId="78" xr:uid="{00000000-0005-0000-0000-000055000000}"/>
    <cellStyle name="Normal_NEWTOWER (2)_Newham and Tower Hamlets" xfId="79" xr:uid="{00000000-0005-0000-0000-000056000000}"/>
    <cellStyle name="Normal_NEWTOWER_Newham and Tower Hamlets" xfId="80" xr:uid="{00000000-0005-0000-0000-000057000000}"/>
    <cellStyle name="Normal_NORFOLK" xfId="81" xr:uid="{00000000-0005-0000-0000-000058000000}"/>
    <cellStyle name="Normal_NORTHAMPTONSHIRE" xfId="82" xr:uid="{00000000-0005-0000-0000-000059000000}"/>
    <cellStyle name="Normal_NORTHUMB" xfId="83" xr:uid="{00000000-0005-0000-0000-00005A000000}"/>
    <cellStyle name="Normal_NOTTS" xfId="84" xr:uid="{00000000-0005-0000-0000-00005B000000}"/>
    <cellStyle name="Normal_NYORKS" xfId="85" xr:uid="{00000000-0005-0000-0000-00005C000000}"/>
    <cellStyle name="Normal_OXFORD" xfId="86" xr:uid="{00000000-0005-0000-0000-00005D000000}"/>
    <cellStyle name="Normal_REDWALTH" xfId="87" xr:uid="{00000000-0005-0000-0000-00005E000000}"/>
    <cellStyle name="Normal_REDWALTH (2)" xfId="88" xr:uid="{00000000-0005-0000-0000-00005F000000}"/>
    <cellStyle name="Normal_REDWALTH (2)_Redbridge and Waltham Forest" xfId="89" xr:uid="{00000000-0005-0000-0000-000060000000}"/>
    <cellStyle name="Normal_REDWALTH_Redbridge and Waltham Forest" xfId="90" xr:uid="{00000000-0005-0000-0000-000061000000}"/>
    <cellStyle name="Normal_Sheet1 2" xfId="109" xr:uid="{00000000-0005-0000-0000-000062000000}"/>
    <cellStyle name="Normal_SHROPSHIRE" xfId="91" xr:uid="{00000000-0005-0000-0000-000063000000}"/>
    <cellStyle name="Normal_SOMERSET" xfId="92" xr:uid="{00000000-0005-0000-0000-000064000000}"/>
    <cellStyle name="Normal_STAFFS" xfId="93" xr:uid="{00000000-0005-0000-0000-000065000000}"/>
    <cellStyle name="Normal_STHYORKS" xfId="94" xr:uid="{00000000-0005-0000-0000-000066000000}"/>
    <cellStyle name="Normal_SUFFOLK" xfId="95" xr:uid="{00000000-0005-0000-0000-000067000000}"/>
    <cellStyle name="Normal_SURREY" xfId="96" xr:uid="{00000000-0005-0000-0000-000068000000}"/>
    <cellStyle name="Normal_SUTTON" xfId="97" xr:uid="{00000000-0005-0000-0000-000069000000}"/>
    <cellStyle name="Normal_SUTTON_SUTTON" xfId="98" xr:uid="{00000000-0005-0000-0000-00006A000000}"/>
    <cellStyle name="Normal_TYNEWEAR" xfId="99" xr:uid="{00000000-0005-0000-0000-00006B000000}"/>
    <cellStyle name="Normal_WANDSWORTH" xfId="100" xr:uid="{00000000-0005-0000-0000-00006C000000}"/>
    <cellStyle name="Normal_WANDSWORTH_Wandsworth" xfId="101" xr:uid="{00000000-0005-0000-0000-00006D000000}"/>
    <cellStyle name="Normal_WARWICK" xfId="102" xr:uid="{00000000-0005-0000-0000-00006E000000}"/>
    <cellStyle name="Normal_WESTMIDL" xfId="103" xr:uid="{00000000-0005-0000-0000-00006F000000}"/>
    <cellStyle name="Normal_WESTYORKS" xfId="104" xr:uid="{00000000-0005-0000-0000-000070000000}"/>
    <cellStyle name="Normal_WILTS" xfId="105" xr:uid="{00000000-0005-0000-0000-000071000000}"/>
    <cellStyle name="Normal_WORCS" xfId="106" xr:uid="{00000000-0005-0000-0000-000072000000}"/>
    <cellStyle name="Normal_WSUSSEX" xfId="107" xr:uid="{00000000-0005-0000-0000-00007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Z455"/>
  <sheetViews>
    <sheetView showGridLines="0" topLeftCell="A410" zoomScale="80" zoomScaleNormal="80" workbookViewId="0">
      <selection activeCell="B434" sqref="B434"/>
    </sheetView>
  </sheetViews>
  <sheetFormatPr defaultColWidth="12.5703125" defaultRowHeight="15"/>
  <cols>
    <col min="1" max="1" width="49.140625" style="17" bestFit="1" customWidth="1"/>
    <col min="2" max="13" width="11.7109375" style="17" customWidth="1"/>
    <col min="14" max="14" width="5.7109375" style="17" customWidth="1"/>
    <col min="15" max="26" width="10.7109375" style="17" customWidth="1"/>
    <col min="27" max="16384" width="12.5703125" style="17"/>
  </cols>
  <sheetData>
    <row r="1" spans="1:26">
      <c r="A1" s="16"/>
      <c r="C1" s="18" t="s">
        <v>5086</v>
      </c>
      <c r="D1" s="19"/>
      <c r="E1" s="19"/>
      <c r="F1" s="19"/>
      <c r="G1" s="19"/>
      <c r="H1" s="19"/>
      <c r="I1" s="19"/>
      <c r="J1" s="19"/>
      <c r="K1" s="19"/>
      <c r="L1" s="19"/>
      <c r="M1" s="19"/>
      <c r="N1" s="19"/>
      <c r="P1" s="20" t="s">
        <v>5087</v>
      </c>
    </row>
    <row r="2" spans="1:26">
      <c r="A2" s="21" t="s">
        <v>5088</v>
      </c>
      <c r="B2" s="22">
        <v>2010</v>
      </c>
      <c r="C2" s="22">
        <v>2011</v>
      </c>
      <c r="D2" s="22">
        <v>2012</v>
      </c>
      <c r="E2" s="22">
        <v>2013</v>
      </c>
      <c r="F2" s="22">
        <v>2014</v>
      </c>
      <c r="G2" s="22">
        <v>2015</v>
      </c>
      <c r="H2" s="22">
        <v>2016</v>
      </c>
      <c r="I2" s="22">
        <v>2017</v>
      </c>
      <c r="J2" s="22">
        <v>2018</v>
      </c>
      <c r="K2" s="22">
        <v>2019</v>
      </c>
      <c r="L2" s="22">
        <v>2020</v>
      </c>
      <c r="M2" s="921" t="s">
        <v>14823</v>
      </c>
      <c r="N2" s="22"/>
      <c r="O2" s="17">
        <v>2010</v>
      </c>
      <c r="P2" s="17">
        <v>2011</v>
      </c>
      <c r="Q2" s="17">
        <v>2012</v>
      </c>
      <c r="R2" s="22">
        <v>2013</v>
      </c>
      <c r="S2" s="17">
        <v>2014</v>
      </c>
      <c r="T2" s="22">
        <v>2015</v>
      </c>
      <c r="U2" s="22">
        <v>2016</v>
      </c>
      <c r="V2" s="22">
        <v>2017</v>
      </c>
      <c r="W2" s="22">
        <v>2018</v>
      </c>
      <c r="X2" s="22">
        <v>2019</v>
      </c>
      <c r="Y2" s="22">
        <v>2020</v>
      </c>
      <c r="Z2" s="921" t="s">
        <v>14823</v>
      </c>
    </row>
    <row r="3" spans="1:26">
      <c r="A3" s="16"/>
      <c r="B3" s="16"/>
      <c r="C3" s="16"/>
      <c r="D3" s="16"/>
      <c r="E3" s="16"/>
      <c r="F3" s="16"/>
      <c r="G3" s="16"/>
      <c r="H3" s="16"/>
      <c r="I3" s="16"/>
      <c r="J3" s="16"/>
      <c r="K3" s="16"/>
      <c r="L3" s="16"/>
      <c r="M3" s="16"/>
      <c r="N3" s="16"/>
    </row>
    <row r="4" spans="1:26">
      <c r="A4" s="21" t="s">
        <v>1590</v>
      </c>
      <c r="B4" s="23">
        <f>BEDFORDSHIRE!D3</f>
        <v>110958</v>
      </c>
      <c r="C4" s="23">
        <f>BEDFORDSHIRE!E3</f>
        <v>112268</v>
      </c>
      <c r="D4" s="23">
        <f>BEDFORDSHIRE!F3</f>
        <v>114213</v>
      </c>
      <c r="E4" s="23">
        <f>BEDFORDSHIRE!G3</f>
        <v>115242</v>
      </c>
      <c r="F4" s="23">
        <f>BEDFORDSHIRE!H3</f>
        <v>117223</v>
      </c>
      <c r="G4" s="23">
        <f>BEDFORDSHIRE!I3</f>
        <v>114202</v>
      </c>
      <c r="H4" s="23">
        <f>BEDFORDSHIRE!J3</f>
        <v>118210</v>
      </c>
      <c r="I4" s="23">
        <f>BEDFORDSHIRE!K3</f>
        <v>119397</v>
      </c>
      <c r="J4" s="23">
        <f>BEDFORDSHIRE!L3</f>
        <v>120132</v>
      </c>
      <c r="K4" s="23">
        <f>BEDFORDSHIRE!M3</f>
        <v>118988</v>
      </c>
      <c r="L4" s="23">
        <f>BEDFORDSHIRE!N3</f>
        <v>121731</v>
      </c>
      <c r="M4" s="23">
        <f>BEDFORDSHIRE!O3</f>
        <v>122986</v>
      </c>
      <c r="N4" s="16"/>
      <c r="O4" s="24">
        <f t="shared" ref="O4:Z7" si="0">B4/B$451</f>
        <v>1.4612811462887847</v>
      </c>
      <c r="P4" s="24">
        <f t="shared" si="0"/>
        <v>1.4648556255789982</v>
      </c>
      <c r="Q4" s="24">
        <f t="shared" si="0"/>
        <v>1.4817270144393559</v>
      </c>
      <c r="R4" s="24">
        <f t="shared" si="0"/>
        <v>1.4871086793816295</v>
      </c>
      <c r="S4" s="24">
        <f t="shared" si="0"/>
        <v>1.5197318951435166</v>
      </c>
      <c r="T4" s="24">
        <f t="shared" si="0"/>
        <v>1.5071396521234197</v>
      </c>
      <c r="U4" s="24">
        <f t="shared" si="0"/>
        <v>1.5810028220251708</v>
      </c>
      <c r="V4" s="24">
        <f t="shared" si="0"/>
        <v>1.5604391295824349</v>
      </c>
      <c r="W4" s="24">
        <f t="shared" si="0"/>
        <v>1.5570619418557929</v>
      </c>
      <c r="X4" s="24">
        <f t="shared" si="0"/>
        <v>1.5547483405634244</v>
      </c>
      <c r="Y4" s="24">
        <f t="shared" si="0"/>
        <v>1.6764353490421826</v>
      </c>
      <c r="Z4" s="24">
        <f t="shared" si="0"/>
        <v>1.6757183927622525</v>
      </c>
    </row>
    <row r="5" spans="1:26">
      <c r="A5" s="21" t="s">
        <v>1591</v>
      </c>
      <c r="B5" s="23">
        <f>BEDFORDSHIRE!D4</f>
        <v>191765</v>
      </c>
      <c r="C5" s="23">
        <f>BEDFORDSHIRE!E4</f>
        <v>192536</v>
      </c>
      <c r="D5" s="23">
        <f>BEDFORDSHIRE!F4</f>
        <v>196284</v>
      </c>
      <c r="E5" s="23">
        <f>BEDFORDSHIRE!G4</f>
        <v>199191</v>
      </c>
      <c r="F5" s="23">
        <f>BEDFORDSHIRE!H4</f>
        <v>202078</v>
      </c>
      <c r="G5" s="23">
        <f>BEDFORDSHIRE!I4</f>
        <v>199782</v>
      </c>
      <c r="H5" s="23">
        <f>BEDFORDSHIRE!J4</f>
        <v>197493</v>
      </c>
      <c r="I5" s="23">
        <f>BEDFORDSHIRE!K4</f>
        <v>202047</v>
      </c>
      <c r="J5" s="23">
        <f>BEDFORDSHIRE!L4</f>
        <v>205651</v>
      </c>
      <c r="K5" s="23">
        <f>BEDFORDSHIRE!M4</f>
        <v>204027</v>
      </c>
      <c r="L5" s="23">
        <f>BEDFORDSHIRE!N4</f>
        <v>210243</v>
      </c>
      <c r="M5" s="23">
        <f>BEDFORDSHIRE!O4</f>
        <v>212145</v>
      </c>
      <c r="N5" s="16"/>
      <c r="O5" s="24">
        <f t="shared" si="0"/>
        <v>2.5254833271874837</v>
      </c>
      <c r="P5" s="24">
        <f t="shared" si="0"/>
        <v>2.5121801646638224</v>
      </c>
      <c r="Q5" s="24">
        <f t="shared" si="0"/>
        <v>2.5464641091838454</v>
      </c>
      <c r="R5" s="24">
        <f t="shared" si="0"/>
        <v>2.5704054507445737</v>
      </c>
      <c r="S5" s="24">
        <f t="shared" si="0"/>
        <v>2.6198304249747193</v>
      </c>
      <c r="T5" s="24">
        <f t="shared" si="0"/>
        <v>2.6365507957874734</v>
      </c>
      <c r="U5" s="24">
        <f t="shared" si="0"/>
        <v>2.6413754363439392</v>
      </c>
      <c r="V5" s="24">
        <f t="shared" si="0"/>
        <v>2.6406194863752206</v>
      </c>
      <c r="W5" s="24">
        <f t="shared" si="0"/>
        <v>2.6654958329552967</v>
      </c>
      <c r="X5" s="24">
        <f t="shared" si="0"/>
        <v>2.6659044582658233</v>
      </c>
      <c r="Y5" s="24">
        <f t="shared" si="0"/>
        <v>2.895390632531365</v>
      </c>
      <c r="Z5" s="24">
        <f t="shared" si="0"/>
        <v>2.8905345196408376</v>
      </c>
    </row>
    <row r="6" spans="1:26">
      <c r="A6" s="21" t="s">
        <v>16089</v>
      </c>
      <c r="B6" s="23">
        <f>BEDFORDSHIRE!D5</f>
        <v>126090</v>
      </c>
      <c r="C6" s="23">
        <f>BEDFORDSHIRE!E5</f>
        <v>127286</v>
      </c>
      <c r="D6" s="23">
        <f>BEDFORDSHIRE!F5</f>
        <v>131069</v>
      </c>
      <c r="E6" s="23">
        <f>BEDFORDSHIRE!G5</f>
        <v>134116</v>
      </c>
      <c r="F6" s="23">
        <f>BEDFORDSHIRE!H5</f>
        <v>131480</v>
      </c>
      <c r="G6" s="23">
        <f>BEDFORDSHIRE!I5</f>
        <v>125886</v>
      </c>
      <c r="H6" s="23">
        <f>BEDFORDSHIRE!J5</f>
        <v>123871</v>
      </c>
      <c r="I6" s="23">
        <f>BEDFORDSHIRE!K5</f>
        <v>127033</v>
      </c>
      <c r="J6" s="23">
        <f>BEDFORDSHIRE!L5</f>
        <v>127400</v>
      </c>
      <c r="K6" s="23">
        <f>BEDFORDSHIRE!M5</f>
        <v>128620</v>
      </c>
      <c r="L6" s="23">
        <f>BEDFORDSHIRE!N5</f>
        <v>131026</v>
      </c>
      <c r="M6" s="23">
        <f>BEDFORDSHIRE!O5</f>
        <v>132191</v>
      </c>
      <c r="N6" s="16"/>
      <c r="O6" s="24">
        <f t="shared" si="0"/>
        <v>1.6605647157983459</v>
      </c>
      <c r="P6" s="24">
        <f t="shared" si="0"/>
        <v>1.6608081836092954</v>
      </c>
      <c r="Q6" s="24">
        <f t="shared" si="0"/>
        <v>1.7004060663457921</v>
      </c>
      <c r="R6" s="24">
        <f t="shared" si="0"/>
        <v>1.7306630190724444</v>
      </c>
      <c r="S6" s="24">
        <f t="shared" si="0"/>
        <v>1.7045660798091633</v>
      </c>
      <c r="T6" s="24">
        <f t="shared" si="0"/>
        <v>1.6613350225671075</v>
      </c>
      <c r="U6" s="24">
        <f t="shared" si="0"/>
        <v>1.6567160186708396</v>
      </c>
      <c r="V6" s="24">
        <f t="shared" si="0"/>
        <v>1.6602365549238711</v>
      </c>
      <c r="W6" s="24">
        <f t="shared" si="0"/>
        <v>1.6512643707956918</v>
      </c>
      <c r="X6" s="24">
        <f t="shared" si="0"/>
        <v>1.6806041917106569</v>
      </c>
      <c r="Y6" s="24">
        <f t="shared" si="0"/>
        <v>1.8044427306405189</v>
      </c>
      <c r="Z6" s="24">
        <f t="shared" si="0"/>
        <v>1.8011390732086165</v>
      </c>
    </row>
    <row r="7" spans="1:26">
      <c r="A7" s="25" t="s">
        <v>6660</v>
      </c>
      <c r="B7" s="23">
        <f t="shared" ref="B7:G7" si="1">SUM(B4:B6)</f>
        <v>428813</v>
      </c>
      <c r="C7" s="23">
        <f t="shared" si="1"/>
        <v>432090</v>
      </c>
      <c r="D7" s="23">
        <f t="shared" si="1"/>
        <v>441566</v>
      </c>
      <c r="E7" s="23">
        <f t="shared" si="1"/>
        <v>448549</v>
      </c>
      <c r="F7" s="23">
        <f t="shared" si="1"/>
        <v>450781</v>
      </c>
      <c r="G7" s="23">
        <f t="shared" si="1"/>
        <v>439870</v>
      </c>
      <c r="H7" s="23">
        <f t="shared" ref="H7:M7" si="2">SUM(H4:H6)</f>
        <v>439574</v>
      </c>
      <c r="I7" s="23">
        <f t="shared" si="2"/>
        <v>448477</v>
      </c>
      <c r="J7" s="23">
        <f t="shared" si="2"/>
        <v>453183</v>
      </c>
      <c r="K7" s="23">
        <f t="shared" si="2"/>
        <v>451635</v>
      </c>
      <c r="L7" s="23">
        <f t="shared" si="2"/>
        <v>463000</v>
      </c>
      <c r="M7" s="23">
        <f t="shared" si="2"/>
        <v>467322</v>
      </c>
      <c r="N7" s="16"/>
      <c r="O7" s="24">
        <f t="shared" si="0"/>
        <v>5.6473291892746138</v>
      </c>
      <c r="P7" s="24">
        <f t="shared" si="0"/>
        <v>5.6378439738521156</v>
      </c>
      <c r="Q7" s="24">
        <f t="shared" si="0"/>
        <v>5.728597189968994</v>
      </c>
      <c r="R7" s="24">
        <f t="shared" si="0"/>
        <v>5.7881771491986473</v>
      </c>
      <c r="S7" s="24">
        <f t="shared" si="0"/>
        <v>5.8441283999273992</v>
      </c>
      <c r="T7" s="24">
        <f t="shared" si="0"/>
        <v>5.8050254704780002</v>
      </c>
      <c r="U7" s="24">
        <f t="shared" si="0"/>
        <v>5.8790942770399495</v>
      </c>
      <c r="V7" s="24">
        <f t="shared" si="0"/>
        <v>5.8612951708815269</v>
      </c>
      <c r="W7" s="24">
        <f t="shared" si="0"/>
        <v>5.8738221456067814</v>
      </c>
      <c r="X7" s="24">
        <f t="shared" si="0"/>
        <v>5.9012569905399053</v>
      </c>
      <c r="Y7" s="24">
        <f t="shared" si="0"/>
        <v>6.376268712214066</v>
      </c>
      <c r="Z7" s="24">
        <f t="shared" si="0"/>
        <v>6.3673919856117065</v>
      </c>
    </row>
    <row r="8" spans="1:26">
      <c r="A8" s="16"/>
      <c r="B8" s="16"/>
      <c r="C8" s="16"/>
      <c r="D8" s="16"/>
      <c r="E8" s="16"/>
      <c r="F8" s="16"/>
      <c r="G8" s="16"/>
      <c r="H8" s="16"/>
      <c r="I8" s="16"/>
      <c r="J8" s="16"/>
      <c r="K8" s="16"/>
      <c r="L8" s="16"/>
      <c r="M8" s="16"/>
      <c r="N8" s="16"/>
      <c r="W8" s="24"/>
      <c r="X8" s="24"/>
      <c r="Y8" s="24"/>
      <c r="Z8" s="24"/>
    </row>
    <row r="9" spans="1:26">
      <c r="A9" s="21" t="s">
        <v>2299</v>
      </c>
      <c r="B9" s="23">
        <f>CAMBRIDGESHIRE!D7</f>
        <v>81609</v>
      </c>
      <c r="C9" s="23">
        <f>CAMBRIDGESHIRE!E7</f>
        <v>81291</v>
      </c>
      <c r="D9" s="23">
        <f>CAMBRIDGESHIRE!F7</f>
        <v>81856</v>
      </c>
      <c r="E9" s="23">
        <f>CAMBRIDGESHIRE!G7</f>
        <v>79341</v>
      </c>
      <c r="F9" s="23">
        <f>CAMBRIDGESHIRE!H7</f>
        <v>82439</v>
      </c>
      <c r="G9" s="23">
        <f>CAMBRIDGESHIRE!I7</f>
        <v>80802</v>
      </c>
      <c r="H9" s="23">
        <f>CAMBRIDGESHIRE!J7</f>
        <v>72757</v>
      </c>
      <c r="I9" s="23">
        <f>CAMBRIDGESHIRE!K7</f>
        <v>77556</v>
      </c>
      <c r="J9" s="23">
        <f>CAMBRIDGESHIRE!L7</f>
        <v>80703</v>
      </c>
      <c r="K9" s="23">
        <f>CAMBRIDGESHIRE!M7</f>
        <v>78804</v>
      </c>
      <c r="L9" s="23">
        <f>CAMBRIDGESHIRE!N7</f>
        <v>84566</v>
      </c>
      <c r="M9" s="23">
        <f>CAMBRIDGESHIRE!O7</f>
        <v>84955</v>
      </c>
      <c r="N9" s="16"/>
      <c r="O9" s="24">
        <f t="shared" ref="O9:Z16" si="3">B9/B$451</f>
        <v>1.074764262761418</v>
      </c>
      <c r="P9" s="24">
        <f t="shared" si="3"/>
        <v>1.0606724860061847</v>
      </c>
      <c r="Q9" s="24">
        <f t="shared" si="3"/>
        <v>1.061947821123234</v>
      </c>
      <c r="R9" s="24">
        <f t="shared" si="3"/>
        <v>1.0238341032854157</v>
      </c>
      <c r="S9" s="24">
        <f t="shared" si="3"/>
        <v>1.0687764150698784</v>
      </c>
      <c r="T9" s="24">
        <f t="shared" si="3"/>
        <v>1.0663552141895638</v>
      </c>
      <c r="U9" s="24">
        <f t="shared" si="3"/>
        <v>0.97309045192526311</v>
      </c>
      <c r="V9" s="24">
        <f t="shared" si="3"/>
        <v>1.0136051754557929</v>
      </c>
      <c r="W9" s="24">
        <f t="shared" si="3"/>
        <v>1.0460124687309631</v>
      </c>
      <c r="X9" s="24">
        <f t="shared" si="3"/>
        <v>1.0296869283436993</v>
      </c>
      <c r="Y9" s="24">
        <f t="shared" si="3"/>
        <v>1.1646123972291462</v>
      </c>
      <c r="Z9" s="24">
        <f t="shared" si="3"/>
        <v>1.1575354597849932</v>
      </c>
    </row>
    <row r="10" spans="1:26">
      <c r="A10" s="21" t="s">
        <v>2300</v>
      </c>
      <c r="B10" s="23">
        <f>CAMBRIDGESHIRE!D8</f>
        <v>60562</v>
      </c>
      <c r="C10" s="23">
        <f>CAMBRIDGESHIRE!E8</f>
        <v>61073</v>
      </c>
      <c r="D10" s="23">
        <f>CAMBRIDGESHIRE!F8</f>
        <v>61782</v>
      </c>
      <c r="E10" s="23">
        <f>CAMBRIDGESHIRE!G8</f>
        <v>62510</v>
      </c>
      <c r="F10" s="23">
        <f>CAMBRIDGESHIRE!H8</f>
        <v>62919</v>
      </c>
      <c r="G10" s="23">
        <f>CAMBRIDGESHIRE!I8</f>
        <v>60857</v>
      </c>
      <c r="H10" s="23">
        <f>CAMBRIDGESHIRE!J8</f>
        <v>60605</v>
      </c>
      <c r="I10" s="23">
        <f>CAMBRIDGESHIRE!K8</f>
        <v>62463</v>
      </c>
      <c r="J10" s="23">
        <f>CAMBRIDGESHIRE!L8</f>
        <v>62547</v>
      </c>
      <c r="K10" s="23">
        <f>CAMBRIDGESHIRE!M8</f>
        <v>62140</v>
      </c>
      <c r="L10" s="23">
        <f>CAMBRIDGESHIRE!N8</f>
        <v>62073</v>
      </c>
      <c r="M10" s="23">
        <f>CAMBRIDGESHIRE!O8</f>
        <v>63516</v>
      </c>
      <c r="N10" s="16"/>
      <c r="O10" s="24">
        <f t="shared" si="3"/>
        <v>0.79758204709476899</v>
      </c>
      <c r="P10" s="24">
        <f t="shared" si="3"/>
        <v>0.79687112642058433</v>
      </c>
      <c r="Q10" s="24">
        <f t="shared" si="3"/>
        <v>0.80152047845772634</v>
      </c>
      <c r="R10" s="24">
        <f t="shared" si="3"/>
        <v>0.80664309494928643</v>
      </c>
      <c r="S10" s="24">
        <f t="shared" si="3"/>
        <v>0.81571032229626361</v>
      </c>
      <c r="T10" s="24">
        <f t="shared" si="3"/>
        <v>0.80313827962097817</v>
      </c>
      <c r="U10" s="24">
        <f t="shared" si="3"/>
        <v>0.81056320132675308</v>
      </c>
      <c r="V10" s="24">
        <f t="shared" si="3"/>
        <v>0.81634973534601063</v>
      </c>
      <c r="W10" s="24">
        <f t="shared" si="3"/>
        <v>0.81068785400438093</v>
      </c>
      <c r="X10" s="24">
        <f t="shared" si="3"/>
        <v>0.8119479433439607</v>
      </c>
      <c r="Y10" s="24">
        <f t="shared" si="3"/>
        <v>0.85484692823599084</v>
      </c>
      <c r="Z10" s="24">
        <f t="shared" si="3"/>
        <v>0.86542313299633478</v>
      </c>
    </row>
    <row r="11" spans="1:26">
      <c r="A11" s="21" t="s">
        <v>2301</v>
      </c>
      <c r="B11" s="23">
        <f>CAMBRIDGESHIRE!D9</f>
        <v>70329</v>
      </c>
      <c r="C11" s="23">
        <f>CAMBRIDGESHIRE!E9</f>
        <v>71117</v>
      </c>
      <c r="D11" s="23">
        <f>CAMBRIDGESHIRE!F9</f>
        <v>71339</v>
      </c>
      <c r="E11" s="23">
        <f>CAMBRIDGESHIRE!G9</f>
        <v>71418</v>
      </c>
      <c r="F11" s="23">
        <f>CAMBRIDGESHIRE!H9</f>
        <v>69961</v>
      </c>
      <c r="G11" s="23">
        <f>CAMBRIDGESHIRE!I9</f>
        <v>69145</v>
      </c>
      <c r="H11" s="23">
        <f>CAMBRIDGESHIRE!J9</f>
        <v>69319</v>
      </c>
      <c r="I11" s="23">
        <f>CAMBRIDGESHIRE!K9</f>
        <v>70336</v>
      </c>
      <c r="J11" s="23">
        <f>CAMBRIDGESHIRE!L9</f>
        <v>70209</v>
      </c>
      <c r="K11" s="23">
        <f>CAMBRIDGESHIRE!M9</f>
        <v>70241</v>
      </c>
      <c r="L11" s="23">
        <f>CAMBRIDGESHIRE!N9</f>
        <v>70883</v>
      </c>
      <c r="M11" s="23">
        <f>CAMBRIDGESHIRE!O9</f>
        <v>70806</v>
      </c>
      <c r="N11" s="16"/>
      <c r="O11" s="24">
        <f t="shared" si="3"/>
        <v>0.92621029342042882</v>
      </c>
      <c r="P11" s="24">
        <f t="shared" si="3"/>
        <v>0.92792369619394321</v>
      </c>
      <c r="Q11" s="24">
        <f t="shared" si="3"/>
        <v>0.92550693426395614</v>
      </c>
      <c r="R11" s="24">
        <f t="shared" si="3"/>
        <v>0.92159392985263378</v>
      </c>
      <c r="S11" s="24">
        <f t="shared" si="3"/>
        <v>0.90700598957658096</v>
      </c>
      <c r="T11" s="24">
        <f t="shared" si="3"/>
        <v>0.91251616649510381</v>
      </c>
      <c r="U11" s="24">
        <f t="shared" si="3"/>
        <v>0.92710882852519094</v>
      </c>
      <c r="V11" s="24">
        <f t="shared" si="3"/>
        <v>0.91924459256354962</v>
      </c>
      <c r="W11" s="24">
        <f t="shared" si="3"/>
        <v>0.90999701891047657</v>
      </c>
      <c r="X11" s="24">
        <f t="shared" si="3"/>
        <v>0.91779909057649089</v>
      </c>
      <c r="Y11" s="24">
        <f t="shared" si="3"/>
        <v>0.97617506507099283</v>
      </c>
      <c r="Z11" s="24">
        <f t="shared" si="3"/>
        <v>0.96475140680991378</v>
      </c>
    </row>
    <row r="12" spans="1:26">
      <c r="A12" s="21" t="s">
        <v>2302</v>
      </c>
      <c r="B12" s="23">
        <f>CAMBRIDGESHIRE!D10</f>
        <v>123393</v>
      </c>
      <c r="C12" s="23">
        <f>CAMBRIDGESHIRE!E10</f>
        <v>121827</v>
      </c>
      <c r="D12" s="23">
        <f>CAMBRIDGESHIRE!F10</f>
        <v>121600</v>
      </c>
      <c r="E12" s="23">
        <f>CAMBRIDGESHIRE!G10</f>
        <v>122579</v>
      </c>
      <c r="F12" s="23">
        <f>CAMBRIDGESHIRE!H10</f>
        <v>126462</v>
      </c>
      <c r="G12" s="23">
        <f>CAMBRIDGESHIRE!I10</f>
        <v>124746</v>
      </c>
      <c r="H12" s="23">
        <f>CAMBRIDGESHIRE!J10</f>
        <v>124073</v>
      </c>
      <c r="I12" s="23">
        <f>CAMBRIDGESHIRE!K10</f>
        <v>127242</v>
      </c>
      <c r="J12" s="23">
        <f>CAMBRIDGESHIRE!L10</f>
        <v>127398</v>
      </c>
      <c r="K12" s="23">
        <f>CAMBRIDGESHIRE!M10</f>
        <v>127178</v>
      </c>
      <c r="L12" s="23">
        <f>CAMBRIDGESHIRE!N10</f>
        <v>129844</v>
      </c>
      <c r="M12" s="23">
        <f>CAMBRIDGESHIRE!O10</f>
        <v>129584</v>
      </c>
      <c r="N12" s="16"/>
      <c r="O12" s="24">
        <f t="shared" si="3"/>
        <v>1.6250460938734657</v>
      </c>
      <c r="P12" s="24">
        <f t="shared" si="3"/>
        <v>1.5895799898226797</v>
      </c>
      <c r="Q12" s="24">
        <f t="shared" si="3"/>
        <v>1.577561266719425</v>
      </c>
      <c r="R12" s="24">
        <f t="shared" si="3"/>
        <v>1.5817869770562882</v>
      </c>
      <c r="S12" s="24">
        <f t="shared" si="3"/>
        <v>1.6395104623123395</v>
      </c>
      <c r="T12" s="24">
        <f t="shared" si="3"/>
        <v>1.6462902842663711</v>
      </c>
      <c r="U12" s="24">
        <f t="shared" si="3"/>
        <v>1.659417673099814</v>
      </c>
      <c r="V12" s="24">
        <f t="shared" si="3"/>
        <v>1.6629680454812781</v>
      </c>
      <c r="W12" s="24">
        <f t="shared" si="3"/>
        <v>1.6512384482780968</v>
      </c>
      <c r="X12" s="24">
        <f t="shared" si="3"/>
        <v>1.6617624000418125</v>
      </c>
      <c r="Y12" s="24">
        <f t="shared" si="3"/>
        <v>1.7881646537121452</v>
      </c>
      <c r="Z12" s="24">
        <f t="shared" si="3"/>
        <v>1.7656179744662297</v>
      </c>
    </row>
    <row r="13" spans="1:26">
      <c r="A13" s="21" t="s">
        <v>2303</v>
      </c>
      <c r="B13" s="23">
        <f>CAMBRIDGESHIRE!D11</f>
        <v>105655</v>
      </c>
      <c r="C13" s="23">
        <f>CAMBRIDGESHIRE!E11</f>
        <v>107705</v>
      </c>
      <c r="D13" s="23">
        <f>CAMBRIDGESHIRE!F11</f>
        <v>109091</v>
      </c>
      <c r="E13" s="23">
        <f>CAMBRIDGESHIRE!G11</f>
        <v>109442</v>
      </c>
      <c r="F13" s="23">
        <f>CAMBRIDGESHIRE!H11</f>
        <v>110714</v>
      </c>
      <c r="G13" s="23">
        <f>CAMBRIDGESHIRE!I11</f>
        <v>110709</v>
      </c>
      <c r="H13" s="23">
        <f>CAMBRIDGESHIRE!J11</f>
        <v>110289</v>
      </c>
      <c r="I13" s="23">
        <f>CAMBRIDGESHIRE!K11</f>
        <v>113361</v>
      </c>
      <c r="J13" s="23">
        <f>CAMBRIDGESHIRE!L11</f>
        <v>112913</v>
      </c>
      <c r="K13" s="23">
        <f>CAMBRIDGESHIRE!M11</f>
        <v>111902</v>
      </c>
      <c r="L13" s="23">
        <f>CAMBRIDGESHIRE!N11</f>
        <v>118480</v>
      </c>
      <c r="M13" s="23">
        <f>CAMBRIDGESHIRE!O11</f>
        <v>117936</v>
      </c>
      <c r="N13" s="16"/>
      <c r="O13" s="24">
        <f t="shared" si="3"/>
        <v>1.3914423431491334</v>
      </c>
      <c r="P13" s="24">
        <f t="shared" si="3"/>
        <v>1.4053183022142195</v>
      </c>
      <c r="Q13" s="24">
        <f t="shared" si="3"/>
        <v>1.4152774354250723</v>
      </c>
      <c r="R13" s="24">
        <f t="shared" si="3"/>
        <v>1.4122641752909904</v>
      </c>
      <c r="S13" s="24">
        <f t="shared" si="3"/>
        <v>1.4353462804988721</v>
      </c>
      <c r="T13" s="24">
        <f t="shared" si="3"/>
        <v>1.4610420460844089</v>
      </c>
      <c r="U13" s="24">
        <f t="shared" si="3"/>
        <v>1.4750631946394896</v>
      </c>
      <c r="V13" s="24">
        <f t="shared" si="3"/>
        <v>1.4815526367378946</v>
      </c>
      <c r="W13" s="24">
        <f t="shared" si="3"/>
        <v>1.4634946145969696</v>
      </c>
      <c r="X13" s="24">
        <f t="shared" si="3"/>
        <v>1.4621596195055664</v>
      </c>
      <c r="Y13" s="24">
        <f t="shared" si="3"/>
        <v>1.6316637516698111</v>
      </c>
      <c r="Z13" s="24">
        <f t="shared" si="3"/>
        <v>1.6069107408063439</v>
      </c>
    </row>
    <row r="14" spans="1:26">
      <c r="A14" s="16" t="s">
        <v>2304</v>
      </c>
      <c r="B14" s="23">
        <f t="shared" ref="B14:G14" si="4">SUM(B9:B13)</f>
        <v>441548</v>
      </c>
      <c r="C14" s="23">
        <f t="shared" si="4"/>
        <v>443013</v>
      </c>
      <c r="D14" s="23">
        <f t="shared" si="4"/>
        <v>445668</v>
      </c>
      <c r="E14" s="23">
        <f t="shared" si="4"/>
        <v>445290</v>
      </c>
      <c r="F14" s="23">
        <f t="shared" si="4"/>
        <v>452495</v>
      </c>
      <c r="G14" s="23">
        <f t="shared" si="4"/>
        <v>446259</v>
      </c>
      <c r="H14" s="23">
        <f t="shared" ref="H14:M14" si="5">SUM(H9:H13)</f>
        <v>437043</v>
      </c>
      <c r="I14" s="23">
        <f t="shared" si="5"/>
        <v>450958</v>
      </c>
      <c r="J14" s="23">
        <f t="shared" si="5"/>
        <v>453770</v>
      </c>
      <c r="K14" s="23">
        <f t="shared" si="5"/>
        <v>450265</v>
      </c>
      <c r="L14" s="23">
        <f t="shared" si="5"/>
        <v>465846</v>
      </c>
      <c r="M14" s="23">
        <f t="shared" si="5"/>
        <v>466797</v>
      </c>
      <c r="N14" s="16"/>
      <c r="O14" s="24">
        <f t="shared" si="3"/>
        <v>5.8150450402992151</v>
      </c>
      <c r="P14" s="24">
        <f t="shared" si="3"/>
        <v>5.7803656006576114</v>
      </c>
      <c r="Q14" s="24">
        <f t="shared" si="3"/>
        <v>5.7818139359894136</v>
      </c>
      <c r="R14" s="24">
        <f t="shared" si="3"/>
        <v>5.7461222804346139</v>
      </c>
      <c r="S14" s="24">
        <f t="shared" si="3"/>
        <v>5.8663494697539349</v>
      </c>
      <c r="T14" s="24">
        <f t="shared" si="3"/>
        <v>5.8893419906564253</v>
      </c>
      <c r="U14" s="24">
        <f t="shared" si="3"/>
        <v>5.8452433495165108</v>
      </c>
      <c r="V14" s="24">
        <f t="shared" si="3"/>
        <v>5.8937201855845256</v>
      </c>
      <c r="W14" s="24">
        <f t="shared" si="3"/>
        <v>5.8814304045208869</v>
      </c>
      <c r="X14" s="24">
        <f t="shared" si="3"/>
        <v>5.8833559818115297</v>
      </c>
      <c r="Y14" s="24">
        <f t="shared" si="3"/>
        <v>6.4154627959180859</v>
      </c>
      <c r="Z14" s="24">
        <f t="shared" si="3"/>
        <v>6.3602387148638151</v>
      </c>
    </row>
    <row r="15" spans="1:26">
      <c r="A15" s="21" t="s">
        <v>2305</v>
      </c>
      <c r="B15" s="23">
        <f>CAMBRIDGESHIRE!D4</f>
        <v>113970</v>
      </c>
      <c r="C15" s="23">
        <f>CAMBRIDGESHIRE!E4</f>
        <v>119513</v>
      </c>
      <c r="D15" s="23">
        <f>CAMBRIDGESHIRE!F4</f>
        <v>121182</v>
      </c>
      <c r="E15" s="23">
        <f>CAMBRIDGESHIRE!G4</f>
        <v>120684</v>
      </c>
      <c r="F15" s="23">
        <f>CAMBRIDGESHIRE!H4</f>
        <v>119920</v>
      </c>
      <c r="G15" s="23">
        <f>CAMBRIDGESHIRE!I4</f>
        <v>119762</v>
      </c>
      <c r="H15" s="23">
        <f>CAMBRIDGESHIRE!J4</f>
        <v>117844</v>
      </c>
      <c r="I15" s="23">
        <f>CAMBRIDGESHIRE!K4</f>
        <v>120872</v>
      </c>
      <c r="J15" s="23">
        <f>CAMBRIDGESHIRE!L4</f>
        <v>118379</v>
      </c>
      <c r="K15" s="23">
        <f>CAMBRIDGESHIRE!M4</f>
        <v>116495</v>
      </c>
      <c r="L15" s="23">
        <f>CAMBRIDGESHIRE!N4</f>
        <v>124178</v>
      </c>
      <c r="M15" s="23">
        <f>CAMBRIDGESHIRE!O4</f>
        <v>124450</v>
      </c>
      <c r="N15" s="16"/>
      <c r="O15" s="24">
        <f t="shared" si="3"/>
        <v>1.5009482168255808</v>
      </c>
      <c r="P15" s="24">
        <f t="shared" si="3"/>
        <v>1.5593872731305698</v>
      </c>
      <c r="Q15" s="24">
        <f t="shared" si="3"/>
        <v>1.5721383998650771</v>
      </c>
      <c r="R15" s="24">
        <f t="shared" si="3"/>
        <v>1.5573334709783984</v>
      </c>
      <c r="S15" s="24">
        <f t="shared" si="3"/>
        <v>1.5546970207690514</v>
      </c>
      <c r="T15" s="24">
        <f t="shared" si="3"/>
        <v>1.5805157441866604</v>
      </c>
      <c r="U15" s="24">
        <f t="shared" si="3"/>
        <v>1.5761077451885139</v>
      </c>
      <c r="V15" s="24">
        <f t="shared" si="3"/>
        <v>1.5797163954780109</v>
      </c>
      <c r="W15" s="24">
        <f t="shared" si="3"/>
        <v>1.5343408551838555</v>
      </c>
      <c r="X15" s="24">
        <f t="shared" si="3"/>
        <v>1.5221737312496733</v>
      </c>
      <c r="Y15" s="24">
        <f t="shared" si="3"/>
        <v>1.7101345489099748</v>
      </c>
      <c r="Z15" s="24">
        <f t="shared" si="3"/>
        <v>1.6956657991906585</v>
      </c>
    </row>
    <row r="16" spans="1:26">
      <c r="A16" s="25" t="s">
        <v>2306</v>
      </c>
      <c r="B16" s="23">
        <f t="shared" ref="B16:G16" si="6">B14+B15</f>
        <v>555518</v>
      </c>
      <c r="C16" s="23">
        <f t="shared" si="6"/>
        <v>562526</v>
      </c>
      <c r="D16" s="23">
        <f t="shared" si="6"/>
        <v>566850</v>
      </c>
      <c r="E16" s="23">
        <f t="shared" si="6"/>
        <v>565974</v>
      </c>
      <c r="F16" s="23">
        <f t="shared" si="6"/>
        <v>572415</v>
      </c>
      <c r="G16" s="23">
        <f t="shared" si="6"/>
        <v>566021</v>
      </c>
      <c r="H16" s="23">
        <f t="shared" ref="H16:M16" si="7">H14+H15</f>
        <v>554887</v>
      </c>
      <c r="I16" s="23">
        <f t="shared" si="7"/>
        <v>571830</v>
      </c>
      <c r="J16" s="23">
        <f t="shared" si="7"/>
        <v>572149</v>
      </c>
      <c r="K16" s="23">
        <f t="shared" si="7"/>
        <v>566760</v>
      </c>
      <c r="L16" s="23">
        <f t="shared" si="7"/>
        <v>590024</v>
      </c>
      <c r="M16" s="23">
        <f t="shared" si="7"/>
        <v>591247</v>
      </c>
      <c r="N16" s="16"/>
      <c r="O16" s="24">
        <f t="shared" si="3"/>
        <v>7.3159932571247959</v>
      </c>
      <c r="P16" s="24">
        <f t="shared" si="3"/>
        <v>7.3397528737881812</v>
      </c>
      <c r="Q16" s="24">
        <f t="shared" si="3"/>
        <v>7.3539523358544905</v>
      </c>
      <c r="R16" s="24">
        <f t="shared" si="3"/>
        <v>7.3034557514130123</v>
      </c>
      <c r="S16" s="24">
        <f t="shared" si="3"/>
        <v>7.4210464905229863</v>
      </c>
      <c r="T16" s="24">
        <f t="shared" si="3"/>
        <v>7.4698577348430861</v>
      </c>
      <c r="U16" s="24">
        <f t="shared" si="3"/>
        <v>7.4213510947050247</v>
      </c>
      <c r="V16" s="24">
        <f t="shared" si="3"/>
        <v>7.4734365810625372</v>
      </c>
      <c r="W16" s="24">
        <f t="shared" si="3"/>
        <v>7.4157712597047425</v>
      </c>
      <c r="X16" s="24">
        <f t="shared" si="3"/>
        <v>7.4055297130612034</v>
      </c>
      <c r="Y16" s="24">
        <f t="shared" si="3"/>
        <v>8.1255973448280603</v>
      </c>
      <c r="Z16" s="24">
        <f t="shared" si="3"/>
        <v>8.0559045140544736</v>
      </c>
    </row>
    <row r="17" spans="1:26">
      <c r="A17" s="16"/>
      <c r="B17" s="16"/>
      <c r="C17" s="16"/>
      <c r="D17" s="16"/>
      <c r="E17" s="16"/>
      <c r="F17" s="16"/>
      <c r="G17" s="16"/>
      <c r="H17" s="16"/>
      <c r="I17" s="16"/>
      <c r="J17" s="16"/>
      <c r="K17" s="16"/>
      <c r="L17" s="16"/>
      <c r="M17" s="16"/>
      <c r="N17" s="16"/>
      <c r="W17" s="24"/>
      <c r="X17" s="24"/>
      <c r="Y17" s="24"/>
      <c r="Z17" s="24"/>
    </row>
    <row r="18" spans="1:26">
      <c r="A18" s="21" t="s">
        <v>5220</v>
      </c>
      <c r="B18" s="23">
        <f>ESSEX!D8</f>
        <v>127760</v>
      </c>
      <c r="C18" s="23">
        <f>ESSEX!E8</f>
        <v>127981</v>
      </c>
      <c r="D18" s="23">
        <f>ESSEX!F8</f>
        <v>128749</v>
      </c>
      <c r="E18" s="23">
        <f>ESSEX!G8</f>
        <v>131062</v>
      </c>
      <c r="F18" s="23">
        <f>ESSEX!H8</f>
        <v>131592</v>
      </c>
      <c r="G18" s="23">
        <f>ESSEX!I8</f>
        <v>132163</v>
      </c>
      <c r="H18" s="23">
        <f>ESSEX!J8</f>
        <v>126526</v>
      </c>
      <c r="I18" s="23">
        <f>ESSEX!K8</f>
        <v>131494</v>
      </c>
      <c r="J18" s="23">
        <f>ESSEX!L8</f>
        <v>134416</v>
      </c>
      <c r="K18" s="23">
        <f>ESSEX!M8</f>
        <v>133573</v>
      </c>
      <c r="L18" s="23">
        <f>ESSEX!N8</f>
        <v>136849</v>
      </c>
      <c r="M18" s="23">
        <f>ESSEX!O8</f>
        <v>136158</v>
      </c>
      <c r="N18" s="16"/>
      <c r="O18" s="24">
        <f t="shared" ref="O18:O33" si="8">B18/B$451</f>
        <v>1.6825580782805669</v>
      </c>
      <c r="P18" s="24">
        <f t="shared" ref="P18:P33" si="9">C18/C$451</f>
        <v>1.6698764368940906</v>
      </c>
      <c r="Q18" s="24">
        <f t="shared" ref="Q18:Q33" si="10">D18/D$451</f>
        <v>1.6703078579675925</v>
      </c>
      <c r="R18" s="24">
        <f t="shared" ref="R18:R33" si="11">E18/E$451</f>
        <v>1.6912535164012699</v>
      </c>
      <c r="S18" s="24">
        <f t="shared" ref="S18:S33" si="12">F18/F$451</f>
        <v>1.7060180983742579</v>
      </c>
      <c r="T18" s="24">
        <f t="shared" ref="T18:T33" si="13">G18/G$451</f>
        <v>1.7441734631931798</v>
      </c>
      <c r="U18" s="24">
        <f t="shared" ref="U18:U33" si="14">H18/H$451</f>
        <v>1.6922253875269162</v>
      </c>
      <c r="V18" s="24">
        <f t="shared" ref="V18:V33" si="15">I18/I$451</f>
        <v>1.7185388485917794</v>
      </c>
      <c r="W18" s="24">
        <f t="shared" ref="W18:W33" si="16">J18/J$451</f>
        <v>1.7422005625186319</v>
      </c>
      <c r="X18" s="24">
        <f t="shared" ref="X18:X33" si="17">K18/K$451</f>
        <v>1.7453222181571109</v>
      </c>
      <c r="Y18" s="24">
        <f t="shared" ref="Y18:Y33" si="18">L18/L$451</f>
        <v>1.8846349827165934</v>
      </c>
      <c r="Z18" s="24">
        <f t="shared" ref="Z18:Z33" si="19">M18/M$451</f>
        <v>1.8551905495074461</v>
      </c>
    </row>
    <row r="19" spans="1:26">
      <c r="A19" s="21" t="s">
        <v>5221</v>
      </c>
      <c r="B19" s="23">
        <f>ESSEX!D9</f>
        <v>106789</v>
      </c>
      <c r="C19" s="23">
        <f>ESSEX!E9</f>
        <v>108402</v>
      </c>
      <c r="D19" s="23">
        <f>ESSEX!F9</f>
        <v>110124</v>
      </c>
      <c r="E19" s="23">
        <f>ESSEX!G9</f>
        <v>111319</v>
      </c>
      <c r="F19" s="23">
        <f>ESSEX!H9</f>
        <v>110453</v>
      </c>
      <c r="G19" s="23">
        <f>ESSEX!I9</f>
        <v>109550</v>
      </c>
      <c r="H19" s="23">
        <f>ESSEX!J9</f>
        <v>108866</v>
      </c>
      <c r="I19" s="23">
        <f>ESSEX!K9</f>
        <v>111922</v>
      </c>
      <c r="J19" s="23">
        <f>ESSEX!L9</f>
        <v>111428</v>
      </c>
      <c r="K19" s="23">
        <f>ESSEX!M9</f>
        <v>110546</v>
      </c>
      <c r="L19" s="23">
        <f>ESSEX!N9</f>
        <v>112689</v>
      </c>
      <c r="M19" s="23">
        <f>ESSEX!O9</f>
        <v>112199</v>
      </c>
      <c r="N19" s="16"/>
      <c r="O19" s="24">
        <f t="shared" si="8"/>
        <v>1.4063767581520308</v>
      </c>
      <c r="P19" s="24">
        <f t="shared" si="9"/>
        <v>1.4144126511919208</v>
      </c>
      <c r="Q19" s="24">
        <f t="shared" si="10"/>
        <v>1.4286789221727794</v>
      </c>
      <c r="R19" s="24">
        <f t="shared" si="11"/>
        <v>1.4364854053217024</v>
      </c>
      <c r="S19" s="24">
        <f t="shared" si="12"/>
        <v>1.4319625586641429</v>
      </c>
      <c r="T19" s="24">
        <f t="shared" si="13"/>
        <v>1.4457465621453269</v>
      </c>
      <c r="U19" s="24">
        <f t="shared" si="14"/>
        <v>1.4560312428947826</v>
      </c>
      <c r="V19" s="24">
        <f t="shared" si="15"/>
        <v>1.4627458668234987</v>
      </c>
      <c r="W19" s="24">
        <f t="shared" si="16"/>
        <v>1.4442471452827499</v>
      </c>
      <c r="X19" s="24">
        <f t="shared" si="17"/>
        <v>1.4444415407933937</v>
      </c>
      <c r="Y19" s="24">
        <f t="shared" si="18"/>
        <v>1.5519121920317298</v>
      </c>
      <c r="Z19" s="24">
        <f t="shared" si="19"/>
        <v>1.5287425231289087</v>
      </c>
    </row>
    <row r="20" spans="1:26">
      <c r="A20" s="21" t="s">
        <v>5222</v>
      </c>
      <c r="B20" s="23">
        <f>ESSEX!D10</f>
        <v>55162</v>
      </c>
      <c r="C20" s="23">
        <f>ESSEX!E10</f>
        <v>55692</v>
      </c>
      <c r="D20" s="23">
        <f>ESSEX!F10</f>
        <v>56703</v>
      </c>
      <c r="E20" s="23">
        <f>ESSEX!G10</f>
        <v>57648</v>
      </c>
      <c r="F20" s="23">
        <f>ESSEX!H10</f>
        <v>57961</v>
      </c>
      <c r="G20" s="23">
        <f>ESSEX!I10</f>
        <v>58154</v>
      </c>
      <c r="H20" s="23">
        <f>ESSEX!J10</f>
        <v>56445</v>
      </c>
      <c r="I20" s="23">
        <f>ESSEX!K10</f>
        <v>58144</v>
      </c>
      <c r="J20" s="23">
        <f>ESSEX!L10</f>
        <v>57670</v>
      </c>
      <c r="K20" s="23">
        <f>ESSEX!M10</f>
        <v>57500</v>
      </c>
      <c r="L20" s="23">
        <f>ESSEX!N10</f>
        <v>59359</v>
      </c>
      <c r="M20" s="23">
        <f>ESSEX!O10</f>
        <v>58764</v>
      </c>
      <c r="N20" s="16"/>
      <c r="O20" s="24">
        <f t="shared" si="8"/>
        <v>0.7264657851762103</v>
      </c>
      <c r="P20" s="24">
        <f t="shared" si="9"/>
        <v>0.72666066465729828</v>
      </c>
      <c r="Q20" s="24">
        <f t="shared" si="10"/>
        <v>0.73562875416769369</v>
      </c>
      <c r="R20" s="24">
        <f t="shared" si="11"/>
        <v>0.74390275376158155</v>
      </c>
      <c r="S20" s="24">
        <f t="shared" si="12"/>
        <v>0.75143257188788337</v>
      </c>
      <c r="T20" s="24">
        <f t="shared" si="13"/>
        <v>0.76746641328160059</v>
      </c>
      <c r="U20" s="24">
        <f t="shared" si="14"/>
        <v>0.75492516952212818</v>
      </c>
      <c r="V20" s="24">
        <f t="shared" si="15"/>
        <v>0.75990328693720188</v>
      </c>
      <c r="W20" s="24">
        <f t="shared" si="16"/>
        <v>0.7474757948491958</v>
      </c>
      <c r="X20" s="24">
        <f t="shared" si="17"/>
        <v>0.75131970940260284</v>
      </c>
      <c r="Y20" s="24">
        <f t="shared" si="18"/>
        <v>0.81747070083869278</v>
      </c>
      <c r="Z20" s="24">
        <f t="shared" si="19"/>
        <v>0.80067581376970554</v>
      </c>
    </row>
    <row r="21" spans="1:26">
      <c r="A21" s="21" t="s">
        <v>5223</v>
      </c>
      <c r="B21" s="23">
        <f>ESSEX!D11</f>
        <v>67689</v>
      </c>
      <c r="C21" s="23">
        <f>ESSEX!E11</f>
        <v>64562</v>
      </c>
      <c r="D21" s="23">
        <f>ESSEX!F11</f>
        <v>66697</v>
      </c>
      <c r="E21" s="23">
        <f>ESSEX!G11</f>
        <v>67284</v>
      </c>
      <c r="F21" s="23">
        <f>ESSEX!H11</f>
        <v>68085</v>
      </c>
      <c r="G21" s="23">
        <f>ESSEX!I11</f>
        <v>67461</v>
      </c>
      <c r="H21" s="23">
        <f>ESSEX!J11</f>
        <v>67541</v>
      </c>
      <c r="I21" s="23">
        <f>ESSEX!K11</f>
        <v>68558</v>
      </c>
      <c r="J21" s="23">
        <f>ESSEX!L11</f>
        <v>69147</v>
      </c>
      <c r="K21" s="23">
        <f>ESSEX!M11</f>
        <v>68597</v>
      </c>
      <c r="L21" s="23">
        <f>ESSEX!N11</f>
        <v>69579</v>
      </c>
      <c r="M21" s="23">
        <f>ESSEX!O11</f>
        <v>69309</v>
      </c>
      <c r="N21" s="16"/>
      <c r="O21" s="24">
        <f t="shared" si="8"/>
        <v>0.8914423431491334</v>
      </c>
      <c r="P21" s="24">
        <f t="shared" si="9"/>
        <v>0.84239506269490216</v>
      </c>
      <c r="Q21" s="24">
        <f t="shared" si="10"/>
        <v>0.86528457077619647</v>
      </c>
      <c r="R21" s="24">
        <f t="shared" si="11"/>
        <v>0.86824786435078849</v>
      </c>
      <c r="S21" s="24">
        <f t="shared" si="12"/>
        <v>0.882684678611248</v>
      </c>
      <c r="T21" s="24">
        <f t="shared" si="13"/>
        <v>0.89029218465436688</v>
      </c>
      <c r="U21" s="24">
        <f t="shared" si="14"/>
        <v>0.90332891973946416</v>
      </c>
      <c r="V21" s="24">
        <f t="shared" si="15"/>
        <v>0.89600731882637397</v>
      </c>
      <c r="W21" s="24">
        <f t="shared" si="16"/>
        <v>0.89623216206758005</v>
      </c>
      <c r="X21" s="24">
        <f t="shared" si="17"/>
        <v>0.89631788010244084</v>
      </c>
      <c r="Y21" s="24">
        <f t="shared" si="18"/>
        <v>0.95821684822276998</v>
      </c>
      <c r="Z21" s="24">
        <f t="shared" si="19"/>
        <v>0.94435436622021174</v>
      </c>
    </row>
    <row r="22" spans="1:26">
      <c r="A22" s="21" t="s">
        <v>5224</v>
      </c>
      <c r="B22" s="23">
        <f>ESSEX!D12</f>
        <v>126419</v>
      </c>
      <c r="C22" s="23">
        <f>ESSEX!E12</f>
        <v>126981</v>
      </c>
      <c r="D22" s="23">
        <f>ESSEX!F12</f>
        <v>126983</v>
      </c>
      <c r="E22" s="23">
        <f>ESSEX!G12</f>
        <v>128500</v>
      </c>
      <c r="F22" s="23">
        <f>ESSEX!H12</f>
        <v>128307</v>
      </c>
      <c r="G22" s="23">
        <f>ESSEX!I12</f>
        <v>128252</v>
      </c>
      <c r="H22" s="23">
        <f>ESSEX!J12</f>
        <v>127528</v>
      </c>
      <c r="I22" s="23">
        <f>ESSEX!K12</f>
        <v>128790</v>
      </c>
      <c r="J22" s="23">
        <f>ESSEX!L12</f>
        <v>129985</v>
      </c>
      <c r="K22" s="23">
        <f>ESSEX!M12</f>
        <v>126742</v>
      </c>
      <c r="L22" s="23">
        <f>ESSEX!N12</f>
        <v>132772</v>
      </c>
      <c r="M22" s="23">
        <f>ESSEX!O12</f>
        <v>132037</v>
      </c>
      <c r="N22" s="16"/>
      <c r="O22" s="24">
        <f t="shared" si="8"/>
        <v>1.6648975399041248</v>
      </c>
      <c r="P22" s="24">
        <f t="shared" si="9"/>
        <v>1.6568285904411477</v>
      </c>
      <c r="Q22" s="24">
        <f t="shared" si="10"/>
        <v>1.6473968941762562</v>
      </c>
      <c r="R22" s="24">
        <f t="shared" si="11"/>
        <v>1.6581928923529563</v>
      </c>
      <c r="S22" s="24">
        <f t="shared" si="12"/>
        <v>1.6634298752819767</v>
      </c>
      <c r="T22" s="24">
        <f t="shared" si="13"/>
        <v>1.6925594531105657</v>
      </c>
      <c r="U22" s="24">
        <f t="shared" si="14"/>
        <v>1.7056266634567803</v>
      </c>
      <c r="V22" s="24">
        <f t="shared" si="15"/>
        <v>1.6831993726720251</v>
      </c>
      <c r="W22" s="24">
        <f t="shared" si="16"/>
        <v>1.6847692247871113</v>
      </c>
      <c r="X22" s="24">
        <f t="shared" si="17"/>
        <v>1.6560654366800815</v>
      </c>
      <c r="Y22" s="24">
        <f t="shared" si="18"/>
        <v>1.8284880117885227</v>
      </c>
      <c r="Z22" s="24">
        <f t="shared" si="19"/>
        <v>1.7990407804559019</v>
      </c>
    </row>
    <row r="23" spans="1:26">
      <c r="A23" s="21" t="s">
        <v>5225</v>
      </c>
      <c r="B23" s="23">
        <f>ESSEX!D13</f>
        <v>124169</v>
      </c>
      <c r="C23" s="23">
        <f>ESSEX!E13</f>
        <v>124252</v>
      </c>
      <c r="D23" s="23">
        <f>ESSEX!F13</f>
        <v>124454</v>
      </c>
      <c r="E23" s="23">
        <f>ESSEX!G13</f>
        <v>127376</v>
      </c>
      <c r="F23" s="23">
        <f>ESSEX!H13</f>
        <v>122733</v>
      </c>
      <c r="G23" s="23">
        <f>ESSEX!I13</f>
        <v>117280</v>
      </c>
      <c r="H23" s="23">
        <f>ESSEX!J13</f>
        <v>120001</v>
      </c>
      <c r="I23" s="23">
        <f>ESSEX!K13</f>
        <v>130591</v>
      </c>
      <c r="J23" s="23">
        <f>ESSEX!L13</f>
        <v>127252</v>
      </c>
      <c r="K23" s="23">
        <f>ESSEX!M13</f>
        <v>126557</v>
      </c>
      <c r="L23" s="23">
        <f>ESSEX!N13</f>
        <v>131255</v>
      </c>
      <c r="M23" s="23">
        <f>ESSEX!O13</f>
        <v>136210</v>
      </c>
      <c r="N23" s="16"/>
      <c r="O23" s="24">
        <f t="shared" si="8"/>
        <v>1.6352657641047252</v>
      </c>
      <c r="P23" s="24">
        <f t="shared" si="9"/>
        <v>1.6212210174710664</v>
      </c>
      <c r="Q23" s="24">
        <f t="shared" si="10"/>
        <v>1.6145872523708826</v>
      </c>
      <c r="R23" s="24">
        <f t="shared" si="11"/>
        <v>1.6436885436291842</v>
      </c>
      <c r="S23" s="24">
        <f t="shared" si="12"/>
        <v>1.5911660227655768</v>
      </c>
      <c r="T23" s="24">
        <f t="shared" si="13"/>
        <v>1.5477604455354079</v>
      </c>
      <c r="U23" s="24">
        <f t="shared" si="14"/>
        <v>1.604956599660287</v>
      </c>
      <c r="V23" s="24">
        <f t="shared" si="15"/>
        <v>1.7067372410638437</v>
      </c>
      <c r="W23" s="24">
        <f t="shared" si="16"/>
        <v>1.6493461044936684</v>
      </c>
      <c r="X23" s="24">
        <f t="shared" si="17"/>
        <v>1.6536481471802644</v>
      </c>
      <c r="Y23" s="24">
        <f t="shared" si="18"/>
        <v>1.8075964358999077</v>
      </c>
      <c r="Z23" s="24">
        <f t="shared" si="19"/>
        <v>1.8558990639434279</v>
      </c>
    </row>
    <row r="24" spans="1:26">
      <c r="A24" s="21" t="s">
        <v>5226</v>
      </c>
      <c r="B24" s="23">
        <f>ESSEX!D14</f>
        <v>95464</v>
      </c>
      <c r="C24" s="23">
        <f>ESSEX!E14</f>
        <v>95881</v>
      </c>
      <c r="D24" s="23">
        <f>ESSEX!F14</f>
        <v>97065</v>
      </c>
      <c r="E24" s="23">
        <f>ESSEX!G14</f>
        <v>97467</v>
      </c>
      <c r="F24" s="23">
        <f>ESSEX!H14</f>
        <v>96837</v>
      </c>
      <c r="G24" s="23">
        <f>ESSEX!I14</f>
        <v>96989</v>
      </c>
      <c r="H24" s="23">
        <f>ESSEX!J14</f>
        <v>97897</v>
      </c>
      <c r="I24" s="23">
        <f>ESSEX!K14</f>
        <v>99177</v>
      </c>
      <c r="J24" s="23">
        <f>ESSEX!L14</f>
        <v>98420</v>
      </c>
      <c r="K24" s="23">
        <f>ESSEX!M14</f>
        <v>98223</v>
      </c>
      <c r="L24" s="23">
        <f>ESSEX!N14</f>
        <v>99621</v>
      </c>
      <c r="M24" s="23">
        <f>ESSEX!O14</f>
        <v>99466</v>
      </c>
      <c r="N24" s="16"/>
      <c r="O24" s="24">
        <f t="shared" si="8"/>
        <v>1.2572301532950534</v>
      </c>
      <c r="P24" s="24">
        <f t="shared" si="9"/>
        <v>1.2510405657546222</v>
      </c>
      <c r="Q24" s="24">
        <f t="shared" si="10"/>
        <v>1.2592597397542844</v>
      </c>
      <c r="R24" s="24">
        <f t="shared" si="11"/>
        <v>1.2577360827935067</v>
      </c>
      <c r="S24" s="24">
        <f t="shared" si="12"/>
        <v>1.2554385873933673</v>
      </c>
      <c r="T24" s="24">
        <f t="shared" si="13"/>
        <v>1.2799773009211604</v>
      </c>
      <c r="U24" s="24">
        <f t="shared" si="14"/>
        <v>1.3093260575907126</v>
      </c>
      <c r="V24" s="24">
        <f t="shared" si="15"/>
        <v>1.2961772201529111</v>
      </c>
      <c r="W24" s="24">
        <f t="shared" si="16"/>
        <v>1.2756470908454629</v>
      </c>
      <c r="X24" s="24">
        <f t="shared" si="17"/>
        <v>1.2834239272461192</v>
      </c>
      <c r="Y24" s="24">
        <f t="shared" si="18"/>
        <v>1.3719444176662581</v>
      </c>
      <c r="Z24" s="24">
        <f t="shared" si="19"/>
        <v>1.3552518632567139</v>
      </c>
    </row>
    <row r="25" spans="1:26">
      <c r="A25" s="21" t="s">
        <v>5227</v>
      </c>
      <c r="B25" s="23">
        <f>ESSEX!D15</f>
        <v>59167</v>
      </c>
      <c r="C25" s="23">
        <f>ESSEX!E15</f>
        <v>59380</v>
      </c>
      <c r="D25" s="23">
        <f>ESSEX!F15</f>
        <v>60159</v>
      </c>
      <c r="E25" s="23">
        <f>ESSEX!G15</f>
        <v>60705</v>
      </c>
      <c r="F25" s="23">
        <f>ESSEX!H15</f>
        <v>60380</v>
      </c>
      <c r="G25" s="23">
        <f>ESSEX!I15</f>
        <v>58988</v>
      </c>
      <c r="H25" s="23">
        <f>ESSEX!J15</f>
        <v>57532</v>
      </c>
      <c r="I25" s="23">
        <f>ESSEX!K15</f>
        <v>58776</v>
      </c>
      <c r="J25" s="23">
        <f>ESSEX!L15</f>
        <v>58671</v>
      </c>
      <c r="K25" s="23">
        <f>ESSEX!M15</f>
        <v>57746</v>
      </c>
      <c r="L25" s="23">
        <f>ESSEX!N15</f>
        <v>58438</v>
      </c>
      <c r="M25" s="23">
        <f>ESSEX!O15</f>
        <v>59682</v>
      </c>
      <c r="N25" s="16"/>
      <c r="O25" s="24">
        <f t="shared" si="8"/>
        <v>0.7792103460991413</v>
      </c>
      <c r="P25" s="24">
        <f t="shared" si="9"/>
        <v>0.77478112237575192</v>
      </c>
      <c r="Q25" s="24">
        <f t="shared" si="10"/>
        <v>0.7804647059586669</v>
      </c>
      <c r="R25" s="24">
        <f t="shared" si="11"/>
        <v>0.78335096910728574</v>
      </c>
      <c r="S25" s="24">
        <f t="shared" si="12"/>
        <v>0.78279358000363009</v>
      </c>
      <c r="T25" s="24">
        <f t="shared" si="13"/>
        <v>0.77847282709108667</v>
      </c>
      <c r="U25" s="24">
        <f t="shared" si="14"/>
        <v>0.7694632802364616</v>
      </c>
      <c r="V25" s="24">
        <f t="shared" si="15"/>
        <v>0.76816310527347575</v>
      </c>
      <c r="W25" s="24">
        <f t="shared" si="16"/>
        <v>0.76045001490544761</v>
      </c>
      <c r="X25" s="24">
        <f t="shared" si="17"/>
        <v>0.75453405111587313</v>
      </c>
      <c r="Y25" s="24">
        <f t="shared" si="18"/>
        <v>0.8047870216077011</v>
      </c>
      <c r="Z25" s="24">
        <f t="shared" si="19"/>
        <v>0.81318381862030442</v>
      </c>
    </row>
    <row r="26" spans="1:26">
      <c r="A26" s="21" t="s">
        <v>5228</v>
      </c>
      <c r="B26" s="23">
        <f>ESSEX!D16</f>
        <v>47843</v>
      </c>
      <c r="C26" s="23">
        <f>ESSEX!E16</f>
        <v>48619</v>
      </c>
      <c r="D26" s="23">
        <f>ESSEX!F16</f>
        <v>48025</v>
      </c>
      <c r="E26" s="23">
        <f>ESSEX!G16</f>
        <v>47802</v>
      </c>
      <c r="F26" s="23">
        <f>ESSEX!H16</f>
        <v>47762</v>
      </c>
      <c r="G26" s="23">
        <f>ESSEX!I16</f>
        <v>46959</v>
      </c>
      <c r="H26" s="23">
        <f>ESSEX!J16</f>
        <v>47312</v>
      </c>
      <c r="I26" s="23">
        <f>ESSEX!K16</f>
        <v>49001</v>
      </c>
      <c r="J26" s="23">
        <f>ESSEX!L16</f>
        <v>49433</v>
      </c>
      <c r="K26" s="23">
        <f>ESSEX!M16</f>
        <v>49846</v>
      </c>
      <c r="L26" s="23">
        <f>ESSEX!N16</f>
        <v>51383</v>
      </c>
      <c r="M26" s="23">
        <f>ESSEX!O16</f>
        <v>50974</v>
      </c>
      <c r="N26" s="16"/>
      <c r="O26" s="24">
        <f t="shared" si="8"/>
        <v>0.63007691092029716</v>
      </c>
      <c r="P26" s="24">
        <f t="shared" si="9"/>
        <v>0.63437324669563289</v>
      </c>
      <c r="Q26" s="24">
        <f t="shared" si="10"/>
        <v>0.62304588679441109</v>
      </c>
      <c r="R26" s="24">
        <f t="shared" si="11"/>
        <v>0.61684775595529973</v>
      </c>
      <c r="S26" s="24">
        <f t="shared" si="12"/>
        <v>0.61920813130396457</v>
      </c>
      <c r="T26" s="24">
        <f t="shared" si="13"/>
        <v>0.61972444374059699</v>
      </c>
      <c r="U26" s="24">
        <f t="shared" si="14"/>
        <v>0.63277561556259942</v>
      </c>
      <c r="V26" s="24">
        <f t="shared" si="15"/>
        <v>0.64041037705025161</v>
      </c>
      <c r="W26" s="24">
        <f t="shared" si="16"/>
        <v>0.6407139061345638</v>
      </c>
      <c r="X26" s="24">
        <f t="shared" si="17"/>
        <v>0.65130925625881986</v>
      </c>
      <c r="Y26" s="24">
        <f t="shared" si="18"/>
        <v>0.70762811066888853</v>
      </c>
      <c r="Z26" s="24">
        <f t="shared" si="19"/>
        <v>0.69453490114861094</v>
      </c>
    </row>
    <row r="27" spans="1:26">
      <c r="A27" s="21" t="s">
        <v>5229</v>
      </c>
      <c r="B27" s="23">
        <f>ESSEX!D17</f>
        <v>64867</v>
      </c>
      <c r="C27" s="23">
        <f>ESSEX!E17</f>
        <v>65133</v>
      </c>
      <c r="D27" s="23">
        <f>ESSEX!F17</f>
        <v>65401</v>
      </c>
      <c r="E27" s="23">
        <f>ESSEX!G17</f>
        <v>66122</v>
      </c>
      <c r="F27" s="23">
        <f>ESSEX!H17</f>
        <v>66359</v>
      </c>
      <c r="G27" s="23">
        <f>ESSEX!I17</f>
        <v>65617</v>
      </c>
      <c r="H27" s="23">
        <f>ESSEX!J17</f>
        <v>64466</v>
      </c>
      <c r="I27" s="23">
        <f>ESSEX!K17</f>
        <v>65876</v>
      </c>
      <c r="J27" s="23">
        <f>ESSEX!L17</f>
        <v>65824</v>
      </c>
      <c r="K27" s="23">
        <f>ESSEX!M17</f>
        <v>66022</v>
      </c>
      <c r="L27" s="23">
        <f>ESSEX!N17</f>
        <v>67617</v>
      </c>
      <c r="M27" s="23">
        <f>ESSEX!O17</f>
        <v>67292</v>
      </c>
      <c r="N27" s="16"/>
      <c r="O27" s="24">
        <f t="shared" si="8"/>
        <v>0.85427751145761999</v>
      </c>
      <c r="P27" s="24">
        <f t="shared" si="9"/>
        <v>0.84984538301953261</v>
      </c>
      <c r="Q27" s="24">
        <f t="shared" si="10"/>
        <v>0.84847108885458156</v>
      </c>
      <c r="R27" s="24">
        <f t="shared" si="11"/>
        <v>0.85325315508297417</v>
      </c>
      <c r="S27" s="24">
        <f t="shared" si="12"/>
        <v>0.8603080353670236</v>
      </c>
      <c r="T27" s="24">
        <f t="shared" si="13"/>
        <v>0.86595666059598275</v>
      </c>
      <c r="U27" s="24">
        <f t="shared" si="14"/>
        <v>0.86220224959542058</v>
      </c>
      <c r="V27" s="24">
        <f t="shared" si="15"/>
        <v>0.86095536822845198</v>
      </c>
      <c r="W27" s="24">
        <f t="shared" si="16"/>
        <v>0.85316189908363904</v>
      </c>
      <c r="X27" s="24">
        <f t="shared" si="17"/>
        <v>0.86267182355093297</v>
      </c>
      <c r="Y27" s="24">
        <f t="shared" si="18"/>
        <v>0.93119689311831211</v>
      </c>
      <c r="Z27" s="24">
        <f t="shared" si="19"/>
        <v>0.91687218127069336</v>
      </c>
    </row>
    <row r="28" spans="1:26">
      <c r="A28" s="21" t="s">
        <v>5230</v>
      </c>
      <c r="B28" s="23">
        <f>ESSEX!D18</f>
        <v>107765</v>
      </c>
      <c r="C28" s="23">
        <f>ESSEX!E18</f>
        <v>108308</v>
      </c>
      <c r="D28" s="23">
        <f>ESSEX!F18</f>
        <v>108723</v>
      </c>
      <c r="E28" s="23">
        <f>ESSEX!G18</f>
        <v>109553</v>
      </c>
      <c r="F28" s="23">
        <f>ESSEX!H18</f>
        <v>110276</v>
      </c>
      <c r="G28" s="23">
        <f>ESSEX!I18</f>
        <v>107859</v>
      </c>
      <c r="H28" s="23">
        <f>ESSEX!J18</f>
        <v>108820</v>
      </c>
      <c r="I28" s="23">
        <f>ESSEX!K18</f>
        <v>109092</v>
      </c>
      <c r="J28" s="23">
        <f>ESSEX!L18</f>
        <v>109023</v>
      </c>
      <c r="K28" s="23">
        <f>ESSEX!M18</f>
        <v>109489</v>
      </c>
      <c r="L28" s="23">
        <f>ESSEX!N18</f>
        <v>113369</v>
      </c>
      <c r="M28" s="23">
        <f>ESSEX!O18</f>
        <v>113595</v>
      </c>
      <c r="N28" s="16"/>
      <c r="O28" s="24">
        <f t="shared" si="8"/>
        <v>1.4192303640099035</v>
      </c>
      <c r="P28" s="24">
        <f t="shared" si="9"/>
        <v>1.4131861536253441</v>
      </c>
      <c r="Q28" s="24">
        <f t="shared" si="10"/>
        <v>1.4105032368547372</v>
      </c>
      <c r="R28" s="24">
        <f t="shared" si="11"/>
        <v>1.4136965442485869</v>
      </c>
      <c r="S28" s="24">
        <f t="shared" si="12"/>
        <v>1.4296678507532345</v>
      </c>
      <c r="T28" s="24">
        <f t="shared" si="13"/>
        <v>1.4234302003325678</v>
      </c>
      <c r="U28" s="24">
        <f t="shared" si="14"/>
        <v>1.4554160146584814</v>
      </c>
      <c r="V28" s="24">
        <f t="shared" si="15"/>
        <v>1.4257596549696139</v>
      </c>
      <c r="W28" s="24">
        <f t="shared" si="16"/>
        <v>1.4130753178748721</v>
      </c>
      <c r="X28" s="24">
        <f t="shared" si="17"/>
        <v>1.4306303245701144</v>
      </c>
      <c r="Y28" s="24">
        <f t="shared" si="18"/>
        <v>1.5612769063390852</v>
      </c>
      <c r="Z28" s="24">
        <f t="shared" si="19"/>
        <v>1.5477634106794926</v>
      </c>
    </row>
    <row r="29" spans="1:26">
      <c r="A29" s="21" t="s">
        <v>5231</v>
      </c>
      <c r="B29" s="23">
        <f>ESSEX!D19</f>
        <v>58606</v>
      </c>
      <c r="C29" s="23">
        <f>ESSEX!E19</f>
        <v>59608</v>
      </c>
      <c r="D29" s="23">
        <f>ESSEX!F19</f>
        <v>60719</v>
      </c>
      <c r="E29" s="23">
        <f>ESSEX!G19</f>
        <v>61613</v>
      </c>
      <c r="F29" s="23">
        <f>ESSEX!H19</f>
        <v>62275</v>
      </c>
      <c r="G29" s="23">
        <f>ESSEX!I19</f>
        <v>62081</v>
      </c>
      <c r="H29" s="23">
        <f>ESSEX!J19</f>
        <v>61702</v>
      </c>
      <c r="I29" s="23">
        <f>ESSEX!K19</f>
        <v>64461</v>
      </c>
      <c r="J29" s="23">
        <f>ESSEX!L19</f>
        <v>63764</v>
      </c>
      <c r="K29" s="23">
        <f>ESSEX!M19</f>
        <v>64924</v>
      </c>
      <c r="L29" s="23">
        <f>ESSEX!N19</f>
        <v>66677</v>
      </c>
      <c r="M29" s="23">
        <f>ESSEX!O19</f>
        <v>67936</v>
      </c>
      <c r="N29" s="16"/>
      <c r="O29" s="24">
        <f t="shared" si="8"/>
        <v>0.77182215666649112</v>
      </c>
      <c r="P29" s="24">
        <f t="shared" si="9"/>
        <v>0.77775603136702287</v>
      </c>
      <c r="Q29" s="24">
        <f t="shared" si="10"/>
        <v>0.78772979073961158</v>
      </c>
      <c r="R29" s="24">
        <f t="shared" si="11"/>
        <v>0.79506800526492372</v>
      </c>
      <c r="S29" s="24">
        <f t="shared" si="12"/>
        <v>0.80736121554697016</v>
      </c>
      <c r="T29" s="24">
        <f t="shared" si="13"/>
        <v>0.81929157758597937</v>
      </c>
      <c r="U29" s="24">
        <f t="shared" si="14"/>
        <v>0.8252350573098477</v>
      </c>
      <c r="V29" s="24">
        <f t="shared" si="15"/>
        <v>0.84246226230150956</v>
      </c>
      <c r="W29" s="24">
        <f t="shared" si="16"/>
        <v>0.82646170596088298</v>
      </c>
      <c r="X29" s="24">
        <f t="shared" si="17"/>
        <v>0.84832488370877546</v>
      </c>
      <c r="Y29" s="24">
        <f t="shared" si="18"/>
        <v>0.918251552752262</v>
      </c>
      <c r="Z29" s="24">
        <f t="shared" si="19"/>
        <v>0.92564686005477359</v>
      </c>
    </row>
    <row r="30" spans="1:26">
      <c r="A30" s="21" t="s">
        <v>5232</v>
      </c>
      <c r="B30" s="23">
        <f t="shared" ref="B30:G30" si="20">SUM(B18:B29)</f>
        <v>1041700</v>
      </c>
      <c r="C30" s="23">
        <f t="shared" si="20"/>
        <v>1044799</v>
      </c>
      <c r="D30" s="23">
        <f t="shared" si="20"/>
        <v>1053802</v>
      </c>
      <c r="E30" s="23">
        <f t="shared" si="20"/>
        <v>1066451</v>
      </c>
      <c r="F30" s="23">
        <f t="shared" si="20"/>
        <v>1063020</v>
      </c>
      <c r="G30" s="23">
        <f t="shared" si="20"/>
        <v>1051353</v>
      </c>
      <c r="H30" s="23">
        <f t="shared" ref="H30:M30" si="21">SUM(H18:H29)</f>
        <v>1044636</v>
      </c>
      <c r="I30" s="23">
        <f t="shared" si="21"/>
        <v>1075882</v>
      </c>
      <c r="J30" s="23">
        <f t="shared" si="21"/>
        <v>1075033</v>
      </c>
      <c r="K30" s="23">
        <f t="shared" si="21"/>
        <v>1069765</v>
      </c>
      <c r="L30" s="23">
        <f t="shared" si="21"/>
        <v>1099608</v>
      </c>
      <c r="M30" s="23">
        <f t="shared" si="21"/>
        <v>1103622</v>
      </c>
      <c r="N30" s="16"/>
      <c r="O30" s="24">
        <f t="shared" si="8"/>
        <v>13.718853711215298</v>
      </c>
      <c r="P30" s="24">
        <f t="shared" si="9"/>
        <v>13.632376926188332</v>
      </c>
      <c r="Q30" s="24">
        <f t="shared" si="10"/>
        <v>13.671358700587694</v>
      </c>
      <c r="R30" s="24">
        <f t="shared" si="11"/>
        <v>13.761723488270059</v>
      </c>
      <c r="S30" s="24">
        <f t="shared" si="12"/>
        <v>13.781471205953276</v>
      </c>
      <c r="T30" s="24">
        <f t="shared" si="13"/>
        <v>13.874851532187822</v>
      </c>
      <c r="U30" s="24">
        <f t="shared" si="14"/>
        <v>13.971512257753883</v>
      </c>
      <c r="V30" s="24">
        <f t="shared" si="15"/>
        <v>14.061059922890937</v>
      </c>
      <c r="W30" s="24">
        <f t="shared" si="16"/>
        <v>13.933780928803806</v>
      </c>
      <c r="X30" s="24">
        <f t="shared" si="17"/>
        <v>13.978009198766529</v>
      </c>
      <c r="Y30" s="24">
        <f t="shared" si="18"/>
        <v>15.143404073650723</v>
      </c>
      <c r="Z30" s="24">
        <f t="shared" si="19"/>
        <v>15.037156132056191</v>
      </c>
    </row>
    <row r="31" spans="1:26">
      <c r="A31" s="21" t="s">
        <v>6748</v>
      </c>
      <c r="B31" s="23">
        <f>ESSEX!D4</f>
        <v>127017</v>
      </c>
      <c r="C31" s="23">
        <f>ESSEX!E4</f>
        <v>126250</v>
      </c>
      <c r="D31" s="23">
        <f>ESSEX!F4</f>
        <v>127389</v>
      </c>
      <c r="E31" s="23">
        <f>ESSEX!G4</f>
        <v>128702</v>
      </c>
      <c r="F31" s="23">
        <f>ESSEX!H4</f>
        <v>129615</v>
      </c>
      <c r="G31" s="23">
        <f>ESSEX!I4</f>
        <v>124293</v>
      </c>
      <c r="H31" s="23">
        <f>ESSEX!J4</f>
        <v>123050</v>
      </c>
      <c r="I31" s="23">
        <f>ESSEX!K4</f>
        <v>126228</v>
      </c>
      <c r="J31" s="23">
        <f>ESSEX!L4</f>
        <v>126938</v>
      </c>
      <c r="K31" s="23">
        <f>ESSEX!M4</f>
        <v>127009</v>
      </c>
      <c r="L31" s="23">
        <f>ESSEX!N4</f>
        <v>131212</v>
      </c>
      <c r="M31" s="23">
        <f>ESSEX!O4</f>
        <v>131691</v>
      </c>
      <c r="N31" s="16"/>
      <c r="O31" s="24">
        <f t="shared" si="8"/>
        <v>1.6727730074276985</v>
      </c>
      <c r="P31" s="24">
        <f t="shared" si="9"/>
        <v>1.6472906146840465</v>
      </c>
      <c r="Q31" s="24">
        <f t="shared" si="10"/>
        <v>1.6526640806424411</v>
      </c>
      <c r="R31" s="24">
        <f t="shared" si="11"/>
        <v>1.6607995457712854</v>
      </c>
      <c r="S31" s="24">
        <f t="shared" si="12"/>
        <v>1.6803873778100449</v>
      </c>
      <c r="T31" s="24">
        <f t="shared" si="13"/>
        <v>1.6403119803626574</v>
      </c>
      <c r="U31" s="24">
        <f t="shared" si="14"/>
        <v>1.6457355321055518</v>
      </c>
      <c r="V31" s="24">
        <f t="shared" si="15"/>
        <v>1.6497157420113704</v>
      </c>
      <c r="W31" s="24">
        <f t="shared" si="16"/>
        <v>1.6452762692312677</v>
      </c>
      <c r="X31" s="24">
        <f t="shared" si="17"/>
        <v>1.6595541734176553</v>
      </c>
      <c r="Y31" s="24">
        <f t="shared" si="18"/>
        <v>1.8070042554363543</v>
      </c>
      <c r="Z31" s="24">
        <f t="shared" si="19"/>
        <v>1.794326434401101</v>
      </c>
    </row>
    <row r="32" spans="1:26">
      <c r="A32" s="21" t="s">
        <v>6749</v>
      </c>
      <c r="B32" s="23">
        <f>ESSEX!D5</f>
        <v>109569</v>
      </c>
      <c r="C32" s="23">
        <f>ESSEX!E5</f>
        <v>109495</v>
      </c>
      <c r="D32" s="23">
        <f>ESSEX!F5</f>
        <v>109404</v>
      </c>
      <c r="E32" s="23">
        <f>ESSEX!G5</f>
        <v>108998</v>
      </c>
      <c r="F32" s="23">
        <f>ESSEX!H5</f>
        <v>108957</v>
      </c>
      <c r="G32" s="23">
        <f>ESSEX!I5</f>
        <v>107760</v>
      </c>
      <c r="H32" s="23">
        <f>ESSEX!J5</f>
        <v>106911</v>
      </c>
      <c r="I32" s="23">
        <f>ESSEX!K5</f>
        <v>109252</v>
      </c>
      <c r="J32" s="23">
        <f>ESSEX!L5</f>
        <v>110304</v>
      </c>
      <c r="K32" s="23">
        <f>ESSEX!M5</f>
        <v>110188</v>
      </c>
      <c r="L32" s="23">
        <f>ESSEX!N5</f>
        <v>110299</v>
      </c>
      <c r="M32" s="23">
        <f>ESSEX!O5</f>
        <v>113475</v>
      </c>
      <c r="N32" s="16"/>
      <c r="O32" s="24">
        <f t="shared" si="8"/>
        <v>1.4429884633619554</v>
      </c>
      <c r="P32" s="24">
        <f t="shared" si="9"/>
        <v>1.4286739473649874</v>
      </c>
      <c r="Q32" s="24">
        <f t="shared" si="10"/>
        <v>1.4193380988829931</v>
      </c>
      <c r="R32" s="24">
        <f t="shared" si="11"/>
        <v>1.4065346994606034</v>
      </c>
      <c r="S32" s="24">
        <f t="shared" si="12"/>
        <v>1.412567739258952</v>
      </c>
      <c r="T32" s="24">
        <f t="shared" si="13"/>
        <v>1.4221236835853988</v>
      </c>
      <c r="U32" s="24">
        <f t="shared" si="14"/>
        <v>1.4298840428519841</v>
      </c>
      <c r="V32" s="24">
        <f t="shared" si="15"/>
        <v>1.4278507482193035</v>
      </c>
      <c r="W32" s="24">
        <f t="shared" si="16"/>
        <v>1.4296786903944112</v>
      </c>
      <c r="X32" s="24">
        <f t="shared" si="17"/>
        <v>1.4397637589505043</v>
      </c>
      <c r="Y32" s="24">
        <f t="shared" si="18"/>
        <v>1.518997975569113</v>
      </c>
      <c r="Z32" s="24">
        <f t="shared" si="19"/>
        <v>1.5461283773656889</v>
      </c>
    </row>
    <row r="33" spans="1:26">
      <c r="A33" s="25" t="s">
        <v>6750</v>
      </c>
      <c r="B33" s="23">
        <f t="shared" ref="B33:G33" si="22">SUM(B30:B32)</f>
        <v>1278286</v>
      </c>
      <c r="C33" s="23">
        <f t="shared" si="22"/>
        <v>1280544</v>
      </c>
      <c r="D33" s="23">
        <f t="shared" si="22"/>
        <v>1290595</v>
      </c>
      <c r="E33" s="23">
        <f t="shared" si="22"/>
        <v>1304151</v>
      </c>
      <c r="F33" s="23">
        <f t="shared" si="22"/>
        <v>1301592</v>
      </c>
      <c r="G33" s="23">
        <f t="shared" si="22"/>
        <v>1283406</v>
      </c>
      <c r="H33" s="23">
        <f t="shared" ref="H33:M33" si="23">SUM(H30:H32)</f>
        <v>1274597</v>
      </c>
      <c r="I33" s="23">
        <f t="shared" si="23"/>
        <v>1311362</v>
      </c>
      <c r="J33" s="23">
        <f t="shared" si="23"/>
        <v>1312275</v>
      </c>
      <c r="K33" s="23">
        <f t="shared" si="23"/>
        <v>1306962</v>
      </c>
      <c r="L33" s="23">
        <f t="shared" si="23"/>
        <v>1341119</v>
      </c>
      <c r="M33" s="23">
        <f t="shared" si="23"/>
        <v>1348788</v>
      </c>
      <c r="N33" s="16"/>
      <c r="O33" s="24">
        <f t="shared" si="8"/>
        <v>16.834615182004953</v>
      </c>
      <c r="P33" s="24">
        <f t="shared" si="9"/>
        <v>16.708341488237366</v>
      </c>
      <c r="Q33" s="24">
        <f t="shared" si="10"/>
        <v>16.743360880113126</v>
      </c>
      <c r="R33" s="24">
        <f t="shared" si="11"/>
        <v>16.829057733501948</v>
      </c>
      <c r="S33" s="24">
        <f t="shared" si="12"/>
        <v>16.874426323022274</v>
      </c>
      <c r="T33" s="24">
        <f t="shared" si="13"/>
        <v>16.937287196135877</v>
      </c>
      <c r="U33" s="24">
        <f t="shared" si="14"/>
        <v>17.047131832711418</v>
      </c>
      <c r="V33" s="24">
        <f t="shared" si="15"/>
        <v>17.13862641312161</v>
      </c>
      <c r="W33" s="24">
        <f t="shared" si="16"/>
        <v>17.008735888429484</v>
      </c>
      <c r="X33" s="24">
        <f t="shared" si="17"/>
        <v>17.077327131134687</v>
      </c>
      <c r="Y33" s="24">
        <f t="shared" si="18"/>
        <v>18.469406304656189</v>
      </c>
      <c r="Z33" s="24">
        <f t="shared" si="19"/>
        <v>18.37761094382298</v>
      </c>
    </row>
    <row r="34" spans="1:26">
      <c r="A34" s="16"/>
      <c r="B34" s="16"/>
      <c r="C34" s="16"/>
      <c r="D34" s="16"/>
      <c r="E34" s="16"/>
      <c r="F34" s="16"/>
      <c r="G34" s="16"/>
      <c r="H34" s="16"/>
      <c r="I34" s="16"/>
      <c r="J34" s="16"/>
      <c r="K34" s="16"/>
      <c r="L34" s="16"/>
      <c r="M34" s="16"/>
      <c r="N34" s="16"/>
      <c r="W34" s="24"/>
      <c r="X34" s="24"/>
      <c r="Y34" s="24"/>
      <c r="Z34" s="24"/>
    </row>
    <row r="35" spans="1:26">
      <c r="A35" s="21" t="s">
        <v>1000</v>
      </c>
      <c r="B35" s="23">
        <f>HERTFORDSHIRE!D5</f>
        <v>66975</v>
      </c>
      <c r="C35" s="23">
        <f>HERTFORDSHIRE!E5</f>
        <v>67608</v>
      </c>
      <c r="D35" s="23">
        <f>HERTFORDSHIRE!F5</f>
        <v>67824</v>
      </c>
      <c r="E35" s="23">
        <f>HERTFORDSHIRE!G5</f>
        <v>68539</v>
      </c>
      <c r="F35" s="23">
        <f>HERTFORDSHIRE!H5</f>
        <v>69142</v>
      </c>
      <c r="G35" s="23">
        <f>HERTFORDSHIRE!I5</f>
        <v>67663</v>
      </c>
      <c r="H35" s="23">
        <f>HERTFORDSHIRE!J5</f>
        <v>66150</v>
      </c>
      <c r="I35" s="23">
        <f>HERTFORDSHIRE!K5</f>
        <v>68001</v>
      </c>
      <c r="J35" s="23">
        <f>HERTFORDSHIRE!L5</f>
        <v>68055</v>
      </c>
      <c r="K35" s="23">
        <f>HERTFORDSHIRE!M5</f>
        <v>67572</v>
      </c>
      <c r="L35" s="23">
        <f>HERTFORDSHIRE!N5</f>
        <v>67897</v>
      </c>
      <c r="M35" s="23">
        <f>HERTFORDSHIRE!O5</f>
        <v>68645</v>
      </c>
      <c r="N35" s="16"/>
      <c r="O35" s="24">
        <f t="shared" ref="O35:O45" si="24">B35/B$451</f>
        <v>0.88203919296212396</v>
      </c>
      <c r="P35" s="24">
        <f t="shared" ref="P35:P45" si="25">C35/C$451</f>
        <v>0.88213880299056646</v>
      </c>
      <c r="Q35" s="24">
        <f t="shared" ref="Q35:Q45" si="26">D35/D$451</f>
        <v>0.87990555389784775</v>
      </c>
      <c r="R35" s="24">
        <f t="shared" ref="R35:R45" si="27">E35/E$451</f>
        <v>0.88444266652902159</v>
      </c>
      <c r="S35" s="24">
        <f t="shared" ref="S35:S45" si="28">F35/F$451</f>
        <v>0.89638810381932743</v>
      </c>
      <c r="T35" s="24">
        <f t="shared" ref="T35:T45" si="29">G35/G$451</f>
        <v>0.89295800670414649</v>
      </c>
      <c r="U35" s="24">
        <f t="shared" ref="U35:U45" si="30">H35/H$451</f>
        <v>0.8847249528547928</v>
      </c>
      <c r="V35" s="24">
        <f t="shared" ref="V35:V45" si="31">I35/I$451</f>
        <v>0.888727700450892</v>
      </c>
      <c r="W35" s="24">
        <f t="shared" ref="W35:W45" si="32">J35/J$451</f>
        <v>0.8820784674607598</v>
      </c>
      <c r="X35" s="24">
        <f t="shared" ref="X35:X45" si="33">K35/K$451</f>
        <v>0.88292478963048138</v>
      </c>
      <c r="Y35" s="24">
        <f t="shared" ref="Y35:Y45" si="34">L35/L$451</f>
        <v>0.93505295195075266</v>
      </c>
      <c r="Z35" s="24">
        <f t="shared" ref="Z35:Z45" si="35">M35/M$451</f>
        <v>0.93530718188383088</v>
      </c>
    </row>
    <row r="36" spans="1:26">
      <c r="A36" s="21" t="s">
        <v>1001</v>
      </c>
      <c r="B36" s="23">
        <f>HERTFORDSHIRE!D6</f>
        <v>106996</v>
      </c>
      <c r="C36" s="23">
        <f>HERTFORDSHIRE!E6</f>
        <v>106844</v>
      </c>
      <c r="D36" s="23">
        <f>HERTFORDSHIRE!F6</f>
        <v>107754</v>
      </c>
      <c r="E36" s="23">
        <f>HERTFORDSHIRE!G6</f>
        <v>108351</v>
      </c>
      <c r="F36" s="23">
        <f>HERTFORDSHIRE!H6</f>
        <v>109027</v>
      </c>
      <c r="G36" s="23">
        <f>HERTFORDSHIRE!I6</f>
        <v>106474</v>
      </c>
      <c r="H36" s="23">
        <f>HERTFORDSHIRE!J6</f>
        <v>104252</v>
      </c>
      <c r="I36" s="23">
        <f>HERTFORDSHIRE!K6</f>
        <v>107820</v>
      </c>
      <c r="J36" s="23">
        <f>HERTFORDSHIRE!L6</f>
        <v>108869</v>
      </c>
      <c r="K36" s="23">
        <f>HERTFORDSHIRE!M6</f>
        <v>107241</v>
      </c>
      <c r="L36" s="23">
        <f>HERTFORDSHIRE!N6</f>
        <v>108859</v>
      </c>
      <c r="M36" s="23">
        <f>HERTFORDSHIRE!O6</f>
        <v>110047</v>
      </c>
      <c r="N36" s="16"/>
      <c r="O36" s="24">
        <f t="shared" si="24"/>
        <v>1.4091028815255755</v>
      </c>
      <c r="P36" s="24">
        <f t="shared" si="25"/>
        <v>1.3940841064182357</v>
      </c>
      <c r="Q36" s="24">
        <f t="shared" si="26"/>
        <v>1.3979320455105668</v>
      </c>
      <c r="R36" s="24">
        <f t="shared" si="27"/>
        <v>1.3981856659870442</v>
      </c>
      <c r="S36" s="24">
        <f t="shared" si="28"/>
        <v>1.413475250862136</v>
      </c>
      <c r="T36" s="24">
        <f t="shared" si="29"/>
        <v>1.4051521630110593</v>
      </c>
      <c r="U36" s="24">
        <f t="shared" si="30"/>
        <v>1.3943211758884029</v>
      </c>
      <c r="V36" s="24">
        <f t="shared" si="31"/>
        <v>1.4091354636345814</v>
      </c>
      <c r="W36" s="24">
        <f t="shared" si="32"/>
        <v>1.4110792840200641</v>
      </c>
      <c r="X36" s="24">
        <f t="shared" si="33"/>
        <v>1.4012569905399048</v>
      </c>
      <c r="Y36" s="24">
        <f t="shared" si="34"/>
        <v>1.4991668158594191</v>
      </c>
      <c r="Z36" s="24">
        <f t="shared" si="35"/>
        <v>1.4994209257013611</v>
      </c>
    </row>
    <row r="37" spans="1:26">
      <c r="A37" s="21" t="s">
        <v>945</v>
      </c>
      <c r="B37" s="23">
        <f>HERTFORDSHIRE!D7</f>
        <v>101416</v>
      </c>
      <c r="C37" s="23">
        <f>HERTFORDSHIRE!E7</f>
        <v>102932</v>
      </c>
      <c r="D37" s="23">
        <f>HERTFORDSHIRE!F7</f>
        <v>101872</v>
      </c>
      <c r="E37" s="23">
        <f>HERTFORDSHIRE!G7</f>
        <v>103019</v>
      </c>
      <c r="F37" s="23">
        <f>HERTFORDSHIRE!H7</f>
        <v>100180</v>
      </c>
      <c r="G37" s="23">
        <f>HERTFORDSHIRE!I7</f>
        <v>100388</v>
      </c>
      <c r="H37" s="23">
        <f>HERTFORDSHIRE!J7</f>
        <v>101155</v>
      </c>
      <c r="I37" s="23">
        <f>HERTFORDSHIRE!K7</f>
        <v>106579</v>
      </c>
      <c r="J37" s="23">
        <f>HERTFORDSHIRE!L7</f>
        <v>106632</v>
      </c>
      <c r="K37" s="23">
        <f>HERTFORDSHIRE!M7</f>
        <v>105503</v>
      </c>
      <c r="L37" s="23">
        <f>HERTFORDSHIRE!N7</f>
        <v>106750</v>
      </c>
      <c r="M37" s="23">
        <f>HERTFORDSHIRE!O7</f>
        <v>109008</v>
      </c>
      <c r="N37" s="16"/>
      <c r="O37" s="24">
        <f t="shared" si="24"/>
        <v>1.3356160775430648</v>
      </c>
      <c r="P37" s="24">
        <f t="shared" si="25"/>
        <v>1.343040931094323</v>
      </c>
      <c r="Q37" s="24">
        <f t="shared" si="26"/>
        <v>1.3216227085792867</v>
      </c>
      <c r="R37" s="24">
        <f t="shared" si="27"/>
        <v>1.3293803391230288</v>
      </c>
      <c r="S37" s="24">
        <f t="shared" si="28"/>
        <v>1.2987787486711437</v>
      </c>
      <c r="T37" s="24">
        <f t="shared" si="29"/>
        <v>1.3248343759073034</v>
      </c>
      <c r="U37" s="24">
        <f t="shared" si="30"/>
        <v>1.3529002661530849</v>
      </c>
      <c r="V37" s="24">
        <f t="shared" si="31"/>
        <v>1.3929164216166765</v>
      </c>
      <c r="W37" s="24">
        <f t="shared" si="32"/>
        <v>1.3820849480901585</v>
      </c>
      <c r="X37" s="24">
        <f t="shared" si="33"/>
        <v>1.3785475356713532</v>
      </c>
      <c r="Y37" s="24">
        <f t="shared" si="34"/>
        <v>1.4701224298679301</v>
      </c>
      <c r="Z37" s="24">
        <f t="shared" si="35"/>
        <v>1.4852642622593435</v>
      </c>
    </row>
    <row r="38" spans="1:26">
      <c r="A38" s="21" t="s">
        <v>946</v>
      </c>
      <c r="B38" s="23">
        <f>HERTFORDSHIRE!D8</f>
        <v>69438</v>
      </c>
      <c r="C38" s="23">
        <f>HERTFORDSHIRE!E8</f>
        <v>70772</v>
      </c>
      <c r="D38" s="23">
        <f>HERTFORDSHIRE!F8</f>
        <v>71090</v>
      </c>
      <c r="E38" s="23">
        <f>HERTFORDSHIRE!G8</f>
        <v>73045</v>
      </c>
      <c r="F38" s="23">
        <f>HERTFORDSHIRE!H8</f>
        <v>75100</v>
      </c>
      <c r="G38" s="23">
        <f>HERTFORDSHIRE!I8</f>
        <v>72528</v>
      </c>
      <c r="H38" s="23">
        <f>HERTFORDSHIRE!J8</f>
        <v>69825</v>
      </c>
      <c r="I38" s="23">
        <f>HERTFORDSHIRE!K8</f>
        <v>71816</v>
      </c>
      <c r="J38" s="23">
        <f>HERTFORDSHIRE!L8</f>
        <v>72251</v>
      </c>
      <c r="K38" s="23">
        <f>HERTFORDSHIRE!M8</f>
        <v>71293</v>
      </c>
      <c r="L38" s="23">
        <f>HERTFORDSHIRE!N8</f>
        <v>72094</v>
      </c>
      <c r="M38" s="23">
        <f>HERTFORDSHIRE!O8</f>
        <v>74114</v>
      </c>
      <c r="N38" s="16"/>
      <c r="O38" s="24">
        <f t="shared" si="24"/>
        <v>0.91447611020386665</v>
      </c>
      <c r="P38" s="24">
        <f t="shared" si="25"/>
        <v>0.92342218916767782</v>
      </c>
      <c r="Q38" s="24">
        <f t="shared" si="26"/>
        <v>0.92227656620957177</v>
      </c>
      <c r="R38" s="24">
        <f t="shared" si="27"/>
        <v>0.94258910367254234</v>
      </c>
      <c r="S38" s="24">
        <f t="shared" si="28"/>
        <v>0.97363030570176579</v>
      </c>
      <c r="T38" s="24">
        <f t="shared" si="29"/>
        <v>0.95716208725948215</v>
      </c>
      <c r="U38" s="24">
        <f t="shared" si="30"/>
        <v>0.93387633912450352</v>
      </c>
      <c r="V38" s="24">
        <f t="shared" si="31"/>
        <v>0.9385872051231785</v>
      </c>
      <c r="W38" s="24">
        <f t="shared" si="32"/>
        <v>0.93646390937487844</v>
      </c>
      <c r="X38" s="24">
        <f t="shared" si="33"/>
        <v>0.93154497465112629</v>
      </c>
      <c r="Y38" s="24">
        <f t="shared" si="34"/>
        <v>0.99285251952129783</v>
      </c>
      <c r="Z38" s="24">
        <f t="shared" si="35"/>
        <v>1.0098238251604377</v>
      </c>
    </row>
    <row r="39" spans="1:26">
      <c r="A39" s="21" t="s">
        <v>16090</v>
      </c>
      <c r="B39" s="23">
        <f>HERTFORDSHIRE!D9</f>
        <v>95970</v>
      </c>
      <c r="C39" s="23">
        <f>HERTFORDSHIRE!E9</f>
        <v>96462</v>
      </c>
      <c r="D39" s="23">
        <f>HERTFORDSHIRE!F9</f>
        <v>96772</v>
      </c>
      <c r="E39" s="23">
        <f>HERTFORDSHIRE!G9</f>
        <v>96740</v>
      </c>
      <c r="F39" s="23">
        <f>HERTFORDSHIRE!H9</f>
        <v>97721</v>
      </c>
      <c r="G39" s="23">
        <f>HERTFORDSHIRE!I9</f>
        <v>96628</v>
      </c>
      <c r="H39" s="23">
        <f>HERTFORDSHIRE!J9</f>
        <v>95635</v>
      </c>
      <c r="I39" s="23">
        <f>HERTFORDSHIRE!K9</f>
        <v>97253</v>
      </c>
      <c r="J39" s="23">
        <f>HERTFORDSHIRE!L9</f>
        <v>97645</v>
      </c>
      <c r="K39" s="23">
        <f>HERTFORDSHIRE!M9</f>
        <v>96180</v>
      </c>
      <c r="L39" s="23">
        <f>HERTFORDSHIRE!N9</f>
        <v>99559</v>
      </c>
      <c r="M39" s="23">
        <f>HERTFORDSHIRE!O9</f>
        <v>98802</v>
      </c>
      <c r="N39" s="16"/>
      <c r="O39" s="24">
        <f t="shared" si="24"/>
        <v>1.2638940104303851</v>
      </c>
      <c r="P39" s="24">
        <f t="shared" si="25"/>
        <v>1.258621364543782</v>
      </c>
      <c r="Q39" s="24">
        <f t="shared" si="26"/>
        <v>1.2554585436099688</v>
      </c>
      <c r="R39" s="24">
        <f t="shared" si="27"/>
        <v>1.2483547113324902</v>
      </c>
      <c r="S39" s="24">
        <f t="shared" si="28"/>
        <v>1.2668991624964347</v>
      </c>
      <c r="T39" s="24">
        <f t="shared" si="29"/>
        <v>1.2752131337925938</v>
      </c>
      <c r="U39" s="24">
        <f t="shared" si="30"/>
        <v>1.279072877796948</v>
      </c>
      <c r="V39" s="24">
        <f t="shared" si="31"/>
        <v>1.2710318238253937</v>
      </c>
      <c r="W39" s="24">
        <f t="shared" si="32"/>
        <v>1.2656021152774357</v>
      </c>
      <c r="X39" s="24">
        <f t="shared" si="33"/>
        <v>1.2567292113103015</v>
      </c>
      <c r="Y39" s="24">
        <f t="shared" si="34"/>
        <v>1.3710905760676464</v>
      </c>
      <c r="Z39" s="24">
        <f t="shared" si="35"/>
        <v>1.346204678920333</v>
      </c>
    </row>
    <row r="40" spans="1:26">
      <c r="A40" s="21" t="s">
        <v>947</v>
      </c>
      <c r="B40" s="23">
        <f>HERTFORDSHIRE!D10</f>
        <v>101579</v>
      </c>
      <c r="C40" s="23">
        <f>HERTFORDSHIRE!E10</f>
        <v>102152</v>
      </c>
      <c r="D40" s="23">
        <f>HERTFORDSHIRE!F10</f>
        <v>102727</v>
      </c>
      <c r="E40" s="23">
        <f>HERTFORDSHIRE!G10</f>
        <v>103311</v>
      </c>
      <c r="F40" s="23">
        <f>HERTFORDSHIRE!H10</f>
        <v>103840</v>
      </c>
      <c r="G40" s="23">
        <f>HERTFORDSHIRE!I10</f>
        <v>103176</v>
      </c>
      <c r="H40" s="23">
        <f>HERTFORDSHIRE!J10</f>
        <v>101652</v>
      </c>
      <c r="I40" s="23">
        <f>HERTFORDSHIRE!K10</f>
        <v>104112</v>
      </c>
      <c r="J40" s="23">
        <f>HERTFORDSHIRE!L10</f>
        <v>104118</v>
      </c>
      <c r="K40" s="23">
        <f>HERTFORDSHIRE!M10</f>
        <v>103039</v>
      </c>
      <c r="L40" s="23">
        <f>HERTFORDSHIRE!N10</f>
        <v>106307</v>
      </c>
      <c r="M40" s="23">
        <f>HERTFORDSHIRE!O10</f>
        <v>107017</v>
      </c>
      <c r="N40" s="16"/>
      <c r="O40" s="24">
        <f t="shared" si="24"/>
        <v>1.3377627350787547</v>
      </c>
      <c r="P40" s="24">
        <f t="shared" si="25"/>
        <v>1.3328636108610274</v>
      </c>
      <c r="Q40" s="24">
        <f t="shared" si="26"/>
        <v>1.3327149362359076</v>
      </c>
      <c r="R40" s="24">
        <f t="shared" si="27"/>
        <v>1.3331483727772473</v>
      </c>
      <c r="S40" s="24">
        <f t="shared" si="28"/>
        <v>1.3462286410661966</v>
      </c>
      <c r="T40" s="24">
        <f t="shared" si="29"/>
        <v>1.3616279990498059</v>
      </c>
      <c r="U40" s="24">
        <f t="shared" si="30"/>
        <v>1.3595474060105124</v>
      </c>
      <c r="V40" s="24">
        <f t="shared" si="31"/>
        <v>1.360674377573025</v>
      </c>
      <c r="W40" s="24">
        <f t="shared" si="32"/>
        <v>1.3495003434733581</v>
      </c>
      <c r="X40" s="24">
        <f t="shared" si="33"/>
        <v>1.3463518528197356</v>
      </c>
      <c r="Y40" s="24">
        <f t="shared" si="34"/>
        <v>1.4640215939294616</v>
      </c>
      <c r="Z40" s="24">
        <f t="shared" si="35"/>
        <v>1.458136334527816</v>
      </c>
    </row>
    <row r="41" spans="1:26">
      <c r="A41" s="21" t="s">
        <v>16091</v>
      </c>
      <c r="B41" s="23">
        <f>HERTFORDSHIRE!D11</f>
        <v>59801</v>
      </c>
      <c r="C41" s="23">
        <f>HERTFORDSHIRE!E11</f>
        <v>61203</v>
      </c>
      <c r="D41" s="23">
        <f>HERTFORDSHIRE!F11</f>
        <v>61966</v>
      </c>
      <c r="E41" s="23">
        <f>HERTFORDSHIRE!G11</f>
        <v>62835</v>
      </c>
      <c r="F41" s="23">
        <f>HERTFORDSHIRE!H11</f>
        <v>62262</v>
      </c>
      <c r="G41" s="23">
        <f>HERTFORDSHIRE!I11</f>
        <v>61680</v>
      </c>
      <c r="H41" s="23">
        <f>HERTFORDSHIRE!J11</f>
        <v>59620</v>
      </c>
      <c r="I41" s="23">
        <f>HERTFORDSHIRE!K11</f>
        <v>61384</v>
      </c>
      <c r="J41" s="23">
        <f>HERTFORDSHIRE!L11</f>
        <v>61566</v>
      </c>
      <c r="K41" s="23">
        <f>HERTFORDSHIRE!M11</f>
        <v>60898</v>
      </c>
      <c r="L41" s="23">
        <f>HERTFORDSHIRE!N11</f>
        <v>62266</v>
      </c>
      <c r="M41" s="23">
        <f>HERTFORDSHIRE!O11</f>
        <v>62071</v>
      </c>
      <c r="N41" s="16"/>
      <c r="O41" s="24">
        <f t="shared" si="24"/>
        <v>0.7875599220355054</v>
      </c>
      <c r="P41" s="24">
        <f t="shared" si="25"/>
        <v>0.79856734645946692</v>
      </c>
      <c r="Q41" s="24">
        <f t="shared" si="26"/>
        <v>0.80390757774289379</v>
      </c>
      <c r="R41" s="24">
        <f t="shared" si="27"/>
        <v>0.81083696802333083</v>
      </c>
      <c r="S41" s="24">
        <f t="shared" si="28"/>
        <v>0.80719267767780745</v>
      </c>
      <c r="T41" s="24">
        <f t="shared" si="29"/>
        <v>0.81399952490300098</v>
      </c>
      <c r="U41" s="24">
        <f t="shared" si="30"/>
        <v>0.79738929235378297</v>
      </c>
      <c r="V41" s="24">
        <f t="shared" si="31"/>
        <v>0.80224792524341637</v>
      </c>
      <c r="W41" s="24">
        <f t="shared" si="32"/>
        <v>0.79797285912407812</v>
      </c>
      <c r="X41" s="24">
        <f t="shared" si="33"/>
        <v>0.7957194376208645</v>
      </c>
      <c r="Y41" s="24">
        <f t="shared" si="34"/>
        <v>0.85750485450263725</v>
      </c>
      <c r="Z41" s="24">
        <f t="shared" si="35"/>
        <v>0.84573460684261437</v>
      </c>
    </row>
    <row r="42" spans="1:26">
      <c r="A42" s="21" t="s">
        <v>948</v>
      </c>
      <c r="B42" s="23">
        <f>HERTFORDSHIRE!D12</f>
        <v>64499</v>
      </c>
      <c r="C42" s="23">
        <f>HERTFORDSHIRE!E12</f>
        <v>64926</v>
      </c>
      <c r="D42" s="23">
        <f>HERTFORDSHIRE!F12</f>
        <v>65668</v>
      </c>
      <c r="E42" s="23">
        <f>HERTFORDSHIRE!G12</f>
        <v>66415</v>
      </c>
      <c r="F42" s="23">
        <f>HERTFORDSHIRE!H12</f>
        <v>66463</v>
      </c>
      <c r="G42" s="23">
        <f>HERTFORDSHIRE!I12</f>
        <v>65252</v>
      </c>
      <c r="H42" s="23">
        <f>HERTFORDSHIRE!J12</f>
        <v>66161</v>
      </c>
      <c r="I42" s="23">
        <f>HERTFORDSHIRE!K12</f>
        <v>66556</v>
      </c>
      <c r="J42" s="23">
        <f>HERTFORDSHIRE!L12</f>
        <v>66644</v>
      </c>
      <c r="K42" s="23">
        <f>HERTFORDSHIRE!M12</f>
        <v>65809</v>
      </c>
      <c r="L42" s="23">
        <f>HERTFORDSHIRE!N12</f>
        <v>66741</v>
      </c>
      <c r="M42" s="23">
        <f>HERTFORDSHIRE!O12</f>
        <v>67500</v>
      </c>
      <c r="N42" s="16"/>
      <c r="O42" s="24">
        <f t="shared" si="24"/>
        <v>0.84943106990465156</v>
      </c>
      <c r="P42" s="24">
        <f t="shared" si="25"/>
        <v>0.84714447880377342</v>
      </c>
      <c r="Q42" s="24">
        <f t="shared" si="26"/>
        <v>0.8519349774912105</v>
      </c>
      <c r="R42" s="24">
        <f t="shared" si="27"/>
        <v>0.85703409296203581</v>
      </c>
      <c r="S42" s="24">
        <f t="shared" si="28"/>
        <v>0.86165633832032562</v>
      </c>
      <c r="T42" s="24">
        <f t="shared" si="29"/>
        <v>0.86113970491197511</v>
      </c>
      <c r="U42" s="24">
        <f t="shared" si="30"/>
        <v>0.88487207265043</v>
      </c>
      <c r="V42" s="24">
        <f t="shared" si="31"/>
        <v>0.86984251453963279</v>
      </c>
      <c r="W42" s="24">
        <f t="shared" si="32"/>
        <v>0.86379013129755167</v>
      </c>
      <c r="X42" s="24">
        <f t="shared" si="33"/>
        <v>0.85988867401871116</v>
      </c>
      <c r="Y42" s="24">
        <f t="shared" si="34"/>
        <v>0.91913293762824844</v>
      </c>
      <c r="Z42" s="24">
        <f t="shared" si="35"/>
        <v>0.9197062390146199</v>
      </c>
    </row>
    <row r="43" spans="1:26">
      <c r="A43" s="21" t="s">
        <v>949</v>
      </c>
      <c r="B43" s="23">
        <f>HERTFORDSHIRE!D13</f>
        <v>62277</v>
      </c>
      <c r="C43" s="23">
        <f>HERTFORDSHIRE!E13</f>
        <v>63007</v>
      </c>
      <c r="D43" s="23">
        <f>HERTFORDSHIRE!F13</f>
        <v>64042</v>
      </c>
      <c r="E43" s="23">
        <f>HERTFORDSHIRE!G13</f>
        <v>64822</v>
      </c>
      <c r="F43" s="23">
        <f>HERTFORDSHIRE!H13</f>
        <v>65767</v>
      </c>
      <c r="G43" s="23">
        <f>HERTFORDSHIRE!I13</f>
        <v>63950</v>
      </c>
      <c r="H43" s="23">
        <f>HERTFORDSHIRE!J13</f>
        <v>63484</v>
      </c>
      <c r="I43" s="23">
        <f>HERTFORDSHIRE!K13</f>
        <v>63683</v>
      </c>
      <c r="J43" s="23">
        <f>HERTFORDSHIRE!L13</f>
        <v>63574</v>
      </c>
      <c r="K43" s="23">
        <f>HERTFORDSHIRE!M13</f>
        <v>63011</v>
      </c>
      <c r="L43" s="23">
        <f>HERTFORDSHIRE!N13</f>
        <v>64879</v>
      </c>
      <c r="M43" s="23">
        <f>HERTFORDSHIRE!O13</f>
        <v>64964</v>
      </c>
      <c r="N43" s="16"/>
      <c r="O43" s="24">
        <f t="shared" si="24"/>
        <v>0.82016804509297792</v>
      </c>
      <c r="P43" s="24">
        <f t="shared" si="25"/>
        <v>0.82210566146057595</v>
      </c>
      <c r="Q43" s="24">
        <f t="shared" si="26"/>
        <v>0.8308402848951103</v>
      </c>
      <c r="R43" s="24">
        <f t="shared" si="27"/>
        <v>0.83647766278679636</v>
      </c>
      <c r="S43" s="24">
        <f t="shared" si="28"/>
        <v>0.85263308009438121</v>
      </c>
      <c r="T43" s="24">
        <f t="shared" si="29"/>
        <v>0.84395703011587087</v>
      </c>
      <c r="U43" s="24">
        <f t="shared" si="30"/>
        <v>0.8490684642030788</v>
      </c>
      <c r="V43" s="24">
        <f t="shared" si="31"/>
        <v>0.83229432137489379</v>
      </c>
      <c r="W43" s="24">
        <f t="shared" si="32"/>
        <v>0.82399906678936663</v>
      </c>
      <c r="X43" s="24">
        <f t="shared" si="33"/>
        <v>0.82332880363769401</v>
      </c>
      <c r="Y43" s="24">
        <f t="shared" si="34"/>
        <v>0.89349014639251922</v>
      </c>
      <c r="Z43" s="24">
        <f t="shared" si="35"/>
        <v>0.88515253498290025</v>
      </c>
    </row>
    <row r="44" spans="1:26">
      <c r="A44" s="21" t="s">
        <v>950</v>
      </c>
      <c r="B44" s="23">
        <f>HERTFORDSHIRE!D14</f>
        <v>75980</v>
      </c>
      <c r="C44" s="23">
        <f>HERTFORDSHIRE!E14</f>
        <v>76030</v>
      </c>
      <c r="D44" s="23">
        <f>HERTFORDSHIRE!F14</f>
        <v>77317</v>
      </c>
      <c r="E44" s="23">
        <f>HERTFORDSHIRE!G14</f>
        <v>78108</v>
      </c>
      <c r="F44" s="23">
        <f>HERTFORDSHIRE!H14</f>
        <v>78269</v>
      </c>
      <c r="G44" s="23">
        <f>HERTFORDSHIRE!I14</f>
        <v>75463</v>
      </c>
      <c r="H44" s="23">
        <f>HERTFORDSHIRE!J14</f>
        <v>73296</v>
      </c>
      <c r="I44" s="23">
        <f>HERTFORDSHIRE!K14</f>
        <v>75807</v>
      </c>
      <c r="J44" s="23">
        <f>HERTFORDSHIRE!L14</f>
        <v>76108</v>
      </c>
      <c r="K44" s="23">
        <f>HERTFORDSHIRE!M14</f>
        <v>75368</v>
      </c>
      <c r="L44" s="23">
        <f>HERTFORDSHIRE!N14</f>
        <v>75459</v>
      </c>
      <c r="M44" s="23">
        <f>HERTFORDSHIRE!O14</f>
        <v>79289</v>
      </c>
      <c r="N44" s="16"/>
      <c r="O44" s="24">
        <f t="shared" si="24"/>
        <v>1.0006321445503872</v>
      </c>
      <c r="P44" s="24">
        <f t="shared" si="25"/>
        <v>0.99202776581725183</v>
      </c>
      <c r="Q44" s="24">
        <f t="shared" si="26"/>
        <v>1.0030617143005409</v>
      </c>
      <c r="R44" s="24">
        <f t="shared" si="27"/>
        <v>1.0079231940537332</v>
      </c>
      <c r="S44" s="24">
        <f t="shared" si="28"/>
        <v>1.0147146524230559</v>
      </c>
      <c r="T44" s="24">
        <f t="shared" si="29"/>
        <v>0.9958956898144482</v>
      </c>
      <c r="U44" s="24">
        <f t="shared" si="30"/>
        <v>0.98029932191148739</v>
      </c>
      <c r="V44" s="24">
        <f t="shared" si="31"/>
        <v>0.99074691237012347</v>
      </c>
      <c r="W44" s="24">
        <f t="shared" si="32"/>
        <v>0.9864554845566601</v>
      </c>
      <c r="X44" s="24">
        <f t="shared" si="33"/>
        <v>0.98479067579574553</v>
      </c>
      <c r="Y44" s="24">
        <f t="shared" si="34"/>
        <v>1.0391940837040199</v>
      </c>
      <c r="Z44" s="24">
        <f t="shared" si="35"/>
        <v>1.0803346368182252</v>
      </c>
    </row>
    <row r="45" spans="1:26">
      <c r="A45" s="21" t="s">
        <v>951</v>
      </c>
      <c r="B45" s="23">
        <f t="shared" ref="B45:G45" si="36">SUM(B35:B44)</f>
        <v>804931</v>
      </c>
      <c r="C45" s="23">
        <f t="shared" si="36"/>
        <v>811936</v>
      </c>
      <c r="D45" s="23">
        <f t="shared" si="36"/>
        <v>817032</v>
      </c>
      <c r="E45" s="23">
        <f t="shared" si="36"/>
        <v>825185</v>
      </c>
      <c r="F45" s="23">
        <f t="shared" si="36"/>
        <v>827771</v>
      </c>
      <c r="G45" s="23">
        <f t="shared" si="36"/>
        <v>813202</v>
      </c>
      <c r="H45" s="23">
        <f t="shared" ref="H45:M45" si="37">SUM(H35:H44)</f>
        <v>801230</v>
      </c>
      <c r="I45" s="23">
        <f t="shared" si="37"/>
        <v>823011</v>
      </c>
      <c r="J45" s="23">
        <f t="shared" si="37"/>
        <v>825462</v>
      </c>
      <c r="K45" s="23">
        <f t="shared" si="37"/>
        <v>815914</v>
      </c>
      <c r="L45" s="23">
        <f t="shared" si="37"/>
        <v>830811</v>
      </c>
      <c r="M45" s="23">
        <f t="shared" si="37"/>
        <v>841457</v>
      </c>
      <c r="N45" s="16"/>
      <c r="O45" s="24">
        <f t="shared" si="24"/>
        <v>10.600682189327292</v>
      </c>
      <c r="P45" s="24">
        <f t="shared" si="25"/>
        <v>10.59401625761668</v>
      </c>
      <c r="Q45" s="24">
        <f t="shared" si="26"/>
        <v>10.599654908472905</v>
      </c>
      <c r="R45" s="24">
        <f t="shared" si="27"/>
        <v>10.648372777247271</v>
      </c>
      <c r="S45" s="24">
        <f t="shared" si="28"/>
        <v>10.731596961132574</v>
      </c>
      <c r="T45" s="24">
        <f t="shared" si="29"/>
        <v>10.731939715469686</v>
      </c>
      <c r="U45" s="24">
        <f t="shared" si="30"/>
        <v>10.716072168947024</v>
      </c>
      <c r="V45" s="24">
        <f t="shared" si="31"/>
        <v>10.756204665751813</v>
      </c>
      <c r="W45" s="24">
        <f t="shared" si="32"/>
        <v>10.699026609464312</v>
      </c>
      <c r="X45" s="24">
        <f t="shared" si="33"/>
        <v>10.661082945695918</v>
      </c>
      <c r="Y45" s="24">
        <f t="shared" si="34"/>
        <v>11.441628909423933</v>
      </c>
      <c r="Z45" s="24">
        <f t="shared" si="35"/>
        <v>11.465085226111482</v>
      </c>
    </row>
    <row r="46" spans="1:26">
      <c r="A46" s="16"/>
      <c r="B46" s="16"/>
      <c r="C46" s="16"/>
      <c r="D46" s="16"/>
      <c r="E46" s="16"/>
      <c r="F46" s="16"/>
      <c r="G46" s="16"/>
      <c r="H46" s="16"/>
      <c r="I46" s="16"/>
      <c r="J46" s="16"/>
      <c r="K46" s="16"/>
      <c r="L46" s="16"/>
      <c r="M46" s="16"/>
      <c r="N46" s="16"/>
    </row>
    <row r="47" spans="1:26">
      <c r="A47" s="21" t="s">
        <v>6649</v>
      </c>
      <c r="B47" s="23">
        <f>NORFOLK!D5</f>
        <v>93852</v>
      </c>
      <c r="C47" s="23">
        <f>NORFOLK!E5</f>
        <v>94715</v>
      </c>
      <c r="D47" s="23">
        <f>NORFOLK!F5</f>
        <v>95612</v>
      </c>
      <c r="E47" s="23">
        <f>NORFOLK!G5</f>
        <v>97612</v>
      </c>
      <c r="F47" s="23">
        <f>NORFOLK!H5</f>
        <v>94135</v>
      </c>
      <c r="G47" s="23">
        <f>NORFOLK!I5</f>
        <v>95607</v>
      </c>
      <c r="H47" s="23">
        <f>NORFOLK!J5</f>
        <v>97669</v>
      </c>
      <c r="I47" s="23">
        <f>NORFOLK!K5</f>
        <v>100068</v>
      </c>
      <c r="J47" s="23">
        <f>NORFOLK!L5</f>
        <v>99776</v>
      </c>
      <c r="K47" s="23">
        <f>NORFOLK!M5</f>
        <v>96002</v>
      </c>
      <c r="L47" s="23">
        <f>NORFOLK!N5</f>
        <v>101365</v>
      </c>
      <c r="M47" s="23">
        <f>NORFOLK!O5</f>
        <v>100283</v>
      </c>
      <c r="N47" s="16"/>
      <c r="O47" s="24">
        <f t="shared" ref="O47:Z54" si="38">B47/B$451</f>
        <v>1.2360006321445505</v>
      </c>
      <c r="P47" s="24">
        <f t="shared" si="38"/>
        <v>1.2358267767904907</v>
      </c>
      <c r="Q47" s="24">
        <f t="shared" si="38"/>
        <v>1.2404094394208689</v>
      </c>
      <c r="R47" s="24">
        <f t="shared" si="38"/>
        <v>1.2596071953957726</v>
      </c>
      <c r="S47" s="24">
        <f t="shared" si="38"/>
        <v>1.2204086395104623</v>
      </c>
      <c r="T47" s="24">
        <f t="shared" si="38"/>
        <v>1.2617388550162325</v>
      </c>
      <c r="U47" s="24">
        <f t="shared" si="38"/>
        <v>1.3062766654629592</v>
      </c>
      <c r="V47" s="24">
        <f t="shared" si="38"/>
        <v>1.3078219956871202</v>
      </c>
      <c r="W47" s="24">
        <f t="shared" si="38"/>
        <v>1.2932225577748111</v>
      </c>
      <c r="X47" s="24">
        <f t="shared" si="38"/>
        <v>1.2544033868185858</v>
      </c>
      <c r="Y47" s="24">
        <f t="shared" si="38"/>
        <v>1.3959621555368873</v>
      </c>
      <c r="Z47" s="24">
        <f t="shared" si="38"/>
        <v>1.3663837150681946</v>
      </c>
    </row>
    <row r="48" spans="1:26">
      <c r="A48" s="21" t="s">
        <v>6650</v>
      </c>
      <c r="B48" s="23">
        <f>NORFOLK!D6</f>
        <v>93920</v>
      </c>
      <c r="C48" s="23">
        <f>NORFOLK!E6</f>
        <v>95393</v>
      </c>
      <c r="D48" s="23">
        <f>NORFOLK!F6</f>
        <v>96268</v>
      </c>
      <c r="E48" s="23">
        <f>NORFOLK!G6</f>
        <v>97292</v>
      </c>
      <c r="F48" s="23">
        <f>NORFOLK!H6</f>
        <v>96559</v>
      </c>
      <c r="G48" s="23">
        <f>NORFOLK!I6</f>
        <v>93466</v>
      </c>
      <c r="H48" s="23">
        <f>NORFOLK!J6</f>
        <v>94862</v>
      </c>
      <c r="I48" s="23">
        <f>NORFOLK!K6</f>
        <v>98674</v>
      </c>
      <c r="J48" s="23">
        <f>NORFOLK!L6</f>
        <v>98807</v>
      </c>
      <c r="K48" s="23">
        <f>NORFOLK!M6</f>
        <v>98852</v>
      </c>
      <c r="L48" s="23">
        <f>NORFOLK!N6</f>
        <v>100436</v>
      </c>
      <c r="M48" s="23">
        <f>NORFOLK!O6</f>
        <v>102505</v>
      </c>
      <c r="N48" s="16"/>
      <c r="O48" s="24">
        <f t="shared" si="38"/>
        <v>1.2368961702575989</v>
      </c>
      <c r="P48" s="24">
        <f t="shared" si="38"/>
        <v>1.2446732166855861</v>
      </c>
      <c r="Q48" s="24">
        <f t="shared" si="38"/>
        <v>1.2489199673071185</v>
      </c>
      <c r="R48" s="24">
        <f t="shared" si="38"/>
        <v>1.2554778434459442</v>
      </c>
      <c r="S48" s="24">
        <f t="shared" si="38"/>
        <v>1.2518344698835793</v>
      </c>
      <c r="T48" s="24">
        <f t="shared" si="38"/>
        <v>1.2334837807163408</v>
      </c>
      <c r="U48" s="24">
        <f t="shared" si="38"/>
        <v>1.2687343685217136</v>
      </c>
      <c r="V48" s="24">
        <f t="shared" si="38"/>
        <v>1.2896033457491995</v>
      </c>
      <c r="W48" s="24">
        <f t="shared" si="38"/>
        <v>1.2806630980000777</v>
      </c>
      <c r="X48" s="24">
        <f t="shared" si="38"/>
        <v>1.2916427115454974</v>
      </c>
      <c r="Y48" s="24">
        <f t="shared" si="38"/>
        <v>1.3831683031963973</v>
      </c>
      <c r="Z48" s="24">
        <f t="shared" si="38"/>
        <v>1.3966590819287943</v>
      </c>
    </row>
    <row r="49" spans="1:26">
      <c r="A49" s="21" t="s">
        <v>6651</v>
      </c>
      <c r="B49" s="23">
        <f>NORFOLK!D7</f>
        <v>70196</v>
      </c>
      <c r="C49" s="23">
        <f>NORFOLK!E7</f>
        <v>70526</v>
      </c>
      <c r="D49" s="23">
        <f>NORFOLK!F7</f>
        <v>69872</v>
      </c>
      <c r="E49" s="23">
        <f>NORFOLK!G7</f>
        <v>69238</v>
      </c>
      <c r="F49" s="23">
        <f>NORFOLK!H7</f>
        <v>69616</v>
      </c>
      <c r="G49" s="23">
        <f>NORFOLK!I7</f>
        <v>68756</v>
      </c>
      <c r="H49" s="23">
        <f>NORFOLK!J7</f>
        <v>69691</v>
      </c>
      <c r="I49" s="23">
        <f>NORFOLK!K7</f>
        <v>70816</v>
      </c>
      <c r="J49" s="23">
        <f>NORFOLK!L7</f>
        <v>69332</v>
      </c>
      <c r="K49" s="23">
        <f>NORFOLK!M7</f>
        <v>69104</v>
      </c>
      <c r="L49" s="23">
        <f>NORFOLK!N7</f>
        <v>69808</v>
      </c>
      <c r="M49" s="23">
        <f>NORFOLK!O7</f>
        <v>70077</v>
      </c>
      <c r="N49" s="16"/>
      <c r="O49" s="24">
        <f t="shared" si="38"/>
        <v>0.92445872622873093</v>
      </c>
      <c r="P49" s="24">
        <f t="shared" si="38"/>
        <v>0.92021241894025396</v>
      </c>
      <c r="Q49" s="24">
        <f t="shared" si="38"/>
        <v>0.906475006811017</v>
      </c>
      <c r="R49" s="24">
        <f t="shared" si="38"/>
        <v>0.89346271969442792</v>
      </c>
      <c r="S49" s="24">
        <f t="shared" si="38"/>
        <v>0.90253325381803096</v>
      </c>
      <c r="T49" s="24">
        <f t="shared" si="38"/>
        <v>0.90738247947844908</v>
      </c>
      <c r="U49" s="24">
        <f t="shared" si="38"/>
        <v>0.9320841525231045</v>
      </c>
      <c r="V49" s="24">
        <f t="shared" si="38"/>
        <v>0.92551787231261839</v>
      </c>
      <c r="W49" s="24">
        <f t="shared" si="38"/>
        <v>0.89862999494510909</v>
      </c>
      <c r="X49" s="24">
        <f t="shared" si="38"/>
        <v>0.90294255997491246</v>
      </c>
      <c r="Y49" s="24">
        <f t="shared" si="38"/>
        <v>0.96137055348215883</v>
      </c>
      <c r="Z49" s="24">
        <f t="shared" si="38"/>
        <v>0.95481857942855586</v>
      </c>
    </row>
    <row r="50" spans="1:26">
      <c r="A50" s="21" t="s">
        <v>6652</v>
      </c>
      <c r="B50" s="23">
        <f>NORFOLK!D8</f>
        <v>112712</v>
      </c>
      <c r="C50" s="23">
        <f>NORFOLK!E8</f>
        <v>113156</v>
      </c>
      <c r="D50" s="23">
        <f>NORFOLK!F8</f>
        <v>113756</v>
      </c>
      <c r="E50" s="23">
        <f>NORFOLK!G8</f>
        <v>114603</v>
      </c>
      <c r="F50" s="23">
        <f>NORFOLK!H8</f>
        <v>112488</v>
      </c>
      <c r="G50" s="23">
        <f>NORFOLK!I8</f>
        <v>110585</v>
      </c>
      <c r="H50" s="23">
        <f>NORFOLK!J8</f>
        <v>110945</v>
      </c>
      <c r="I50" s="23">
        <f>NORFOLK!K8</f>
        <v>111441</v>
      </c>
      <c r="J50" s="23">
        <f>NORFOLK!L8</f>
        <v>112209</v>
      </c>
      <c r="K50" s="23">
        <f>NORFOLK!M8</f>
        <v>111263</v>
      </c>
      <c r="L50" s="23">
        <f>NORFOLK!N8</f>
        <v>114582</v>
      </c>
      <c r="M50" s="23">
        <f>NORFOLK!O8</f>
        <v>113163</v>
      </c>
      <c r="N50" s="16"/>
      <c r="O50" s="24">
        <f t="shared" si="38"/>
        <v>1.4843807617341833</v>
      </c>
      <c r="P50" s="24">
        <f t="shared" si="38"/>
        <v>1.4764421132292116</v>
      </c>
      <c r="Q50" s="24">
        <f t="shared" si="38"/>
        <v>1.4757981863234779</v>
      </c>
      <c r="R50" s="24">
        <f t="shared" si="38"/>
        <v>1.478862879706816</v>
      </c>
      <c r="S50" s="24">
        <f t="shared" si="38"/>
        <v>1.4583452174138511</v>
      </c>
      <c r="T50" s="24">
        <f t="shared" si="38"/>
        <v>1.4594056008657323</v>
      </c>
      <c r="U50" s="24">
        <f t="shared" si="38"/>
        <v>1.483836884270219</v>
      </c>
      <c r="V50" s="24">
        <f t="shared" si="38"/>
        <v>1.4564595177416193</v>
      </c>
      <c r="W50" s="24">
        <f t="shared" si="38"/>
        <v>1.4543698884035619</v>
      </c>
      <c r="X50" s="24">
        <f t="shared" si="38"/>
        <v>1.4538101709089009</v>
      </c>
      <c r="Y50" s="24">
        <f t="shared" si="38"/>
        <v>1.5779819040667649</v>
      </c>
      <c r="Z50" s="24">
        <f t="shared" si="38"/>
        <v>1.5418772907497991</v>
      </c>
    </row>
    <row r="51" spans="1:26">
      <c r="A51" s="21" t="s">
        <v>6653</v>
      </c>
      <c r="B51" s="23">
        <f>NORFOLK!D9</f>
        <v>81366</v>
      </c>
      <c r="C51" s="23">
        <f>NORFOLK!E9</f>
        <v>81667</v>
      </c>
      <c r="D51" s="23">
        <f>NORFOLK!F9</f>
        <v>81767</v>
      </c>
      <c r="E51" s="23">
        <f>NORFOLK!G9</f>
        <v>82455</v>
      </c>
      <c r="F51" s="23">
        <f>NORFOLK!H9</f>
        <v>82104</v>
      </c>
      <c r="G51" s="23">
        <f>NORFOLK!I9</f>
        <v>81470</v>
      </c>
      <c r="H51" s="23">
        <f>NORFOLK!J9</f>
        <v>80922</v>
      </c>
      <c r="I51" s="23">
        <f>NORFOLK!K9</f>
        <v>81527</v>
      </c>
      <c r="J51" s="23">
        <f>NORFOLK!L9</f>
        <v>82455</v>
      </c>
      <c r="K51" s="23">
        <f>NORFOLK!M9</f>
        <v>81846</v>
      </c>
      <c r="L51" s="23">
        <f>NORFOLK!N9</f>
        <v>83635</v>
      </c>
      <c r="M51" s="23">
        <f>NORFOLK!O9</f>
        <v>83284</v>
      </c>
      <c r="N51" s="16"/>
      <c r="O51" s="24">
        <f t="shared" si="38"/>
        <v>1.0715640309750829</v>
      </c>
      <c r="P51" s="24">
        <f t="shared" si="38"/>
        <v>1.0655784762724911</v>
      </c>
      <c r="Q51" s="24">
        <f t="shared" si="38"/>
        <v>1.0607931915776909</v>
      </c>
      <c r="R51" s="24">
        <f t="shared" si="38"/>
        <v>1.064017859447183</v>
      </c>
      <c r="S51" s="24">
        <f t="shared" si="38"/>
        <v>1.0644333238260688</v>
      </c>
      <c r="T51" s="24">
        <f t="shared" si="38"/>
        <v>1.0751709029482408</v>
      </c>
      <c r="U51" s="24">
        <f t="shared" si="38"/>
        <v>1.0822934638687156</v>
      </c>
      <c r="V51" s="24">
        <f t="shared" si="38"/>
        <v>1.0655034960465268</v>
      </c>
      <c r="W51" s="24">
        <f t="shared" si="38"/>
        <v>1.0687205941441034</v>
      </c>
      <c r="X51" s="24">
        <f t="shared" si="38"/>
        <v>1.0694350075785293</v>
      </c>
      <c r="Y51" s="24">
        <f t="shared" si="38"/>
        <v>1.1517910016112818</v>
      </c>
      <c r="Z51" s="24">
        <f t="shared" si="38"/>
        <v>1.1347676208902757</v>
      </c>
    </row>
    <row r="52" spans="1:26">
      <c r="A52" s="21" t="s">
        <v>6654</v>
      </c>
      <c r="B52" s="23">
        <f>NORFOLK!D10</f>
        <v>97431</v>
      </c>
      <c r="C52" s="23">
        <f>NORFOLK!E10</f>
        <v>98569</v>
      </c>
      <c r="D52" s="23">
        <f>NORFOLK!F10</f>
        <v>98771</v>
      </c>
      <c r="E52" s="23">
        <f>NORFOLK!G10</f>
        <v>97924</v>
      </c>
      <c r="F52" s="23">
        <f>NORFOLK!H10</f>
        <v>98595</v>
      </c>
      <c r="G52" s="23">
        <f>NORFOLK!I10</f>
        <v>93985</v>
      </c>
      <c r="H52" s="23">
        <f>NORFOLK!J10</f>
        <v>93077</v>
      </c>
      <c r="I52" s="23">
        <f>NORFOLK!K10</f>
        <v>93894</v>
      </c>
      <c r="J52" s="23">
        <f>NORFOLK!L10</f>
        <v>96154</v>
      </c>
      <c r="K52" s="23">
        <f>NORFOLK!M10</f>
        <v>92961</v>
      </c>
      <c r="L52" s="23">
        <f>NORFOLK!N10</f>
        <v>103871</v>
      </c>
      <c r="M52" s="23">
        <f>NORFOLK!O10</f>
        <v>97557</v>
      </c>
      <c r="N52" s="16"/>
      <c r="O52" s="24">
        <f t="shared" si="38"/>
        <v>1.2831349101827951</v>
      </c>
      <c r="P52" s="24">
        <f t="shared" si="38"/>
        <v>1.2861131770201328</v>
      </c>
      <c r="Q52" s="24">
        <f t="shared" si="38"/>
        <v>1.2813923016048054</v>
      </c>
      <c r="R52" s="24">
        <f t="shared" si="38"/>
        <v>1.2636333135468552</v>
      </c>
      <c r="S52" s="24">
        <f t="shared" si="38"/>
        <v>1.2782300930847617</v>
      </c>
      <c r="T52" s="24">
        <f t="shared" si="38"/>
        <v>1.2403330957848338</v>
      </c>
      <c r="U52" s="24">
        <f t="shared" si="38"/>
        <v>1.2448608380478541</v>
      </c>
      <c r="V52" s="24">
        <f t="shared" si="38"/>
        <v>1.2271319349147225</v>
      </c>
      <c r="W52" s="24">
        <f t="shared" si="38"/>
        <v>1.2462768784104312</v>
      </c>
      <c r="X52" s="24">
        <f t="shared" si="38"/>
        <v>1.2146683740134845</v>
      </c>
      <c r="Y52" s="24">
        <f t="shared" si="38"/>
        <v>1.4304738820872296</v>
      </c>
      <c r="Z52" s="24">
        <f t="shared" si="38"/>
        <v>1.329241208289619</v>
      </c>
    </row>
    <row r="53" spans="1:26">
      <c r="A53" s="21" t="s">
        <v>3796</v>
      </c>
      <c r="B53" s="23">
        <f>NORFOLK!D11</f>
        <v>95769</v>
      </c>
      <c r="C53" s="23">
        <f>NORFOLK!E11</f>
        <v>97093</v>
      </c>
      <c r="D53" s="23">
        <f>NORFOLK!F11</f>
        <v>97804</v>
      </c>
      <c r="E53" s="23">
        <f>NORFOLK!G11</f>
        <v>99227</v>
      </c>
      <c r="F53" s="23">
        <f>NORFOLK!H11</f>
        <v>99183</v>
      </c>
      <c r="G53" s="23">
        <f>NORFOLK!I11</f>
        <v>97771</v>
      </c>
      <c r="H53" s="23">
        <f>NORFOLK!J11</f>
        <v>98595</v>
      </c>
      <c r="I53" s="23">
        <f>NORFOLK!K11</f>
        <v>103887</v>
      </c>
      <c r="J53" s="23">
        <f>NORFOLK!L11</f>
        <v>103957</v>
      </c>
      <c r="K53" s="23">
        <f>NORFOLK!M11</f>
        <v>105337</v>
      </c>
      <c r="L53" s="23">
        <f>NORFOLK!N11</f>
        <v>108927</v>
      </c>
      <c r="M53" s="23">
        <f>NORFOLK!O11</f>
        <v>108909</v>
      </c>
      <c r="N53" s="16"/>
      <c r="O53" s="24">
        <f t="shared" si="38"/>
        <v>1.2612469051256388</v>
      </c>
      <c r="P53" s="24">
        <f t="shared" si="38"/>
        <v>1.266854555655589</v>
      </c>
      <c r="Q53" s="24">
        <f t="shared" si="38"/>
        <v>1.2688470569919954</v>
      </c>
      <c r="R53" s="24">
        <f t="shared" si="38"/>
        <v>1.2804475185175626</v>
      </c>
      <c r="S53" s="24">
        <f t="shared" si="38"/>
        <v>1.2858531905515078</v>
      </c>
      <c r="T53" s="24">
        <f t="shared" si="38"/>
        <v>1.2902974635099111</v>
      </c>
      <c r="U53" s="24">
        <f t="shared" si="38"/>
        <v>1.3186614773502388</v>
      </c>
      <c r="V53" s="24">
        <f t="shared" si="38"/>
        <v>1.3577337776906488</v>
      </c>
      <c r="W53" s="24">
        <f t="shared" si="38"/>
        <v>1.347413580806968</v>
      </c>
      <c r="X53" s="24">
        <f t="shared" si="38"/>
        <v>1.3763785083363822</v>
      </c>
      <c r="Y53" s="24">
        <f t="shared" si="38"/>
        <v>1.5001032872901547</v>
      </c>
      <c r="Z53" s="24">
        <f t="shared" si="38"/>
        <v>1.4839153597754555</v>
      </c>
    </row>
    <row r="54" spans="1:26">
      <c r="A54" s="21" t="s">
        <v>3797</v>
      </c>
      <c r="B54" s="23">
        <f t="shared" ref="B54:G54" si="39">SUM(B47:B53)</f>
        <v>645246</v>
      </c>
      <c r="C54" s="23">
        <f t="shared" si="39"/>
        <v>651119</v>
      </c>
      <c r="D54" s="23">
        <f t="shared" si="39"/>
        <v>653850</v>
      </c>
      <c r="E54" s="23">
        <f t="shared" si="39"/>
        <v>658351</v>
      </c>
      <c r="F54" s="23">
        <f t="shared" si="39"/>
        <v>652680</v>
      </c>
      <c r="G54" s="23">
        <f t="shared" si="39"/>
        <v>641640</v>
      </c>
      <c r="H54" s="23">
        <f t="shared" ref="H54:M54" si="40">SUM(H47:H53)</f>
        <v>645761</v>
      </c>
      <c r="I54" s="23">
        <f t="shared" si="40"/>
        <v>660307</v>
      </c>
      <c r="J54" s="23">
        <f t="shared" si="40"/>
        <v>662690</v>
      </c>
      <c r="K54" s="23">
        <f t="shared" si="40"/>
        <v>655365</v>
      </c>
      <c r="L54" s="23">
        <f t="shared" si="40"/>
        <v>682624</v>
      </c>
      <c r="M54" s="23">
        <f t="shared" si="40"/>
        <v>675778</v>
      </c>
      <c r="N54" s="16"/>
      <c r="O54" s="24">
        <f t="shared" si="38"/>
        <v>8.4976821366485797</v>
      </c>
      <c r="P54" s="24">
        <f t="shared" si="38"/>
        <v>8.4957007345937559</v>
      </c>
      <c r="Q54" s="24">
        <f t="shared" si="38"/>
        <v>8.4826351500369732</v>
      </c>
      <c r="R54" s="24">
        <f t="shared" si="38"/>
        <v>8.4955093297545616</v>
      </c>
      <c r="S54" s="24">
        <f t="shared" si="38"/>
        <v>8.4616381880882621</v>
      </c>
      <c r="T54" s="24">
        <f t="shared" si="38"/>
        <v>8.4678121783197398</v>
      </c>
      <c r="U54" s="24">
        <f t="shared" si="38"/>
        <v>8.6367478500448041</v>
      </c>
      <c r="V54" s="24">
        <f t="shared" si="38"/>
        <v>8.6297719401424562</v>
      </c>
      <c r="W54" s="24">
        <f t="shared" si="38"/>
        <v>8.5892965924850628</v>
      </c>
      <c r="X54" s="24">
        <f t="shared" si="38"/>
        <v>8.5632807191762925</v>
      </c>
      <c r="Y54" s="24">
        <f t="shared" si="38"/>
        <v>9.4008510872708744</v>
      </c>
      <c r="Z54" s="24">
        <f t="shared" si="38"/>
        <v>9.2076628561306944</v>
      </c>
    </row>
    <row r="55" spans="1:26">
      <c r="A55" s="16"/>
      <c r="B55" s="16"/>
      <c r="C55" s="16"/>
      <c r="D55" s="16"/>
      <c r="E55" s="16"/>
      <c r="F55" s="16"/>
      <c r="G55" s="16"/>
      <c r="H55" s="16"/>
      <c r="I55" s="16"/>
      <c r="J55" s="16"/>
      <c r="K55" s="16"/>
      <c r="L55" s="16"/>
      <c r="M55" s="16"/>
      <c r="N55" s="16"/>
    </row>
    <row r="56" spans="1:26">
      <c r="A56" s="21" t="s">
        <v>2411</v>
      </c>
      <c r="B56" s="23">
        <f>SUFFOLK!D5</f>
        <v>69365</v>
      </c>
      <c r="C56" s="23">
        <f>SUFFOLK!E5</f>
        <v>69609</v>
      </c>
      <c r="D56" s="23">
        <f>SUFFOLK!F5</f>
        <v>69910</v>
      </c>
      <c r="E56" s="23">
        <f>SUFFOLK!G5</f>
        <v>70307</v>
      </c>
      <c r="F56" s="23">
        <f>SUFFOLK!H5</f>
        <v>70322</v>
      </c>
      <c r="G56" s="23">
        <f>SUFFOLK!I5</f>
        <v>69094</v>
      </c>
      <c r="H56" s="23">
        <f>SUFFOLK!J5</f>
        <v>68206</v>
      </c>
      <c r="I56" s="23">
        <f>SUFFOLK!K5</f>
        <v>71175</v>
      </c>
      <c r="J56" s="23">
        <f>SUFFOLK!L5</f>
        <v>71840</v>
      </c>
      <c r="K56" s="23">
        <f>SUFFOLK!M5</f>
        <v>70966</v>
      </c>
      <c r="L56" s="23">
        <f>SUFFOLK!N5</f>
        <v>73184</v>
      </c>
      <c r="M56" s="23">
        <f>SUFFOLK!O5</f>
        <v>71070</v>
      </c>
      <c r="N56" s="16"/>
      <c r="O56" s="24">
        <f t="shared" ref="O56:Z61" si="41">B56/B$451</f>
        <v>0.91351472370015274</v>
      </c>
      <c r="P56" s="24">
        <f t="shared" si="41"/>
        <v>0.90824754374290528</v>
      </c>
      <c r="Q56" s="24">
        <f t="shared" si="41"/>
        <v>0.90696799470686684</v>
      </c>
      <c r="R56" s="24">
        <f t="shared" si="41"/>
        <v>0.90725733605182335</v>
      </c>
      <c r="S56" s="24">
        <f t="shared" si="41"/>
        <v>0.91168615655871599</v>
      </c>
      <c r="T56" s="24">
        <f t="shared" si="41"/>
        <v>0.9118431124132288</v>
      </c>
      <c r="U56" s="24">
        <f t="shared" si="41"/>
        <v>0.91222298011207859</v>
      </c>
      <c r="V56" s="24">
        <f t="shared" si="41"/>
        <v>0.9302097627916095</v>
      </c>
      <c r="W56" s="24">
        <f t="shared" si="41"/>
        <v>0.93113683200912467</v>
      </c>
      <c r="X56" s="24">
        <f t="shared" si="41"/>
        <v>0.927272252129828</v>
      </c>
      <c r="Y56" s="24">
        <f t="shared" si="41"/>
        <v>1.0078636056904411</v>
      </c>
      <c r="Z56" s="24">
        <f t="shared" si="41"/>
        <v>0.96834848010028207</v>
      </c>
    </row>
    <row r="57" spans="1:26">
      <c r="A57" s="21" t="s">
        <v>13042</v>
      </c>
      <c r="B57" s="23">
        <f>SUFFOLK!D6</f>
        <v>185085</v>
      </c>
      <c r="C57" s="23">
        <f>SUFFOLK!E6</f>
        <v>185080</v>
      </c>
      <c r="D57" s="23">
        <f>SUFFOLK!F6</f>
        <v>185769</v>
      </c>
      <c r="E57" s="23">
        <f>SUFFOLK!G6</f>
        <v>186417</v>
      </c>
      <c r="F57" s="23">
        <f>SUFFOLK!H6</f>
        <v>183505</v>
      </c>
      <c r="G57" s="23">
        <f>SUFFOLK!I6</f>
        <v>183728</v>
      </c>
      <c r="H57" s="23">
        <f>SUFFOLK!J6</f>
        <v>181747</v>
      </c>
      <c r="I57" s="23">
        <f>SUFFOLK!K6</f>
        <v>186262</v>
      </c>
      <c r="J57" s="23">
        <f>SUFFOLK!L6</f>
        <v>188152</v>
      </c>
      <c r="K57" s="23">
        <f>SUFFOLK!M6</f>
        <v>189160</v>
      </c>
      <c r="L57" s="23">
        <f>SUFFOLK!N6</f>
        <v>192264</v>
      </c>
      <c r="M57" s="23">
        <f>SUFFOLK!O6</f>
        <v>192165</v>
      </c>
      <c r="N57" s="16"/>
      <c r="O57" s="24">
        <f t="shared" si="41"/>
        <v>2.4375098772585999</v>
      </c>
      <c r="P57" s="24">
        <f t="shared" si="41"/>
        <v>2.4148954215106797</v>
      </c>
      <c r="Q57" s="24">
        <f t="shared" si="41"/>
        <v>2.4100491690559283</v>
      </c>
      <c r="R57" s="24">
        <f t="shared" si="41"/>
        <v>2.4055668825973622</v>
      </c>
      <c r="S57" s="24">
        <f t="shared" si="41"/>
        <v>2.3790416677470376</v>
      </c>
      <c r="T57" s="24">
        <f t="shared" si="41"/>
        <v>2.424683928524296</v>
      </c>
      <c r="U57" s="24">
        <f t="shared" si="41"/>
        <v>2.4307801361526837</v>
      </c>
      <c r="V57" s="24">
        <f t="shared" si="41"/>
        <v>2.4343200679605306</v>
      </c>
      <c r="W57" s="24">
        <f t="shared" si="41"/>
        <v>2.4386867652586419</v>
      </c>
      <c r="X57" s="24">
        <f t="shared" si="41"/>
        <v>2.4716458474886323</v>
      </c>
      <c r="Y57" s="24">
        <f t="shared" si="41"/>
        <v>2.6477903405726249</v>
      </c>
      <c r="Z57" s="24">
        <f t="shared" si="41"/>
        <v>2.6183014728925103</v>
      </c>
    </row>
    <row r="58" spans="1:26">
      <c r="A58" s="21" t="s">
        <v>2412</v>
      </c>
      <c r="B58" s="23">
        <f>SUFFOLK!D7</f>
        <v>94748</v>
      </c>
      <c r="C58" s="23">
        <f>SUFFOLK!E7</f>
        <v>93141</v>
      </c>
      <c r="D58" s="23">
        <f>SUFFOLK!F7</f>
        <v>94517</v>
      </c>
      <c r="E58" s="23">
        <f>SUFFOLK!G7</f>
        <v>94107</v>
      </c>
      <c r="F58" s="23">
        <f>SUFFOLK!H7</f>
        <v>93983</v>
      </c>
      <c r="G58" s="23">
        <f>SUFFOLK!I7</f>
        <v>90508</v>
      </c>
      <c r="H58" s="23">
        <f>SUFFOLK!J7</f>
        <v>87527</v>
      </c>
      <c r="I58" s="23">
        <f>SUFFOLK!K7</f>
        <v>89624</v>
      </c>
      <c r="J58" s="23">
        <f>SUFFOLK!L7</f>
        <v>90544</v>
      </c>
      <c r="K58" s="23">
        <f>SUFFOLK!M7</f>
        <v>90000</v>
      </c>
      <c r="L58" s="23">
        <f>SUFFOLK!N7</f>
        <v>92413</v>
      </c>
      <c r="M58" s="23">
        <f>SUFFOLK!O7</f>
        <v>92505</v>
      </c>
      <c r="N58" s="16"/>
      <c r="O58" s="24">
        <f t="shared" si="41"/>
        <v>1.247800663751778</v>
      </c>
      <c r="P58" s="24">
        <f t="shared" si="41"/>
        <v>1.2152894664735585</v>
      </c>
      <c r="Q58" s="24">
        <f t="shared" si="41"/>
        <v>1.226203604000986</v>
      </c>
      <c r="R58" s="24">
        <f t="shared" si="41"/>
        <v>1.2143778873203086</v>
      </c>
      <c r="S58" s="24">
        <f t="shared" si="41"/>
        <v>1.2184380428864054</v>
      </c>
      <c r="T58" s="24">
        <f t="shared" si="41"/>
        <v>1.1944466439675878</v>
      </c>
      <c r="U58" s="24">
        <f t="shared" si="41"/>
        <v>1.1706322138854337</v>
      </c>
      <c r="V58" s="24">
        <f t="shared" si="41"/>
        <v>1.1713258838136313</v>
      </c>
      <c r="W58" s="24">
        <f t="shared" si="41"/>
        <v>1.1735642165567119</v>
      </c>
      <c r="X58" s="24">
        <f t="shared" si="41"/>
        <v>1.1759786755866828</v>
      </c>
      <c r="Y58" s="24">
        <f t="shared" si="41"/>
        <v>1.2726784460082905</v>
      </c>
      <c r="Z58" s="24">
        <f t="shared" si="41"/>
        <v>1.2604063057784802</v>
      </c>
    </row>
    <row r="59" spans="1:26">
      <c r="A59" s="21" t="s">
        <v>2413</v>
      </c>
      <c r="B59" s="23">
        <f>SUFFOLK!D8</f>
        <v>74950</v>
      </c>
      <c r="C59" s="23">
        <f>SUFFOLK!E8</f>
        <v>75670</v>
      </c>
      <c r="D59" s="23">
        <f>SUFFOLK!F8</f>
        <v>76313</v>
      </c>
      <c r="E59" s="23">
        <f>SUFFOLK!G8</f>
        <v>76721</v>
      </c>
      <c r="F59" s="23">
        <f>SUFFOLK!H8</f>
        <v>76808</v>
      </c>
      <c r="G59" s="23">
        <f>SUFFOLK!I8</f>
        <v>76023</v>
      </c>
      <c r="H59" s="23">
        <f>SUFFOLK!J8</f>
        <v>76018</v>
      </c>
      <c r="I59" s="23">
        <f>SUFFOLK!K8</f>
        <v>79484</v>
      </c>
      <c r="J59" s="23">
        <f>SUFFOLK!L8</f>
        <v>80113</v>
      </c>
      <c r="K59" s="23">
        <f>SUFFOLK!M8</f>
        <v>79391</v>
      </c>
      <c r="L59" s="23">
        <f>SUFFOLK!N8</f>
        <v>82410</v>
      </c>
      <c r="M59" s="23">
        <f>SUFFOLK!O8</f>
        <v>79884</v>
      </c>
      <c r="N59" s="16"/>
      <c r="O59" s="24">
        <f t="shared" si="41"/>
        <v>0.98706737607332873</v>
      </c>
      <c r="P59" s="24">
        <f t="shared" si="41"/>
        <v>0.98733054109419238</v>
      </c>
      <c r="Q59" s="24">
        <f t="shared" si="41"/>
        <v>0.99003645515756156</v>
      </c>
      <c r="R59" s="24">
        <f t="shared" si="41"/>
        <v>0.99002503419619581</v>
      </c>
      <c r="S59" s="24">
        <f t="shared" si="41"/>
        <v>0.9957735888194571</v>
      </c>
      <c r="T59" s="24">
        <f t="shared" si="41"/>
        <v>1.0032860875762135</v>
      </c>
      <c r="U59" s="24">
        <f t="shared" si="41"/>
        <v>1.0167047840682635</v>
      </c>
      <c r="V59" s="24">
        <f t="shared" si="41"/>
        <v>1.0388028491145527</v>
      </c>
      <c r="W59" s="24">
        <f t="shared" si="41"/>
        <v>1.0383653260404651</v>
      </c>
      <c r="X59" s="24">
        <f t="shared" si="41"/>
        <v>1.0373569225944703</v>
      </c>
      <c r="Y59" s="24">
        <f t="shared" si="41"/>
        <v>1.1349207442193547</v>
      </c>
      <c r="Z59" s="24">
        <f t="shared" si="41"/>
        <v>1.0884416769991689</v>
      </c>
    </row>
    <row r="60" spans="1:26">
      <c r="A60" s="21" t="s">
        <v>12988</v>
      </c>
      <c r="B60" s="23">
        <f>SUFFOLK!D9</f>
        <v>116086</v>
      </c>
      <c r="C60" s="23">
        <f>SUFFOLK!E9</f>
        <v>118992</v>
      </c>
      <c r="D60" s="23">
        <f>SUFFOLK!F9</f>
        <v>118989</v>
      </c>
      <c r="E60" s="23">
        <f>SUFFOLK!G9</f>
        <v>119739</v>
      </c>
      <c r="F60" s="23">
        <f>SUFFOLK!H9</f>
        <v>117932</v>
      </c>
      <c r="G60" s="23">
        <f>SUFFOLK!I9</f>
        <v>117203</v>
      </c>
      <c r="H60" s="23">
        <f>SUFFOLK!J9</f>
        <v>112719</v>
      </c>
      <c r="I60" s="23">
        <f>SUFFOLK!K9</f>
        <v>118991</v>
      </c>
      <c r="J60" s="23">
        <f>SUFFOLK!L9</f>
        <v>117744</v>
      </c>
      <c r="K60" s="23">
        <f>SUFFOLK!M9</f>
        <v>117314</v>
      </c>
      <c r="L60" s="23">
        <f>SUFFOLK!N9</f>
        <v>121899</v>
      </c>
      <c r="M60" s="23">
        <f>SUFFOLK!O9</f>
        <v>121911</v>
      </c>
      <c r="N60" s="16"/>
      <c r="O60" s="24">
        <f t="shared" si="41"/>
        <v>1.5288152557551493</v>
      </c>
      <c r="P60" s="24">
        <f t="shared" si="41"/>
        <v>1.5525893451285866</v>
      </c>
      <c r="Q60" s="24">
        <f t="shared" si="41"/>
        <v>1.5436878089282702</v>
      </c>
      <c r="R60" s="24">
        <f t="shared" si="41"/>
        <v>1.5451389785015615</v>
      </c>
      <c r="S60" s="24">
        <f t="shared" si="41"/>
        <v>1.5289236912386237</v>
      </c>
      <c r="T60" s="24">
        <f t="shared" si="41"/>
        <v>1.5467442658431652</v>
      </c>
      <c r="U60" s="24">
        <f t="shared" si="41"/>
        <v>1.5075632949484412</v>
      </c>
      <c r="V60" s="24">
        <f t="shared" si="41"/>
        <v>1.5551329804613474</v>
      </c>
      <c r="W60" s="24">
        <f t="shared" si="41"/>
        <v>1.5261104558474718</v>
      </c>
      <c r="X60" s="24">
        <f t="shared" si="41"/>
        <v>1.5328751371975122</v>
      </c>
      <c r="Y60" s="24">
        <f t="shared" si="41"/>
        <v>1.6787489843416468</v>
      </c>
      <c r="Z60" s="24">
        <f t="shared" si="41"/>
        <v>1.6610712193260937</v>
      </c>
    </row>
    <row r="61" spans="1:26">
      <c r="A61" s="21" t="s">
        <v>2414</v>
      </c>
      <c r="B61" s="23">
        <f t="shared" ref="B61:L61" si="42">SUM(B56:B60)</f>
        <v>540234</v>
      </c>
      <c r="C61" s="23">
        <f t="shared" si="42"/>
        <v>542492</v>
      </c>
      <c r="D61" s="23">
        <f t="shared" si="42"/>
        <v>545498</v>
      </c>
      <c r="E61" s="23">
        <f t="shared" si="42"/>
        <v>547291</v>
      </c>
      <c r="F61" s="23">
        <f t="shared" si="42"/>
        <v>542550</v>
      </c>
      <c r="G61" s="23">
        <f t="shared" si="42"/>
        <v>536556</v>
      </c>
      <c r="H61" s="23">
        <f t="shared" si="42"/>
        <v>526217</v>
      </c>
      <c r="I61" s="23">
        <f t="shared" si="42"/>
        <v>545536</v>
      </c>
      <c r="J61" s="23">
        <f t="shared" si="42"/>
        <v>548393</v>
      </c>
      <c r="K61" s="23">
        <f t="shared" si="42"/>
        <v>546831</v>
      </c>
      <c r="L61" s="23">
        <f t="shared" si="42"/>
        <v>562170</v>
      </c>
      <c r="M61" s="23">
        <f>SUM(M56:M60)</f>
        <v>557535</v>
      </c>
      <c r="N61" s="16"/>
      <c r="O61" s="24">
        <f t="shared" si="41"/>
        <v>7.1147078965390085</v>
      </c>
      <c r="P61" s="24">
        <f t="shared" si="41"/>
        <v>7.0783523179499221</v>
      </c>
      <c r="Q61" s="24">
        <f t="shared" si="41"/>
        <v>7.076945031849613</v>
      </c>
      <c r="R61" s="24">
        <f t="shared" si="41"/>
        <v>7.0623661186672519</v>
      </c>
      <c r="S61" s="24">
        <f t="shared" si="41"/>
        <v>7.0338631472502398</v>
      </c>
      <c r="T61" s="24">
        <f t="shared" si="41"/>
        <v>7.0810040383244912</v>
      </c>
      <c r="U61" s="24">
        <f t="shared" si="41"/>
        <v>7.0379034091669004</v>
      </c>
      <c r="V61" s="24">
        <f t="shared" si="41"/>
        <v>7.1297915441416713</v>
      </c>
      <c r="W61" s="24">
        <f t="shared" si="41"/>
        <v>7.1078635957124154</v>
      </c>
      <c r="X61" s="24">
        <f t="shared" si="41"/>
        <v>7.1451288349971254</v>
      </c>
      <c r="Y61" s="24">
        <f t="shared" si="41"/>
        <v>7.7420021208323577</v>
      </c>
      <c r="Z61" s="24">
        <f t="shared" si="41"/>
        <v>7.5965691550965353</v>
      </c>
    </row>
    <row r="62" spans="1:26">
      <c r="A62" s="21"/>
      <c r="B62" s="23"/>
      <c r="C62" s="23"/>
      <c r="D62" s="23"/>
      <c r="E62" s="23"/>
      <c r="F62" s="23"/>
      <c r="G62" s="23"/>
      <c r="H62" s="23"/>
      <c r="I62" s="23"/>
      <c r="J62" s="23"/>
      <c r="K62" s="23"/>
      <c r="L62" s="23"/>
      <c r="M62" s="23"/>
      <c r="N62" s="16"/>
      <c r="O62" s="24"/>
      <c r="P62" s="24"/>
      <c r="Q62" s="24"/>
      <c r="R62" s="24"/>
      <c r="S62" s="24"/>
      <c r="T62" s="24"/>
      <c r="U62" s="24"/>
      <c r="V62" s="24"/>
      <c r="W62" s="24"/>
      <c r="X62" s="24"/>
      <c r="Y62" s="24"/>
      <c r="Z62" s="24"/>
    </row>
    <row r="63" spans="1:26">
      <c r="A63" s="26" t="s">
        <v>5372</v>
      </c>
      <c r="B63" s="27">
        <f t="shared" ref="B63:L63" si="43">B7+B16+B33+B45+B54+B61</f>
        <v>4253028</v>
      </c>
      <c r="C63" s="27">
        <f t="shared" si="43"/>
        <v>4280707</v>
      </c>
      <c r="D63" s="27">
        <f t="shared" si="43"/>
        <v>4315391</v>
      </c>
      <c r="E63" s="27">
        <f t="shared" si="43"/>
        <v>4349501</v>
      </c>
      <c r="F63" s="27">
        <f t="shared" si="43"/>
        <v>4347789</v>
      </c>
      <c r="G63" s="27">
        <f t="shared" si="43"/>
        <v>4280695</v>
      </c>
      <c r="H63" s="27">
        <f t="shared" si="43"/>
        <v>4242266</v>
      </c>
      <c r="I63" s="27">
        <f t="shared" si="43"/>
        <v>4360523</v>
      </c>
      <c r="J63" s="27">
        <f t="shared" si="43"/>
        <v>4374152</v>
      </c>
      <c r="K63" s="27">
        <f t="shared" si="43"/>
        <v>4343467</v>
      </c>
      <c r="L63" s="27">
        <f t="shared" si="43"/>
        <v>4469748</v>
      </c>
      <c r="M63" s="27">
        <f>M7+M16+M33+M45+M54+M61</f>
        <v>4482127</v>
      </c>
      <c r="N63" s="26"/>
      <c r="O63" s="28">
        <f t="shared" ref="O63:Z63" si="44">B63/B$451</f>
        <v>56.011009850919244</v>
      </c>
      <c r="P63" s="28">
        <f t="shared" si="44"/>
        <v>55.854007646038021</v>
      </c>
      <c r="Q63" s="28">
        <f t="shared" si="44"/>
        <v>55.985145496296106</v>
      </c>
      <c r="R63" s="28">
        <f t="shared" si="44"/>
        <v>56.12693885978269</v>
      </c>
      <c r="S63" s="28">
        <f t="shared" si="44"/>
        <v>56.366699509943736</v>
      </c>
      <c r="T63" s="28">
        <f t="shared" si="44"/>
        <v>56.492926333570885</v>
      </c>
      <c r="U63" s="28">
        <f t="shared" si="44"/>
        <v>56.738300632615122</v>
      </c>
      <c r="V63" s="28">
        <f t="shared" si="44"/>
        <v>56.989126315101615</v>
      </c>
      <c r="W63" s="28">
        <f t="shared" si="44"/>
        <v>56.694516091402797</v>
      </c>
      <c r="X63" s="28">
        <f t="shared" si="44"/>
        <v>56.753606334605131</v>
      </c>
      <c r="Y63" s="28">
        <f t="shared" si="44"/>
        <v>61.555754479225484</v>
      </c>
      <c r="Z63" s="28">
        <f t="shared" si="44"/>
        <v>61.07022468082787</v>
      </c>
    </row>
    <row r="64" spans="1:26">
      <c r="A64" s="16"/>
      <c r="B64" s="16"/>
      <c r="C64" s="16"/>
      <c r="D64" s="16"/>
      <c r="E64" s="16"/>
      <c r="F64" s="16"/>
      <c r="G64" s="16"/>
      <c r="H64" s="16"/>
      <c r="I64" s="16"/>
      <c r="J64" s="16"/>
      <c r="K64" s="16"/>
      <c r="L64" s="16"/>
      <c r="M64" s="16"/>
      <c r="N64" s="16"/>
    </row>
    <row r="65" spans="1:26">
      <c r="A65" s="21" t="s">
        <v>3737</v>
      </c>
      <c r="B65" s="16"/>
      <c r="C65" s="16"/>
      <c r="D65" s="16"/>
      <c r="E65" s="16"/>
      <c r="F65" s="16"/>
      <c r="G65" s="16"/>
      <c r="H65" s="16"/>
      <c r="I65" s="16"/>
      <c r="J65" s="16"/>
      <c r="K65" s="16"/>
      <c r="L65" s="16"/>
      <c r="M65" s="16"/>
      <c r="N65" s="16"/>
    </row>
    <row r="66" spans="1:26">
      <c r="A66" s="16"/>
      <c r="B66" s="16"/>
      <c r="C66" s="16"/>
      <c r="D66" s="16"/>
      <c r="E66" s="16"/>
      <c r="F66" s="16"/>
      <c r="G66" s="16"/>
      <c r="H66" s="16"/>
      <c r="I66" s="16"/>
      <c r="J66" s="16"/>
      <c r="K66" s="16"/>
      <c r="L66" s="16"/>
      <c r="M66" s="16"/>
      <c r="N66" s="16"/>
    </row>
    <row r="67" spans="1:26">
      <c r="A67" s="21" t="s">
        <v>2340</v>
      </c>
      <c r="B67" s="23">
        <f>DERBYSHIRE!D7</f>
        <v>96862</v>
      </c>
      <c r="C67" s="23">
        <f>DERBYSHIRE!E7</f>
        <v>97127</v>
      </c>
      <c r="D67" s="23">
        <f>DERBYSHIRE!F7</f>
        <v>97440</v>
      </c>
      <c r="E67" s="23">
        <f>DERBYSHIRE!G7</f>
        <v>98057</v>
      </c>
      <c r="F67" s="23">
        <f>DERBYSHIRE!H7</f>
        <v>98440</v>
      </c>
      <c r="G67" s="23">
        <f>DERBYSHIRE!I7</f>
        <v>97788</v>
      </c>
      <c r="H67" s="23">
        <f>DERBYSHIRE!J7</f>
        <v>90840</v>
      </c>
      <c r="I67" s="23">
        <f>DERBYSHIRE!K7</f>
        <v>94183</v>
      </c>
      <c r="J67" s="23">
        <f>DERBYSHIRE!L7</f>
        <v>97199</v>
      </c>
      <c r="K67" s="23">
        <f>DERBYSHIRE!M7</f>
        <v>97140</v>
      </c>
      <c r="L67" s="23">
        <f>DERBYSHIRE!N7</f>
        <v>99535</v>
      </c>
      <c r="M67" s="23">
        <f>DERBYSHIRE!O7</f>
        <v>99673</v>
      </c>
      <c r="N67" s="16"/>
      <c r="O67" s="24">
        <f t="shared" ref="O67:O77" si="45">B67/B$451</f>
        <v>1.2756413633250803</v>
      </c>
      <c r="P67" s="24">
        <f t="shared" ref="P67:P77" si="46">C67/C$451</f>
        <v>1.2672981824349892</v>
      </c>
      <c r="Q67" s="24">
        <f t="shared" ref="Q67:Q77" si="47">D67/D$451</f>
        <v>1.2641247518843814</v>
      </c>
      <c r="R67" s="24">
        <f t="shared" ref="R67:R77" si="48">E67/E$451</f>
        <v>1.2653495754510027</v>
      </c>
      <c r="S67" s="24">
        <f t="shared" ref="S67:S77" si="49">F67/F$451</f>
        <v>1.2762206031062826</v>
      </c>
      <c r="T67" s="24">
        <f t="shared" ref="T67:T77" si="50">G67/G$451</f>
        <v>1.290521814870536</v>
      </c>
      <c r="U67" s="24">
        <f t="shared" ref="U67:U77" si="51">H67/H$451</f>
        <v>1.2149420214259921</v>
      </c>
      <c r="V67" s="24">
        <f t="shared" ref="V67:V77" si="52">I67/I$451</f>
        <v>1.2309089720969744</v>
      </c>
      <c r="W67" s="24">
        <f t="shared" ref="W67:W77" si="53">J67/J$451</f>
        <v>1.259821393853771</v>
      </c>
      <c r="X67" s="24">
        <f t="shared" ref="X67:X77" si="54">K67/K$451</f>
        <v>1.2692729838498928</v>
      </c>
      <c r="Y67" s="24">
        <f t="shared" ref="Y67:Y77" si="55">L67/L$451</f>
        <v>1.3707600567391514</v>
      </c>
      <c r="Z67" s="24">
        <f t="shared" ref="Z67:Z77" si="56">M67/M$451</f>
        <v>1.3580722957230253</v>
      </c>
    </row>
    <row r="68" spans="1:26">
      <c r="A68" s="21" t="s">
        <v>2341</v>
      </c>
      <c r="B68" s="23">
        <f>DERBYSHIRE!D8</f>
        <v>58843</v>
      </c>
      <c r="C68" s="23">
        <f>DERBYSHIRE!E8</f>
        <v>57694</v>
      </c>
      <c r="D68" s="23">
        <f>DERBYSHIRE!F8</f>
        <v>57137</v>
      </c>
      <c r="E68" s="23">
        <f>DERBYSHIRE!G8</f>
        <v>57353</v>
      </c>
      <c r="F68" s="23">
        <f>DERBYSHIRE!H8</f>
        <v>57501</v>
      </c>
      <c r="G68" s="23">
        <f>DERBYSHIRE!I8</f>
        <v>56877</v>
      </c>
      <c r="H68" s="23">
        <f>DERBYSHIRE!J8</f>
        <v>56533</v>
      </c>
      <c r="I68" s="23">
        <f>DERBYSHIRE!K8</f>
        <v>58312</v>
      </c>
      <c r="J68" s="23">
        <f>DERBYSHIRE!L8</f>
        <v>58315</v>
      </c>
      <c r="K68" s="23">
        <f>DERBYSHIRE!M8</f>
        <v>57418</v>
      </c>
      <c r="L68" s="23">
        <f>DERBYSHIRE!N8</f>
        <v>59765</v>
      </c>
      <c r="M68" s="23">
        <f>DERBYSHIRE!O8</f>
        <v>59303</v>
      </c>
      <c r="N68" s="16"/>
      <c r="O68" s="24">
        <f t="shared" si="45"/>
        <v>0.77494337038402783</v>
      </c>
      <c r="P68" s="24">
        <f t="shared" si="46"/>
        <v>0.75278245325609006</v>
      </c>
      <c r="Q68" s="24">
        <f t="shared" si="47"/>
        <v>0.74125919487292591</v>
      </c>
      <c r="R68" s="24">
        <f t="shared" si="48"/>
        <v>0.74009600743283355</v>
      </c>
      <c r="S68" s="24">
        <f t="shared" si="49"/>
        <v>0.7454689242098167</v>
      </c>
      <c r="T68" s="24">
        <f t="shared" si="50"/>
        <v>0.75061366695700371</v>
      </c>
      <c r="U68" s="24">
        <f t="shared" si="51"/>
        <v>0.75610212788722597</v>
      </c>
      <c r="V68" s="24">
        <f t="shared" si="52"/>
        <v>0.76209893484937596</v>
      </c>
      <c r="W68" s="24">
        <f t="shared" si="53"/>
        <v>0.75583580677355389</v>
      </c>
      <c r="X68" s="24">
        <f t="shared" si="54"/>
        <v>0.75024826216484608</v>
      </c>
      <c r="Y68" s="24">
        <f t="shared" si="55"/>
        <v>0.82306198614573145</v>
      </c>
      <c r="Z68" s="24">
        <f t="shared" si="56"/>
        <v>0.80801983840420744</v>
      </c>
    </row>
    <row r="69" spans="1:26">
      <c r="A69" s="21" t="s">
        <v>2342</v>
      </c>
      <c r="B69" s="23">
        <f>DERBYSHIRE!D9</f>
        <v>80031</v>
      </c>
      <c r="C69" s="23">
        <f>DERBYSHIRE!E9</f>
        <v>80945</v>
      </c>
      <c r="D69" s="23">
        <f>DERBYSHIRE!F9</f>
        <v>80718</v>
      </c>
      <c r="E69" s="23">
        <f>DERBYSHIRE!G9</f>
        <v>81633</v>
      </c>
      <c r="F69" s="23">
        <f>DERBYSHIRE!H9</f>
        <v>80351</v>
      </c>
      <c r="G69" s="23">
        <f>DERBYSHIRE!I9</f>
        <v>77709</v>
      </c>
      <c r="H69" s="23">
        <f>DERBYSHIRE!J9</f>
        <v>79028</v>
      </c>
      <c r="I69" s="23">
        <f>DERBYSHIRE!K9</f>
        <v>79656</v>
      </c>
      <c r="J69" s="23">
        <f>DERBYSHIRE!L9</f>
        <v>78758</v>
      </c>
      <c r="K69" s="23">
        <f>DERBYSHIRE!M9</f>
        <v>77176</v>
      </c>
      <c r="L69" s="23">
        <f>DERBYSHIRE!N9</f>
        <v>78420</v>
      </c>
      <c r="M69" s="23">
        <f>DERBYSHIRE!O9</f>
        <v>78471</v>
      </c>
      <c r="N69" s="16"/>
      <c r="O69" s="24">
        <f t="shared" si="45"/>
        <v>1.0539825106674392</v>
      </c>
      <c r="P69" s="24">
        <f t="shared" si="46"/>
        <v>1.0561579311334663</v>
      </c>
      <c r="Q69" s="24">
        <f t="shared" si="47"/>
        <v>1.0471841309790999</v>
      </c>
      <c r="R69" s="24">
        <f t="shared" si="48"/>
        <v>1.0534105866260615</v>
      </c>
      <c r="S69" s="24">
        <f t="shared" si="49"/>
        <v>1.041706640392045</v>
      </c>
      <c r="T69" s="24">
        <f t="shared" si="50"/>
        <v>1.0255364636946709</v>
      </c>
      <c r="U69" s="24">
        <f t="shared" si="51"/>
        <v>1.0569621099653599</v>
      </c>
      <c r="V69" s="24">
        <f t="shared" si="52"/>
        <v>1.0410507743579691</v>
      </c>
      <c r="W69" s="24">
        <f t="shared" si="53"/>
        <v>1.0208028203699144</v>
      </c>
      <c r="X69" s="24">
        <f t="shared" si="54"/>
        <v>1.0084147807453092</v>
      </c>
      <c r="Y69" s="24">
        <f t="shared" si="55"/>
        <v>1.079971905857078</v>
      </c>
      <c r="Z69" s="24">
        <f t="shared" si="56"/>
        <v>1.0691891597291294</v>
      </c>
    </row>
    <row r="70" spans="1:26">
      <c r="A70" s="21" t="s">
        <v>2343</v>
      </c>
      <c r="B70" s="23">
        <f>DERBYSHIRE!D10</f>
        <v>57679</v>
      </c>
      <c r="C70" s="23">
        <f>DERBYSHIRE!E10</f>
        <v>57433</v>
      </c>
      <c r="D70" s="23">
        <f>DERBYSHIRE!F10</f>
        <v>57557</v>
      </c>
      <c r="E70" s="23">
        <f>DERBYSHIRE!G10</f>
        <v>57719</v>
      </c>
      <c r="F70" s="23">
        <f>DERBYSHIRE!H10</f>
        <v>57220</v>
      </c>
      <c r="G70" s="23">
        <f>DERBYSHIRE!I10</f>
        <v>56360</v>
      </c>
      <c r="H70" s="23">
        <f>DERBYSHIRE!J10</f>
        <v>54902</v>
      </c>
      <c r="I70" s="23">
        <f>DERBYSHIRE!K10</f>
        <v>56655</v>
      </c>
      <c r="J70" s="23">
        <f>DERBYSHIRE!L10</f>
        <v>57137</v>
      </c>
      <c r="K70" s="23">
        <f>DERBYSHIRE!M10</f>
        <v>56993</v>
      </c>
      <c r="L70" s="23">
        <f>DERBYSHIRE!N10</f>
        <v>57861</v>
      </c>
      <c r="M70" s="23">
        <f>DERBYSHIRE!O10</f>
        <v>57754</v>
      </c>
      <c r="N70" s="16"/>
      <c r="O70" s="24">
        <f t="shared" si="45"/>
        <v>0.75961386503713846</v>
      </c>
      <c r="P70" s="24">
        <f t="shared" si="46"/>
        <v>0.74937696533187192</v>
      </c>
      <c r="Q70" s="24">
        <f t="shared" si="47"/>
        <v>0.74670800845863439</v>
      </c>
      <c r="R70" s="24">
        <f t="shared" si="48"/>
        <v>0.74481895372544971</v>
      </c>
      <c r="S70" s="24">
        <f t="shared" si="49"/>
        <v>0.74182591334560632</v>
      </c>
      <c r="T70" s="24">
        <f t="shared" si="50"/>
        <v>0.7437907461662312</v>
      </c>
      <c r="U70" s="24">
        <f t="shared" si="51"/>
        <v>0.73428827455228773</v>
      </c>
      <c r="V70" s="24">
        <f t="shared" si="52"/>
        <v>0.74044305038227798</v>
      </c>
      <c r="W70" s="24">
        <f t="shared" si="53"/>
        <v>0.7405674439101525</v>
      </c>
      <c r="X70" s="24">
        <f t="shared" si="54"/>
        <v>0.74469502953013123</v>
      </c>
      <c r="Y70" s="24">
        <f t="shared" si="55"/>
        <v>0.79684078608513631</v>
      </c>
      <c r="Z70" s="24">
        <f t="shared" si="56"/>
        <v>0.78691428337852387</v>
      </c>
    </row>
    <row r="71" spans="1:26">
      <c r="A71" s="21" t="s">
        <v>2344</v>
      </c>
      <c r="B71" s="23">
        <f>DERBYSHIRE!D11</f>
        <v>83767</v>
      </c>
      <c r="C71" s="23">
        <f>DERBYSHIRE!E11</f>
        <v>84310</v>
      </c>
      <c r="D71" s="23">
        <f>DERBYSHIRE!F11</f>
        <v>85279</v>
      </c>
      <c r="E71" s="23">
        <f>DERBYSHIRE!G11</f>
        <v>85634</v>
      </c>
      <c r="F71" s="23">
        <f>DERBYSHIRE!H11</f>
        <v>85283</v>
      </c>
      <c r="G71" s="23">
        <f>DERBYSHIRE!I11</f>
        <v>85237</v>
      </c>
      <c r="H71" s="23">
        <f>DERBYSHIRE!J11</f>
        <v>84625</v>
      </c>
      <c r="I71" s="23">
        <f>DERBYSHIRE!K11</f>
        <v>86017</v>
      </c>
      <c r="J71" s="23">
        <f>DERBYSHIRE!L11</f>
        <v>85564</v>
      </c>
      <c r="K71" s="23">
        <f>DERBYSHIRE!M11</f>
        <v>85799</v>
      </c>
      <c r="L71" s="23">
        <f>DERBYSHIRE!N11</f>
        <v>85924</v>
      </c>
      <c r="M71" s="23">
        <f>DERBYSHIRE!O11</f>
        <v>86361</v>
      </c>
      <c r="N71" s="16"/>
      <c r="O71" s="24">
        <f t="shared" si="45"/>
        <v>1.1031844281725756</v>
      </c>
      <c r="P71" s="24">
        <f t="shared" si="46"/>
        <v>1.1000639344476195</v>
      </c>
      <c r="Q71" s="24">
        <f t="shared" si="47"/>
        <v>1.1063556518467585</v>
      </c>
      <c r="R71" s="24">
        <f t="shared" si="48"/>
        <v>1.1050403902237593</v>
      </c>
      <c r="S71" s="24">
        <f t="shared" si="49"/>
        <v>1.1056473150620998</v>
      </c>
      <c r="T71" s="24">
        <f t="shared" si="50"/>
        <v>1.1248845250349724</v>
      </c>
      <c r="U71" s="24">
        <f t="shared" si="51"/>
        <v>1.1318193368909575</v>
      </c>
      <c r="V71" s="24">
        <f t="shared" si="52"/>
        <v>1.1241848003659414</v>
      </c>
      <c r="W71" s="24">
        <f t="shared" si="53"/>
        <v>1.109017147745389</v>
      </c>
      <c r="X71" s="24">
        <f t="shared" si="54"/>
        <v>1.1210866042962422</v>
      </c>
      <c r="Y71" s="24">
        <f t="shared" si="55"/>
        <v>1.1833142825664826</v>
      </c>
      <c r="Z71" s="24">
        <f t="shared" si="56"/>
        <v>1.1766926001117273</v>
      </c>
    </row>
    <row r="72" spans="1:26">
      <c r="A72" s="21" t="s">
        <v>2345</v>
      </c>
      <c r="B72" s="23">
        <f>DERBYSHIRE!D12</f>
        <v>71685</v>
      </c>
      <c r="C72" s="23">
        <f>DERBYSHIRE!E12</f>
        <v>72178</v>
      </c>
      <c r="D72" s="23">
        <f>DERBYSHIRE!F12</f>
        <v>72211</v>
      </c>
      <c r="E72" s="23">
        <f>DERBYSHIRE!G12</f>
        <v>72226</v>
      </c>
      <c r="F72" s="23">
        <f>DERBYSHIRE!H12</f>
        <v>72226</v>
      </c>
      <c r="G72" s="23">
        <f>DERBYSHIRE!I12</f>
        <v>71263</v>
      </c>
      <c r="H72" s="23">
        <f>DERBYSHIRE!J12</f>
        <v>71130</v>
      </c>
      <c r="I72" s="23">
        <f>DERBYSHIRE!K12</f>
        <v>72415</v>
      </c>
      <c r="J72" s="23">
        <f>DERBYSHIRE!L12</f>
        <v>71880</v>
      </c>
      <c r="K72" s="23">
        <f>DERBYSHIRE!M12</f>
        <v>72126</v>
      </c>
      <c r="L72" s="23">
        <f>DERBYSHIRE!N12</f>
        <v>74265</v>
      </c>
      <c r="M72" s="23">
        <f>DERBYSHIRE!O12</f>
        <v>73960</v>
      </c>
      <c r="N72" s="16"/>
      <c r="O72" s="24">
        <f t="shared" si="45"/>
        <v>0.94406837696886692</v>
      </c>
      <c r="P72" s="24">
        <f t="shared" si="46"/>
        <v>0.94176746128051569</v>
      </c>
      <c r="Q72" s="24">
        <f t="shared" si="47"/>
        <v>0.93681970913714141</v>
      </c>
      <c r="R72" s="24">
        <f t="shared" si="48"/>
        <v>0.93202054352595043</v>
      </c>
      <c r="S72" s="24">
        <f t="shared" si="49"/>
        <v>0.93637047216532265</v>
      </c>
      <c r="T72" s="24">
        <f t="shared" si="50"/>
        <v>0.94046770660120882</v>
      </c>
      <c r="U72" s="24">
        <f t="shared" si="51"/>
        <v>0.95133009669782931</v>
      </c>
      <c r="V72" s="24">
        <f t="shared" si="52"/>
        <v>0.94641573547670388</v>
      </c>
      <c r="W72" s="24">
        <f t="shared" si="53"/>
        <v>0.93165528236102291</v>
      </c>
      <c r="X72" s="24">
        <f t="shared" si="54"/>
        <v>0.94242931061516755</v>
      </c>
      <c r="Y72" s="24">
        <f t="shared" si="55"/>
        <v>1.0227507471113988</v>
      </c>
      <c r="Z72" s="24">
        <f t="shared" si="56"/>
        <v>1.0077255324077228</v>
      </c>
    </row>
    <row r="73" spans="1:26">
      <c r="A73" s="21" t="s">
        <v>2346</v>
      </c>
      <c r="B73" s="23">
        <f>DERBYSHIRE!D13</f>
        <v>78010</v>
      </c>
      <c r="C73" s="23">
        <f>DERBYSHIRE!E13</f>
        <v>78763</v>
      </c>
      <c r="D73" s="23">
        <f>DERBYSHIRE!F13</f>
        <v>79146</v>
      </c>
      <c r="E73" s="23">
        <f>DERBYSHIRE!G13</f>
        <v>79419</v>
      </c>
      <c r="F73" s="23">
        <f>DERBYSHIRE!H13</f>
        <v>79712</v>
      </c>
      <c r="G73" s="23">
        <f>DERBYSHIRE!I13</f>
        <v>77640</v>
      </c>
      <c r="H73" s="23">
        <f>DERBYSHIRE!J13</f>
        <v>77256</v>
      </c>
      <c r="I73" s="23">
        <f>DERBYSHIRE!K13</f>
        <v>78439</v>
      </c>
      <c r="J73" s="23">
        <f>DERBYSHIRE!L13</f>
        <v>78466</v>
      </c>
      <c r="K73" s="23">
        <f>DERBYSHIRE!M13</f>
        <v>78091</v>
      </c>
      <c r="L73" s="23">
        <f>DERBYSHIRE!N13</f>
        <v>79594</v>
      </c>
      <c r="M73" s="23">
        <f>DERBYSHIRE!O13</f>
        <v>79972</v>
      </c>
      <c r="N73" s="16"/>
      <c r="O73" s="24">
        <f t="shared" si="45"/>
        <v>1.0273665911605121</v>
      </c>
      <c r="P73" s="24">
        <f t="shared" si="46"/>
        <v>1.027687530173145</v>
      </c>
      <c r="Q73" s="24">
        <f t="shared" si="47"/>
        <v>1.0267900001297336</v>
      </c>
      <c r="R73" s="24">
        <f t="shared" si="48"/>
        <v>1.0248406328231863</v>
      </c>
      <c r="S73" s="24">
        <f t="shared" si="49"/>
        <v>1.0334223559001219</v>
      </c>
      <c r="T73" s="24">
        <f t="shared" si="50"/>
        <v>1.0246258611133106</v>
      </c>
      <c r="U73" s="24">
        <f t="shared" si="51"/>
        <v>1.0332624483408899</v>
      </c>
      <c r="V73" s="24">
        <f t="shared" si="52"/>
        <v>1.0251453963275174</v>
      </c>
      <c r="W73" s="24">
        <f t="shared" si="53"/>
        <v>1.0170181328010577</v>
      </c>
      <c r="X73" s="24">
        <f t="shared" si="54"/>
        <v>1.020370563947107</v>
      </c>
      <c r="Y73" s="24">
        <f t="shared" si="55"/>
        <v>1.0961398096759534</v>
      </c>
      <c r="Z73" s="24">
        <f t="shared" si="56"/>
        <v>1.0896407014292917</v>
      </c>
    </row>
    <row r="74" spans="1:26">
      <c r="A74" s="21" t="s">
        <v>2347</v>
      </c>
      <c r="B74" s="23">
        <f>DERBYSHIRE!D14</f>
        <v>70443</v>
      </c>
      <c r="C74" s="23">
        <f>DERBYSHIRE!E14</f>
        <v>71326</v>
      </c>
      <c r="D74" s="23">
        <f>DERBYSHIRE!F14</f>
        <v>72354</v>
      </c>
      <c r="E74" s="23">
        <f>DERBYSHIRE!G14</f>
        <v>73346</v>
      </c>
      <c r="F74" s="23">
        <f>DERBYSHIRE!H14</f>
        <v>74205</v>
      </c>
      <c r="G74" s="23">
        <f>DERBYSHIRE!I14</f>
        <v>72972</v>
      </c>
      <c r="H74" s="23">
        <f>DERBYSHIRE!J14</f>
        <v>71577</v>
      </c>
      <c r="I74" s="23">
        <f>DERBYSHIRE!K14</f>
        <v>75362</v>
      </c>
      <c r="J74" s="23">
        <f>DERBYSHIRE!L14</f>
        <v>78689</v>
      </c>
      <c r="K74" s="23">
        <f>DERBYSHIRE!M14</f>
        <v>76831</v>
      </c>
      <c r="L74" s="23">
        <f>DERBYSHIRE!N14</f>
        <v>79941</v>
      </c>
      <c r="M74" s="23">
        <f>DERBYSHIRE!O14</f>
        <v>80515</v>
      </c>
      <c r="N74" s="16"/>
      <c r="O74" s="24">
        <f t="shared" si="45"/>
        <v>0.92771163672759838</v>
      </c>
      <c r="P74" s="24">
        <f t="shared" si="46"/>
        <v>0.93065069610260831</v>
      </c>
      <c r="Q74" s="24">
        <f t="shared" si="47"/>
        <v>0.93867490042941837</v>
      </c>
      <c r="R74" s="24">
        <f t="shared" si="48"/>
        <v>0.94647327535034975</v>
      </c>
      <c r="S74" s="24">
        <f t="shared" si="49"/>
        <v>0.96202712163248372</v>
      </c>
      <c r="T74" s="24">
        <f t="shared" si="50"/>
        <v>0.96302161691345312</v>
      </c>
      <c r="U74" s="24">
        <f t="shared" si="51"/>
        <v>0.95730851021145125</v>
      </c>
      <c r="V74" s="24">
        <f t="shared" si="52"/>
        <v>0.98493105926942426</v>
      </c>
      <c r="W74" s="24">
        <f t="shared" si="53"/>
        <v>1.0199084935128899</v>
      </c>
      <c r="X74" s="24">
        <f t="shared" si="54"/>
        <v>1.0039068624888936</v>
      </c>
      <c r="Y74" s="24">
        <f t="shared" si="55"/>
        <v>1.1009185683004421</v>
      </c>
      <c r="Z74" s="24">
        <f t="shared" si="56"/>
        <v>1.0970392271742537</v>
      </c>
    </row>
    <row r="75" spans="1:26">
      <c r="A75" s="21" t="s">
        <v>2348</v>
      </c>
      <c r="B75" s="23">
        <f t="shared" ref="B75:G75" si="57">SUM(B67:B74)</f>
        <v>597320</v>
      </c>
      <c r="C75" s="23">
        <f t="shared" si="57"/>
        <v>599776</v>
      </c>
      <c r="D75" s="23">
        <f t="shared" si="57"/>
        <v>601842</v>
      </c>
      <c r="E75" s="23">
        <f t="shared" si="57"/>
        <v>605387</v>
      </c>
      <c r="F75" s="23">
        <f t="shared" si="57"/>
        <v>604938</v>
      </c>
      <c r="G75" s="23">
        <f t="shared" si="57"/>
        <v>595846</v>
      </c>
      <c r="H75" s="23">
        <f t="shared" ref="H75:M75" si="58">SUM(H67:H74)</f>
        <v>585891</v>
      </c>
      <c r="I75" s="23">
        <f t="shared" si="58"/>
        <v>601039</v>
      </c>
      <c r="J75" s="23">
        <f t="shared" si="58"/>
        <v>606008</v>
      </c>
      <c r="K75" s="23">
        <f t="shared" si="58"/>
        <v>601574</v>
      </c>
      <c r="L75" s="23">
        <f t="shared" si="58"/>
        <v>615305</v>
      </c>
      <c r="M75" s="23">
        <f t="shared" si="58"/>
        <v>616009</v>
      </c>
      <c r="N75" s="16"/>
      <c r="O75" s="24">
        <f t="shared" si="45"/>
        <v>7.8665121424432387</v>
      </c>
      <c r="P75" s="24">
        <f t="shared" si="46"/>
        <v>7.8257851541603056</v>
      </c>
      <c r="Q75" s="24">
        <f t="shared" si="47"/>
        <v>7.807916347738094</v>
      </c>
      <c r="R75" s="24">
        <f t="shared" si="48"/>
        <v>7.8120499651585931</v>
      </c>
      <c r="S75" s="24">
        <f t="shared" si="49"/>
        <v>7.8426893458137785</v>
      </c>
      <c r="T75" s="24">
        <f t="shared" si="50"/>
        <v>7.863462401351387</v>
      </c>
      <c r="U75" s="24">
        <f t="shared" si="51"/>
        <v>7.8360149259719938</v>
      </c>
      <c r="V75" s="24">
        <f t="shared" si="52"/>
        <v>7.8551787231261843</v>
      </c>
      <c r="W75" s="24">
        <f t="shared" si="53"/>
        <v>7.8546265213277513</v>
      </c>
      <c r="X75" s="24">
        <f t="shared" si="54"/>
        <v>7.8604243976375896</v>
      </c>
      <c r="Y75" s="24">
        <f t="shared" si="55"/>
        <v>8.4737581424813744</v>
      </c>
      <c r="Z75" s="24">
        <f t="shared" si="56"/>
        <v>8.393293638357882</v>
      </c>
    </row>
    <row r="76" spans="1:26">
      <c r="A76" s="21" t="s">
        <v>2349</v>
      </c>
      <c r="B76" s="23">
        <f>DERBYSHIRE!D4</f>
        <v>173057</v>
      </c>
      <c r="C76" s="23">
        <f>DERBYSHIRE!E4</f>
        <v>175659</v>
      </c>
      <c r="D76" s="23">
        <f>DERBYSHIRE!F4</f>
        <v>177443</v>
      </c>
      <c r="E76" s="23">
        <f>DERBYSHIRE!G4</f>
        <v>176951</v>
      </c>
      <c r="F76" s="23">
        <f>DERBYSHIRE!H4</f>
        <v>175062</v>
      </c>
      <c r="G76" s="23">
        <f>DERBYSHIRE!I4</f>
        <v>167269</v>
      </c>
      <c r="H76" s="23">
        <f>DERBYSHIRE!J4</f>
        <v>170659</v>
      </c>
      <c r="I76" s="23">
        <f>DERBYSHIRE!K4</f>
        <v>169154</v>
      </c>
      <c r="J76" s="23">
        <f>DERBYSHIRE!L4</f>
        <v>168544</v>
      </c>
      <c r="K76" s="23">
        <f>DERBYSHIRE!M4</f>
        <v>168731</v>
      </c>
      <c r="L76" s="23">
        <f>DERBYSHIRE!N4</f>
        <v>176332</v>
      </c>
      <c r="M76" s="23">
        <f>DERBYSHIRE!O4</f>
        <v>174973</v>
      </c>
      <c r="N76" s="16"/>
      <c r="O76" s="24">
        <f t="shared" si="45"/>
        <v>2.2791049886740766</v>
      </c>
      <c r="P76" s="24">
        <f t="shared" si="46"/>
        <v>2.2919716600775044</v>
      </c>
      <c r="Q76" s="24">
        <f t="shared" si="47"/>
        <v>2.3020329264020964</v>
      </c>
      <c r="R76" s="24">
        <f t="shared" si="48"/>
        <v>2.2834154902315018</v>
      </c>
      <c r="S76" s="24">
        <f t="shared" si="49"/>
        <v>2.2695828039515646</v>
      </c>
      <c r="T76" s="24">
        <f t="shared" si="50"/>
        <v>2.2074722200226993</v>
      </c>
      <c r="U76" s="24">
        <f t="shared" si="51"/>
        <v>2.2824833821503563</v>
      </c>
      <c r="V76" s="24">
        <f t="shared" si="52"/>
        <v>2.2107299222374697</v>
      </c>
      <c r="W76" s="24">
        <f t="shared" si="53"/>
        <v>2.1845424027581557</v>
      </c>
      <c r="X76" s="24">
        <f t="shared" si="54"/>
        <v>2.2047117545601838</v>
      </c>
      <c r="Y76" s="24">
        <f t="shared" si="55"/>
        <v>2.4283805930067617</v>
      </c>
      <c r="Z76" s="24">
        <f t="shared" si="56"/>
        <v>2.3840557001348901</v>
      </c>
    </row>
    <row r="77" spans="1:26">
      <c r="A77" s="25" t="s">
        <v>2350</v>
      </c>
      <c r="B77" s="23">
        <f t="shared" ref="B77:G77" si="59">B75+B76</f>
        <v>770377</v>
      </c>
      <c r="C77" s="23">
        <f t="shared" si="59"/>
        <v>775435</v>
      </c>
      <c r="D77" s="23">
        <f t="shared" si="59"/>
        <v>779285</v>
      </c>
      <c r="E77" s="23">
        <f t="shared" si="59"/>
        <v>782338</v>
      </c>
      <c r="F77" s="23">
        <f t="shared" si="59"/>
        <v>780000</v>
      </c>
      <c r="G77" s="23">
        <f t="shared" si="59"/>
        <v>763115</v>
      </c>
      <c r="H77" s="23">
        <f t="shared" ref="H77:M77" si="60">H75+H76</f>
        <v>756550</v>
      </c>
      <c r="I77" s="23">
        <f t="shared" si="60"/>
        <v>770193</v>
      </c>
      <c r="J77" s="23">
        <f t="shared" si="60"/>
        <v>774552</v>
      </c>
      <c r="K77" s="23">
        <f t="shared" si="60"/>
        <v>770305</v>
      </c>
      <c r="L77" s="23">
        <f t="shared" si="60"/>
        <v>791637</v>
      </c>
      <c r="M77" s="23">
        <f t="shared" si="60"/>
        <v>790982</v>
      </c>
      <c r="N77" s="16"/>
      <c r="O77" s="24">
        <f t="shared" si="45"/>
        <v>10.145617131117316</v>
      </c>
      <c r="P77" s="24">
        <f t="shared" si="46"/>
        <v>10.11775681423781</v>
      </c>
      <c r="Q77" s="24">
        <f t="shared" si="47"/>
        <v>10.10994927414019</v>
      </c>
      <c r="R77" s="24">
        <f t="shared" si="48"/>
        <v>10.095465455390094</v>
      </c>
      <c r="S77" s="24">
        <f t="shared" si="49"/>
        <v>10.112272149765344</v>
      </c>
      <c r="T77" s="24">
        <f t="shared" si="50"/>
        <v>10.070934621374086</v>
      </c>
      <c r="U77" s="24">
        <f t="shared" si="51"/>
        <v>10.11849830812235</v>
      </c>
      <c r="V77" s="24">
        <f t="shared" si="52"/>
        <v>10.065908645363654</v>
      </c>
      <c r="W77" s="24">
        <f t="shared" si="53"/>
        <v>10.039168924085907</v>
      </c>
      <c r="X77" s="24">
        <f t="shared" si="54"/>
        <v>10.065136152197773</v>
      </c>
      <c r="Y77" s="24">
        <f t="shared" si="55"/>
        <v>10.902138735488135</v>
      </c>
      <c r="Z77" s="24">
        <f t="shared" si="56"/>
        <v>10.777349338492773</v>
      </c>
    </row>
    <row r="78" spans="1:26">
      <c r="A78" s="16"/>
      <c r="B78" s="16"/>
      <c r="C78" s="16"/>
      <c r="D78" s="16"/>
      <c r="E78" s="16"/>
      <c r="F78" s="16"/>
      <c r="G78" s="16"/>
      <c r="H78" s="16"/>
      <c r="I78" s="16"/>
      <c r="J78" s="16"/>
      <c r="K78" s="16"/>
      <c r="L78" s="16"/>
      <c r="M78" s="16"/>
      <c r="N78" s="16"/>
    </row>
    <row r="79" spans="1:26">
      <c r="A79" s="21" t="s">
        <v>16092</v>
      </c>
      <c r="B79" s="23">
        <f>LEICESTERSHIRE!D7</f>
        <v>72515</v>
      </c>
      <c r="C79" s="23">
        <f>LEICESTERSHIRE!E7</f>
        <v>73026</v>
      </c>
      <c r="D79" s="23">
        <f>LEICESTERSHIRE!F7</f>
        <v>73140</v>
      </c>
      <c r="E79" s="23">
        <f>LEICESTERSHIRE!G7</f>
        <v>73787</v>
      </c>
      <c r="F79" s="23">
        <f>LEICESTERSHIRE!H7</f>
        <v>73430</v>
      </c>
      <c r="G79" s="23">
        <f>LEICESTERSHIRE!I7</f>
        <v>72327</v>
      </c>
      <c r="H79" s="23">
        <f>LEICESTERSHIRE!J7</f>
        <v>72073</v>
      </c>
      <c r="I79" s="23">
        <f>LEICESTERSHIRE!K7</f>
        <v>73738</v>
      </c>
      <c r="J79" s="23">
        <f>LEICESTERSHIRE!L7</f>
        <v>74499</v>
      </c>
      <c r="K79" s="23">
        <f>LEICESTERSHIRE!M7</f>
        <v>74605</v>
      </c>
      <c r="L79" s="23">
        <f>LEICESTERSHIRE!N7</f>
        <v>76234</v>
      </c>
      <c r="M79" s="23">
        <f>LEICESTERSHIRE!O7</f>
        <v>76056</v>
      </c>
      <c r="N79" s="16"/>
      <c r="O79" s="24">
        <f t="shared" ref="O79:O89" si="61">B79/B$451</f>
        <v>0.95499920981931197</v>
      </c>
      <c r="P79" s="24">
        <f t="shared" ref="P79:P89" si="62">C79/C$451</f>
        <v>0.95283203507261127</v>
      </c>
      <c r="Q79" s="24">
        <f t="shared" ref="Q79:Q89" si="63">D79/D$451</f>
        <v>0.9488719658541015</v>
      </c>
      <c r="R79" s="24">
        <f t="shared" ref="R79:R89" si="64">E79/E$451</f>
        <v>0.9521640385062069</v>
      </c>
      <c r="S79" s="24">
        <f t="shared" ref="S79:S89" si="65">F79/F$451</f>
        <v>0.95197967174008868</v>
      </c>
      <c r="T79" s="24">
        <f t="shared" ref="T79:T89" si="66">G79/G$451</f>
        <v>0.95450946234856282</v>
      </c>
      <c r="U79" s="24">
        <f t="shared" ref="U79:U89" si="67">H79/H$451</f>
        <v>0.96394227554200274</v>
      </c>
      <c r="V79" s="24">
        <f t="shared" ref="V79:V89" si="68">I79/I$451</f>
        <v>0.96370646278507477</v>
      </c>
      <c r="W79" s="24">
        <f t="shared" ref="W79:W89" si="69">J79/J$451</f>
        <v>0.96560081915155604</v>
      </c>
      <c r="X79" s="24">
        <f t="shared" ref="X79:X89" si="70">K79/K$451</f>
        <v>0.97482098991271626</v>
      </c>
      <c r="Y79" s="24">
        <f t="shared" ref="Y79:Y89" si="71">L79/L$451</f>
        <v>1.0498671036866676</v>
      </c>
      <c r="Z79" s="24">
        <f t="shared" ref="Z79:Z89" si="72">M79/M$451</f>
        <v>1.0362841142888286</v>
      </c>
    </row>
    <row r="80" spans="1:26">
      <c r="A80" s="21" t="s">
        <v>5953</v>
      </c>
      <c r="B80" s="23">
        <f>LEICESTERSHIRE!D8</f>
        <v>129911</v>
      </c>
      <c r="C80" s="23">
        <f>LEICESTERSHIRE!E8</f>
        <v>130936</v>
      </c>
      <c r="D80" s="23">
        <f>LEICESTERSHIRE!F8</f>
        <v>131782</v>
      </c>
      <c r="E80" s="23">
        <f>LEICESTERSHIRE!G8</f>
        <v>132712</v>
      </c>
      <c r="F80" s="23">
        <f>LEICESTERSHIRE!H8</f>
        <v>133185</v>
      </c>
      <c r="G80" s="23">
        <f>LEICESTERSHIRE!I8</f>
        <v>124752</v>
      </c>
      <c r="H80" s="23">
        <f>LEICESTERSHIRE!J8</f>
        <v>127526</v>
      </c>
      <c r="I80" s="23">
        <f>LEICESTERSHIRE!K8</f>
        <v>131411</v>
      </c>
      <c r="J80" s="23">
        <f>LEICESTERSHIRE!L8</f>
        <v>129612</v>
      </c>
      <c r="K80" s="23">
        <f>LEICESTERSHIRE!M8</f>
        <v>129609</v>
      </c>
      <c r="L80" s="23">
        <f>LEICESTERSHIRE!N8</f>
        <v>137035</v>
      </c>
      <c r="M80" s="23">
        <f>LEICESTERSHIRE!O8</f>
        <v>137316</v>
      </c>
      <c r="N80" s="16"/>
      <c r="O80" s="24">
        <f t="shared" si="61"/>
        <v>1.7108860559447927</v>
      </c>
      <c r="P80" s="24">
        <f t="shared" si="62"/>
        <v>1.708432823162537</v>
      </c>
      <c r="Q80" s="24">
        <f t="shared" si="63"/>
        <v>1.7096560760758164</v>
      </c>
      <c r="R80" s="24">
        <f t="shared" si="64"/>
        <v>1.7125454873925723</v>
      </c>
      <c r="S80" s="24">
        <f t="shared" si="65"/>
        <v>1.7266704695724324</v>
      </c>
      <c r="T80" s="24">
        <f t="shared" si="66"/>
        <v>1.6463694670995328</v>
      </c>
      <c r="U80" s="24">
        <f t="shared" si="67"/>
        <v>1.7055999144030281</v>
      </c>
      <c r="V80" s="24">
        <f t="shared" si="68"/>
        <v>1.717454093968503</v>
      </c>
      <c r="W80" s="24">
        <f t="shared" si="69"/>
        <v>1.6799346752556608</v>
      </c>
      <c r="X80" s="24">
        <f t="shared" si="70"/>
        <v>1.6935268907123817</v>
      </c>
      <c r="Y80" s="24">
        <f t="shared" si="71"/>
        <v>1.8871965075124288</v>
      </c>
      <c r="Z80" s="24">
        <f t="shared" si="72"/>
        <v>1.8709686209856526</v>
      </c>
    </row>
    <row r="81" spans="1:26">
      <c r="A81" s="21" t="s">
        <v>5954</v>
      </c>
      <c r="B81" s="23">
        <f>LEICESTERSHIRE!D9</f>
        <v>65051</v>
      </c>
      <c r="C81" s="23">
        <f>LEICESTERSHIRE!E9</f>
        <v>65594</v>
      </c>
      <c r="D81" s="23">
        <f>LEICESTERSHIRE!F9</f>
        <v>65748</v>
      </c>
      <c r="E81" s="23">
        <f>LEICESTERSHIRE!G9</f>
        <v>66579</v>
      </c>
      <c r="F81" s="23">
        <f>LEICESTERSHIRE!H9</f>
        <v>67111</v>
      </c>
      <c r="G81" s="23">
        <f>LEICESTERSHIRE!I9</f>
        <v>65562</v>
      </c>
      <c r="H81" s="23">
        <f>LEICESTERSHIRE!J9</f>
        <v>63449</v>
      </c>
      <c r="I81" s="23">
        <f>LEICESTERSHIRE!K9</f>
        <v>66650</v>
      </c>
      <c r="J81" s="23">
        <f>LEICESTERSHIRE!L9</f>
        <v>67688</v>
      </c>
      <c r="K81" s="23">
        <f>LEICESTERSHIRE!M9</f>
        <v>68408</v>
      </c>
      <c r="L81" s="23">
        <f>LEICESTERSHIRE!N9</f>
        <v>71122</v>
      </c>
      <c r="M81" s="23">
        <f>LEICESTERSHIRE!O9</f>
        <v>71190</v>
      </c>
      <c r="N81" s="16"/>
      <c r="O81" s="24">
        <f t="shared" si="61"/>
        <v>0.85670073223410415</v>
      </c>
      <c r="P81" s="24">
        <f t="shared" si="62"/>
        <v>0.85586044023433927</v>
      </c>
      <c r="Q81" s="24">
        <f t="shared" si="63"/>
        <v>0.85297284674563123</v>
      </c>
      <c r="R81" s="24">
        <f t="shared" si="64"/>
        <v>0.85915038583632286</v>
      </c>
      <c r="S81" s="24">
        <f t="shared" si="65"/>
        <v>0.8700573028755153</v>
      </c>
      <c r="T81" s="24">
        <f t="shared" si="66"/>
        <v>0.86523081795866652</v>
      </c>
      <c r="U81" s="24">
        <f t="shared" si="67"/>
        <v>0.84860035576241488</v>
      </c>
      <c r="V81" s="24">
        <f t="shared" si="68"/>
        <v>0.87107103182382539</v>
      </c>
      <c r="W81" s="24">
        <f t="shared" si="69"/>
        <v>0.87732168548209399</v>
      </c>
      <c r="X81" s="24">
        <f t="shared" si="70"/>
        <v>0.8938483248837088</v>
      </c>
      <c r="Y81" s="24">
        <f t="shared" si="71"/>
        <v>0.97946648671725445</v>
      </c>
      <c r="Z81" s="24">
        <f t="shared" si="72"/>
        <v>0.96998351341408584</v>
      </c>
    </row>
    <row r="82" spans="1:26">
      <c r="A82" s="21" t="s">
        <v>5955</v>
      </c>
      <c r="B82" s="23">
        <f>LEICESTERSHIRE!D10</f>
        <v>82877</v>
      </c>
      <c r="C82" s="23">
        <f>LEICESTERSHIRE!E10</f>
        <v>83309</v>
      </c>
      <c r="D82" s="23">
        <f>LEICESTERSHIRE!F10</f>
        <v>84001</v>
      </c>
      <c r="E82" s="23">
        <f>LEICESTERSHIRE!G10</f>
        <v>84838</v>
      </c>
      <c r="F82" s="23">
        <f>LEICESTERSHIRE!H10</f>
        <v>84913</v>
      </c>
      <c r="G82" s="23">
        <f>LEICESTERSHIRE!I10</f>
        <v>84052</v>
      </c>
      <c r="H82" s="23">
        <f>LEICESTERSHIRE!J10</f>
        <v>83628</v>
      </c>
      <c r="I82" s="23">
        <f>LEICESTERSHIRE!K10</f>
        <v>84789</v>
      </c>
      <c r="J82" s="23">
        <f>LEICESTERSHIRE!L10</f>
        <v>86573</v>
      </c>
      <c r="K82" s="23">
        <f>LEICESTERSHIRE!M10</f>
        <v>85808</v>
      </c>
      <c r="L82" s="23">
        <f>LEICESTERSHIRE!N10</f>
        <v>87602</v>
      </c>
      <c r="M82" s="23">
        <f>LEICESTERSHIRE!O10</f>
        <v>87542</v>
      </c>
      <c r="N82" s="16"/>
      <c r="O82" s="24">
        <f t="shared" si="61"/>
        <v>1.0914634146341464</v>
      </c>
      <c r="P82" s="24">
        <f t="shared" si="62"/>
        <v>1.0870030401482236</v>
      </c>
      <c r="Q82" s="24">
        <f t="shared" si="63"/>
        <v>1.0897756905073883</v>
      </c>
      <c r="R82" s="24">
        <f t="shared" si="64"/>
        <v>1.0947686272485613</v>
      </c>
      <c r="S82" s="24">
        <f t="shared" si="65"/>
        <v>1.1008504680166982</v>
      </c>
      <c r="T82" s="24">
        <f t="shared" si="66"/>
        <v>1.1092459154855228</v>
      </c>
      <c r="U82" s="24">
        <f t="shared" si="67"/>
        <v>1.1184849335954741</v>
      </c>
      <c r="V82" s="24">
        <f t="shared" si="68"/>
        <v>1.1081356596745735</v>
      </c>
      <c r="W82" s="24">
        <f t="shared" si="69"/>
        <v>1.1220950578720206</v>
      </c>
      <c r="X82" s="24">
        <f t="shared" si="70"/>
        <v>1.1212042021638007</v>
      </c>
      <c r="Y82" s="24">
        <f t="shared" si="71"/>
        <v>1.2064230922837509</v>
      </c>
      <c r="Z82" s="24">
        <f t="shared" si="72"/>
        <v>1.1927840529750793</v>
      </c>
    </row>
    <row r="83" spans="1:26">
      <c r="A83" s="21" t="s">
        <v>5956</v>
      </c>
      <c r="B83" s="23">
        <f>LEICESTERSHIRE!D11</f>
        <v>37655</v>
      </c>
      <c r="C83" s="23">
        <f>LEICESTERSHIRE!E11</f>
        <v>38266</v>
      </c>
      <c r="D83" s="23">
        <f>LEICESTERSHIRE!F11</f>
        <v>38399</v>
      </c>
      <c r="E83" s="23">
        <f>LEICESTERSHIRE!G11</f>
        <v>38381</v>
      </c>
      <c r="F83" s="23">
        <f>LEICESTERSHIRE!H11</f>
        <v>38473</v>
      </c>
      <c r="G83" s="23">
        <f>LEICESTERSHIRE!I11</f>
        <v>37633</v>
      </c>
      <c r="H83" s="23">
        <f>LEICESTERSHIRE!J11</f>
        <v>36820</v>
      </c>
      <c r="I83" s="23">
        <f>LEICESTERSHIRE!K11</f>
        <v>37948</v>
      </c>
      <c r="J83" s="23">
        <f>LEICESTERSHIRE!L11</f>
        <v>38246</v>
      </c>
      <c r="K83" s="23">
        <f>LEICESTERSHIRE!M11</f>
        <v>38285</v>
      </c>
      <c r="L83" s="23">
        <f>LEICESTERSHIRE!N11</f>
        <v>39339</v>
      </c>
      <c r="M83" s="23">
        <f>LEICESTERSHIRE!O11</f>
        <v>39259</v>
      </c>
      <c r="N83" s="16"/>
      <c r="O83" s="24">
        <f t="shared" si="61"/>
        <v>0.49590423010061635</v>
      </c>
      <c r="P83" s="24">
        <f t="shared" si="62"/>
        <v>0.49928889236831459</v>
      </c>
      <c r="Q83" s="24">
        <f t="shared" si="63"/>
        <v>0.49816426875624342</v>
      </c>
      <c r="R83" s="24">
        <f t="shared" si="64"/>
        <v>0.49527705370738379</v>
      </c>
      <c r="S83" s="24">
        <f t="shared" si="65"/>
        <v>0.49878134156143855</v>
      </c>
      <c r="T83" s="24">
        <f t="shared" si="66"/>
        <v>0.49664792672948505</v>
      </c>
      <c r="U83" s="24">
        <f t="shared" si="67"/>
        <v>0.4924500795784349</v>
      </c>
      <c r="V83" s="24">
        <f t="shared" si="68"/>
        <v>0.4959550414951317</v>
      </c>
      <c r="W83" s="24">
        <f t="shared" si="69"/>
        <v>0.49571630396744132</v>
      </c>
      <c r="X83" s="24">
        <f t="shared" si="70"/>
        <v>0.50024826216484608</v>
      </c>
      <c r="Y83" s="24">
        <f t="shared" si="71"/>
        <v>0.54176249431919909</v>
      </c>
      <c r="Z83" s="24">
        <f t="shared" si="72"/>
        <v>0.53491477388851794</v>
      </c>
    </row>
    <row r="84" spans="1:26">
      <c r="A84" s="21" t="s">
        <v>5957</v>
      </c>
      <c r="B84" s="23">
        <f>LEICESTERSHIRE!D12</f>
        <v>71108</v>
      </c>
      <c r="C84" s="23">
        <f>LEICESTERSHIRE!E12</f>
        <v>72022</v>
      </c>
      <c r="D84" s="23">
        <f>LEICESTERSHIRE!F12</f>
        <v>72392</v>
      </c>
      <c r="E84" s="23">
        <f>LEICESTERSHIRE!G12</f>
        <v>72823</v>
      </c>
      <c r="F84" s="23">
        <f>LEICESTERSHIRE!H12</f>
        <v>72678</v>
      </c>
      <c r="G84" s="23">
        <f>LEICESTERSHIRE!I12</f>
        <v>70231</v>
      </c>
      <c r="H84" s="23">
        <f>LEICESTERSHIRE!J12</f>
        <v>71377</v>
      </c>
      <c r="I84" s="23">
        <f>LEICESTERSHIRE!K12</f>
        <v>74767</v>
      </c>
      <c r="J84" s="23">
        <f>LEICESTERSHIRE!L12</f>
        <v>76225</v>
      </c>
      <c r="K84" s="23">
        <f>LEICESTERSHIRE!M12</f>
        <v>77909</v>
      </c>
      <c r="L84" s="23">
        <f>LEICESTERSHIRE!N12</f>
        <v>78748</v>
      </c>
      <c r="M84" s="23">
        <f>LEICESTERSHIRE!O12</f>
        <v>79551</v>
      </c>
      <c r="N84" s="16"/>
      <c r="O84" s="24">
        <f t="shared" si="61"/>
        <v>0.9364694726860876</v>
      </c>
      <c r="P84" s="24">
        <f t="shared" si="62"/>
        <v>0.93973199723385659</v>
      </c>
      <c r="Q84" s="24">
        <f t="shared" si="63"/>
        <v>0.93916788832526821</v>
      </c>
      <c r="R84" s="24">
        <f t="shared" si="64"/>
        <v>0.93972436575734897</v>
      </c>
      <c r="S84" s="24">
        <f t="shared" si="65"/>
        <v>0.94223040423159699</v>
      </c>
      <c r="T84" s="24">
        <f t="shared" si="66"/>
        <v>0.92684825929738435</v>
      </c>
      <c r="U84" s="24">
        <f t="shared" si="67"/>
        <v>0.95463360483622894</v>
      </c>
      <c r="V84" s="24">
        <f t="shared" si="68"/>
        <v>0.97715480624714113</v>
      </c>
      <c r="W84" s="24">
        <f t="shared" si="69"/>
        <v>0.98797195183596231</v>
      </c>
      <c r="X84" s="24">
        <f t="shared" si="70"/>
        <v>1.0179924737364763</v>
      </c>
      <c r="Y84" s="24">
        <f t="shared" si="71"/>
        <v>1.0844890033465082</v>
      </c>
      <c r="Z84" s="24">
        <f t="shared" si="72"/>
        <v>1.0839044595533633</v>
      </c>
    </row>
    <row r="85" spans="1:26">
      <c r="A85" s="21" t="s">
        <v>5958</v>
      </c>
      <c r="B85" s="23">
        <f>LEICESTERSHIRE!D13</f>
        <v>44786</v>
      </c>
      <c r="C85" s="23">
        <f>LEICESTERSHIRE!E13</f>
        <v>45046</v>
      </c>
      <c r="D85" s="23">
        <f>LEICESTERSHIRE!F13</f>
        <v>44892</v>
      </c>
      <c r="E85" s="23">
        <f>LEICESTERSHIRE!G13</f>
        <v>45001</v>
      </c>
      <c r="F85" s="23">
        <f>LEICESTERSHIRE!H13</f>
        <v>44899</v>
      </c>
      <c r="G85" s="23">
        <f>LEICESTERSHIRE!I13</f>
        <v>42362</v>
      </c>
      <c r="H85" s="23">
        <f>LEICESTERSHIRE!J13</f>
        <v>41620</v>
      </c>
      <c r="I85" s="23">
        <f>LEICESTERSHIRE!K13</f>
        <v>41451</v>
      </c>
      <c r="J85" s="23">
        <f>LEICESTERSHIRE!L13</f>
        <v>41780</v>
      </c>
      <c r="K85" s="23">
        <f>LEICESTERSHIRE!M13</f>
        <v>42050</v>
      </c>
      <c r="L85" s="23">
        <f>LEICESTERSHIRE!N13</f>
        <v>43426</v>
      </c>
      <c r="M85" s="23">
        <f>LEICESTERSHIRE!O13</f>
        <v>43315</v>
      </c>
      <c r="N85" s="16"/>
      <c r="O85" s="24">
        <f t="shared" si="61"/>
        <v>0.58981720486751299</v>
      </c>
      <c r="P85" s="24">
        <f t="shared" si="62"/>
        <v>0.58775329131926779</v>
      </c>
      <c r="Q85" s="24">
        <f t="shared" si="63"/>
        <v>0.58240033211816145</v>
      </c>
      <c r="R85" s="24">
        <f t="shared" si="64"/>
        <v>0.58070302216945824</v>
      </c>
      <c r="S85" s="24">
        <f t="shared" si="65"/>
        <v>0.58209090673373609</v>
      </c>
      <c r="T85" s="24">
        <f t="shared" si="66"/>
        <v>0.55905719639982054</v>
      </c>
      <c r="U85" s="24">
        <f t="shared" si="67"/>
        <v>0.55664780858377139</v>
      </c>
      <c r="V85" s="24">
        <f t="shared" si="68"/>
        <v>0.5417369143305234</v>
      </c>
      <c r="W85" s="24">
        <f t="shared" si="69"/>
        <v>0.5415213925576452</v>
      </c>
      <c r="X85" s="24">
        <f t="shared" si="70"/>
        <v>0.54944337009355559</v>
      </c>
      <c r="Y85" s="24">
        <f t="shared" si="71"/>
        <v>0.59804718163414261</v>
      </c>
      <c r="Z85" s="24">
        <f t="shared" si="72"/>
        <v>0.59017889989508532</v>
      </c>
    </row>
    <row r="86" spans="1:26">
      <c r="A86" s="21" t="s">
        <v>5959</v>
      </c>
      <c r="B86" s="23">
        <f t="shared" ref="B86:G86" si="73">SUM(B79:B85)</f>
        <v>503903</v>
      </c>
      <c r="C86" s="23">
        <f t="shared" si="73"/>
        <v>508199</v>
      </c>
      <c r="D86" s="23">
        <f t="shared" si="73"/>
        <v>510354</v>
      </c>
      <c r="E86" s="23">
        <f t="shared" si="73"/>
        <v>514121</v>
      </c>
      <c r="F86" s="23">
        <f t="shared" si="73"/>
        <v>514689</v>
      </c>
      <c r="G86" s="23">
        <f t="shared" si="73"/>
        <v>496919</v>
      </c>
      <c r="H86" s="23">
        <f t="shared" ref="H86:M86" si="74">SUM(H79:H85)</f>
        <v>496493</v>
      </c>
      <c r="I86" s="23">
        <f t="shared" si="74"/>
        <v>510754</v>
      </c>
      <c r="J86" s="23">
        <f t="shared" si="74"/>
        <v>514623</v>
      </c>
      <c r="K86" s="23">
        <f t="shared" si="74"/>
        <v>516674</v>
      </c>
      <c r="L86" s="23">
        <f t="shared" si="74"/>
        <v>533506</v>
      </c>
      <c r="M86" s="23">
        <f t="shared" si="74"/>
        <v>534229</v>
      </c>
      <c r="N86" s="16"/>
      <c r="O86" s="24">
        <f t="shared" si="61"/>
        <v>6.6362403202865723</v>
      </c>
      <c r="P86" s="24">
        <f t="shared" si="62"/>
        <v>6.6309025195391502</v>
      </c>
      <c r="Q86" s="24">
        <f t="shared" si="63"/>
        <v>6.6210090683826106</v>
      </c>
      <c r="R86" s="24">
        <f t="shared" si="64"/>
        <v>6.6343329806178541</v>
      </c>
      <c r="S86" s="24">
        <f t="shared" si="65"/>
        <v>6.6726605647315065</v>
      </c>
      <c r="T86" s="24">
        <f t="shared" si="66"/>
        <v>6.5579090453189748</v>
      </c>
      <c r="U86" s="24">
        <f t="shared" si="67"/>
        <v>6.640358972301355</v>
      </c>
      <c r="V86" s="24">
        <f t="shared" si="68"/>
        <v>6.6752140103247726</v>
      </c>
      <c r="W86" s="24">
        <f t="shared" si="69"/>
        <v>6.6701618861223801</v>
      </c>
      <c r="X86" s="24">
        <f t="shared" si="70"/>
        <v>6.7510845136674851</v>
      </c>
      <c r="Y86" s="24">
        <f t="shared" si="71"/>
        <v>7.347251869499952</v>
      </c>
      <c r="Z86" s="24">
        <f t="shared" si="72"/>
        <v>7.2790184350006131</v>
      </c>
    </row>
    <row r="87" spans="1:26">
      <c r="A87" s="21" t="s">
        <v>5952</v>
      </c>
      <c r="B87" s="23">
        <f>LEICESTER!D3</f>
        <v>215534</v>
      </c>
      <c r="C87" s="23">
        <f>LEICESTER!E3</f>
        <v>218242</v>
      </c>
      <c r="D87" s="23">
        <f>LEICESTER!F3</f>
        <v>221621</v>
      </c>
      <c r="E87" s="23">
        <f>LEICESTER!G3</f>
        <v>220937</v>
      </c>
      <c r="F87" s="23">
        <f>LEICESTER!H3</f>
        <v>219873</v>
      </c>
      <c r="G87" s="23">
        <f>LEICESTER!I3</f>
        <v>206793</v>
      </c>
      <c r="H87" s="23">
        <f>LEICESTER!J3</f>
        <v>210775</v>
      </c>
      <c r="I87" s="23">
        <f>LEICESTER!K3</f>
        <v>217838</v>
      </c>
      <c r="J87" s="23">
        <f>LEICESTER!L3</f>
        <v>219271</v>
      </c>
      <c r="K87" s="23">
        <f>LEICESTER!M3</f>
        <v>214815</v>
      </c>
      <c r="L87" s="23">
        <f>LEICESTER!N3</f>
        <v>218441</v>
      </c>
      <c r="M87" s="23">
        <f>LEICESTER!O3</f>
        <v>220320</v>
      </c>
      <c r="N87" s="16"/>
      <c r="O87" s="24">
        <f t="shared" si="61"/>
        <v>2.8385134067323397</v>
      </c>
      <c r="P87" s="24">
        <f t="shared" si="62"/>
        <v>2.8475881055831733</v>
      </c>
      <c r="Q87" s="24">
        <f t="shared" si="63"/>
        <v>2.8751702754245536</v>
      </c>
      <c r="R87" s="24">
        <f t="shared" si="64"/>
        <v>2.8510207241850982</v>
      </c>
      <c r="S87" s="24">
        <f t="shared" si="65"/>
        <v>2.850532838955584</v>
      </c>
      <c r="T87" s="24">
        <f t="shared" si="66"/>
        <v>2.7290759363370021</v>
      </c>
      <c r="U87" s="24">
        <f t="shared" si="67"/>
        <v>2.8190159023124557</v>
      </c>
      <c r="V87" s="24">
        <f t="shared" si="68"/>
        <v>2.846997320786774</v>
      </c>
      <c r="W87" s="24">
        <f t="shared" si="69"/>
        <v>2.8420281777766259</v>
      </c>
      <c r="X87" s="24">
        <f t="shared" si="70"/>
        <v>2.8068651021794806</v>
      </c>
      <c r="Y87" s="24">
        <f t="shared" si="71"/>
        <v>3.008290526489747</v>
      </c>
      <c r="Z87" s="24">
        <f t="shared" si="72"/>
        <v>3.0019211641437193</v>
      </c>
    </row>
    <row r="88" spans="1:26">
      <c r="A88" s="21" t="s">
        <v>5960</v>
      </c>
      <c r="B88" s="23">
        <f>LEICESTERSHIRE!D4</f>
        <v>29006</v>
      </c>
      <c r="C88" s="23">
        <f>LEICESTERSHIRE!E4</f>
        <v>28437</v>
      </c>
      <c r="D88" s="23">
        <f>LEICESTERSHIRE!F4</f>
        <v>28331</v>
      </c>
      <c r="E88" s="23">
        <f>LEICESTERSHIRE!G4</f>
        <v>28707</v>
      </c>
      <c r="F88" s="23">
        <f>LEICESTERSHIRE!H4</f>
        <v>28954</v>
      </c>
      <c r="G88" s="23">
        <f>LEICESTERSHIRE!I4</f>
        <v>29053</v>
      </c>
      <c r="H88" s="23">
        <f>LEICESTERSHIRE!J4</f>
        <v>27355</v>
      </c>
      <c r="I88" s="23">
        <f>LEICESTERSHIRE!K4</f>
        <v>28933</v>
      </c>
      <c r="J88" s="23">
        <f>LEICESTERSHIRE!L4</f>
        <v>28836</v>
      </c>
      <c r="K88" s="23">
        <f>LEICESTERSHIRE!M4</f>
        <v>29106</v>
      </c>
      <c r="L88" s="23">
        <f>LEICESTERSHIRE!N4</f>
        <v>29128</v>
      </c>
      <c r="M88" s="23">
        <f>LEICESTERSHIRE!O4</f>
        <v>30154</v>
      </c>
      <c r="N88" s="16"/>
      <c r="O88" s="24">
        <f t="shared" si="61"/>
        <v>0.38199968392772482</v>
      </c>
      <c r="P88" s="24">
        <f t="shared" si="62"/>
        <v>0.37104160958233845</v>
      </c>
      <c r="Q88" s="24">
        <f t="shared" si="63"/>
        <v>0.36754842308740154</v>
      </c>
      <c r="R88" s="24">
        <f t="shared" si="64"/>
        <v>0.37044158257413479</v>
      </c>
      <c r="S88" s="24">
        <f t="shared" si="65"/>
        <v>0.37537272797987919</v>
      </c>
      <c r="T88" s="24">
        <f t="shared" si="66"/>
        <v>0.3834164753081532</v>
      </c>
      <c r="U88" s="24">
        <f t="shared" si="67"/>
        <v>0.36586018269603715</v>
      </c>
      <c r="V88" s="24">
        <f t="shared" si="68"/>
        <v>0.37813500620793311</v>
      </c>
      <c r="W88" s="24">
        <f t="shared" si="69"/>
        <v>0.3737508586833953</v>
      </c>
      <c r="X88" s="24">
        <f t="shared" si="70"/>
        <v>0.38031150368473321</v>
      </c>
      <c r="Y88" s="24">
        <f t="shared" si="71"/>
        <v>0.40114029168330739</v>
      </c>
      <c r="Z88" s="24">
        <f t="shared" si="72"/>
        <v>0.41085662120365701</v>
      </c>
    </row>
    <row r="89" spans="1:26">
      <c r="A89" s="25" t="s">
        <v>9773</v>
      </c>
      <c r="B89" s="23">
        <f t="shared" ref="B89:M89" si="75">SUM(B86:B88)</f>
        <v>748443</v>
      </c>
      <c r="C89" s="23">
        <f t="shared" si="75"/>
        <v>754878</v>
      </c>
      <c r="D89" s="23">
        <f t="shared" si="75"/>
        <v>760306</v>
      </c>
      <c r="E89" s="23">
        <f t="shared" si="75"/>
        <v>763765</v>
      </c>
      <c r="F89" s="23">
        <f t="shared" si="75"/>
        <v>763516</v>
      </c>
      <c r="G89" s="23">
        <f t="shared" si="75"/>
        <v>732765</v>
      </c>
      <c r="H89" s="23">
        <f t="shared" si="75"/>
        <v>734623</v>
      </c>
      <c r="I89" s="23">
        <f t="shared" si="75"/>
        <v>757525</v>
      </c>
      <c r="J89" s="23">
        <f t="shared" si="75"/>
        <v>762730</v>
      </c>
      <c r="K89" s="23">
        <f t="shared" si="75"/>
        <v>760595</v>
      </c>
      <c r="L89" s="23">
        <f t="shared" si="75"/>
        <v>781075</v>
      </c>
      <c r="M89" s="23">
        <f t="shared" si="75"/>
        <v>784703</v>
      </c>
      <c r="N89" s="16"/>
      <c r="O89" s="24">
        <f t="shared" si="61"/>
        <v>9.8567534109466362</v>
      </c>
      <c r="P89" s="24">
        <f t="shared" si="62"/>
        <v>9.8495322347046628</v>
      </c>
      <c r="Q89" s="24">
        <f t="shared" si="63"/>
        <v>9.8637277668945647</v>
      </c>
      <c r="R89" s="24">
        <f t="shared" si="64"/>
        <v>9.855795287377088</v>
      </c>
      <c r="S89" s="24">
        <f t="shared" si="65"/>
        <v>9.8985661316669695</v>
      </c>
      <c r="T89" s="24">
        <f t="shared" si="66"/>
        <v>9.6704014569641306</v>
      </c>
      <c r="U89" s="24">
        <f t="shared" si="67"/>
        <v>9.8252350573098468</v>
      </c>
      <c r="V89" s="24">
        <f t="shared" si="68"/>
        <v>9.9003463373194798</v>
      </c>
      <c r="W89" s="24">
        <f t="shared" si="69"/>
        <v>9.8859409225824013</v>
      </c>
      <c r="X89" s="24">
        <f t="shared" si="70"/>
        <v>9.938261119531699</v>
      </c>
      <c r="Y89" s="24">
        <f t="shared" si="71"/>
        <v>10.756682687673006</v>
      </c>
      <c r="Z89" s="24">
        <f t="shared" si="72"/>
        <v>10.691796220347989</v>
      </c>
    </row>
    <row r="90" spans="1:26">
      <c r="A90" s="16"/>
      <c r="B90" s="23"/>
      <c r="C90" s="23"/>
      <c r="D90" s="23"/>
      <c r="E90" s="23"/>
      <c r="F90" s="23"/>
      <c r="G90" s="23"/>
      <c r="H90" s="23"/>
      <c r="I90" s="23"/>
      <c r="J90" s="23"/>
      <c r="K90" s="23"/>
      <c r="L90" s="23"/>
      <c r="M90" s="23"/>
      <c r="N90" s="16"/>
      <c r="O90" s="16"/>
      <c r="P90" s="16"/>
      <c r="Q90" s="16"/>
      <c r="R90" s="16"/>
      <c r="S90" s="16"/>
      <c r="T90" s="16"/>
      <c r="U90" s="16"/>
      <c r="V90" s="16"/>
      <c r="W90" s="16"/>
      <c r="X90" s="16"/>
      <c r="Y90" s="16"/>
      <c r="Z90" s="16"/>
    </row>
    <row r="91" spans="1:26">
      <c r="A91" s="21" t="s">
        <v>5961</v>
      </c>
      <c r="B91" s="23">
        <f>LINCOLNSHIRE!D5</f>
        <v>44167</v>
      </c>
      <c r="C91" s="23">
        <f>LINCOLNSHIRE!E5</f>
        <v>44117</v>
      </c>
      <c r="D91" s="23">
        <f>LINCOLNSHIRE!F5</f>
        <v>44030</v>
      </c>
      <c r="E91" s="23">
        <f>LINCOLNSHIRE!G5</f>
        <v>43915</v>
      </c>
      <c r="F91" s="23">
        <f>LINCOLNSHIRE!H5</f>
        <v>43313</v>
      </c>
      <c r="G91" s="23">
        <f>LINCOLNSHIRE!I5</f>
        <v>40833</v>
      </c>
      <c r="H91" s="23">
        <f>LINCOLNSHIRE!J5</f>
        <v>39834</v>
      </c>
      <c r="I91" s="23">
        <f>LINCOLNSHIRE!K5</f>
        <v>39739</v>
      </c>
      <c r="J91" s="23">
        <f>LINCOLNSHIRE!L5</f>
        <v>40157</v>
      </c>
      <c r="K91" s="23">
        <f>LINCOLNSHIRE!M5</f>
        <v>40526</v>
      </c>
      <c r="L91" s="23">
        <f>LINCOLNSHIRE!N5</f>
        <v>41254</v>
      </c>
      <c r="M91" s="23">
        <f>LINCOLNSHIRE!O5</f>
        <v>41259</v>
      </c>
      <c r="N91" s="16"/>
      <c r="O91" s="24">
        <f t="shared" ref="O91:Z98" si="76">B91/B$451</f>
        <v>0.58166517410314489</v>
      </c>
      <c r="P91" s="24">
        <f t="shared" si="76"/>
        <v>0.5756318419644838</v>
      </c>
      <c r="Q91" s="24">
        <f t="shared" si="76"/>
        <v>0.57121729090177864</v>
      </c>
      <c r="R91" s="24">
        <f t="shared" si="76"/>
        <v>0.56668903398972825</v>
      </c>
      <c r="S91" s="24">
        <f t="shared" si="76"/>
        <v>0.56152928669587987</v>
      </c>
      <c r="T91" s="24">
        <f t="shared" si="76"/>
        <v>0.53887877108242932</v>
      </c>
      <c r="U91" s="24">
        <f t="shared" si="76"/>
        <v>0.53276090358303574</v>
      </c>
      <c r="V91" s="24">
        <f t="shared" si="76"/>
        <v>0.51936221655884462</v>
      </c>
      <c r="W91" s="24">
        <f t="shared" si="76"/>
        <v>0.52048526952937668</v>
      </c>
      <c r="X91" s="24">
        <f t="shared" si="76"/>
        <v>0.52953013118695447</v>
      </c>
      <c r="Y91" s="24">
        <f t="shared" si="76"/>
        <v>0.56813518240535443</v>
      </c>
      <c r="Z91" s="24">
        <f t="shared" si="76"/>
        <v>0.56216532911858075</v>
      </c>
    </row>
    <row r="92" spans="1:26">
      <c r="A92" s="21" t="s">
        <v>5962</v>
      </c>
      <c r="B92" s="23">
        <f>LINCOLNSHIRE!D6</f>
        <v>105825</v>
      </c>
      <c r="C92" s="23">
        <f>LINCOLNSHIRE!E6</f>
        <v>104586</v>
      </c>
      <c r="D92" s="23">
        <f>LINCOLNSHIRE!F6</f>
        <v>104757</v>
      </c>
      <c r="E92" s="23">
        <f>LINCOLNSHIRE!G6</f>
        <v>101192</v>
      </c>
      <c r="F92" s="23">
        <f>LINCOLNSHIRE!H6</f>
        <v>106037</v>
      </c>
      <c r="G92" s="23">
        <f>LINCOLNSHIRE!I6</f>
        <v>100037</v>
      </c>
      <c r="H92" s="23">
        <f>LINCOLNSHIRE!J6</f>
        <v>102964</v>
      </c>
      <c r="I92" s="23">
        <f>LINCOLNSHIRE!K6</f>
        <v>107124</v>
      </c>
      <c r="J92" s="23">
        <f>LINCOLNSHIRE!L6</f>
        <v>108850</v>
      </c>
      <c r="K92" s="23">
        <f>LINCOLNSHIRE!M6</f>
        <v>108567</v>
      </c>
      <c r="L92" s="23">
        <f>LINCOLNSHIRE!N6</f>
        <v>111240</v>
      </c>
      <c r="M92" s="23">
        <f>LINCOLNSHIRE!O6</f>
        <v>110506</v>
      </c>
      <c r="N92" s="16"/>
      <c r="O92" s="24">
        <f t="shared" si="76"/>
        <v>1.3936811884317548</v>
      </c>
      <c r="P92" s="24">
        <f t="shared" si="76"/>
        <v>1.3646220691274904</v>
      </c>
      <c r="Q92" s="24">
        <f t="shared" si="76"/>
        <v>1.3590508685668323</v>
      </c>
      <c r="R92" s="24">
        <f t="shared" si="76"/>
        <v>1.3058043203344776</v>
      </c>
      <c r="S92" s="24">
        <f t="shared" si="76"/>
        <v>1.3747115409547022</v>
      </c>
      <c r="T92" s="24">
        <f t="shared" si="76"/>
        <v>1.3202021801673398</v>
      </c>
      <c r="U92" s="24">
        <f t="shared" si="76"/>
        <v>1.377094785271971</v>
      </c>
      <c r="V92" s="24">
        <f t="shared" si="76"/>
        <v>1.4000392079984316</v>
      </c>
      <c r="W92" s="24">
        <f t="shared" si="76"/>
        <v>1.4108330201029124</v>
      </c>
      <c r="X92" s="24">
        <f t="shared" si="76"/>
        <v>1.4185830763602154</v>
      </c>
      <c r="Y92" s="24">
        <f t="shared" si="76"/>
        <v>1.5319570875738504</v>
      </c>
      <c r="Z92" s="24">
        <f t="shared" si="76"/>
        <v>1.5056749281266606</v>
      </c>
    </row>
    <row r="93" spans="1:26">
      <c r="A93" s="21" t="s">
        <v>5963</v>
      </c>
      <c r="B93" s="23">
        <f>LINCOLNSHIRE!D7</f>
        <v>63464</v>
      </c>
      <c r="C93" s="23">
        <f>LINCOLNSHIRE!E7</f>
        <v>63215</v>
      </c>
      <c r="D93" s="23">
        <f>LINCOLNSHIRE!F7</f>
        <v>63266</v>
      </c>
      <c r="E93" s="23">
        <f>LINCOLNSHIRE!G7</f>
        <v>62447</v>
      </c>
      <c r="F93" s="23">
        <f>LINCOLNSHIRE!H7</f>
        <v>61327</v>
      </c>
      <c r="G93" s="23">
        <f>LINCOLNSHIRE!I7</f>
        <v>60111</v>
      </c>
      <c r="H93" s="23">
        <f>LINCOLNSHIRE!J7</f>
        <v>57705</v>
      </c>
      <c r="I93" s="23">
        <f>LINCOLNSHIRE!K7</f>
        <v>58963</v>
      </c>
      <c r="J93" s="23">
        <f>LINCOLNSHIRE!L7</f>
        <v>58504</v>
      </c>
      <c r="K93" s="23">
        <f>LINCOLNSHIRE!M7</f>
        <v>56908</v>
      </c>
      <c r="L93" s="23">
        <f>LINCOLNSHIRE!N7</f>
        <v>64324</v>
      </c>
      <c r="M93" s="23">
        <f>LINCOLNSHIRE!O7</f>
        <v>63939</v>
      </c>
      <c r="N93" s="16"/>
      <c r="O93" s="24">
        <f t="shared" si="76"/>
        <v>0.83580045303692774</v>
      </c>
      <c r="P93" s="24">
        <f t="shared" si="76"/>
        <v>0.8248196135227881</v>
      </c>
      <c r="Q93" s="24">
        <f t="shared" si="76"/>
        <v>0.82077295312722975</v>
      </c>
      <c r="R93" s="24">
        <f t="shared" si="76"/>
        <v>0.80583012878416393</v>
      </c>
      <c r="S93" s="24">
        <f t="shared" si="76"/>
        <v>0.79507091554956311</v>
      </c>
      <c r="T93" s="24">
        <f t="shared" si="76"/>
        <v>0.79329321403119801</v>
      </c>
      <c r="U93" s="24">
        <f t="shared" si="76"/>
        <v>0.77177707338602897</v>
      </c>
      <c r="V93" s="24">
        <f t="shared" si="76"/>
        <v>0.77060707050905053</v>
      </c>
      <c r="W93" s="24">
        <f t="shared" si="76"/>
        <v>0.75828548468627277</v>
      </c>
      <c r="X93" s="24">
        <f t="shared" si="76"/>
        <v>0.74358438300318819</v>
      </c>
      <c r="Y93" s="24">
        <f t="shared" si="76"/>
        <v>0.88584688692107472</v>
      </c>
      <c r="Z93" s="24">
        <f t="shared" si="76"/>
        <v>0.87118662542749303</v>
      </c>
    </row>
    <row r="94" spans="1:26">
      <c r="A94" s="21" t="s">
        <v>5964</v>
      </c>
      <c r="B94" s="23">
        <f>LINCOLNSHIRE!D8</f>
        <v>81126</v>
      </c>
      <c r="C94" s="23">
        <f>LINCOLNSHIRE!E8</f>
        <v>81989</v>
      </c>
      <c r="D94" s="23">
        <f>LINCOLNSHIRE!F8</f>
        <v>83130</v>
      </c>
      <c r="E94" s="23">
        <f>LINCOLNSHIRE!G8</f>
        <v>83815</v>
      </c>
      <c r="F94" s="23">
        <f>LINCOLNSHIRE!H8</f>
        <v>84539</v>
      </c>
      <c r="G94" s="23">
        <f>LINCOLNSHIRE!I8</f>
        <v>81591</v>
      </c>
      <c r="H94" s="23">
        <f>LINCOLNSHIRE!J8</f>
        <v>83059</v>
      </c>
      <c r="I94" s="23">
        <f>LINCOLNSHIRE!K8</f>
        <v>85520</v>
      </c>
      <c r="J94" s="23">
        <f>LINCOLNSHIRE!L8</f>
        <v>86946</v>
      </c>
      <c r="K94" s="23">
        <f>LINCOLNSHIRE!M8</f>
        <v>87893</v>
      </c>
      <c r="L94" s="23">
        <f>LINCOLNSHIRE!N8</f>
        <v>91902</v>
      </c>
      <c r="M94" s="23">
        <f>LINCOLNSHIRE!O8</f>
        <v>90165</v>
      </c>
      <c r="N94" s="16"/>
      <c r="O94" s="24">
        <f t="shared" si="76"/>
        <v>1.068403308223147</v>
      </c>
      <c r="P94" s="24">
        <f t="shared" si="76"/>
        <v>1.0697798828303389</v>
      </c>
      <c r="Q94" s="24">
        <f t="shared" si="76"/>
        <v>1.0784758889998833</v>
      </c>
      <c r="R94" s="24">
        <f t="shared" si="76"/>
        <v>1.0815676052339536</v>
      </c>
      <c r="S94" s="24">
        <f t="shared" si="76"/>
        <v>1.0960017631654004</v>
      </c>
      <c r="T94" s="24">
        <f t="shared" si="76"/>
        <v>1.0767677567503364</v>
      </c>
      <c r="U94" s="24">
        <f t="shared" si="76"/>
        <v>1.1108748278029665</v>
      </c>
      <c r="V94" s="24">
        <f t="shared" si="76"/>
        <v>1.117689341959093</v>
      </c>
      <c r="W94" s="24">
        <f t="shared" si="76"/>
        <v>1.1269296074034709</v>
      </c>
      <c r="X94" s="24">
        <f t="shared" si="76"/>
        <v>1.1484477081482256</v>
      </c>
      <c r="Y94" s="24">
        <f t="shared" si="76"/>
        <v>1.2656411386390867</v>
      </c>
      <c r="Z94" s="24">
        <f t="shared" si="76"/>
        <v>1.2285231561593069</v>
      </c>
    </row>
    <row r="95" spans="1:26">
      <c r="A95" s="21" t="s">
        <v>5965</v>
      </c>
      <c r="B95" s="23">
        <f>LINCOLNSHIRE!D9</f>
        <v>66166</v>
      </c>
      <c r="C95" s="23">
        <f>LINCOLNSHIRE!E9</f>
        <v>66318</v>
      </c>
      <c r="D95" s="23">
        <f>LINCOLNSHIRE!F9</f>
        <v>66084</v>
      </c>
      <c r="E95" s="23">
        <f>LINCOLNSHIRE!G9</f>
        <v>65930</v>
      </c>
      <c r="F95" s="23">
        <f>LINCOLNSHIRE!H9</f>
        <v>64854</v>
      </c>
      <c r="G95" s="23">
        <f>LINCOLNSHIRE!I9</f>
        <v>64719</v>
      </c>
      <c r="H95" s="23">
        <f>LINCOLNSHIRE!J9</f>
        <v>63636</v>
      </c>
      <c r="I95" s="23">
        <f>LINCOLNSHIRE!K9</f>
        <v>66560</v>
      </c>
      <c r="J95" s="23">
        <f>LINCOLNSHIRE!L9</f>
        <v>65795</v>
      </c>
      <c r="K95" s="23">
        <f>LINCOLNSHIRE!M9</f>
        <v>65096</v>
      </c>
      <c r="L95" s="23">
        <f>LINCOLNSHIRE!N9</f>
        <v>65479</v>
      </c>
      <c r="M95" s="23">
        <f>LINCOLNSHIRE!O9</f>
        <v>65069</v>
      </c>
      <c r="N95" s="16"/>
      <c r="O95" s="24">
        <f t="shared" si="76"/>
        <v>0.87138492335247331</v>
      </c>
      <c r="P95" s="24">
        <f t="shared" si="76"/>
        <v>0.86530708106626997</v>
      </c>
      <c r="Q95" s="24">
        <f t="shared" si="76"/>
        <v>0.85733189761419804</v>
      </c>
      <c r="R95" s="24">
        <f t="shared" si="76"/>
        <v>0.85077554391307719</v>
      </c>
      <c r="S95" s="24">
        <f t="shared" si="76"/>
        <v>0.84079653589856618</v>
      </c>
      <c r="T95" s="24">
        <f t="shared" si="76"/>
        <v>0.85410562989943783</v>
      </c>
      <c r="U95" s="24">
        <f t="shared" si="76"/>
        <v>0.85110139228824777</v>
      </c>
      <c r="V95" s="24">
        <f t="shared" si="76"/>
        <v>0.86989479187087504</v>
      </c>
      <c r="W95" s="24">
        <f t="shared" si="76"/>
        <v>0.85278602257851277</v>
      </c>
      <c r="X95" s="24">
        <f t="shared" si="76"/>
        <v>0.85057230962211883</v>
      </c>
      <c r="Y95" s="24">
        <f t="shared" si="76"/>
        <v>0.90175312960489173</v>
      </c>
      <c r="Z95" s="24">
        <f t="shared" si="76"/>
        <v>0.88658318913247858</v>
      </c>
    </row>
    <row r="96" spans="1:26">
      <c r="A96" s="21" t="s">
        <v>6643</v>
      </c>
      <c r="B96" s="23">
        <f>LINCOLNSHIRE!D10</f>
        <v>100933</v>
      </c>
      <c r="C96" s="23">
        <f>LINCOLNSHIRE!E10</f>
        <v>102758</v>
      </c>
      <c r="D96" s="23">
        <f>LINCOLNSHIRE!F10</f>
        <v>102743</v>
      </c>
      <c r="E96" s="23">
        <f>LINCOLNSHIRE!G10</f>
        <v>104467</v>
      </c>
      <c r="F96" s="23">
        <f>LINCOLNSHIRE!H10</f>
        <v>105100</v>
      </c>
      <c r="G96" s="23">
        <f>LINCOLNSHIRE!I10</f>
        <v>102679</v>
      </c>
      <c r="H96" s="23">
        <f>LINCOLNSHIRE!J10</f>
        <v>101682</v>
      </c>
      <c r="I96" s="23">
        <f>LINCOLNSHIRE!K10</f>
        <v>105585</v>
      </c>
      <c r="J96" s="23">
        <f>LINCOLNSHIRE!L10</f>
        <v>104537</v>
      </c>
      <c r="K96" s="23">
        <f>LINCOLNSHIRE!M10</f>
        <v>103129</v>
      </c>
      <c r="L96" s="23">
        <f>LINCOLNSHIRE!N10</f>
        <v>104918</v>
      </c>
      <c r="M96" s="23">
        <f>LINCOLNSHIRE!O10</f>
        <v>106216</v>
      </c>
      <c r="N96" s="16"/>
      <c r="O96" s="24">
        <f t="shared" si="76"/>
        <v>1.3292551230047938</v>
      </c>
      <c r="P96" s="24">
        <f t="shared" si="76"/>
        <v>1.3407706058115108</v>
      </c>
      <c r="Q96" s="24">
        <f t="shared" si="76"/>
        <v>1.3329225100867919</v>
      </c>
      <c r="R96" s="24">
        <f t="shared" si="76"/>
        <v>1.3480656566960023</v>
      </c>
      <c r="S96" s="24">
        <f t="shared" si="76"/>
        <v>1.3625638499235098</v>
      </c>
      <c r="T96" s="24">
        <f t="shared" si="76"/>
        <v>1.3550690210362393</v>
      </c>
      <c r="U96" s="24">
        <f t="shared" si="76"/>
        <v>1.3599486418167956</v>
      </c>
      <c r="V96" s="24">
        <f t="shared" si="76"/>
        <v>1.3799255048029797</v>
      </c>
      <c r="W96" s="24">
        <f t="shared" si="76"/>
        <v>1.3549311109094915</v>
      </c>
      <c r="X96" s="24">
        <f t="shared" si="76"/>
        <v>1.3475278314953223</v>
      </c>
      <c r="Y96" s="24">
        <f t="shared" si="76"/>
        <v>1.4448927877928195</v>
      </c>
      <c r="Z96" s="24">
        <f t="shared" si="76"/>
        <v>1.4472224871581758</v>
      </c>
    </row>
    <row r="97" spans="1:26">
      <c r="A97" s="21" t="s">
        <v>6644</v>
      </c>
      <c r="B97" s="23">
        <f>LINCOLNSHIRE!D11</f>
        <v>71024</v>
      </c>
      <c r="C97" s="23">
        <f>LINCOLNSHIRE!E11</f>
        <v>71945</v>
      </c>
      <c r="D97" s="23">
        <f>LINCOLNSHIRE!F11</f>
        <v>72234</v>
      </c>
      <c r="E97" s="23">
        <f>LINCOLNSHIRE!G11</f>
        <v>72776</v>
      </c>
      <c r="F97" s="23">
        <f>LINCOLNSHIRE!H11</f>
        <v>73315</v>
      </c>
      <c r="G97" s="23">
        <f>LINCOLNSHIRE!I11</f>
        <v>71827</v>
      </c>
      <c r="H97" s="23">
        <f>LINCOLNSHIRE!J11</f>
        <v>72401</v>
      </c>
      <c r="I97" s="23">
        <f>LINCOLNSHIRE!K11</f>
        <v>72884</v>
      </c>
      <c r="J97" s="23">
        <f>LINCOLNSHIRE!L11</f>
        <v>72939</v>
      </c>
      <c r="K97" s="23">
        <f>LINCOLNSHIRE!M11</f>
        <v>72399</v>
      </c>
      <c r="L97" s="23">
        <f>LINCOLNSHIRE!N11</f>
        <v>73789</v>
      </c>
      <c r="M97" s="23">
        <f>LINCOLNSHIRE!O11</f>
        <v>74750</v>
      </c>
      <c r="N97" s="16"/>
      <c r="O97" s="24">
        <f t="shared" si="76"/>
        <v>0.93536321972290992</v>
      </c>
      <c r="P97" s="24">
        <f t="shared" si="76"/>
        <v>0.93872731305697998</v>
      </c>
      <c r="Q97" s="24">
        <f t="shared" si="76"/>
        <v>0.93711809654778744</v>
      </c>
      <c r="R97" s="24">
        <f t="shared" si="76"/>
        <v>0.9391178671897179</v>
      </c>
      <c r="S97" s="24">
        <f t="shared" si="76"/>
        <v>0.95048875982057202</v>
      </c>
      <c r="T97" s="24">
        <f t="shared" si="76"/>
        <v>0.94791089291841524</v>
      </c>
      <c r="U97" s="24">
        <f t="shared" si="76"/>
        <v>0.9683291203573674</v>
      </c>
      <c r="V97" s="24">
        <f t="shared" si="76"/>
        <v>0.95254525256485656</v>
      </c>
      <c r="W97" s="24">
        <f t="shared" si="76"/>
        <v>0.94538125542752716</v>
      </c>
      <c r="X97" s="24">
        <f t="shared" si="76"/>
        <v>0.94599644593111376</v>
      </c>
      <c r="Y97" s="24">
        <f t="shared" si="76"/>
        <v>1.01619544709625</v>
      </c>
      <c r="Z97" s="24">
        <f t="shared" si="76"/>
        <v>1.0184895017235975</v>
      </c>
    </row>
    <row r="98" spans="1:26">
      <c r="A98" s="21" t="s">
        <v>6645</v>
      </c>
      <c r="B98" s="23">
        <f t="shared" ref="B98:G98" si="77">SUM(B91:B97)</f>
        <v>532705</v>
      </c>
      <c r="C98" s="23">
        <f t="shared" si="77"/>
        <v>534928</v>
      </c>
      <c r="D98" s="23">
        <f t="shared" si="77"/>
        <v>536244</v>
      </c>
      <c r="E98" s="23">
        <f t="shared" si="77"/>
        <v>534542</v>
      </c>
      <c r="F98" s="23">
        <f t="shared" si="77"/>
        <v>538485</v>
      </c>
      <c r="G98" s="23">
        <f t="shared" si="77"/>
        <v>521797</v>
      </c>
      <c r="H98" s="23">
        <f t="shared" ref="H98:M98" si="78">SUM(H91:H97)</f>
        <v>521281</v>
      </c>
      <c r="I98" s="23">
        <f t="shared" si="78"/>
        <v>536375</v>
      </c>
      <c r="J98" s="23">
        <f t="shared" si="78"/>
        <v>537728</v>
      </c>
      <c r="K98" s="23">
        <f t="shared" si="78"/>
        <v>534518</v>
      </c>
      <c r="L98" s="23">
        <f t="shared" si="78"/>
        <v>552906</v>
      </c>
      <c r="M98" s="23">
        <f t="shared" si="78"/>
        <v>551904</v>
      </c>
      <c r="N98" s="16"/>
      <c r="O98" s="24">
        <f t="shared" si="76"/>
        <v>7.0155533898751514</v>
      </c>
      <c r="P98" s="24">
        <f t="shared" si="76"/>
        <v>6.979658407379862</v>
      </c>
      <c r="Q98" s="24">
        <f t="shared" si="76"/>
        <v>6.9568895058445008</v>
      </c>
      <c r="R98" s="24">
        <f t="shared" si="76"/>
        <v>6.8978501561411205</v>
      </c>
      <c r="S98" s="24">
        <f t="shared" si="76"/>
        <v>6.9811626520081935</v>
      </c>
      <c r="T98" s="24">
        <f t="shared" si="76"/>
        <v>6.8862274658853959</v>
      </c>
      <c r="U98" s="24">
        <f t="shared" si="76"/>
        <v>6.9718867445064134</v>
      </c>
      <c r="V98" s="24">
        <f t="shared" si="76"/>
        <v>7.0100633862641315</v>
      </c>
      <c r="W98" s="24">
        <f t="shared" si="76"/>
        <v>6.9696317706375641</v>
      </c>
      <c r="X98" s="24">
        <f t="shared" si="76"/>
        <v>6.9842418857471387</v>
      </c>
      <c r="Y98" s="24">
        <f t="shared" si="76"/>
        <v>7.6144216600333277</v>
      </c>
      <c r="Z98" s="24">
        <f t="shared" si="76"/>
        <v>7.519845216846293</v>
      </c>
    </row>
    <row r="99" spans="1:26">
      <c r="A99" s="16"/>
      <c r="B99" s="16"/>
      <c r="C99" s="16"/>
      <c r="D99" s="16"/>
      <c r="E99" s="16"/>
      <c r="F99" s="16"/>
      <c r="G99" s="16"/>
      <c r="H99" s="16"/>
      <c r="I99" s="16"/>
      <c r="J99" s="16"/>
      <c r="K99" s="16"/>
      <c r="L99" s="16"/>
      <c r="M99" s="16"/>
      <c r="N99" s="16"/>
    </row>
    <row r="100" spans="1:26">
      <c r="A100" s="21" t="s">
        <v>15197</v>
      </c>
      <c r="B100" s="23">
        <f>NORTHAMPTONSHIRE!D5</f>
        <v>229482</v>
      </c>
      <c r="C100" s="23">
        <f>NORTHAMPTONSHIRE!E5</f>
        <v>231461</v>
      </c>
      <c r="D100" s="23">
        <f>NORTHAMPTONSHIRE!F5</f>
        <v>232541</v>
      </c>
      <c r="E100" s="23">
        <f>NORTHAMPTONSHIRE!G5</f>
        <v>233920</v>
      </c>
      <c r="F100" s="23">
        <f>NORTHAMPTONSHIRE!H5</f>
        <v>228411</v>
      </c>
      <c r="G100" s="23">
        <f>NORTHAMPTONSHIRE!I5</f>
        <v>230610</v>
      </c>
      <c r="H100" s="23">
        <f>NORTHAMPTONSHIRE!J5</f>
        <v>228857</v>
      </c>
      <c r="I100" s="23">
        <f>NORTHAMPTONSHIRE!K5</f>
        <v>235593</v>
      </c>
      <c r="J100" s="23">
        <f>NORTHAMPTONSHIRE!L5</f>
        <v>236851</v>
      </c>
      <c r="K100" s="23">
        <f>NORTHAMPTONSHIRE!M5</f>
        <v>237613</v>
      </c>
      <c r="L100" s="23">
        <f>NORTHAMPTONSHIRE!N5</f>
        <v>245056</v>
      </c>
      <c r="M100" s="23">
        <f>NORTHAMPTONSHIRE!O5</f>
        <v>245381</v>
      </c>
      <c r="N100" s="16"/>
      <c r="O100" s="24">
        <f t="shared" ref="O100:Z102" si="79">B100/B$451</f>
        <v>3.0222040773323502</v>
      </c>
      <c r="P100" s="24">
        <f t="shared" si="79"/>
        <v>3.0200675878446264</v>
      </c>
      <c r="Q100" s="24">
        <f t="shared" si="79"/>
        <v>3.0168394286529754</v>
      </c>
      <c r="R100" s="24">
        <f t="shared" si="79"/>
        <v>3.0185562753245412</v>
      </c>
      <c r="S100" s="24">
        <f t="shared" si="79"/>
        <v>2.9612233256410923</v>
      </c>
      <c r="T100" s="24">
        <f t="shared" si="79"/>
        <v>3.0433921925726501</v>
      </c>
      <c r="U100" s="24">
        <f t="shared" si="79"/>
        <v>3.0608540972863083</v>
      </c>
      <c r="V100" s="24">
        <f t="shared" si="79"/>
        <v>3.0790433248382669</v>
      </c>
      <c r="W100" s="24">
        <f t="shared" si="79"/>
        <v>3.069887107435874</v>
      </c>
      <c r="X100" s="24">
        <f t="shared" si="79"/>
        <v>3.1047535671353161</v>
      </c>
      <c r="Y100" s="24">
        <f t="shared" si="79"/>
        <v>3.3748226901519014</v>
      </c>
      <c r="Z100" s="24">
        <f t="shared" si="79"/>
        <v>3.3433842464540215</v>
      </c>
    </row>
    <row r="101" spans="1:26">
      <c r="A101" s="21" t="s">
        <v>15200</v>
      </c>
      <c r="B101" s="23">
        <f>NORTHAMPTONSHIRE!D6</f>
        <v>272665</v>
      </c>
      <c r="C101" s="23">
        <f>NORTHAMPTONSHIRE!E6</f>
        <v>275167</v>
      </c>
      <c r="D101" s="23">
        <f>NORTHAMPTONSHIRE!F6</f>
        <v>276661</v>
      </c>
      <c r="E101" s="23">
        <f>NORTHAMPTONSHIRE!G6</f>
        <v>278745</v>
      </c>
      <c r="F101" s="23">
        <f>NORTHAMPTONSHIRE!H6</f>
        <v>266703</v>
      </c>
      <c r="G101" s="23">
        <f>NORTHAMPTONSHIRE!I6</f>
        <v>265382</v>
      </c>
      <c r="H101" s="23">
        <f>NORTHAMPTONSHIRE!J6</f>
        <v>264714</v>
      </c>
      <c r="I101" s="23">
        <f>NORTHAMPTONSHIRE!K6</f>
        <v>274721</v>
      </c>
      <c r="J101" s="23">
        <f>NORTHAMPTONSHIRE!L6</f>
        <v>275499</v>
      </c>
      <c r="K101" s="23">
        <f>NORTHAMPTONSHIRE!M6</f>
        <v>276601</v>
      </c>
      <c r="L101" s="23">
        <f>NORTHAMPTONSHIRE!N6</f>
        <v>283358</v>
      </c>
      <c r="M101" s="23">
        <f>NORTHAMPTONSHIRE!O6</f>
        <v>284518</v>
      </c>
      <c r="N101" s="16"/>
      <c r="O101" s="24">
        <f t="shared" si="79"/>
        <v>3.5909102881525574</v>
      </c>
      <c r="P101" s="24">
        <f t="shared" si="79"/>
        <v>3.5903367649169504</v>
      </c>
      <c r="Q101" s="24">
        <f t="shared" si="79"/>
        <v>3.5892243224659772</v>
      </c>
      <c r="R101" s="24">
        <f t="shared" si="79"/>
        <v>3.5969881539215938</v>
      </c>
      <c r="S101" s="24">
        <f t="shared" si="79"/>
        <v>3.4576581014857259</v>
      </c>
      <c r="T101" s="24">
        <f t="shared" si="79"/>
        <v>3.5022831050228311</v>
      </c>
      <c r="U101" s="24">
        <f t="shared" si="79"/>
        <v>3.5404245074830478</v>
      </c>
      <c r="V101" s="24">
        <f t="shared" si="79"/>
        <v>3.5904201790498593</v>
      </c>
      <c r="W101" s="24">
        <f t="shared" si="79"/>
        <v>3.5708138374398923</v>
      </c>
      <c r="X101" s="24">
        <f t="shared" si="79"/>
        <v>3.6141875293994667</v>
      </c>
      <c r="Y101" s="24">
        <f t="shared" si="79"/>
        <v>3.902303995152383</v>
      </c>
      <c r="Z101" s="24">
        <f t="shared" si="79"/>
        <v>3.8766367364735057</v>
      </c>
    </row>
    <row r="102" spans="1:26">
      <c r="A102" s="21" t="s">
        <v>5293</v>
      </c>
      <c r="B102" s="23">
        <f t="shared" ref="B102:M102" si="80">SUM(B100:B101)</f>
        <v>502147</v>
      </c>
      <c r="C102" s="23">
        <f t="shared" si="80"/>
        <v>506628</v>
      </c>
      <c r="D102" s="23">
        <f t="shared" si="80"/>
        <v>509202</v>
      </c>
      <c r="E102" s="23">
        <f t="shared" si="80"/>
        <v>512665</v>
      </c>
      <c r="F102" s="23">
        <f t="shared" si="80"/>
        <v>495114</v>
      </c>
      <c r="G102" s="23">
        <f t="shared" si="80"/>
        <v>495992</v>
      </c>
      <c r="H102" s="23">
        <f t="shared" si="80"/>
        <v>493571</v>
      </c>
      <c r="I102" s="23">
        <f t="shared" si="80"/>
        <v>510314</v>
      </c>
      <c r="J102" s="23">
        <f t="shared" si="80"/>
        <v>512350</v>
      </c>
      <c r="K102" s="23">
        <f t="shared" si="80"/>
        <v>514214</v>
      </c>
      <c r="L102" s="23">
        <f t="shared" si="80"/>
        <v>528414</v>
      </c>
      <c r="M102" s="23">
        <f t="shared" si="80"/>
        <v>529899</v>
      </c>
      <c r="N102" s="16"/>
      <c r="O102" s="24">
        <f t="shared" si="79"/>
        <v>6.6131143654849076</v>
      </c>
      <c r="P102" s="24">
        <f t="shared" si="79"/>
        <v>6.6104043527615763</v>
      </c>
      <c r="Q102" s="24">
        <f t="shared" si="79"/>
        <v>6.6060637511189526</v>
      </c>
      <c r="R102" s="24">
        <f t="shared" si="79"/>
        <v>6.6155444292461354</v>
      </c>
      <c r="S102" s="24">
        <f t="shared" si="79"/>
        <v>6.4188814271268182</v>
      </c>
      <c r="T102" s="24">
        <f t="shared" si="79"/>
        <v>6.5456752975954817</v>
      </c>
      <c r="U102" s="24">
        <f t="shared" si="79"/>
        <v>6.6012786047693561</v>
      </c>
      <c r="V102" s="24">
        <f t="shared" si="79"/>
        <v>6.6694635038881263</v>
      </c>
      <c r="W102" s="24">
        <f t="shared" si="79"/>
        <v>6.6407009448757659</v>
      </c>
      <c r="X102" s="24">
        <f t="shared" si="79"/>
        <v>6.7189410965347829</v>
      </c>
      <c r="Y102" s="24">
        <f t="shared" si="79"/>
        <v>7.2771266853042844</v>
      </c>
      <c r="Z102" s="24">
        <f t="shared" si="79"/>
        <v>7.2200209829275268</v>
      </c>
    </row>
    <row r="103" spans="1:26">
      <c r="A103" s="16"/>
      <c r="B103" s="16"/>
      <c r="C103" s="16"/>
      <c r="D103" s="16"/>
      <c r="E103" s="16"/>
      <c r="F103" s="16"/>
      <c r="G103" s="16"/>
      <c r="H103" s="16"/>
      <c r="I103" s="16"/>
      <c r="J103" s="16"/>
      <c r="K103" s="16"/>
      <c r="L103" s="16"/>
      <c r="M103" s="16"/>
      <c r="N103" s="16"/>
    </row>
    <row r="104" spans="1:26">
      <c r="A104" s="21" t="s">
        <v>4250</v>
      </c>
      <c r="B104" s="23">
        <f>NOTTINGHAMSHIRE!D5</f>
        <v>90381</v>
      </c>
      <c r="C104" s="23">
        <f>NOTTINGHAMSHIRE!E5</f>
        <v>89647</v>
      </c>
      <c r="D104" s="23">
        <f>NOTTINGHAMSHIRE!F5</f>
        <v>90993</v>
      </c>
      <c r="E104" s="23">
        <f>NOTTINGHAMSHIRE!G5</f>
        <v>91360</v>
      </c>
      <c r="F104" s="23">
        <f>NOTTINGHAMSHIRE!H5</f>
        <v>86925</v>
      </c>
      <c r="G104" s="23">
        <f>NOTTINGHAMSHIRE!I5</f>
        <v>89567</v>
      </c>
      <c r="H104" s="23">
        <f>NOTTINGHAMSHIRE!J5</f>
        <v>90473</v>
      </c>
      <c r="I104" s="23">
        <f>NOTTINGHAMSHIRE!K5</f>
        <v>91469</v>
      </c>
      <c r="J104" s="23">
        <f>NOTTINGHAMSHIRE!L5</f>
        <v>92262</v>
      </c>
      <c r="K104" s="23">
        <f>NOTTINGHAMSHIRE!M5</f>
        <v>92878</v>
      </c>
      <c r="L104" s="23">
        <f>NOTTINGHAMSHIRE!N5</f>
        <v>94153</v>
      </c>
      <c r="M104" s="23">
        <f>NOTTINGHAMSHIRE!O5</f>
        <v>93930</v>
      </c>
      <c r="N104" s="16"/>
      <c r="O104" s="24">
        <f t="shared" ref="O104:O113" si="81">B104/B$451</f>
        <v>1.1902886793446767</v>
      </c>
      <c r="P104" s="24">
        <f t="shared" ref="P104:P113" si="82">C104/C$451</f>
        <v>1.1697002909669758</v>
      </c>
      <c r="Q104" s="24">
        <f t="shared" ref="Q104:Q113" si="83">D104/D$451</f>
        <v>1.1804854633437554</v>
      </c>
      <c r="R104" s="24">
        <f t="shared" ref="R104:R113" si="84">E104/E$451</f>
        <v>1.1789299816760008</v>
      </c>
      <c r="S104" s="24">
        <f t="shared" ref="S104:S113" si="85">F104/F$451</f>
        <v>1.1269349443825032</v>
      </c>
      <c r="T104" s="24">
        <f t="shared" ref="T104:T113" si="86">G104/G$451</f>
        <v>1.1820281363000502</v>
      </c>
      <c r="U104" s="24">
        <f t="shared" ref="U104:U113" si="87">H104/H$451</f>
        <v>1.2100335700624589</v>
      </c>
      <c r="V104" s="24">
        <f t="shared" ref="V104:V113" si="88">I104/I$451</f>
        <v>1.1954388028491145</v>
      </c>
      <c r="W104" s="24">
        <f t="shared" ref="W104:W113" si="89">J104/J$451</f>
        <v>1.1958316591707387</v>
      </c>
      <c r="X104" s="24">
        <f t="shared" ref="X104:X113" si="90">K104/K$451</f>
        <v>1.213583860345999</v>
      </c>
      <c r="Y104" s="24">
        <f t="shared" ref="Y104:Y113" si="91">L104/L$451</f>
        <v>1.2966410973241707</v>
      </c>
      <c r="Z104" s="24">
        <f t="shared" ref="Z104:Z113" si="92">M104/M$451</f>
        <v>1.2798223263799</v>
      </c>
    </row>
    <row r="105" spans="1:26">
      <c r="A105" s="21" t="s">
        <v>4211</v>
      </c>
      <c r="B105" s="23">
        <f>NOTTINGHAMSHIRE!D6</f>
        <v>83556</v>
      </c>
      <c r="C105" s="23">
        <f>NOTTINGHAMSHIRE!E6</f>
        <v>85194</v>
      </c>
      <c r="D105" s="23">
        <f>NOTTINGHAMSHIRE!F6</f>
        <v>84495</v>
      </c>
      <c r="E105" s="23">
        <f>NOTTINGHAMSHIRE!G6</f>
        <v>85384</v>
      </c>
      <c r="F105" s="23">
        <f>NOTTINGHAMSHIRE!H6</f>
        <v>84812</v>
      </c>
      <c r="G105" s="23">
        <f>NOTTINGHAMSHIRE!I6</f>
        <v>82635</v>
      </c>
      <c r="H105" s="23">
        <f>NOTTINGHAMSHIRE!J6</f>
        <v>83683</v>
      </c>
      <c r="I105" s="23">
        <f>NOTTINGHAMSHIRE!K6</f>
        <v>84587</v>
      </c>
      <c r="J105" s="23">
        <f>NOTTINGHAMSHIRE!L6</f>
        <v>84201</v>
      </c>
      <c r="K105" s="23">
        <f>NOTTINGHAMSHIRE!M6</f>
        <v>84196</v>
      </c>
      <c r="L105" s="23">
        <f>NOTTINGHAMSHIRE!N6</f>
        <v>86966</v>
      </c>
      <c r="M105" s="23">
        <f>NOTTINGHAMSHIRE!O6</f>
        <v>86375</v>
      </c>
      <c r="N105" s="16"/>
      <c r="O105" s="24">
        <f t="shared" si="81"/>
        <v>1.1004056260864985</v>
      </c>
      <c r="P105" s="24">
        <f t="shared" si="82"/>
        <v>1.1115982307120209</v>
      </c>
      <c r="Q105" s="24">
        <f t="shared" si="83"/>
        <v>1.0961845331534359</v>
      </c>
      <c r="R105" s="24">
        <f t="shared" si="84"/>
        <v>1.1018143340129558</v>
      </c>
      <c r="S105" s="24">
        <f t="shared" si="85"/>
        <v>1.0995410584178182</v>
      </c>
      <c r="T105" s="24">
        <f t="shared" si="86"/>
        <v>1.0905455697204847</v>
      </c>
      <c r="U105" s="24">
        <f t="shared" si="87"/>
        <v>1.1192205325736602</v>
      </c>
      <c r="V105" s="24">
        <f t="shared" si="88"/>
        <v>1.1054956544468404</v>
      </c>
      <c r="W105" s="24">
        <f t="shared" si="89"/>
        <v>1.0913509520044586</v>
      </c>
      <c r="X105" s="24">
        <f t="shared" si="90"/>
        <v>1.1001411174410705</v>
      </c>
      <c r="Y105" s="24">
        <f t="shared" si="91"/>
        <v>1.197664330078636</v>
      </c>
      <c r="Z105" s="24">
        <f t="shared" si="92"/>
        <v>1.1768833539983377</v>
      </c>
    </row>
    <row r="106" spans="1:26">
      <c r="A106" s="21" t="s">
        <v>4212</v>
      </c>
      <c r="B106" s="23">
        <f>NOTTINGHAMSHIRE!D7</f>
        <v>82815</v>
      </c>
      <c r="C106" s="23">
        <f>NOTTINGHAMSHIRE!E7</f>
        <v>83413</v>
      </c>
      <c r="D106" s="23">
        <f>NOTTINGHAMSHIRE!F7</f>
        <v>83728</v>
      </c>
      <c r="E106" s="23">
        <f>NOTTINGHAMSHIRE!G7</f>
        <v>83060</v>
      </c>
      <c r="F106" s="23">
        <f>NOTTINGHAMSHIRE!H7</f>
        <v>79977</v>
      </c>
      <c r="G106" s="23">
        <f>NOTTINGHAMSHIRE!I7</f>
        <v>80645</v>
      </c>
      <c r="H106" s="23">
        <f>NOTTINGHAMSHIRE!J7</f>
        <v>80641</v>
      </c>
      <c r="I106" s="23">
        <f>NOTTINGHAMSHIRE!K7</f>
        <v>82766</v>
      </c>
      <c r="J106" s="23">
        <f>NOTTINGHAMSHIRE!L7</f>
        <v>82674</v>
      </c>
      <c r="K106" s="23">
        <f>NOTTINGHAMSHIRE!M7</f>
        <v>82732</v>
      </c>
      <c r="L106" s="23">
        <f>NOTTINGHAMSHIRE!N7</f>
        <v>84883</v>
      </c>
      <c r="M106" s="23">
        <f>NOTTINGHAMSHIRE!O7</f>
        <v>85502</v>
      </c>
      <c r="N106" s="16"/>
      <c r="O106" s="24">
        <f t="shared" si="81"/>
        <v>1.0906468945898962</v>
      </c>
      <c r="P106" s="24">
        <f t="shared" si="82"/>
        <v>1.0883600161793296</v>
      </c>
      <c r="Q106" s="24">
        <f t="shared" si="83"/>
        <v>1.0862339616766779</v>
      </c>
      <c r="R106" s="24">
        <f t="shared" si="84"/>
        <v>1.0718249154773272</v>
      </c>
      <c r="S106" s="24">
        <f t="shared" si="85"/>
        <v>1.0368579355407472</v>
      </c>
      <c r="T106" s="24">
        <f t="shared" si="86"/>
        <v>1.0642832633884973</v>
      </c>
      <c r="U106" s="24">
        <f t="shared" si="87"/>
        <v>1.0785352218165283</v>
      </c>
      <c r="V106" s="24">
        <f t="shared" si="88"/>
        <v>1.0816963993988107</v>
      </c>
      <c r="W106" s="24">
        <f t="shared" si="89"/>
        <v>1.0715591098207458</v>
      </c>
      <c r="X106" s="24">
        <f t="shared" si="90"/>
        <v>1.0810118643181936</v>
      </c>
      <c r="Y106" s="24">
        <f t="shared" si="91"/>
        <v>1.1689780066930164</v>
      </c>
      <c r="Z106" s="24">
        <f t="shared" si="92"/>
        <v>1.1649884866404152</v>
      </c>
    </row>
    <row r="107" spans="1:26">
      <c r="A107" s="21" t="s">
        <v>4213</v>
      </c>
      <c r="B107" s="23">
        <f>NOTTINGHAMSHIRE!D8</f>
        <v>87612</v>
      </c>
      <c r="C107" s="23">
        <f>NOTTINGHAMSHIRE!E8</f>
        <v>87700</v>
      </c>
      <c r="D107" s="23">
        <f>NOTTINGHAMSHIRE!F8</f>
        <v>87412</v>
      </c>
      <c r="E107" s="23">
        <f>NOTTINGHAMSHIRE!G8</f>
        <v>88706</v>
      </c>
      <c r="F107" s="23">
        <f>NOTTINGHAMSHIRE!H8</f>
        <v>85183</v>
      </c>
      <c r="G107" s="23">
        <f>NOTTINGHAMSHIRE!I8</f>
        <v>85895</v>
      </c>
      <c r="H107" s="23">
        <f>NOTTINGHAMSHIRE!J8</f>
        <v>85825</v>
      </c>
      <c r="I107" s="23">
        <f>NOTTINGHAMSHIRE!K8</f>
        <v>88234</v>
      </c>
      <c r="J107" s="23">
        <f>NOTTINGHAMSHIRE!L8</f>
        <v>88369</v>
      </c>
      <c r="K107" s="23">
        <f>NOTTINGHAMSHIRE!M8</f>
        <v>87608</v>
      </c>
      <c r="L107" s="23">
        <f>NOTTINGHAMSHIRE!N8</f>
        <v>89657</v>
      </c>
      <c r="M107" s="23">
        <f>NOTTINGHAMSHIRE!O8</f>
        <v>88430</v>
      </c>
      <c r="N107" s="16"/>
      <c r="O107" s="24">
        <f t="shared" si="81"/>
        <v>1.1538218405942158</v>
      </c>
      <c r="P107" s="24">
        <f t="shared" si="82"/>
        <v>1.1442961339230959</v>
      </c>
      <c r="Q107" s="24">
        <f t="shared" si="83"/>
        <v>1.1340278408427498</v>
      </c>
      <c r="R107" s="24">
        <f t="shared" si="84"/>
        <v>1.1446821689421116</v>
      </c>
      <c r="S107" s="24">
        <f t="shared" si="85"/>
        <v>1.104350869914694</v>
      </c>
      <c r="T107" s="24">
        <f t="shared" si="86"/>
        <v>1.1335682424050466</v>
      </c>
      <c r="U107" s="24">
        <f t="shared" si="87"/>
        <v>1.1478687691422915</v>
      </c>
      <c r="V107" s="24">
        <f t="shared" si="88"/>
        <v>1.1531595112069528</v>
      </c>
      <c r="W107" s="24">
        <f t="shared" si="89"/>
        <v>1.1453734786722487</v>
      </c>
      <c r="X107" s="24">
        <f t="shared" si="90"/>
        <v>1.1447237756755344</v>
      </c>
      <c r="Y107" s="24">
        <f t="shared" si="91"/>
        <v>1.2347238097861264</v>
      </c>
      <c r="Z107" s="24">
        <f t="shared" si="92"/>
        <v>1.2048832994972272</v>
      </c>
    </row>
    <row r="108" spans="1:26">
      <c r="A108" s="21" t="s">
        <v>4214</v>
      </c>
      <c r="B108" s="23">
        <f>NOTTINGHAMSHIRE!D9</f>
        <v>80247</v>
      </c>
      <c r="C108" s="23">
        <f>NOTTINGHAMSHIRE!E9</f>
        <v>79849</v>
      </c>
      <c r="D108" s="23">
        <f>NOTTINGHAMSHIRE!F9</f>
        <v>79748</v>
      </c>
      <c r="E108" s="23">
        <f>NOTTINGHAMSHIRE!G9</f>
        <v>79714</v>
      </c>
      <c r="F108" s="23">
        <f>NOTTINGHAMSHIRE!H9</f>
        <v>75412</v>
      </c>
      <c r="G108" s="23">
        <f>NOTTINGHAMSHIRE!I9</f>
        <v>77022</v>
      </c>
      <c r="H108" s="23">
        <f>NOTTINGHAMSHIRE!J9</f>
        <v>74066</v>
      </c>
      <c r="I108" s="23">
        <f>NOTTINGHAMSHIRE!K9</f>
        <v>76353</v>
      </c>
      <c r="J108" s="23">
        <f>NOTTINGHAMSHIRE!L9</f>
        <v>76181</v>
      </c>
      <c r="K108" s="23">
        <f>NOTTINGHAMSHIRE!M9</f>
        <v>76202</v>
      </c>
      <c r="L108" s="23">
        <f>NOTTINGHAMSHIRE!N9</f>
        <v>76269</v>
      </c>
      <c r="M108" s="23">
        <f>NOTTINGHAMSHIRE!O9</f>
        <v>77409</v>
      </c>
      <c r="N108" s="16"/>
      <c r="O108" s="24">
        <f t="shared" si="81"/>
        <v>1.0568271611441817</v>
      </c>
      <c r="P108" s="24">
        <f t="shared" si="82"/>
        <v>1.041857491421041</v>
      </c>
      <c r="Q108" s="24">
        <f t="shared" si="83"/>
        <v>1.0345999662692493</v>
      </c>
      <c r="R108" s="24">
        <f t="shared" si="84"/>
        <v>1.0286473791519344</v>
      </c>
      <c r="S108" s="24">
        <f t="shared" si="85"/>
        <v>0.97767521456167195</v>
      </c>
      <c r="T108" s="24">
        <f t="shared" si="86"/>
        <v>1.0164700292976483</v>
      </c>
      <c r="U108" s="24">
        <f t="shared" si="87"/>
        <v>0.99059770760609345</v>
      </c>
      <c r="V108" s="24">
        <f t="shared" si="88"/>
        <v>0.99788276808468923</v>
      </c>
      <c r="W108" s="24">
        <f t="shared" si="89"/>
        <v>0.98740165644887434</v>
      </c>
      <c r="X108" s="24">
        <f t="shared" si="90"/>
        <v>0.99568807818951555</v>
      </c>
      <c r="Y108" s="24">
        <f t="shared" si="91"/>
        <v>1.0503491110407228</v>
      </c>
      <c r="Z108" s="24">
        <f t="shared" si="92"/>
        <v>1.0547191149019661</v>
      </c>
    </row>
    <row r="109" spans="1:26">
      <c r="A109" s="21" t="s">
        <v>4215</v>
      </c>
      <c r="B109" s="23">
        <f>NOTTINGHAMSHIRE!D10</f>
        <v>84062</v>
      </c>
      <c r="C109" s="23">
        <f>NOTTINGHAMSHIRE!E10</f>
        <v>84788</v>
      </c>
      <c r="D109" s="23">
        <f>NOTTINGHAMSHIRE!F10</f>
        <v>85099</v>
      </c>
      <c r="E109" s="23">
        <f>NOTTINGHAMSHIRE!G10</f>
        <v>84985</v>
      </c>
      <c r="F109" s="23">
        <f>NOTTINGHAMSHIRE!H10</f>
        <v>85748</v>
      </c>
      <c r="G109" s="23">
        <f>NOTTINGHAMSHIRE!I10</f>
        <v>83432</v>
      </c>
      <c r="H109" s="23">
        <f>NOTTINGHAMSHIRE!J10</f>
        <v>82713</v>
      </c>
      <c r="I109" s="23">
        <f>NOTTINGHAMSHIRE!K10</f>
        <v>85751</v>
      </c>
      <c r="J109" s="23">
        <f>NOTTINGHAMSHIRE!L10</f>
        <v>87110</v>
      </c>
      <c r="K109" s="23">
        <f>NOTTINGHAMSHIRE!M10</f>
        <v>86963</v>
      </c>
      <c r="L109" s="23">
        <f>NOTTINGHAMSHIRE!N10</f>
        <v>89862</v>
      </c>
      <c r="M109" s="23">
        <f>NOTTINGHAMSHIRE!O10</f>
        <v>89026</v>
      </c>
      <c r="N109" s="16"/>
      <c r="O109" s="24">
        <f t="shared" si="81"/>
        <v>1.10706948322183</v>
      </c>
      <c r="P109" s="24">
        <f t="shared" si="82"/>
        <v>1.1063008050521261</v>
      </c>
      <c r="Q109" s="24">
        <f t="shared" si="83"/>
        <v>1.1040204460243122</v>
      </c>
      <c r="R109" s="24">
        <f t="shared" si="84"/>
        <v>1.0966655483005137</v>
      </c>
      <c r="S109" s="24">
        <f t="shared" si="85"/>
        <v>1.1116757849975367</v>
      </c>
      <c r="T109" s="24">
        <f t="shared" si="86"/>
        <v>1.1010636893921397</v>
      </c>
      <c r="U109" s="24">
        <f t="shared" si="87"/>
        <v>1.1062472415038318</v>
      </c>
      <c r="V109" s="24">
        <f t="shared" si="88"/>
        <v>1.1207083578383323</v>
      </c>
      <c r="W109" s="24">
        <f t="shared" si="89"/>
        <v>1.1290552538462535</v>
      </c>
      <c r="X109" s="24">
        <f t="shared" si="90"/>
        <v>1.1362959285004965</v>
      </c>
      <c r="Y109" s="24">
        <f t="shared" si="91"/>
        <v>1.2375469957170204</v>
      </c>
      <c r="Z109" s="24">
        <f t="shared" si="92"/>
        <v>1.213003964955786</v>
      </c>
    </row>
    <row r="110" spans="1:26">
      <c r="A110" s="21" t="s">
        <v>4216</v>
      </c>
      <c r="B110" s="23">
        <f>NOTTINGHAMSHIRE!D11</f>
        <v>84531</v>
      </c>
      <c r="C110" s="23">
        <f>NOTTINGHAMSHIRE!E11</f>
        <v>85408</v>
      </c>
      <c r="D110" s="23">
        <f>NOTTINGHAMSHIRE!F11</f>
        <v>85920</v>
      </c>
      <c r="E110" s="23">
        <f>NOTTINGHAMSHIRE!G11</f>
        <v>86681</v>
      </c>
      <c r="F110" s="23">
        <f>NOTTINGHAMSHIRE!H11</f>
        <v>86640</v>
      </c>
      <c r="G110" s="23">
        <f>NOTTINGHAMSHIRE!I11</f>
        <v>84302</v>
      </c>
      <c r="H110" s="23">
        <f>NOTTINGHAMSHIRE!J11</f>
        <v>84249</v>
      </c>
      <c r="I110" s="23">
        <f>NOTTINGHAMSHIRE!K11</f>
        <v>85792</v>
      </c>
      <c r="J110" s="23">
        <f>NOTTINGHAMSHIRE!L11</f>
        <v>86523</v>
      </c>
      <c r="K110" s="23">
        <f>NOTTINGHAMSHIRE!M11</f>
        <v>85809</v>
      </c>
      <c r="L110" s="23">
        <f>NOTTINGHAMSHIRE!N11</f>
        <v>89405</v>
      </c>
      <c r="M110" s="23">
        <f>NOTTINGHAMSHIRE!O11</f>
        <v>90089</v>
      </c>
      <c r="N110" s="16"/>
      <c r="O110" s="24">
        <f t="shared" si="81"/>
        <v>1.1132460622662381</v>
      </c>
      <c r="P110" s="24">
        <f t="shared" si="82"/>
        <v>1.1143904698529508</v>
      </c>
      <c r="Q110" s="24">
        <f t="shared" si="83"/>
        <v>1.1146715792478044</v>
      </c>
      <c r="R110" s="24">
        <f t="shared" si="84"/>
        <v>1.118551113634604</v>
      </c>
      <c r="S110" s="24">
        <f t="shared" si="85"/>
        <v>1.1232400757123966</v>
      </c>
      <c r="T110" s="24">
        <f t="shared" si="86"/>
        <v>1.1125452002005964</v>
      </c>
      <c r="U110" s="24">
        <f t="shared" si="87"/>
        <v>1.1267905147855395</v>
      </c>
      <c r="V110" s="24">
        <f t="shared" si="88"/>
        <v>1.1212442004835652</v>
      </c>
      <c r="W110" s="24">
        <f t="shared" si="89"/>
        <v>1.1214469949321477</v>
      </c>
      <c r="X110" s="24">
        <f t="shared" si="90"/>
        <v>1.1212172685935295</v>
      </c>
      <c r="Y110" s="24">
        <f t="shared" si="91"/>
        <v>1.2312533568369299</v>
      </c>
      <c r="Z110" s="24">
        <f t="shared" si="92"/>
        <v>1.2274876350605644</v>
      </c>
    </row>
    <row r="111" spans="1:26">
      <c r="A111" s="21" t="s">
        <v>4217</v>
      </c>
      <c r="B111" s="23">
        <f t="shared" ref="B111:G111" si="93">SUM(B104:B110)</f>
        <v>593204</v>
      </c>
      <c r="C111" s="23">
        <f t="shared" si="93"/>
        <v>595999</v>
      </c>
      <c r="D111" s="23">
        <f t="shared" si="93"/>
        <v>597395</v>
      </c>
      <c r="E111" s="23">
        <f t="shared" si="93"/>
        <v>599890</v>
      </c>
      <c r="F111" s="23">
        <f t="shared" si="93"/>
        <v>584697</v>
      </c>
      <c r="G111" s="23">
        <f t="shared" si="93"/>
        <v>583498</v>
      </c>
      <c r="H111" s="23">
        <f t="shared" ref="H111:M111" si="94">SUM(H104:H110)</f>
        <v>581650</v>
      </c>
      <c r="I111" s="23">
        <f t="shared" si="94"/>
        <v>594952</v>
      </c>
      <c r="J111" s="23">
        <f t="shared" si="94"/>
        <v>597320</v>
      </c>
      <c r="K111" s="23">
        <f t="shared" si="94"/>
        <v>596388</v>
      </c>
      <c r="L111" s="23">
        <f t="shared" si="94"/>
        <v>611195</v>
      </c>
      <c r="M111" s="23">
        <f t="shared" si="94"/>
        <v>610761</v>
      </c>
      <c r="N111" s="16"/>
      <c r="O111" s="24">
        <f t="shared" si="81"/>
        <v>7.812305747247537</v>
      </c>
      <c r="P111" s="24">
        <f t="shared" si="82"/>
        <v>7.7765034381075404</v>
      </c>
      <c r="Q111" s="24">
        <f t="shared" si="83"/>
        <v>7.7502237905579845</v>
      </c>
      <c r="R111" s="24">
        <f t="shared" si="84"/>
        <v>7.741115441195447</v>
      </c>
      <c r="S111" s="24">
        <f t="shared" si="85"/>
        <v>7.580275883527368</v>
      </c>
      <c r="T111" s="24">
        <f t="shared" si="86"/>
        <v>7.7005041307044637</v>
      </c>
      <c r="U111" s="24">
        <f t="shared" si="87"/>
        <v>7.7792935574904041</v>
      </c>
      <c r="V111" s="24">
        <f t="shared" si="88"/>
        <v>7.7756256943083057</v>
      </c>
      <c r="W111" s="24">
        <f t="shared" si="89"/>
        <v>7.7420191048954674</v>
      </c>
      <c r="X111" s="24">
        <f t="shared" si="90"/>
        <v>7.7926618930643388</v>
      </c>
      <c r="Y111" s="24">
        <f t="shared" si="91"/>
        <v>8.4171567074766234</v>
      </c>
      <c r="Z111" s="24">
        <f t="shared" si="92"/>
        <v>8.3217881814341972</v>
      </c>
    </row>
    <row r="112" spans="1:26">
      <c r="A112" s="21" t="s">
        <v>4249</v>
      </c>
      <c r="B112" s="23">
        <f>NOTTINGHAM!D3</f>
        <v>186724</v>
      </c>
      <c r="C112" s="23">
        <f>NOTTINGHAM!E3</f>
        <v>193221</v>
      </c>
      <c r="D112" s="23">
        <f>NOTTINGHAM!F3</f>
        <v>199120</v>
      </c>
      <c r="E112" s="23">
        <f>NOTTINGHAM!G3</f>
        <v>198122</v>
      </c>
      <c r="F112" s="23">
        <f>NOTTINGHAM!H3</f>
        <v>194342</v>
      </c>
      <c r="G112" s="23">
        <f>NOTTINGHAM!I3</f>
        <v>181224</v>
      </c>
      <c r="H112" s="23">
        <f>NOTTINGHAM!J3</f>
        <v>187371</v>
      </c>
      <c r="I112" s="23">
        <f>NOTTINGHAM!K3</f>
        <v>192286</v>
      </c>
      <c r="J112" s="23">
        <f>NOTTINGHAM!L3</f>
        <v>206424</v>
      </c>
      <c r="K112" s="23">
        <f>NOTTINGHAM!M3</f>
        <v>192240</v>
      </c>
      <c r="L112" s="23">
        <f>NOTTINGHAM!N3</f>
        <v>213670</v>
      </c>
      <c r="M112" s="23">
        <f>NOTTINGHAM!O3</f>
        <v>212877</v>
      </c>
      <c r="N112" s="16"/>
      <c r="O112" s="24">
        <f t="shared" si="81"/>
        <v>2.4590949797186958</v>
      </c>
      <c r="P112" s="24">
        <f t="shared" si="82"/>
        <v>2.5211179394840881</v>
      </c>
      <c r="Q112" s="24">
        <f t="shared" si="83"/>
        <v>2.5832565742530584</v>
      </c>
      <c r="R112" s="24">
        <f t="shared" si="84"/>
        <v>2.5566108343871785</v>
      </c>
      <c r="S112" s="24">
        <f t="shared" si="85"/>
        <v>2.5195374283714056</v>
      </c>
      <c r="T112" s="24">
        <f t="shared" si="86"/>
        <v>2.3916382928181172</v>
      </c>
      <c r="U112" s="24">
        <f t="shared" si="87"/>
        <v>2.5059984753039362</v>
      </c>
      <c r="V112" s="24">
        <f t="shared" si="88"/>
        <v>2.5130497288113443</v>
      </c>
      <c r="W112" s="24">
        <f t="shared" si="89"/>
        <v>2.675514886005729</v>
      </c>
      <c r="X112" s="24">
        <f t="shared" si="90"/>
        <v>2.5118904510531541</v>
      </c>
      <c r="Y112" s="24">
        <f t="shared" si="91"/>
        <v>2.9425860383126987</v>
      </c>
      <c r="Z112" s="24">
        <f t="shared" si="92"/>
        <v>2.9005082228550405</v>
      </c>
    </row>
    <row r="113" spans="1:26">
      <c r="A113" s="25" t="s">
        <v>9770</v>
      </c>
      <c r="B113" s="23">
        <f t="shared" ref="B113:M113" si="95">B111+B112</f>
        <v>779928</v>
      </c>
      <c r="C113" s="23">
        <f t="shared" si="95"/>
        <v>789220</v>
      </c>
      <c r="D113" s="23">
        <f t="shared" si="95"/>
        <v>796515</v>
      </c>
      <c r="E113" s="23">
        <f t="shared" si="95"/>
        <v>798012</v>
      </c>
      <c r="F113" s="23">
        <f t="shared" si="95"/>
        <v>779039</v>
      </c>
      <c r="G113" s="23">
        <f t="shared" si="95"/>
        <v>764722</v>
      </c>
      <c r="H113" s="23">
        <f t="shared" si="95"/>
        <v>769021</v>
      </c>
      <c r="I113" s="23">
        <f t="shared" si="95"/>
        <v>787238</v>
      </c>
      <c r="J113" s="23">
        <f t="shared" si="95"/>
        <v>803744</v>
      </c>
      <c r="K113" s="23">
        <f t="shared" si="95"/>
        <v>788628</v>
      </c>
      <c r="L113" s="23">
        <f t="shared" si="95"/>
        <v>824865</v>
      </c>
      <c r="M113" s="23">
        <f t="shared" si="95"/>
        <v>823638</v>
      </c>
      <c r="N113" s="16"/>
      <c r="O113" s="24">
        <f t="shared" si="81"/>
        <v>10.271400726966233</v>
      </c>
      <c r="P113" s="24">
        <f t="shared" si="82"/>
        <v>10.297621377591629</v>
      </c>
      <c r="Q113" s="24">
        <f t="shared" si="83"/>
        <v>10.333480364811043</v>
      </c>
      <c r="R113" s="24">
        <f t="shared" si="84"/>
        <v>10.297726275582626</v>
      </c>
      <c r="S113" s="24">
        <f t="shared" si="85"/>
        <v>10.099813311898773</v>
      </c>
      <c r="T113" s="24">
        <f t="shared" si="86"/>
        <v>10.09214242352258</v>
      </c>
      <c r="U113" s="24">
        <f t="shared" si="87"/>
        <v>10.28529203279434</v>
      </c>
      <c r="V113" s="24">
        <f t="shared" si="88"/>
        <v>10.288675423119649</v>
      </c>
      <c r="W113" s="24">
        <f t="shared" si="89"/>
        <v>10.417533990901196</v>
      </c>
      <c r="X113" s="24">
        <f t="shared" si="90"/>
        <v>10.304552344117493</v>
      </c>
      <c r="Y113" s="24">
        <f t="shared" si="91"/>
        <v>11.359742745789321</v>
      </c>
      <c r="Z113" s="24">
        <f t="shared" si="92"/>
        <v>11.222296404289237</v>
      </c>
    </row>
    <row r="114" spans="1:26">
      <c r="A114" s="16"/>
      <c r="B114" s="16"/>
      <c r="C114" s="16"/>
      <c r="D114" s="16"/>
      <c r="E114" s="16"/>
      <c r="F114" s="16"/>
      <c r="G114" s="16"/>
      <c r="H114" s="16"/>
      <c r="I114" s="16"/>
      <c r="J114" s="16"/>
      <c r="K114" s="16"/>
      <c r="L114" s="16"/>
      <c r="M114" s="16"/>
      <c r="N114" s="16"/>
    </row>
    <row r="115" spans="1:26">
      <c r="A115" s="26" t="s">
        <v>5373</v>
      </c>
      <c r="B115" s="27">
        <f t="shared" ref="B115:M115" si="96">B77+B89+B98+B102+B113</f>
        <v>3333600</v>
      </c>
      <c r="C115" s="27">
        <f t="shared" si="96"/>
        <v>3361089</v>
      </c>
      <c r="D115" s="27">
        <f t="shared" si="96"/>
        <v>3381552</v>
      </c>
      <c r="E115" s="27">
        <f t="shared" si="96"/>
        <v>3391322</v>
      </c>
      <c r="F115" s="27">
        <f t="shared" si="96"/>
        <v>3356154</v>
      </c>
      <c r="G115" s="27">
        <f t="shared" si="96"/>
        <v>3278391</v>
      </c>
      <c r="H115" s="27">
        <f t="shared" si="96"/>
        <v>3275046</v>
      </c>
      <c r="I115" s="27">
        <f t="shared" si="96"/>
        <v>3361645</v>
      </c>
      <c r="J115" s="27">
        <f t="shared" si="96"/>
        <v>3391104</v>
      </c>
      <c r="K115" s="27">
        <f t="shared" si="96"/>
        <v>3368260</v>
      </c>
      <c r="L115" s="27">
        <f t="shared" si="96"/>
        <v>3478897</v>
      </c>
      <c r="M115" s="27">
        <f t="shared" si="96"/>
        <v>3481126</v>
      </c>
      <c r="N115" s="26"/>
      <c r="O115" s="28">
        <f t="shared" ref="O115:Z115" si="97">B115/B$451</f>
        <v>43.902439024390247</v>
      </c>
      <c r="P115" s="28">
        <f t="shared" si="97"/>
        <v>43.854973186675537</v>
      </c>
      <c r="Q115" s="28">
        <f t="shared" si="97"/>
        <v>43.870110662809253</v>
      </c>
      <c r="R115" s="28">
        <f t="shared" si="97"/>
        <v>43.762381603737062</v>
      </c>
      <c r="S115" s="28">
        <f t="shared" si="97"/>
        <v>43.510695672466099</v>
      </c>
      <c r="T115" s="28">
        <f t="shared" si="97"/>
        <v>43.265381265341674</v>
      </c>
      <c r="U115" s="28">
        <f t="shared" si="97"/>
        <v>43.802190747502308</v>
      </c>
      <c r="V115" s="28">
        <f t="shared" si="97"/>
        <v>43.934457295955042</v>
      </c>
      <c r="W115" s="28">
        <f t="shared" si="97"/>
        <v>43.952976553082834</v>
      </c>
      <c r="X115" s="28">
        <f t="shared" si="97"/>
        <v>44.011132598128889</v>
      </c>
      <c r="Y115" s="28">
        <f t="shared" si="97"/>
        <v>47.910112514288073</v>
      </c>
      <c r="Z115" s="28">
        <f t="shared" si="97"/>
        <v>47.431308162903818</v>
      </c>
    </row>
    <row r="116" spans="1:26">
      <c r="A116" s="16"/>
      <c r="B116" s="23"/>
      <c r="C116" s="23"/>
      <c r="D116" s="23"/>
      <c r="E116" s="23"/>
      <c r="F116" s="23"/>
      <c r="G116" s="23"/>
      <c r="H116" s="23"/>
      <c r="I116" s="23"/>
      <c r="J116" s="23"/>
      <c r="K116" s="23"/>
      <c r="L116" s="23"/>
      <c r="M116" s="23"/>
      <c r="N116" s="16"/>
      <c r="O116" s="24"/>
      <c r="P116" s="24"/>
      <c r="Q116" s="24"/>
      <c r="R116" s="24"/>
      <c r="S116" s="24"/>
      <c r="T116" s="24"/>
      <c r="U116" s="24"/>
      <c r="V116" s="24"/>
      <c r="W116" s="24"/>
      <c r="X116" s="24"/>
      <c r="Y116" s="24"/>
      <c r="Z116" s="24"/>
    </row>
    <row r="117" spans="1:26">
      <c r="A117" s="21" t="s">
        <v>3737</v>
      </c>
      <c r="B117" s="16"/>
      <c r="C117" s="16"/>
      <c r="D117" s="16"/>
      <c r="E117" s="16"/>
      <c r="F117" s="16"/>
      <c r="G117" s="16"/>
      <c r="H117" s="16"/>
      <c r="I117" s="16"/>
      <c r="J117" s="16"/>
      <c r="K117" s="16"/>
      <c r="L117" s="16"/>
      <c r="M117" s="16"/>
      <c r="N117" s="16"/>
    </row>
    <row r="118" spans="1:26">
      <c r="A118" s="21"/>
      <c r="B118" s="16"/>
      <c r="C118" s="16"/>
      <c r="D118" s="16"/>
      <c r="E118" s="16"/>
      <c r="F118" s="16"/>
      <c r="G118" s="16"/>
      <c r="H118" s="16"/>
      <c r="I118" s="16"/>
      <c r="J118" s="16"/>
      <c r="K118" s="16"/>
      <c r="L118" s="16"/>
      <c r="M118" s="16"/>
      <c r="N118" s="16"/>
    </row>
    <row r="119" spans="1:26">
      <c r="A119" s="21" t="s">
        <v>6863</v>
      </c>
      <c r="B119" s="23">
        <f>BARKING!D3</f>
        <v>114061</v>
      </c>
      <c r="C119" s="23">
        <f>BARKING!E3</f>
        <v>115215</v>
      </c>
      <c r="D119" s="23">
        <f>BARKING!F3</f>
        <v>116319</v>
      </c>
      <c r="E119" s="23">
        <f>BARKING!G3</f>
        <v>116582</v>
      </c>
      <c r="F119" s="23">
        <f>BARKING!H3</f>
        <v>116700</v>
      </c>
      <c r="G119" s="23">
        <f>BARKING!I3</f>
        <v>111352</v>
      </c>
      <c r="H119" s="23">
        <f>BARKING!J3</f>
        <v>111486</v>
      </c>
      <c r="I119" s="23">
        <f>BARKING!K3</f>
        <v>114577</v>
      </c>
      <c r="J119" s="23">
        <f>BARKING!L3</f>
        <v>115885</v>
      </c>
      <c r="K119" s="23">
        <f>BARKING!M3</f>
        <v>118998</v>
      </c>
      <c r="L119" s="23">
        <f>BARKING!N3</f>
        <v>118466</v>
      </c>
      <c r="M119" s="23">
        <f>BARKING!O3</f>
        <v>121115</v>
      </c>
      <c r="N119" s="16"/>
      <c r="O119" s="24">
        <f t="shared" ref="O119:O151" si="98">B119/B$451</f>
        <v>1.5021466575356899</v>
      </c>
      <c r="P119" s="24">
        <f t="shared" ref="P119:P151" si="99">C119/C$451</f>
        <v>1.5033076290758209</v>
      </c>
      <c r="Q119" s="24">
        <f t="shared" ref="Q119:Q151" si="100">D119/D$451</f>
        <v>1.5090489225619803</v>
      </c>
      <c r="R119" s="24">
        <f t="shared" ref="R119:R151" si="101">E119/E$451</f>
        <v>1.5044003406715358</v>
      </c>
      <c r="S119" s="24">
        <f t="shared" ref="S119:S151" si="102">F119/F$451</f>
        <v>1.512951487022584</v>
      </c>
      <c r="T119" s="24">
        <f t="shared" ref="T119:T151" si="103">G119/G$451</f>
        <v>1.4695278063715786</v>
      </c>
      <c r="U119" s="24">
        <f t="shared" ref="U119:U151" si="104">H119/H$451</f>
        <v>1.4910725033101955</v>
      </c>
      <c r="V119" s="24">
        <f t="shared" ref="V119:V151" si="105">I119/I$451</f>
        <v>1.4974449454355354</v>
      </c>
      <c r="W119" s="24">
        <f t="shared" ref="W119:W151" si="106">J119/J$451</f>
        <v>1.5020154757430042</v>
      </c>
      <c r="X119" s="24">
        <f t="shared" ref="X119:X151" si="107">K119/K$451</f>
        <v>1.554879004860712</v>
      </c>
      <c r="Y119" s="24">
        <f t="shared" ref="Y119:Y151" si="108">L119/L$451</f>
        <v>1.6314709487281891</v>
      </c>
      <c r="Z119" s="24">
        <f t="shared" ref="Z119:Z151" si="109">M119/M$451</f>
        <v>1.6502254983445288</v>
      </c>
    </row>
    <row r="120" spans="1:26">
      <c r="A120" s="21" t="s">
        <v>6864</v>
      </c>
      <c r="B120" s="23">
        <f>BARNET!D3</f>
        <v>215959</v>
      </c>
      <c r="C120" s="23">
        <f>BARNET!E3</f>
        <v>222379</v>
      </c>
      <c r="D120" s="23">
        <f>BARNET!F3</f>
        <v>222133</v>
      </c>
      <c r="E120" s="23">
        <f>BARNET!G3</f>
        <v>222777</v>
      </c>
      <c r="F120" s="23">
        <f>BARNET!H3</f>
        <v>211579</v>
      </c>
      <c r="G120" s="23">
        <f>BARNET!I3</f>
        <v>215372</v>
      </c>
      <c r="H120" s="23">
        <f>BARNET!J3</f>
        <v>208613</v>
      </c>
      <c r="I120" s="23">
        <f>BARNET!K3</f>
        <v>216673</v>
      </c>
      <c r="J120" s="23">
        <f>BARNET!L3</f>
        <v>231435</v>
      </c>
      <c r="K120" s="23">
        <f>BARNET!M3</f>
        <v>227555</v>
      </c>
      <c r="L120" s="23">
        <f>BARNET!N3</f>
        <v>228704</v>
      </c>
      <c r="M120" s="23">
        <f>BARNET!O3</f>
        <v>235008</v>
      </c>
      <c r="N120" s="16"/>
      <c r="O120" s="24">
        <f t="shared" si="98"/>
        <v>2.8441105199388925</v>
      </c>
      <c r="P120" s="24">
        <f t="shared" si="99"/>
        <v>2.9015670463589984</v>
      </c>
      <c r="Q120" s="24">
        <f t="shared" si="100"/>
        <v>2.8818126386528458</v>
      </c>
      <c r="R120" s="24">
        <f t="shared" si="101"/>
        <v>2.8747644978966114</v>
      </c>
      <c r="S120" s="24">
        <f t="shared" si="102"/>
        <v>2.7430056784297459</v>
      </c>
      <c r="T120" s="24">
        <f t="shared" si="103"/>
        <v>2.8422941906194739</v>
      </c>
      <c r="U120" s="24">
        <f t="shared" si="104"/>
        <v>2.7901001752063022</v>
      </c>
      <c r="V120" s="24">
        <f t="shared" si="105"/>
        <v>2.8317715480624712</v>
      </c>
      <c r="W120" s="24">
        <f t="shared" si="106"/>
        <v>2.9996889297888609</v>
      </c>
      <c r="X120" s="24">
        <f t="shared" si="107"/>
        <v>2.97333141692364</v>
      </c>
      <c r="Y120" s="24">
        <f t="shared" si="108"/>
        <v>3.1496288543373776</v>
      </c>
      <c r="Z120" s="24">
        <f t="shared" si="109"/>
        <v>3.2020492417533006</v>
      </c>
    </row>
    <row r="121" spans="1:26">
      <c r="A121" s="21" t="s">
        <v>6865</v>
      </c>
      <c r="B121" s="23">
        <f>BEXLEY!D3</f>
        <v>170905</v>
      </c>
      <c r="C121" s="23">
        <f>BEXLEY!E3</f>
        <v>169394</v>
      </c>
      <c r="D121" s="23">
        <f>BEXLEY!F3</f>
        <v>172498</v>
      </c>
      <c r="E121" s="23">
        <f>BEXLEY!G3</f>
        <v>173162</v>
      </c>
      <c r="F121" s="23">
        <f>BEXLEY!H3</f>
        <v>174087</v>
      </c>
      <c r="G121" s="23">
        <f>BEXLEY!I3</f>
        <v>171079</v>
      </c>
      <c r="H121" s="23">
        <f>BEXLEY!J3</f>
        <v>165238</v>
      </c>
      <c r="I121" s="23">
        <f>BEXLEY!K3</f>
        <v>168638</v>
      </c>
      <c r="J121" s="23">
        <f>BEXLEY!L3</f>
        <v>169261</v>
      </c>
      <c r="K121" s="23">
        <f>BEXLEY!M3</f>
        <v>166593</v>
      </c>
      <c r="L121" s="23">
        <f>BEXLEY!N3</f>
        <v>168303</v>
      </c>
      <c r="M121" s="23">
        <f>BEXLEY!O3</f>
        <v>171610</v>
      </c>
      <c r="N121" s="16"/>
      <c r="O121" s="24">
        <f t="shared" si="98"/>
        <v>2.2507638413317177</v>
      </c>
      <c r="P121" s="24">
        <f t="shared" si="99"/>
        <v>2.2102269020498166</v>
      </c>
      <c r="Q121" s="24">
        <f t="shared" si="100"/>
        <v>2.2378796331132187</v>
      </c>
      <c r="R121" s="24">
        <f t="shared" si="101"/>
        <v>2.2345213823005654</v>
      </c>
      <c r="S121" s="24">
        <f t="shared" si="102"/>
        <v>2.256942463764358</v>
      </c>
      <c r="T121" s="24">
        <f t="shared" si="103"/>
        <v>2.2577533190804235</v>
      </c>
      <c r="U121" s="24">
        <f t="shared" si="104"/>
        <v>2.2099800719549547</v>
      </c>
      <c r="V121" s="24">
        <f t="shared" si="105"/>
        <v>2.203986146507221</v>
      </c>
      <c r="W121" s="24">
        <f t="shared" si="106"/>
        <v>2.1938356253159306</v>
      </c>
      <c r="X121" s="24">
        <f t="shared" si="107"/>
        <v>2.1767757278001358</v>
      </c>
      <c r="Y121" s="24">
        <f t="shared" si="108"/>
        <v>2.3178081059865314</v>
      </c>
      <c r="Z121" s="24">
        <f t="shared" si="109"/>
        <v>2.3382338915155398</v>
      </c>
    </row>
    <row r="122" spans="1:26">
      <c r="A122" s="21" t="s">
        <v>6866</v>
      </c>
      <c r="B122" s="23">
        <f>BRENT!D3</f>
        <v>180451</v>
      </c>
      <c r="C122" s="23">
        <f>BRENT!E3</f>
        <v>182653</v>
      </c>
      <c r="D122" s="23">
        <f>BRENT!F3</f>
        <v>184863</v>
      </c>
      <c r="E122" s="23">
        <f>BRENT!G3</f>
        <v>187482</v>
      </c>
      <c r="F122" s="23">
        <f>BRENT!H3</f>
        <v>184482</v>
      </c>
      <c r="G122" s="23">
        <f>BRENT!I3</f>
        <v>180491</v>
      </c>
      <c r="H122" s="23">
        <f>BRENT!J3</f>
        <v>182183</v>
      </c>
      <c r="I122" s="23">
        <f>BRENT!K3</f>
        <v>184347</v>
      </c>
      <c r="J122" s="23">
        <f>BRENT!L3</f>
        <v>187052</v>
      </c>
      <c r="K122" s="23">
        <f>BRENT!M3</f>
        <v>189499</v>
      </c>
      <c r="L122" s="23">
        <f>BRENT!N3</f>
        <v>188458</v>
      </c>
      <c r="M122" s="23">
        <f>BRENT!O3</f>
        <v>196276</v>
      </c>
      <c r="N122" s="16"/>
      <c r="O122" s="24">
        <f t="shared" si="98"/>
        <v>2.3764815887899702</v>
      </c>
      <c r="P122" s="24">
        <f t="shared" si="99"/>
        <v>2.3832282981693873</v>
      </c>
      <c r="Q122" s="24">
        <f t="shared" si="100"/>
        <v>2.3982952997496141</v>
      </c>
      <c r="R122" s="24">
        <f t="shared" si="101"/>
        <v>2.4193098820553849</v>
      </c>
      <c r="S122" s="24">
        <f t="shared" si="102"/>
        <v>2.3917079368371925</v>
      </c>
      <c r="T122" s="24">
        <f t="shared" si="103"/>
        <v>2.3819647900335208</v>
      </c>
      <c r="U122" s="24">
        <f t="shared" si="104"/>
        <v>2.4366114298706685</v>
      </c>
      <c r="V122" s="24">
        <f t="shared" si="105"/>
        <v>2.4092922956283083</v>
      </c>
      <c r="W122" s="24">
        <f t="shared" si="106"/>
        <v>2.4244293805814419</v>
      </c>
      <c r="X122" s="24">
        <f t="shared" si="107"/>
        <v>2.4760753671666755</v>
      </c>
      <c r="Y122" s="24">
        <f t="shared" si="108"/>
        <v>2.5953754837288088</v>
      </c>
      <c r="Z122" s="24">
        <f t="shared" si="109"/>
        <v>2.6743149891679043</v>
      </c>
    </row>
    <row r="123" spans="1:26">
      <c r="A123" s="21" t="s">
        <v>6867</v>
      </c>
      <c r="B123" s="23">
        <f>BROMLEY!D3</f>
        <v>229189</v>
      </c>
      <c r="C123" s="23">
        <f>BROMLEY!E3</f>
        <v>230828</v>
      </c>
      <c r="D123" s="23">
        <f>BROMLEY!F3</f>
        <v>232287</v>
      </c>
      <c r="E123" s="23">
        <f>BROMLEY!G3</f>
        <v>230805</v>
      </c>
      <c r="F123" s="23">
        <f>BROMLEY!H3</f>
        <v>229227</v>
      </c>
      <c r="G123" s="23">
        <f>BROMLEY!I3</f>
        <v>229175</v>
      </c>
      <c r="H123" s="23">
        <f>BROMLEY!J3</f>
        <v>226093</v>
      </c>
      <c r="I123" s="23">
        <f>BROMLEY!K3</f>
        <v>230366</v>
      </c>
      <c r="J123" s="23">
        <f>BROMLEY!L3</f>
        <v>230969</v>
      </c>
      <c r="K123" s="23">
        <f>BROMLEY!M3</f>
        <v>231526</v>
      </c>
      <c r="L123" s="23">
        <f>BROMLEY!N3</f>
        <v>232402</v>
      </c>
      <c r="M123" s="23">
        <f>BROMLEY!O3</f>
        <v>237677</v>
      </c>
      <c r="N123" s="16"/>
      <c r="O123" s="24">
        <f t="shared" si="98"/>
        <v>3.0183453616393616</v>
      </c>
      <c r="P123" s="24">
        <f t="shared" si="99"/>
        <v>3.0118083010399133</v>
      </c>
      <c r="Q123" s="24">
        <f t="shared" si="100"/>
        <v>3.0135441937701897</v>
      </c>
      <c r="R123" s="24">
        <f t="shared" si="101"/>
        <v>2.9783596149379306</v>
      </c>
      <c r="S123" s="24">
        <f t="shared" si="102"/>
        <v>2.9718023180439235</v>
      </c>
      <c r="T123" s="24">
        <f t="shared" si="103"/>
        <v>3.0244542983081266</v>
      </c>
      <c r="U123" s="24">
        <f t="shared" si="104"/>
        <v>3.0238869050007358</v>
      </c>
      <c r="V123" s="24">
        <f t="shared" si="105"/>
        <v>3.0107299222374699</v>
      </c>
      <c r="W123" s="24">
        <f t="shared" si="106"/>
        <v>2.9936489831892472</v>
      </c>
      <c r="X123" s="24">
        <f t="shared" si="107"/>
        <v>3.0252182093764701</v>
      </c>
      <c r="Y123" s="24">
        <f t="shared" si="108"/>
        <v>3.2005563742029666</v>
      </c>
      <c r="Z123" s="24">
        <f t="shared" si="109"/>
        <v>3.2384151077078194</v>
      </c>
    </row>
    <row r="124" spans="1:26">
      <c r="A124" s="21" t="s">
        <v>6868</v>
      </c>
      <c r="B124" s="23">
        <f>CAMDEN!D3</f>
        <v>135551</v>
      </c>
      <c r="C124" s="23">
        <f>CAMDEN!E3</f>
        <v>137175</v>
      </c>
      <c r="D124" s="23">
        <f>CAMDEN!F3</f>
        <v>135678</v>
      </c>
      <c r="E124" s="23">
        <f>CAMDEN!G3</f>
        <v>136564</v>
      </c>
      <c r="F124" s="23">
        <f>CAMDEN!H3</f>
        <v>135821</v>
      </c>
      <c r="G124" s="23">
        <f>CAMDEN!I3</f>
        <v>128411</v>
      </c>
      <c r="H124" s="23">
        <f>CAMDEN!J3</f>
        <v>129978</v>
      </c>
      <c r="I124" s="23">
        <f>CAMDEN!K3</f>
        <v>138850</v>
      </c>
      <c r="J124" s="23">
        <f>CAMDEN!L3</f>
        <v>137753</v>
      </c>
      <c r="K124" s="23">
        <f>CAMDEN!M3</f>
        <v>128290</v>
      </c>
      <c r="L124" s="23">
        <f>CAMDEN!N3</f>
        <v>131830</v>
      </c>
      <c r="M124" s="23">
        <f>CAMDEN!O3</f>
        <v>140298</v>
      </c>
      <c r="N124" s="16"/>
      <c r="O124" s="24">
        <f t="shared" si="98"/>
        <v>1.7851630406152874</v>
      </c>
      <c r="P124" s="24">
        <f t="shared" si="99"/>
        <v>1.789838337182448</v>
      </c>
      <c r="Q124" s="24">
        <f t="shared" si="100"/>
        <v>1.7602003087661031</v>
      </c>
      <c r="R124" s="24">
        <f t="shared" si="101"/>
        <v>1.7622525614886313</v>
      </c>
      <c r="S124" s="24">
        <f t="shared" si="102"/>
        <v>1.7608447636580495</v>
      </c>
      <c r="T124" s="24">
        <f t="shared" si="103"/>
        <v>1.6946577981893525</v>
      </c>
      <c r="U124" s="24">
        <f t="shared" si="104"/>
        <v>1.738394254303254</v>
      </c>
      <c r="V124" s="24">
        <f t="shared" si="105"/>
        <v>1.8146768607462589</v>
      </c>
      <c r="W124" s="24">
        <f t="shared" si="106"/>
        <v>1.7854522831257371</v>
      </c>
      <c r="X124" s="24">
        <f t="shared" si="107"/>
        <v>1.6762922699001725</v>
      </c>
      <c r="Y124" s="24">
        <f t="shared" si="108"/>
        <v>1.8155151281450981</v>
      </c>
      <c r="Z124" s="24">
        <f t="shared" si="109"/>
        <v>1.9115991988336762</v>
      </c>
    </row>
    <row r="125" spans="1:26">
      <c r="A125" s="21" t="s">
        <v>6869</v>
      </c>
      <c r="B125" s="23">
        <f>CROYDON!D3</f>
        <v>239547</v>
      </c>
      <c r="C125" s="23">
        <f>CROYDON!E3</f>
        <v>243641</v>
      </c>
      <c r="D125" s="23">
        <f>CROYDON!F3</f>
        <v>246245</v>
      </c>
      <c r="E125" s="23">
        <f>CROYDON!G3</f>
        <v>247402</v>
      </c>
      <c r="F125" s="23">
        <f>CROYDON!H3</f>
        <v>244767</v>
      </c>
      <c r="G125" s="23">
        <f>CROYDON!I3</f>
        <v>239487</v>
      </c>
      <c r="H125" s="23">
        <f>CROYDON!J3</f>
        <v>234188</v>
      </c>
      <c r="I125" s="23">
        <f>CROYDON!K3</f>
        <v>251183</v>
      </c>
      <c r="J125" s="23">
        <f>CROYDON!L3</f>
        <v>246784</v>
      </c>
      <c r="K125" s="23">
        <f>CROYDON!M3</f>
        <v>245402</v>
      </c>
      <c r="L125" s="23">
        <f>CROYDON!N3</f>
        <v>247747</v>
      </c>
      <c r="M125" s="23">
        <f>CROYDON!O3</f>
        <v>254285</v>
      </c>
      <c r="N125" s="16"/>
      <c r="O125" s="24">
        <f t="shared" si="98"/>
        <v>3.1547568877416636</v>
      </c>
      <c r="P125" s="24">
        <f t="shared" si="99"/>
        <v>3.1789903576414713</v>
      </c>
      <c r="Q125" s="24">
        <f t="shared" si="100"/>
        <v>3.1946264319352369</v>
      </c>
      <c r="R125" s="24">
        <f t="shared" si="101"/>
        <v>3.1925310346607478</v>
      </c>
      <c r="S125" s="24">
        <f t="shared" si="102"/>
        <v>3.1732698939507871</v>
      </c>
      <c r="T125" s="24">
        <f t="shared" si="103"/>
        <v>3.1605431942354896</v>
      </c>
      <c r="U125" s="24">
        <f t="shared" si="104"/>
        <v>3.1321537000628603</v>
      </c>
      <c r="V125" s="24">
        <f t="shared" si="105"/>
        <v>3.2827942233548977</v>
      </c>
      <c r="W125" s="24">
        <f t="shared" si="106"/>
        <v>3.1986312910709889</v>
      </c>
      <c r="X125" s="24">
        <f t="shared" si="107"/>
        <v>3.2065279882924789</v>
      </c>
      <c r="Y125" s="24">
        <f t="shared" si="108"/>
        <v>3.4118821698593917</v>
      </c>
      <c r="Z125" s="24">
        <f t="shared" si="109"/>
        <v>3.464703718338261</v>
      </c>
    </row>
    <row r="126" spans="1:26">
      <c r="A126" s="21" t="s">
        <v>6870</v>
      </c>
      <c r="B126" s="23">
        <f>EALING!D3</f>
        <v>206278</v>
      </c>
      <c r="C126" s="23">
        <f>EALING!E3</f>
        <v>208701</v>
      </c>
      <c r="D126" s="23">
        <f>EALING!F3</f>
        <v>209830</v>
      </c>
      <c r="E126" s="23">
        <f>EALING!G3</f>
        <v>208413</v>
      </c>
      <c r="F126" s="23">
        <f>EALING!H3</f>
        <v>210210</v>
      </c>
      <c r="G126" s="23">
        <f>EALING!I3</f>
        <v>205177</v>
      </c>
      <c r="H126" s="23">
        <f>EALING!J3</f>
        <v>208976</v>
      </c>
      <c r="I126" s="23">
        <f>EALING!K3</f>
        <v>206836</v>
      </c>
      <c r="J126" s="23">
        <f>EALING!L3</f>
        <v>202130</v>
      </c>
      <c r="K126" s="23">
        <f>EALING!M3</f>
        <v>202334</v>
      </c>
      <c r="L126" s="23">
        <f>EALING!N3</f>
        <v>206583</v>
      </c>
      <c r="M126" s="23">
        <f>EALING!O3</f>
        <v>213293</v>
      </c>
      <c r="N126" s="16"/>
      <c r="O126" s="24">
        <f t="shared" si="98"/>
        <v>2.7166148659326765</v>
      </c>
      <c r="P126" s="24">
        <f t="shared" si="99"/>
        <v>2.7230986025756447</v>
      </c>
      <c r="Q126" s="24">
        <f t="shared" si="100"/>
        <v>2.7222013206886264</v>
      </c>
      <c r="R126" s="24">
        <f t="shared" si="101"/>
        <v>2.6894082122486904</v>
      </c>
      <c r="S126" s="24">
        <f t="shared" si="102"/>
        <v>2.72525734436176</v>
      </c>
      <c r="T126" s="24">
        <f t="shared" si="103"/>
        <v>2.7077493599387652</v>
      </c>
      <c r="U126" s="24">
        <f t="shared" si="104"/>
        <v>2.7949551284623309</v>
      </c>
      <c r="V126" s="24">
        <f t="shared" si="105"/>
        <v>2.7032085212049926</v>
      </c>
      <c r="W126" s="24">
        <f t="shared" si="106"/>
        <v>2.6198592407294599</v>
      </c>
      <c r="X126" s="24">
        <f t="shared" si="107"/>
        <v>2.6437829927350651</v>
      </c>
      <c r="Y126" s="24">
        <f t="shared" si="108"/>
        <v>2.8449864349358931</v>
      </c>
      <c r="Z126" s="24">
        <f t="shared" si="109"/>
        <v>2.9061763383428936</v>
      </c>
    </row>
    <row r="127" spans="1:26">
      <c r="A127" s="21" t="s">
        <v>6871</v>
      </c>
      <c r="B127" s="23">
        <f>ENFIELD!D3</f>
        <v>193985</v>
      </c>
      <c r="C127" s="23">
        <f>ENFIELD!E3</f>
        <v>196049</v>
      </c>
      <c r="D127" s="23">
        <f>ENFIELD!F3</f>
        <v>198089</v>
      </c>
      <c r="E127" s="23">
        <f>ENFIELD!G3</f>
        <v>200557</v>
      </c>
      <c r="F127" s="23">
        <f>ENFIELD!H3</f>
        <v>194246</v>
      </c>
      <c r="G127" s="23">
        <f>ENFIELD!I3</f>
        <v>196586</v>
      </c>
      <c r="H127" s="23">
        <f>ENFIELD!J3</f>
        <v>192256</v>
      </c>
      <c r="I127" s="23">
        <f>ENFIELD!K3</f>
        <v>195234</v>
      </c>
      <c r="J127" s="23">
        <f>ENFIELD!L3</f>
        <v>196606</v>
      </c>
      <c r="K127" s="23">
        <f>ENFIELD!M3</f>
        <v>190847</v>
      </c>
      <c r="L127" s="23">
        <f>ENFIELD!N3</f>
        <v>200134</v>
      </c>
      <c r="M127" s="23">
        <f>ENFIELD!O3</f>
        <v>198114</v>
      </c>
      <c r="N127" s="16"/>
      <c r="O127" s="24">
        <f t="shared" si="98"/>
        <v>2.5547200126428908</v>
      </c>
      <c r="P127" s="24">
        <f t="shared" si="99"/>
        <v>2.5580172492530107</v>
      </c>
      <c r="Q127" s="24">
        <f t="shared" si="100"/>
        <v>2.5698810342367122</v>
      </c>
      <c r="R127" s="24">
        <f t="shared" si="101"/>
        <v>2.5880326218804037</v>
      </c>
      <c r="S127" s="24">
        <f t="shared" si="102"/>
        <v>2.5182928410298961</v>
      </c>
      <c r="T127" s="24">
        <f t="shared" si="103"/>
        <v>2.5943727399899701</v>
      </c>
      <c r="U127" s="24">
        <f t="shared" si="104"/>
        <v>2.5713330390937421</v>
      </c>
      <c r="V127" s="24">
        <f t="shared" si="105"/>
        <v>2.5515781219368749</v>
      </c>
      <c r="W127" s="24">
        <f t="shared" si="106"/>
        <v>2.5482612471323214</v>
      </c>
      <c r="X127" s="24">
        <f t="shared" si="107"/>
        <v>2.4936889144410181</v>
      </c>
      <c r="Y127" s="24">
        <f t="shared" si="108"/>
        <v>2.7561731370415767</v>
      </c>
      <c r="Z127" s="24">
        <f t="shared" si="109"/>
        <v>2.699358249424332</v>
      </c>
    </row>
    <row r="128" spans="1:26">
      <c r="A128" s="21" t="s">
        <v>6872</v>
      </c>
      <c r="B128" s="23">
        <f>GREENWICH!D3</f>
        <v>153230</v>
      </c>
      <c r="C128" s="23">
        <f>GREENWICH!E3</f>
        <v>159670</v>
      </c>
      <c r="D128" s="23">
        <f>GREENWICH!F3</f>
        <v>158771</v>
      </c>
      <c r="E128" s="23">
        <f>GREENWICH!G3</f>
        <v>159869</v>
      </c>
      <c r="F128" s="23">
        <f>GREENWICH!H3</f>
        <v>159889</v>
      </c>
      <c r="G128" s="23">
        <f>GREENWICH!I3</f>
        <v>161168</v>
      </c>
      <c r="H128" s="23">
        <f>GREENWICH!J3</f>
        <v>160503</v>
      </c>
      <c r="I128" s="23">
        <f>GREENWICH!K3</f>
        <v>164342</v>
      </c>
      <c r="J128" s="23">
        <f>GREENWICH!L3</f>
        <v>165690</v>
      </c>
      <c r="K128" s="23">
        <f>GREENWICH!M3</f>
        <v>164551</v>
      </c>
      <c r="L128" s="23">
        <f>GREENWICH!N3</f>
        <v>165779</v>
      </c>
      <c r="M128" s="23">
        <f>GREENWICH!O3</f>
        <v>174323</v>
      </c>
      <c r="N128" s="16"/>
      <c r="O128" s="24">
        <f t="shared" si="98"/>
        <v>2.0179897803297688</v>
      </c>
      <c r="P128" s="24">
        <f t="shared" si="99"/>
        <v>2.0833496431413994</v>
      </c>
      <c r="Q128" s="24">
        <f t="shared" si="100"/>
        <v>2.0597942424203111</v>
      </c>
      <c r="R128" s="24">
        <f t="shared" si="101"/>
        <v>2.0629855214597259</v>
      </c>
      <c r="S128" s="24">
        <f t="shared" si="102"/>
        <v>2.0728731817356807</v>
      </c>
      <c r="T128" s="24">
        <f t="shared" si="103"/>
        <v>2.1269564758360389</v>
      </c>
      <c r="U128" s="24">
        <f t="shared" si="104"/>
        <v>2.1466516871965653</v>
      </c>
      <c r="V128" s="24">
        <f t="shared" si="105"/>
        <v>2.1478402927530551</v>
      </c>
      <c r="W128" s="24">
        <f t="shared" si="106"/>
        <v>2.1475509701502209</v>
      </c>
      <c r="X128" s="24">
        <f t="shared" si="107"/>
        <v>2.150094078294047</v>
      </c>
      <c r="Y128" s="24">
        <f t="shared" si="108"/>
        <v>2.283048489939818</v>
      </c>
      <c r="Z128" s="24">
        <f t="shared" si="109"/>
        <v>2.3751992696851199</v>
      </c>
    </row>
    <row r="129" spans="1:26">
      <c r="A129" s="21" t="s">
        <v>6873</v>
      </c>
      <c r="B129" s="23">
        <f>HACKNEY!D3</f>
        <v>143600</v>
      </c>
      <c r="C129" s="23">
        <f>HACKNEY!E3</f>
        <v>148558</v>
      </c>
      <c r="D129" s="23">
        <f>HACKNEY!F3</f>
        <v>150032</v>
      </c>
      <c r="E129" s="23">
        <f>HACKNEY!G3</f>
        <v>153853</v>
      </c>
      <c r="F129" s="23">
        <f>HACKNEY!H3</f>
        <v>155431</v>
      </c>
      <c r="G129" s="23">
        <f>HACKNEY!I3</f>
        <v>156155</v>
      </c>
      <c r="H129" s="23">
        <f>HACKNEY!J3</f>
        <v>148344</v>
      </c>
      <c r="I129" s="23">
        <f>HACKNEY!K3</f>
        <v>153283</v>
      </c>
      <c r="J129" s="23">
        <f>HACKNEY!L3</f>
        <v>158451</v>
      </c>
      <c r="K129" s="23">
        <f>HACKNEY!M3</f>
        <v>154993</v>
      </c>
      <c r="L129" s="23">
        <f>HACKNEY!N3</f>
        <v>167211</v>
      </c>
      <c r="M129" s="23">
        <f>HACKNEY!O3</f>
        <v>169958</v>
      </c>
      <c r="N129" s="16"/>
      <c r="O129" s="24">
        <f t="shared" si="98"/>
        <v>1.891165779908339</v>
      </c>
      <c r="P129" s="24">
        <f t="shared" si="99"/>
        <v>1.9383619733562976</v>
      </c>
      <c r="Q129" s="24">
        <f t="shared" si="100"/>
        <v>1.9464199997405327</v>
      </c>
      <c r="R129" s="24">
        <f t="shared" si="101"/>
        <v>1.9853537048029526</v>
      </c>
      <c r="S129" s="24">
        <f t="shared" si="102"/>
        <v>2.0150776570643294</v>
      </c>
      <c r="T129" s="24">
        <f t="shared" si="103"/>
        <v>2.0607992187293793</v>
      </c>
      <c r="U129" s="24">
        <f t="shared" si="104"/>
        <v>1.9840308149099226</v>
      </c>
      <c r="V129" s="24">
        <f t="shared" si="105"/>
        <v>2.0033065412010718</v>
      </c>
      <c r="W129" s="24">
        <f t="shared" si="106"/>
        <v>2.0537244177154483</v>
      </c>
      <c r="X129" s="24">
        <f t="shared" si="107"/>
        <v>2.0252051429467413</v>
      </c>
      <c r="Y129" s="24">
        <f t="shared" si="108"/>
        <v>2.3027694765400133</v>
      </c>
      <c r="Z129" s="24">
        <f t="shared" si="109"/>
        <v>2.3157249328955078</v>
      </c>
    </row>
    <row r="130" spans="1:26">
      <c r="A130" s="21" t="s">
        <v>6874</v>
      </c>
      <c r="B130" s="23">
        <f>HAMMERSMITH!D3</f>
        <v>109316</v>
      </c>
      <c r="C130" s="23">
        <f>HAMMERSMITH!E3</f>
        <v>109338</v>
      </c>
      <c r="D130" s="23">
        <f>HAMMERSMITH!F3</f>
        <v>110271</v>
      </c>
      <c r="E130" s="23">
        <f>HAMMERSMITH!G3</f>
        <v>110308</v>
      </c>
      <c r="F130" s="23">
        <f>HAMMERSMITH!H3</f>
        <v>110756</v>
      </c>
      <c r="G130" s="23">
        <f>HAMMERSMITH!I3</f>
        <v>108186</v>
      </c>
      <c r="H130" s="23">
        <f>HAMMERSMITH!J3</f>
        <v>105431</v>
      </c>
      <c r="I130" s="23">
        <f>HAMMERSMITH!K3</f>
        <v>109806</v>
      </c>
      <c r="J130" s="23">
        <f>HAMMERSMITH!L3</f>
        <v>109945</v>
      </c>
      <c r="K130" s="23">
        <f>HAMMERSMITH!M3</f>
        <v>107400</v>
      </c>
      <c r="L130" s="23">
        <f>HAMMERSMITH!N3</f>
        <v>116630</v>
      </c>
      <c r="M130" s="23">
        <f>HAMMERSMITH!O3</f>
        <v>115750</v>
      </c>
      <c r="N130" s="16"/>
      <c r="O130" s="24">
        <f t="shared" si="98"/>
        <v>1.4396565347942896</v>
      </c>
      <c r="P130" s="24">
        <f t="shared" si="99"/>
        <v>1.4266254354718753</v>
      </c>
      <c r="Q130" s="24">
        <f t="shared" si="100"/>
        <v>1.4305860069277774</v>
      </c>
      <c r="R130" s="24">
        <f t="shared" si="101"/>
        <v>1.4234392340052133</v>
      </c>
      <c r="S130" s="24">
        <f t="shared" si="102"/>
        <v>1.4358907874607825</v>
      </c>
      <c r="T130" s="24">
        <f t="shared" si="103"/>
        <v>1.4277456647398843</v>
      </c>
      <c r="U130" s="24">
        <f t="shared" si="104"/>
        <v>1.4100897430753387</v>
      </c>
      <c r="V130" s="24">
        <f t="shared" si="105"/>
        <v>1.4350911585963537</v>
      </c>
      <c r="W130" s="24">
        <f t="shared" si="106"/>
        <v>1.4250255984861249</v>
      </c>
      <c r="X130" s="24">
        <f t="shared" si="107"/>
        <v>1.4033345528667747</v>
      </c>
      <c r="Y130" s="24">
        <f t="shared" si="108"/>
        <v>1.6061862200983295</v>
      </c>
      <c r="Z130" s="24">
        <f t="shared" si="109"/>
        <v>1.5771258839398852</v>
      </c>
    </row>
    <row r="131" spans="1:26">
      <c r="A131" s="21" t="s">
        <v>6875</v>
      </c>
      <c r="B131" s="23">
        <f>HARINGEY!D3</f>
        <v>146843</v>
      </c>
      <c r="C131" s="23">
        <f>HARINGEY!E3</f>
        <v>150040</v>
      </c>
      <c r="D131" s="23">
        <f>HARINGEY!F3</f>
        <v>150014</v>
      </c>
      <c r="E131" s="23">
        <f>HARINGEY!G3</f>
        <v>150069</v>
      </c>
      <c r="F131" s="23">
        <f>HARINGEY!H3</f>
        <v>150479</v>
      </c>
      <c r="G131" s="23">
        <f>HARINGEY!I3</f>
        <v>138463</v>
      </c>
      <c r="H131" s="23">
        <f>HARINGEY!J3</f>
        <v>141270</v>
      </c>
      <c r="I131" s="23">
        <f>HARINGEY!K3</f>
        <v>148294</v>
      </c>
      <c r="J131" s="23">
        <f>HARINGEY!L3</f>
        <v>151424</v>
      </c>
      <c r="K131" s="23">
        <f>HARINGEY!M3</f>
        <v>149143</v>
      </c>
      <c r="L131" s="23">
        <f>HARINGEY!N3</f>
        <v>161259</v>
      </c>
      <c r="M131" s="23">
        <f>HARINGEY!O3</f>
        <v>161405</v>
      </c>
      <c r="N131" s="16"/>
      <c r="O131" s="24">
        <f t="shared" si="98"/>
        <v>1.9338750460938734</v>
      </c>
      <c r="P131" s="24">
        <f t="shared" si="99"/>
        <v>1.9576988817995591</v>
      </c>
      <c r="Q131" s="24">
        <f t="shared" si="100"/>
        <v>1.9461864791582881</v>
      </c>
      <c r="R131" s="24">
        <f t="shared" si="101"/>
        <v>1.936524117996232</v>
      </c>
      <c r="S131" s="24">
        <f t="shared" si="102"/>
        <v>1.9508776933647938</v>
      </c>
      <c r="T131" s="24">
        <f t="shared" si="103"/>
        <v>1.8273154380130388</v>
      </c>
      <c r="U131" s="24">
        <f t="shared" si="104"/>
        <v>1.8894194117883081</v>
      </c>
      <c r="V131" s="24">
        <f t="shared" si="105"/>
        <v>1.9381036398091878</v>
      </c>
      <c r="W131" s="24">
        <f t="shared" si="106"/>
        <v>1.9626456521457365</v>
      </c>
      <c r="X131" s="24">
        <f t="shared" si="107"/>
        <v>1.9487665290336069</v>
      </c>
      <c r="Y131" s="24">
        <f t="shared" si="108"/>
        <v>2.2208006830732789</v>
      </c>
      <c r="Z131" s="24">
        <f t="shared" si="109"/>
        <v>2.199187933454144</v>
      </c>
    </row>
    <row r="132" spans="1:26">
      <c r="A132" s="21" t="s">
        <v>6876</v>
      </c>
      <c r="B132" s="23">
        <f>HARROW!D3</f>
        <v>163210</v>
      </c>
      <c r="C132" s="23">
        <f>HARROW!E3</f>
        <v>165363</v>
      </c>
      <c r="D132" s="23">
        <f>HARROW!F3</f>
        <v>165795</v>
      </c>
      <c r="E132" s="23">
        <f>HARROW!G3</f>
        <v>164401</v>
      </c>
      <c r="F132" s="23">
        <f>HARROW!H3</f>
        <v>166809</v>
      </c>
      <c r="G132" s="23">
        <f>HARROW!I3</f>
        <v>160550</v>
      </c>
      <c r="H132" s="23">
        <f>HARROW!J3</f>
        <v>161123</v>
      </c>
      <c r="I132" s="23">
        <f>HARROW!K3</f>
        <v>162777</v>
      </c>
      <c r="J132" s="23">
        <f>HARROW!L3</f>
        <v>165010</v>
      </c>
      <c r="K132" s="23">
        <f>HARROW!M3</f>
        <v>163277</v>
      </c>
      <c r="L132" s="23">
        <f>HARROW!N3</f>
        <v>166355</v>
      </c>
      <c r="M132" s="23">
        <f>HARROW!O3</f>
        <v>167970</v>
      </c>
      <c r="N132" s="16"/>
      <c r="O132" s="24">
        <f t="shared" si="98"/>
        <v>2.1494231680977718</v>
      </c>
      <c r="P132" s="24">
        <f t="shared" si="99"/>
        <v>2.1576310329980037</v>
      </c>
      <c r="Q132" s="24">
        <f t="shared" si="100"/>
        <v>2.1509191629584463</v>
      </c>
      <c r="R132" s="24">
        <f t="shared" si="101"/>
        <v>2.1214674684491701</v>
      </c>
      <c r="S132" s="24">
        <f t="shared" si="102"/>
        <v>2.1625871859361632</v>
      </c>
      <c r="T132" s="24">
        <f t="shared" si="103"/>
        <v>2.1188006440203764</v>
      </c>
      <c r="U132" s="24">
        <f t="shared" si="104"/>
        <v>2.1549438938597549</v>
      </c>
      <c r="V132" s="24">
        <f t="shared" si="105"/>
        <v>2.1273867869045286</v>
      </c>
      <c r="W132" s="24">
        <f t="shared" si="106"/>
        <v>2.138737314167952</v>
      </c>
      <c r="X132" s="24">
        <f t="shared" si="107"/>
        <v>2.1334474468196309</v>
      </c>
      <c r="Y132" s="24">
        <f t="shared" si="108"/>
        <v>2.2909809538236954</v>
      </c>
      <c r="Z132" s="24">
        <f t="shared" si="109"/>
        <v>2.2886378809968253</v>
      </c>
    </row>
    <row r="133" spans="1:26">
      <c r="A133" s="21" t="s">
        <v>6877</v>
      </c>
      <c r="B133" s="23">
        <f>HAVERING!D3</f>
        <v>179060</v>
      </c>
      <c r="C133" s="23">
        <f>HAVERING!E3</f>
        <v>180545</v>
      </c>
      <c r="D133" s="23">
        <f>HAVERING!F3</f>
        <v>182224</v>
      </c>
      <c r="E133" s="23">
        <f>HAVERING!G3</f>
        <v>182776</v>
      </c>
      <c r="F133" s="23">
        <f>HAVERING!H3</f>
        <v>183017</v>
      </c>
      <c r="G133" s="23">
        <f>HAVERING!I3</f>
        <v>179330</v>
      </c>
      <c r="H133" s="23">
        <f>HAVERING!J3</f>
        <v>177400</v>
      </c>
      <c r="I133" s="23">
        <f>HAVERING!K3</f>
        <v>180826</v>
      </c>
      <c r="J133" s="23">
        <f>HAVERING!L3</f>
        <v>183755</v>
      </c>
      <c r="K133" s="23">
        <f>HAVERING!M3</f>
        <v>181186</v>
      </c>
      <c r="L133" s="23">
        <f>HAVERING!N3</f>
        <v>179294</v>
      </c>
      <c r="M133" s="23">
        <f>HAVERING!O3</f>
        <v>182111</v>
      </c>
      <c r="N133" s="16"/>
      <c r="O133" s="24">
        <f t="shared" si="98"/>
        <v>2.3581625665068744</v>
      </c>
      <c r="P133" s="24">
        <f t="shared" si="99"/>
        <v>2.3557234378465832</v>
      </c>
      <c r="Q133" s="24">
        <f t="shared" si="100"/>
        <v>2.3640585877194122</v>
      </c>
      <c r="R133" s="24">
        <f t="shared" si="101"/>
        <v>2.3585825999432215</v>
      </c>
      <c r="S133" s="24">
        <f t="shared" si="102"/>
        <v>2.3727150154276972</v>
      </c>
      <c r="T133" s="24">
        <f t="shared" si="103"/>
        <v>2.3666429118167183</v>
      </c>
      <c r="U133" s="24">
        <f t="shared" si="104"/>
        <v>2.3726410678222258</v>
      </c>
      <c r="V133" s="24">
        <f t="shared" si="105"/>
        <v>2.3632751748023262</v>
      </c>
      <c r="W133" s="24">
        <f t="shared" si="106"/>
        <v>2.3816961103262351</v>
      </c>
      <c r="X133" s="24">
        <f t="shared" si="107"/>
        <v>2.3674541368316522</v>
      </c>
      <c r="Y133" s="24">
        <f t="shared" si="108"/>
        <v>2.4691721867985073</v>
      </c>
      <c r="Z133" s="24">
        <f t="shared" si="109"/>
        <v>2.4813129317509843</v>
      </c>
    </row>
    <row r="134" spans="1:26">
      <c r="A134" s="21" t="s">
        <v>6878</v>
      </c>
      <c r="B134" s="23">
        <f>HILLINGDON!D3</f>
        <v>188436</v>
      </c>
      <c r="C134" s="23">
        <f>HILLINGDON!E3</f>
        <v>190558</v>
      </c>
      <c r="D134" s="23">
        <f>HILLINGDON!F3</f>
        <v>192960</v>
      </c>
      <c r="E134" s="23">
        <f>HILLINGDON!G3</f>
        <v>194954</v>
      </c>
      <c r="F134" s="23">
        <f>HILLINGDON!H3</f>
        <v>196374</v>
      </c>
      <c r="G134" s="23">
        <f>HILLINGDON!I3</f>
        <v>194733</v>
      </c>
      <c r="H134" s="23">
        <f>HILLINGDON!J3</f>
        <v>183803</v>
      </c>
      <c r="I134" s="23">
        <f>HILLINGDON!K3</f>
        <v>188611</v>
      </c>
      <c r="J134" s="23">
        <f>HILLINGDON!L3</f>
        <v>187706</v>
      </c>
      <c r="K134" s="23">
        <f>HILLINGDON!M3</f>
        <v>183014</v>
      </c>
      <c r="L134" s="23">
        <f>HILLINGDON!N3</f>
        <v>185194</v>
      </c>
      <c r="M134" s="23">
        <f>HILLINGDON!O3</f>
        <v>192475</v>
      </c>
      <c r="N134" s="16"/>
      <c r="O134" s="24">
        <f t="shared" si="98"/>
        <v>2.4816414686825055</v>
      </c>
      <c r="P134" s="24">
        <f t="shared" si="99"/>
        <v>2.4863715243799009</v>
      </c>
      <c r="Q134" s="24">
        <f t="shared" si="100"/>
        <v>2.5033406416626667</v>
      </c>
      <c r="R134" s="24">
        <f t="shared" si="101"/>
        <v>2.5157302500838776</v>
      </c>
      <c r="S134" s="24">
        <f t="shared" si="102"/>
        <v>2.5458811937666916</v>
      </c>
      <c r="T134" s="24">
        <f t="shared" si="103"/>
        <v>2.5699184416818435</v>
      </c>
      <c r="U134" s="24">
        <f t="shared" si="104"/>
        <v>2.4582781634099695</v>
      </c>
      <c r="V134" s="24">
        <f t="shared" si="105"/>
        <v>2.4650199307325362</v>
      </c>
      <c r="W134" s="24">
        <f t="shared" si="106"/>
        <v>2.4329060438349774</v>
      </c>
      <c r="X134" s="24">
        <f t="shared" si="107"/>
        <v>2.3913395703757905</v>
      </c>
      <c r="Y134" s="24">
        <f t="shared" si="108"/>
        <v>2.5504248550535027</v>
      </c>
      <c r="Z134" s="24">
        <f t="shared" si="109"/>
        <v>2.6225253089531697</v>
      </c>
    </row>
    <row r="135" spans="1:26">
      <c r="A135" s="21" t="s">
        <v>6879</v>
      </c>
      <c r="B135" s="23">
        <f>HOUNSLOW!D3</f>
        <v>163352</v>
      </c>
      <c r="C135" s="23">
        <f>HOUNSLOW!E3</f>
        <v>163769</v>
      </c>
      <c r="D135" s="23">
        <f>HOUNSLOW!F3</f>
        <v>165705</v>
      </c>
      <c r="E135" s="23">
        <f>HOUNSLOW!G3</f>
        <v>166433</v>
      </c>
      <c r="F135" s="23">
        <f>HOUNSLOW!H3</f>
        <v>168650</v>
      </c>
      <c r="G135" s="23">
        <f>HOUNSLOW!I3</f>
        <v>162922</v>
      </c>
      <c r="H135" s="23">
        <f>HOUNSLOW!J3</f>
        <v>159510</v>
      </c>
      <c r="I135" s="23">
        <f>HOUNSLOW!K3</f>
        <v>162860</v>
      </c>
      <c r="J135" s="23">
        <f>HOUNSLOW!L3</f>
        <v>163163</v>
      </c>
      <c r="K135" s="23">
        <f>HOUNSLOW!M3</f>
        <v>160344</v>
      </c>
      <c r="L135" s="23">
        <f>HOUNSLOW!N3</f>
        <v>162148</v>
      </c>
      <c r="M135" s="23">
        <f>HOUNSLOW!O3</f>
        <v>168726</v>
      </c>
      <c r="N135" s="16"/>
      <c r="O135" s="24">
        <f t="shared" si="98"/>
        <v>2.151293262392667</v>
      </c>
      <c r="P135" s="24">
        <f t="shared" si="99"/>
        <v>2.1368327657520125</v>
      </c>
      <c r="Q135" s="24">
        <f t="shared" si="100"/>
        <v>2.149751560047223</v>
      </c>
      <c r="R135" s="24">
        <f t="shared" si="101"/>
        <v>2.1476888533305805</v>
      </c>
      <c r="S135" s="24">
        <f t="shared" si="102"/>
        <v>2.186454741099904</v>
      </c>
      <c r="T135" s="24">
        <f t="shared" si="103"/>
        <v>2.1501042573969964</v>
      </c>
      <c r="U135" s="24">
        <f t="shared" si="104"/>
        <v>2.1333707820085865</v>
      </c>
      <c r="V135" s="24">
        <f t="shared" si="105"/>
        <v>2.128471541527805</v>
      </c>
      <c r="W135" s="24">
        <f t="shared" si="106"/>
        <v>2.1147978691690539</v>
      </c>
      <c r="X135" s="24">
        <f t="shared" si="107"/>
        <v>2.0951236084252338</v>
      </c>
      <c r="Y135" s="24">
        <f t="shared" si="108"/>
        <v>2.2330436698662774</v>
      </c>
      <c r="Z135" s="24">
        <f t="shared" si="109"/>
        <v>2.2989385908737892</v>
      </c>
    </row>
    <row r="136" spans="1:26">
      <c r="A136" s="21" t="s">
        <v>6880</v>
      </c>
      <c r="B136" s="23">
        <f>ISLINGTON!D3</f>
        <v>132656</v>
      </c>
      <c r="C136" s="23">
        <f>ISLINGTON!E3</f>
        <v>136390</v>
      </c>
      <c r="D136" s="23">
        <f>ISLINGTON!F3</f>
        <v>136813</v>
      </c>
      <c r="E136" s="23">
        <f>ISLINGTON!G3</f>
        <v>137447</v>
      </c>
      <c r="F136" s="23">
        <f>ISLINGTON!H3</f>
        <v>137624</v>
      </c>
      <c r="G136" s="23">
        <f>ISLINGTON!I3</f>
        <v>134007</v>
      </c>
      <c r="H136" s="23">
        <f>ISLINGTON!J3</f>
        <v>134137</v>
      </c>
      <c r="I136" s="23">
        <f>ISLINGTON!K3</f>
        <v>138920</v>
      </c>
      <c r="J136" s="23">
        <f>ISLINGTON!L3</f>
        <v>136903</v>
      </c>
      <c r="K136" s="23">
        <f>ISLINGTON!M3</f>
        <v>133176</v>
      </c>
      <c r="L136" s="23">
        <f>ISLINGTON!N3</f>
        <v>136792</v>
      </c>
      <c r="M136" s="23">
        <f>ISLINGTON!O3</f>
        <v>143426</v>
      </c>
      <c r="N136" s="16"/>
      <c r="O136" s="24">
        <f t="shared" si="98"/>
        <v>1.7470368224200601</v>
      </c>
      <c r="P136" s="24">
        <f t="shared" si="99"/>
        <v>1.7795957777168878</v>
      </c>
      <c r="Q136" s="24">
        <f t="shared" si="100"/>
        <v>1.7749250788131965</v>
      </c>
      <c r="R136" s="24">
        <f t="shared" si="101"/>
        <v>1.7736469920251889</v>
      </c>
      <c r="S136" s="24">
        <f t="shared" si="102"/>
        <v>1.7842196696657764</v>
      </c>
      <c r="T136" s="24">
        <f t="shared" si="103"/>
        <v>1.7685089872515638</v>
      </c>
      <c r="U136" s="24">
        <f t="shared" si="104"/>
        <v>1.7940189115810028</v>
      </c>
      <c r="V136" s="24">
        <f t="shared" si="105"/>
        <v>1.815591714042998</v>
      </c>
      <c r="W136" s="24">
        <f t="shared" si="106"/>
        <v>1.7744352131479009</v>
      </c>
      <c r="X136" s="24">
        <f t="shared" si="107"/>
        <v>1.7401348455548007</v>
      </c>
      <c r="Y136" s="24">
        <f t="shared" si="108"/>
        <v>1.8838499993114182</v>
      </c>
      <c r="Z136" s="24">
        <f t="shared" si="109"/>
        <v>1.9542190672134945</v>
      </c>
    </row>
    <row r="137" spans="1:26">
      <c r="A137" s="21" t="s">
        <v>6881</v>
      </c>
      <c r="B137" s="23">
        <f>KENSINGTON!D3</f>
        <v>87299</v>
      </c>
      <c r="C137" s="23">
        <f>KENSINGTON!E3</f>
        <v>86412</v>
      </c>
      <c r="D137" s="23">
        <f>KENSINGTON!F3</f>
        <v>85673</v>
      </c>
      <c r="E137" s="23">
        <f>KENSINGTON!G3</f>
        <v>85063</v>
      </c>
      <c r="F137" s="23">
        <f>KENSINGTON!H3</f>
        <v>84674</v>
      </c>
      <c r="G137" s="23">
        <f>KENSINGTON!I3</f>
        <v>80182</v>
      </c>
      <c r="H137" s="23">
        <f>KENSINGTON!J3</f>
        <v>76454</v>
      </c>
      <c r="I137" s="23">
        <f>KENSINGTON!K3</f>
        <v>78829</v>
      </c>
      <c r="J137" s="23">
        <f>KENSINGTON!L3</f>
        <v>83410</v>
      </c>
      <c r="K137" s="23">
        <f>KENSINGTON!M3</f>
        <v>79114</v>
      </c>
      <c r="L137" s="23">
        <f>KENSINGTON!N3</f>
        <v>85967</v>
      </c>
      <c r="M137" s="23">
        <f>KENSINGTON!O3</f>
        <v>84606</v>
      </c>
      <c r="N137" s="16"/>
      <c r="O137" s="24">
        <f t="shared" si="98"/>
        <v>1.1496997313385662</v>
      </c>
      <c r="P137" s="24">
        <f t="shared" si="99"/>
        <v>1.1274905076917054</v>
      </c>
      <c r="Q137" s="24">
        <f t="shared" si="100"/>
        <v>1.1114671579247803</v>
      </c>
      <c r="R137" s="24">
        <f t="shared" si="101"/>
        <v>1.0976720778382842</v>
      </c>
      <c r="S137" s="24">
        <f t="shared" si="102"/>
        <v>1.0977519641143982</v>
      </c>
      <c r="T137" s="24">
        <f t="shared" si="103"/>
        <v>1.0581729880961808</v>
      </c>
      <c r="U137" s="24">
        <f t="shared" si="104"/>
        <v>1.0225360777862482</v>
      </c>
      <c r="V137" s="24">
        <f t="shared" si="105"/>
        <v>1.030242436123636</v>
      </c>
      <c r="W137" s="24">
        <f t="shared" si="106"/>
        <v>1.0810985962956723</v>
      </c>
      <c r="X137" s="24">
        <f t="shared" si="107"/>
        <v>1.033737521559609</v>
      </c>
      <c r="Y137" s="24">
        <f t="shared" si="108"/>
        <v>1.183906463030036</v>
      </c>
      <c r="Z137" s="24">
        <f t="shared" si="109"/>
        <v>1.1527802378973471</v>
      </c>
    </row>
    <row r="138" spans="1:26">
      <c r="A138" s="21" t="s">
        <v>6882</v>
      </c>
      <c r="B138" s="23">
        <f>KINGSTON!D3</f>
        <v>107103</v>
      </c>
      <c r="C138" s="23">
        <f>KINGSTON!E3</f>
        <v>107615</v>
      </c>
      <c r="D138" s="23">
        <f>KINGSTON!F3</f>
        <v>109226</v>
      </c>
      <c r="E138" s="23">
        <f>KINGSTON!G3</f>
        <v>108780</v>
      </c>
      <c r="F138" s="23">
        <f>KINGSTON!H3</f>
        <v>109266</v>
      </c>
      <c r="G138" s="23">
        <f>KINGSTON!I3</f>
        <v>104321</v>
      </c>
      <c r="H138" s="23">
        <f>KINGSTON!J3</f>
        <v>104458</v>
      </c>
      <c r="I138" s="23">
        <f>KINGSTON!K3</f>
        <v>107946</v>
      </c>
      <c r="J138" s="23">
        <f>KINGSTON!L3</f>
        <v>107239</v>
      </c>
      <c r="K138" s="23">
        <f>KINGSTON!M3</f>
        <v>105070</v>
      </c>
      <c r="L138" s="23">
        <f>KINGSTON!N3</f>
        <v>106901</v>
      </c>
      <c r="M138" s="23">
        <f>KINGSTON!O3</f>
        <v>110553</v>
      </c>
      <c r="N138" s="16"/>
      <c r="O138" s="24">
        <f t="shared" si="98"/>
        <v>1.4105120370858135</v>
      </c>
      <c r="P138" s="24">
        <f t="shared" si="99"/>
        <v>1.4041439960334547</v>
      </c>
      <c r="Q138" s="24">
        <f t="shared" si="100"/>
        <v>1.4170288397919073</v>
      </c>
      <c r="R138" s="24">
        <f t="shared" si="101"/>
        <v>1.4037215784447827</v>
      </c>
      <c r="S138" s="24">
        <f t="shared" si="102"/>
        <v>1.4165737547644359</v>
      </c>
      <c r="T138" s="24">
        <f t="shared" si="103"/>
        <v>1.3767387230448438</v>
      </c>
      <c r="U138" s="24">
        <f t="shared" si="104"/>
        <v>1.3970763284248819</v>
      </c>
      <c r="V138" s="24">
        <f t="shared" si="105"/>
        <v>1.410782199568712</v>
      </c>
      <c r="W138" s="24">
        <f t="shared" si="106"/>
        <v>1.3899524321802132</v>
      </c>
      <c r="X138" s="24">
        <f t="shared" si="107"/>
        <v>1.3728897715988084</v>
      </c>
      <c r="Y138" s="24">
        <f t="shared" si="108"/>
        <v>1.4722019473097103</v>
      </c>
      <c r="Z138" s="24">
        <f t="shared" si="109"/>
        <v>1.506315316174567</v>
      </c>
    </row>
    <row r="139" spans="1:26">
      <c r="A139" s="21" t="s">
        <v>6883</v>
      </c>
      <c r="B139" s="23">
        <f>LAMBETH!D3</f>
        <v>189729</v>
      </c>
      <c r="C139" s="23">
        <f>LAMBETH!E3</f>
        <v>191664</v>
      </c>
      <c r="D139" s="23">
        <f>LAMBETH!F3</f>
        <v>193037</v>
      </c>
      <c r="E139" s="23">
        <f>LAMBETH!G3</f>
        <v>193547</v>
      </c>
      <c r="F139" s="23">
        <f>LAMBETH!H3</f>
        <v>193774</v>
      </c>
      <c r="G139" s="23">
        <f>LAMBETH!I3</f>
        <v>193576</v>
      </c>
      <c r="H139" s="23">
        <f>LAMBETH!J3</f>
        <v>188189</v>
      </c>
      <c r="I139" s="23">
        <f>LAMBETH!K3</f>
        <v>198161</v>
      </c>
      <c r="J139" s="23">
        <f>LAMBETH!L3</f>
        <v>200854</v>
      </c>
      <c r="K139" s="23">
        <f>LAMBETH!M3</f>
        <v>196869</v>
      </c>
      <c r="L139" s="23">
        <f>LAMBETH!N3</f>
        <v>220228</v>
      </c>
      <c r="M139" s="23">
        <f>LAMBETH!O3</f>
        <v>217432</v>
      </c>
      <c r="N139" s="16"/>
      <c r="O139" s="24">
        <f t="shared" si="98"/>
        <v>2.4986698625085602</v>
      </c>
      <c r="P139" s="24">
        <f t="shared" si="99"/>
        <v>2.5008024425568558</v>
      </c>
      <c r="Q139" s="24">
        <f t="shared" si="100"/>
        <v>2.5043395908200465</v>
      </c>
      <c r="R139" s="24">
        <f t="shared" si="101"/>
        <v>2.4975740057294757</v>
      </c>
      <c r="S139" s="24">
        <f t="shared" si="102"/>
        <v>2.5121736199341407</v>
      </c>
      <c r="T139" s="24">
        <f t="shared" si="103"/>
        <v>2.554649352020482</v>
      </c>
      <c r="U139" s="24">
        <f t="shared" si="104"/>
        <v>2.5169388382885955</v>
      </c>
      <c r="V139" s="24">
        <f t="shared" si="105"/>
        <v>2.5898320590733843</v>
      </c>
      <c r="W139" s="24">
        <f t="shared" si="106"/>
        <v>2.6033206745039079</v>
      </c>
      <c r="X139" s="24">
        <f t="shared" si="107"/>
        <v>2.5723749542674961</v>
      </c>
      <c r="Y139" s="24">
        <f t="shared" si="108"/>
        <v>3.0329004448239294</v>
      </c>
      <c r="Z139" s="24">
        <f t="shared" si="109"/>
        <v>2.9625713623915089</v>
      </c>
    </row>
    <row r="140" spans="1:26">
      <c r="A140" s="21" t="s">
        <v>6884</v>
      </c>
      <c r="B140" s="23">
        <f>LEWISHAM!D3</f>
        <v>167913</v>
      </c>
      <c r="C140" s="23">
        <f>LEWISHAM!E3</f>
        <v>171868</v>
      </c>
      <c r="D140" s="23">
        <f>LEWISHAM!F3</f>
        <v>173203</v>
      </c>
      <c r="E140" s="23">
        <f>LEWISHAM!G3</f>
        <v>175750</v>
      </c>
      <c r="F140" s="23">
        <f>LEWISHAM!H3</f>
        <v>178734</v>
      </c>
      <c r="G140" s="23">
        <f>LEWISHAM!I3</f>
        <v>173468</v>
      </c>
      <c r="H140" s="23">
        <f>LEWISHAM!J3</f>
        <v>167222</v>
      </c>
      <c r="I140" s="23">
        <f>LEWISHAM!K3</f>
        <v>176913</v>
      </c>
      <c r="J140" s="23">
        <f>LEWISHAM!L3</f>
        <v>180774</v>
      </c>
      <c r="K140" s="23">
        <f>LEWISHAM!M3</f>
        <v>176741</v>
      </c>
      <c r="L140" s="23">
        <f>LEWISHAM!N3</f>
        <v>181632</v>
      </c>
      <c r="M140" s="23">
        <f>LEWISHAM!O3</f>
        <v>190269</v>
      </c>
      <c r="N140" s="16"/>
      <c r="O140" s="24">
        <f t="shared" si="98"/>
        <v>2.2113601643575831</v>
      </c>
      <c r="P140" s="24">
        <f t="shared" si="99"/>
        <v>2.2425072741743977</v>
      </c>
      <c r="Q140" s="24">
        <f t="shared" si="100"/>
        <v>2.2470258559178009</v>
      </c>
      <c r="R140" s="24">
        <f t="shared" si="101"/>
        <v>2.2679175161948022</v>
      </c>
      <c r="S140" s="24">
        <f t="shared" si="102"/>
        <v>2.3171882697643063</v>
      </c>
      <c r="T140" s="24">
        <f t="shared" si="103"/>
        <v>2.2892812838176684</v>
      </c>
      <c r="U140" s="24">
        <f t="shared" si="104"/>
        <v>2.2365151332771602</v>
      </c>
      <c r="V140" s="24">
        <f t="shared" si="105"/>
        <v>2.3121348755146052</v>
      </c>
      <c r="W140" s="24">
        <f t="shared" si="106"/>
        <v>2.3430585978510234</v>
      </c>
      <c r="X140" s="24">
        <f t="shared" si="107"/>
        <v>2.3093738566873987</v>
      </c>
      <c r="Y140" s="24">
        <f t="shared" si="108"/>
        <v>2.5013702780493849</v>
      </c>
      <c r="Z140" s="24">
        <f t="shared" si="109"/>
        <v>2.5924679465344105</v>
      </c>
    </row>
    <row r="141" spans="1:26">
      <c r="A141" s="21" t="s">
        <v>6885</v>
      </c>
      <c r="B141" s="23">
        <f>MERTON!D3</f>
        <v>130323</v>
      </c>
      <c r="C141" s="23">
        <f>MERTON!E3</f>
        <v>133010</v>
      </c>
      <c r="D141" s="23">
        <f>MERTON!F3</f>
        <v>132637</v>
      </c>
      <c r="E141" s="23">
        <f>MERTON!G3</f>
        <v>133792</v>
      </c>
      <c r="F141" s="23">
        <f>MERTON!H3</f>
        <v>132225</v>
      </c>
      <c r="G141" s="23">
        <f>MERTON!I3</f>
        <v>129817</v>
      </c>
      <c r="H141" s="23">
        <f>MERTON!J3</f>
        <v>129825</v>
      </c>
      <c r="I141" s="23">
        <f>MERTON!K3</f>
        <v>133315</v>
      </c>
      <c r="J141" s="23">
        <f>MERTON!L3</f>
        <v>132604</v>
      </c>
      <c r="K141" s="23">
        <f>MERTON!M3</f>
        <v>131778</v>
      </c>
      <c r="L141" s="23">
        <f>MERTON!N3</f>
        <v>134699</v>
      </c>
      <c r="M141" s="23">
        <f>MERTON!O3</f>
        <v>138185</v>
      </c>
      <c r="N141" s="16"/>
      <c r="O141" s="24">
        <f t="shared" si="98"/>
        <v>1.7163119633356161</v>
      </c>
      <c r="P141" s="24">
        <f t="shared" si="99"/>
        <v>1.7354940567059407</v>
      </c>
      <c r="Q141" s="24">
        <f t="shared" si="100"/>
        <v>1.7207483037324374</v>
      </c>
      <c r="R141" s="24">
        <f t="shared" si="101"/>
        <v>1.7264820502232432</v>
      </c>
      <c r="S141" s="24">
        <f t="shared" si="102"/>
        <v>1.7142245961573366</v>
      </c>
      <c r="T141" s="24">
        <f t="shared" si="103"/>
        <v>1.7132129754269274</v>
      </c>
      <c r="U141" s="24">
        <f t="shared" si="104"/>
        <v>1.7363479516912088</v>
      </c>
      <c r="V141" s="24">
        <f t="shared" si="105"/>
        <v>1.7423381036398091</v>
      </c>
      <c r="W141" s="24">
        <f t="shared" si="106"/>
        <v>1.7187147615776444</v>
      </c>
      <c r="X141" s="24">
        <f t="shared" si="107"/>
        <v>1.7218679767940208</v>
      </c>
      <c r="Y141" s="24">
        <f t="shared" si="108"/>
        <v>1.8550259595389256</v>
      </c>
      <c r="Z141" s="24">
        <f t="shared" si="109"/>
        <v>1.8828089872331149</v>
      </c>
    </row>
    <row r="142" spans="1:26">
      <c r="A142" s="21" t="s">
        <v>6886</v>
      </c>
      <c r="B142" s="23">
        <f>NEWHAM!D3</f>
        <v>171381</v>
      </c>
      <c r="C142" s="23">
        <f>NEWHAM!E3</f>
        <v>177931</v>
      </c>
      <c r="D142" s="23">
        <f>NEWHAM!F3</f>
        <v>180188</v>
      </c>
      <c r="E142" s="23">
        <f>NEWHAM!G3</f>
        <v>179938</v>
      </c>
      <c r="F142" s="23">
        <f>NEWHAM!H3</f>
        <v>166501</v>
      </c>
      <c r="G142" s="23">
        <f>NEWHAM!I3</f>
        <v>165961</v>
      </c>
      <c r="H142" s="23">
        <f>NEWHAM!J3</f>
        <v>169712</v>
      </c>
      <c r="I142" s="23">
        <f>NEWHAM!K3</f>
        <v>175453</v>
      </c>
      <c r="J142" s="23">
        <f>NEWHAM!L3</f>
        <v>172997</v>
      </c>
      <c r="K142" s="23">
        <f>NEWHAM!M3</f>
        <v>171947</v>
      </c>
      <c r="L142" s="23">
        <f>NEWHAM!N3</f>
        <v>178809</v>
      </c>
      <c r="M142" s="23">
        <f>NEWHAM!O3</f>
        <v>186212</v>
      </c>
      <c r="N142" s="16"/>
      <c r="O142" s="24">
        <f t="shared" si="98"/>
        <v>2.2570326081230574</v>
      </c>
      <c r="P142" s="24">
        <f t="shared" si="99"/>
        <v>2.3216163672185908</v>
      </c>
      <c r="Q142" s="24">
        <f t="shared" si="100"/>
        <v>2.3376448151944058</v>
      </c>
      <c r="R142" s="24">
        <f t="shared" si="101"/>
        <v>2.321960409838181</v>
      </c>
      <c r="S142" s="24">
        <f t="shared" si="102"/>
        <v>2.1585941348821533</v>
      </c>
      <c r="T142" s="24">
        <f t="shared" si="103"/>
        <v>2.190210362393433</v>
      </c>
      <c r="U142" s="24">
        <f t="shared" si="104"/>
        <v>2.2698177051986788</v>
      </c>
      <c r="V142" s="24">
        <f t="shared" si="105"/>
        <v>2.2930536496111875</v>
      </c>
      <c r="W142" s="24">
        <f t="shared" si="106"/>
        <v>2.2422588881832204</v>
      </c>
      <c r="X142" s="24">
        <f t="shared" si="107"/>
        <v>2.2467333925678146</v>
      </c>
      <c r="Y142" s="24">
        <f t="shared" si="108"/>
        <v>2.4624929420351727</v>
      </c>
      <c r="Z142" s="24">
        <f t="shared" si="109"/>
        <v>2.5371901952502283</v>
      </c>
    </row>
    <row r="143" spans="1:26">
      <c r="A143" s="21" t="s">
        <v>6887</v>
      </c>
      <c r="B143" s="23">
        <f>REDBRIDGE!D3</f>
        <v>190563</v>
      </c>
      <c r="C143" s="23">
        <f>REDBRIDGE!E3</f>
        <v>192926</v>
      </c>
      <c r="D143" s="23">
        <f>REDBRIDGE!F3</f>
        <v>196397</v>
      </c>
      <c r="E143" s="23">
        <f>REDBRIDGE!G3</f>
        <v>195759</v>
      </c>
      <c r="F143" s="23">
        <f>REDBRIDGE!H3</f>
        <v>198615</v>
      </c>
      <c r="G143" s="23">
        <f>REDBRIDGE!I3</f>
        <v>194814</v>
      </c>
      <c r="H143" s="23">
        <f>REDBRIDGE!J3</f>
        <v>178020</v>
      </c>
      <c r="I143" s="23">
        <f>REDBRIDGE!K3</f>
        <v>187423</v>
      </c>
      <c r="J143" s="23">
        <f>REDBRIDGE!L3</f>
        <v>194621</v>
      </c>
      <c r="K143" s="23">
        <f>REDBRIDGE!M3</f>
        <v>182818</v>
      </c>
      <c r="L143" s="23">
        <f>REDBRIDGE!N3</f>
        <v>188872</v>
      </c>
      <c r="M143" s="23">
        <f>REDBRIDGE!O3</f>
        <v>191723</v>
      </c>
      <c r="N143" s="16"/>
      <c r="O143" s="24">
        <f t="shared" si="98"/>
        <v>2.5096533740715379</v>
      </c>
      <c r="P143" s="24">
        <f t="shared" si="99"/>
        <v>2.5172688247804702</v>
      </c>
      <c r="Q143" s="24">
        <f t="shared" si="100"/>
        <v>2.5479300995057148</v>
      </c>
      <c r="R143" s="24">
        <f t="shared" si="101"/>
        <v>2.5261181510826645</v>
      </c>
      <c r="S143" s="24">
        <f t="shared" si="102"/>
        <v>2.5749345295200561</v>
      </c>
      <c r="T143" s="24">
        <f t="shared" si="103"/>
        <v>2.5709874099295273</v>
      </c>
      <c r="U143" s="24">
        <f t="shared" si="104"/>
        <v>2.380933274485415</v>
      </c>
      <c r="V143" s="24">
        <f t="shared" si="105"/>
        <v>2.4494935633535908</v>
      </c>
      <c r="W143" s="24">
        <f t="shared" si="106"/>
        <v>2.5225331484193747</v>
      </c>
      <c r="X143" s="24">
        <f t="shared" si="107"/>
        <v>2.3887785501489573</v>
      </c>
      <c r="Y143" s="24">
        <f t="shared" si="108"/>
        <v>2.6010769421453457</v>
      </c>
      <c r="Z143" s="24">
        <f t="shared" si="109"/>
        <v>2.6122791001866661</v>
      </c>
    </row>
    <row r="144" spans="1:26">
      <c r="A144" s="21" t="s">
        <v>6888</v>
      </c>
      <c r="B144" s="23">
        <f>RICHMOND!D3</f>
        <v>127288</v>
      </c>
      <c r="C144" s="23">
        <f>RICHMOND!E3</f>
        <v>128846</v>
      </c>
      <c r="D144" s="23">
        <f>RICHMOND!F3</f>
        <v>129227</v>
      </c>
      <c r="E144" s="23">
        <f>RICHMOND!G3</f>
        <v>129425</v>
      </c>
      <c r="F144" s="23">
        <f>RICHMOND!H3</f>
        <v>129237</v>
      </c>
      <c r="G144" s="23">
        <f>RICHMOND!I3</f>
        <v>125317</v>
      </c>
      <c r="H144" s="23">
        <f>RICHMOND!J3</f>
        <v>126524</v>
      </c>
      <c r="I144" s="23">
        <f>RICHMOND!K3</f>
        <v>131056</v>
      </c>
      <c r="J144" s="23">
        <f>RICHMOND!L3</f>
        <v>132173</v>
      </c>
      <c r="K144" s="23">
        <f>RICHMOND!M3</f>
        <v>130449</v>
      </c>
      <c r="L144" s="23">
        <f>RICHMOND!N3</f>
        <v>134518</v>
      </c>
      <c r="M144" s="23">
        <f>RICHMOND!O3</f>
        <v>136491</v>
      </c>
      <c r="N144" s="16"/>
      <c r="O144" s="24">
        <f t="shared" si="98"/>
        <v>1.6763419902017596</v>
      </c>
      <c r="P144" s="24">
        <f t="shared" si="99"/>
        <v>1.6811628240758862</v>
      </c>
      <c r="Q144" s="24">
        <f t="shared" si="100"/>
        <v>1.6765091267627561</v>
      </c>
      <c r="R144" s="24">
        <f t="shared" si="101"/>
        <v>1.6701293003329289</v>
      </c>
      <c r="S144" s="24">
        <f t="shared" si="102"/>
        <v>1.6754868151528508</v>
      </c>
      <c r="T144" s="24">
        <f t="shared" si="103"/>
        <v>1.6538258505555996</v>
      </c>
      <c r="U144" s="24">
        <f t="shared" si="104"/>
        <v>1.692198638473164</v>
      </c>
      <c r="V144" s="24">
        <f t="shared" si="105"/>
        <v>1.7128144808207542</v>
      </c>
      <c r="W144" s="24">
        <f t="shared" si="106"/>
        <v>1.7131284590359415</v>
      </c>
      <c r="X144" s="24">
        <f t="shared" si="107"/>
        <v>1.7045026916845241</v>
      </c>
      <c r="Y144" s="24">
        <f t="shared" si="108"/>
        <v>1.8525332929365266</v>
      </c>
      <c r="Z144" s="24">
        <f t="shared" si="109"/>
        <v>1.8597277669532517</v>
      </c>
    </row>
    <row r="145" spans="1:26">
      <c r="A145" s="21" t="s">
        <v>6889</v>
      </c>
      <c r="B145" s="23">
        <f>SOUTHWARK!D3</f>
        <v>177545</v>
      </c>
      <c r="C145" s="23">
        <f>SOUTHWARK!E3</f>
        <v>180837</v>
      </c>
      <c r="D145" s="23">
        <f>SOUTHWARK!F3</f>
        <v>182976</v>
      </c>
      <c r="E145" s="23">
        <f>SOUTHWARK!G3</f>
        <v>183568</v>
      </c>
      <c r="F145" s="23">
        <f>SOUTHWARK!H3</f>
        <v>185487</v>
      </c>
      <c r="G145" s="23">
        <f>SOUTHWARK!I3</f>
        <v>181157</v>
      </c>
      <c r="H145" s="23">
        <f>SOUTHWARK!J3</f>
        <v>186580</v>
      </c>
      <c r="I145" s="23">
        <f>SOUTHWARK!K3</f>
        <v>185715</v>
      </c>
      <c r="J145" s="23">
        <f>SOUTHWARK!L3</f>
        <v>192561</v>
      </c>
      <c r="K145" s="23">
        <f>SOUTHWARK!M3</f>
        <v>191459</v>
      </c>
      <c r="L145" s="23">
        <f>SOUTHWARK!N3</f>
        <v>209571</v>
      </c>
      <c r="M145" s="23">
        <f>SOUTHWARK!O3</f>
        <v>208424</v>
      </c>
      <c r="N145" s="16"/>
      <c r="O145" s="24">
        <f t="shared" si="98"/>
        <v>2.338210504135279</v>
      </c>
      <c r="P145" s="24">
        <f t="shared" si="99"/>
        <v>2.3595334090108429</v>
      </c>
      <c r="Q145" s="24">
        <f t="shared" si="100"/>
        <v>2.3738145587109662</v>
      </c>
      <c r="R145" s="24">
        <f t="shared" si="101"/>
        <v>2.3688027460190466</v>
      </c>
      <c r="S145" s="24">
        <f t="shared" si="102"/>
        <v>2.4047372105686207</v>
      </c>
      <c r="T145" s="24">
        <f t="shared" si="103"/>
        <v>2.3907540845144775</v>
      </c>
      <c r="U145" s="24">
        <f t="shared" si="104"/>
        <v>2.4954192245449316</v>
      </c>
      <c r="V145" s="24">
        <f t="shared" si="105"/>
        <v>2.4271711429131542</v>
      </c>
      <c r="W145" s="24">
        <f t="shared" si="106"/>
        <v>2.4958329552966183</v>
      </c>
      <c r="X145" s="24">
        <f t="shared" si="107"/>
        <v>2.5016855694350077</v>
      </c>
      <c r="Y145" s="24">
        <f t="shared" si="108"/>
        <v>2.8861360913335079</v>
      </c>
      <c r="Z145" s="24">
        <f t="shared" si="109"/>
        <v>2.839834861635306</v>
      </c>
    </row>
    <row r="146" spans="1:26">
      <c r="A146" s="21" t="s">
        <v>6890</v>
      </c>
      <c r="B146" s="23">
        <f>SUTTON!D3</f>
        <v>132884</v>
      </c>
      <c r="C146" s="23">
        <f>SUTTON!E3</f>
        <v>133615</v>
      </c>
      <c r="D146" s="23">
        <f>SUTTON!F3</f>
        <v>137484</v>
      </c>
      <c r="E146" s="23">
        <f>SUTTON!G3</f>
        <v>139068</v>
      </c>
      <c r="F146" s="23">
        <f>SUTTON!H3</f>
        <v>140022</v>
      </c>
      <c r="G146" s="23">
        <f>SUTTON!I3</f>
        <v>139084</v>
      </c>
      <c r="H146" s="23">
        <f>SUTTON!J3</f>
        <v>136004</v>
      </c>
      <c r="I146" s="23">
        <f>SUTTON!K3</f>
        <v>139836</v>
      </c>
      <c r="J146" s="23">
        <f>SUTTON!L3</f>
        <v>141056</v>
      </c>
      <c r="K146" s="23">
        <f>SUTTON!M3</f>
        <v>142601</v>
      </c>
      <c r="L146" s="23">
        <f>SUTTON!N3</f>
        <v>143715</v>
      </c>
      <c r="M146" s="23">
        <f>SUTTON!O3</f>
        <v>144039</v>
      </c>
      <c r="N146" s="16"/>
      <c r="O146" s="24">
        <f t="shared" si="98"/>
        <v>1.7500395090343992</v>
      </c>
      <c r="P146" s="24">
        <f t="shared" si="99"/>
        <v>1.7433880038099712</v>
      </c>
      <c r="Q146" s="24">
        <f t="shared" si="100"/>
        <v>1.7836302071846499</v>
      </c>
      <c r="R146" s="24">
        <f t="shared" si="101"/>
        <v>1.7945647404960383</v>
      </c>
      <c r="S146" s="24">
        <f t="shared" si="102"/>
        <v>1.8153084243005679</v>
      </c>
      <c r="T146" s="24">
        <f t="shared" si="103"/>
        <v>1.835510861245282</v>
      </c>
      <c r="U146" s="24">
        <f t="shared" si="104"/>
        <v>1.8189891532587035</v>
      </c>
      <c r="V146" s="24">
        <f t="shared" si="105"/>
        <v>1.827563222897471</v>
      </c>
      <c r="W146" s="24">
        <f t="shared" si="106"/>
        <v>1.8282633209337291</v>
      </c>
      <c r="X146" s="24">
        <f t="shared" si="107"/>
        <v>1.8632859457481838</v>
      </c>
      <c r="Y146" s="24">
        <f t="shared" si="108"/>
        <v>1.9791910539435087</v>
      </c>
      <c r="Z146" s="24">
        <f t="shared" si="109"/>
        <v>1.9625713623915086</v>
      </c>
    </row>
    <row r="147" spans="1:26">
      <c r="A147" s="21" t="s">
        <v>6891</v>
      </c>
      <c r="B147" s="23">
        <f>'TOWER HAMLETS'!D3</f>
        <v>147152</v>
      </c>
      <c r="C147" s="23">
        <f>'TOWER HAMLETS'!E3</f>
        <v>154500</v>
      </c>
      <c r="D147" s="23">
        <f>'TOWER HAMLETS'!F3</f>
        <v>155182</v>
      </c>
      <c r="E147" s="23">
        <f>'TOWER HAMLETS'!G3</f>
        <v>145170</v>
      </c>
      <c r="F147" s="23">
        <f>'TOWER HAMLETS'!H3</f>
        <v>157521</v>
      </c>
      <c r="G147" s="23">
        <f>'TOWER HAMLETS'!I3</f>
        <v>153335</v>
      </c>
      <c r="H147" s="23">
        <f>'TOWER HAMLETS'!J3</f>
        <v>151151</v>
      </c>
      <c r="I147" s="23">
        <f>'TOWER HAMLETS'!K3</f>
        <v>151383</v>
      </c>
      <c r="J147" s="23">
        <f>'TOWER HAMLETS'!L3</f>
        <v>167267</v>
      </c>
      <c r="K147" s="23">
        <f>'TOWER HAMLETS'!M3</f>
        <v>164419</v>
      </c>
      <c r="L147" s="23">
        <f>'TOWER HAMLETS'!N3</f>
        <v>182004</v>
      </c>
      <c r="M147" s="23">
        <f>'TOWER HAMLETS'!O3</f>
        <v>181943</v>
      </c>
      <c r="N147" s="16"/>
      <c r="O147" s="24">
        <f t="shared" si="98"/>
        <v>1.9379444766369911</v>
      </c>
      <c r="P147" s="24">
        <f t="shared" si="99"/>
        <v>2.0158922769796845</v>
      </c>
      <c r="Q147" s="24">
        <f t="shared" si="100"/>
        <v>2.0132328329938636</v>
      </c>
      <c r="R147" s="24">
        <f t="shared" si="101"/>
        <v>1.8733063204893281</v>
      </c>
      <c r="S147" s="24">
        <f t="shared" si="102"/>
        <v>2.0421733606451111</v>
      </c>
      <c r="T147" s="24">
        <f t="shared" si="103"/>
        <v>2.0235832871433472</v>
      </c>
      <c r="U147" s="24">
        <f t="shared" si="104"/>
        <v>2.0215731118511684</v>
      </c>
      <c r="V147" s="24">
        <f t="shared" si="105"/>
        <v>1.9784748088610076</v>
      </c>
      <c r="W147" s="24">
        <f t="shared" si="106"/>
        <v>2.1679908752738064</v>
      </c>
      <c r="X147" s="24">
        <f t="shared" si="107"/>
        <v>2.1483693095698531</v>
      </c>
      <c r="Y147" s="24">
        <f t="shared" si="108"/>
        <v>2.5064933276410559</v>
      </c>
      <c r="Z147" s="24">
        <f t="shared" si="109"/>
        <v>2.4790238851116593</v>
      </c>
    </row>
    <row r="148" spans="1:26">
      <c r="A148" s="21" t="s">
        <v>6892</v>
      </c>
      <c r="B148" s="23">
        <f>'WALTHAM FOREST'!D3</f>
        <v>157516</v>
      </c>
      <c r="C148" s="23">
        <f>'WALTHAM FOREST'!E3</f>
        <v>158450</v>
      </c>
      <c r="D148" s="23">
        <f>'WALTHAM FOREST'!F3</f>
        <v>159638</v>
      </c>
      <c r="E148" s="23">
        <f>'WALTHAM FOREST'!G3</f>
        <v>159760</v>
      </c>
      <c r="F148" s="23">
        <f>'WALTHAM FOREST'!H3</f>
        <v>160570</v>
      </c>
      <c r="G148" s="23">
        <f>'WALTHAM FOREST'!I3</f>
        <v>156890</v>
      </c>
      <c r="H148" s="23">
        <f>'WALTHAM FOREST'!J3</f>
        <v>155532</v>
      </c>
      <c r="I148" s="23">
        <f>'WALTHAM FOREST'!K3</f>
        <v>158024</v>
      </c>
      <c r="J148" s="23">
        <f>'WALTHAM FOREST'!L3</f>
        <v>160876</v>
      </c>
      <c r="K148" s="23">
        <f>'WALTHAM FOREST'!M3</f>
        <v>158678</v>
      </c>
      <c r="L148" s="23">
        <f>'WALTHAM FOREST'!N3</f>
        <v>160831</v>
      </c>
      <c r="M148" s="23">
        <f>'WALTHAM FOREST'!O3</f>
        <v>167791</v>
      </c>
      <c r="N148" s="16"/>
      <c r="O148" s="24">
        <f t="shared" si="98"/>
        <v>2.0744350208080915</v>
      </c>
      <c r="P148" s="24">
        <f t="shared" si="99"/>
        <v>2.0674312704688091</v>
      </c>
      <c r="Q148" s="24">
        <f t="shared" si="100"/>
        <v>2.0710421504650953</v>
      </c>
      <c r="R148" s="24">
        <f t="shared" si="101"/>
        <v>2.0615789609518158</v>
      </c>
      <c r="S148" s="24">
        <f t="shared" si="102"/>
        <v>2.0817019731895146</v>
      </c>
      <c r="T148" s="24">
        <f t="shared" si="103"/>
        <v>2.0704991157916965</v>
      </c>
      <c r="U148" s="24">
        <f t="shared" si="104"/>
        <v>2.0801669140954138</v>
      </c>
      <c r="V148" s="24">
        <f t="shared" si="105"/>
        <v>2.0652682480559368</v>
      </c>
      <c r="W148" s="24">
        <f t="shared" si="106"/>
        <v>2.0851554702992754</v>
      </c>
      <c r="X148" s="24">
        <f t="shared" si="107"/>
        <v>2.0733549364971515</v>
      </c>
      <c r="Y148" s="24">
        <f t="shared" si="108"/>
        <v>2.2149064217151198</v>
      </c>
      <c r="Z148" s="24">
        <f t="shared" si="109"/>
        <v>2.2861989563037346</v>
      </c>
    </row>
    <row r="149" spans="1:26">
      <c r="A149" s="21" t="s">
        <v>6893</v>
      </c>
      <c r="B149" s="23">
        <f>WANDSWORTH!D3</f>
        <v>206157</v>
      </c>
      <c r="C149" s="23">
        <f>WANDSWORTH!E3</f>
        <v>207888</v>
      </c>
      <c r="D149" s="23">
        <f>WANDSWORTH!F3</f>
        <v>207153</v>
      </c>
      <c r="E149" s="23">
        <f>WANDSWORTH!G3</f>
        <v>206035</v>
      </c>
      <c r="F149" s="23">
        <f>WANDSWORTH!H3</f>
        <v>206553</v>
      </c>
      <c r="G149" s="23">
        <f>WANDSWORTH!I3</f>
        <v>198785</v>
      </c>
      <c r="H149" s="23">
        <f>WANDSWORTH!J3</f>
        <v>201174</v>
      </c>
      <c r="I149" s="23">
        <f>WANDSWORTH!K3</f>
        <v>203436</v>
      </c>
      <c r="J149" s="23">
        <f>WANDSWORTH!L3</f>
        <v>207739</v>
      </c>
      <c r="K149" s="23">
        <f>WANDSWORTH!M3</f>
        <v>197606</v>
      </c>
      <c r="L149" s="23">
        <f>WANDSWORTH!N3</f>
        <v>204696</v>
      </c>
      <c r="M149" s="23">
        <f>WANDSWORTH!O3</f>
        <v>221976</v>
      </c>
      <c r="N149" s="16"/>
      <c r="O149" s="24">
        <f t="shared" si="98"/>
        <v>2.7150213348785757</v>
      </c>
      <c r="P149" s="24">
        <f t="shared" si="99"/>
        <v>2.7124907034094021</v>
      </c>
      <c r="Q149" s="24">
        <f t="shared" si="100"/>
        <v>2.6874716207625746</v>
      </c>
      <c r="R149" s="24">
        <f t="shared" si="101"/>
        <v>2.658721965571528</v>
      </c>
      <c r="S149" s="24">
        <f t="shared" si="102"/>
        <v>2.6778463453211296</v>
      </c>
      <c r="T149" s="24">
        <f t="shared" si="103"/>
        <v>2.623393248343759</v>
      </c>
      <c r="U149" s="24">
        <f t="shared" si="104"/>
        <v>2.6906070697749067</v>
      </c>
      <c r="V149" s="24">
        <f t="shared" si="105"/>
        <v>2.6587727896490883</v>
      </c>
      <c r="W149" s="24">
        <f t="shared" si="106"/>
        <v>2.6925589413243816</v>
      </c>
      <c r="X149" s="24">
        <f t="shared" si="107"/>
        <v>2.5820049129775779</v>
      </c>
      <c r="Y149" s="24">
        <f t="shared" si="108"/>
        <v>2.8189993527329817</v>
      </c>
      <c r="Z149" s="24">
        <f t="shared" si="109"/>
        <v>3.0244846238742116</v>
      </c>
    </row>
    <row r="150" spans="1:26">
      <c r="A150" s="21" t="s">
        <v>6894</v>
      </c>
      <c r="B150" s="23">
        <f>WESTMINSTER!D3</f>
        <v>122556</v>
      </c>
      <c r="C150" s="23">
        <f>WESTMINSTER!E3</f>
        <v>125143</v>
      </c>
      <c r="D150" s="23">
        <f>WESTMINSTER!F3</f>
        <v>121693</v>
      </c>
      <c r="E150" s="23">
        <f>WESTMINSTER!G3</f>
        <v>119176</v>
      </c>
      <c r="F150" s="23">
        <f>WESTMINSTER!H3</f>
        <v>115815</v>
      </c>
      <c r="G150" s="23">
        <f>WESTMINSTER!I3</f>
        <v>107953</v>
      </c>
      <c r="H150" s="23">
        <f>WESTMINSTER!J3</f>
        <v>111349</v>
      </c>
      <c r="I150" s="23">
        <f>WESTMINSTER!K3</f>
        <v>118059</v>
      </c>
      <c r="J150" s="23">
        <f>WESTMINSTER!L3</f>
        <v>118134</v>
      </c>
      <c r="K150" s="23">
        <f>WESTMINSTER!M3</f>
        <v>114056</v>
      </c>
      <c r="L150" s="23">
        <f>WESTMINSTER!N3</f>
        <v>120656</v>
      </c>
      <c r="M150" s="23">
        <f>WESTMINSTER!O3</f>
        <v>120686</v>
      </c>
      <c r="N150" s="16"/>
      <c r="O150" s="24">
        <f t="shared" si="98"/>
        <v>1.6140230732760892</v>
      </c>
      <c r="P150" s="24">
        <f t="shared" si="99"/>
        <v>1.6328466486606386</v>
      </c>
      <c r="Q150" s="24">
        <f t="shared" si="100"/>
        <v>1.5787677897276891</v>
      </c>
      <c r="R150" s="24">
        <f t="shared" si="101"/>
        <v>1.537873899914832</v>
      </c>
      <c r="S150" s="24">
        <f t="shared" si="102"/>
        <v>1.5014779474680426</v>
      </c>
      <c r="T150" s="24">
        <f t="shared" si="103"/>
        <v>1.4246707313854357</v>
      </c>
      <c r="U150" s="24">
        <f t="shared" si="104"/>
        <v>1.489240193128168</v>
      </c>
      <c r="V150" s="24">
        <f t="shared" si="105"/>
        <v>1.5429523622819055</v>
      </c>
      <c r="W150" s="24">
        <f t="shared" si="106"/>
        <v>1.5311653467784792</v>
      </c>
      <c r="X150" s="24">
        <f t="shared" si="107"/>
        <v>1.4903047091412742</v>
      </c>
      <c r="Y150" s="24">
        <f t="shared" si="108"/>
        <v>1.6616308374533486</v>
      </c>
      <c r="Z150" s="24">
        <f t="shared" si="109"/>
        <v>1.6443802542476802</v>
      </c>
    </row>
    <row r="151" spans="1:26">
      <c r="A151" s="21" t="s">
        <v>6895</v>
      </c>
      <c r="B151" s="23">
        <f>'CITY OF LONDON'!D3</f>
        <v>5947</v>
      </c>
      <c r="C151" s="23">
        <f>'CITY OF LONDON'!E3</f>
        <v>5933</v>
      </c>
      <c r="D151" s="23">
        <f>'CITY OF LONDON'!F3</f>
        <v>5992</v>
      </c>
      <c r="E151" s="23">
        <f>'CITY OF LONDON'!G3</f>
        <v>5898</v>
      </c>
      <c r="F151" s="23">
        <f>'CITY OF LONDON'!H3</f>
        <v>5921</v>
      </c>
      <c r="G151" s="23">
        <f>'CITY OF LONDON'!I3</f>
        <v>5853</v>
      </c>
      <c r="H151" s="23">
        <f>'CITY OF LONDON'!J3</f>
        <v>6158</v>
      </c>
      <c r="I151" s="23">
        <f>'CITY OF LONDON'!K3</f>
        <v>6055</v>
      </c>
      <c r="J151" s="23">
        <f>'CITY OF LONDON'!L3</f>
        <v>6034</v>
      </c>
      <c r="K151" s="23">
        <f>'CITY OF LONDON'!M3</f>
        <v>5903</v>
      </c>
      <c r="L151" s="23">
        <f>'CITY OF LONDON'!N3</f>
        <v>5804</v>
      </c>
      <c r="M151" s="23">
        <f>'CITY OF LONDON'!O3</f>
        <v>6304</v>
      </c>
      <c r="N151" s="16"/>
      <c r="O151" s="24">
        <f t="shared" si="98"/>
        <v>7.8320075857346044E-2</v>
      </c>
      <c r="P151" s="24">
        <f t="shared" si="99"/>
        <v>7.7412873005310467E-2</v>
      </c>
      <c r="Q151" s="24">
        <f t="shared" si="100"/>
        <v>7.7736407156108508E-2</v>
      </c>
      <c r="R151" s="24">
        <f t="shared" si="101"/>
        <v>7.6109118125274211E-2</v>
      </c>
      <c r="S151" s="24">
        <f t="shared" si="102"/>
        <v>7.6762517177898199E-2</v>
      </c>
      <c r="T151" s="24">
        <f t="shared" si="103"/>
        <v>7.7242853749307144E-2</v>
      </c>
      <c r="U151" s="24">
        <f t="shared" si="104"/>
        <v>8.236033650309621E-2</v>
      </c>
      <c r="V151" s="24">
        <f t="shared" si="105"/>
        <v>7.9134810167940925E-2</v>
      </c>
      <c r="W151" s="24">
        <f t="shared" si="106"/>
        <v>7.8208235583839908E-2</v>
      </c>
      <c r="X151" s="24">
        <f t="shared" si="107"/>
        <v>7.7131134688757638E-2</v>
      </c>
      <c r="Y151" s="24">
        <f t="shared" si="108"/>
        <v>7.9930590941016066E-2</v>
      </c>
      <c r="Z151" s="24">
        <f t="shared" si="109"/>
        <v>8.5893750085157983E-2</v>
      </c>
    </row>
    <row r="152" spans="1:26">
      <c r="A152" s="16"/>
      <c r="B152" s="23"/>
      <c r="C152" s="23"/>
      <c r="D152" s="23"/>
      <c r="E152" s="23"/>
      <c r="F152" s="23"/>
      <c r="G152" s="23"/>
      <c r="H152" s="23"/>
      <c r="I152" s="23"/>
      <c r="J152" s="23"/>
      <c r="K152" s="23"/>
      <c r="L152" s="23"/>
      <c r="M152" s="23"/>
      <c r="N152" s="16"/>
      <c r="O152" s="16"/>
      <c r="P152" s="16"/>
      <c r="Q152" s="16"/>
      <c r="R152" s="16"/>
      <c r="S152" s="16"/>
      <c r="T152" s="16"/>
      <c r="U152" s="16"/>
      <c r="V152" s="16"/>
      <c r="W152" s="16"/>
      <c r="X152" s="16"/>
      <c r="Y152" s="16"/>
      <c r="Z152" s="16"/>
    </row>
    <row r="153" spans="1:26">
      <c r="A153" s="29" t="s">
        <v>9521</v>
      </c>
      <c r="B153" s="27">
        <f t="shared" ref="B153:H153" si="110">SUM(B119:B151)</f>
        <v>5186985</v>
      </c>
      <c r="C153" s="27">
        <f t="shared" si="110"/>
        <v>5266904</v>
      </c>
      <c r="D153" s="27">
        <f t="shared" si="110"/>
        <v>5300233</v>
      </c>
      <c r="E153" s="27">
        <f t="shared" si="110"/>
        <v>5304583</v>
      </c>
      <c r="F153" s="27">
        <f t="shared" si="110"/>
        <v>5295063</v>
      </c>
      <c r="G153" s="27">
        <f t="shared" si="110"/>
        <v>5183157</v>
      </c>
      <c r="H153" s="27">
        <f t="shared" si="110"/>
        <v>5118884</v>
      </c>
      <c r="I153" s="27">
        <f>SUM(I119:I151)</f>
        <v>5268027</v>
      </c>
      <c r="J153" s="27">
        <f>SUM(J119:J151)</f>
        <v>5338261</v>
      </c>
      <c r="K153" s="27">
        <f>SUM(K119:K151)</f>
        <v>5247636</v>
      </c>
      <c r="L153" s="27">
        <f>SUM(L119:L151)</f>
        <v>5422192</v>
      </c>
      <c r="M153" s="27">
        <f>SUM(M119:M151)</f>
        <v>5550454</v>
      </c>
      <c r="N153" s="26"/>
      <c r="O153" s="28">
        <f t="shared" ref="O153:Z153" si="111">B153/B$451</f>
        <v>68.310922931043564</v>
      </c>
      <c r="P153" s="28">
        <f t="shared" si="111"/>
        <v>68.721754674390994</v>
      </c>
      <c r="Q153" s="28">
        <f t="shared" si="111"/>
        <v>68.761860899573179</v>
      </c>
      <c r="R153" s="28">
        <f t="shared" si="111"/>
        <v>68.451531731488885</v>
      </c>
      <c r="S153" s="28">
        <f t="shared" si="111"/>
        <v>68.64758731558068</v>
      </c>
      <c r="T153" s="28">
        <f t="shared" si="111"/>
        <v>68.402842663710501</v>
      </c>
      <c r="U153" s="28">
        <f t="shared" si="111"/>
        <v>68.462651633698457</v>
      </c>
      <c r="V153" s="28">
        <f t="shared" si="111"/>
        <v>68.849598118016075</v>
      </c>
      <c r="W153" s="28">
        <f t="shared" si="111"/>
        <v>69.190582349357769</v>
      </c>
      <c r="X153" s="28">
        <f t="shared" si="111"/>
        <v>68.56786703601108</v>
      </c>
      <c r="Y153" s="28">
        <f t="shared" si="111"/>
        <v>74.672469117100249</v>
      </c>
      <c r="Z153" s="28">
        <f t="shared" si="111"/>
        <v>75.626476639461529</v>
      </c>
    </row>
    <row r="154" spans="1:26">
      <c r="A154" s="16"/>
      <c r="B154" s="16"/>
      <c r="C154" s="16"/>
      <c r="D154" s="16"/>
      <c r="E154" s="16"/>
      <c r="F154" s="16"/>
      <c r="G154" s="16"/>
      <c r="H154" s="16"/>
      <c r="I154" s="16"/>
      <c r="J154" s="16"/>
      <c r="K154" s="16"/>
      <c r="L154" s="16"/>
      <c r="M154" s="16"/>
      <c r="N154" s="16"/>
    </row>
    <row r="155" spans="1:26">
      <c r="A155" s="21" t="s">
        <v>6744</v>
      </c>
      <c r="B155" s="23">
        <f>DURHAM!D3</f>
        <v>79460</v>
      </c>
      <c r="C155" s="23">
        <f>DURHAM!E3</f>
        <v>78463</v>
      </c>
      <c r="D155" s="23">
        <f>DURHAM!F3</f>
        <v>79127</v>
      </c>
      <c r="E155" s="23">
        <f>DURHAM!G3</f>
        <v>79236</v>
      </c>
      <c r="F155" s="23">
        <f>DURHAM!H3</f>
        <v>78571</v>
      </c>
      <c r="G155" s="23">
        <f>DURHAM!I3</f>
        <v>76844</v>
      </c>
      <c r="H155" s="23">
        <f>DURHAM!J3</f>
        <v>74929</v>
      </c>
      <c r="I155" s="23">
        <f>DURHAM!K3</f>
        <v>76577</v>
      </c>
      <c r="J155" s="23">
        <f>DURHAM!L3</f>
        <v>77458</v>
      </c>
      <c r="K155" s="23">
        <f>DURHAM!M3</f>
        <v>76623</v>
      </c>
      <c r="L155" s="23">
        <f>DURHAM!N3</f>
        <v>77578</v>
      </c>
      <c r="M155" s="23">
        <f>DURHAM!O3</f>
        <v>78498</v>
      </c>
      <c r="N155" s="16"/>
      <c r="O155" s="24">
        <f t="shared" ref="O155:Z157" si="112">B155/B$451</f>
        <v>1.0464626244534583</v>
      </c>
      <c r="P155" s="24">
        <f t="shared" si="112"/>
        <v>1.0237731762372619</v>
      </c>
      <c r="Q155" s="24">
        <f t="shared" si="112"/>
        <v>1.0265435061818087</v>
      </c>
      <c r="R155" s="24">
        <f t="shared" si="112"/>
        <v>1.0224791596768783</v>
      </c>
      <c r="S155" s="24">
        <f t="shared" si="112"/>
        <v>1.0186299167682216</v>
      </c>
      <c r="T155" s="24">
        <f t="shared" si="112"/>
        <v>1.0141209385805157</v>
      </c>
      <c r="U155" s="24">
        <f t="shared" si="112"/>
        <v>1.0021399243001778</v>
      </c>
      <c r="V155" s="24">
        <f t="shared" si="112"/>
        <v>1.0008102986342546</v>
      </c>
      <c r="W155" s="24">
        <f t="shared" si="112"/>
        <v>1.0039531839332236</v>
      </c>
      <c r="X155" s="24">
        <f t="shared" si="112"/>
        <v>1.0011890451053154</v>
      </c>
      <c r="Y155" s="24">
        <f t="shared" si="112"/>
        <v>1.0683761860823819</v>
      </c>
      <c r="Z155" s="24">
        <f t="shared" si="112"/>
        <v>1.0695570422247354</v>
      </c>
    </row>
    <row r="156" spans="1:26">
      <c r="A156" s="21" t="s">
        <v>1515</v>
      </c>
      <c r="B156" s="23">
        <f>DURHAM!D4</f>
        <v>391444</v>
      </c>
      <c r="C156" s="23">
        <f>DURHAM!E4</f>
        <v>404896</v>
      </c>
      <c r="D156" s="23">
        <f>DURHAM!F4</f>
        <v>406894</v>
      </c>
      <c r="E156" s="23">
        <f>DURHAM!G4</f>
        <v>407465</v>
      </c>
      <c r="F156" s="23">
        <f>DURHAM!H4</f>
        <v>400686</v>
      </c>
      <c r="G156" s="23">
        <f>DURHAM!I4</f>
        <v>374451</v>
      </c>
      <c r="H156" s="23">
        <f>DURHAM!J4</f>
        <v>377715</v>
      </c>
      <c r="I156" s="23">
        <f>DURHAM!K4</f>
        <v>386910</v>
      </c>
      <c r="J156" s="23">
        <f>DURHAM!L4</f>
        <v>392746</v>
      </c>
      <c r="K156" s="23">
        <f>DURHAM!M4</f>
        <v>381915</v>
      </c>
      <c r="L156" s="23">
        <f>DURHAM!N4</f>
        <v>394433</v>
      </c>
      <c r="M156" s="23">
        <f>DURHAM!O4</f>
        <v>393533</v>
      </c>
      <c r="N156" s="16"/>
      <c r="O156" s="24">
        <f t="shared" si="112"/>
        <v>5.1551914871200548</v>
      </c>
      <c r="P156" s="24">
        <f t="shared" si="112"/>
        <v>5.2830208374107857</v>
      </c>
      <c r="Q156" s="24">
        <f t="shared" si="112"/>
        <v>5.278784655103073</v>
      </c>
      <c r="R156" s="24">
        <f t="shared" si="112"/>
        <v>5.2580199757400576</v>
      </c>
      <c r="S156" s="24">
        <f t="shared" si="112"/>
        <v>5.1946742033344568</v>
      </c>
      <c r="T156" s="24">
        <f t="shared" si="112"/>
        <v>4.9416818433763563</v>
      </c>
      <c r="U156" s="24">
        <f t="shared" si="112"/>
        <v>5.0517594190105521</v>
      </c>
      <c r="V156" s="24">
        <f t="shared" si="112"/>
        <v>5.0566555577337775</v>
      </c>
      <c r="W156" s="24">
        <f t="shared" si="112"/>
        <v>5.0904825476650295</v>
      </c>
      <c r="X156" s="24">
        <f t="shared" si="112"/>
        <v>4.9902655098520876</v>
      </c>
      <c r="Y156" s="24">
        <f t="shared" si="112"/>
        <v>5.4319887623428311</v>
      </c>
      <c r="Z156" s="24">
        <f t="shared" si="112"/>
        <v>5.3619963756761546</v>
      </c>
    </row>
    <row r="157" spans="1:26">
      <c r="A157" s="25" t="s">
        <v>6745</v>
      </c>
      <c r="B157" s="23">
        <f t="shared" ref="B157:G157" si="113">B155+B156</f>
        <v>470904</v>
      </c>
      <c r="C157" s="23">
        <f t="shared" si="113"/>
        <v>483359</v>
      </c>
      <c r="D157" s="23">
        <f t="shared" si="113"/>
        <v>486021</v>
      </c>
      <c r="E157" s="23">
        <f t="shared" si="113"/>
        <v>486701</v>
      </c>
      <c r="F157" s="23">
        <f t="shared" si="113"/>
        <v>479257</v>
      </c>
      <c r="G157" s="23">
        <f t="shared" si="113"/>
        <v>451295</v>
      </c>
      <c r="H157" s="23">
        <f t="shared" ref="H157:M157" si="114">H155+H156</f>
        <v>452644</v>
      </c>
      <c r="I157" s="23">
        <f t="shared" si="114"/>
        <v>463487</v>
      </c>
      <c r="J157" s="23">
        <f t="shared" si="114"/>
        <v>470204</v>
      </c>
      <c r="K157" s="23">
        <f t="shared" si="114"/>
        <v>458538</v>
      </c>
      <c r="L157" s="23">
        <f t="shared" si="114"/>
        <v>472011</v>
      </c>
      <c r="M157" s="23">
        <f t="shared" si="114"/>
        <v>472031</v>
      </c>
      <c r="N157" s="16"/>
      <c r="O157" s="24">
        <f t="shared" si="112"/>
        <v>6.2016541115735135</v>
      </c>
      <c r="P157" s="24">
        <f t="shared" si="112"/>
        <v>6.3067940136480471</v>
      </c>
      <c r="Q157" s="24">
        <f t="shared" si="112"/>
        <v>6.3053281612848817</v>
      </c>
      <c r="R157" s="24">
        <f t="shared" si="112"/>
        <v>6.2804991354169353</v>
      </c>
      <c r="S157" s="24">
        <f t="shared" si="112"/>
        <v>6.2133041201026789</v>
      </c>
      <c r="T157" s="24">
        <f t="shared" si="112"/>
        <v>5.955802781956872</v>
      </c>
      <c r="U157" s="24">
        <f t="shared" si="112"/>
        <v>6.0538993433107304</v>
      </c>
      <c r="V157" s="24">
        <f t="shared" si="112"/>
        <v>6.0574658563680321</v>
      </c>
      <c r="W157" s="24">
        <f t="shared" si="112"/>
        <v>6.0944357315982529</v>
      </c>
      <c r="X157" s="24">
        <f t="shared" si="112"/>
        <v>5.9914545549574036</v>
      </c>
      <c r="Y157" s="24">
        <f t="shared" si="112"/>
        <v>6.5003649484252133</v>
      </c>
      <c r="Z157" s="24">
        <f t="shared" si="112"/>
        <v>6.43155341790089</v>
      </c>
    </row>
    <row r="159" spans="1:26">
      <c r="A159" s="21" t="s">
        <v>998</v>
      </c>
      <c r="B159" s="23">
        <f>HARTLEPOOL!D3</f>
        <v>69284</v>
      </c>
      <c r="C159" s="23">
        <f>HARTLEPOOL!E3</f>
        <v>70010</v>
      </c>
      <c r="D159" s="23">
        <f>HARTLEPOOL!F3</f>
        <v>70203</v>
      </c>
      <c r="E159" s="23">
        <f>HARTLEPOOL!G3</f>
        <v>70426</v>
      </c>
      <c r="F159" s="23">
        <f>HARTLEPOOL!H3</f>
        <v>70463</v>
      </c>
      <c r="G159" s="23">
        <f>HARTLEPOOL!I3</f>
        <v>68796</v>
      </c>
      <c r="H159" s="23">
        <f>HARTLEPOOL!J3</f>
        <v>68201</v>
      </c>
      <c r="I159" s="23">
        <f>HARTLEPOOL!K3</f>
        <v>68801</v>
      </c>
      <c r="J159" s="23">
        <f>HARTLEPOOL!L3</f>
        <v>70032</v>
      </c>
      <c r="K159" s="23">
        <f>HARTLEPOOL!M3</f>
        <v>69713</v>
      </c>
      <c r="L159" s="23">
        <f>HARTLEPOOL!N3</f>
        <v>70235</v>
      </c>
      <c r="M159" s="23">
        <f>HARTLEPOOL!O3</f>
        <v>71228</v>
      </c>
      <c r="N159" s="16"/>
      <c r="O159" s="24">
        <f t="shared" ref="O159:Z163" si="115">B159/B$451</f>
        <v>0.91244797977137437</v>
      </c>
      <c r="P159" s="24">
        <f t="shared" si="115"/>
        <v>0.9134797301705353</v>
      </c>
      <c r="Q159" s="24">
        <f t="shared" si="115"/>
        <v>0.91076919085118258</v>
      </c>
      <c r="R159" s="24">
        <f t="shared" si="115"/>
        <v>0.90879293880816581</v>
      </c>
      <c r="S159" s="24">
        <f t="shared" si="115"/>
        <v>0.91351414421655819</v>
      </c>
      <c r="T159" s="24">
        <f t="shared" si="115"/>
        <v>0.90791036503286082</v>
      </c>
      <c r="U159" s="24">
        <f t="shared" si="115"/>
        <v>0.91215610747769793</v>
      </c>
      <c r="V159" s="24">
        <f t="shared" si="115"/>
        <v>0.89918316669933995</v>
      </c>
      <c r="W159" s="24">
        <f t="shared" si="115"/>
        <v>0.90770287610332712</v>
      </c>
      <c r="X159" s="24">
        <f t="shared" si="115"/>
        <v>0.91090001567971568</v>
      </c>
      <c r="Y159" s="24">
        <f t="shared" si="115"/>
        <v>0.96725104320163058</v>
      </c>
      <c r="Z159" s="24">
        <f t="shared" si="115"/>
        <v>0.97050127396345698</v>
      </c>
    </row>
    <row r="160" spans="1:26">
      <c r="A160" s="21" t="s">
        <v>6646</v>
      </c>
      <c r="B160" s="23">
        <f>'MIDD &amp; R &amp; C'!D3</f>
        <v>100536</v>
      </c>
      <c r="C160" s="23">
        <f>'MIDD &amp; R &amp; C'!E3</f>
        <v>100528</v>
      </c>
      <c r="D160" s="23">
        <f>'MIDD &amp; R &amp; C'!F3</f>
        <v>100367</v>
      </c>
      <c r="E160" s="23">
        <f>'MIDD &amp; R &amp; C'!G3</f>
        <v>100405</v>
      </c>
      <c r="F160" s="23">
        <f>'MIDD &amp; R &amp; C'!H3</f>
        <v>99049</v>
      </c>
      <c r="G160" s="23">
        <f>'MIDD &amp; R &amp; C'!I3</f>
        <v>98731</v>
      </c>
      <c r="H160" s="23">
        <f>'MIDD &amp; R &amp; C'!J3</f>
        <v>90162</v>
      </c>
      <c r="I160" s="23">
        <f>'MIDD &amp; R &amp; C'!K3</f>
        <v>93401</v>
      </c>
      <c r="J160" s="23">
        <f>'MIDD &amp; R &amp; C'!L3</f>
        <v>93454</v>
      </c>
      <c r="K160" s="23">
        <f>'MIDD &amp; R &amp; C'!M3</f>
        <v>91932</v>
      </c>
      <c r="L160" s="23">
        <f>'MIDD &amp; R &amp; C'!N3</f>
        <v>93161</v>
      </c>
      <c r="M160" s="23">
        <f>'MIDD &amp; R &amp; C'!O3</f>
        <v>96215</v>
      </c>
      <c r="N160" s="16"/>
      <c r="O160" s="24">
        <f t="shared" si="115"/>
        <v>1.3240267607859664</v>
      </c>
      <c r="P160" s="24">
        <f t="shared" si="115"/>
        <v>1.3116739082214481</v>
      </c>
      <c r="Q160" s="24">
        <f t="shared" si="115"/>
        <v>1.3020977932304978</v>
      </c>
      <c r="R160" s="24">
        <f t="shared" si="115"/>
        <v>1.2956486953828683</v>
      </c>
      <c r="S160" s="24">
        <f t="shared" si="115"/>
        <v>1.2841159540539839</v>
      </c>
      <c r="T160" s="24">
        <f t="shared" si="115"/>
        <v>1.3029667168157943</v>
      </c>
      <c r="U160" s="24">
        <f t="shared" si="115"/>
        <v>1.2058740922039883</v>
      </c>
      <c r="V160" s="24">
        <f t="shared" si="115"/>
        <v>1.2206887538391165</v>
      </c>
      <c r="W160" s="24">
        <f t="shared" si="115"/>
        <v>1.2112814796573044</v>
      </c>
      <c r="X160" s="24">
        <f t="shared" si="115"/>
        <v>1.2012230178226102</v>
      </c>
      <c r="Y160" s="24">
        <f t="shared" si="115"/>
        <v>1.2829796317463815</v>
      </c>
      <c r="Z160" s="24">
        <f t="shared" si="115"/>
        <v>1.3109560857302467</v>
      </c>
    </row>
    <row r="161" spans="1:26">
      <c r="A161" s="21" t="s">
        <v>6647</v>
      </c>
      <c r="B161" s="23">
        <f>'MIDD &amp; R &amp; C'!D4</f>
        <v>105718</v>
      </c>
      <c r="C161" s="23">
        <f>'MIDD &amp; R &amp; C'!E4</f>
        <v>105394</v>
      </c>
      <c r="D161" s="23">
        <f>'MIDD &amp; R &amp; C'!F4</f>
        <v>105792</v>
      </c>
      <c r="E161" s="23">
        <f>'MIDD &amp; R &amp; C'!G4</f>
        <v>105819</v>
      </c>
      <c r="F161" s="23">
        <f>'MIDD &amp; R &amp; C'!H4</f>
        <v>104221</v>
      </c>
      <c r="G161" s="23">
        <f>'MIDD &amp; R &amp; C'!I4</f>
        <v>100231</v>
      </c>
      <c r="H161" s="23">
        <f>'MIDD &amp; R &amp; C'!J4</f>
        <v>100365</v>
      </c>
      <c r="I161" s="23">
        <f>'MIDD &amp; R &amp; C'!K4</f>
        <v>102985</v>
      </c>
      <c r="J161" s="23">
        <f>'MIDD &amp; R &amp; C'!L4</f>
        <v>103078</v>
      </c>
      <c r="K161" s="23">
        <f>'MIDD &amp; R &amp; C'!M4</f>
        <v>102756</v>
      </c>
      <c r="L161" s="23">
        <f>'MIDD &amp; R &amp; C'!N4</f>
        <v>102231</v>
      </c>
      <c r="M161" s="23">
        <f>'MIDD &amp; R &amp; C'!O4</f>
        <v>104879</v>
      </c>
      <c r="N161" s="16"/>
      <c r="O161" s="24">
        <f t="shared" si="115"/>
        <v>1.3922720328715166</v>
      </c>
      <c r="P161" s="24">
        <f t="shared" si="115"/>
        <v>1.3751647290614684</v>
      </c>
      <c r="Q161" s="24">
        <f t="shared" si="115"/>
        <v>1.3724783020458997</v>
      </c>
      <c r="R161" s="24">
        <f t="shared" si="115"/>
        <v>1.3655121686840272</v>
      </c>
      <c r="S161" s="24">
        <f t="shared" si="115"/>
        <v>1.3511680970778126</v>
      </c>
      <c r="T161" s="24">
        <f t="shared" si="115"/>
        <v>1.3227624251062369</v>
      </c>
      <c r="U161" s="24">
        <f t="shared" si="115"/>
        <v>1.3423343899209565</v>
      </c>
      <c r="V161" s="24">
        <f t="shared" si="115"/>
        <v>1.3459452394955238</v>
      </c>
      <c r="W161" s="24">
        <f t="shared" si="115"/>
        <v>1.3360206343240055</v>
      </c>
      <c r="X161" s="24">
        <f t="shared" si="115"/>
        <v>1.3426540532065019</v>
      </c>
      <c r="Y161" s="24">
        <f t="shared" si="115"/>
        <v>1.4078883946400782</v>
      </c>
      <c r="Z161" s="24">
        <f t="shared" si="115"/>
        <v>1.4290054909868788</v>
      </c>
    </row>
    <row r="162" spans="1:26">
      <c r="A162" s="21" t="s">
        <v>2410</v>
      </c>
      <c r="B162" s="30">
        <f>STOCKTON!D3</f>
        <v>140914</v>
      </c>
      <c r="C162" s="30">
        <f>STOCKTON!E3</f>
        <v>141854</v>
      </c>
      <c r="D162" s="30">
        <f>STOCKTON!F3</f>
        <v>142275</v>
      </c>
      <c r="E162" s="30">
        <f>STOCKTON!G3</f>
        <v>143110</v>
      </c>
      <c r="F162" s="30">
        <f>STOCKTON!H3</f>
        <v>143108</v>
      </c>
      <c r="G162" s="30">
        <f>STOCKTON!I3</f>
        <v>138618</v>
      </c>
      <c r="H162" s="30">
        <f>STOCKTON!J3</f>
        <v>137838</v>
      </c>
      <c r="I162" s="30">
        <f>STOCKTON!K3</f>
        <v>139921</v>
      </c>
      <c r="J162" s="30">
        <f>STOCKTON!L3</f>
        <v>139721</v>
      </c>
      <c r="K162" s="30">
        <f>STOCKTON!M3</f>
        <v>138634</v>
      </c>
      <c r="L162" s="30">
        <f>STOCKTON!N3</f>
        <v>142215</v>
      </c>
      <c r="M162" s="30">
        <f>STOCKTON!O3</f>
        <v>143781</v>
      </c>
      <c r="N162" s="16"/>
      <c r="O162" s="24">
        <f t="shared" si="115"/>
        <v>1.8557920244429227</v>
      </c>
      <c r="P162" s="24">
        <f t="shared" si="115"/>
        <v>1.850889210735768</v>
      </c>
      <c r="Q162" s="24">
        <f t="shared" si="115"/>
        <v>1.845785602158768</v>
      </c>
      <c r="R162" s="24">
        <f t="shared" si="115"/>
        <v>1.8467236173123081</v>
      </c>
      <c r="S162" s="24">
        <f t="shared" si="115"/>
        <v>1.8553167215495112</v>
      </c>
      <c r="T162" s="24">
        <f t="shared" si="115"/>
        <v>1.8293609945363845</v>
      </c>
      <c r="U162" s="24">
        <f t="shared" si="115"/>
        <v>1.8435180355494925</v>
      </c>
      <c r="V162" s="24">
        <f t="shared" si="115"/>
        <v>1.8286741161863687</v>
      </c>
      <c r="W162" s="24">
        <f t="shared" si="115"/>
        <v>1.8109600404391275</v>
      </c>
      <c r="X162" s="24">
        <f t="shared" si="115"/>
        <v>1.8114514190142685</v>
      </c>
      <c r="Y162" s="24">
        <f t="shared" si="115"/>
        <v>1.9585335959125776</v>
      </c>
      <c r="Z162" s="24">
        <f t="shared" si="115"/>
        <v>1.9590560407668307</v>
      </c>
    </row>
    <row r="163" spans="1:26">
      <c r="A163" s="25" t="s">
        <v>9772</v>
      </c>
      <c r="B163" s="23">
        <f t="shared" ref="B163:M163" si="116">SUM(B159:B162)</f>
        <v>416452</v>
      </c>
      <c r="C163" s="23">
        <f t="shared" si="116"/>
        <v>417786</v>
      </c>
      <c r="D163" s="23">
        <f t="shared" si="116"/>
        <v>418637</v>
      </c>
      <c r="E163" s="23">
        <f t="shared" si="116"/>
        <v>419760</v>
      </c>
      <c r="F163" s="23">
        <f t="shared" si="116"/>
        <v>416841</v>
      </c>
      <c r="G163" s="23">
        <f t="shared" si="116"/>
        <v>406376</v>
      </c>
      <c r="H163" s="23">
        <f t="shared" si="116"/>
        <v>396566</v>
      </c>
      <c r="I163" s="23">
        <f t="shared" si="116"/>
        <v>405108</v>
      </c>
      <c r="J163" s="23">
        <f t="shared" si="116"/>
        <v>406285</v>
      </c>
      <c r="K163" s="23">
        <f t="shared" si="116"/>
        <v>403035</v>
      </c>
      <c r="L163" s="23">
        <f t="shared" si="116"/>
        <v>407842</v>
      </c>
      <c r="M163" s="23">
        <f t="shared" si="116"/>
        <v>416103</v>
      </c>
      <c r="N163" s="16"/>
      <c r="O163" s="24">
        <f t="shared" si="115"/>
        <v>5.4845387978717799</v>
      </c>
      <c r="P163" s="24">
        <f t="shared" si="115"/>
        <v>5.4512075781892202</v>
      </c>
      <c r="Q163" s="24">
        <f t="shared" si="115"/>
        <v>5.431130888286348</v>
      </c>
      <c r="R163" s="24">
        <f t="shared" si="115"/>
        <v>5.4166774201873693</v>
      </c>
      <c r="S163" s="24">
        <f t="shared" si="115"/>
        <v>5.4041149168978659</v>
      </c>
      <c r="T163" s="24">
        <f t="shared" si="115"/>
        <v>5.3630005014912765</v>
      </c>
      <c r="U163" s="24">
        <f t="shared" si="115"/>
        <v>5.3038826251521352</v>
      </c>
      <c r="V163" s="24">
        <f t="shared" si="115"/>
        <v>5.2944912762203487</v>
      </c>
      <c r="W163" s="24">
        <f t="shared" si="115"/>
        <v>5.2659650305237644</v>
      </c>
      <c r="X163" s="24">
        <f t="shared" si="115"/>
        <v>5.2662285057230962</v>
      </c>
      <c r="Y163" s="24">
        <f t="shared" si="115"/>
        <v>5.6166526655006681</v>
      </c>
      <c r="Z163" s="24">
        <f t="shared" si="115"/>
        <v>5.6695188914474128</v>
      </c>
    </row>
    <row r="164" spans="1:26">
      <c r="A164" s="16"/>
      <c r="B164" s="16"/>
      <c r="C164" s="16"/>
      <c r="D164" s="16"/>
      <c r="E164" s="16"/>
      <c r="F164" s="16"/>
      <c r="G164" s="16"/>
      <c r="H164" s="16"/>
      <c r="I164" s="16"/>
      <c r="J164" s="16"/>
      <c r="K164" s="16"/>
      <c r="L164" s="16"/>
      <c r="M164" s="16"/>
      <c r="N164" s="16"/>
    </row>
    <row r="165" spans="1:26">
      <c r="A165" s="21" t="s">
        <v>1028</v>
      </c>
      <c r="B165" s="23">
        <f>NORTHUMBERLAND!D3</f>
        <v>245114</v>
      </c>
      <c r="C165" s="23">
        <f>NORTHUMBERLAND!E3</f>
        <v>241852</v>
      </c>
      <c r="D165" s="23">
        <f>NORTHUMBERLAND!F3</f>
        <v>245348</v>
      </c>
      <c r="E165" s="23">
        <f>NORTHUMBERLAND!G3</f>
        <v>248229</v>
      </c>
      <c r="F165" s="23">
        <f>NORTHUMBERLAND!H3</f>
        <v>244701</v>
      </c>
      <c r="G165" s="23">
        <f>NORTHUMBERLAND!I3</f>
        <v>244610</v>
      </c>
      <c r="H165" s="23">
        <f>NORTHUMBERLAND!J3</f>
        <v>232448</v>
      </c>
      <c r="I165" s="23">
        <f>NORTHUMBERLAND!K3</f>
        <v>235363</v>
      </c>
      <c r="J165" s="23">
        <f>NORTHUMBERLAND!L3</f>
        <v>241298</v>
      </c>
      <c r="K165" s="23">
        <f>NORTHUMBERLAND!M3</f>
        <v>239893</v>
      </c>
      <c r="L165" s="23">
        <f>NORTHUMBERLAND!N3</f>
        <v>245392</v>
      </c>
      <c r="M165" s="23">
        <f>NORTHUMBERLAND!O3</f>
        <v>249414</v>
      </c>
      <c r="N165" s="16"/>
      <c r="O165" s="24">
        <f t="shared" ref="O165:Z165" si="117">B165/B$451</f>
        <v>3.2280724859084442</v>
      </c>
      <c r="P165" s="24">
        <f t="shared" si="117"/>
        <v>3.1556477603371564</v>
      </c>
      <c r="Q165" s="24">
        <f t="shared" si="117"/>
        <v>3.182989322920045</v>
      </c>
      <c r="R165" s="24">
        <f t="shared" si="117"/>
        <v>3.2032028286060856</v>
      </c>
      <c r="S165" s="24">
        <f t="shared" si="117"/>
        <v>3.1724142401534992</v>
      </c>
      <c r="T165" s="24">
        <f t="shared" si="117"/>
        <v>3.2281521366167816</v>
      </c>
      <c r="U165" s="24">
        <f t="shared" si="117"/>
        <v>3.1088820232984258</v>
      </c>
      <c r="V165" s="24">
        <f t="shared" si="117"/>
        <v>3.0760373782918382</v>
      </c>
      <c r="W165" s="24">
        <f t="shared" si="117"/>
        <v>3.1275258253081537</v>
      </c>
      <c r="X165" s="24">
        <f t="shared" si="117"/>
        <v>3.1345450269168453</v>
      </c>
      <c r="Y165" s="24">
        <f t="shared" si="117"/>
        <v>3.3794499607508297</v>
      </c>
      <c r="Z165" s="24">
        <f t="shared" si="117"/>
        <v>3.3983349910754432</v>
      </c>
    </row>
    <row r="166" spans="1:26">
      <c r="A166" s="16"/>
      <c r="B166" s="16"/>
      <c r="C166" s="16"/>
      <c r="D166" s="16"/>
      <c r="E166" s="16"/>
      <c r="F166" s="16"/>
      <c r="G166" s="16"/>
      <c r="H166" s="16"/>
      <c r="I166" s="16"/>
      <c r="J166" s="16"/>
      <c r="K166" s="16"/>
      <c r="L166" s="16"/>
      <c r="M166" s="16"/>
      <c r="N166" s="16"/>
    </row>
    <row r="167" spans="1:26">
      <c r="A167" s="21" t="s">
        <v>5111</v>
      </c>
      <c r="B167" s="30">
        <f>'TYNE &amp; WEAR'!D5</f>
        <v>147060</v>
      </c>
      <c r="C167" s="30">
        <f>'TYNE &amp; WEAR'!E5</f>
        <v>147346</v>
      </c>
      <c r="D167" s="30">
        <f>'TYNE &amp; WEAR'!F5</f>
        <v>146978</v>
      </c>
      <c r="E167" s="30">
        <f>'TYNE &amp; WEAR'!G5</f>
        <v>148302</v>
      </c>
      <c r="F167" s="30">
        <f>'TYNE &amp; WEAR'!H5</f>
        <v>146899</v>
      </c>
      <c r="G167" s="30">
        <f>'TYNE &amp; WEAR'!I5</f>
        <v>140622</v>
      </c>
      <c r="H167" s="30">
        <f>'TYNE &amp; WEAR'!J5</f>
        <v>140942</v>
      </c>
      <c r="I167" s="30">
        <f>'TYNE &amp; WEAR'!K5</f>
        <v>143984</v>
      </c>
      <c r="J167" s="30">
        <f>'TYNE &amp; WEAR'!L5</f>
        <v>144581</v>
      </c>
      <c r="K167" s="30">
        <f>'TYNE &amp; WEAR'!M5</f>
        <v>142236</v>
      </c>
      <c r="L167" s="30">
        <f>'TYNE &amp; WEAR'!N5</f>
        <v>144704</v>
      </c>
      <c r="M167" s="30">
        <f>'TYNE &amp; WEAR'!O5</f>
        <v>144619</v>
      </c>
      <c r="N167" s="16"/>
      <c r="O167" s="24">
        <f t="shared" ref="O167:Z172" si="118">B167/B$451</f>
        <v>1.9367328662487489</v>
      </c>
      <c r="P167" s="24">
        <f t="shared" si="118"/>
        <v>1.9225479834553307</v>
      </c>
      <c r="Q167" s="24">
        <f t="shared" si="118"/>
        <v>1.9067993409530235</v>
      </c>
      <c r="R167" s="24">
        <f t="shared" si="118"/>
        <v>1.9137223526982734</v>
      </c>
      <c r="S167" s="24">
        <f t="shared" si="118"/>
        <v>1.9044649570876657</v>
      </c>
      <c r="T167" s="24">
        <f t="shared" si="118"/>
        <v>1.8558080608124159</v>
      </c>
      <c r="U167" s="24">
        <f t="shared" si="118"/>
        <v>1.8850325669729433</v>
      </c>
      <c r="V167" s="24">
        <f t="shared" si="118"/>
        <v>1.8817748153956741</v>
      </c>
      <c r="W167" s="24">
        <f t="shared" si="118"/>
        <v>1.8739517581947558</v>
      </c>
      <c r="X167" s="24">
        <f t="shared" si="118"/>
        <v>1.8585166988971933</v>
      </c>
      <c r="Y167" s="24">
        <f t="shared" si="118"/>
        <v>1.992811204605236</v>
      </c>
      <c r="Z167" s="24">
        <f t="shared" si="118"/>
        <v>1.970474023408227</v>
      </c>
    </row>
    <row r="168" spans="1:26">
      <c r="A168" s="21" t="s">
        <v>5112</v>
      </c>
      <c r="B168" s="30">
        <f>'TYNE &amp; WEAR'!D6</f>
        <v>192497</v>
      </c>
      <c r="C168" s="30">
        <f>'TYNE &amp; WEAR'!E6</f>
        <v>193399</v>
      </c>
      <c r="D168" s="30">
        <f>'TYNE &amp; WEAR'!F6</f>
        <v>198963</v>
      </c>
      <c r="E168" s="30">
        <f>'TYNE &amp; WEAR'!G6</f>
        <v>200692</v>
      </c>
      <c r="F168" s="30">
        <f>'TYNE &amp; WEAR'!H6</f>
        <v>196986</v>
      </c>
      <c r="G168" s="30">
        <f>'TYNE &amp; WEAR'!I6</f>
        <v>180481</v>
      </c>
      <c r="H168" s="30">
        <f>'TYNE &amp; WEAR'!J6</f>
        <v>180183</v>
      </c>
      <c r="I168" s="30">
        <f>'TYNE &amp; WEAR'!K6</f>
        <v>189242</v>
      </c>
      <c r="J168" s="30">
        <f>'TYNE &amp; WEAR'!L6</f>
        <v>178361</v>
      </c>
      <c r="K168" s="30">
        <f>'TYNE &amp; WEAR'!M6</f>
        <v>174967</v>
      </c>
      <c r="L168" s="30">
        <f>'TYNE &amp; WEAR'!N6</f>
        <v>174820</v>
      </c>
      <c r="M168" s="30">
        <f>'TYNE &amp; WEAR'!O6</f>
        <v>191057</v>
      </c>
      <c r="N168" s="16"/>
      <c r="O168" s="24">
        <f t="shared" si="118"/>
        <v>2.5351235315808882</v>
      </c>
      <c r="P168" s="24">
        <f t="shared" si="118"/>
        <v>2.523440456152712</v>
      </c>
      <c r="Q168" s="24">
        <f t="shared" si="118"/>
        <v>2.581219755841258</v>
      </c>
      <c r="R168" s="24">
        <f t="shared" si="118"/>
        <v>2.5897746922342373</v>
      </c>
      <c r="S168" s="24">
        <f t="shared" si="118"/>
        <v>2.5538154380688152</v>
      </c>
      <c r="T168" s="24">
        <f t="shared" si="118"/>
        <v>2.3818328186449178</v>
      </c>
      <c r="U168" s="24">
        <f t="shared" si="118"/>
        <v>2.4098623761184448</v>
      </c>
      <c r="V168" s="24">
        <f t="shared" si="118"/>
        <v>2.4732666797359997</v>
      </c>
      <c r="W168" s="24">
        <f t="shared" si="118"/>
        <v>2.3117830803727659</v>
      </c>
      <c r="X168" s="24">
        <f t="shared" si="118"/>
        <v>2.2861940103486122</v>
      </c>
      <c r="Y168" s="24">
        <f t="shared" si="118"/>
        <v>2.4075578753115834</v>
      </c>
      <c r="Z168" s="24">
        <f t="shared" si="118"/>
        <v>2.6032046652950553</v>
      </c>
    </row>
    <row r="169" spans="1:26">
      <c r="A169" s="21" t="s">
        <v>6619</v>
      </c>
      <c r="B169" s="30">
        <f>'TYNE &amp; WEAR'!D7</f>
        <v>154834</v>
      </c>
      <c r="C169" s="30">
        <f>'TYNE &amp; WEAR'!E7</f>
        <v>155235</v>
      </c>
      <c r="D169" s="30">
        <f>'TYNE &amp; WEAR'!F7</f>
        <v>156824</v>
      </c>
      <c r="E169" s="30">
        <f>'TYNE &amp; WEAR'!G7</f>
        <v>157479</v>
      </c>
      <c r="F169" s="30">
        <f>'TYNE &amp; WEAR'!H7</f>
        <v>157043</v>
      </c>
      <c r="G169" s="30">
        <f>'TYNE &amp; WEAR'!I7</f>
        <v>154774</v>
      </c>
      <c r="H169" s="30">
        <f>'TYNE &amp; WEAR'!J7</f>
        <v>151045</v>
      </c>
      <c r="I169" s="30">
        <f>'TYNE &amp; WEAR'!K7</f>
        <v>154638</v>
      </c>
      <c r="J169" s="30">
        <f>'TYNE &amp; WEAR'!L7</f>
        <v>153243</v>
      </c>
      <c r="K169" s="30">
        <f>'TYNE &amp; WEAR'!M7</f>
        <v>152214</v>
      </c>
      <c r="L169" s="30">
        <f>'TYNE &amp; WEAR'!N7</f>
        <v>153400</v>
      </c>
      <c r="M169" s="30">
        <f>'TYNE &amp; WEAR'!O7</f>
        <v>156415</v>
      </c>
      <c r="N169" s="16"/>
      <c r="O169" s="24">
        <f t="shared" si="118"/>
        <v>2.0391139440552073</v>
      </c>
      <c r="P169" s="24">
        <f t="shared" si="118"/>
        <v>2.0254824441225976</v>
      </c>
      <c r="Q169" s="24">
        <f t="shared" si="118"/>
        <v>2.034535099440848</v>
      </c>
      <c r="R169" s="24">
        <f t="shared" si="118"/>
        <v>2.0321444240844451</v>
      </c>
      <c r="S169" s="24">
        <f t="shared" si="118"/>
        <v>2.0359763528405113</v>
      </c>
      <c r="T169" s="24">
        <f t="shared" si="118"/>
        <v>2.0425739699633119</v>
      </c>
      <c r="U169" s="24">
        <f t="shared" si="118"/>
        <v>2.0201554120023002</v>
      </c>
      <c r="V169" s="24">
        <f t="shared" si="118"/>
        <v>2.0210154871593806</v>
      </c>
      <c r="W169" s="24">
        <f t="shared" si="118"/>
        <v>1.9862221818983059</v>
      </c>
      <c r="X169" s="24">
        <f t="shared" si="118"/>
        <v>1.9888935347305703</v>
      </c>
      <c r="Y169" s="24">
        <f t="shared" si="118"/>
        <v>2.1125693746298873</v>
      </c>
      <c r="Z169" s="24">
        <f t="shared" si="118"/>
        <v>2.1311977981551373</v>
      </c>
    </row>
    <row r="170" spans="1:26">
      <c r="A170" s="21" t="s">
        <v>6620</v>
      </c>
      <c r="B170" s="30">
        <f>'TYNE &amp; WEAR'!D8</f>
        <v>115648</v>
      </c>
      <c r="C170" s="30">
        <f>'TYNE &amp; WEAR'!E8</f>
        <v>115688</v>
      </c>
      <c r="D170" s="30">
        <f>'TYNE &amp; WEAR'!F8</f>
        <v>115818</v>
      </c>
      <c r="E170" s="30">
        <f>'TYNE &amp; WEAR'!G8</f>
        <v>116396</v>
      </c>
      <c r="F170" s="30">
        <f>'TYNE &amp; WEAR'!H8</f>
        <v>115153</v>
      </c>
      <c r="G170" s="30">
        <f>'TYNE &amp; WEAR'!I8</f>
        <v>114494</v>
      </c>
      <c r="H170" s="30">
        <f>'TYNE &amp; WEAR'!J8</f>
        <v>115022</v>
      </c>
      <c r="I170" s="30">
        <f>'TYNE &amp; WEAR'!K8</f>
        <v>115223</v>
      </c>
      <c r="J170" s="30">
        <f>'TYNE &amp; WEAR'!L8</f>
        <v>115083</v>
      </c>
      <c r="K170" s="30">
        <f>'TYNE &amp; WEAR'!M8</f>
        <v>114391</v>
      </c>
      <c r="L170" s="30">
        <f>'TYNE &amp; WEAR'!N8</f>
        <v>115912</v>
      </c>
      <c r="M170" s="30">
        <f>'TYNE &amp; WEAR'!O8</f>
        <v>115370</v>
      </c>
      <c r="N170" s="16"/>
      <c r="O170" s="24">
        <f t="shared" si="118"/>
        <v>1.5230469367328663</v>
      </c>
      <c r="P170" s="24">
        <f t="shared" si="118"/>
        <v>1.5094792604480631</v>
      </c>
      <c r="Q170" s="24">
        <f t="shared" si="118"/>
        <v>1.5025492663561708</v>
      </c>
      <c r="R170" s="24">
        <f t="shared" si="118"/>
        <v>1.502000154850698</v>
      </c>
      <c r="S170" s="24">
        <f t="shared" si="118"/>
        <v>1.4928954805922161</v>
      </c>
      <c r="T170" s="24">
        <f t="shared" si="118"/>
        <v>1.5109932166706259</v>
      </c>
      <c r="U170" s="24">
        <f t="shared" si="118"/>
        <v>1.5383648303441266</v>
      </c>
      <c r="V170" s="24">
        <f t="shared" si="118"/>
        <v>1.5058877344311572</v>
      </c>
      <c r="W170" s="24">
        <f t="shared" si="118"/>
        <v>1.4916205461874457</v>
      </c>
      <c r="X170" s="24">
        <f t="shared" si="118"/>
        <v>1.4946819631004025</v>
      </c>
      <c r="Y170" s="24">
        <f t="shared" si="118"/>
        <v>1.5962981835208572</v>
      </c>
      <c r="Z170" s="24">
        <f t="shared" si="118"/>
        <v>1.5719482784461734</v>
      </c>
    </row>
    <row r="171" spans="1:26">
      <c r="A171" s="21" t="s">
        <v>6621</v>
      </c>
      <c r="B171" s="30">
        <f>'TYNE &amp; WEAR'!D9</f>
        <v>213163</v>
      </c>
      <c r="C171" s="30">
        <f>'TYNE &amp; WEAR'!E9</f>
        <v>216584</v>
      </c>
      <c r="D171" s="30">
        <f>'TYNE &amp; WEAR'!F9</f>
        <v>218220</v>
      </c>
      <c r="E171" s="30">
        <f>'TYNE &amp; WEAR'!G9</f>
        <v>215432</v>
      </c>
      <c r="F171" s="30">
        <f>'TYNE &amp; WEAR'!H9</f>
        <v>213711</v>
      </c>
      <c r="G171" s="30">
        <f>'TYNE &amp; WEAR'!I9</f>
        <v>208509</v>
      </c>
      <c r="H171" s="30">
        <f>'TYNE &amp; WEAR'!J9</f>
        <v>205546</v>
      </c>
      <c r="I171" s="30">
        <f>'TYNE &amp; WEAR'!K9</f>
        <v>202319</v>
      </c>
      <c r="J171" s="30">
        <f>'TYNE &amp; WEAR'!L9</f>
        <v>204776</v>
      </c>
      <c r="K171" s="30">
        <f>'TYNE &amp; WEAR'!M9</f>
        <v>203345</v>
      </c>
      <c r="L171" s="30">
        <f>'TYNE &amp; WEAR'!N9</f>
        <v>207918</v>
      </c>
      <c r="M171" s="30">
        <f>'TYNE &amp; WEAR'!O9</f>
        <v>207990</v>
      </c>
      <c r="N171" s="16"/>
      <c r="O171" s="24">
        <f t="shared" si="118"/>
        <v>2.8072880998788388</v>
      </c>
      <c r="P171" s="24">
        <f t="shared" si="118"/>
        <v>2.8259547761641941</v>
      </c>
      <c r="Q171" s="24">
        <f t="shared" si="118"/>
        <v>2.8310478587459946</v>
      </c>
      <c r="R171" s="24">
        <f t="shared" si="118"/>
        <v>2.7799829664232067</v>
      </c>
      <c r="S171" s="24">
        <f t="shared" si="118"/>
        <v>2.7706458889724375</v>
      </c>
      <c r="T171" s="24">
        <f t="shared" si="118"/>
        <v>2.7517222266212684</v>
      </c>
      <c r="U171" s="24">
        <f t="shared" si="118"/>
        <v>2.7490805012772674</v>
      </c>
      <c r="V171" s="24">
        <f t="shared" si="118"/>
        <v>2.6441743448996928</v>
      </c>
      <c r="W171" s="24">
        <f t="shared" si="118"/>
        <v>2.654154731507524</v>
      </c>
      <c r="X171" s="24">
        <f t="shared" si="118"/>
        <v>2.6569931531908222</v>
      </c>
      <c r="Y171" s="24">
        <f t="shared" si="118"/>
        <v>2.8633715725834219</v>
      </c>
      <c r="Z171" s="24">
        <f t="shared" si="118"/>
        <v>2.8339214911503823</v>
      </c>
    </row>
    <row r="172" spans="1:26">
      <c r="A172" s="21" t="s">
        <v>4427</v>
      </c>
      <c r="B172" s="23">
        <f t="shared" ref="B172:G172" si="119">SUM(B167:B171)</f>
        <v>823202</v>
      </c>
      <c r="C172" s="23">
        <f t="shared" si="119"/>
        <v>828252</v>
      </c>
      <c r="D172" s="23">
        <f t="shared" si="119"/>
        <v>836803</v>
      </c>
      <c r="E172" s="23">
        <f t="shared" si="119"/>
        <v>838301</v>
      </c>
      <c r="F172" s="23">
        <f t="shared" si="119"/>
        <v>829792</v>
      </c>
      <c r="G172" s="23">
        <f t="shared" si="119"/>
        <v>798880</v>
      </c>
      <c r="H172" s="23">
        <f t="shared" ref="H172:M172" si="120">SUM(H167:H171)</f>
        <v>792738</v>
      </c>
      <c r="I172" s="23">
        <f t="shared" si="120"/>
        <v>805406</v>
      </c>
      <c r="J172" s="23">
        <f t="shared" si="120"/>
        <v>796044</v>
      </c>
      <c r="K172" s="23">
        <f t="shared" si="120"/>
        <v>787153</v>
      </c>
      <c r="L172" s="23">
        <f t="shared" si="120"/>
        <v>796754</v>
      </c>
      <c r="M172" s="23">
        <f t="shared" si="120"/>
        <v>815451</v>
      </c>
      <c r="N172" s="16"/>
      <c r="O172" s="24">
        <f t="shared" si="118"/>
        <v>10.84130537849655</v>
      </c>
      <c r="P172" s="24">
        <f t="shared" si="118"/>
        <v>10.806904920342898</v>
      </c>
      <c r="Q172" s="24">
        <f t="shared" si="118"/>
        <v>10.856151321337295</v>
      </c>
      <c r="R172" s="24">
        <f t="shared" si="118"/>
        <v>10.817624590290862</v>
      </c>
      <c r="S172" s="24">
        <f t="shared" si="118"/>
        <v>10.757798117561647</v>
      </c>
      <c r="T172" s="24">
        <f t="shared" si="118"/>
        <v>10.542930292712541</v>
      </c>
      <c r="U172" s="24">
        <f t="shared" si="118"/>
        <v>10.602495686715082</v>
      </c>
      <c r="V172" s="24">
        <f t="shared" si="118"/>
        <v>10.526119061621904</v>
      </c>
      <c r="W172" s="24">
        <f t="shared" si="118"/>
        <v>10.317732298160797</v>
      </c>
      <c r="X172" s="24">
        <f t="shared" si="118"/>
        <v>10.2852793602676</v>
      </c>
      <c r="Y172" s="24">
        <f t="shared" si="118"/>
        <v>10.972608210650986</v>
      </c>
      <c r="Z172" s="24">
        <f t="shared" si="118"/>
        <v>11.110746256454975</v>
      </c>
    </row>
    <row r="173" spans="1:26">
      <c r="A173" s="16"/>
      <c r="B173" s="16"/>
      <c r="C173" s="16"/>
      <c r="D173" s="16"/>
      <c r="E173" s="16"/>
      <c r="F173" s="16"/>
      <c r="G173" s="16"/>
      <c r="H173" s="16"/>
      <c r="I173" s="16"/>
      <c r="J173" s="16"/>
      <c r="K173" s="16"/>
      <c r="L173" s="16"/>
      <c r="M173" s="16"/>
      <c r="N173" s="16"/>
    </row>
    <row r="174" spans="1:26">
      <c r="A174" s="26" t="s">
        <v>5374</v>
      </c>
      <c r="B174" s="27">
        <f>B157+B163+B165+B172</f>
        <v>1955672</v>
      </c>
      <c r="C174" s="27">
        <f t="shared" ref="C174:H174" si="121">C157+C163+C165+C172</f>
        <v>1971249</v>
      </c>
      <c r="D174" s="27">
        <f t="shared" si="121"/>
        <v>1986809</v>
      </c>
      <c r="E174" s="27">
        <f t="shared" si="121"/>
        <v>1992991</v>
      </c>
      <c r="F174" s="27">
        <f t="shared" si="121"/>
        <v>1970591</v>
      </c>
      <c r="G174" s="27">
        <f t="shared" si="121"/>
        <v>1901161</v>
      </c>
      <c r="H174" s="27">
        <f t="shared" si="121"/>
        <v>1874396</v>
      </c>
      <c r="I174" s="27">
        <f>I157+I163+I165+I172</f>
        <v>1909364</v>
      </c>
      <c r="J174" s="27">
        <f>J157+J163+J165+J172</f>
        <v>1913831</v>
      </c>
      <c r="K174" s="27">
        <f>K157+K163+K165+K172</f>
        <v>1888619</v>
      </c>
      <c r="L174" s="27">
        <f>L157+L163+L165+L172</f>
        <v>1921999</v>
      </c>
      <c r="M174" s="27">
        <f>M157+M163+M165+M172</f>
        <v>1952999</v>
      </c>
      <c r="N174" s="26"/>
      <c r="O174" s="28">
        <f t="shared" ref="O174:Z174" si="122">B174/B$451</f>
        <v>25.755570773850287</v>
      </c>
      <c r="P174" s="28">
        <f t="shared" si="122"/>
        <v>25.720554272517322</v>
      </c>
      <c r="Q174" s="28">
        <f t="shared" si="122"/>
        <v>25.775599693828571</v>
      </c>
      <c r="R174" s="28">
        <f t="shared" si="122"/>
        <v>25.718003974501251</v>
      </c>
      <c r="S174" s="28">
        <f t="shared" si="122"/>
        <v>25.54763139471569</v>
      </c>
      <c r="T174" s="28">
        <f t="shared" si="122"/>
        <v>25.08988571277747</v>
      </c>
      <c r="U174" s="28">
        <f t="shared" si="122"/>
        <v>25.069159678476375</v>
      </c>
      <c r="V174" s="28">
        <f t="shared" si="122"/>
        <v>24.954113572502123</v>
      </c>
      <c r="W174" s="28">
        <f t="shared" si="122"/>
        <v>24.805658885590969</v>
      </c>
      <c r="X174" s="28">
        <f t="shared" si="122"/>
        <v>24.677507447864944</v>
      </c>
      <c r="Y174" s="28">
        <f t="shared" si="122"/>
        <v>26.469075785327696</v>
      </c>
      <c r="Z174" s="28">
        <f t="shared" si="122"/>
        <v>26.610153556878721</v>
      </c>
    </row>
    <row r="175" spans="1:26">
      <c r="A175" s="16"/>
      <c r="B175" s="23"/>
      <c r="C175" s="23"/>
      <c r="D175" s="23"/>
      <c r="E175" s="23"/>
      <c r="F175" s="23"/>
      <c r="G175" s="23"/>
      <c r="H175" s="23"/>
      <c r="I175" s="23"/>
      <c r="J175" s="23"/>
      <c r="K175" s="23"/>
      <c r="L175" s="23"/>
      <c r="M175" s="23"/>
      <c r="N175" s="16"/>
      <c r="O175" s="24"/>
      <c r="P175" s="24"/>
      <c r="Q175" s="24"/>
      <c r="R175" s="24"/>
      <c r="S175" s="24"/>
      <c r="T175" s="24"/>
      <c r="U175" s="24"/>
      <c r="V175" s="24"/>
      <c r="W175" s="24"/>
      <c r="X175" s="24"/>
      <c r="Y175" s="24"/>
      <c r="Z175" s="24"/>
    </row>
    <row r="176" spans="1:26">
      <c r="A176" s="21" t="s">
        <v>3737</v>
      </c>
      <c r="B176" s="23" t="s">
        <v>3738</v>
      </c>
      <c r="C176" s="23"/>
      <c r="D176" s="23"/>
      <c r="E176" s="23"/>
      <c r="F176" s="23"/>
      <c r="G176" s="23"/>
      <c r="H176" s="23"/>
      <c r="I176" s="23"/>
      <c r="J176" s="23"/>
      <c r="K176" s="23"/>
      <c r="L176" s="23"/>
      <c r="M176" s="23"/>
      <c r="N176" s="16"/>
      <c r="O176" s="24"/>
      <c r="P176" s="24"/>
      <c r="Q176" s="24"/>
      <c r="R176" s="24"/>
      <c r="S176" s="24"/>
      <c r="T176" s="24"/>
      <c r="U176" s="24"/>
      <c r="V176" s="24"/>
      <c r="W176" s="24"/>
      <c r="X176" s="24"/>
      <c r="Y176" s="24"/>
      <c r="Z176" s="24"/>
    </row>
    <row r="177" spans="1:26">
      <c r="A177" s="16"/>
      <c r="B177" s="16"/>
      <c r="C177" s="16"/>
      <c r="D177" s="16"/>
      <c r="E177" s="16"/>
      <c r="F177" s="16"/>
      <c r="G177" s="16"/>
      <c r="H177" s="16"/>
      <c r="I177" s="16"/>
      <c r="J177" s="16"/>
      <c r="K177" s="16"/>
      <c r="L177" s="16"/>
      <c r="M177" s="16"/>
      <c r="N177" s="16"/>
    </row>
    <row r="178" spans="1:26">
      <c r="A178" s="21" t="s">
        <v>6698</v>
      </c>
      <c r="B178" s="23">
        <f>CHESHIRE!D3</f>
        <v>288796</v>
      </c>
      <c r="C178" s="23">
        <f>CHESHIRE!E3</f>
        <v>286944</v>
      </c>
      <c r="D178" s="23">
        <f>CHESHIRE!F3</f>
        <v>287281</v>
      </c>
      <c r="E178" s="23">
        <f>CHESHIRE!G3</f>
        <v>285686</v>
      </c>
      <c r="F178" s="23">
        <f>CHESHIRE!H3</f>
        <v>285058</v>
      </c>
      <c r="G178" s="23">
        <f>CHESHIRE!I3</f>
        <v>268206</v>
      </c>
      <c r="H178" s="23">
        <f>CHESHIRE!J3</f>
        <v>270905</v>
      </c>
      <c r="I178" s="23">
        <f>CHESHIRE!K3</f>
        <v>292068</v>
      </c>
      <c r="J178" s="23">
        <f>CHESHIRE!L3</f>
        <v>293679</v>
      </c>
      <c r="K178" s="23">
        <f>CHESHIRE!M3</f>
        <v>294937</v>
      </c>
      <c r="L178" s="23">
        <f>CHESHIRE!N3</f>
        <v>304277</v>
      </c>
      <c r="M178" s="23">
        <f>CHESHIRE!O3</f>
        <v>301677</v>
      </c>
      <c r="N178" s="16"/>
      <c r="O178" s="24">
        <f t="shared" ref="O178:Z182" si="123">B178/B$451</f>
        <v>3.8033503661170522</v>
      </c>
      <c r="P178" s="24">
        <f t="shared" si="123"/>
        <v>3.7440012525932596</v>
      </c>
      <c r="Q178" s="24">
        <f t="shared" si="123"/>
        <v>3.7270014659903219</v>
      </c>
      <c r="R178" s="24">
        <f t="shared" si="123"/>
        <v>3.6865563785583402</v>
      </c>
      <c r="S178" s="24">
        <f t="shared" si="123"/>
        <v>3.6956206082920633</v>
      </c>
      <c r="T178" s="24">
        <f t="shared" si="123"/>
        <v>3.5395518251643043</v>
      </c>
      <c r="U178" s="24">
        <f t="shared" si="123"/>
        <v>3.6232262033730556</v>
      </c>
      <c r="V178" s="24">
        <f t="shared" si="123"/>
        <v>3.8171338953146443</v>
      </c>
      <c r="W178" s="24">
        <f t="shared" si="123"/>
        <v>3.8064495223776134</v>
      </c>
      <c r="X178" s="24">
        <f t="shared" si="123"/>
        <v>3.8537735849056602</v>
      </c>
      <c r="Y178" s="24">
        <f t="shared" si="123"/>
        <v>4.1903929048517483</v>
      </c>
      <c r="Z178" s="24">
        <f t="shared" si="123"/>
        <v>4.1104328750698294</v>
      </c>
    </row>
    <row r="179" spans="1:26">
      <c r="A179" s="21" t="s">
        <v>6697</v>
      </c>
      <c r="B179" s="23">
        <f>CHESHIRE!D4</f>
        <v>251933</v>
      </c>
      <c r="C179" s="23">
        <f>CHESHIRE!E4</f>
        <v>249503</v>
      </c>
      <c r="D179" s="23">
        <f>CHESHIRE!F4</f>
        <v>247681</v>
      </c>
      <c r="E179" s="23">
        <f>CHESHIRE!G4</f>
        <v>251088</v>
      </c>
      <c r="F179" s="23">
        <f>CHESHIRE!H4</f>
        <v>254379</v>
      </c>
      <c r="G179" s="23">
        <f>CHESHIRE!I4</f>
        <v>256791</v>
      </c>
      <c r="H179" s="23">
        <f>CHESHIRE!J4</f>
        <v>256498</v>
      </c>
      <c r="I179" s="23">
        <f>CHESHIRE!K4</f>
        <v>261340</v>
      </c>
      <c r="J179" s="23">
        <f>CHESHIRE!L4</f>
        <v>267743</v>
      </c>
      <c r="K179" s="23">
        <f>CHESHIRE!M4</f>
        <v>267795</v>
      </c>
      <c r="L179" s="23">
        <f>CHESHIRE!N4</f>
        <v>271419</v>
      </c>
      <c r="M179" s="23">
        <f>CHESHIRE!O4</f>
        <v>271184</v>
      </c>
      <c r="N179" s="16"/>
      <c r="O179" s="24">
        <f t="shared" si="123"/>
        <v>3.3178765210978245</v>
      </c>
      <c r="P179" s="24">
        <f t="shared" si="123"/>
        <v>3.2554768335486228</v>
      </c>
      <c r="Q179" s="24">
        <f t="shared" si="123"/>
        <v>3.2132561850520882</v>
      </c>
      <c r="R179" s="24">
        <f t="shared" si="123"/>
        <v>3.2400960074328333</v>
      </c>
      <c r="S179" s="24">
        <f t="shared" si="123"/>
        <v>3.2978842015194338</v>
      </c>
      <c r="T179" s="24">
        <f t="shared" si="123"/>
        <v>3.388906485074036</v>
      </c>
      <c r="U179" s="24">
        <f t="shared" si="123"/>
        <v>3.4305393946689136</v>
      </c>
      <c r="V179" s="24">
        <f t="shared" si="123"/>
        <v>3.415539436711756</v>
      </c>
      <c r="W179" s="24">
        <f t="shared" si="123"/>
        <v>3.4702863142068359</v>
      </c>
      <c r="X179" s="24">
        <f t="shared" si="123"/>
        <v>3.4991245492081742</v>
      </c>
      <c r="Y179" s="24">
        <f t="shared" si="123"/>
        <v>3.7378844008648588</v>
      </c>
      <c r="Z179" s="24">
        <f t="shared" si="123"/>
        <v>3.6949572847546768</v>
      </c>
    </row>
    <row r="180" spans="1:26">
      <c r="A180" s="21" t="s">
        <v>3735</v>
      </c>
      <c r="B180" s="23">
        <f>CHESHIRE!D5</f>
        <v>91631</v>
      </c>
      <c r="C180" s="23">
        <f>CHESHIRE!E5</f>
        <v>92550</v>
      </c>
      <c r="D180" s="23">
        <f>CHESHIRE!F5</f>
        <v>94044</v>
      </c>
      <c r="E180" s="23">
        <f>CHESHIRE!G5</f>
        <v>94403</v>
      </c>
      <c r="F180" s="23">
        <f>CHESHIRE!H5</f>
        <v>94006</v>
      </c>
      <c r="G180" s="23">
        <f>CHESHIRE!I5</f>
        <v>94619</v>
      </c>
      <c r="H180" s="23">
        <f>CHESHIRE!J5</f>
        <v>92958</v>
      </c>
      <c r="I180" s="23">
        <f>CHESHIRE!K5</f>
        <v>93870</v>
      </c>
      <c r="J180" s="23">
        <f>CHESHIRE!L5</f>
        <v>95412</v>
      </c>
      <c r="K180" s="23">
        <f>CHESHIRE!M5</f>
        <v>91918</v>
      </c>
      <c r="L180" s="23">
        <f>CHESHIRE!N5</f>
        <v>95285</v>
      </c>
      <c r="M180" s="23">
        <f>CHESHIRE!O5</f>
        <v>95616</v>
      </c>
      <c r="N180" s="16"/>
      <c r="O180" s="24">
        <f t="shared" si="123"/>
        <v>1.2067507770110097</v>
      </c>
      <c r="P180" s="24">
        <f t="shared" si="123"/>
        <v>1.2075781892198694</v>
      </c>
      <c r="Q180" s="24">
        <f t="shared" si="123"/>
        <v>1.2200672020342238</v>
      </c>
      <c r="R180" s="24">
        <f t="shared" si="123"/>
        <v>1.2181975378738998</v>
      </c>
      <c r="S180" s="24">
        <f t="shared" si="123"/>
        <v>1.2187362252703089</v>
      </c>
      <c r="T180" s="24">
        <f t="shared" si="123"/>
        <v>1.2487000818222609</v>
      </c>
      <c r="U180" s="24">
        <f t="shared" si="123"/>
        <v>1.2432692693495968</v>
      </c>
      <c r="V180" s="24">
        <f t="shared" si="123"/>
        <v>1.2268182709272692</v>
      </c>
      <c r="W180" s="24">
        <f t="shared" si="123"/>
        <v>1.2366596243827201</v>
      </c>
      <c r="X180" s="24">
        <f t="shared" si="123"/>
        <v>1.2010400878064078</v>
      </c>
      <c r="Y180" s="24">
        <f t="shared" si="123"/>
        <v>1.3122305923181798</v>
      </c>
      <c r="Z180" s="24">
        <f t="shared" si="123"/>
        <v>1.3027945444388429</v>
      </c>
    </row>
    <row r="181" spans="1:26">
      <c r="A181" s="21" t="s">
        <v>5369</v>
      </c>
      <c r="B181" s="23">
        <f>WARRINGTON!D3</f>
        <v>150586</v>
      </c>
      <c r="C181" s="23">
        <f>WARRINGTON!E3</f>
        <v>153048</v>
      </c>
      <c r="D181" s="23">
        <f>WARRINGTON!F3</f>
        <v>154422</v>
      </c>
      <c r="E181" s="23">
        <f>WARRINGTON!G3</f>
        <v>156070</v>
      </c>
      <c r="F181" s="23">
        <f>WARRINGTON!H3</f>
        <v>159271</v>
      </c>
      <c r="G181" s="23">
        <f>WARRINGTON!I3</f>
        <v>156073</v>
      </c>
      <c r="H181" s="23">
        <f>WARRINGTON!J3</f>
        <v>152989</v>
      </c>
      <c r="I181" s="23">
        <f>WARRINGTON!K3</f>
        <v>154119</v>
      </c>
      <c r="J181" s="23">
        <f>WARRINGTON!L3</f>
        <v>154399</v>
      </c>
      <c r="K181" s="23">
        <f>WARRINGTON!M3</f>
        <v>156440</v>
      </c>
      <c r="L181" s="23">
        <f>WARRINGTON!N3</f>
        <v>157233</v>
      </c>
      <c r="M181" s="23">
        <f>WARRINGTON!O3</f>
        <v>158937</v>
      </c>
      <c r="N181" s="16"/>
      <c r="O181" s="24">
        <f t="shared" si="123"/>
        <v>1.9831691513459411</v>
      </c>
      <c r="P181" s="24">
        <f t="shared" si="123"/>
        <v>1.9969468039300113</v>
      </c>
      <c r="Q181" s="24">
        <f t="shared" si="123"/>
        <v>2.0033730750768672</v>
      </c>
      <c r="R181" s="24">
        <f t="shared" si="123"/>
        <v>2.0139623712803574</v>
      </c>
      <c r="S181" s="24">
        <f t="shared" si="123"/>
        <v>2.0648611507247128</v>
      </c>
      <c r="T181" s="24">
        <f t="shared" si="123"/>
        <v>2.0597170533428351</v>
      </c>
      <c r="U181" s="24">
        <f t="shared" si="123"/>
        <v>2.0461554922494618</v>
      </c>
      <c r="V181" s="24">
        <f t="shared" si="123"/>
        <v>2.0142325034307</v>
      </c>
      <c r="W181" s="24">
        <f t="shared" si="123"/>
        <v>2.0012053970681634</v>
      </c>
      <c r="X181" s="24">
        <f t="shared" si="123"/>
        <v>2.0441122667642295</v>
      </c>
      <c r="Y181" s="24">
        <f t="shared" si="123"/>
        <v>2.1653560657182598</v>
      </c>
      <c r="Z181" s="24">
        <f t="shared" si="123"/>
        <v>2.1655607483002468</v>
      </c>
    </row>
    <row r="182" spans="1:26">
      <c r="A182" s="25" t="s">
        <v>9774</v>
      </c>
      <c r="B182" s="23">
        <f t="shared" ref="B182:M182" si="124">SUM(B178:B181)</f>
        <v>782946</v>
      </c>
      <c r="C182" s="23">
        <f t="shared" si="124"/>
        <v>782045</v>
      </c>
      <c r="D182" s="23">
        <f t="shared" si="124"/>
        <v>783428</v>
      </c>
      <c r="E182" s="23">
        <f t="shared" si="124"/>
        <v>787247</v>
      </c>
      <c r="F182" s="23">
        <f t="shared" si="124"/>
        <v>792714</v>
      </c>
      <c r="G182" s="23">
        <f t="shared" si="124"/>
        <v>775689</v>
      </c>
      <c r="H182" s="23">
        <f t="shared" si="124"/>
        <v>773350</v>
      </c>
      <c r="I182" s="23">
        <f t="shared" si="124"/>
        <v>801397</v>
      </c>
      <c r="J182" s="23">
        <f t="shared" si="124"/>
        <v>811233</v>
      </c>
      <c r="K182" s="23">
        <f t="shared" si="124"/>
        <v>811090</v>
      </c>
      <c r="L182" s="23">
        <f t="shared" si="124"/>
        <v>828214</v>
      </c>
      <c r="M182" s="23">
        <f t="shared" si="124"/>
        <v>827414</v>
      </c>
      <c r="N182" s="16"/>
      <c r="O182" s="24">
        <f t="shared" si="123"/>
        <v>10.311146815571828</v>
      </c>
      <c r="P182" s="24">
        <f t="shared" si="123"/>
        <v>10.204003079291763</v>
      </c>
      <c r="Q182" s="24">
        <f t="shared" si="123"/>
        <v>10.163697928153502</v>
      </c>
      <c r="R182" s="24">
        <f t="shared" si="123"/>
        <v>10.158812295145431</v>
      </c>
      <c r="S182" s="24">
        <f t="shared" si="123"/>
        <v>10.277102185806518</v>
      </c>
      <c r="T182" s="24">
        <f t="shared" si="123"/>
        <v>10.236875445403436</v>
      </c>
      <c r="U182" s="24">
        <f t="shared" si="123"/>
        <v>10.343190359641028</v>
      </c>
      <c r="V182" s="24">
        <f t="shared" si="123"/>
        <v>10.473724106384369</v>
      </c>
      <c r="W182" s="24">
        <f t="shared" si="123"/>
        <v>10.514600858035333</v>
      </c>
      <c r="X182" s="24">
        <f t="shared" si="123"/>
        <v>10.598050488684471</v>
      </c>
      <c r="Y182" s="24">
        <f t="shared" si="123"/>
        <v>11.405863963753047</v>
      </c>
      <c r="Z182" s="24">
        <f t="shared" si="123"/>
        <v>11.273745452563595</v>
      </c>
    </row>
    <row r="183" spans="1:26">
      <c r="A183" s="16"/>
      <c r="B183" s="16"/>
      <c r="C183" s="16"/>
      <c r="D183" s="16"/>
      <c r="E183" s="16"/>
      <c r="F183" s="16"/>
      <c r="G183" s="16"/>
      <c r="H183" s="16"/>
      <c r="I183" s="16"/>
      <c r="J183" s="16"/>
      <c r="K183" s="16"/>
      <c r="L183" s="16"/>
      <c r="M183" s="16"/>
      <c r="N183" s="16"/>
    </row>
    <row r="184" spans="1:26">
      <c r="A184" s="21" t="s">
        <v>3739</v>
      </c>
      <c r="B184" s="23">
        <f>CUMBRIA!D5</f>
        <v>73780</v>
      </c>
      <c r="C184" s="23">
        <f>CUMBRIA!E5</f>
        <v>73411</v>
      </c>
      <c r="D184" s="23">
        <f>CUMBRIA!F5</f>
        <v>74117</v>
      </c>
      <c r="E184" s="23">
        <f>CUMBRIA!G5</f>
        <v>74503</v>
      </c>
      <c r="F184" s="23">
        <f>CUMBRIA!H5</f>
        <v>68633</v>
      </c>
      <c r="G184" s="23">
        <f>CUMBRIA!I5</f>
        <v>70353</v>
      </c>
      <c r="H184" s="23">
        <f>CUMBRIA!J5</f>
        <v>72052</v>
      </c>
      <c r="I184" s="23">
        <f>CUMBRIA!K5</f>
        <v>72480</v>
      </c>
      <c r="J184" s="23">
        <f>CUMBRIA!L5</f>
        <v>73713</v>
      </c>
      <c r="K184" s="23">
        <f>CUMBRIA!M5</f>
        <v>73373</v>
      </c>
      <c r="L184" s="23">
        <f>CUMBRIA!N5</f>
        <v>74293</v>
      </c>
      <c r="M184" s="23">
        <f>CUMBRIA!O5</f>
        <v>75625</v>
      </c>
      <c r="N184" s="16"/>
      <c r="O184" s="24">
        <f t="shared" ref="O184:Z190" si="125">B184/B$451</f>
        <v>0.97165885265764107</v>
      </c>
      <c r="P184" s="24">
        <f t="shared" si="125"/>
        <v>0.95785545595699428</v>
      </c>
      <c r="Q184" s="24">
        <f t="shared" si="125"/>
        <v>0.961546944123714</v>
      </c>
      <c r="R184" s="24">
        <f t="shared" si="125"/>
        <v>0.9614034634939479</v>
      </c>
      <c r="S184" s="24">
        <f t="shared" si="125"/>
        <v>0.88978919801903178</v>
      </c>
      <c r="T184" s="24">
        <f t="shared" si="125"/>
        <v>0.92845831023834036</v>
      </c>
      <c r="U184" s="24">
        <f t="shared" si="125"/>
        <v>0.96366141047760434</v>
      </c>
      <c r="V184" s="24">
        <f t="shared" si="125"/>
        <v>0.94726524210939034</v>
      </c>
      <c r="W184" s="24">
        <f t="shared" si="125"/>
        <v>0.95541326973675689</v>
      </c>
      <c r="X184" s="24">
        <f t="shared" si="125"/>
        <v>0.95872314848690743</v>
      </c>
      <c r="Y184" s="24">
        <f t="shared" si="125"/>
        <v>1.0231363529946429</v>
      </c>
      <c r="Z184" s="24">
        <f t="shared" si="125"/>
        <v>1.0304116196367501</v>
      </c>
    </row>
    <row r="185" spans="1:26">
      <c r="A185" s="21" t="s">
        <v>3740</v>
      </c>
      <c r="B185" s="23">
        <f>CUMBRIA!D6</f>
        <v>53283</v>
      </c>
      <c r="C185" s="23">
        <f>CUMBRIA!E6</f>
        <v>53225</v>
      </c>
      <c r="D185" s="23">
        <f>CUMBRIA!F6</f>
        <v>53014</v>
      </c>
      <c r="E185" s="23">
        <f>CUMBRIA!G6</f>
        <v>53708</v>
      </c>
      <c r="F185" s="23">
        <f>CUMBRIA!H6</f>
        <v>52505</v>
      </c>
      <c r="G185" s="23">
        <f>CUMBRIA!I6</f>
        <v>52222</v>
      </c>
      <c r="H185" s="23">
        <f>CUMBRIA!J6</f>
        <v>52499</v>
      </c>
      <c r="I185" s="23">
        <f>CUMBRIA!K6</f>
        <v>53349</v>
      </c>
      <c r="J185" s="23">
        <f>CUMBRIA!L6</f>
        <v>53078</v>
      </c>
      <c r="K185" s="23">
        <f>CUMBRIA!M6</f>
        <v>52671</v>
      </c>
      <c r="L185" s="23">
        <f>CUMBRIA!N6</f>
        <v>53135</v>
      </c>
      <c r="M185" s="23">
        <f>CUMBRIA!O6</f>
        <v>52815</v>
      </c>
      <c r="N185" s="16"/>
      <c r="O185" s="24">
        <f t="shared" si="125"/>
        <v>0.70171995996417846</v>
      </c>
      <c r="P185" s="24">
        <f t="shared" si="125"/>
        <v>0.69447162745788804</v>
      </c>
      <c r="Q185" s="24">
        <f t="shared" si="125"/>
        <v>0.68777000817322043</v>
      </c>
      <c r="R185" s="24">
        <f t="shared" si="125"/>
        <v>0.69306010787931971</v>
      </c>
      <c r="S185" s="24">
        <f t="shared" si="125"/>
        <v>0.68069852464542224</v>
      </c>
      <c r="T185" s="24">
        <f t="shared" si="125"/>
        <v>0.6891809855623301</v>
      </c>
      <c r="U185" s="24">
        <f t="shared" si="125"/>
        <v>0.70214928646899111</v>
      </c>
      <c r="V185" s="24">
        <f t="shared" si="125"/>
        <v>0.69723583611056661</v>
      </c>
      <c r="W185" s="24">
        <f t="shared" si="125"/>
        <v>0.68795769445128507</v>
      </c>
      <c r="X185" s="24">
        <f t="shared" si="125"/>
        <v>0.68822192024251294</v>
      </c>
      <c r="Y185" s="24">
        <f t="shared" si="125"/>
        <v>0.73175602164901599</v>
      </c>
      <c r="Z185" s="24">
        <f t="shared" si="125"/>
        <v>0.71961903723788367</v>
      </c>
    </row>
    <row r="186" spans="1:26">
      <c r="A186" s="21" t="s">
        <v>3741</v>
      </c>
      <c r="B186" s="23">
        <f>CUMBRIA!D7</f>
        <v>83014</v>
      </c>
      <c r="C186" s="23">
        <f>CUMBRIA!E7</f>
        <v>83854</v>
      </c>
      <c r="D186" s="23">
        <f>CUMBRIA!F7</f>
        <v>84098</v>
      </c>
      <c r="E186" s="23">
        <f>CUMBRIA!G7</f>
        <v>83932</v>
      </c>
      <c r="F186" s="23">
        <f>CUMBRIA!H7</f>
        <v>83519</v>
      </c>
      <c r="G186" s="23">
        <f>CUMBRIA!I7</f>
        <v>81765</v>
      </c>
      <c r="H186" s="23">
        <f>CUMBRIA!J7</f>
        <v>76825</v>
      </c>
      <c r="I186" s="23">
        <f>CUMBRIA!K7</f>
        <v>76334</v>
      </c>
      <c r="J186" s="23">
        <f>CUMBRIA!L7</f>
        <v>81821</v>
      </c>
      <c r="K186" s="23">
        <f>CUMBRIA!M7</f>
        <v>83175</v>
      </c>
      <c r="L186" s="23">
        <f>CUMBRIA!N7</f>
        <v>81393</v>
      </c>
      <c r="M186" s="23">
        <f>CUMBRIA!O7</f>
        <v>81904</v>
      </c>
      <c r="N186" s="16"/>
      <c r="O186" s="24">
        <f t="shared" si="125"/>
        <v>1.0932676605383764</v>
      </c>
      <c r="P186" s="24">
        <f t="shared" si="125"/>
        <v>1.0941141164650774</v>
      </c>
      <c r="Q186" s="24">
        <f t="shared" si="125"/>
        <v>1.0910341069783733</v>
      </c>
      <c r="R186" s="24">
        <f t="shared" si="125"/>
        <v>1.0830773995406096</v>
      </c>
      <c r="S186" s="24">
        <f t="shared" si="125"/>
        <v>1.0827780226618611</v>
      </c>
      <c r="T186" s="24">
        <f t="shared" si="125"/>
        <v>1.0790640589120279</v>
      </c>
      <c r="U186" s="24">
        <f t="shared" si="125"/>
        <v>1.0274980272572858</v>
      </c>
      <c r="V186" s="24">
        <f t="shared" si="125"/>
        <v>0.99763445076128865</v>
      </c>
      <c r="W186" s="24">
        <f t="shared" si="125"/>
        <v>1.0605031560665172</v>
      </c>
      <c r="X186" s="24">
        <f t="shared" si="125"/>
        <v>1.086800292688026</v>
      </c>
      <c r="Y186" s="24">
        <f t="shared" si="125"/>
        <v>1.1209149876743834</v>
      </c>
      <c r="Z186" s="24">
        <f t="shared" si="125"/>
        <v>1.1159647377815323</v>
      </c>
    </row>
    <row r="187" spans="1:26">
      <c r="A187" s="21" t="s">
        <v>3742</v>
      </c>
      <c r="B187" s="23">
        <f>CUMBRIA!D8</f>
        <v>55619</v>
      </c>
      <c r="C187" s="23">
        <f>CUMBRIA!E8</f>
        <v>55710</v>
      </c>
      <c r="D187" s="23">
        <f>CUMBRIA!F8</f>
        <v>55736</v>
      </c>
      <c r="E187" s="23">
        <f>CUMBRIA!G8</f>
        <v>55510</v>
      </c>
      <c r="F187" s="23">
        <f>CUMBRIA!H8</f>
        <v>54095</v>
      </c>
      <c r="G187" s="23">
        <f>CUMBRIA!I8</f>
        <v>53730</v>
      </c>
      <c r="H187" s="23">
        <f>CUMBRIA!J8</f>
        <v>53024</v>
      </c>
      <c r="I187" s="23">
        <f>CUMBRIA!K8</f>
        <v>52665</v>
      </c>
      <c r="J187" s="23">
        <f>CUMBRIA!L8</f>
        <v>53035</v>
      </c>
      <c r="K187" s="23">
        <f>CUMBRIA!M8</f>
        <v>53062</v>
      </c>
      <c r="L187" s="23">
        <f>CUMBRIA!N8</f>
        <v>53480</v>
      </c>
      <c r="M187" s="23">
        <f>CUMBRIA!O8</f>
        <v>53742</v>
      </c>
      <c r="N187" s="16"/>
      <c r="O187" s="24">
        <f t="shared" si="125"/>
        <v>0.73248432808302166</v>
      </c>
      <c r="P187" s="24">
        <f t="shared" si="125"/>
        <v>0.7268955258934513</v>
      </c>
      <c r="Q187" s="24">
        <f t="shared" si="125"/>
        <v>0.72308350955488387</v>
      </c>
      <c r="R187" s="24">
        <f t="shared" si="125"/>
        <v>0.71631352104679069</v>
      </c>
      <c r="S187" s="24">
        <f t="shared" si="125"/>
        <v>0.70131200248917469</v>
      </c>
      <c r="T187" s="24">
        <f t="shared" si="125"/>
        <v>0.70908227096365506</v>
      </c>
      <c r="U187" s="24">
        <f t="shared" si="125"/>
        <v>0.70917091307894986</v>
      </c>
      <c r="V187" s="24">
        <f t="shared" si="125"/>
        <v>0.68829641246814355</v>
      </c>
      <c r="W187" s="24">
        <f t="shared" si="125"/>
        <v>0.68740036032299456</v>
      </c>
      <c r="X187" s="24">
        <f t="shared" si="125"/>
        <v>0.69333089426645067</v>
      </c>
      <c r="Y187" s="24">
        <f t="shared" si="125"/>
        <v>0.73650723699613019</v>
      </c>
      <c r="Z187" s="24">
        <f t="shared" si="125"/>
        <v>0.73224966958701787</v>
      </c>
    </row>
    <row r="188" spans="1:26">
      <c r="A188" s="21" t="s">
        <v>3743</v>
      </c>
      <c r="B188" s="23">
        <f>CUMBRIA!D9</f>
        <v>41639</v>
      </c>
      <c r="C188" s="23">
        <f>CUMBRIA!E9</f>
        <v>41638</v>
      </c>
      <c r="D188" s="23">
        <f>CUMBRIA!F9</f>
        <v>41610</v>
      </c>
      <c r="E188" s="23">
        <f>CUMBRIA!G9</f>
        <v>41576</v>
      </c>
      <c r="F188" s="23">
        <f>CUMBRIA!H9</f>
        <v>41109</v>
      </c>
      <c r="G188" s="23">
        <f>CUMBRIA!I9</f>
        <v>41083</v>
      </c>
      <c r="H188" s="23">
        <f>CUMBRIA!J9</f>
        <v>40434</v>
      </c>
      <c r="I188" s="23">
        <f>CUMBRIA!K9</f>
        <v>41203</v>
      </c>
      <c r="J188" s="23">
        <f>CUMBRIA!L9</f>
        <v>42005</v>
      </c>
      <c r="K188" s="23">
        <f>CUMBRIA!M9</f>
        <v>41525</v>
      </c>
      <c r="L188" s="23">
        <f>CUMBRIA!N9</f>
        <v>42482</v>
      </c>
      <c r="M188" s="23">
        <f>CUMBRIA!O9</f>
        <v>42739</v>
      </c>
      <c r="N188" s="16"/>
      <c r="O188" s="24">
        <f t="shared" si="125"/>
        <v>0.54837222778275296</v>
      </c>
      <c r="P188" s="24">
        <f t="shared" si="125"/>
        <v>0.54328623060763825</v>
      </c>
      <c r="Q188" s="24">
        <f t="shared" si="125"/>
        <v>0.53982174595555321</v>
      </c>
      <c r="R188" s="24">
        <f t="shared" si="125"/>
        <v>0.53650605208145141</v>
      </c>
      <c r="S188" s="24">
        <f t="shared" si="125"/>
        <v>0.53295563564705573</v>
      </c>
      <c r="T188" s="24">
        <f t="shared" si="125"/>
        <v>0.54217805579750311</v>
      </c>
      <c r="U188" s="24">
        <f t="shared" si="125"/>
        <v>0.54078561970870276</v>
      </c>
      <c r="V188" s="24">
        <f t="shared" si="125"/>
        <v>0.53849571979350452</v>
      </c>
      <c r="W188" s="24">
        <f t="shared" si="125"/>
        <v>0.54443767578707247</v>
      </c>
      <c r="X188" s="24">
        <f t="shared" si="125"/>
        <v>0.54258349448596666</v>
      </c>
      <c r="Y188" s="24">
        <f t="shared" si="125"/>
        <v>0.58504675471334333</v>
      </c>
      <c r="Z188" s="24">
        <f t="shared" si="125"/>
        <v>0.58233073998882723</v>
      </c>
    </row>
    <row r="189" spans="1:26">
      <c r="A189" s="21" t="s">
        <v>2338</v>
      </c>
      <c r="B189" s="23">
        <f>CUMBRIA!D10</f>
        <v>83025</v>
      </c>
      <c r="C189" s="23">
        <f>CUMBRIA!E10</f>
        <v>82532</v>
      </c>
      <c r="D189" s="23">
        <f>CUMBRIA!F10</f>
        <v>82423</v>
      </c>
      <c r="E189" s="23">
        <f>CUMBRIA!G10</f>
        <v>82783</v>
      </c>
      <c r="F189" s="23">
        <f>CUMBRIA!H10</f>
        <v>79729</v>
      </c>
      <c r="G189" s="23">
        <f>CUMBRIA!I10</f>
        <v>80278</v>
      </c>
      <c r="H189" s="23">
        <f>CUMBRIA!J10</f>
        <v>79163</v>
      </c>
      <c r="I189" s="23">
        <f>CUMBRIA!K10</f>
        <v>80932</v>
      </c>
      <c r="J189" s="23">
        <f>CUMBRIA!L10</f>
        <v>82011</v>
      </c>
      <c r="K189" s="23">
        <f>CUMBRIA!M10</f>
        <v>81620</v>
      </c>
      <c r="L189" s="23">
        <f>CUMBRIA!N10</f>
        <v>82752</v>
      </c>
      <c r="M189" s="23">
        <f>CUMBRIA!O10</f>
        <v>82892</v>
      </c>
      <c r="N189" s="16"/>
      <c r="O189" s="24">
        <f t="shared" si="125"/>
        <v>1.0934125269978401</v>
      </c>
      <c r="P189" s="24">
        <f t="shared" si="125"/>
        <v>1.0768648634542868</v>
      </c>
      <c r="Q189" s="24">
        <f t="shared" si="125"/>
        <v>1.0693037194639405</v>
      </c>
      <c r="R189" s="24">
        <f t="shared" si="125"/>
        <v>1.0682504451957571</v>
      </c>
      <c r="S189" s="24">
        <f t="shared" si="125"/>
        <v>1.0336427515751809</v>
      </c>
      <c r="T189" s="24">
        <f t="shared" si="125"/>
        <v>1.0594399134267691</v>
      </c>
      <c r="U189" s="24">
        <f t="shared" si="125"/>
        <v>1.0587676710936351</v>
      </c>
      <c r="V189" s="24">
        <f t="shared" si="125"/>
        <v>1.0577272430242437</v>
      </c>
      <c r="W189" s="24">
        <f t="shared" si="125"/>
        <v>1.0629657952380336</v>
      </c>
      <c r="X189" s="24">
        <f t="shared" si="125"/>
        <v>1.0664819944598338</v>
      </c>
      <c r="Y189" s="24">
        <f t="shared" si="125"/>
        <v>1.139630644650407</v>
      </c>
      <c r="Z189" s="24">
        <f t="shared" si="125"/>
        <v>1.1294265120651834</v>
      </c>
    </row>
    <row r="190" spans="1:26">
      <c r="A190" s="21" t="s">
        <v>2339</v>
      </c>
      <c r="B190" s="23">
        <f t="shared" ref="B190:G190" si="126">SUM(B184:B189)</f>
        <v>390360</v>
      </c>
      <c r="C190" s="23">
        <f t="shared" si="126"/>
        <v>390370</v>
      </c>
      <c r="D190" s="23">
        <f t="shared" si="126"/>
        <v>390998</v>
      </c>
      <c r="E190" s="23">
        <f t="shared" si="126"/>
        <v>392012</v>
      </c>
      <c r="F190" s="23">
        <f t="shared" si="126"/>
        <v>379590</v>
      </c>
      <c r="G190" s="23">
        <f t="shared" si="126"/>
        <v>379431</v>
      </c>
      <c r="H190" s="23">
        <f t="shared" ref="H190:M190" si="127">SUM(H184:H189)</f>
        <v>373997</v>
      </c>
      <c r="I190" s="23">
        <f t="shared" si="127"/>
        <v>376963</v>
      </c>
      <c r="J190" s="23">
        <f t="shared" si="127"/>
        <v>385663</v>
      </c>
      <c r="K190" s="23">
        <f t="shared" si="127"/>
        <v>385426</v>
      </c>
      <c r="L190" s="23">
        <f t="shared" si="127"/>
        <v>387535</v>
      </c>
      <c r="M190" s="23">
        <f t="shared" si="127"/>
        <v>389717</v>
      </c>
      <c r="N190" s="16"/>
      <c r="O190" s="24">
        <f t="shared" si="125"/>
        <v>5.1409155560238107</v>
      </c>
      <c r="P190" s="24">
        <f t="shared" si="125"/>
        <v>5.0934878198353362</v>
      </c>
      <c r="Q190" s="24">
        <f t="shared" si="125"/>
        <v>5.072560034249685</v>
      </c>
      <c r="R190" s="24">
        <f t="shared" si="125"/>
        <v>5.0586109892378763</v>
      </c>
      <c r="S190" s="24">
        <f t="shared" si="125"/>
        <v>4.9211761350377268</v>
      </c>
      <c r="T190" s="24">
        <f t="shared" si="125"/>
        <v>5.0074035949006257</v>
      </c>
      <c r="U190" s="24">
        <f t="shared" si="125"/>
        <v>5.0020329280851694</v>
      </c>
      <c r="V190" s="24">
        <f t="shared" si="125"/>
        <v>4.9266549042671368</v>
      </c>
      <c r="W190" s="24">
        <f t="shared" si="125"/>
        <v>4.9986779516026596</v>
      </c>
      <c r="X190" s="24">
        <f t="shared" si="125"/>
        <v>5.0361417446296972</v>
      </c>
      <c r="Y190" s="24">
        <f t="shared" si="125"/>
        <v>5.3369919986779228</v>
      </c>
      <c r="Z190" s="24">
        <f t="shared" si="125"/>
        <v>5.3100023162971945</v>
      </c>
    </row>
    <row r="191" spans="1:26">
      <c r="A191" s="16"/>
      <c r="B191" s="16"/>
      <c r="C191" s="16"/>
      <c r="D191" s="16"/>
      <c r="E191" s="16"/>
      <c r="F191" s="16"/>
      <c r="G191" s="16"/>
      <c r="H191" s="16"/>
      <c r="I191" s="16"/>
      <c r="J191" s="16"/>
      <c r="K191" s="16"/>
      <c r="L191" s="16"/>
      <c r="M191" s="16"/>
      <c r="N191" s="16"/>
    </row>
    <row r="192" spans="1:26">
      <c r="A192" s="21" t="s">
        <v>5089</v>
      </c>
      <c r="B192" s="23">
        <f>'GREATER MANCHESTER'!D5</f>
        <v>196202</v>
      </c>
      <c r="C192" s="23">
        <f>'GREATER MANCHESTER'!E5</f>
        <v>196180</v>
      </c>
      <c r="D192" s="23">
        <f>'GREATER MANCHESTER'!F5</f>
        <v>195499</v>
      </c>
      <c r="E192" s="23">
        <f>'GREATER MANCHESTER'!G5</f>
        <v>196620</v>
      </c>
      <c r="F192" s="23">
        <f>'GREATER MANCHESTER'!H5</f>
        <v>196840</v>
      </c>
      <c r="G192" s="23">
        <f>'GREATER MANCHESTER'!I5</f>
        <v>196320</v>
      </c>
      <c r="H192" s="23">
        <f>'GREATER MANCHESTER'!J5</f>
        <v>188874</v>
      </c>
      <c r="I192" s="23">
        <f>'GREATER MANCHESTER'!K5</f>
        <v>193297</v>
      </c>
      <c r="J192" s="23">
        <f>'GREATER MANCHESTER'!L5</f>
        <v>194950</v>
      </c>
      <c r="K192" s="23">
        <f>'GREATER MANCHESTER'!M5</f>
        <v>192419</v>
      </c>
      <c r="L192" s="23">
        <f>'GREATER MANCHESTER'!N5</f>
        <v>200213</v>
      </c>
      <c r="M192" s="23">
        <f>'GREATER MANCHESTER'!O5</f>
        <v>198553</v>
      </c>
      <c r="N192" s="16"/>
      <c r="O192" s="24">
        <f t="shared" ref="O192:O202" si="128">B192/B$451</f>
        <v>2.5839171890638992</v>
      </c>
      <c r="P192" s="24">
        <f t="shared" ref="P192:P202" si="129">C192/C$451</f>
        <v>2.5597265171383463</v>
      </c>
      <c r="Q192" s="24">
        <f t="shared" ref="Q192:Q202" si="130">D192/D$451</f>
        <v>2.5362800171248425</v>
      </c>
      <c r="R192" s="24">
        <f t="shared" ref="R192:R202" si="131">E192/E$451</f>
        <v>2.5372286886726716</v>
      </c>
      <c r="S192" s="24">
        <f t="shared" ref="S192:S202" si="132">F192/F$451</f>
        <v>2.5519226281536027</v>
      </c>
      <c r="T192" s="24">
        <f t="shared" ref="T192:T202" si="133">G192/G$451</f>
        <v>2.5908623010531318</v>
      </c>
      <c r="U192" s="24">
        <f t="shared" ref="U192:U202" si="134">H192/H$451</f>
        <v>2.5261003891987319</v>
      </c>
      <c r="V192" s="24">
        <f t="shared" ref="V192:V202" si="135">I192/I$451</f>
        <v>2.5262628242828202</v>
      </c>
      <c r="W192" s="24">
        <f t="shared" ref="W192:W202" si="136">J192/J$451</f>
        <v>2.5267974025637372</v>
      </c>
      <c r="X192" s="24">
        <f t="shared" ref="X192:X202" si="137">K192/K$451</f>
        <v>2.5142293419745987</v>
      </c>
      <c r="Y192" s="24">
        <f t="shared" ref="Y192:Y202" si="138">L192/L$451</f>
        <v>2.7572610964978721</v>
      </c>
      <c r="Z192" s="24">
        <f t="shared" ref="Z192:Z202" si="139">M192/M$451</f>
        <v>2.705339746297331</v>
      </c>
    </row>
    <row r="193" spans="1:26">
      <c r="A193" s="21" t="s">
        <v>5090</v>
      </c>
      <c r="B193" s="23">
        <f>'GREATER MANCHESTER'!D6</f>
        <v>141734</v>
      </c>
      <c r="C193" s="23">
        <f>'GREATER MANCHESTER'!E6</f>
        <v>143051</v>
      </c>
      <c r="D193" s="23">
        <f>'GREATER MANCHESTER'!F6</f>
        <v>143109</v>
      </c>
      <c r="E193" s="23">
        <f>'GREATER MANCHESTER'!G6</f>
        <v>143450</v>
      </c>
      <c r="F193" s="23">
        <f>'GREATER MANCHESTER'!H6</f>
        <v>143181</v>
      </c>
      <c r="G193" s="23">
        <f>'GREATER MANCHESTER'!I6</f>
        <v>140417</v>
      </c>
      <c r="H193" s="23">
        <f>'GREATER MANCHESTER'!J6</f>
        <v>134649</v>
      </c>
      <c r="I193" s="23">
        <f>'GREATER MANCHESTER'!K6</f>
        <v>138465</v>
      </c>
      <c r="J193" s="23">
        <f>'GREATER MANCHESTER'!L6</f>
        <v>139521</v>
      </c>
      <c r="K193" s="23">
        <f>'GREATER MANCHESTER'!M6</f>
        <v>139264</v>
      </c>
      <c r="L193" s="23">
        <f>'GREATER MANCHESTER'!N6</f>
        <v>144969</v>
      </c>
      <c r="M193" s="23">
        <f>'GREATER MANCHESTER'!O6</f>
        <v>142920</v>
      </c>
      <c r="N193" s="16"/>
      <c r="O193" s="24">
        <f t="shared" si="128"/>
        <v>1.8665911605120371</v>
      </c>
      <c r="P193" s="24">
        <f t="shared" si="129"/>
        <v>1.8665074829399408</v>
      </c>
      <c r="Q193" s="24">
        <f t="shared" si="130"/>
        <v>1.8566053891361036</v>
      </c>
      <c r="R193" s="24">
        <f t="shared" si="131"/>
        <v>1.8511110537590008</v>
      </c>
      <c r="S193" s="24">
        <f t="shared" si="132"/>
        <v>1.8562631265071174</v>
      </c>
      <c r="T193" s="24">
        <f t="shared" si="133"/>
        <v>1.8531026473460555</v>
      </c>
      <c r="U193" s="24">
        <f t="shared" si="134"/>
        <v>1.800866669341572</v>
      </c>
      <c r="V193" s="24">
        <f t="shared" si="135"/>
        <v>1.8096451676141934</v>
      </c>
      <c r="W193" s="24">
        <f t="shared" si="136"/>
        <v>1.8083677886796365</v>
      </c>
      <c r="X193" s="24">
        <f t="shared" si="137"/>
        <v>1.8196832697433754</v>
      </c>
      <c r="Y193" s="24">
        <f t="shared" si="138"/>
        <v>1.996460688857367</v>
      </c>
      <c r="Z193" s="24">
        <f t="shared" si="139"/>
        <v>1.9473246767402885</v>
      </c>
    </row>
    <row r="194" spans="1:26">
      <c r="A194" s="21" t="s">
        <v>5091</v>
      </c>
      <c r="B194" s="23">
        <f>'GREATER MANCHESTER'!D7</f>
        <v>336366</v>
      </c>
      <c r="C194" s="23">
        <f>'GREATER MANCHESTER'!E7</f>
        <v>343889</v>
      </c>
      <c r="D194" s="23">
        <f>'GREATER MANCHESTER'!F7</f>
        <v>351324</v>
      </c>
      <c r="E194" s="23">
        <f>'GREATER MANCHESTER'!G7</f>
        <v>353684</v>
      </c>
      <c r="F194" s="23">
        <f>'GREATER MANCHESTER'!H7</f>
        <v>358357</v>
      </c>
      <c r="G194" s="23">
        <f>'GREATER MANCHESTER'!I7</f>
        <v>346080</v>
      </c>
      <c r="H194" s="23">
        <f>'GREATER MANCHESTER'!J7</f>
        <v>345660</v>
      </c>
      <c r="I194" s="23">
        <f>'GREATER MANCHESTER'!K7</f>
        <v>332071</v>
      </c>
      <c r="J194" s="23">
        <f>'GREATER MANCHESTER'!L7</f>
        <v>340724</v>
      </c>
      <c r="K194" s="23">
        <f>'GREATER MANCHESTER'!M7</f>
        <v>335201</v>
      </c>
      <c r="L194" s="23">
        <f>'GREATER MANCHESTER'!N7</f>
        <v>359363</v>
      </c>
      <c r="M194" s="23">
        <f>'GREATER MANCHESTER'!O7</f>
        <v>359185</v>
      </c>
      <c r="N194" s="16"/>
      <c r="O194" s="24">
        <f t="shared" si="128"/>
        <v>4.429831954907022</v>
      </c>
      <c r="P194" s="24">
        <f t="shared" si="129"/>
        <v>4.4870108688560952</v>
      </c>
      <c r="Q194" s="24">
        <f t="shared" si="130"/>
        <v>4.5578547242511123</v>
      </c>
      <c r="R194" s="24">
        <f t="shared" si="131"/>
        <v>4.5640178594471834</v>
      </c>
      <c r="S194" s="24">
        <f t="shared" si="132"/>
        <v>4.6459019368890502</v>
      </c>
      <c r="T194" s="24">
        <f t="shared" si="133"/>
        <v>4.5672658167709237</v>
      </c>
      <c r="U194" s="24">
        <f t="shared" si="134"/>
        <v>4.6230389599967898</v>
      </c>
      <c r="V194" s="24">
        <f t="shared" si="135"/>
        <v>4.3399464157354766</v>
      </c>
      <c r="W194" s="24">
        <f t="shared" si="136"/>
        <v>4.416211942503856</v>
      </c>
      <c r="X194" s="24">
        <f t="shared" si="137"/>
        <v>4.3798803115036851</v>
      </c>
      <c r="Y194" s="24">
        <f t="shared" si="138"/>
        <v>4.9490173935796617</v>
      </c>
      <c r="Z194" s="24">
        <f t="shared" si="139"/>
        <v>4.8939953401550556</v>
      </c>
    </row>
    <row r="195" spans="1:26">
      <c r="A195" s="21" t="s">
        <v>5092</v>
      </c>
      <c r="B195" s="23">
        <f>'GREATER MANCHESTER'!D8</f>
        <v>160184</v>
      </c>
      <c r="C195" s="23">
        <f>'GREATER MANCHESTER'!E8</f>
        <v>160369</v>
      </c>
      <c r="D195" s="23">
        <f>'GREATER MANCHESTER'!F8</f>
        <v>158724</v>
      </c>
      <c r="E195" s="23">
        <f>'GREATER MANCHESTER'!G8</f>
        <v>160486</v>
      </c>
      <c r="F195" s="23">
        <f>'GREATER MANCHESTER'!H8</f>
        <v>160329</v>
      </c>
      <c r="G195" s="23">
        <f>'GREATER MANCHESTER'!I8</f>
        <v>155990</v>
      </c>
      <c r="H195" s="23">
        <f>'GREATER MANCHESTER'!J8</f>
        <v>153751</v>
      </c>
      <c r="I195" s="23">
        <f>'GREATER MANCHESTER'!K8</f>
        <v>156597</v>
      </c>
      <c r="J195" s="23">
        <f>'GREATER MANCHESTER'!L8</f>
        <v>157063</v>
      </c>
      <c r="K195" s="23">
        <f>'GREATER MANCHESTER'!M8</f>
        <v>156750</v>
      </c>
      <c r="L195" s="23">
        <f>'GREATER MANCHESTER'!N8</f>
        <v>162027</v>
      </c>
      <c r="M195" s="23">
        <f>'GREATER MANCHESTER'!O8</f>
        <v>162830</v>
      </c>
      <c r="N195" s="16"/>
      <c r="O195" s="24">
        <f t="shared" si="128"/>
        <v>2.1095717220671126</v>
      </c>
      <c r="P195" s="24">
        <f t="shared" si="129"/>
        <v>2.0924700878120066</v>
      </c>
      <c r="Q195" s="24">
        <f t="shared" si="130"/>
        <v>2.0591844942333388</v>
      </c>
      <c r="R195" s="24">
        <f t="shared" si="131"/>
        <v>2.0709474281879889</v>
      </c>
      <c r="S195" s="24">
        <f t="shared" si="132"/>
        <v>2.0785775403842663</v>
      </c>
      <c r="T195" s="24">
        <f t="shared" si="133"/>
        <v>2.0586216908174308</v>
      </c>
      <c r="U195" s="24">
        <f t="shared" si="134"/>
        <v>2.0563468817290587</v>
      </c>
      <c r="V195" s="24">
        <f t="shared" si="135"/>
        <v>2.0466183101352677</v>
      </c>
      <c r="W195" s="24">
        <f t="shared" si="136"/>
        <v>2.0357341905045816</v>
      </c>
      <c r="X195" s="24">
        <f t="shared" si="137"/>
        <v>2.0481628599801391</v>
      </c>
      <c r="Y195" s="24">
        <f t="shared" si="138"/>
        <v>2.2313773015851157</v>
      </c>
      <c r="Z195" s="24">
        <f t="shared" si="139"/>
        <v>2.2186039540555638</v>
      </c>
    </row>
    <row r="196" spans="1:26">
      <c r="A196" s="21" t="s">
        <v>5093</v>
      </c>
      <c r="B196" s="23">
        <f>'GREATER MANCHESTER'!D9</f>
        <v>156502</v>
      </c>
      <c r="C196" s="23">
        <f>'GREATER MANCHESTER'!E9</f>
        <v>157335</v>
      </c>
      <c r="D196" s="23">
        <f>'GREATER MANCHESTER'!F9</f>
        <v>157055</v>
      </c>
      <c r="E196" s="23">
        <f>'GREATER MANCHESTER'!G9</f>
        <v>158823</v>
      </c>
      <c r="F196" s="23">
        <f>'GREATER MANCHESTER'!H9</f>
        <v>157282</v>
      </c>
      <c r="G196" s="23">
        <f>'GREATER MANCHESTER'!I9</f>
        <v>157278</v>
      </c>
      <c r="H196" s="23">
        <f>'GREATER MANCHESTER'!J9</f>
        <v>148410</v>
      </c>
      <c r="I196" s="23">
        <f>'GREATER MANCHESTER'!K9</f>
        <v>155201</v>
      </c>
      <c r="J196" s="23">
        <f>'GREATER MANCHESTER'!L9</f>
        <v>157319</v>
      </c>
      <c r="K196" s="23">
        <f>'GREATER MANCHESTER'!M9</f>
        <v>156851</v>
      </c>
      <c r="L196" s="23">
        <f>'GREATER MANCHESTER'!N9</f>
        <v>160557</v>
      </c>
      <c r="M196" s="23">
        <f>'GREATER MANCHESTER'!O9</f>
        <v>160770</v>
      </c>
      <c r="N196" s="16"/>
      <c r="O196" s="24">
        <f t="shared" si="128"/>
        <v>2.0610809671811623</v>
      </c>
      <c r="P196" s="24">
        <f t="shared" si="129"/>
        <v>2.0528829216737776</v>
      </c>
      <c r="Q196" s="24">
        <f t="shared" si="130"/>
        <v>2.0375319469129876</v>
      </c>
      <c r="R196" s="24">
        <f t="shared" si="131"/>
        <v>2.0494877022737246</v>
      </c>
      <c r="S196" s="24">
        <f t="shared" si="132"/>
        <v>2.0390748567428112</v>
      </c>
      <c r="T196" s="24">
        <f t="shared" si="133"/>
        <v>2.0756196056694907</v>
      </c>
      <c r="U196" s="24">
        <f t="shared" si="134"/>
        <v>1.984913533683746</v>
      </c>
      <c r="V196" s="24">
        <f t="shared" si="135"/>
        <v>2.028373521531726</v>
      </c>
      <c r="W196" s="24">
        <f t="shared" si="136"/>
        <v>2.03905227275673</v>
      </c>
      <c r="X196" s="24">
        <f t="shared" si="137"/>
        <v>2.0494825693827416</v>
      </c>
      <c r="Y196" s="24">
        <f t="shared" si="138"/>
        <v>2.2111329927148033</v>
      </c>
      <c r="Z196" s="24">
        <f t="shared" si="139"/>
        <v>2.1905358821685992</v>
      </c>
    </row>
    <row r="197" spans="1:26">
      <c r="A197" s="21" t="s">
        <v>5094</v>
      </c>
      <c r="B197" s="23">
        <f>'GREATER MANCHESTER'!D10</f>
        <v>162868</v>
      </c>
      <c r="C197" s="23">
        <f>'GREATER MANCHESTER'!E10</f>
        <v>165689</v>
      </c>
      <c r="D197" s="23">
        <f>'GREATER MANCHESTER'!F10</f>
        <v>167566</v>
      </c>
      <c r="E197" s="23">
        <f>'GREATER MANCHESTER'!G10</f>
        <v>168738</v>
      </c>
      <c r="F197" s="23">
        <f>'GREATER MANCHESTER'!H10</f>
        <v>169093</v>
      </c>
      <c r="G197" s="23">
        <f>'GREATER MANCHESTER'!I10</f>
        <v>159585</v>
      </c>
      <c r="H197" s="23">
        <f>'GREATER MANCHESTER'!J10</f>
        <v>162645</v>
      </c>
      <c r="I197" s="23">
        <f>'GREATER MANCHESTER'!K10</f>
        <v>162307</v>
      </c>
      <c r="J197" s="23">
        <f>'GREATER MANCHESTER'!L10</f>
        <v>165286</v>
      </c>
      <c r="K197" s="23">
        <f>'GREATER MANCHESTER'!M10</f>
        <v>164465</v>
      </c>
      <c r="L197" s="23">
        <f>'GREATER MANCHESTER'!N10</f>
        <v>180748</v>
      </c>
      <c r="M197" s="23">
        <f>'GREATER MANCHESTER'!O10</f>
        <v>174181</v>
      </c>
      <c r="N197" s="16"/>
      <c r="O197" s="24">
        <f t="shared" si="128"/>
        <v>2.1449191381762631</v>
      </c>
      <c r="P197" s="24">
        <f t="shared" si="129"/>
        <v>2.1618846309416631</v>
      </c>
      <c r="Q197" s="24">
        <f t="shared" si="130"/>
        <v>2.1738949935781839</v>
      </c>
      <c r="R197" s="24">
        <f t="shared" si="131"/>
        <v>2.177433091594188</v>
      </c>
      <c r="S197" s="24">
        <f t="shared" si="132"/>
        <v>2.1921979931029116</v>
      </c>
      <c r="T197" s="24">
        <f t="shared" si="133"/>
        <v>2.1060654050201917</v>
      </c>
      <c r="U197" s="24">
        <f t="shared" si="134"/>
        <v>2.1752999237651967</v>
      </c>
      <c r="V197" s="24">
        <f t="shared" si="135"/>
        <v>2.1212442004835652</v>
      </c>
      <c r="W197" s="24">
        <f t="shared" si="136"/>
        <v>2.1423146215960496</v>
      </c>
      <c r="X197" s="24">
        <f t="shared" si="137"/>
        <v>2.1489703653373753</v>
      </c>
      <c r="Y197" s="24">
        <f t="shared" si="138"/>
        <v>2.4891961494498229</v>
      </c>
      <c r="Z197" s="24">
        <f t="shared" si="139"/>
        <v>2.3732644802637854</v>
      </c>
    </row>
    <row r="198" spans="1:26">
      <c r="A198" s="21" t="s">
        <v>5095</v>
      </c>
      <c r="B198" s="23">
        <f>'GREATER MANCHESTER'!D11</f>
        <v>218383</v>
      </c>
      <c r="C198" s="23">
        <f>'GREATER MANCHESTER'!E11</f>
        <v>217872</v>
      </c>
      <c r="D198" s="23">
        <f>'GREATER MANCHESTER'!F11</f>
        <v>220277</v>
      </c>
      <c r="E198" s="23">
        <f>'GREATER MANCHESTER'!G11</f>
        <v>221580</v>
      </c>
      <c r="F198" s="23">
        <f>'GREATER MANCHESTER'!H11</f>
        <v>219880</v>
      </c>
      <c r="G198" s="23">
        <f>'GREATER MANCHESTER'!I11</f>
        <v>220746</v>
      </c>
      <c r="H198" s="23">
        <f>'GREATER MANCHESTER'!J11</f>
        <v>211848</v>
      </c>
      <c r="I198" s="23">
        <f>'GREATER MANCHESTER'!K11</f>
        <v>216687</v>
      </c>
      <c r="J198" s="23">
        <f>'GREATER MANCHESTER'!L11</f>
        <v>218294</v>
      </c>
      <c r="K198" s="23">
        <f>'GREATER MANCHESTER'!M11</f>
        <v>217619</v>
      </c>
      <c r="L198" s="23">
        <f>'GREATER MANCHESTER'!N11</f>
        <v>226057</v>
      </c>
      <c r="M198" s="23">
        <f>'GREATER MANCHESTER'!O11</f>
        <v>221485</v>
      </c>
      <c r="N198" s="16"/>
      <c r="O198" s="24">
        <f t="shared" si="128"/>
        <v>2.8760338197334456</v>
      </c>
      <c r="P198" s="24">
        <f t="shared" si="129"/>
        <v>2.8427604023955846</v>
      </c>
      <c r="Q198" s="24">
        <f t="shared" si="130"/>
        <v>2.8577340719502859</v>
      </c>
      <c r="R198" s="24">
        <f t="shared" si="131"/>
        <v>2.8593181407592847</v>
      </c>
      <c r="S198" s="24">
        <f t="shared" si="132"/>
        <v>2.8506235901159021</v>
      </c>
      <c r="T198" s="24">
        <f t="shared" si="133"/>
        <v>2.9132156148546997</v>
      </c>
      <c r="U198" s="24">
        <f t="shared" si="134"/>
        <v>2.8333667696505236</v>
      </c>
      <c r="V198" s="24">
        <f t="shared" si="135"/>
        <v>2.8319545187218194</v>
      </c>
      <c r="W198" s="24">
        <f t="shared" si="136"/>
        <v>2.8293650279315128</v>
      </c>
      <c r="X198" s="24">
        <f t="shared" si="137"/>
        <v>2.84350337113887</v>
      </c>
      <c r="Y198" s="24">
        <f t="shared" si="138"/>
        <v>3.113175326732128</v>
      </c>
      <c r="Z198" s="24">
        <f t="shared" si="139"/>
        <v>3.0177946125652308</v>
      </c>
    </row>
    <row r="199" spans="1:26">
      <c r="A199" s="21" t="s">
        <v>5096</v>
      </c>
      <c r="B199" s="23">
        <f>'GREATER MANCHESTER'!D12</f>
        <v>164902</v>
      </c>
      <c r="C199" s="23">
        <f>'GREATER MANCHESTER'!E12</f>
        <v>168321</v>
      </c>
      <c r="D199" s="23">
        <f>'GREATER MANCHESTER'!F12</f>
        <v>166636</v>
      </c>
      <c r="E199" s="23">
        <f>'GREATER MANCHESTER'!G12</f>
        <v>165961</v>
      </c>
      <c r="F199" s="23">
        <f>'GREATER MANCHESTER'!H12</f>
        <v>169561</v>
      </c>
      <c r="G199" s="23">
        <f>'GREATER MANCHESTER'!I12</f>
        <v>166761</v>
      </c>
      <c r="H199" s="23">
        <f>'GREATER MANCHESTER'!J12</f>
        <v>163976</v>
      </c>
      <c r="I199" s="23">
        <f>'GREATER MANCHESTER'!K12</f>
        <v>167545</v>
      </c>
      <c r="J199" s="23">
        <f>'GREATER MANCHESTER'!L12</f>
        <v>168472</v>
      </c>
      <c r="K199" s="23">
        <f>'GREATER MANCHESTER'!M12</f>
        <v>168775</v>
      </c>
      <c r="L199" s="23">
        <f>'GREATER MANCHESTER'!N12</f>
        <v>171554</v>
      </c>
      <c r="M199" s="23">
        <f>'GREATER MANCHESTER'!O12</f>
        <v>171507</v>
      </c>
      <c r="N199" s="16"/>
      <c r="O199" s="24">
        <f t="shared" si="128"/>
        <v>2.1717062634989199</v>
      </c>
      <c r="P199" s="24">
        <f t="shared" si="129"/>
        <v>2.1962265628058089</v>
      </c>
      <c r="Q199" s="24">
        <f t="shared" si="130"/>
        <v>2.1618297634955437</v>
      </c>
      <c r="R199" s="24">
        <f t="shared" si="131"/>
        <v>2.1415980592045836</v>
      </c>
      <c r="S199" s="24">
        <f t="shared" si="132"/>
        <v>2.198265356392771</v>
      </c>
      <c r="T199" s="24">
        <f t="shared" si="133"/>
        <v>2.2007680734816693</v>
      </c>
      <c r="U199" s="24">
        <f t="shared" si="134"/>
        <v>2.1931014190373017</v>
      </c>
      <c r="V199" s="24">
        <f t="shared" si="135"/>
        <v>2.1897013657452788</v>
      </c>
      <c r="W199" s="24">
        <f t="shared" si="136"/>
        <v>2.1836091921247394</v>
      </c>
      <c r="X199" s="24">
        <f t="shared" si="137"/>
        <v>2.2052866774682487</v>
      </c>
      <c r="Y199" s="24">
        <f t="shared" si="138"/>
        <v>2.3625797033589029</v>
      </c>
      <c r="Z199" s="24">
        <f t="shared" si="139"/>
        <v>2.3368304879211914</v>
      </c>
    </row>
    <row r="200" spans="1:26">
      <c r="A200" s="21" t="s">
        <v>5097</v>
      </c>
      <c r="B200" s="23">
        <f>'GREATER MANCHESTER'!D13</f>
        <v>164342</v>
      </c>
      <c r="C200" s="23">
        <f>'GREATER MANCHESTER'!E13</f>
        <v>165686</v>
      </c>
      <c r="D200" s="23">
        <f>'GREATER MANCHESTER'!F13</f>
        <v>158458</v>
      </c>
      <c r="E200" s="23">
        <f>'GREATER MANCHESTER'!G13</f>
        <v>158924</v>
      </c>
      <c r="F200" s="23">
        <f>'GREATER MANCHESTER'!H13</f>
        <v>160141</v>
      </c>
      <c r="G200" s="23">
        <f>'GREATER MANCHESTER'!I13</f>
        <v>158831</v>
      </c>
      <c r="H200" s="23">
        <f>'GREATER MANCHESTER'!J13</f>
        <v>159419</v>
      </c>
      <c r="I200" s="23">
        <f>'GREATER MANCHESTER'!K13</f>
        <v>162852</v>
      </c>
      <c r="J200" s="23">
        <f>'GREATER MANCHESTER'!L13</f>
        <v>165628</v>
      </c>
      <c r="K200" s="23">
        <f>'GREATER MANCHESTER'!M13</f>
        <v>165141</v>
      </c>
      <c r="L200" s="23">
        <f>'GREATER MANCHESTER'!N13</f>
        <v>170420</v>
      </c>
      <c r="M200" s="23">
        <f>'GREATER MANCHESTER'!O13</f>
        <v>170612</v>
      </c>
      <c r="N200" s="16"/>
      <c r="O200" s="24">
        <f t="shared" si="128"/>
        <v>2.1643312437444027</v>
      </c>
      <c r="P200" s="24">
        <f t="shared" si="129"/>
        <v>2.1618454874023043</v>
      </c>
      <c r="Q200" s="24">
        <f t="shared" si="130"/>
        <v>2.0557335789623901</v>
      </c>
      <c r="R200" s="24">
        <f t="shared" si="131"/>
        <v>2.0507910289828888</v>
      </c>
      <c r="S200" s="24">
        <f t="shared" si="132"/>
        <v>2.0761402235071436</v>
      </c>
      <c r="T200" s="24">
        <f t="shared" si="133"/>
        <v>2.0961147623195293</v>
      </c>
      <c r="U200" s="24">
        <f t="shared" si="134"/>
        <v>2.1321537000628603</v>
      </c>
      <c r="V200" s="24">
        <f t="shared" si="135"/>
        <v>2.1283669868653203</v>
      </c>
      <c r="W200" s="24">
        <f t="shared" si="136"/>
        <v>2.146747372104779</v>
      </c>
      <c r="X200" s="24">
        <f t="shared" si="137"/>
        <v>2.1578032718340041</v>
      </c>
      <c r="Y200" s="24">
        <f t="shared" si="138"/>
        <v>2.3469626650875188</v>
      </c>
      <c r="Z200" s="24">
        <f t="shared" si="139"/>
        <v>2.3246358644557383</v>
      </c>
    </row>
    <row r="201" spans="1:26">
      <c r="A201" s="21" t="s">
        <v>5098</v>
      </c>
      <c r="B201" s="23">
        <f>'GREATER MANCHESTER'!D14</f>
        <v>234430</v>
      </c>
      <c r="C201" s="23">
        <f>'GREATER MANCHESTER'!E14</f>
        <v>239598</v>
      </c>
      <c r="D201" s="23">
        <f>'GREATER MANCHESTER'!F14</f>
        <v>241713</v>
      </c>
      <c r="E201" s="23">
        <f>'GREATER MANCHESTER'!G14</f>
        <v>243181</v>
      </c>
      <c r="F201" s="23">
        <f>'GREATER MANCHESTER'!H14</f>
        <v>243386</v>
      </c>
      <c r="G201" s="23">
        <f>'GREATER MANCHESTER'!I14</f>
        <v>231622</v>
      </c>
      <c r="H201" s="23">
        <f>'GREATER MANCHESTER'!J14</f>
        <v>227997</v>
      </c>
      <c r="I201" s="23">
        <f>'GREATER MANCHESTER'!K14</f>
        <v>231167</v>
      </c>
      <c r="J201" s="23">
        <f>'GREATER MANCHESTER'!L14</f>
        <v>233131</v>
      </c>
      <c r="K201" s="23">
        <f>'GREATER MANCHESTER'!M14</f>
        <v>231953</v>
      </c>
      <c r="L201" s="23">
        <f>'GREATER MANCHESTER'!N14</f>
        <v>238393</v>
      </c>
      <c r="M201" s="23">
        <f>'GREATER MANCHESTER'!O14</f>
        <v>238385</v>
      </c>
      <c r="N201" s="16"/>
      <c r="O201" s="24">
        <f t="shared" si="128"/>
        <v>3.0873676447347629</v>
      </c>
      <c r="P201" s="24">
        <f t="shared" si="129"/>
        <v>3.126237914432223</v>
      </c>
      <c r="Q201" s="24">
        <f t="shared" si="130"/>
        <v>3.1358311386723057</v>
      </c>
      <c r="R201" s="24">
        <f t="shared" si="131"/>
        <v>3.1380623015975431</v>
      </c>
      <c r="S201" s="24">
        <f t="shared" si="132"/>
        <v>3.1553659864651125</v>
      </c>
      <c r="T201" s="24">
        <f t="shared" si="133"/>
        <v>3.0567476970992691</v>
      </c>
      <c r="U201" s="24">
        <f t="shared" si="134"/>
        <v>3.0493520041728526</v>
      </c>
      <c r="V201" s="24">
        <f t="shared" si="135"/>
        <v>3.0211984578187283</v>
      </c>
      <c r="W201" s="24">
        <f t="shared" si="136"/>
        <v>3.0216712247093436</v>
      </c>
      <c r="X201" s="24">
        <f t="shared" si="137"/>
        <v>3.0307975748706424</v>
      </c>
      <c r="Y201" s="24">
        <f t="shared" si="138"/>
        <v>3.2830622615785052</v>
      </c>
      <c r="Z201" s="24">
        <f t="shared" si="139"/>
        <v>3.2480618042592617</v>
      </c>
    </row>
    <row r="202" spans="1:26">
      <c r="A202" s="21" t="s">
        <v>5099</v>
      </c>
      <c r="B202" s="23">
        <f t="shared" ref="B202:G202" si="140">SUM(B192:B201)</f>
        <v>1935913</v>
      </c>
      <c r="C202" s="23">
        <f t="shared" si="140"/>
        <v>1957990</v>
      </c>
      <c r="D202" s="23">
        <f t="shared" si="140"/>
        <v>1960361</v>
      </c>
      <c r="E202" s="23">
        <f t="shared" si="140"/>
        <v>1971447</v>
      </c>
      <c r="F202" s="23">
        <f t="shared" si="140"/>
        <v>1978050</v>
      </c>
      <c r="G202" s="23">
        <f t="shared" si="140"/>
        <v>1933630</v>
      </c>
      <c r="H202" s="23">
        <f t="shared" ref="H202:M202" si="141">SUM(H192:H201)</f>
        <v>1897229</v>
      </c>
      <c r="I202" s="23">
        <f t="shared" si="141"/>
        <v>1916189</v>
      </c>
      <c r="J202" s="23">
        <f t="shared" si="141"/>
        <v>1940388</v>
      </c>
      <c r="K202" s="23">
        <f t="shared" si="141"/>
        <v>1928438</v>
      </c>
      <c r="L202" s="23">
        <f t="shared" si="141"/>
        <v>2014301</v>
      </c>
      <c r="M202" s="23">
        <f t="shared" si="141"/>
        <v>2000428</v>
      </c>
      <c r="N202" s="16"/>
      <c r="O202" s="24">
        <f t="shared" si="128"/>
        <v>25.495351103619029</v>
      </c>
      <c r="P202" s="24">
        <f t="shared" si="129"/>
        <v>25.547552876397752</v>
      </c>
      <c r="Q202" s="24">
        <f t="shared" si="130"/>
        <v>25.432480118317095</v>
      </c>
      <c r="R202" s="24">
        <f t="shared" si="131"/>
        <v>25.439995354479056</v>
      </c>
      <c r="S202" s="24">
        <f t="shared" si="132"/>
        <v>25.644333238260689</v>
      </c>
      <c r="T202" s="24">
        <f t="shared" si="133"/>
        <v>25.518383614432391</v>
      </c>
      <c r="U202" s="24">
        <f t="shared" si="134"/>
        <v>25.374540250638635</v>
      </c>
      <c r="V202" s="24">
        <f t="shared" si="135"/>
        <v>25.043311768934196</v>
      </c>
      <c r="W202" s="24">
        <f t="shared" si="136"/>
        <v>25.149871035474966</v>
      </c>
      <c r="X202" s="24">
        <f t="shared" si="137"/>
        <v>25.197799613233681</v>
      </c>
      <c r="Y202" s="24">
        <f t="shared" si="138"/>
        <v>27.740225579441699</v>
      </c>
      <c r="Z202" s="24">
        <f t="shared" si="139"/>
        <v>27.256386848882045</v>
      </c>
    </row>
    <row r="203" spans="1:26">
      <c r="A203" s="16"/>
      <c r="N203" s="16"/>
      <c r="O203" s="24"/>
      <c r="P203" s="24"/>
      <c r="Q203" s="24"/>
      <c r="R203" s="24"/>
      <c r="S203" s="24"/>
      <c r="T203" s="24"/>
      <c r="U203" s="24"/>
      <c r="V203" s="24"/>
      <c r="W203" s="24"/>
      <c r="X203" s="24"/>
      <c r="Y203" s="24"/>
      <c r="Z203" s="24"/>
    </row>
    <row r="204" spans="1:26">
      <c r="A204" s="21" t="s">
        <v>3777</v>
      </c>
      <c r="B204" s="23">
        <f>LANCASHIRE!D8</f>
        <v>66876</v>
      </c>
      <c r="C204" s="23">
        <f>LANCASHIRE!E8</f>
        <v>67003</v>
      </c>
      <c r="D204" s="23">
        <f>LANCASHIRE!F8</f>
        <v>66950</v>
      </c>
      <c r="E204" s="23">
        <f>LANCASHIRE!G8</f>
        <v>65897</v>
      </c>
      <c r="F204" s="23">
        <f>LANCASHIRE!H8</f>
        <v>66830</v>
      </c>
      <c r="G204" s="23">
        <f>LANCASHIRE!I8</f>
        <v>63833</v>
      </c>
      <c r="H204" s="23">
        <f>LANCASHIRE!J8</f>
        <v>63228</v>
      </c>
      <c r="I204" s="23">
        <f>LANCASHIRE!K8</f>
        <v>64147</v>
      </c>
      <c r="J204" s="23">
        <f>LANCASHIRE!L8</f>
        <v>64338</v>
      </c>
      <c r="K204" s="23">
        <f>LANCASHIRE!M8</f>
        <v>63400</v>
      </c>
      <c r="L204" s="23">
        <f>LANCASHIRE!N8</f>
        <v>63795</v>
      </c>
      <c r="M204" s="23">
        <f>LANCASHIRE!O8</f>
        <v>64982</v>
      </c>
      <c r="N204" s="16"/>
      <c r="O204" s="24">
        <f t="shared" ref="O204:O219" si="142">B204/B$451</f>
        <v>0.8807353948269504</v>
      </c>
      <c r="P204" s="24">
        <f t="shared" ref="P204:P219" si="143">C204/C$451</f>
        <v>0.87424485588653589</v>
      </c>
      <c r="Q204" s="24">
        <f t="shared" ref="Q204:Q219" si="144">D204/D$451</f>
        <v>0.86856683229330189</v>
      </c>
      <c r="R204" s="24">
        <f t="shared" ref="R204:R219" si="145">E204/E$451</f>
        <v>0.85034970449325109</v>
      </c>
      <c r="S204" s="24">
        <f t="shared" ref="S204:S219" si="146">F204/F$451</f>
        <v>0.86641429201130504</v>
      </c>
      <c r="T204" s="24">
        <f t="shared" ref="T204:T219" si="147">G204/G$451</f>
        <v>0.84241296486921635</v>
      </c>
      <c r="U204" s="24">
        <f t="shared" ref="U204:U219" si="148">H204/H$451</f>
        <v>0.84564458532279418</v>
      </c>
      <c r="V204" s="24">
        <f t="shared" ref="V204:V219" si="149">I204/I$451</f>
        <v>0.83835849179899369</v>
      </c>
      <c r="W204" s="24">
        <f t="shared" ref="W204:W219" si="150">J204/J$451</f>
        <v>0.83390146851062175</v>
      </c>
      <c r="X204" s="24">
        <f t="shared" ref="X204:X219" si="151">K204/K$451</f>
        <v>0.82841164480217422</v>
      </c>
      <c r="Y204" s="24">
        <f t="shared" ref="Y204:Y219" si="152">L204/L$451</f>
        <v>0.87856169005549967</v>
      </c>
      <c r="Z204" s="24">
        <f t="shared" ref="Z204:Z219" si="153">M204/M$451</f>
        <v>0.88539778997997087</v>
      </c>
    </row>
    <row r="205" spans="1:26">
      <c r="A205" s="21" t="s">
        <v>3778</v>
      </c>
      <c r="B205" s="23">
        <f>LANCASHIRE!D9</f>
        <v>79444</v>
      </c>
      <c r="C205" s="23">
        <f>LANCASHIRE!E9</f>
        <v>79612</v>
      </c>
      <c r="D205" s="23">
        <f>LANCASHIRE!F9</f>
        <v>80727</v>
      </c>
      <c r="E205" s="23">
        <f>LANCASHIRE!G9</f>
        <v>81776</v>
      </c>
      <c r="F205" s="23">
        <f>LANCASHIRE!H9</f>
        <v>82425</v>
      </c>
      <c r="G205" s="23">
        <f>LANCASHIRE!I9</f>
        <v>80674</v>
      </c>
      <c r="H205" s="23">
        <f>LANCASHIRE!J9</f>
        <v>81668</v>
      </c>
      <c r="I205" s="23">
        <f>LANCASHIRE!K9</f>
        <v>83952</v>
      </c>
      <c r="J205" s="23">
        <f>LANCASHIRE!L9</f>
        <v>84565</v>
      </c>
      <c r="K205" s="23">
        <f>LANCASHIRE!M9</f>
        <v>86491</v>
      </c>
      <c r="L205" s="23">
        <f>LANCASHIRE!N9</f>
        <v>87330</v>
      </c>
      <c r="M205" s="23">
        <f>LANCASHIRE!O9</f>
        <v>86687</v>
      </c>
      <c r="N205" s="16"/>
      <c r="O205" s="24">
        <f t="shared" si="142"/>
        <v>1.0462519096033294</v>
      </c>
      <c r="P205" s="24">
        <f t="shared" si="143"/>
        <v>1.0387651518116934</v>
      </c>
      <c r="Q205" s="24">
        <f t="shared" si="144"/>
        <v>1.0473008912702222</v>
      </c>
      <c r="R205" s="24">
        <f t="shared" si="145"/>
        <v>1.0552558907786409</v>
      </c>
      <c r="S205" s="24">
        <f t="shared" si="146"/>
        <v>1.0685949127492416</v>
      </c>
      <c r="T205" s="24">
        <f t="shared" si="147"/>
        <v>1.0646659804154459</v>
      </c>
      <c r="U205" s="24">
        <f t="shared" si="148"/>
        <v>1.092270860918295</v>
      </c>
      <c r="V205" s="24">
        <f t="shared" si="149"/>
        <v>1.0971966281121348</v>
      </c>
      <c r="W205" s="24">
        <f t="shared" si="150"/>
        <v>1.0960688502067322</v>
      </c>
      <c r="X205" s="24">
        <f t="shared" si="151"/>
        <v>1.1301285736685307</v>
      </c>
      <c r="Y205" s="24">
        <f t="shared" si="152"/>
        <v>1.2026772065608087</v>
      </c>
      <c r="Z205" s="24">
        <f t="shared" si="153"/>
        <v>1.1811344406142275</v>
      </c>
    </row>
    <row r="206" spans="1:26">
      <c r="A206" s="21" t="s">
        <v>3779</v>
      </c>
      <c r="B206" s="23">
        <f>LANCASHIRE!D10</f>
        <v>61208</v>
      </c>
      <c r="C206" s="23">
        <f>LANCASHIRE!E10</f>
        <v>61748</v>
      </c>
      <c r="D206" s="23">
        <f>LANCASHIRE!F10</f>
        <v>60559</v>
      </c>
      <c r="E206" s="23">
        <f>LANCASHIRE!G10</f>
        <v>61240</v>
      </c>
      <c r="F206" s="23">
        <f>LANCASHIRE!H10</f>
        <v>60486</v>
      </c>
      <c r="G206" s="23">
        <f>LANCASHIRE!I10</f>
        <v>59258</v>
      </c>
      <c r="H206" s="23">
        <f>LANCASHIRE!J10</f>
        <v>59381</v>
      </c>
      <c r="I206" s="23">
        <f>LANCASHIRE!K10</f>
        <v>60098</v>
      </c>
      <c r="J206" s="23">
        <f>LANCASHIRE!L10</f>
        <v>60428</v>
      </c>
      <c r="K206" s="23">
        <f>LANCASHIRE!M10</f>
        <v>60306</v>
      </c>
      <c r="L206" s="23">
        <f>LANCASHIRE!N10</f>
        <v>61660</v>
      </c>
      <c r="M206" s="23">
        <f>LANCASHIRE!O10</f>
        <v>62896</v>
      </c>
      <c r="N206" s="16"/>
      <c r="O206" s="24">
        <f t="shared" si="142"/>
        <v>0.80608965916872988</v>
      </c>
      <c r="P206" s="24">
        <f t="shared" si="143"/>
        <v>0.80567842277632074</v>
      </c>
      <c r="Q206" s="24">
        <f t="shared" si="144"/>
        <v>0.78565405223077023</v>
      </c>
      <c r="R206" s="24">
        <f t="shared" si="145"/>
        <v>0.79025472939840502</v>
      </c>
      <c r="S206" s="24">
        <f t="shared" si="146"/>
        <v>0.78416781185988016</v>
      </c>
      <c r="T206" s="24">
        <f t="shared" si="147"/>
        <v>0.78203605458336634</v>
      </c>
      <c r="U206" s="24">
        <f t="shared" si="148"/>
        <v>0.79419278043039232</v>
      </c>
      <c r="V206" s="24">
        <f t="shared" si="149"/>
        <v>0.78544076324903611</v>
      </c>
      <c r="W206" s="24">
        <f t="shared" si="150"/>
        <v>0.78322294661257497</v>
      </c>
      <c r="X206" s="24">
        <f t="shared" si="151"/>
        <v>0.78798411122144985</v>
      </c>
      <c r="Y206" s="24">
        <f t="shared" si="152"/>
        <v>0.84915924145814115</v>
      </c>
      <c r="Z206" s="24">
        <f t="shared" si="153"/>
        <v>0.8569754608750153</v>
      </c>
    </row>
    <row r="207" spans="1:26">
      <c r="A207" s="21" t="s">
        <v>3780</v>
      </c>
      <c r="B207" s="23">
        <f>LANCASHIRE!D11</f>
        <v>57978</v>
      </c>
      <c r="C207" s="23">
        <f>LANCASHIRE!E11</f>
        <v>60671</v>
      </c>
      <c r="D207" s="23">
        <f>LANCASHIRE!F11</f>
        <v>60554</v>
      </c>
      <c r="E207" s="23">
        <f>LANCASHIRE!G11</f>
        <v>60099</v>
      </c>
      <c r="F207" s="23">
        <f>LANCASHIRE!H11</f>
        <v>60381</v>
      </c>
      <c r="G207" s="23">
        <f>LANCASHIRE!I11</f>
        <v>58870</v>
      </c>
      <c r="H207" s="23">
        <f>LANCASHIRE!J11</f>
        <v>59715</v>
      </c>
      <c r="I207" s="23">
        <f>LANCASHIRE!K11</f>
        <v>63001</v>
      </c>
      <c r="J207" s="23">
        <f>LANCASHIRE!L11</f>
        <v>59021</v>
      </c>
      <c r="K207" s="23">
        <f>LANCASHIRE!M11</f>
        <v>61028</v>
      </c>
      <c r="L207" s="23">
        <f>LANCASHIRE!N11</f>
        <v>62754</v>
      </c>
      <c r="M207" s="23">
        <f>LANCASHIRE!O11</f>
        <v>62632</v>
      </c>
      <c r="N207" s="16"/>
      <c r="O207" s="24">
        <f t="shared" si="142"/>
        <v>0.76355159879892531</v>
      </c>
      <c r="P207" s="24">
        <f t="shared" si="143"/>
        <v>0.79162589214650125</v>
      </c>
      <c r="Q207" s="24">
        <f t="shared" si="144"/>
        <v>0.78558918540236888</v>
      </c>
      <c r="R207" s="24">
        <f t="shared" si="145"/>
        <v>0.7755310088522982</v>
      </c>
      <c r="S207" s="24">
        <f t="shared" si="146"/>
        <v>0.78280654445510411</v>
      </c>
      <c r="T207" s="24">
        <f t="shared" si="147"/>
        <v>0.77691556470557188</v>
      </c>
      <c r="U207" s="24">
        <f t="shared" si="148"/>
        <v>0.79865987240701364</v>
      </c>
      <c r="V207" s="24">
        <f t="shared" si="149"/>
        <v>0.8233810363980919</v>
      </c>
      <c r="W207" s="24">
        <f t="shared" si="150"/>
        <v>0.76498645548455668</v>
      </c>
      <c r="X207" s="24">
        <f t="shared" si="151"/>
        <v>0.79741807348560079</v>
      </c>
      <c r="Y207" s="24">
        <f t="shared" si="152"/>
        <v>0.86422541418203347</v>
      </c>
      <c r="Z207" s="24">
        <f t="shared" si="153"/>
        <v>0.85337838758464701</v>
      </c>
    </row>
    <row r="208" spans="1:26">
      <c r="A208" s="21" t="s">
        <v>3781</v>
      </c>
      <c r="B208" s="23">
        <f>LANCASHIRE!D12</f>
        <v>107588</v>
      </c>
      <c r="C208" s="23">
        <f>LANCASHIRE!E12</f>
        <v>109144</v>
      </c>
      <c r="D208" s="23">
        <f>LANCASHIRE!F12</f>
        <v>106678</v>
      </c>
      <c r="E208" s="23">
        <f>LANCASHIRE!G12</f>
        <v>105377</v>
      </c>
      <c r="F208" s="23">
        <f>LANCASHIRE!H12</f>
        <v>99352</v>
      </c>
      <c r="G208" s="23">
        <f>LANCASHIRE!I12</f>
        <v>98929</v>
      </c>
      <c r="H208" s="23">
        <f>LANCASHIRE!J12</f>
        <v>96357</v>
      </c>
      <c r="I208" s="23">
        <f>LANCASHIRE!K12</f>
        <v>102565</v>
      </c>
      <c r="J208" s="23">
        <f>LANCASHIRE!L12</f>
        <v>109336</v>
      </c>
      <c r="K208" s="23">
        <f>LANCASHIRE!M12</f>
        <v>104236</v>
      </c>
      <c r="L208" s="23">
        <f>LANCASHIRE!N12</f>
        <v>106843</v>
      </c>
      <c r="M208" s="23">
        <f>LANCASHIRE!O12</f>
        <v>109065</v>
      </c>
      <c r="N208" s="16"/>
      <c r="O208" s="24">
        <f t="shared" si="142"/>
        <v>1.4168993309803508</v>
      </c>
      <c r="P208" s="24">
        <f t="shared" si="143"/>
        <v>1.4240941532600044</v>
      </c>
      <c r="Q208" s="24">
        <f t="shared" si="144"/>
        <v>1.3839727040386087</v>
      </c>
      <c r="R208" s="24">
        <f t="shared" si="145"/>
        <v>1.3598085013033268</v>
      </c>
      <c r="S208" s="24">
        <f t="shared" si="146"/>
        <v>1.2880441828506235</v>
      </c>
      <c r="T208" s="24">
        <f t="shared" si="147"/>
        <v>1.3055797503101327</v>
      </c>
      <c r="U208" s="24">
        <f t="shared" si="148"/>
        <v>1.2887292862015005</v>
      </c>
      <c r="V208" s="24">
        <f t="shared" si="149"/>
        <v>1.3404561197150886</v>
      </c>
      <c r="W208" s="24">
        <f t="shared" si="150"/>
        <v>1.4171321918784752</v>
      </c>
      <c r="X208" s="24">
        <f t="shared" si="151"/>
        <v>1.3619923692050384</v>
      </c>
      <c r="Y208" s="24">
        <f t="shared" si="152"/>
        <v>1.4714031922658477</v>
      </c>
      <c r="Z208" s="24">
        <f t="shared" si="153"/>
        <v>1.4860409030834003</v>
      </c>
    </row>
    <row r="209" spans="1:26">
      <c r="A209" s="21" t="s">
        <v>3782</v>
      </c>
      <c r="B209" s="23">
        <f>LANCASHIRE!D13</f>
        <v>66461</v>
      </c>
      <c r="C209" s="23">
        <f>LANCASHIRE!E13</f>
        <v>66735</v>
      </c>
      <c r="D209" s="23">
        <f>LANCASHIRE!F13</f>
        <v>66918</v>
      </c>
      <c r="E209" s="23">
        <f>LANCASHIRE!G13</f>
        <v>66780</v>
      </c>
      <c r="F209" s="23">
        <f>LANCASHIRE!H13</f>
        <v>66688</v>
      </c>
      <c r="G209" s="23">
        <f>LANCASHIRE!I13</f>
        <v>64241</v>
      </c>
      <c r="H209" s="23">
        <f>LANCASHIRE!J13</f>
        <v>62891</v>
      </c>
      <c r="I209" s="23">
        <f>LANCASHIRE!K13</f>
        <v>63972</v>
      </c>
      <c r="J209" s="23">
        <f>LANCASHIRE!L13</f>
        <v>64257</v>
      </c>
      <c r="K209" s="23">
        <f>LANCASHIRE!M13</f>
        <v>63996</v>
      </c>
      <c r="L209" s="23">
        <f>LANCASHIRE!N13</f>
        <v>64543</v>
      </c>
      <c r="M209" s="23">
        <f>LANCASHIRE!O13</f>
        <v>65784</v>
      </c>
      <c r="N209" s="16"/>
      <c r="O209" s="24">
        <f t="shared" si="142"/>
        <v>0.87526997840172782</v>
      </c>
      <c r="P209" s="24">
        <f t="shared" si="143"/>
        <v>0.87074803303714721</v>
      </c>
      <c r="Q209" s="24">
        <f t="shared" si="144"/>
        <v>0.86815168459153358</v>
      </c>
      <c r="R209" s="24">
        <f t="shared" si="145"/>
        <v>0.86174413502980873</v>
      </c>
      <c r="S209" s="24">
        <f t="shared" si="146"/>
        <v>0.8645733399019887</v>
      </c>
      <c r="T209" s="24">
        <f t="shared" si="147"/>
        <v>0.84779739752421679</v>
      </c>
      <c r="U209" s="24">
        <f t="shared" si="148"/>
        <v>0.84113736976554454</v>
      </c>
      <c r="V209" s="24">
        <f t="shared" si="149"/>
        <v>0.83607135855714565</v>
      </c>
      <c r="W209" s="24">
        <f t="shared" si="150"/>
        <v>0.83285160654802792</v>
      </c>
      <c r="X209" s="24">
        <f t="shared" si="151"/>
        <v>0.8361992369205038</v>
      </c>
      <c r="Y209" s="24">
        <f t="shared" si="152"/>
        <v>0.88886287579359069</v>
      </c>
      <c r="Z209" s="24">
        <f t="shared" si="153"/>
        <v>0.896325262627226</v>
      </c>
    </row>
    <row r="210" spans="1:26">
      <c r="A210" s="21" t="s">
        <v>3783</v>
      </c>
      <c r="B210" s="23">
        <f>LANCASHIRE!D14</f>
        <v>96714</v>
      </c>
      <c r="C210" s="23">
        <f>LANCASHIRE!E14</f>
        <v>97094</v>
      </c>
      <c r="D210" s="23">
        <f>LANCASHIRE!F14</f>
        <v>97619</v>
      </c>
      <c r="E210" s="23">
        <f>LANCASHIRE!G14</f>
        <v>98089</v>
      </c>
      <c r="F210" s="23">
        <f>LANCASHIRE!H14</f>
        <v>96919</v>
      </c>
      <c r="G210" s="23">
        <f>LANCASHIRE!I14</f>
        <v>92823</v>
      </c>
      <c r="H210" s="23">
        <f>LANCASHIRE!J14</f>
        <v>90766</v>
      </c>
      <c r="I210" s="23">
        <f>LANCASHIRE!K14</f>
        <v>92063</v>
      </c>
      <c r="J210" s="23">
        <f>LANCASHIRE!L14</f>
        <v>92030</v>
      </c>
      <c r="K210" s="23">
        <f>LANCASHIRE!M14</f>
        <v>91676</v>
      </c>
      <c r="L210" s="23">
        <f>LANCASHIRE!N14</f>
        <v>94073</v>
      </c>
      <c r="M210" s="23">
        <f>LANCASHIRE!O14</f>
        <v>96383</v>
      </c>
      <c r="N210" s="16"/>
      <c r="O210" s="24">
        <f t="shared" si="142"/>
        <v>1.2736922509613866</v>
      </c>
      <c r="P210" s="24">
        <f t="shared" si="143"/>
        <v>1.2668676035020421</v>
      </c>
      <c r="Q210" s="24">
        <f t="shared" si="144"/>
        <v>1.2664469843411477</v>
      </c>
      <c r="R210" s="24">
        <f t="shared" si="145"/>
        <v>1.2657625106459856</v>
      </c>
      <c r="S210" s="24">
        <f t="shared" si="146"/>
        <v>1.2565016724142402</v>
      </c>
      <c r="T210" s="24">
        <f t="shared" si="147"/>
        <v>1.2249980204291711</v>
      </c>
      <c r="U210" s="24">
        <f t="shared" si="148"/>
        <v>1.2139523064371598</v>
      </c>
      <c r="V210" s="24">
        <f t="shared" si="149"/>
        <v>1.2032019865385872</v>
      </c>
      <c r="W210" s="24">
        <f t="shared" si="150"/>
        <v>1.1928246471297292</v>
      </c>
      <c r="X210" s="24">
        <f t="shared" si="151"/>
        <v>1.1978780118120524</v>
      </c>
      <c r="Y210" s="24">
        <f t="shared" si="152"/>
        <v>1.2955393662291876</v>
      </c>
      <c r="Z210" s="24">
        <f t="shared" si="153"/>
        <v>1.313245132369572</v>
      </c>
    </row>
    <row r="211" spans="1:26">
      <c r="A211" s="21" t="s">
        <v>3784</v>
      </c>
      <c r="B211" s="23">
        <f>LANCASHIRE!D15</f>
        <v>45891</v>
      </c>
      <c r="C211" s="23">
        <f>LANCASHIRE!E15</f>
        <v>46058</v>
      </c>
      <c r="D211" s="23">
        <f>LANCASHIRE!F15</f>
        <v>45845</v>
      </c>
      <c r="E211" s="23">
        <f>LANCASHIRE!G15</f>
        <v>45909</v>
      </c>
      <c r="F211" s="23">
        <f>LANCASHIRE!H15</f>
        <v>46181</v>
      </c>
      <c r="G211" s="23">
        <f>LANCASHIRE!I15</f>
        <v>46114</v>
      </c>
      <c r="H211" s="23">
        <f>LANCASHIRE!J15</f>
        <v>45804</v>
      </c>
      <c r="I211" s="23">
        <f>LANCASHIRE!K15</f>
        <v>45181</v>
      </c>
      <c r="J211" s="23">
        <f>LANCASHIRE!L15</f>
        <v>46375</v>
      </c>
      <c r="K211" s="23">
        <f>LANCASHIRE!M15</f>
        <v>45559</v>
      </c>
      <c r="L211" s="23">
        <f>LANCASHIRE!N15</f>
        <v>47198</v>
      </c>
      <c r="M211" s="23">
        <f>LANCASHIRE!O15</f>
        <v>48803</v>
      </c>
      <c r="N211" s="16"/>
      <c r="O211" s="24">
        <f t="shared" si="142"/>
        <v>0.60436969920455141</v>
      </c>
      <c r="P211" s="24">
        <f t="shared" si="143"/>
        <v>0.60095771192964598</v>
      </c>
      <c r="Q211" s="24">
        <f t="shared" si="144"/>
        <v>0.59476394961144774</v>
      </c>
      <c r="R211" s="24">
        <f t="shared" si="145"/>
        <v>0.59242005832709632</v>
      </c>
      <c r="S211" s="24">
        <f t="shared" si="146"/>
        <v>0.59871133352347861</v>
      </c>
      <c r="T211" s="24">
        <f t="shared" si="147"/>
        <v>0.60857286140364764</v>
      </c>
      <c r="U211" s="24">
        <f t="shared" si="148"/>
        <v>0.61260682903342289</v>
      </c>
      <c r="V211" s="24">
        <f t="shared" si="149"/>
        <v>0.59048552571391233</v>
      </c>
      <c r="W211" s="24">
        <f t="shared" si="150"/>
        <v>0.60107837673194819</v>
      </c>
      <c r="X211" s="24">
        <f t="shared" si="151"/>
        <v>0.59529347201170757</v>
      </c>
      <c r="Y211" s="24">
        <f t="shared" si="152"/>
        <v>0.64999380276259067</v>
      </c>
      <c r="Z211" s="24">
        <f t="shared" si="153"/>
        <v>0.66495442344637767</v>
      </c>
    </row>
    <row r="212" spans="1:26">
      <c r="A212" s="21" t="s">
        <v>3785</v>
      </c>
      <c r="B212" s="23">
        <f>LANCASHIRE!D16</f>
        <v>52506</v>
      </c>
      <c r="C212" s="23">
        <f>LANCASHIRE!E16</f>
        <v>52692</v>
      </c>
      <c r="D212" s="23">
        <f>LANCASHIRE!F16</f>
        <v>52934</v>
      </c>
      <c r="E212" s="23">
        <f>LANCASHIRE!G16</f>
        <v>53014</v>
      </c>
      <c r="F212" s="23">
        <f>LANCASHIRE!H16</f>
        <v>53123</v>
      </c>
      <c r="G212" s="23">
        <f>LANCASHIRE!I16</f>
        <v>52269</v>
      </c>
      <c r="H212" s="23">
        <f>LANCASHIRE!J16</f>
        <v>51076</v>
      </c>
      <c r="I212" s="23">
        <f>LANCASHIRE!K16</f>
        <v>52211</v>
      </c>
      <c r="J212" s="23">
        <f>LANCASHIRE!L16</f>
        <v>51427</v>
      </c>
      <c r="K212" s="23">
        <f>LANCASHIRE!M16</f>
        <v>51037</v>
      </c>
      <c r="L212" s="23">
        <f>LANCASHIRE!N16</f>
        <v>52376</v>
      </c>
      <c r="M212" s="23">
        <f>LANCASHIRE!O16</f>
        <v>52268</v>
      </c>
      <c r="N212" s="16"/>
      <c r="O212" s="24">
        <f t="shared" si="142"/>
        <v>0.69148712005478585</v>
      </c>
      <c r="P212" s="24">
        <f t="shared" si="143"/>
        <v>0.68751712529846953</v>
      </c>
      <c r="Q212" s="24">
        <f t="shared" si="144"/>
        <v>0.68673213891879969</v>
      </c>
      <c r="R212" s="24">
        <f t="shared" si="145"/>
        <v>0.68410457583812945</v>
      </c>
      <c r="S212" s="24">
        <f t="shared" si="146"/>
        <v>0.68871055565639017</v>
      </c>
      <c r="T212" s="24">
        <f t="shared" si="147"/>
        <v>0.689801251088764</v>
      </c>
      <c r="U212" s="24">
        <f t="shared" si="148"/>
        <v>0.68311733472428415</v>
      </c>
      <c r="V212" s="24">
        <f t="shared" si="149"/>
        <v>0.6823629353721492</v>
      </c>
      <c r="W212" s="24">
        <f t="shared" si="150"/>
        <v>0.66655865617668786</v>
      </c>
      <c r="X212" s="24">
        <f t="shared" si="151"/>
        <v>0.66687137406575026</v>
      </c>
      <c r="Y212" s="24">
        <f t="shared" si="152"/>
        <v>0.72130334788536488</v>
      </c>
      <c r="Z212" s="24">
        <f t="shared" si="153"/>
        <v>0.71216601038246152</v>
      </c>
    </row>
    <row r="213" spans="1:26">
      <c r="A213" s="21" t="s">
        <v>3786</v>
      </c>
      <c r="B213" s="23">
        <f>LANCASHIRE!D17</f>
        <v>85769</v>
      </c>
      <c r="C213" s="23">
        <f>LANCASHIRE!E17</f>
        <v>85661</v>
      </c>
      <c r="D213" s="23">
        <f>LANCASHIRE!F17</f>
        <v>85680</v>
      </c>
      <c r="E213" s="23">
        <f>LANCASHIRE!G17</f>
        <v>85731</v>
      </c>
      <c r="F213" s="23">
        <f>LANCASHIRE!H17</f>
        <v>85801</v>
      </c>
      <c r="G213" s="23">
        <f>LANCASHIRE!I17</f>
        <v>83999</v>
      </c>
      <c r="H213" s="23">
        <f>LANCASHIRE!J17</f>
        <v>81624</v>
      </c>
      <c r="I213" s="23">
        <f>LANCASHIRE!K17</f>
        <v>83283</v>
      </c>
      <c r="J213" s="23">
        <f>LANCASHIRE!L17</f>
        <v>83964</v>
      </c>
      <c r="K213" s="23">
        <f>LANCASHIRE!M17</f>
        <v>82998</v>
      </c>
      <c r="L213" s="23">
        <f>LANCASHIRE!N17</f>
        <v>85190</v>
      </c>
      <c r="M213" s="23">
        <f>LANCASHIRE!O17</f>
        <v>85274</v>
      </c>
      <c r="N213" s="16"/>
      <c r="O213" s="24">
        <f t="shared" si="142"/>
        <v>1.1295501237949745</v>
      </c>
      <c r="P213" s="24">
        <f t="shared" si="143"/>
        <v>1.1176915750055454</v>
      </c>
      <c r="Q213" s="24">
        <f t="shared" si="144"/>
        <v>1.1115579714845423</v>
      </c>
      <c r="R213" s="24">
        <f t="shared" si="145"/>
        <v>1.1062921000335511</v>
      </c>
      <c r="S213" s="24">
        <f t="shared" si="146"/>
        <v>1.1123629009256619</v>
      </c>
      <c r="T213" s="24">
        <f t="shared" si="147"/>
        <v>1.1085464671259271</v>
      </c>
      <c r="U213" s="24">
        <f t="shared" si="148"/>
        <v>1.0916823817357462</v>
      </c>
      <c r="V213" s="24">
        <f t="shared" si="149"/>
        <v>1.0884532444618702</v>
      </c>
      <c r="W213" s="24">
        <f t="shared" si="150"/>
        <v>1.0882791336694619</v>
      </c>
      <c r="X213" s="24">
        <f t="shared" si="151"/>
        <v>1.0844875346260388</v>
      </c>
      <c r="Y213" s="24">
        <f t="shared" si="152"/>
        <v>1.1732058997700137</v>
      </c>
      <c r="Z213" s="24">
        <f t="shared" si="153"/>
        <v>1.1618819233441882</v>
      </c>
    </row>
    <row r="214" spans="1:26">
      <c r="A214" s="21" t="s">
        <v>3787</v>
      </c>
      <c r="B214" s="23">
        <f>LANCASHIRE!D18</f>
        <v>84768</v>
      </c>
      <c r="C214" s="23">
        <f>LANCASHIRE!E18</f>
        <v>85583</v>
      </c>
      <c r="D214" s="23">
        <f>LANCASHIRE!F18</f>
        <v>86433</v>
      </c>
      <c r="E214" s="23">
        <f>LANCASHIRE!G18</f>
        <v>84744</v>
      </c>
      <c r="F214" s="23">
        <f>LANCASHIRE!H18</f>
        <v>86819</v>
      </c>
      <c r="G214" s="23">
        <f>LANCASHIRE!I18</f>
        <v>81784</v>
      </c>
      <c r="H214" s="23">
        <f>LANCASHIRE!J18</f>
        <v>82644</v>
      </c>
      <c r="I214" s="23">
        <f>LANCASHIRE!K18</f>
        <v>83690</v>
      </c>
      <c r="J214" s="23">
        <f>LANCASHIRE!L18</f>
        <v>84994</v>
      </c>
      <c r="K214" s="23">
        <f>LANCASHIRE!M18</f>
        <v>82818</v>
      </c>
      <c r="L214" s="23">
        <f>LANCASHIRE!N18</f>
        <v>87040</v>
      </c>
      <c r="M214" s="23">
        <f>LANCASHIRE!O18</f>
        <v>87012</v>
      </c>
      <c r="N214" s="16"/>
      <c r="O214" s="24">
        <f t="shared" si="142"/>
        <v>1.1163672759837751</v>
      </c>
      <c r="P214" s="24">
        <f t="shared" si="143"/>
        <v>1.1166738429822158</v>
      </c>
      <c r="Q214" s="24">
        <f t="shared" si="144"/>
        <v>1.1213269158417769</v>
      </c>
      <c r="R214" s="24">
        <f t="shared" si="145"/>
        <v>1.0935556301132991</v>
      </c>
      <c r="S214" s="24">
        <f t="shared" si="146"/>
        <v>1.125560712526253</v>
      </c>
      <c r="T214" s="24">
        <f t="shared" si="147"/>
        <v>1.0793148045503735</v>
      </c>
      <c r="U214" s="24">
        <f t="shared" si="148"/>
        <v>1.1053243991493802</v>
      </c>
      <c r="V214" s="24">
        <f t="shared" si="149"/>
        <v>1.0937724629157681</v>
      </c>
      <c r="W214" s="24">
        <f t="shared" si="150"/>
        <v>1.1016292302308399</v>
      </c>
      <c r="X214" s="24">
        <f t="shared" si="151"/>
        <v>1.0821355772748653</v>
      </c>
      <c r="Y214" s="24">
        <f t="shared" si="152"/>
        <v>1.1986834313414954</v>
      </c>
      <c r="Z214" s="24">
        <f t="shared" si="153"/>
        <v>1.1855626558391128</v>
      </c>
    </row>
    <row r="215" spans="1:26">
      <c r="A215" s="21" t="s">
        <v>3788</v>
      </c>
      <c r="B215" s="23">
        <f>LANCASHIRE!D19</f>
        <v>85516</v>
      </c>
      <c r="C215" s="23">
        <f>LANCASHIRE!E19</f>
        <v>85714</v>
      </c>
      <c r="D215" s="23">
        <f>LANCASHIRE!F19</f>
        <v>85489</v>
      </c>
      <c r="E215" s="23">
        <f>LANCASHIRE!G19</f>
        <v>86091</v>
      </c>
      <c r="F215" s="23">
        <f>LANCASHIRE!H19</f>
        <v>85470</v>
      </c>
      <c r="G215" s="23">
        <f>LANCASHIRE!I19</f>
        <v>81944</v>
      </c>
      <c r="H215" s="23">
        <f>LANCASHIRE!J19</f>
        <v>82005</v>
      </c>
      <c r="I215" s="23">
        <f>LANCASHIRE!K19</f>
        <v>85932</v>
      </c>
      <c r="J215" s="23">
        <f>LANCASHIRE!L19</f>
        <v>86831</v>
      </c>
      <c r="K215" s="23">
        <f>LANCASHIRE!M19</f>
        <v>88496</v>
      </c>
      <c r="L215" s="23">
        <f>LANCASHIRE!N19</f>
        <v>88357</v>
      </c>
      <c r="M215" s="23">
        <f>LANCASHIRE!O19</f>
        <v>89908</v>
      </c>
      <c r="N215" s="16"/>
      <c r="O215" s="24">
        <f t="shared" si="142"/>
        <v>1.1262181952273087</v>
      </c>
      <c r="P215" s="24">
        <f t="shared" si="143"/>
        <v>1.1183831108675513</v>
      </c>
      <c r="Q215" s="24">
        <f t="shared" si="144"/>
        <v>1.1090800586396128</v>
      </c>
      <c r="R215" s="24">
        <f t="shared" si="145"/>
        <v>1.1109376209771078</v>
      </c>
      <c r="S215" s="24">
        <f t="shared" si="146"/>
        <v>1.1080716674877487</v>
      </c>
      <c r="T215" s="24">
        <f t="shared" si="147"/>
        <v>1.0814263467680207</v>
      </c>
      <c r="U215" s="24">
        <f t="shared" si="148"/>
        <v>1.0967780764755446</v>
      </c>
      <c r="V215" s="24">
        <f t="shared" si="149"/>
        <v>1.1230739070770437</v>
      </c>
      <c r="W215" s="24">
        <f t="shared" si="150"/>
        <v>1.1254390626417639</v>
      </c>
      <c r="X215" s="24">
        <f t="shared" si="151"/>
        <v>1.1563267652746563</v>
      </c>
      <c r="Y215" s="24">
        <f t="shared" si="152"/>
        <v>1.2168206794926528</v>
      </c>
      <c r="Z215" s="24">
        <f t="shared" si="153"/>
        <v>1.2250214598122438</v>
      </c>
    </row>
    <row r="216" spans="1:26">
      <c r="A216" s="21" t="s">
        <v>3789</v>
      </c>
      <c r="B216" s="23">
        <f t="shared" ref="B216:G216" si="154">SUM(B204:B215)</f>
        <v>890719</v>
      </c>
      <c r="C216" s="23">
        <f t="shared" si="154"/>
        <v>897715</v>
      </c>
      <c r="D216" s="23">
        <f t="shared" si="154"/>
        <v>896386</v>
      </c>
      <c r="E216" s="23">
        <f t="shared" si="154"/>
        <v>894747</v>
      </c>
      <c r="F216" s="23">
        <f t="shared" si="154"/>
        <v>890475</v>
      </c>
      <c r="G216" s="23">
        <f t="shared" si="154"/>
        <v>864738</v>
      </c>
      <c r="H216" s="23">
        <f t="shared" ref="H216:M216" si="155">SUM(H204:H215)</f>
        <v>857159</v>
      </c>
      <c r="I216" s="23">
        <f t="shared" si="155"/>
        <v>880095</v>
      </c>
      <c r="J216" s="23">
        <f t="shared" si="155"/>
        <v>887566</v>
      </c>
      <c r="K216" s="23">
        <f t="shared" si="155"/>
        <v>882041</v>
      </c>
      <c r="L216" s="23">
        <f t="shared" si="155"/>
        <v>901159</v>
      </c>
      <c r="M216" s="23">
        <f t="shared" si="155"/>
        <v>911694</v>
      </c>
      <c r="N216" s="16"/>
      <c r="O216" s="24">
        <f t="shared" si="142"/>
        <v>11.730482537006795</v>
      </c>
      <c r="P216" s="24">
        <f t="shared" si="143"/>
        <v>11.713247478503673</v>
      </c>
      <c r="Q216" s="24">
        <f t="shared" si="144"/>
        <v>11.629143368664133</v>
      </c>
      <c r="R216" s="24">
        <f t="shared" si="145"/>
        <v>11.546016465790901</v>
      </c>
      <c r="S216" s="24">
        <f t="shared" si="146"/>
        <v>11.544519926361916</v>
      </c>
      <c r="T216" s="24">
        <f t="shared" si="147"/>
        <v>11.412067463773854</v>
      </c>
      <c r="U216" s="24">
        <f t="shared" si="148"/>
        <v>11.464096082601078</v>
      </c>
      <c r="V216" s="24">
        <f t="shared" si="149"/>
        <v>11.502254459909821</v>
      </c>
      <c r="W216" s="24">
        <f t="shared" si="150"/>
        <v>11.503972625821421</v>
      </c>
      <c r="X216" s="24">
        <f t="shared" si="151"/>
        <v>11.525126744368368</v>
      </c>
      <c r="Y216" s="24">
        <f t="shared" si="152"/>
        <v>12.410436147797226</v>
      </c>
      <c r="Z216" s="24">
        <f t="shared" si="153"/>
        <v>12.422083849958442</v>
      </c>
    </row>
    <row r="217" spans="1:26">
      <c r="A217" s="21" t="s">
        <v>3790</v>
      </c>
      <c r="B217" s="23">
        <f>LANCASHIRE!D4</f>
        <v>101354</v>
      </c>
      <c r="C217" s="23">
        <f>LANCASHIRE!E4</f>
        <v>101809</v>
      </c>
      <c r="D217" s="23">
        <f>LANCASHIRE!F4</f>
        <v>103306</v>
      </c>
      <c r="E217" s="23">
        <f>LANCASHIRE!G4</f>
        <v>104152</v>
      </c>
      <c r="F217" s="23">
        <f>LANCASHIRE!H4</f>
        <v>103291</v>
      </c>
      <c r="G217" s="23">
        <f>LANCASHIRE!I4</f>
        <v>102110</v>
      </c>
      <c r="H217" s="23">
        <f>LANCASHIRE!J4</f>
        <v>96731</v>
      </c>
      <c r="I217" s="23">
        <f>LANCASHIRE!K4</f>
        <v>98883</v>
      </c>
      <c r="J217" s="23">
        <f>LANCASHIRE!L4</f>
        <v>98540</v>
      </c>
      <c r="K217" s="23">
        <f>LANCASHIRE!M4</f>
        <v>98837</v>
      </c>
      <c r="L217" s="23">
        <f>LANCASHIRE!N4</f>
        <v>99531</v>
      </c>
      <c r="M217" s="23">
        <f>LANCASHIRE!O4</f>
        <v>101424</v>
      </c>
      <c r="N217" s="16"/>
      <c r="O217" s="24">
        <f t="shared" si="142"/>
        <v>1.3347995574988147</v>
      </c>
      <c r="P217" s="24">
        <f t="shared" si="143"/>
        <v>1.3283881995276681</v>
      </c>
      <c r="Q217" s="24">
        <f t="shared" si="144"/>
        <v>1.3402265149647774</v>
      </c>
      <c r="R217" s="24">
        <f t="shared" si="145"/>
        <v>1.3440008258703899</v>
      </c>
      <c r="S217" s="24">
        <f t="shared" si="146"/>
        <v>1.3391111572069385</v>
      </c>
      <c r="T217" s="24">
        <f t="shared" si="147"/>
        <v>1.3475598490247314</v>
      </c>
      <c r="U217" s="24">
        <f t="shared" si="148"/>
        <v>1.2937313592531665</v>
      </c>
      <c r="V217" s="24">
        <f t="shared" si="149"/>
        <v>1.2923348363066065</v>
      </c>
      <c r="W217" s="24">
        <f t="shared" si="150"/>
        <v>1.2772024419011574</v>
      </c>
      <c r="X217" s="24">
        <f t="shared" si="151"/>
        <v>1.2914467150995661</v>
      </c>
      <c r="Y217" s="24">
        <f t="shared" si="152"/>
        <v>1.3707049701844023</v>
      </c>
      <c r="Z217" s="24">
        <f t="shared" si="153"/>
        <v>1.3819301568269453</v>
      </c>
    </row>
    <row r="218" spans="1:26">
      <c r="A218" s="21" t="s">
        <v>3791</v>
      </c>
      <c r="B218" s="23">
        <f>LANCASHIRE!D5</f>
        <v>111499</v>
      </c>
      <c r="C218" s="23">
        <f>LANCASHIRE!E5</f>
        <v>112268</v>
      </c>
      <c r="D218" s="23">
        <f>LANCASHIRE!F5</f>
        <v>112618</v>
      </c>
      <c r="E218" s="23">
        <f>LANCASHIRE!G5</f>
        <v>110956</v>
      </c>
      <c r="F218" s="23">
        <f>LANCASHIRE!H5</f>
        <v>109362</v>
      </c>
      <c r="G218" s="23">
        <f>LANCASHIRE!I5</f>
        <v>100358</v>
      </c>
      <c r="H218" s="23">
        <f>LANCASHIRE!J5</f>
        <v>97419</v>
      </c>
      <c r="I218" s="23">
        <f>LANCASHIRE!K5</f>
        <v>99724</v>
      </c>
      <c r="J218" s="23">
        <f>LANCASHIRE!L5</f>
        <v>101148</v>
      </c>
      <c r="K218" s="23">
        <f>LANCASHIRE!M5</f>
        <v>99005</v>
      </c>
      <c r="L218" s="23">
        <f>LANCASHIRE!N5</f>
        <v>101426</v>
      </c>
      <c r="M218" s="23">
        <f>LANCASHIRE!O5</f>
        <v>100925</v>
      </c>
      <c r="N218" s="16"/>
      <c r="O218" s="24">
        <f t="shared" si="142"/>
        <v>1.4684059421587736</v>
      </c>
      <c r="P218" s="24">
        <f t="shared" si="143"/>
        <v>1.4648556255789982</v>
      </c>
      <c r="Q218" s="24">
        <f t="shared" si="144"/>
        <v>1.4610344961793438</v>
      </c>
      <c r="R218" s="24">
        <f t="shared" si="145"/>
        <v>1.4318011717036159</v>
      </c>
      <c r="S218" s="24">
        <f t="shared" si="146"/>
        <v>1.4178183421059456</v>
      </c>
      <c r="T218" s="24">
        <f t="shared" si="147"/>
        <v>1.3244384617414944</v>
      </c>
      <c r="U218" s="24">
        <f t="shared" si="148"/>
        <v>1.3029330337439313</v>
      </c>
      <c r="V218" s="24">
        <f t="shared" si="149"/>
        <v>1.3033261452002876</v>
      </c>
      <c r="W218" s="24">
        <f t="shared" si="150"/>
        <v>1.3110054048449185</v>
      </c>
      <c r="X218" s="24">
        <f t="shared" si="151"/>
        <v>1.2936418752939947</v>
      </c>
      <c r="Y218" s="24">
        <f t="shared" si="152"/>
        <v>1.3968022254968118</v>
      </c>
      <c r="Z218" s="24">
        <f t="shared" si="153"/>
        <v>1.3751311432970448</v>
      </c>
    </row>
    <row r="219" spans="1:26">
      <c r="A219" s="25" t="s">
        <v>5951</v>
      </c>
      <c r="B219" s="23">
        <f t="shared" ref="B219:G219" si="156">SUM(B216:B218)</f>
        <v>1103572</v>
      </c>
      <c r="C219" s="23">
        <f t="shared" si="156"/>
        <v>1111792</v>
      </c>
      <c r="D219" s="23">
        <f t="shared" si="156"/>
        <v>1112310</v>
      </c>
      <c r="E219" s="23">
        <f t="shared" si="156"/>
        <v>1109855</v>
      </c>
      <c r="F219" s="23">
        <f t="shared" si="156"/>
        <v>1103128</v>
      </c>
      <c r="G219" s="23">
        <f t="shared" si="156"/>
        <v>1067206</v>
      </c>
      <c r="H219" s="23">
        <f t="shared" ref="H219:M219" si="157">SUM(H216:H218)</f>
        <v>1051309</v>
      </c>
      <c r="I219" s="23">
        <f t="shared" si="157"/>
        <v>1078702</v>
      </c>
      <c r="J219" s="23">
        <f t="shared" si="157"/>
        <v>1087254</v>
      </c>
      <c r="K219" s="23">
        <f t="shared" si="157"/>
        <v>1079883</v>
      </c>
      <c r="L219" s="23">
        <f t="shared" si="157"/>
        <v>1102116</v>
      </c>
      <c r="M219" s="23">
        <f t="shared" si="157"/>
        <v>1114043</v>
      </c>
      <c r="N219" s="16"/>
      <c r="O219" s="24">
        <f t="shared" si="142"/>
        <v>14.533688036664383</v>
      </c>
      <c r="P219" s="24">
        <f t="shared" si="143"/>
        <v>14.506491303610339</v>
      </c>
      <c r="Q219" s="24">
        <f t="shared" si="144"/>
        <v>14.430404379808254</v>
      </c>
      <c r="R219" s="24">
        <f t="shared" si="145"/>
        <v>14.321818463364906</v>
      </c>
      <c r="S219" s="24">
        <f t="shared" si="146"/>
        <v>14.3014494256748</v>
      </c>
      <c r="T219" s="24">
        <f t="shared" si="147"/>
        <v>14.084065774540079</v>
      </c>
      <c r="U219" s="24">
        <f t="shared" si="148"/>
        <v>14.060760475598176</v>
      </c>
      <c r="V219" s="24">
        <f t="shared" si="149"/>
        <v>14.097915441416715</v>
      </c>
      <c r="W219" s="24">
        <f t="shared" si="150"/>
        <v>14.092180472567495</v>
      </c>
      <c r="X219" s="24">
        <f t="shared" si="151"/>
        <v>14.11021533476193</v>
      </c>
      <c r="Y219" s="24">
        <f t="shared" si="152"/>
        <v>15.177943343478441</v>
      </c>
      <c r="Z219" s="24">
        <f t="shared" si="153"/>
        <v>15.179145150082434</v>
      </c>
    </row>
    <row r="220" spans="1:26">
      <c r="A220" s="16"/>
      <c r="N220" s="16"/>
      <c r="O220" s="24"/>
      <c r="P220" s="24"/>
      <c r="Q220" s="24"/>
      <c r="R220" s="24"/>
      <c r="S220" s="24"/>
      <c r="T220" s="24"/>
      <c r="U220" s="24"/>
      <c r="V220" s="24"/>
      <c r="W220" s="24"/>
      <c r="X220" s="24"/>
      <c r="Y220" s="24"/>
      <c r="Z220" s="24"/>
    </row>
    <row r="221" spans="1:26">
      <c r="A221" s="21" t="s">
        <v>5100</v>
      </c>
      <c r="B221" s="30">
        <f>MERSEYSIDE!D5</f>
        <v>111228</v>
      </c>
      <c r="C221" s="30">
        <f>MERSEYSIDE!E5</f>
        <v>111388</v>
      </c>
      <c r="D221" s="30">
        <f>MERSEYSIDE!F5</f>
        <v>111832</v>
      </c>
      <c r="E221" s="30">
        <f>MERSEYSIDE!G5</f>
        <v>112616</v>
      </c>
      <c r="F221" s="30">
        <f>MERSEYSIDE!H5</f>
        <v>112265</v>
      </c>
      <c r="G221" s="30">
        <f>MERSEYSIDE!I5</f>
        <v>110513</v>
      </c>
      <c r="H221" s="30">
        <f>MERSEYSIDE!J5</f>
        <v>109974</v>
      </c>
      <c r="I221" s="30">
        <f>MERSEYSIDE!K5</f>
        <v>114004</v>
      </c>
      <c r="J221" s="30">
        <f>MERSEYSIDE!L5</f>
        <v>115305</v>
      </c>
      <c r="K221" s="30">
        <f>MERSEYSIDE!M5</f>
        <v>115954</v>
      </c>
      <c r="L221" s="30">
        <f>MERSEYSIDE!N5</f>
        <v>118654</v>
      </c>
      <c r="M221" s="30">
        <f>MERSEYSIDE!O5</f>
        <v>118646</v>
      </c>
      <c r="N221" s="16"/>
      <c r="O221" s="24">
        <f t="shared" ref="O221:Z226" si="158">B221/B$451</f>
        <v>1.4648369593847126</v>
      </c>
      <c r="P221" s="24">
        <f t="shared" si="158"/>
        <v>1.4533735207004084</v>
      </c>
      <c r="Q221" s="24">
        <f t="shared" si="158"/>
        <v>1.4508374307546608</v>
      </c>
      <c r="R221" s="24">
        <f t="shared" si="158"/>
        <v>1.4532221849433504</v>
      </c>
      <c r="S221" s="24">
        <f t="shared" si="158"/>
        <v>1.4554541447351363</v>
      </c>
      <c r="T221" s="24">
        <f t="shared" si="158"/>
        <v>1.4584554068677911</v>
      </c>
      <c r="U221" s="24">
        <f t="shared" si="158"/>
        <v>1.4708502186735144</v>
      </c>
      <c r="V221" s="24">
        <f t="shared" si="158"/>
        <v>1.4899562177350847</v>
      </c>
      <c r="W221" s="24">
        <f t="shared" si="158"/>
        <v>1.4944979456404806</v>
      </c>
      <c r="X221" s="24">
        <f t="shared" si="158"/>
        <v>1.5151047927664245</v>
      </c>
      <c r="Y221" s="24">
        <f t="shared" si="158"/>
        <v>1.6340600168013992</v>
      </c>
      <c r="Z221" s="24">
        <f t="shared" si="158"/>
        <v>1.6165846879130161</v>
      </c>
    </row>
    <row r="222" spans="1:26">
      <c r="A222" s="21" t="s">
        <v>5101</v>
      </c>
      <c r="B222" s="30">
        <f>MERSEYSIDE!D6</f>
        <v>317103</v>
      </c>
      <c r="C222" s="30">
        <f>MERSEYSIDE!E6</f>
        <v>315865</v>
      </c>
      <c r="D222" s="30">
        <f>MERSEYSIDE!F6</f>
        <v>316483</v>
      </c>
      <c r="E222" s="30">
        <f>MERSEYSIDE!G6</f>
        <v>317585</v>
      </c>
      <c r="F222" s="30">
        <f>MERSEYSIDE!H6</f>
        <v>319104</v>
      </c>
      <c r="G222" s="30">
        <f>MERSEYSIDE!I6</f>
        <v>299961</v>
      </c>
      <c r="H222" s="30">
        <f>MERSEYSIDE!J6</f>
        <v>303978</v>
      </c>
      <c r="I222" s="30">
        <f>MERSEYSIDE!K6</f>
        <v>312360</v>
      </c>
      <c r="J222" s="30">
        <f>MERSEYSIDE!L6</f>
        <v>313534</v>
      </c>
      <c r="K222" s="30">
        <f>MERSEYSIDE!M6</f>
        <v>310166</v>
      </c>
      <c r="L222" s="30">
        <f>MERSEYSIDE!N6</f>
        <v>333508</v>
      </c>
      <c r="M222" s="30">
        <f>MERSEYSIDE!O6</f>
        <v>332091</v>
      </c>
      <c r="N222" s="16"/>
      <c r="O222" s="24">
        <f t="shared" si="158"/>
        <v>4.1761444450297631</v>
      </c>
      <c r="P222" s="24">
        <f t="shared" si="158"/>
        <v>4.121358019858822</v>
      </c>
      <c r="Q222" s="24">
        <f t="shared" si="158"/>
        <v>4.1058496905852282</v>
      </c>
      <c r="R222" s="24">
        <f t="shared" si="158"/>
        <v>4.098188246832013</v>
      </c>
      <c r="S222" s="24">
        <f t="shared" si="158"/>
        <v>4.1370083231778461</v>
      </c>
      <c r="T222" s="24">
        <f t="shared" si="158"/>
        <v>3.958626969672975</v>
      </c>
      <c r="U222" s="24">
        <f t="shared" si="158"/>
        <v>4.0655619307466999</v>
      </c>
      <c r="V222" s="24">
        <f t="shared" si="158"/>
        <v>4.082336796706528</v>
      </c>
      <c r="W222" s="24">
        <f t="shared" si="158"/>
        <v>4.0637953158010705</v>
      </c>
      <c r="X222" s="24">
        <f t="shared" si="158"/>
        <v>4.0527622432446559</v>
      </c>
      <c r="Y222" s="24">
        <f t="shared" si="158"/>
        <v>4.5929516753198465</v>
      </c>
      <c r="Z222" s="24">
        <f t="shared" si="158"/>
        <v>4.5248320684533949</v>
      </c>
    </row>
    <row r="223" spans="1:26">
      <c r="A223" s="21" t="s">
        <v>5102</v>
      </c>
      <c r="B223" s="30">
        <f>MERSEYSIDE!D7</f>
        <v>138155</v>
      </c>
      <c r="C223" s="30">
        <f>MERSEYSIDE!E7</f>
        <v>137767</v>
      </c>
      <c r="D223" s="30">
        <f>MERSEYSIDE!F7</f>
        <v>137983</v>
      </c>
      <c r="E223" s="30">
        <f>MERSEYSIDE!G7</f>
        <v>138632</v>
      </c>
      <c r="F223" s="30">
        <f>MERSEYSIDE!H7</f>
        <v>135297</v>
      </c>
      <c r="G223" s="30">
        <f>MERSEYSIDE!I7</f>
        <v>134182</v>
      </c>
      <c r="H223" s="30">
        <f>MERSEYSIDE!J7</f>
        <v>130576</v>
      </c>
      <c r="I223" s="30">
        <f>MERSEYSIDE!K7</f>
        <v>133835</v>
      </c>
      <c r="J223" s="30">
        <f>MERSEYSIDE!L7</f>
        <v>136412</v>
      </c>
      <c r="K223" s="30">
        <f>MERSEYSIDE!M7</f>
        <v>135475</v>
      </c>
      <c r="L223" s="30">
        <f>MERSEYSIDE!N7</f>
        <v>138254</v>
      </c>
      <c r="M223" s="30">
        <f>MERSEYSIDE!O7</f>
        <v>138214</v>
      </c>
      <c r="N223" s="16"/>
      <c r="O223" s="24">
        <f t="shared" si="158"/>
        <v>1.8194568824737924</v>
      </c>
      <c r="P223" s="24">
        <f t="shared" si="158"/>
        <v>1.7975626622825902</v>
      </c>
      <c r="Q223" s="24">
        <f t="shared" si="158"/>
        <v>1.7901039166590988</v>
      </c>
      <c r="R223" s="24">
        <f t="shared" si="158"/>
        <v>1.7889384984643972</v>
      </c>
      <c r="S223" s="24">
        <f t="shared" si="158"/>
        <v>1.7540513910856432</v>
      </c>
      <c r="T223" s="24">
        <f t="shared" si="158"/>
        <v>1.7708184865521155</v>
      </c>
      <c r="U223" s="24">
        <f t="shared" si="158"/>
        <v>1.7463922213751688</v>
      </c>
      <c r="V223" s="24">
        <f t="shared" si="158"/>
        <v>1.7491341567013003</v>
      </c>
      <c r="W223" s="24">
        <f t="shared" si="158"/>
        <v>1.7680712350783507</v>
      </c>
      <c r="X223" s="24">
        <f t="shared" si="158"/>
        <v>1.770174567501176</v>
      </c>
      <c r="Y223" s="24">
        <f t="shared" si="158"/>
        <v>1.9039841350722322</v>
      </c>
      <c r="Z223" s="24">
        <f t="shared" si="158"/>
        <v>1.8832041202839507</v>
      </c>
    </row>
    <row r="224" spans="1:26">
      <c r="A224" s="21" t="s">
        <v>5103</v>
      </c>
      <c r="B224" s="30">
        <f>MERSEYSIDE!D8</f>
        <v>207522</v>
      </c>
      <c r="C224" s="30">
        <f>MERSEYSIDE!E8</f>
        <v>206323</v>
      </c>
      <c r="D224" s="30">
        <f>MERSEYSIDE!F8</f>
        <v>204776</v>
      </c>
      <c r="E224" s="30">
        <f>MERSEYSIDE!G8</f>
        <v>200718</v>
      </c>
      <c r="F224" s="30">
        <f>MERSEYSIDE!H8</f>
        <v>203483</v>
      </c>
      <c r="G224" s="30">
        <f>MERSEYSIDE!I8</f>
        <v>199765</v>
      </c>
      <c r="H224" s="30">
        <f>MERSEYSIDE!J8</f>
        <v>198900</v>
      </c>
      <c r="I224" s="30">
        <f>MERSEYSIDE!K8</f>
        <v>206451</v>
      </c>
      <c r="J224" s="30">
        <f>MERSEYSIDE!L8</f>
        <v>212684</v>
      </c>
      <c r="K224" s="30">
        <f>MERSEYSIDE!M8</f>
        <v>211003</v>
      </c>
      <c r="L224" s="30">
        <f>MERSEYSIDE!N8</f>
        <v>216796</v>
      </c>
      <c r="M224" s="30">
        <f>MERSEYSIDE!O8</f>
        <v>216316</v>
      </c>
      <c r="N224" s="16"/>
      <c r="O224" s="24">
        <f t="shared" si="158"/>
        <v>2.7329979455302111</v>
      </c>
      <c r="P224" s="24">
        <f t="shared" si="158"/>
        <v>2.6920708237105466</v>
      </c>
      <c r="Q224" s="24">
        <f t="shared" si="158"/>
        <v>2.6566339305405999</v>
      </c>
      <c r="R224" s="24">
        <f t="shared" si="158"/>
        <v>2.5901102020801612</v>
      </c>
      <c r="S224" s="24">
        <f t="shared" si="158"/>
        <v>2.638045479295771</v>
      </c>
      <c r="T224" s="24">
        <f t="shared" si="158"/>
        <v>2.6363264444268482</v>
      </c>
      <c r="U224" s="24">
        <f t="shared" si="158"/>
        <v>2.6601933956586286</v>
      </c>
      <c r="V224" s="24">
        <f t="shared" si="158"/>
        <v>2.6981768280729268</v>
      </c>
      <c r="W224" s="24">
        <f t="shared" si="158"/>
        <v>2.7566523660777933</v>
      </c>
      <c r="X224" s="24">
        <f t="shared" si="158"/>
        <v>2.7570558720535203</v>
      </c>
      <c r="Y224" s="24">
        <f t="shared" si="158"/>
        <v>2.9856361808491592</v>
      </c>
      <c r="Z224" s="24">
        <f t="shared" si="158"/>
        <v>2.9473655525731335</v>
      </c>
    </row>
    <row r="225" spans="1:26">
      <c r="A225" s="21" t="s">
        <v>5104</v>
      </c>
      <c r="B225" s="30">
        <f>MERSEYSIDE!D9</f>
        <v>240390</v>
      </c>
      <c r="C225" s="30">
        <f>MERSEYSIDE!E9</f>
        <v>239479</v>
      </c>
      <c r="D225" s="30">
        <f>MERSEYSIDE!F9</f>
        <v>237847</v>
      </c>
      <c r="E225" s="30">
        <f>MERSEYSIDE!G9</f>
        <v>239388</v>
      </c>
      <c r="F225" s="30">
        <f>MERSEYSIDE!H9</f>
        <v>238979</v>
      </c>
      <c r="G225" s="30">
        <f>MERSEYSIDE!I9</f>
        <v>233652</v>
      </c>
      <c r="H225" s="30">
        <f>MERSEYSIDE!J9</f>
        <v>234989</v>
      </c>
      <c r="I225" s="30">
        <f>MERSEYSIDE!K9</f>
        <v>239650</v>
      </c>
      <c r="J225" s="30">
        <f>MERSEYSIDE!L9</f>
        <v>240922</v>
      </c>
      <c r="K225" s="30">
        <f>MERSEYSIDE!M9</f>
        <v>237014</v>
      </c>
      <c r="L225" s="30">
        <f>MERSEYSIDE!N9</f>
        <v>244508</v>
      </c>
      <c r="M225" s="30">
        <f>MERSEYSIDE!O9</f>
        <v>244680</v>
      </c>
      <c r="N225" s="16"/>
      <c r="O225" s="24">
        <f t="shared" si="158"/>
        <v>3.1658589264078385</v>
      </c>
      <c r="P225" s="24">
        <f t="shared" si="158"/>
        <v>3.1246852207043228</v>
      </c>
      <c r="Q225" s="24">
        <f t="shared" si="158"/>
        <v>3.0856761069524268</v>
      </c>
      <c r="R225" s="24">
        <f t="shared" si="158"/>
        <v>3.0891165767672337</v>
      </c>
      <c r="S225" s="24">
        <f t="shared" si="158"/>
        <v>3.0982316488189383</v>
      </c>
      <c r="T225" s="24">
        <f t="shared" si="158"/>
        <v>3.0835378889856679</v>
      </c>
      <c r="U225" s="24">
        <f t="shared" si="158"/>
        <v>3.1428666960906257</v>
      </c>
      <c r="V225" s="24">
        <f t="shared" si="158"/>
        <v>3.1320656080507092</v>
      </c>
      <c r="W225" s="24">
        <f t="shared" si="158"/>
        <v>3.1226523920003109</v>
      </c>
      <c r="X225" s="24">
        <f t="shared" si="158"/>
        <v>3.0969267757278001</v>
      </c>
      <c r="Y225" s="24">
        <f t="shared" si="158"/>
        <v>3.3672758321512677</v>
      </c>
      <c r="Z225" s="24">
        <f t="shared" si="158"/>
        <v>3.3338329268458846</v>
      </c>
    </row>
    <row r="226" spans="1:26">
      <c r="A226" s="21" t="s">
        <v>5105</v>
      </c>
      <c r="B226" s="23">
        <f t="shared" ref="B226:G226" si="159">SUM(B221:B225)</f>
        <v>1014398</v>
      </c>
      <c r="C226" s="23">
        <f t="shared" si="159"/>
        <v>1010822</v>
      </c>
      <c r="D226" s="23">
        <f t="shared" si="159"/>
        <v>1008921</v>
      </c>
      <c r="E226" s="23">
        <f t="shared" si="159"/>
        <v>1008939</v>
      </c>
      <c r="F226" s="23">
        <f t="shared" si="159"/>
        <v>1009128</v>
      </c>
      <c r="G226" s="23">
        <f t="shared" si="159"/>
        <v>978073</v>
      </c>
      <c r="H226" s="23">
        <f t="shared" ref="H226:M226" si="160">SUM(H221:H225)</f>
        <v>978417</v>
      </c>
      <c r="I226" s="23">
        <f t="shared" si="160"/>
        <v>1006300</v>
      </c>
      <c r="J226" s="23">
        <f t="shared" si="160"/>
        <v>1018857</v>
      </c>
      <c r="K226" s="23">
        <f t="shared" si="160"/>
        <v>1009612</v>
      </c>
      <c r="L226" s="23">
        <f t="shared" si="160"/>
        <v>1051720</v>
      </c>
      <c r="M226" s="23">
        <f t="shared" si="160"/>
        <v>1049947</v>
      </c>
      <c r="N226" s="16"/>
      <c r="O226" s="24">
        <f t="shared" si="158"/>
        <v>13.359295158826319</v>
      </c>
      <c r="P226" s="24">
        <f t="shared" si="158"/>
        <v>13.18905024725669</v>
      </c>
      <c r="Q226" s="24">
        <f t="shared" si="158"/>
        <v>13.089101075492016</v>
      </c>
      <c r="R226" s="24">
        <f t="shared" si="158"/>
        <v>13.019575709087155</v>
      </c>
      <c r="S226" s="24">
        <f t="shared" si="158"/>
        <v>13.082790987113336</v>
      </c>
      <c r="T226" s="24">
        <f t="shared" si="158"/>
        <v>12.907765196505398</v>
      </c>
      <c r="U226" s="24">
        <f t="shared" si="158"/>
        <v>13.085864462544638</v>
      </c>
      <c r="V226" s="24">
        <f t="shared" si="158"/>
        <v>13.151669607266548</v>
      </c>
      <c r="W226" s="24">
        <f t="shared" si="158"/>
        <v>13.205669254598007</v>
      </c>
      <c r="X226" s="24">
        <f t="shared" si="158"/>
        <v>13.192024251293576</v>
      </c>
      <c r="Y226" s="24">
        <f t="shared" si="158"/>
        <v>14.483907840193904</v>
      </c>
      <c r="Z226" s="24">
        <f t="shared" si="158"/>
        <v>14.30581935606938</v>
      </c>
    </row>
    <row r="227" spans="1:26">
      <c r="A227" s="21"/>
      <c r="B227" s="23"/>
      <c r="C227" s="23"/>
      <c r="D227" s="23"/>
      <c r="E227" s="23"/>
      <c r="F227" s="23"/>
      <c r="G227" s="23"/>
      <c r="H227" s="23"/>
      <c r="I227" s="23"/>
      <c r="J227" s="23"/>
      <c r="K227" s="23"/>
      <c r="L227" s="23"/>
      <c r="M227" s="23"/>
      <c r="N227" s="16"/>
      <c r="O227" s="24"/>
      <c r="P227" s="24"/>
      <c r="Q227" s="24"/>
      <c r="R227" s="24"/>
      <c r="S227" s="24"/>
      <c r="T227" s="24"/>
      <c r="U227" s="24"/>
      <c r="V227" s="24"/>
      <c r="W227" s="24"/>
      <c r="X227" s="24"/>
      <c r="Y227" s="24"/>
      <c r="Z227" s="24"/>
    </row>
    <row r="228" spans="1:26">
      <c r="A228" s="29" t="s">
        <v>5375</v>
      </c>
      <c r="B228" s="27">
        <f t="shared" ref="B228:M228" si="161">B182+B190+B202+B219+B226</f>
        <v>5227189</v>
      </c>
      <c r="C228" s="27">
        <f t="shared" si="161"/>
        <v>5253019</v>
      </c>
      <c r="D228" s="27">
        <f t="shared" si="161"/>
        <v>5256018</v>
      </c>
      <c r="E228" s="27">
        <f t="shared" si="161"/>
        <v>5269500</v>
      </c>
      <c r="F228" s="27">
        <f t="shared" si="161"/>
        <v>5262610</v>
      </c>
      <c r="G228" s="27">
        <f t="shared" si="161"/>
        <v>5134029</v>
      </c>
      <c r="H228" s="27">
        <f t="shared" si="161"/>
        <v>5074302</v>
      </c>
      <c r="I228" s="27">
        <f t="shared" si="161"/>
        <v>5179551</v>
      </c>
      <c r="J228" s="27">
        <f t="shared" si="161"/>
        <v>5243395</v>
      </c>
      <c r="K228" s="27">
        <f t="shared" si="161"/>
        <v>5214449</v>
      </c>
      <c r="L228" s="27">
        <f t="shared" si="161"/>
        <v>5383886</v>
      </c>
      <c r="M228" s="27">
        <f t="shared" si="161"/>
        <v>5381549</v>
      </c>
      <c r="N228" s="27"/>
      <c r="O228" s="28">
        <f t="shared" ref="O228:Z228" si="162">B228/B$451</f>
        <v>68.840396670705374</v>
      </c>
      <c r="P228" s="28">
        <f t="shared" si="162"/>
        <v>68.540585326391877</v>
      </c>
      <c r="Q228" s="28">
        <f t="shared" si="162"/>
        <v>68.188243536020551</v>
      </c>
      <c r="R228" s="28">
        <f t="shared" si="162"/>
        <v>67.998812811314423</v>
      </c>
      <c r="S228" s="28">
        <f t="shared" si="162"/>
        <v>68.226851971893069</v>
      </c>
      <c r="T228" s="28">
        <f t="shared" si="162"/>
        <v>67.754493625781933</v>
      </c>
      <c r="U228" s="28">
        <f t="shared" si="162"/>
        <v>67.866388476507638</v>
      </c>
      <c r="V228" s="28">
        <f t="shared" si="162"/>
        <v>67.693275828268966</v>
      </c>
      <c r="W228" s="28">
        <f t="shared" si="162"/>
        <v>67.960999572278453</v>
      </c>
      <c r="X228" s="28">
        <f t="shared" si="162"/>
        <v>68.134231432603357</v>
      </c>
      <c r="Y228" s="28">
        <f t="shared" si="162"/>
        <v>74.144932725545019</v>
      </c>
      <c r="Z228" s="28">
        <f t="shared" si="162"/>
        <v>73.325099123894645</v>
      </c>
    </row>
    <row r="229" spans="1:26">
      <c r="A229" s="21"/>
      <c r="B229" s="23"/>
      <c r="C229" s="23"/>
      <c r="D229" s="23"/>
      <c r="E229" s="23"/>
      <c r="F229" s="23"/>
      <c r="G229" s="23"/>
      <c r="H229" s="23"/>
      <c r="I229" s="23"/>
      <c r="J229" s="23"/>
      <c r="K229" s="23"/>
      <c r="L229" s="23"/>
      <c r="M229" s="23"/>
      <c r="N229" s="16"/>
      <c r="O229" s="24"/>
      <c r="P229" s="24"/>
      <c r="Q229" s="24"/>
      <c r="R229" s="24"/>
      <c r="S229" s="24"/>
      <c r="T229" s="24"/>
      <c r="U229" s="24"/>
      <c r="V229" s="24"/>
      <c r="W229" s="24"/>
      <c r="X229" s="24"/>
      <c r="Y229" s="24"/>
      <c r="Z229" s="24"/>
    </row>
    <row r="230" spans="1:26">
      <c r="A230" s="21" t="s">
        <v>3737</v>
      </c>
      <c r="B230" s="23"/>
      <c r="C230" s="23"/>
      <c r="D230" s="23"/>
      <c r="E230" s="23"/>
      <c r="F230" s="23"/>
      <c r="G230" s="23"/>
      <c r="H230" s="23"/>
      <c r="I230" s="23"/>
      <c r="J230" s="23"/>
      <c r="K230" s="23"/>
      <c r="L230" s="23"/>
      <c r="M230" s="23"/>
      <c r="N230" s="16"/>
      <c r="O230" s="24"/>
      <c r="P230" s="24"/>
      <c r="Q230" s="24"/>
      <c r="R230" s="24"/>
      <c r="S230" s="24"/>
      <c r="T230" s="24"/>
      <c r="U230" s="24"/>
      <c r="V230" s="24"/>
      <c r="W230" s="24"/>
      <c r="X230" s="24"/>
      <c r="Y230" s="24"/>
      <c r="Z230" s="24"/>
    </row>
    <row r="231" spans="1:26">
      <c r="A231" s="21"/>
      <c r="B231" s="23"/>
      <c r="C231" s="23"/>
      <c r="D231" s="23"/>
      <c r="E231" s="23"/>
      <c r="F231" s="23"/>
      <c r="G231" s="23"/>
      <c r="H231" s="23"/>
      <c r="I231" s="23"/>
      <c r="J231" s="23"/>
      <c r="K231" s="23"/>
      <c r="L231" s="23"/>
      <c r="M231" s="23"/>
      <c r="N231" s="16"/>
      <c r="O231" s="24"/>
      <c r="P231" s="24"/>
      <c r="Q231" s="24"/>
      <c r="R231" s="24"/>
      <c r="S231" s="24"/>
      <c r="T231" s="24"/>
      <c r="U231" s="24"/>
      <c r="V231" s="24"/>
      <c r="W231" s="24"/>
      <c r="X231" s="24"/>
      <c r="Y231" s="24"/>
      <c r="Z231" s="24"/>
    </row>
    <row r="232" spans="1:26">
      <c r="A232" s="21" t="s">
        <v>11462</v>
      </c>
      <c r="B232" s="23">
        <f>BERKSHIRE!D3</f>
        <v>81831</v>
      </c>
      <c r="C232" s="23">
        <f>BERKSHIRE!E3</f>
        <v>82764</v>
      </c>
      <c r="D232" s="23">
        <f>BERKSHIRE!F3</f>
        <v>82926</v>
      </c>
      <c r="E232" s="23">
        <f>BERKSHIRE!G3</f>
        <v>83644</v>
      </c>
      <c r="F232" s="23">
        <f>BERKSHIRE!H3</f>
        <v>84240</v>
      </c>
      <c r="G232" s="23">
        <f>BERKSHIRE!I3</f>
        <v>81494</v>
      </c>
      <c r="H232" s="23">
        <f>BERKSHIRE!J3</f>
        <v>82150</v>
      </c>
      <c r="I232" s="23">
        <f>BERKSHIRE!K3</f>
        <v>84176</v>
      </c>
      <c r="J232" s="23">
        <f>BERKSHIRE!L3</f>
        <v>85182</v>
      </c>
      <c r="K232" s="23">
        <f>BERKSHIRE!M3</f>
        <v>84605</v>
      </c>
      <c r="L232" s="23">
        <f>BERKSHIRE!N3</f>
        <v>84181</v>
      </c>
      <c r="M232" s="23">
        <f>BERKSHIRE!O3</f>
        <v>86365</v>
      </c>
      <c r="N232" s="16"/>
      <c r="O232" s="24">
        <f t="shared" ref="O232:Z238" si="163">B232/B$451</f>
        <v>1.0776879313069589</v>
      </c>
      <c r="P232" s="24">
        <f t="shared" si="163"/>
        <v>1.0798919638313695</v>
      </c>
      <c r="Q232" s="24">
        <f t="shared" si="163"/>
        <v>1.0758293224011106</v>
      </c>
      <c r="R232" s="24">
        <f t="shared" si="163"/>
        <v>1.079360982785764</v>
      </c>
      <c r="S232" s="24">
        <f t="shared" si="163"/>
        <v>1.092125392174657</v>
      </c>
      <c r="T232" s="24">
        <f t="shared" si="163"/>
        <v>1.0754876342808879</v>
      </c>
      <c r="U232" s="24">
        <f t="shared" si="163"/>
        <v>1.0987173828725809</v>
      </c>
      <c r="V232" s="24">
        <f t="shared" si="163"/>
        <v>1.1001241586617003</v>
      </c>
      <c r="W232" s="24">
        <f t="shared" si="163"/>
        <v>1.1040659468847613</v>
      </c>
      <c r="X232" s="24">
        <f t="shared" si="163"/>
        <v>1.1054852872001255</v>
      </c>
      <c r="Y232" s="24">
        <f t="shared" si="163"/>
        <v>1.1593103163345406</v>
      </c>
      <c r="Z232" s="24">
        <f t="shared" si="163"/>
        <v>1.1767471012221875</v>
      </c>
    </row>
    <row r="233" spans="1:26">
      <c r="A233" s="21" t="s">
        <v>11463</v>
      </c>
      <c r="B233" s="23">
        <f>BERKSHIRE!D4</f>
        <v>104169</v>
      </c>
      <c r="C233" s="23">
        <f>BERKSHIRE!E4</f>
        <v>109451</v>
      </c>
      <c r="D233" s="23">
        <f>BERKSHIRE!F4</f>
        <v>111680</v>
      </c>
      <c r="E233" s="23">
        <f>BERKSHIRE!G4</f>
        <v>109811</v>
      </c>
      <c r="F233" s="23">
        <f>BERKSHIRE!H4</f>
        <v>110047</v>
      </c>
      <c r="G233" s="23">
        <f>BERKSHIRE!I4</f>
        <v>99868</v>
      </c>
      <c r="H233" s="23">
        <f>BERKSHIRE!J4</f>
        <v>95878</v>
      </c>
      <c r="I233" s="23">
        <f>BERKSHIRE!K4</f>
        <v>101011</v>
      </c>
      <c r="J233" s="23">
        <f>BERKSHIRE!L4</f>
        <v>102641</v>
      </c>
      <c r="K233" s="23">
        <f>BERKSHIRE!M4</f>
        <v>100396</v>
      </c>
      <c r="L233" s="23">
        <f>BERKSHIRE!N4</f>
        <v>108488</v>
      </c>
      <c r="M233" s="23">
        <f>BERKSHIRE!O4</f>
        <v>107541</v>
      </c>
      <c r="N233" s="16"/>
      <c r="O233" s="24">
        <f t="shared" si="163"/>
        <v>1.3718722014433968</v>
      </c>
      <c r="P233" s="24">
        <f t="shared" si="163"/>
        <v>1.428099842121058</v>
      </c>
      <c r="Q233" s="24">
        <f t="shared" si="163"/>
        <v>1.4488654791712614</v>
      </c>
      <c r="R233" s="24">
        <f t="shared" si="163"/>
        <v>1.4170258342581361</v>
      </c>
      <c r="S233" s="24">
        <f t="shared" si="163"/>
        <v>1.4266989913656754</v>
      </c>
      <c r="T233" s="24">
        <f t="shared" si="163"/>
        <v>1.3179718636999498</v>
      </c>
      <c r="U233" s="24">
        <f t="shared" si="163"/>
        <v>1.282322887827843</v>
      </c>
      <c r="V233" s="24">
        <f t="shared" si="163"/>
        <v>1.3201463765274783</v>
      </c>
      <c r="W233" s="24">
        <f t="shared" si="163"/>
        <v>1.3303565642295179</v>
      </c>
      <c r="X233" s="24">
        <f t="shared" si="163"/>
        <v>1.3118172790466733</v>
      </c>
      <c r="Y233" s="24">
        <f t="shared" si="163"/>
        <v>1.4940575379064356</v>
      </c>
      <c r="Z233" s="24">
        <f t="shared" si="163"/>
        <v>1.4652759799980926</v>
      </c>
    </row>
    <row r="234" spans="1:26">
      <c r="A234" s="21" t="s">
        <v>11464</v>
      </c>
      <c r="B234" s="23">
        <f>BERKSHIRE!D5</f>
        <v>82005</v>
      </c>
      <c r="C234" s="23">
        <f>BERKSHIRE!E5</f>
        <v>84908</v>
      </c>
      <c r="D234" s="23">
        <f>BERKSHIRE!F5</f>
        <v>85694</v>
      </c>
      <c r="E234" s="23">
        <f>BERKSHIRE!G5</f>
        <v>87024</v>
      </c>
      <c r="F234" s="23">
        <f>BERKSHIRE!H5</f>
        <v>88433</v>
      </c>
      <c r="G234" s="23">
        <f>BERKSHIRE!I5</f>
        <v>87772</v>
      </c>
      <c r="H234" s="23">
        <f>BERKSHIRE!J5</f>
        <v>80072</v>
      </c>
      <c r="I234" s="23">
        <f>BERKSHIRE!K5</f>
        <v>84478</v>
      </c>
      <c r="J234" s="23">
        <f>BERKSHIRE!L5</f>
        <v>84311</v>
      </c>
      <c r="K234" s="23">
        <f>BERKSHIRE!M5</f>
        <v>85577</v>
      </c>
      <c r="L234" s="23">
        <f>BERKSHIRE!N5</f>
        <v>86758</v>
      </c>
      <c r="M234" s="23">
        <f>BERKSHIRE!O5</f>
        <v>87846</v>
      </c>
      <c r="N234" s="16"/>
      <c r="O234" s="24">
        <f t="shared" si="163"/>
        <v>1.0799794553021125</v>
      </c>
      <c r="P234" s="24">
        <f t="shared" si="163"/>
        <v>1.1078665466264792</v>
      </c>
      <c r="Q234" s="24">
        <f t="shared" si="163"/>
        <v>1.1117395986040659</v>
      </c>
      <c r="R234" s="24">
        <f t="shared" si="163"/>
        <v>1.1229772627558263</v>
      </c>
      <c r="S234" s="24">
        <f t="shared" si="163"/>
        <v>1.1464853372053829</v>
      </c>
      <c r="T234" s="24">
        <f t="shared" si="163"/>
        <v>1.1583392720458205</v>
      </c>
      <c r="U234" s="24">
        <f t="shared" si="163"/>
        <v>1.0709251160240207</v>
      </c>
      <c r="V234" s="24">
        <f t="shared" si="163"/>
        <v>1.1040710971704895</v>
      </c>
      <c r="W234" s="24">
        <f t="shared" si="163"/>
        <v>1.0927766904721787</v>
      </c>
      <c r="X234" s="24">
        <f t="shared" si="163"/>
        <v>1.1181858568964615</v>
      </c>
      <c r="Y234" s="24">
        <f t="shared" si="163"/>
        <v>1.1947998292316804</v>
      </c>
      <c r="Z234" s="24">
        <f t="shared" si="163"/>
        <v>1.1969261373700488</v>
      </c>
    </row>
    <row r="235" spans="1:26">
      <c r="A235" s="21" t="s">
        <v>11465</v>
      </c>
      <c r="B235" s="23">
        <f>BERKSHIRE!D6</f>
        <v>113835</v>
      </c>
      <c r="C235" s="23">
        <f>BERKSHIRE!E6</f>
        <v>113065</v>
      </c>
      <c r="D235" s="23">
        <f>BERKSHIRE!F6</f>
        <v>111375</v>
      </c>
      <c r="E235" s="23">
        <f>BERKSHIRE!G6</f>
        <v>114661</v>
      </c>
      <c r="F235" s="23">
        <f>BERKSHIRE!H6</f>
        <v>113985</v>
      </c>
      <c r="G235" s="23">
        <f>BERKSHIRE!I6</f>
        <v>112436</v>
      </c>
      <c r="H235" s="23">
        <f>BERKSHIRE!J6</f>
        <v>114469</v>
      </c>
      <c r="I235" s="23">
        <f>BERKSHIRE!K6</f>
        <v>118152</v>
      </c>
      <c r="J235" s="23">
        <f>BERKSHIRE!L6</f>
        <v>118317</v>
      </c>
      <c r="K235" s="23">
        <f>BERKSHIRE!M6</f>
        <v>117789</v>
      </c>
      <c r="L235" s="23">
        <f>BERKSHIRE!N6</f>
        <v>120776</v>
      </c>
      <c r="M235" s="23">
        <f>BERKSHIRE!O6</f>
        <v>120432</v>
      </c>
      <c r="N235" s="16"/>
      <c r="O235" s="24">
        <f t="shared" si="163"/>
        <v>1.4991703102776168</v>
      </c>
      <c r="P235" s="24">
        <f t="shared" si="163"/>
        <v>1.4752547592019938</v>
      </c>
      <c r="Q235" s="24">
        <f t="shared" si="163"/>
        <v>1.4449086026387825</v>
      </c>
      <c r="R235" s="24">
        <f t="shared" si="163"/>
        <v>1.4796113247477225</v>
      </c>
      <c r="S235" s="24">
        <f t="shared" si="163"/>
        <v>1.4777530012705162</v>
      </c>
      <c r="T235" s="24">
        <f t="shared" si="163"/>
        <v>1.4838335048961384</v>
      </c>
      <c r="U235" s="24">
        <f t="shared" si="163"/>
        <v>1.5309687169816368</v>
      </c>
      <c r="V235" s="24">
        <f t="shared" si="163"/>
        <v>1.5441678102332876</v>
      </c>
      <c r="W235" s="24">
        <f t="shared" si="163"/>
        <v>1.5335372571384134</v>
      </c>
      <c r="X235" s="24">
        <f t="shared" si="163"/>
        <v>1.539081691318664</v>
      </c>
      <c r="Y235" s="24">
        <f t="shared" si="163"/>
        <v>1.6632834340958231</v>
      </c>
      <c r="Z235" s="24">
        <f t="shared" si="163"/>
        <v>1.6409194337334623</v>
      </c>
    </row>
    <row r="236" spans="1:26">
      <c r="A236" s="21" t="s">
        <v>11466</v>
      </c>
      <c r="B236" s="23">
        <f>BERKSHIRE!D7</f>
        <v>97888</v>
      </c>
      <c r="C236" s="23">
        <f>BERKSHIRE!E7</f>
        <v>100820</v>
      </c>
      <c r="D236" s="23">
        <f>BERKSHIRE!F7</f>
        <v>102251</v>
      </c>
      <c r="E236" s="23">
        <f>BERKSHIRE!G7</f>
        <v>102413</v>
      </c>
      <c r="F236" s="23">
        <f>BERKSHIRE!H7</f>
        <v>101745</v>
      </c>
      <c r="G236" s="23">
        <f>BERKSHIRE!I7</f>
        <v>99418</v>
      </c>
      <c r="H236" s="23">
        <f>BERKSHIRE!J7</f>
        <v>97048</v>
      </c>
      <c r="I236" s="23">
        <f>BERKSHIRE!K7</f>
        <v>102100</v>
      </c>
      <c r="J236" s="23">
        <f>BERKSHIRE!L7</f>
        <v>103106</v>
      </c>
      <c r="K236" s="23">
        <f>BERKSHIRE!M7</f>
        <v>102055</v>
      </c>
      <c r="L236" s="23">
        <f>BERKSHIRE!N7</f>
        <v>107183</v>
      </c>
      <c r="M236" s="23">
        <f>BERKSHIRE!O7</f>
        <v>107695</v>
      </c>
      <c r="N236" s="16"/>
      <c r="O236" s="24">
        <f t="shared" si="163"/>
        <v>1.2891534530896065</v>
      </c>
      <c r="P236" s="24">
        <f t="shared" si="163"/>
        <v>1.3154838793857073</v>
      </c>
      <c r="Q236" s="24">
        <f t="shared" si="163"/>
        <v>1.3265396141721046</v>
      </c>
      <c r="R236" s="24">
        <f t="shared" si="163"/>
        <v>1.3215603788680415</v>
      </c>
      <c r="S236" s="24">
        <f t="shared" si="163"/>
        <v>1.3190681152280448</v>
      </c>
      <c r="T236" s="24">
        <f t="shared" si="163"/>
        <v>1.3120331512128172</v>
      </c>
      <c r="U236" s="24">
        <f t="shared" si="163"/>
        <v>1.2979710842728938</v>
      </c>
      <c r="V236" s="24">
        <f t="shared" si="163"/>
        <v>1.3343788799581782</v>
      </c>
      <c r="W236" s="24">
        <f t="shared" si="163"/>
        <v>1.3363835495703342</v>
      </c>
      <c r="X236" s="24">
        <f t="shared" si="163"/>
        <v>1.3334944859666544</v>
      </c>
      <c r="Y236" s="24">
        <f t="shared" si="163"/>
        <v>1.4760855494195255</v>
      </c>
      <c r="Z236" s="24">
        <f t="shared" si="163"/>
        <v>1.4673742727508072</v>
      </c>
    </row>
    <row r="237" spans="1:26">
      <c r="A237" s="21" t="s">
        <v>11467</v>
      </c>
      <c r="B237" s="23">
        <f>BERKSHIRE!D8</f>
        <v>118450</v>
      </c>
      <c r="C237" s="23">
        <f>BERKSHIRE!E8</f>
        <v>117640</v>
      </c>
      <c r="D237" s="23">
        <f>BERKSHIRE!F8</f>
        <v>118427</v>
      </c>
      <c r="E237" s="23">
        <f>BERKSHIRE!G8</f>
        <v>118694</v>
      </c>
      <c r="F237" s="23">
        <f>BERKSHIRE!H8</f>
        <v>119191</v>
      </c>
      <c r="G237" s="23">
        <f>BERKSHIRE!I8</f>
        <v>117037</v>
      </c>
      <c r="H237" s="23">
        <f>BERKSHIRE!J8</f>
        <v>118059</v>
      </c>
      <c r="I237" s="23">
        <f>BERKSHIRE!K8</f>
        <v>121681</v>
      </c>
      <c r="J237" s="23">
        <f>BERKSHIRE!L8</f>
        <v>120451</v>
      </c>
      <c r="K237" s="23">
        <f>BERKSHIRE!M8</f>
        <v>119715</v>
      </c>
      <c r="L237" s="23">
        <f>BERKSHIRE!N8</f>
        <v>128118</v>
      </c>
      <c r="M237" s="23">
        <f>BERKSHIRE!O8</f>
        <v>125258</v>
      </c>
      <c r="N237" s="16"/>
      <c r="O237" s="24">
        <f t="shared" si="163"/>
        <v>1.5599483748617184</v>
      </c>
      <c r="P237" s="24">
        <f t="shared" si="163"/>
        <v>1.5349486567242077</v>
      </c>
      <c r="Q237" s="24">
        <f t="shared" si="163"/>
        <v>1.536396777415965</v>
      </c>
      <c r="R237" s="24">
        <f t="shared" si="163"/>
        <v>1.5316540635404032</v>
      </c>
      <c r="S237" s="24">
        <f t="shared" si="163"/>
        <v>1.5452459356444628</v>
      </c>
      <c r="T237" s="24">
        <f t="shared" si="163"/>
        <v>1.5445535407923563</v>
      </c>
      <c r="U237" s="24">
        <f t="shared" si="163"/>
        <v>1.5789832684668781</v>
      </c>
      <c r="V237" s="24">
        <f t="shared" si="163"/>
        <v>1.590289485721754</v>
      </c>
      <c r="W237" s="24">
        <f t="shared" si="163"/>
        <v>1.561196583412181</v>
      </c>
      <c r="X237" s="24">
        <f t="shared" si="163"/>
        <v>1.5642476349762191</v>
      </c>
      <c r="Y237" s="24">
        <f t="shared" si="163"/>
        <v>1.7643948053378871</v>
      </c>
      <c r="Z237" s="24">
        <f t="shared" si="163"/>
        <v>1.7066750235036039</v>
      </c>
    </row>
    <row r="238" spans="1:26">
      <c r="A238" s="25" t="s">
        <v>10426</v>
      </c>
      <c r="B238" s="23">
        <f t="shared" ref="B238:G238" si="164">SUM(B232:B237)</f>
        <v>598178</v>
      </c>
      <c r="C238" s="23">
        <f t="shared" si="164"/>
        <v>608648</v>
      </c>
      <c r="D238" s="23">
        <f t="shared" si="164"/>
        <v>612353</v>
      </c>
      <c r="E238" s="23">
        <f t="shared" si="164"/>
        <v>616247</v>
      </c>
      <c r="F238" s="23">
        <f t="shared" si="164"/>
        <v>617641</v>
      </c>
      <c r="G238" s="23">
        <f t="shared" si="164"/>
        <v>598025</v>
      </c>
      <c r="H238" s="23">
        <f t="shared" ref="H238:M238" si="165">SUM(H232:H237)</f>
        <v>587676</v>
      </c>
      <c r="I238" s="23">
        <f t="shared" si="165"/>
        <v>611598</v>
      </c>
      <c r="J238" s="23">
        <f t="shared" si="165"/>
        <v>614008</v>
      </c>
      <c r="K238" s="23">
        <f t="shared" si="165"/>
        <v>610137</v>
      </c>
      <c r="L238" s="23">
        <f t="shared" si="165"/>
        <v>635504</v>
      </c>
      <c r="M238" s="23">
        <f t="shared" si="165"/>
        <v>635137</v>
      </c>
      <c r="N238" s="16"/>
      <c r="O238" s="24">
        <f t="shared" si="163"/>
        <v>7.8778117262814096</v>
      </c>
      <c r="P238" s="24">
        <f t="shared" si="163"/>
        <v>7.9415456478908153</v>
      </c>
      <c r="Q238" s="24">
        <f t="shared" si="163"/>
        <v>7.9442793944032903</v>
      </c>
      <c r="R238" s="24">
        <f t="shared" si="163"/>
        <v>7.9521898469558936</v>
      </c>
      <c r="S238" s="24">
        <f t="shared" si="163"/>
        <v>8.0073767728887386</v>
      </c>
      <c r="T238" s="24">
        <f t="shared" si="163"/>
        <v>7.8922189669279703</v>
      </c>
      <c r="U238" s="24">
        <f t="shared" si="163"/>
        <v>7.8598884564458533</v>
      </c>
      <c r="V238" s="24">
        <f t="shared" si="163"/>
        <v>7.9931778082728879</v>
      </c>
      <c r="W238" s="24">
        <f t="shared" si="163"/>
        <v>7.958316591707387</v>
      </c>
      <c r="X238" s="24">
        <f t="shared" si="163"/>
        <v>7.9723122354047984</v>
      </c>
      <c r="Y238" s="24">
        <f t="shared" si="163"/>
        <v>8.7519314723258912</v>
      </c>
      <c r="Z238" s="24">
        <f t="shared" si="163"/>
        <v>8.6539179485782025</v>
      </c>
    </row>
    <row r="239" spans="1:26">
      <c r="A239" s="21"/>
      <c r="B239" s="23"/>
      <c r="C239" s="23"/>
      <c r="D239" s="23"/>
      <c r="E239" s="23"/>
      <c r="F239" s="23"/>
      <c r="G239" s="23"/>
      <c r="H239" s="23"/>
      <c r="I239" s="23"/>
      <c r="J239" s="23"/>
      <c r="K239" s="23"/>
      <c r="L239" s="23"/>
      <c r="M239" s="23"/>
      <c r="N239" s="16"/>
      <c r="O239" s="24"/>
      <c r="P239" s="24"/>
      <c r="Q239" s="24"/>
      <c r="R239" s="24"/>
      <c r="S239" s="24"/>
      <c r="T239" s="24"/>
      <c r="U239" s="24"/>
      <c r="V239" s="24"/>
      <c r="W239" s="24"/>
      <c r="X239" s="24"/>
      <c r="Y239" s="24"/>
      <c r="Z239" s="24"/>
    </row>
    <row r="240" spans="1:26">
      <c r="A240" s="16" t="s">
        <v>15028</v>
      </c>
      <c r="B240" s="23">
        <f>BUCKINGHAMSHIRE!D3</f>
        <v>370704</v>
      </c>
      <c r="C240" s="23">
        <f>BUCKINGHAMSHIRE!E3</f>
        <v>374380</v>
      </c>
      <c r="D240" s="23">
        <f>BUCKINGHAMSHIRE!F3</f>
        <v>376345</v>
      </c>
      <c r="E240" s="23">
        <f>BUCKINGHAMSHIRE!G3</f>
        <v>377748</v>
      </c>
      <c r="F240" s="23">
        <f>BUCKINGHAMSHIRE!H3</f>
        <v>385937</v>
      </c>
      <c r="G240" s="23">
        <f>BUCKINGHAMSHIRE!I3</f>
        <v>379056</v>
      </c>
      <c r="H240" s="23">
        <f>BUCKINGHAMSHIRE!J3</f>
        <v>366601</v>
      </c>
      <c r="I240" s="23">
        <f>BUCKINGHAMSHIRE!K3</f>
        <v>382221</v>
      </c>
      <c r="J240" s="23">
        <f>BUCKINGHAMSHIRE!L3</f>
        <v>385850</v>
      </c>
      <c r="K240" s="23">
        <f>BUCKINGHAMSHIRE!M3</f>
        <v>386314</v>
      </c>
      <c r="L240" s="23">
        <f>BUCKINGHAMSHIRE!N3</f>
        <v>396962</v>
      </c>
      <c r="M240" s="23">
        <f>BUCKINGHAMSHIRE!O3</f>
        <v>398814</v>
      </c>
      <c r="N240" s="16"/>
      <c r="O240" s="24">
        <f t="shared" ref="O240:X242" si="166">B240/B$451</f>
        <v>4.8820523626402572</v>
      </c>
      <c r="P240" s="24">
        <f t="shared" si="166"/>
        <v>4.8848527550527789</v>
      </c>
      <c r="Q240" s="24">
        <f t="shared" si="166"/>
        <v>4.8824613069368583</v>
      </c>
      <c r="R240" s="24">
        <f t="shared" si="166"/>
        <v>4.8745451260742767</v>
      </c>
      <c r="S240" s="24">
        <f t="shared" si="166"/>
        <v>5.0034615085435732</v>
      </c>
      <c r="T240" s="24">
        <f t="shared" si="166"/>
        <v>5.0024546678280153</v>
      </c>
      <c r="U240" s="24">
        <f t="shared" si="166"/>
        <v>4.9031149273094465</v>
      </c>
      <c r="V240" s="24">
        <f t="shared" si="166"/>
        <v>4.995373456185062</v>
      </c>
      <c r="W240" s="24">
        <f t="shared" si="166"/>
        <v>5.0011017069977832</v>
      </c>
      <c r="X240" s="24">
        <f t="shared" si="166"/>
        <v>5.0477447342288198</v>
      </c>
      <c r="Y240" s="24">
        <f t="shared" ref="Y240:Z242" si="167">L240/L$451</f>
        <v>5.4668172365829806</v>
      </c>
      <c r="Z240" s="24">
        <f t="shared" si="167"/>
        <v>5.4339514667611351</v>
      </c>
    </row>
    <row r="241" spans="1:26">
      <c r="A241" s="21" t="s">
        <v>6648</v>
      </c>
      <c r="B241" s="23">
        <f>'MILTON KEYNES'!D3</f>
        <v>168892</v>
      </c>
      <c r="C241" s="23">
        <f>'MILTON KEYNES'!E3</f>
        <v>166778</v>
      </c>
      <c r="D241" s="23">
        <f>'MILTON KEYNES'!F3</f>
        <v>171221</v>
      </c>
      <c r="E241" s="23">
        <f>'MILTON KEYNES'!G3</f>
        <v>174497</v>
      </c>
      <c r="F241" s="23">
        <f>'MILTON KEYNES'!H3</f>
        <v>177085</v>
      </c>
      <c r="G241" s="23">
        <f>'MILTON KEYNES'!I3</f>
        <v>172712</v>
      </c>
      <c r="H241" s="23">
        <f>'MILTON KEYNES'!J3</f>
        <v>169933</v>
      </c>
      <c r="I241" s="23">
        <f>'MILTON KEYNES'!K3</f>
        <v>178749</v>
      </c>
      <c r="J241" s="23">
        <f>'MILTON KEYNES'!L3</f>
        <v>180641</v>
      </c>
      <c r="K241" s="23">
        <f>'MILTON KEYNES'!M3</f>
        <v>179654</v>
      </c>
      <c r="L241" s="23">
        <f>'MILTON KEYNES'!N3</f>
        <v>188562</v>
      </c>
      <c r="M241" s="23">
        <f>'MILTON KEYNES'!O3</f>
        <v>188273</v>
      </c>
      <c r="N241" s="16"/>
      <c r="O241" s="24">
        <f t="shared" si="166"/>
        <v>2.2242532792498553</v>
      </c>
      <c r="P241" s="24">
        <f t="shared" si="166"/>
        <v>2.1760937357289181</v>
      </c>
      <c r="Q241" s="24">
        <f t="shared" si="166"/>
        <v>2.2213126451395286</v>
      </c>
      <c r="R241" s="24">
        <f t="shared" si="166"/>
        <v>2.2517485224662552</v>
      </c>
      <c r="S241" s="24">
        <f t="shared" si="166"/>
        <v>2.2958098892835843</v>
      </c>
      <c r="T241" s="24">
        <f t="shared" si="166"/>
        <v>2.2793042468392852</v>
      </c>
      <c r="U241" s="24">
        <f t="shared" si="166"/>
        <v>2.2727734756382993</v>
      </c>
      <c r="V241" s="24">
        <f t="shared" si="166"/>
        <v>2.3361301705547932</v>
      </c>
      <c r="W241" s="24">
        <f t="shared" si="166"/>
        <v>2.3413347504309621</v>
      </c>
      <c r="X241" s="24">
        <f t="shared" si="166"/>
        <v>2.3474363664872211</v>
      </c>
      <c r="Y241" s="24">
        <f t="shared" si="167"/>
        <v>2.5968077341522866</v>
      </c>
      <c r="Z241" s="24">
        <f t="shared" si="167"/>
        <v>2.5652718924148079</v>
      </c>
    </row>
    <row r="242" spans="1:26">
      <c r="A242" s="31" t="s">
        <v>9776</v>
      </c>
      <c r="B242" s="23">
        <f t="shared" ref="B242:M242" si="168">B240+B241</f>
        <v>539596</v>
      </c>
      <c r="C242" s="23">
        <f t="shared" si="168"/>
        <v>541158</v>
      </c>
      <c r="D242" s="23">
        <f t="shared" si="168"/>
        <v>547566</v>
      </c>
      <c r="E242" s="23">
        <f t="shared" si="168"/>
        <v>552245</v>
      </c>
      <c r="F242" s="23">
        <f t="shared" si="168"/>
        <v>563022</v>
      </c>
      <c r="G242" s="23">
        <f t="shared" si="168"/>
        <v>551768</v>
      </c>
      <c r="H242" s="23">
        <f t="shared" si="168"/>
        <v>536534</v>
      </c>
      <c r="I242" s="23">
        <f t="shared" si="168"/>
        <v>560970</v>
      </c>
      <c r="J242" s="23">
        <f t="shared" si="168"/>
        <v>566491</v>
      </c>
      <c r="K242" s="23">
        <f t="shared" si="168"/>
        <v>565968</v>
      </c>
      <c r="L242" s="23">
        <f t="shared" si="168"/>
        <v>585524</v>
      </c>
      <c r="M242" s="23">
        <f t="shared" si="168"/>
        <v>587087</v>
      </c>
      <c r="N242" s="16"/>
      <c r="O242" s="24">
        <f t="shared" si="166"/>
        <v>7.1063056418901125</v>
      </c>
      <c r="P242" s="24">
        <f t="shared" si="166"/>
        <v>7.0609464907816966</v>
      </c>
      <c r="Q242" s="24">
        <f t="shared" si="166"/>
        <v>7.103773952076387</v>
      </c>
      <c r="R242" s="24">
        <f t="shared" si="166"/>
        <v>7.1262936485405319</v>
      </c>
      <c r="S242" s="24">
        <f t="shared" si="166"/>
        <v>7.2992713978271579</v>
      </c>
      <c r="T242" s="24">
        <f t="shared" si="166"/>
        <v>7.2817589146673001</v>
      </c>
      <c r="U242" s="24">
        <f t="shared" si="166"/>
        <v>7.1758884029477459</v>
      </c>
      <c r="V242" s="24">
        <f t="shared" si="166"/>
        <v>7.3315036267398552</v>
      </c>
      <c r="W242" s="24">
        <f t="shared" si="166"/>
        <v>7.3424364574287457</v>
      </c>
      <c r="X242" s="24">
        <f t="shared" si="166"/>
        <v>7.39518110071604</v>
      </c>
      <c r="Y242" s="24">
        <f t="shared" si="167"/>
        <v>8.0636249707352672</v>
      </c>
      <c r="Z242" s="24">
        <f t="shared" si="167"/>
        <v>7.999223359175943</v>
      </c>
    </row>
    <row r="243" spans="1:26">
      <c r="A243" s="21"/>
      <c r="B243" s="23"/>
      <c r="C243" s="23"/>
      <c r="D243" s="23"/>
      <c r="E243" s="23"/>
      <c r="F243" s="23"/>
      <c r="G243" s="23"/>
      <c r="H243" s="23"/>
      <c r="I243" s="23"/>
      <c r="J243" s="23"/>
      <c r="K243" s="23"/>
      <c r="L243" s="23"/>
      <c r="M243" s="23"/>
      <c r="N243" s="16"/>
      <c r="O243" s="24"/>
      <c r="P243" s="24"/>
      <c r="Q243" s="24"/>
      <c r="R243" s="24"/>
      <c r="S243" s="24"/>
      <c r="T243" s="24"/>
      <c r="U243" s="24"/>
      <c r="V243" s="24"/>
      <c r="W243" s="24"/>
      <c r="X243" s="24"/>
      <c r="Y243" s="24"/>
      <c r="Z243" s="24"/>
    </row>
    <row r="244" spans="1:26">
      <c r="A244" s="21" t="s">
        <v>6746</v>
      </c>
      <c r="B244" s="23">
        <f>'EAST SUSSEX'!D7</f>
        <v>71118</v>
      </c>
      <c r="C244" s="23">
        <f>'EAST SUSSEX'!E7</f>
        <v>70810</v>
      </c>
      <c r="D244" s="23">
        <f>'EAST SUSSEX'!F7</f>
        <v>71059</v>
      </c>
      <c r="E244" s="23">
        <f>'EAST SUSSEX'!G7</f>
        <v>71915</v>
      </c>
      <c r="F244" s="23">
        <f>'EAST SUSSEX'!H7</f>
        <v>70183</v>
      </c>
      <c r="G244" s="23">
        <f>'EAST SUSSEX'!I7</f>
        <v>70003</v>
      </c>
      <c r="H244" s="23">
        <f>'EAST SUSSEX'!J7</f>
        <v>68506</v>
      </c>
      <c r="I244" s="23">
        <f>'EAST SUSSEX'!K7</f>
        <v>70141</v>
      </c>
      <c r="J244" s="23">
        <f>'EAST SUSSEX'!L7</f>
        <v>70114</v>
      </c>
      <c r="K244" s="23">
        <f>'EAST SUSSEX'!M7</f>
        <v>70767</v>
      </c>
      <c r="L244" s="23">
        <f>'EAST SUSSEX'!N7</f>
        <v>70814</v>
      </c>
      <c r="M244" s="23">
        <f>'EAST SUSSEX'!O7</f>
        <v>73322</v>
      </c>
      <c r="N244" s="16"/>
      <c r="O244" s="24">
        <f t="shared" ref="O244:X251" si="169">B244/B$451</f>
        <v>0.93660116946741823</v>
      </c>
      <c r="P244" s="24">
        <f t="shared" si="169"/>
        <v>0.92391800733288976</v>
      </c>
      <c r="Q244" s="24">
        <f t="shared" si="169"/>
        <v>0.92187439187348375</v>
      </c>
      <c r="R244" s="24">
        <f t="shared" si="169"/>
        <v>0.928007329599711</v>
      </c>
      <c r="S244" s="24">
        <f t="shared" si="169"/>
        <v>0.90988409780382196</v>
      </c>
      <c r="T244" s="24">
        <f t="shared" si="169"/>
        <v>0.92383931163723709</v>
      </c>
      <c r="U244" s="24">
        <f t="shared" si="169"/>
        <v>0.9162353381749121</v>
      </c>
      <c r="V244" s="24">
        <f t="shared" si="169"/>
        <v>0.91669607266549047</v>
      </c>
      <c r="W244" s="24">
        <f t="shared" si="169"/>
        <v>0.9087656993247184</v>
      </c>
      <c r="X244" s="24">
        <f t="shared" si="169"/>
        <v>0.92467203261380859</v>
      </c>
      <c r="Y244" s="24">
        <f t="shared" ref="Y244:Z251" si="170">L244/L$451</f>
        <v>0.97522482200157001</v>
      </c>
      <c r="Z244" s="24">
        <f t="shared" si="170"/>
        <v>0.9990326052893328</v>
      </c>
    </row>
    <row r="245" spans="1:26">
      <c r="A245" s="21" t="s">
        <v>6747</v>
      </c>
      <c r="B245" s="23">
        <f>'EAST SUSSEX'!D8</f>
        <v>62606</v>
      </c>
      <c r="C245" s="23">
        <f>'EAST SUSSEX'!E8</f>
        <v>61916</v>
      </c>
      <c r="D245" s="23">
        <f>'EAST SUSSEX'!F8</f>
        <v>62977</v>
      </c>
      <c r="E245" s="23">
        <f>'EAST SUSSEX'!G8</f>
        <v>63672</v>
      </c>
      <c r="F245" s="23">
        <f>'EAST SUSSEX'!H8</f>
        <v>59871</v>
      </c>
      <c r="G245" s="23">
        <f>'EAST SUSSEX'!I8</f>
        <v>58372</v>
      </c>
      <c r="H245" s="23">
        <f>'EAST SUSSEX'!J8</f>
        <v>57390</v>
      </c>
      <c r="I245" s="23">
        <f>'EAST SUSSEX'!K8</f>
        <v>60293</v>
      </c>
      <c r="J245" s="23">
        <f>'EAST SUSSEX'!L8</f>
        <v>61756</v>
      </c>
      <c r="K245" s="23">
        <f>'EAST SUSSEX'!M8</f>
        <v>61422</v>
      </c>
      <c r="L245" s="23">
        <f>'EAST SUSSEX'!N8</f>
        <v>64535</v>
      </c>
      <c r="M245" s="23">
        <f>'EAST SUSSEX'!O8</f>
        <v>64086</v>
      </c>
      <c r="N245" s="16"/>
      <c r="O245" s="24">
        <f t="shared" si="169"/>
        <v>0.82450086919875676</v>
      </c>
      <c r="P245" s="24">
        <f t="shared" si="169"/>
        <v>0.80787046098041515</v>
      </c>
      <c r="Q245" s="24">
        <f t="shared" si="169"/>
        <v>0.81702365044563507</v>
      </c>
      <c r="R245" s="24">
        <f t="shared" si="169"/>
        <v>0.82163780421710064</v>
      </c>
      <c r="S245" s="24">
        <f t="shared" si="169"/>
        <v>0.77619467420333443</v>
      </c>
      <c r="T245" s="24">
        <f t="shared" si="169"/>
        <v>0.77034338955314485</v>
      </c>
      <c r="U245" s="24">
        <f t="shared" si="169"/>
        <v>0.76756409742005371</v>
      </c>
      <c r="V245" s="24">
        <f t="shared" si="169"/>
        <v>0.78798928314709538</v>
      </c>
      <c r="W245" s="24">
        <f t="shared" si="169"/>
        <v>0.80043549829559446</v>
      </c>
      <c r="X245" s="24">
        <f t="shared" si="169"/>
        <v>0.80256624679872468</v>
      </c>
      <c r="Y245" s="24">
        <f t="shared" si="170"/>
        <v>0.88875270268409234</v>
      </c>
      <c r="Z245" s="24">
        <f t="shared" si="170"/>
        <v>0.87318954123690273</v>
      </c>
    </row>
    <row r="246" spans="1:26">
      <c r="A246" s="21" t="s">
        <v>3720</v>
      </c>
      <c r="B246" s="23">
        <f>'EAST SUSSEX'!D9</f>
        <v>74039</v>
      </c>
      <c r="C246" s="23">
        <f>'EAST SUSSEX'!E9</f>
        <v>74491</v>
      </c>
      <c r="D246" s="23">
        <f>'EAST SUSSEX'!F9</f>
        <v>73777</v>
      </c>
      <c r="E246" s="23">
        <f>'EAST SUSSEX'!G9</f>
        <v>74836</v>
      </c>
      <c r="F246" s="23">
        <f>'EAST SUSSEX'!H9</f>
        <v>74614</v>
      </c>
      <c r="G246" s="23">
        <f>'EAST SUSSEX'!I9</f>
        <v>72629</v>
      </c>
      <c r="H246" s="23">
        <f>'EAST SUSSEX'!J9</f>
        <v>70806</v>
      </c>
      <c r="I246" s="23">
        <f>'EAST SUSSEX'!K9</f>
        <v>72595</v>
      </c>
      <c r="J246" s="23">
        <f>'EAST SUSSEX'!L9</f>
        <v>74010</v>
      </c>
      <c r="K246" s="23">
        <f>'EAST SUSSEX'!M9</f>
        <v>73970</v>
      </c>
      <c r="L246" s="23">
        <f>'EAST SUSSEX'!N9</f>
        <v>77846</v>
      </c>
      <c r="M246" s="23">
        <f>'EAST SUSSEX'!O9</f>
        <v>77972</v>
      </c>
      <c r="N246" s="16"/>
      <c r="O246" s="24">
        <f t="shared" si="169"/>
        <v>0.9750697992941052</v>
      </c>
      <c r="P246" s="24">
        <f t="shared" si="169"/>
        <v>0.97194713012617262</v>
      </c>
      <c r="Q246" s="24">
        <f t="shared" si="169"/>
        <v>0.95713599979242614</v>
      </c>
      <c r="R246" s="24">
        <f t="shared" si="169"/>
        <v>0.96570057036673806</v>
      </c>
      <c r="S246" s="24">
        <f t="shared" si="169"/>
        <v>0.96732958228537347</v>
      </c>
      <c r="T246" s="24">
        <f t="shared" si="169"/>
        <v>0.9584949982843719</v>
      </c>
      <c r="U246" s="24">
        <f t="shared" si="169"/>
        <v>0.94699674998996908</v>
      </c>
      <c r="V246" s="24">
        <f t="shared" si="169"/>
        <v>0.9487682153826047</v>
      </c>
      <c r="W246" s="24">
        <f t="shared" si="169"/>
        <v>0.95926276359960083</v>
      </c>
      <c r="X246" s="24">
        <f t="shared" si="169"/>
        <v>0.96652380703496577</v>
      </c>
      <c r="Y246" s="24">
        <f t="shared" si="170"/>
        <v>1.0720669852505749</v>
      </c>
      <c r="Z246" s="24">
        <f t="shared" si="170"/>
        <v>1.0623901461992289</v>
      </c>
    </row>
    <row r="247" spans="1:26">
      <c r="A247" s="21" t="s">
        <v>3721</v>
      </c>
      <c r="B247" s="23">
        <f>'EAST SUSSEX'!D10</f>
        <v>71008</v>
      </c>
      <c r="C247" s="23">
        <f>'EAST SUSSEX'!E10</f>
        <v>71289</v>
      </c>
      <c r="D247" s="23">
        <f>'EAST SUSSEX'!F10</f>
        <v>71636</v>
      </c>
      <c r="E247" s="23">
        <f>'EAST SUSSEX'!G10</f>
        <v>72208</v>
      </c>
      <c r="F247" s="23">
        <f>'EAST SUSSEX'!H10</f>
        <v>69469</v>
      </c>
      <c r="G247" s="23">
        <f>'EAST SUSSEX'!I10</f>
        <v>70279</v>
      </c>
      <c r="H247" s="23">
        <f>'EAST SUSSEX'!J10</f>
        <v>69941</v>
      </c>
      <c r="I247" s="23">
        <f>'EAST SUSSEX'!K10</f>
        <v>72114</v>
      </c>
      <c r="J247" s="23">
        <f>'EAST SUSSEX'!L10</f>
        <v>72743</v>
      </c>
      <c r="K247" s="23">
        <f>'EAST SUSSEX'!M10</f>
        <v>72097</v>
      </c>
      <c r="L247" s="23">
        <f>'EAST SUSSEX'!N10</f>
        <v>73373</v>
      </c>
      <c r="M247" s="23">
        <f>'EAST SUSSEX'!O10</f>
        <v>74338</v>
      </c>
      <c r="N247" s="16"/>
      <c r="O247" s="24">
        <f t="shared" si="169"/>
        <v>0.9351525048727809</v>
      </c>
      <c r="P247" s="24">
        <f t="shared" si="169"/>
        <v>0.93016792578384933</v>
      </c>
      <c r="Q247" s="24">
        <f t="shared" si="169"/>
        <v>0.92936002387099281</v>
      </c>
      <c r="R247" s="24">
        <f t="shared" si="169"/>
        <v>0.93178826747877253</v>
      </c>
      <c r="S247" s="24">
        <f t="shared" si="169"/>
        <v>0.90062747945134436</v>
      </c>
      <c r="T247" s="24">
        <f t="shared" si="169"/>
        <v>0.92748172196267853</v>
      </c>
      <c r="U247" s="24">
        <f t="shared" si="169"/>
        <v>0.93542778424213247</v>
      </c>
      <c r="V247" s="24">
        <f t="shared" si="169"/>
        <v>0.94248186630072539</v>
      </c>
      <c r="W247" s="24">
        <f t="shared" si="169"/>
        <v>0.94284084870322604</v>
      </c>
      <c r="X247" s="24">
        <f t="shared" si="169"/>
        <v>0.94205038415303399</v>
      </c>
      <c r="Y247" s="24">
        <f t="shared" si="170"/>
        <v>1.0104664454023384</v>
      </c>
      <c r="Z247" s="24">
        <f t="shared" si="170"/>
        <v>1.0128758873462047</v>
      </c>
    </row>
    <row r="248" spans="1:26">
      <c r="A248" s="21" t="s">
        <v>3722</v>
      </c>
      <c r="B248" s="23">
        <f>'EAST SUSSEX'!D11</f>
        <v>114461</v>
      </c>
      <c r="C248" s="23">
        <f>'EAST SUSSEX'!E11</f>
        <v>115677</v>
      </c>
      <c r="D248" s="23">
        <f>'EAST SUSSEX'!F11</f>
        <v>116669</v>
      </c>
      <c r="E248" s="23">
        <f>'EAST SUSSEX'!G11</f>
        <v>118080</v>
      </c>
      <c r="F248" s="23">
        <f>'EAST SUSSEX'!H11</f>
        <v>116760</v>
      </c>
      <c r="G248" s="23">
        <f>'EAST SUSSEX'!I11</f>
        <v>117402</v>
      </c>
      <c r="H248" s="23">
        <f>'EAST SUSSEX'!J11</f>
        <v>116583</v>
      </c>
      <c r="I248" s="23">
        <f>'EAST SUSSEX'!K11</f>
        <v>120716</v>
      </c>
      <c r="J248" s="23">
        <f>'EAST SUSSEX'!L11</f>
        <v>121625</v>
      </c>
      <c r="K248" s="23">
        <f>'EAST SUSSEX'!M11</f>
        <v>121705</v>
      </c>
      <c r="L248" s="23">
        <f>'EAST SUSSEX'!N11</f>
        <v>124964</v>
      </c>
      <c r="M248" s="23">
        <f>'EAST SUSSEX'!O11</f>
        <v>124733</v>
      </c>
      <c r="N248" s="16"/>
      <c r="O248" s="24">
        <f t="shared" si="169"/>
        <v>1.5074145287889165</v>
      </c>
      <c r="P248" s="24">
        <f t="shared" si="169"/>
        <v>1.5093357341370808</v>
      </c>
      <c r="Q248" s="24">
        <f t="shared" si="169"/>
        <v>1.5135896005500706</v>
      </c>
      <c r="R248" s="24">
        <f t="shared" si="169"/>
        <v>1.52373086948667</v>
      </c>
      <c r="S248" s="24">
        <f t="shared" si="169"/>
        <v>1.5137293541110275</v>
      </c>
      <c r="T248" s="24">
        <f t="shared" si="169"/>
        <v>1.5493704964763639</v>
      </c>
      <c r="U248" s="24">
        <f t="shared" si="169"/>
        <v>1.5592424667977369</v>
      </c>
      <c r="V248" s="24">
        <f t="shared" si="169"/>
        <v>1.5776775795595634</v>
      </c>
      <c r="W248" s="24">
        <f t="shared" si="169"/>
        <v>1.5764131012403924</v>
      </c>
      <c r="X248" s="24">
        <f t="shared" si="169"/>
        <v>1.5902498301364136</v>
      </c>
      <c r="Y248" s="24">
        <f t="shared" si="170"/>
        <v>1.7209590569181827</v>
      </c>
      <c r="Z248" s="24">
        <f t="shared" si="170"/>
        <v>1.6995217527557125</v>
      </c>
    </row>
    <row r="249" spans="1:26">
      <c r="A249" s="21" t="s">
        <v>3723</v>
      </c>
      <c r="B249" s="23">
        <f t="shared" ref="B249:G249" si="171">SUM(B244:B248)</f>
        <v>393232</v>
      </c>
      <c r="C249" s="23">
        <f t="shared" si="171"/>
        <v>394183</v>
      </c>
      <c r="D249" s="23">
        <f t="shared" si="171"/>
        <v>396118</v>
      </c>
      <c r="E249" s="23">
        <f t="shared" si="171"/>
        <v>400711</v>
      </c>
      <c r="F249" s="23">
        <f t="shared" si="171"/>
        <v>390897</v>
      </c>
      <c r="G249" s="23">
        <f t="shared" si="171"/>
        <v>388685</v>
      </c>
      <c r="H249" s="23">
        <f t="shared" ref="H249:M249" si="172">SUM(H244:H248)</f>
        <v>383226</v>
      </c>
      <c r="I249" s="23">
        <f t="shared" si="172"/>
        <v>395859</v>
      </c>
      <c r="J249" s="23">
        <f t="shared" si="172"/>
        <v>400248</v>
      </c>
      <c r="K249" s="23">
        <f t="shared" si="172"/>
        <v>399961</v>
      </c>
      <c r="L249" s="23">
        <f t="shared" si="172"/>
        <v>411532</v>
      </c>
      <c r="M249" s="23">
        <f t="shared" si="172"/>
        <v>414451</v>
      </c>
      <c r="N249" s="16"/>
      <c r="O249" s="24">
        <f t="shared" si="169"/>
        <v>5.1787388716219773</v>
      </c>
      <c r="P249" s="24">
        <f t="shared" si="169"/>
        <v>5.1432392583604072</v>
      </c>
      <c r="Q249" s="24">
        <f t="shared" si="169"/>
        <v>5.1389836665326083</v>
      </c>
      <c r="R249" s="24">
        <f t="shared" si="169"/>
        <v>5.1708648411489921</v>
      </c>
      <c r="S249" s="24">
        <f t="shared" si="169"/>
        <v>5.0677651878549019</v>
      </c>
      <c r="T249" s="24">
        <f t="shared" si="169"/>
        <v>5.1295299179137963</v>
      </c>
      <c r="U249" s="24">
        <f t="shared" si="169"/>
        <v>5.1254664366248042</v>
      </c>
      <c r="V249" s="24">
        <f t="shared" si="169"/>
        <v>5.1736130170554793</v>
      </c>
      <c r="W249" s="24">
        <f t="shared" si="169"/>
        <v>5.1877179111635323</v>
      </c>
      <c r="X249" s="24">
        <f t="shared" si="169"/>
        <v>5.2260623007369462</v>
      </c>
      <c r="Y249" s="24">
        <f t="shared" si="170"/>
        <v>5.6674700122567581</v>
      </c>
      <c r="Z249" s="24">
        <f t="shared" si="170"/>
        <v>5.6470099328273813</v>
      </c>
    </row>
    <row r="250" spans="1:26">
      <c r="A250" s="21" t="s">
        <v>3724</v>
      </c>
      <c r="B250" s="23">
        <f>'EAST SUSSEX'!D4</f>
        <v>191969</v>
      </c>
      <c r="C250" s="23">
        <f>'EAST SUSSEX'!E4</f>
        <v>195038</v>
      </c>
      <c r="D250" s="23">
        <f>'EAST SUSSEX'!F4</f>
        <v>195786</v>
      </c>
      <c r="E250" s="23">
        <f>'EAST SUSSEX'!G4</f>
        <v>200206</v>
      </c>
      <c r="F250" s="23">
        <f>'EAST SUSSEX'!H4</f>
        <v>196195</v>
      </c>
      <c r="G250" s="23">
        <f>'EAST SUSSEX'!I4</f>
        <v>182570</v>
      </c>
      <c r="H250" s="23">
        <f>'EAST SUSSEX'!J4</f>
        <v>183038</v>
      </c>
      <c r="I250" s="23">
        <f>'EAST SUSSEX'!K4</f>
        <v>186362</v>
      </c>
      <c r="J250" s="23">
        <f>'EAST SUSSEX'!L4</f>
        <v>190074</v>
      </c>
      <c r="K250" s="23">
        <f>'EAST SUSSEX'!M4</f>
        <v>187903</v>
      </c>
      <c r="L250" s="23">
        <f>'EAST SUSSEX'!N4</f>
        <v>207060</v>
      </c>
      <c r="M250" s="23">
        <f>'EAST SUSSEX'!O4</f>
        <v>201911</v>
      </c>
      <c r="N250" s="16"/>
      <c r="O250" s="24">
        <f t="shared" si="169"/>
        <v>2.5281699415266292</v>
      </c>
      <c r="P250" s="24">
        <f t="shared" si="169"/>
        <v>2.5448258764890856</v>
      </c>
      <c r="Q250" s="24">
        <f t="shared" si="169"/>
        <v>2.5400033730750771</v>
      </c>
      <c r="R250" s="24">
        <f t="shared" si="169"/>
        <v>2.5835032389604358</v>
      </c>
      <c r="S250" s="24">
        <f t="shared" si="169"/>
        <v>2.5435605569528352</v>
      </c>
      <c r="T250" s="24">
        <f t="shared" si="169"/>
        <v>2.4094016417240742</v>
      </c>
      <c r="U250" s="24">
        <f t="shared" si="169"/>
        <v>2.448046650349744</v>
      </c>
      <c r="V250" s="24">
        <f t="shared" si="169"/>
        <v>2.4356270012415866</v>
      </c>
      <c r="W250" s="24">
        <f t="shared" si="169"/>
        <v>2.4635983046673493</v>
      </c>
      <c r="X250" s="24">
        <f t="shared" si="169"/>
        <v>2.4552213453196048</v>
      </c>
      <c r="Y250" s="24">
        <f t="shared" si="170"/>
        <v>2.8515555065897291</v>
      </c>
      <c r="Z250" s="24">
        <f t="shared" si="170"/>
        <v>2.7510934285286064</v>
      </c>
    </row>
    <row r="251" spans="1:26">
      <c r="A251" s="25" t="s">
        <v>5219</v>
      </c>
      <c r="B251" s="23">
        <f t="shared" ref="B251:G251" si="173">B249+B250</f>
        <v>585201</v>
      </c>
      <c r="C251" s="23">
        <f t="shared" si="173"/>
        <v>589221</v>
      </c>
      <c r="D251" s="23">
        <f t="shared" si="173"/>
        <v>591904</v>
      </c>
      <c r="E251" s="23">
        <f t="shared" si="173"/>
        <v>600917</v>
      </c>
      <c r="F251" s="23">
        <f t="shared" si="173"/>
        <v>587092</v>
      </c>
      <c r="G251" s="23">
        <f t="shared" si="173"/>
        <v>571255</v>
      </c>
      <c r="H251" s="23">
        <f t="shared" ref="H251:M251" si="174">H249+H250</f>
        <v>566264</v>
      </c>
      <c r="I251" s="23">
        <f t="shared" si="174"/>
        <v>582221</v>
      </c>
      <c r="J251" s="23">
        <f t="shared" si="174"/>
        <v>590322</v>
      </c>
      <c r="K251" s="23">
        <f t="shared" si="174"/>
        <v>587864</v>
      </c>
      <c r="L251" s="23">
        <f t="shared" si="174"/>
        <v>618592</v>
      </c>
      <c r="M251" s="23">
        <f t="shared" si="174"/>
        <v>616362</v>
      </c>
      <c r="N251" s="16"/>
      <c r="O251" s="24">
        <f t="shared" si="169"/>
        <v>7.7069088131486065</v>
      </c>
      <c r="P251" s="24">
        <f t="shared" si="169"/>
        <v>7.6880651348494933</v>
      </c>
      <c r="Q251" s="24">
        <f t="shared" si="169"/>
        <v>7.6789870396076854</v>
      </c>
      <c r="R251" s="24">
        <f t="shared" si="169"/>
        <v>7.7543680801094279</v>
      </c>
      <c r="S251" s="24">
        <f t="shared" si="169"/>
        <v>7.6113257448077372</v>
      </c>
      <c r="T251" s="24">
        <f t="shared" si="169"/>
        <v>7.5389315596378701</v>
      </c>
      <c r="U251" s="24">
        <f t="shared" si="169"/>
        <v>7.5735130869745486</v>
      </c>
      <c r="V251" s="24">
        <f t="shared" si="169"/>
        <v>7.6092400182970659</v>
      </c>
      <c r="W251" s="24">
        <f t="shared" si="169"/>
        <v>7.6513162158308816</v>
      </c>
      <c r="X251" s="24">
        <f t="shared" si="169"/>
        <v>7.6812836460565519</v>
      </c>
      <c r="Y251" s="24">
        <f t="shared" si="170"/>
        <v>8.5190255188464867</v>
      </c>
      <c r="Z251" s="24">
        <f t="shared" si="170"/>
        <v>8.3981033613559877</v>
      </c>
    </row>
    <row r="252" spans="1:26">
      <c r="A252" s="21"/>
      <c r="B252" s="23"/>
      <c r="C252" s="23"/>
      <c r="D252" s="23"/>
      <c r="E252" s="23"/>
      <c r="F252" s="23"/>
      <c r="G252" s="23"/>
      <c r="H252" s="23"/>
      <c r="I252" s="23"/>
      <c r="J252" s="23"/>
      <c r="K252" s="23"/>
      <c r="L252" s="23"/>
      <c r="M252" s="23"/>
      <c r="N252" s="16"/>
      <c r="O252" s="24"/>
      <c r="P252" s="24"/>
      <c r="Q252" s="24"/>
      <c r="R252" s="24"/>
      <c r="S252" s="24"/>
      <c r="T252" s="24"/>
      <c r="U252" s="24"/>
      <c r="V252" s="24"/>
      <c r="W252" s="24"/>
      <c r="X252" s="24"/>
      <c r="Y252" s="24"/>
      <c r="Z252" s="24"/>
    </row>
    <row r="253" spans="1:26">
      <c r="A253" s="21" t="s">
        <v>3751</v>
      </c>
      <c r="B253" s="23">
        <f>HAMPSHIRE!D7</f>
        <v>121140</v>
      </c>
      <c r="C253" s="23">
        <f>HAMPSHIRE!E7</f>
        <v>122037</v>
      </c>
      <c r="D253" s="23">
        <f>HAMPSHIRE!F7</f>
        <v>122819</v>
      </c>
      <c r="E253" s="23">
        <f>HAMPSHIRE!G7</f>
        <v>125592</v>
      </c>
      <c r="F253" s="23">
        <f>HAMPSHIRE!H7</f>
        <v>129203</v>
      </c>
      <c r="G253" s="23">
        <f>HAMPSHIRE!I7</f>
        <v>127353</v>
      </c>
      <c r="H253" s="23">
        <f>HAMPSHIRE!J7</f>
        <v>124473</v>
      </c>
      <c r="I253" s="23">
        <f>HAMPSHIRE!K7</f>
        <v>128131</v>
      </c>
      <c r="J253" s="23">
        <f>HAMPSHIRE!L7</f>
        <v>129390</v>
      </c>
      <c r="K253" s="23">
        <f>HAMPSHIRE!M7</f>
        <v>128236</v>
      </c>
      <c r="L253" s="23">
        <f>HAMPSHIRE!N7</f>
        <v>132361</v>
      </c>
      <c r="M253" s="23">
        <f>HAMPSHIRE!O7</f>
        <v>132372</v>
      </c>
      <c r="N253" s="16"/>
      <c r="O253" s="24">
        <f t="shared" ref="O253:O267" si="175">B253/B$451</f>
        <v>1.5953748090396671</v>
      </c>
      <c r="P253" s="24">
        <f t="shared" ref="P253:P267" si="176">C253/C$451</f>
        <v>1.5923200375777977</v>
      </c>
      <c r="Q253" s="24">
        <f t="shared" ref="Q253:Q267" si="177">D253/D$451</f>
        <v>1.5933757994836601</v>
      </c>
      <c r="R253" s="24">
        <f t="shared" ref="R253:R267" si="178">E253/E$451</f>
        <v>1.6206674065088911</v>
      </c>
      <c r="S253" s="24">
        <f t="shared" ref="S253:S267" si="179">F253/F$451</f>
        <v>1.6750460238027329</v>
      </c>
      <c r="T253" s="24">
        <f t="shared" ref="T253:T267" si="180">G253/G$451</f>
        <v>1.6806952252751604</v>
      </c>
      <c r="U253" s="24">
        <f t="shared" ref="U253:U267" si="181">H253/H$451</f>
        <v>1.6647674838502589</v>
      </c>
      <c r="V253" s="24">
        <f t="shared" ref="V253:V267" si="182">I253/I$451</f>
        <v>1.6745866823498661</v>
      </c>
      <c r="W253" s="24">
        <f t="shared" ref="W253:W267" si="183">J253/J$451</f>
        <v>1.6770572758026259</v>
      </c>
      <c r="X253" s="24">
        <f t="shared" ref="X253:X267" si="184">K253/K$451</f>
        <v>1.6755866826948205</v>
      </c>
      <c r="Y253" s="24">
        <f t="shared" ref="Y253:Z267" si="185">L253/L$451</f>
        <v>1.8228278682880477</v>
      </c>
      <c r="Z253" s="24">
        <f t="shared" si="185"/>
        <v>1.8036052484569374</v>
      </c>
    </row>
    <row r="254" spans="1:26">
      <c r="A254" s="21" t="s">
        <v>3752</v>
      </c>
      <c r="B254" s="23">
        <f>HAMPSHIRE!D8</f>
        <v>88153</v>
      </c>
      <c r="C254" s="23">
        <f>HAMPSHIRE!E8</f>
        <v>89153</v>
      </c>
      <c r="D254" s="23">
        <f>HAMPSHIRE!F8</f>
        <v>89448</v>
      </c>
      <c r="E254" s="23">
        <f>HAMPSHIRE!G8</f>
        <v>89482</v>
      </c>
      <c r="F254" s="23">
        <f>HAMPSHIRE!H8</f>
        <v>87332</v>
      </c>
      <c r="G254" s="23">
        <f>HAMPSHIRE!I8</f>
        <v>87590</v>
      </c>
      <c r="H254" s="23">
        <f>HAMPSHIRE!J8</f>
        <v>86488</v>
      </c>
      <c r="I254" s="23">
        <f>HAMPSHIRE!K8</f>
        <v>89919</v>
      </c>
      <c r="J254" s="23">
        <f>HAMPSHIRE!L8</f>
        <v>90765</v>
      </c>
      <c r="K254" s="23">
        <f>HAMPSHIRE!M8</f>
        <v>90743</v>
      </c>
      <c r="L254" s="23">
        <f>HAMPSHIRE!N8</f>
        <v>91795</v>
      </c>
      <c r="M254" s="23">
        <f>HAMPSHIRE!O8</f>
        <v>94768</v>
      </c>
      <c r="N254" s="16"/>
      <c r="O254" s="24">
        <f t="shared" si="175"/>
        <v>1.1609466364642047</v>
      </c>
      <c r="P254" s="24">
        <f t="shared" si="176"/>
        <v>1.1632546548192222</v>
      </c>
      <c r="Q254" s="24">
        <f t="shared" si="177"/>
        <v>1.160441613367756</v>
      </c>
      <c r="R254" s="24">
        <f t="shared" si="178"/>
        <v>1.1546958474204454</v>
      </c>
      <c r="S254" s="24">
        <f t="shared" si="179"/>
        <v>1.1322114761324449</v>
      </c>
      <c r="T254" s="24">
        <f t="shared" si="180"/>
        <v>1.1559373927732468</v>
      </c>
      <c r="U254" s="24">
        <f t="shared" si="181"/>
        <v>1.1567360804611537</v>
      </c>
      <c r="V254" s="24">
        <f t="shared" si="182"/>
        <v>1.1751813369927466</v>
      </c>
      <c r="W254" s="24">
        <f t="shared" si="183"/>
        <v>1.1764286547509495</v>
      </c>
      <c r="X254" s="24">
        <f t="shared" si="184"/>
        <v>1.1856870328751372</v>
      </c>
      <c r="Y254" s="24">
        <f t="shared" si="185"/>
        <v>1.264167573299547</v>
      </c>
      <c r="Z254" s="24">
        <f t="shared" si="185"/>
        <v>1.2912403090212963</v>
      </c>
    </row>
    <row r="255" spans="1:26">
      <c r="A255" s="21" t="s">
        <v>3753</v>
      </c>
      <c r="B255" s="23">
        <f>HAMPSHIRE!D9</f>
        <v>93921</v>
      </c>
      <c r="C255" s="23">
        <f>HAMPSHIRE!E9</f>
        <v>94971</v>
      </c>
      <c r="D255" s="23">
        <f>HAMPSHIRE!F9</f>
        <v>96084</v>
      </c>
      <c r="E255" s="23">
        <f>HAMPSHIRE!G9</f>
        <v>96605</v>
      </c>
      <c r="F255" s="23">
        <f>HAMPSHIRE!H9</f>
        <v>97603</v>
      </c>
      <c r="G255" s="23">
        <f>HAMPSHIRE!I9</f>
        <v>95729</v>
      </c>
      <c r="H255" s="23">
        <f>HAMPSHIRE!J9</f>
        <v>94165</v>
      </c>
      <c r="I255" s="23">
        <f>HAMPSHIRE!K9</f>
        <v>95523</v>
      </c>
      <c r="J255" s="23">
        <f>HAMPSHIRE!L9</f>
        <v>97119</v>
      </c>
      <c r="K255" s="23">
        <f>HAMPSHIRE!M9</f>
        <v>96808</v>
      </c>
      <c r="L255" s="23">
        <f>HAMPSHIRE!N9</f>
        <v>98502</v>
      </c>
      <c r="M255" s="23">
        <f>HAMPSHIRE!O9</f>
        <v>101204</v>
      </c>
      <c r="N255" s="16"/>
      <c r="O255" s="24">
        <f t="shared" si="175"/>
        <v>1.236909339935732</v>
      </c>
      <c r="P255" s="24">
        <f t="shared" si="176"/>
        <v>1.2391670254824441</v>
      </c>
      <c r="Q255" s="24">
        <f t="shared" si="177"/>
        <v>1.246532868021951</v>
      </c>
      <c r="R255" s="24">
        <f t="shared" si="178"/>
        <v>1.2466126409786564</v>
      </c>
      <c r="S255" s="24">
        <f t="shared" si="179"/>
        <v>1.265369357222496</v>
      </c>
      <c r="T255" s="24">
        <f t="shared" si="180"/>
        <v>1.2633489059571885</v>
      </c>
      <c r="U255" s="24">
        <f t="shared" si="181"/>
        <v>1.2594123232890637</v>
      </c>
      <c r="V255" s="24">
        <f t="shared" si="182"/>
        <v>1.2484218780631249</v>
      </c>
      <c r="W255" s="24">
        <f t="shared" si="183"/>
        <v>1.2587844931499748</v>
      </c>
      <c r="X255" s="24">
        <f t="shared" si="184"/>
        <v>1.2649349291799508</v>
      </c>
      <c r="Y255" s="24">
        <f t="shared" si="185"/>
        <v>1.3565339539751835</v>
      </c>
      <c r="Z255" s="24">
        <f t="shared" si="185"/>
        <v>1.3789325957516385</v>
      </c>
    </row>
    <row r="256" spans="1:26">
      <c r="A256" s="21" t="s">
        <v>3754</v>
      </c>
      <c r="B256" s="23">
        <f>HAMPSHIRE!D10</f>
        <v>87507</v>
      </c>
      <c r="C256" s="23">
        <f>HAMPSHIRE!E10</f>
        <v>88149</v>
      </c>
      <c r="D256" s="23">
        <f>HAMPSHIRE!F10</f>
        <v>88814</v>
      </c>
      <c r="E256" s="23">
        <f>HAMPSHIRE!G10</f>
        <v>89310</v>
      </c>
      <c r="F256" s="23">
        <f>HAMPSHIRE!H10</f>
        <v>89834</v>
      </c>
      <c r="G256" s="23">
        <f>HAMPSHIRE!I10</f>
        <v>88502</v>
      </c>
      <c r="H256" s="23">
        <f>HAMPSHIRE!J10</f>
        <v>87138</v>
      </c>
      <c r="I256" s="23">
        <f>HAMPSHIRE!K10</f>
        <v>88532</v>
      </c>
      <c r="J256" s="23">
        <f>HAMPSHIRE!L10</f>
        <v>89417</v>
      </c>
      <c r="K256" s="23">
        <f>HAMPSHIRE!M10</f>
        <v>89310</v>
      </c>
      <c r="L256" s="23">
        <f>HAMPSHIRE!N10</f>
        <v>90426</v>
      </c>
      <c r="M256" s="23">
        <f>HAMPSHIRE!O10</f>
        <v>90347</v>
      </c>
      <c r="N256" s="16"/>
      <c r="O256" s="24">
        <f t="shared" si="175"/>
        <v>1.1524390243902438</v>
      </c>
      <c r="P256" s="24">
        <f t="shared" si="176"/>
        <v>1.1501546169804673</v>
      </c>
      <c r="Q256" s="24">
        <f t="shared" si="177"/>
        <v>1.1522164995264721</v>
      </c>
      <c r="R256" s="24">
        <f t="shared" si="178"/>
        <v>1.1524763207474127</v>
      </c>
      <c r="S256" s="24">
        <f t="shared" si="179"/>
        <v>1.1646485337205383</v>
      </c>
      <c r="T256" s="24">
        <f t="shared" si="180"/>
        <v>1.1679731834138358</v>
      </c>
      <c r="U256" s="24">
        <f t="shared" si="181"/>
        <v>1.1654295229306264</v>
      </c>
      <c r="V256" s="24">
        <f t="shared" si="182"/>
        <v>1.1570541723844998</v>
      </c>
      <c r="W256" s="24">
        <f t="shared" si="183"/>
        <v>1.1589568778919808</v>
      </c>
      <c r="X256" s="24">
        <f t="shared" si="184"/>
        <v>1.1669628390738516</v>
      </c>
      <c r="Y256" s="24">
        <f t="shared" si="185"/>
        <v>1.2453141999366504</v>
      </c>
      <c r="Z256" s="24">
        <f t="shared" si="185"/>
        <v>1.2310029566852425</v>
      </c>
    </row>
    <row r="257" spans="1:26">
      <c r="A257" s="21" t="s">
        <v>3755</v>
      </c>
      <c r="B257" s="23">
        <f>HAMPSHIRE!D11</f>
        <v>61202</v>
      </c>
      <c r="C257" s="23">
        <f>HAMPSHIRE!E11</f>
        <v>61153</v>
      </c>
      <c r="D257" s="23">
        <f>HAMPSHIRE!F11</f>
        <v>61856</v>
      </c>
      <c r="E257" s="23">
        <f>HAMPSHIRE!G11</f>
        <v>62526</v>
      </c>
      <c r="F257" s="23">
        <f>HAMPSHIRE!H11</f>
        <v>62965</v>
      </c>
      <c r="G257" s="23">
        <f>HAMPSHIRE!I11</f>
        <v>61777</v>
      </c>
      <c r="H257" s="23">
        <f>HAMPSHIRE!J11</f>
        <v>60943</v>
      </c>
      <c r="I257" s="23">
        <f>HAMPSHIRE!K11</f>
        <v>62217</v>
      </c>
      <c r="J257" s="23">
        <f>HAMPSHIRE!L11</f>
        <v>62155</v>
      </c>
      <c r="K257" s="23">
        <f>HAMPSHIRE!M11</f>
        <v>61140</v>
      </c>
      <c r="L257" s="23">
        <f>HAMPSHIRE!N11</f>
        <v>62564</v>
      </c>
      <c r="M257" s="23">
        <f>HAMPSHIRE!O11</f>
        <v>62231</v>
      </c>
      <c r="N257" s="16"/>
      <c r="O257" s="24">
        <f t="shared" si="175"/>
        <v>0.80601064109993148</v>
      </c>
      <c r="P257" s="24">
        <f t="shared" si="176"/>
        <v>0.79791495413681968</v>
      </c>
      <c r="Q257" s="24">
        <f t="shared" si="177"/>
        <v>0.80248050751806543</v>
      </c>
      <c r="R257" s="24">
        <f t="shared" si="178"/>
        <v>0.80684956254677787</v>
      </c>
      <c r="S257" s="24">
        <f t="shared" si="179"/>
        <v>0.81630668706407028</v>
      </c>
      <c r="T257" s="24">
        <f t="shared" si="180"/>
        <v>0.81527964737244962</v>
      </c>
      <c r="U257" s="24">
        <f t="shared" si="181"/>
        <v>0.81508379141087883</v>
      </c>
      <c r="V257" s="24">
        <f t="shared" si="182"/>
        <v>0.81313467947461282</v>
      </c>
      <c r="W257" s="24">
        <f t="shared" si="183"/>
        <v>0.80560704055577881</v>
      </c>
      <c r="X257" s="24">
        <f t="shared" si="184"/>
        <v>0.79888151361521975</v>
      </c>
      <c r="Y257" s="24">
        <f t="shared" si="185"/>
        <v>0.86160880283144892</v>
      </c>
      <c r="Z257" s="24">
        <f t="shared" si="185"/>
        <v>0.84791465126101939</v>
      </c>
    </row>
    <row r="258" spans="1:26">
      <c r="A258" s="21" t="s">
        <v>3756</v>
      </c>
      <c r="B258" s="23">
        <f>HAMPSHIRE!D12</f>
        <v>67750</v>
      </c>
      <c r="C258" s="23">
        <f>HAMPSHIRE!E12</f>
        <v>68308</v>
      </c>
      <c r="D258" s="23">
        <f>HAMPSHIRE!F12</f>
        <v>69160</v>
      </c>
      <c r="E258" s="23">
        <f>HAMPSHIRE!G12</f>
        <v>69781</v>
      </c>
      <c r="F258" s="23">
        <f>HAMPSHIRE!H12</f>
        <v>69049</v>
      </c>
      <c r="G258" s="23">
        <f>HAMPSHIRE!I12</f>
        <v>69113</v>
      </c>
      <c r="H258" s="23">
        <f>HAMPSHIRE!J12</f>
        <v>67763</v>
      </c>
      <c r="I258" s="23">
        <f>HAMPSHIRE!K12</f>
        <v>69456</v>
      </c>
      <c r="J258" s="23">
        <f>HAMPSHIRE!L12</f>
        <v>70392</v>
      </c>
      <c r="K258" s="23">
        <f>HAMPSHIRE!M12</f>
        <v>71733</v>
      </c>
      <c r="L258" s="23">
        <f>HAMPSHIRE!N12</f>
        <v>73425</v>
      </c>
      <c r="M258" s="23">
        <f>HAMPSHIRE!O12</f>
        <v>71294</v>
      </c>
      <c r="N258" s="16"/>
      <c r="O258" s="24">
        <f t="shared" si="175"/>
        <v>0.89224569351525052</v>
      </c>
      <c r="P258" s="24">
        <f t="shared" si="176"/>
        <v>0.89127229550762643</v>
      </c>
      <c r="Q258" s="24">
        <f t="shared" si="177"/>
        <v>0.89723797044667297</v>
      </c>
      <c r="R258" s="24">
        <f t="shared" si="178"/>
        <v>0.90046971378429297</v>
      </c>
      <c r="S258" s="24">
        <f t="shared" si="179"/>
        <v>0.89518240983223996</v>
      </c>
      <c r="T258" s="24">
        <f t="shared" si="180"/>
        <v>0.91209385805157439</v>
      </c>
      <c r="U258" s="24">
        <f t="shared" si="181"/>
        <v>0.90629806470596108</v>
      </c>
      <c r="V258" s="24">
        <f t="shared" si="182"/>
        <v>0.90774357969025676</v>
      </c>
      <c r="W258" s="24">
        <f t="shared" si="183"/>
        <v>0.91236892927041069</v>
      </c>
      <c r="X258" s="24">
        <f t="shared" si="184"/>
        <v>0.9372942037317723</v>
      </c>
      <c r="Y258" s="24">
        <f t="shared" si="185"/>
        <v>1.0111825706140773</v>
      </c>
      <c r="Z258" s="24">
        <f t="shared" si="185"/>
        <v>0.97140054228604911</v>
      </c>
    </row>
    <row r="259" spans="1:26">
      <c r="A259" s="21" t="s">
        <v>3757</v>
      </c>
      <c r="B259" s="23">
        <f>HAMPSHIRE!D13</f>
        <v>92494</v>
      </c>
      <c r="C259" s="23">
        <f>HAMPSHIRE!E13</f>
        <v>93260</v>
      </c>
      <c r="D259" s="23">
        <f>HAMPSHIRE!F13</f>
        <v>93423</v>
      </c>
      <c r="E259" s="23">
        <f>HAMPSHIRE!G13</f>
        <v>94029</v>
      </c>
      <c r="F259" s="23">
        <f>HAMPSHIRE!H13</f>
        <v>94362</v>
      </c>
      <c r="G259" s="23">
        <f>HAMPSHIRE!I13</f>
        <v>93180</v>
      </c>
      <c r="H259" s="23">
        <f>HAMPSHIRE!J13</f>
        <v>92313</v>
      </c>
      <c r="I259" s="23">
        <f>HAMPSHIRE!K13</f>
        <v>94390</v>
      </c>
      <c r="J259" s="23">
        <f>HAMPSHIRE!L13</f>
        <v>95026</v>
      </c>
      <c r="K259" s="23">
        <f>HAMPSHIRE!M13</f>
        <v>93775</v>
      </c>
      <c r="L259" s="23">
        <f>HAMPSHIRE!N13</f>
        <v>94409</v>
      </c>
      <c r="M259" s="23">
        <f>HAMPSHIRE!O13</f>
        <v>96020</v>
      </c>
      <c r="N259" s="16"/>
      <c r="O259" s="24">
        <f t="shared" si="175"/>
        <v>1.2181162092398461</v>
      </c>
      <c r="P259" s="24">
        <f t="shared" si="176"/>
        <v>1.2168421602014587</v>
      </c>
      <c r="Q259" s="24">
        <f t="shared" si="177"/>
        <v>1.2120107419467832</v>
      </c>
      <c r="R259" s="24">
        <f t="shared" si="178"/>
        <v>1.213371357782538</v>
      </c>
      <c r="S259" s="24">
        <f t="shared" si="179"/>
        <v>1.2233515699950734</v>
      </c>
      <c r="T259" s="24">
        <f t="shared" si="180"/>
        <v>1.2297093990022963</v>
      </c>
      <c r="U259" s="24">
        <f t="shared" si="181"/>
        <v>1.2346426995145048</v>
      </c>
      <c r="V259" s="24">
        <f t="shared" si="182"/>
        <v>1.2336143239887605</v>
      </c>
      <c r="W259" s="24">
        <f t="shared" si="183"/>
        <v>1.2316565784869027</v>
      </c>
      <c r="X259" s="24">
        <f t="shared" si="184"/>
        <v>1.2253044478126796</v>
      </c>
      <c r="Y259" s="24">
        <f t="shared" si="185"/>
        <v>1.3001666368281162</v>
      </c>
      <c r="Z259" s="24">
        <f t="shared" si="185"/>
        <v>1.3082991565953157</v>
      </c>
    </row>
    <row r="260" spans="1:26">
      <c r="A260" s="21" t="s">
        <v>2366</v>
      </c>
      <c r="B260" s="23">
        <f>HAMPSHIRE!D14</f>
        <v>141194</v>
      </c>
      <c r="C260" s="23">
        <f>HAMPSHIRE!E14</f>
        <v>142529</v>
      </c>
      <c r="D260" s="23">
        <f>HAMPSHIRE!F14</f>
        <v>142229</v>
      </c>
      <c r="E260" s="23">
        <f>HAMPSHIRE!G14</f>
        <v>142509</v>
      </c>
      <c r="F260" s="23">
        <f>HAMPSHIRE!H14</f>
        <v>142854</v>
      </c>
      <c r="G260" s="23">
        <f>HAMPSHIRE!I14</f>
        <v>140768</v>
      </c>
      <c r="H260" s="23">
        <f>HAMPSHIRE!J14</f>
        <v>137973</v>
      </c>
      <c r="I260" s="23">
        <f>HAMPSHIRE!K14</f>
        <v>140440</v>
      </c>
      <c r="J260" s="23">
        <f>HAMPSHIRE!L14</f>
        <v>140815</v>
      </c>
      <c r="K260" s="23">
        <f>HAMPSHIRE!M14</f>
        <v>140932</v>
      </c>
      <c r="L260" s="23">
        <f>HAMPSHIRE!N14</f>
        <v>143821</v>
      </c>
      <c r="M260" s="23">
        <f>HAMPSHIRE!O14</f>
        <v>144832</v>
      </c>
      <c r="N260" s="16"/>
      <c r="O260" s="24">
        <f t="shared" si="175"/>
        <v>1.8594795343201813</v>
      </c>
      <c r="P260" s="24">
        <f t="shared" si="176"/>
        <v>1.8596965070915046</v>
      </c>
      <c r="Q260" s="24">
        <f t="shared" si="177"/>
        <v>1.8451888273374761</v>
      </c>
      <c r="R260" s="24">
        <f t="shared" si="178"/>
        <v>1.8389681781815366</v>
      </c>
      <c r="S260" s="24">
        <f t="shared" si="179"/>
        <v>1.8520237508751005</v>
      </c>
      <c r="T260" s="24">
        <f t="shared" si="180"/>
        <v>1.857734843086019</v>
      </c>
      <c r="U260" s="24">
        <f t="shared" si="181"/>
        <v>1.8453235966777675</v>
      </c>
      <c r="V260" s="24">
        <f t="shared" si="182"/>
        <v>1.8354570999150492</v>
      </c>
      <c r="W260" s="24">
        <f t="shared" si="183"/>
        <v>1.8251396575635426</v>
      </c>
      <c r="X260" s="24">
        <f t="shared" si="184"/>
        <v>1.8414780745309152</v>
      </c>
      <c r="Y260" s="24">
        <f t="shared" si="185"/>
        <v>1.9806508476443612</v>
      </c>
      <c r="Z260" s="24">
        <f t="shared" si="185"/>
        <v>1.9733762075402286</v>
      </c>
    </row>
    <row r="261" spans="1:26">
      <c r="A261" s="21" t="s">
        <v>2367</v>
      </c>
      <c r="B261" s="23">
        <f>HAMPSHIRE!D15</f>
        <v>63054</v>
      </c>
      <c r="C261" s="23">
        <f>HAMPSHIRE!E15</f>
        <v>64410</v>
      </c>
      <c r="D261" s="23">
        <f>HAMPSHIRE!F15</f>
        <v>64751</v>
      </c>
      <c r="E261" s="23">
        <f>HAMPSHIRE!G15</f>
        <v>64847</v>
      </c>
      <c r="F261" s="23">
        <f>HAMPSHIRE!H15</f>
        <v>65082</v>
      </c>
      <c r="G261" s="23">
        <f>HAMPSHIRE!I15</f>
        <v>63659</v>
      </c>
      <c r="H261" s="23">
        <f>HAMPSHIRE!J15</f>
        <v>62487</v>
      </c>
      <c r="I261" s="23">
        <f>HAMPSHIRE!K15</f>
        <v>65196</v>
      </c>
      <c r="J261" s="23">
        <f>HAMPSHIRE!L15</f>
        <v>64491</v>
      </c>
      <c r="K261" s="23">
        <f>HAMPSHIRE!M15</f>
        <v>62833</v>
      </c>
      <c r="L261" s="23">
        <f>HAMPSHIRE!N15</f>
        <v>62433</v>
      </c>
      <c r="M261" s="23">
        <f>HAMPSHIRE!O15</f>
        <v>64309</v>
      </c>
      <c r="N261" s="16"/>
      <c r="O261" s="24">
        <f t="shared" si="175"/>
        <v>0.83040088500237053</v>
      </c>
      <c r="P261" s="24">
        <f t="shared" si="176"/>
        <v>0.84041179003405486</v>
      </c>
      <c r="Q261" s="24">
        <f t="shared" si="177"/>
        <v>0.84003840116241357</v>
      </c>
      <c r="R261" s="24">
        <f t="shared" si="178"/>
        <v>0.83680026840787669</v>
      </c>
      <c r="S261" s="24">
        <f t="shared" si="179"/>
        <v>0.84375243083465135</v>
      </c>
      <c r="T261" s="24">
        <f t="shared" si="180"/>
        <v>0.84011666270752505</v>
      </c>
      <c r="U261" s="24">
        <f t="shared" si="181"/>
        <v>0.83573406090759539</v>
      </c>
      <c r="V261" s="24">
        <f t="shared" si="182"/>
        <v>0.85206822191727116</v>
      </c>
      <c r="W261" s="24">
        <f t="shared" si="183"/>
        <v>0.83588454110663224</v>
      </c>
      <c r="X261" s="24">
        <f t="shared" si="184"/>
        <v>0.8210029791459782</v>
      </c>
      <c r="Y261" s="24">
        <f t="shared" si="185"/>
        <v>0.85980471816341431</v>
      </c>
      <c r="Z261" s="24">
        <f t="shared" si="185"/>
        <v>0.87622797814505471</v>
      </c>
    </row>
    <row r="262" spans="1:26">
      <c r="A262" s="21" t="s">
        <v>2368</v>
      </c>
      <c r="B262" s="23">
        <f>HAMPSHIRE!D16</f>
        <v>89524</v>
      </c>
      <c r="C262" s="23">
        <f>HAMPSHIRE!E16</f>
        <v>89938</v>
      </c>
      <c r="D262" s="23">
        <f>HAMPSHIRE!F16</f>
        <v>90838</v>
      </c>
      <c r="E262" s="23">
        <f>HAMPSHIRE!G16</f>
        <v>91291</v>
      </c>
      <c r="F262" s="23">
        <f>HAMPSHIRE!H16</f>
        <v>92465</v>
      </c>
      <c r="G262" s="23">
        <f>HAMPSHIRE!I16</f>
        <v>91017</v>
      </c>
      <c r="H262" s="23">
        <f>HAMPSHIRE!J16</f>
        <v>90897</v>
      </c>
      <c r="I262" s="23">
        <f>HAMPSHIRE!K16</f>
        <v>93863</v>
      </c>
      <c r="J262" s="23">
        <f>HAMPSHIRE!L16</f>
        <v>93794</v>
      </c>
      <c r="K262" s="23">
        <f>HAMPSHIRE!M16</f>
        <v>92832</v>
      </c>
      <c r="L262" s="23">
        <f>HAMPSHIRE!N16</f>
        <v>96419</v>
      </c>
      <c r="M262" s="23">
        <f>HAMPSHIRE!O16</f>
        <v>96425</v>
      </c>
      <c r="N262" s="16"/>
      <c r="O262" s="24">
        <f t="shared" si="175"/>
        <v>1.1790022651846388</v>
      </c>
      <c r="P262" s="24">
        <f t="shared" si="176"/>
        <v>1.1734972142847824</v>
      </c>
      <c r="Q262" s="24">
        <f t="shared" si="177"/>
        <v>1.1784745916633153</v>
      </c>
      <c r="R262" s="24">
        <f t="shared" si="178"/>
        <v>1.178039590161819</v>
      </c>
      <c r="S262" s="24">
        <f t="shared" si="179"/>
        <v>1.1987580055487852</v>
      </c>
      <c r="T262" s="24">
        <f t="shared" si="180"/>
        <v>1.201163987647478</v>
      </c>
      <c r="U262" s="24">
        <f t="shared" si="181"/>
        <v>1.2157043694579304</v>
      </c>
      <c r="V262" s="24">
        <f t="shared" si="182"/>
        <v>1.2267267855975952</v>
      </c>
      <c r="W262" s="24">
        <f t="shared" si="183"/>
        <v>1.2156883076484388</v>
      </c>
      <c r="X262" s="24">
        <f t="shared" si="184"/>
        <v>1.212982804578477</v>
      </c>
      <c r="Y262" s="24">
        <f t="shared" si="185"/>
        <v>1.3278476305895639</v>
      </c>
      <c r="Z262" s="24">
        <f t="shared" si="185"/>
        <v>1.3138173940294033</v>
      </c>
    </row>
    <row r="263" spans="1:26">
      <c r="A263" s="21" t="s">
        <v>2369</v>
      </c>
      <c r="B263" s="23">
        <f>HAMPSHIRE!D17</f>
        <v>88180</v>
      </c>
      <c r="C263" s="23">
        <f>HAMPSHIRE!E17</f>
        <v>89574</v>
      </c>
      <c r="D263" s="23">
        <f>HAMPSHIRE!F17</f>
        <v>90456</v>
      </c>
      <c r="E263" s="23">
        <f>HAMPSHIRE!G17</f>
        <v>91112</v>
      </c>
      <c r="F263" s="23">
        <f>HAMPSHIRE!H17</f>
        <v>91952</v>
      </c>
      <c r="G263" s="23">
        <f>HAMPSHIRE!I17</f>
        <v>89503</v>
      </c>
      <c r="H263" s="23">
        <f>HAMPSHIRE!J17</f>
        <v>85795</v>
      </c>
      <c r="I263" s="23">
        <f>HAMPSHIRE!K17</f>
        <v>87529</v>
      </c>
      <c r="J263" s="23">
        <f>HAMPSHIRE!L17</f>
        <v>87879</v>
      </c>
      <c r="K263" s="23">
        <f>HAMPSHIRE!M17</f>
        <v>87609</v>
      </c>
      <c r="L263" s="23">
        <f>HAMPSHIRE!N17</f>
        <v>88621</v>
      </c>
      <c r="M263" s="23">
        <f>HAMPSHIRE!O17</f>
        <v>92495</v>
      </c>
      <c r="N263" s="16"/>
      <c r="O263" s="24">
        <f t="shared" si="175"/>
        <v>1.1613022177737977</v>
      </c>
      <c r="P263" s="24">
        <f t="shared" si="176"/>
        <v>1.1687477981759111</v>
      </c>
      <c r="Q263" s="24">
        <f t="shared" si="177"/>
        <v>1.1735187659734565</v>
      </c>
      <c r="R263" s="24">
        <f t="shared" si="178"/>
        <v>1.1757297339148838</v>
      </c>
      <c r="S263" s="24">
        <f t="shared" si="179"/>
        <v>1.1921072419425933</v>
      </c>
      <c r="T263" s="24">
        <f t="shared" si="180"/>
        <v>1.1811835194129912</v>
      </c>
      <c r="U263" s="24">
        <f t="shared" si="181"/>
        <v>1.1474675333360083</v>
      </c>
      <c r="V263" s="24">
        <f t="shared" si="182"/>
        <v>1.1439456315755081</v>
      </c>
      <c r="W263" s="24">
        <f t="shared" si="183"/>
        <v>1.1390224618614959</v>
      </c>
      <c r="X263" s="24">
        <f t="shared" si="184"/>
        <v>1.1447368421052631</v>
      </c>
      <c r="Y263" s="24">
        <f t="shared" si="185"/>
        <v>1.2204563921060967</v>
      </c>
      <c r="Z263" s="24">
        <f t="shared" si="185"/>
        <v>1.2602700530023299</v>
      </c>
    </row>
    <row r="264" spans="1:26">
      <c r="A264" s="21" t="s">
        <v>2370</v>
      </c>
      <c r="B264" s="23">
        <f t="shared" ref="B264:G264" si="186">SUM(B253:B263)</f>
        <v>994119</v>
      </c>
      <c r="C264" s="23">
        <f t="shared" si="186"/>
        <v>1003482</v>
      </c>
      <c r="D264" s="23">
        <f t="shared" si="186"/>
        <v>1009878</v>
      </c>
      <c r="E264" s="23">
        <f t="shared" si="186"/>
        <v>1017084</v>
      </c>
      <c r="F264" s="23">
        <f t="shared" si="186"/>
        <v>1022701</v>
      </c>
      <c r="G264" s="23">
        <f t="shared" si="186"/>
        <v>1008191</v>
      </c>
      <c r="H264" s="23">
        <f t="shared" ref="H264:M264" si="187">SUM(H253:H263)</f>
        <v>990435</v>
      </c>
      <c r="I264" s="23">
        <f t="shared" si="187"/>
        <v>1015196</v>
      </c>
      <c r="J264" s="23">
        <f t="shared" si="187"/>
        <v>1021243</v>
      </c>
      <c r="K264" s="23">
        <f t="shared" si="187"/>
        <v>1015951</v>
      </c>
      <c r="L264" s="23">
        <f t="shared" si="187"/>
        <v>1034776</v>
      </c>
      <c r="M264" s="23">
        <f t="shared" si="187"/>
        <v>1046297</v>
      </c>
      <c r="N264" s="16"/>
      <c r="O264" s="24">
        <f t="shared" si="175"/>
        <v>13.092227255965865</v>
      </c>
      <c r="P264" s="24">
        <f t="shared" si="176"/>
        <v>13.09327905429209</v>
      </c>
      <c r="Q264" s="24">
        <f t="shared" si="177"/>
        <v>13.101516586448023</v>
      </c>
      <c r="R264" s="24">
        <f t="shared" si="178"/>
        <v>13.124680620435131</v>
      </c>
      <c r="S264" s="24">
        <f t="shared" si="179"/>
        <v>13.258757486970726</v>
      </c>
      <c r="T264" s="24">
        <f t="shared" si="180"/>
        <v>13.305236624699765</v>
      </c>
      <c r="U264" s="24">
        <f t="shared" si="181"/>
        <v>13.246599526541749</v>
      </c>
      <c r="V264" s="24">
        <f t="shared" si="182"/>
        <v>13.267934391949291</v>
      </c>
      <c r="W264" s="24">
        <f t="shared" si="183"/>
        <v>13.236594818088733</v>
      </c>
      <c r="X264" s="24">
        <f t="shared" si="184"/>
        <v>13.274852349344066</v>
      </c>
      <c r="Y264" s="24">
        <f t="shared" si="185"/>
        <v>14.250561194276507</v>
      </c>
      <c r="Z264" s="24">
        <f t="shared" si="185"/>
        <v>14.256087092774516</v>
      </c>
    </row>
    <row r="265" spans="1:26">
      <c r="A265" s="21" t="s">
        <v>5297</v>
      </c>
      <c r="B265" s="23">
        <f>PORTSMOUTH!D3</f>
        <v>139920</v>
      </c>
      <c r="C265" s="23">
        <f>PORTSMOUTH!E3</f>
        <v>143745</v>
      </c>
      <c r="D265" s="23">
        <f>PORTSMOUTH!F3</f>
        <v>144921</v>
      </c>
      <c r="E265" s="23">
        <f>PORTSMOUTH!G3</f>
        <v>143647</v>
      </c>
      <c r="F265" s="23">
        <f>PORTSMOUTH!H3</f>
        <v>142892</v>
      </c>
      <c r="G265" s="23">
        <f>PORTSMOUTH!I3</f>
        <v>141701</v>
      </c>
      <c r="H265" s="23">
        <f>PORTSMOUTH!J3</f>
        <v>134892</v>
      </c>
      <c r="I265" s="23">
        <f>PORTSMOUTH!K3</f>
        <v>139620</v>
      </c>
      <c r="J265" s="23">
        <f>PORTSMOUTH!L3</f>
        <v>142014</v>
      </c>
      <c r="K265" s="23">
        <f>PORTSMOUTH!M3</f>
        <v>137804</v>
      </c>
      <c r="L265" s="23">
        <f>PORTSMOUTH!N3</f>
        <v>140311</v>
      </c>
      <c r="M265" s="23">
        <f>PORTSMOUTH!O3</f>
        <v>146097</v>
      </c>
      <c r="N265" s="16"/>
      <c r="O265" s="24">
        <f t="shared" si="175"/>
        <v>1.8427013643786545</v>
      </c>
      <c r="P265" s="24">
        <f t="shared" si="176"/>
        <v>1.8755626883782832</v>
      </c>
      <c r="Q265" s="24">
        <f t="shared" si="177"/>
        <v>1.880113127748732</v>
      </c>
      <c r="R265" s="24">
        <f t="shared" si="178"/>
        <v>1.8536531860531138</v>
      </c>
      <c r="S265" s="24">
        <f t="shared" si="179"/>
        <v>1.8525164000311147</v>
      </c>
      <c r="T265" s="24">
        <f t="shared" si="180"/>
        <v>1.8700477736426742</v>
      </c>
      <c r="U265" s="24">
        <f t="shared" si="181"/>
        <v>1.8041166793724672</v>
      </c>
      <c r="V265" s="24">
        <f t="shared" si="182"/>
        <v>1.8247402470103902</v>
      </c>
      <c r="W265" s="24">
        <f t="shared" si="183"/>
        <v>1.8406802068616903</v>
      </c>
      <c r="X265" s="24">
        <f t="shared" si="184"/>
        <v>1.8006062823394136</v>
      </c>
      <c r="Y265" s="24">
        <f t="shared" si="185"/>
        <v>1.9323123958519823</v>
      </c>
      <c r="Z265" s="24">
        <f t="shared" si="185"/>
        <v>1.9906121837232433</v>
      </c>
    </row>
    <row r="266" spans="1:26">
      <c r="A266" s="21" t="s">
        <v>2371</v>
      </c>
      <c r="B266" s="23">
        <f>HAMPSHIRE!D4</f>
        <v>166253</v>
      </c>
      <c r="C266" s="23">
        <f>HAMPSHIRE!E4</f>
        <v>165725</v>
      </c>
      <c r="D266" s="23">
        <f>HAMPSHIRE!F4</f>
        <v>164387</v>
      </c>
      <c r="E266" s="23">
        <f>HAMPSHIRE!G4</f>
        <v>162415</v>
      </c>
      <c r="F266" s="23">
        <f>HAMPSHIRE!H4</f>
        <v>164847</v>
      </c>
      <c r="G266" s="23">
        <f>HAMPSHIRE!I4</f>
        <v>153712</v>
      </c>
      <c r="H266" s="23">
        <f>HAMPSHIRE!J4</f>
        <v>148179</v>
      </c>
      <c r="I266" s="23">
        <f>HAMPSHIRE!K4</f>
        <v>150842</v>
      </c>
      <c r="J266" s="23">
        <f>HAMPSHIRE!L4</f>
        <v>152503</v>
      </c>
      <c r="K266" s="23">
        <f>HAMPSHIRE!M4</f>
        <v>150628</v>
      </c>
      <c r="L266" s="23">
        <f>HAMPSHIRE!N4</f>
        <v>160807</v>
      </c>
      <c r="M266" s="23">
        <f>HAMPSHIRE!O4</f>
        <v>160727</v>
      </c>
      <c r="N266" s="16"/>
      <c r="O266" s="24">
        <f t="shared" si="175"/>
        <v>2.1894984986566928</v>
      </c>
      <c r="P266" s="24">
        <f t="shared" si="176"/>
        <v>2.1623543534139689</v>
      </c>
      <c r="Q266" s="24">
        <f t="shared" si="177"/>
        <v>2.1326526640806422</v>
      </c>
      <c r="R266" s="24">
        <f t="shared" si="178"/>
        <v>2.0958396779105479</v>
      </c>
      <c r="S266" s="24">
        <f t="shared" si="179"/>
        <v>2.1371509321440612</v>
      </c>
      <c r="T266" s="24">
        <f t="shared" si="180"/>
        <v>2.0285586084936784</v>
      </c>
      <c r="U266" s="24">
        <f t="shared" si="181"/>
        <v>1.9818240179753641</v>
      </c>
      <c r="V266" s="24">
        <f t="shared" si="182"/>
        <v>1.9714042998104946</v>
      </c>
      <c r="W266" s="24">
        <f t="shared" si="183"/>
        <v>1.9766308503881898</v>
      </c>
      <c r="X266" s="24">
        <f t="shared" si="184"/>
        <v>1.9681701771807871</v>
      </c>
      <c r="Y266" s="24">
        <f t="shared" si="185"/>
        <v>2.2145759023866249</v>
      </c>
      <c r="Z266" s="24">
        <f t="shared" si="185"/>
        <v>2.189949995231153</v>
      </c>
    </row>
    <row r="267" spans="1:26">
      <c r="A267" s="25" t="s">
        <v>9775</v>
      </c>
      <c r="B267" s="23">
        <f t="shared" ref="B267:M267" si="188">SUM(B264:B266)</f>
        <v>1300292</v>
      </c>
      <c r="C267" s="23">
        <f t="shared" si="188"/>
        <v>1312952</v>
      </c>
      <c r="D267" s="23">
        <f t="shared" si="188"/>
        <v>1319186</v>
      </c>
      <c r="E267" s="23">
        <f t="shared" si="188"/>
        <v>1323146</v>
      </c>
      <c r="F267" s="23">
        <f t="shared" si="188"/>
        <v>1330440</v>
      </c>
      <c r="G267" s="23">
        <f t="shared" si="188"/>
        <v>1303604</v>
      </c>
      <c r="H267" s="23">
        <f t="shared" si="188"/>
        <v>1273506</v>
      </c>
      <c r="I267" s="23">
        <f t="shared" si="188"/>
        <v>1305658</v>
      </c>
      <c r="J267" s="23">
        <f t="shared" si="188"/>
        <v>1315760</v>
      </c>
      <c r="K267" s="23">
        <f t="shared" si="188"/>
        <v>1304383</v>
      </c>
      <c r="L267" s="23">
        <f t="shared" si="188"/>
        <v>1335894</v>
      </c>
      <c r="M267" s="23">
        <f t="shared" si="188"/>
        <v>1353121</v>
      </c>
      <c r="N267" s="16"/>
      <c r="O267" s="24">
        <f t="shared" si="175"/>
        <v>17.124427119001211</v>
      </c>
      <c r="P267" s="24">
        <f t="shared" si="176"/>
        <v>17.131196096084341</v>
      </c>
      <c r="Q267" s="24">
        <f t="shared" si="177"/>
        <v>17.114282378277398</v>
      </c>
      <c r="R267" s="24">
        <f t="shared" si="178"/>
        <v>17.074173484398791</v>
      </c>
      <c r="S267" s="24">
        <f t="shared" si="179"/>
        <v>17.248424819145903</v>
      </c>
      <c r="T267" s="24">
        <f t="shared" si="180"/>
        <v>17.203843006836117</v>
      </c>
      <c r="U267" s="24">
        <f t="shared" si="181"/>
        <v>17.03254022388958</v>
      </c>
      <c r="V267" s="24">
        <f t="shared" si="182"/>
        <v>17.064078938770177</v>
      </c>
      <c r="W267" s="24">
        <f t="shared" si="183"/>
        <v>17.053905875338614</v>
      </c>
      <c r="X267" s="24">
        <f t="shared" si="184"/>
        <v>17.043628808864266</v>
      </c>
      <c r="Y267" s="24">
        <f t="shared" si="185"/>
        <v>18.397449492515115</v>
      </c>
      <c r="Z267" s="24">
        <f t="shared" si="185"/>
        <v>18.436649271728911</v>
      </c>
    </row>
    <row r="268" spans="1:26">
      <c r="A268" s="21"/>
      <c r="B268" s="23"/>
      <c r="C268" s="23"/>
      <c r="D268" s="23"/>
      <c r="E268" s="23"/>
      <c r="F268" s="23"/>
      <c r="G268" s="23"/>
      <c r="H268" s="23"/>
      <c r="I268" s="23"/>
      <c r="J268" s="23"/>
      <c r="K268" s="23"/>
      <c r="L268" s="23"/>
      <c r="M268" s="23"/>
      <c r="N268" s="16"/>
      <c r="O268" s="24"/>
      <c r="P268" s="24"/>
      <c r="Q268" s="24"/>
      <c r="R268" s="24"/>
      <c r="S268" s="24"/>
      <c r="T268" s="24"/>
      <c r="U268" s="24"/>
      <c r="V268" s="24"/>
      <c r="W268" s="24"/>
      <c r="X268" s="24"/>
      <c r="Y268" s="24"/>
      <c r="Z268" s="24"/>
    </row>
    <row r="269" spans="1:26">
      <c r="A269" s="21" t="s">
        <v>3762</v>
      </c>
      <c r="B269" s="23">
        <f>'ISLE OF WIGHT'!D3</f>
        <v>110228</v>
      </c>
      <c r="C269" s="23">
        <f>'ISLE OF WIGHT'!E3</f>
        <v>110924</v>
      </c>
      <c r="D269" s="23">
        <f>'ISLE OF WIGHT'!F3</f>
        <v>110900</v>
      </c>
      <c r="E269" s="23">
        <f>'ISLE OF WIGHT'!G3</f>
        <v>111109</v>
      </c>
      <c r="F269" s="23">
        <f>'ISLE OF WIGHT'!H3</f>
        <v>111800</v>
      </c>
      <c r="G269" s="23">
        <f>'ISLE OF WIGHT'!I3</f>
        <v>107572</v>
      </c>
      <c r="H269" s="23">
        <f>'ISLE OF WIGHT'!J3</f>
        <v>105448</v>
      </c>
      <c r="I269" s="23">
        <f>'ISLE OF WIGHT'!K3</f>
        <v>108591</v>
      </c>
      <c r="J269" s="23">
        <f>'ISLE OF WIGHT'!L3</f>
        <v>109938</v>
      </c>
      <c r="K269" s="23">
        <f>'ISLE OF WIGHT'!M3</f>
        <v>108125</v>
      </c>
      <c r="L269" s="23">
        <f>'ISLE OF WIGHT'!N3</f>
        <v>111440</v>
      </c>
      <c r="M269" s="23">
        <f>'ISLE OF WIGHT'!O3</f>
        <v>111716</v>
      </c>
      <c r="N269" s="16"/>
      <c r="O269" s="24">
        <f t="shared" ref="O269:X269" si="189">B269/B$451</f>
        <v>1.4516672812516462</v>
      </c>
      <c r="P269" s="24">
        <f t="shared" si="189"/>
        <v>1.4473193199462429</v>
      </c>
      <c r="Q269" s="24">
        <f t="shared" si="189"/>
        <v>1.4387462539406599</v>
      </c>
      <c r="R269" s="24">
        <f t="shared" si="189"/>
        <v>1.4337755181046274</v>
      </c>
      <c r="S269" s="24">
        <f t="shared" si="189"/>
        <v>1.4494256747996992</v>
      </c>
      <c r="T269" s="24">
        <f t="shared" si="189"/>
        <v>1.4196426214796631</v>
      </c>
      <c r="U269" s="24">
        <f t="shared" si="189"/>
        <v>1.4103171100322327</v>
      </c>
      <c r="V269" s="24">
        <f t="shared" si="189"/>
        <v>1.4192119192315231</v>
      </c>
      <c r="W269" s="24">
        <f t="shared" si="189"/>
        <v>1.4249348696745427</v>
      </c>
      <c r="X269" s="24">
        <f t="shared" si="189"/>
        <v>1.4128077144201119</v>
      </c>
      <c r="Y269" s="24">
        <f>L269/L$451</f>
        <v>1.5347114153113079</v>
      </c>
      <c r="Z269" s="24">
        <f>M269/M$451</f>
        <v>1.5221615140408487</v>
      </c>
    </row>
    <row r="270" spans="1:26">
      <c r="A270" s="21"/>
      <c r="B270" s="23"/>
      <c r="C270" s="23"/>
      <c r="D270" s="23"/>
      <c r="E270" s="23"/>
      <c r="F270" s="23"/>
      <c r="G270" s="23"/>
      <c r="H270" s="23"/>
      <c r="I270" s="23"/>
      <c r="J270" s="23"/>
      <c r="K270" s="23"/>
      <c r="L270" s="23"/>
      <c r="M270" s="23"/>
      <c r="N270" s="16"/>
      <c r="O270" s="24"/>
      <c r="P270" s="24"/>
      <c r="Q270" s="24"/>
      <c r="R270" s="24"/>
      <c r="S270" s="24"/>
      <c r="T270" s="24"/>
      <c r="U270" s="24"/>
      <c r="V270" s="24"/>
      <c r="W270" s="24"/>
      <c r="X270" s="24"/>
      <c r="Y270" s="24"/>
      <c r="Z270" s="24"/>
    </row>
    <row r="271" spans="1:26">
      <c r="A271" s="21" t="s">
        <v>3763</v>
      </c>
      <c r="B271" s="23">
        <f>KENT!D7</f>
        <v>85182</v>
      </c>
      <c r="C271" s="23">
        <f>KENT!E7</f>
        <v>86043</v>
      </c>
      <c r="D271" s="23">
        <f>KENT!F7</f>
        <v>87420</v>
      </c>
      <c r="E271" s="23">
        <f>KENT!G7</f>
        <v>88804</v>
      </c>
      <c r="F271" s="23">
        <f>KENT!H7</f>
        <v>89111</v>
      </c>
      <c r="G271" s="23">
        <f>KENT!I7</f>
        <v>88043</v>
      </c>
      <c r="H271" s="23">
        <f>KENT!J7</f>
        <v>86610</v>
      </c>
      <c r="I271" s="23">
        <f>KENT!K7</f>
        <v>89236</v>
      </c>
      <c r="J271" s="23">
        <f>KENT!L7</f>
        <v>90894</v>
      </c>
      <c r="K271" s="23">
        <f>KENT!M7</f>
        <v>91352</v>
      </c>
      <c r="L271" s="23">
        <f>KENT!N7</f>
        <v>94734</v>
      </c>
      <c r="M271" s="23">
        <f>KENT!O7</f>
        <v>94045</v>
      </c>
      <c r="N271" s="16"/>
      <c r="O271" s="24">
        <f t="shared" ref="O271:O285" si="190">B271/B$451</f>
        <v>1.1218195227308645</v>
      </c>
      <c r="P271" s="24">
        <f t="shared" ref="P271:P285" si="191">C271/C$451</f>
        <v>1.1226758523505695</v>
      </c>
      <c r="Q271" s="24">
        <f t="shared" ref="Q271:Q285" si="192">D271/D$451</f>
        <v>1.1341316277681919</v>
      </c>
      <c r="R271" s="24">
        <f t="shared" ref="R271:R285" si="193">E271/E$451</f>
        <v>1.1459467829767467</v>
      </c>
      <c r="S271" s="24">
        <f t="shared" ref="S271:S285" si="194">F271/F$451</f>
        <v>1.1552752353047941</v>
      </c>
      <c r="T271" s="24">
        <f t="shared" ref="T271:T285" si="195">G271/G$451</f>
        <v>1.1619156966769604</v>
      </c>
      <c r="U271" s="24">
        <f t="shared" ref="U271:U285" si="196">H271/H$451</f>
        <v>1.1583677727400392</v>
      </c>
      <c r="V271" s="24">
        <f t="shared" ref="V271:V285" si="197">I271/I$451</f>
        <v>1.1662549826831341</v>
      </c>
      <c r="W271" s="24">
        <f t="shared" ref="W271:W285" si="198">J271/J$451</f>
        <v>1.178100657135821</v>
      </c>
      <c r="X271" s="24">
        <f t="shared" ref="X271:X285" si="199">K271/K$451</f>
        <v>1.1936444885799404</v>
      </c>
      <c r="Y271" s="24">
        <f t="shared" ref="Y271:Z285" si="200">L271/L$451</f>
        <v>1.3046424194014845</v>
      </c>
      <c r="Z271" s="24">
        <f t="shared" si="200"/>
        <v>1.2813892333056287</v>
      </c>
    </row>
    <row r="272" spans="1:26">
      <c r="A272" s="21" t="s">
        <v>3764</v>
      </c>
      <c r="B272" s="23">
        <f>KENT!D8</f>
        <v>104420</v>
      </c>
      <c r="C272" s="23">
        <f>KENT!E8</f>
        <v>104803</v>
      </c>
      <c r="D272" s="23">
        <f>KENT!F8</f>
        <v>107231</v>
      </c>
      <c r="E272" s="23">
        <f>KENT!G8</f>
        <v>110594</v>
      </c>
      <c r="F272" s="23">
        <f>KENT!H8</f>
        <v>110929</v>
      </c>
      <c r="G272" s="23">
        <f>KENT!I8</f>
        <v>111301</v>
      </c>
      <c r="H272" s="23">
        <f>KENT!J8</f>
        <v>100437</v>
      </c>
      <c r="I272" s="23">
        <f>KENT!K8</f>
        <v>103642</v>
      </c>
      <c r="J272" s="23">
        <f>KENT!L8</f>
        <v>105777</v>
      </c>
      <c r="K272" s="23">
        <f>KENT!M8</f>
        <v>104466</v>
      </c>
      <c r="L272" s="23">
        <f>KENT!N8</f>
        <v>113587</v>
      </c>
      <c r="M272" s="23">
        <f>KENT!O8</f>
        <v>113509</v>
      </c>
      <c r="N272" s="16"/>
      <c r="O272" s="24">
        <f t="shared" si="190"/>
        <v>1.3751777906547964</v>
      </c>
      <c r="P272" s="24">
        <f t="shared" si="191"/>
        <v>1.3674534518077792</v>
      </c>
      <c r="Q272" s="24">
        <f t="shared" si="192"/>
        <v>1.3911469752597916</v>
      </c>
      <c r="R272" s="24">
        <f t="shared" si="193"/>
        <v>1.4271298423103724</v>
      </c>
      <c r="S272" s="24">
        <f t="shared" si="194"/>
        <v>1.4381336375657945</v>
      </c>
      <c r="T272" s="24">
        <f t="shared" si="195"/>
        <v>1.4688547522897035</v>
      </c>
      <c r="U272" s="24">
        <f t="shared" si="196"/>
        <v>1.3432973558560366</v>
      </c>
      <c r="V272" s="24">
        <f t="shared" si="197"/>
        <v>1.3545317911520618</v>
      </c>
      <c r="W272" s="24">
        <f t="shared" si="198"/>
        <v>1.371003071818335</v>
      </c>
      <c r="X272" s="24">
        <f t="shared" si="199"/>
        <v>1.3649976480426489</v>
      </c>
      <c r="Y272" s="24">
        <f t="shared" si="200"/>
        <v>1.5642791235729139</v>
      </c>
      <c r="Z272" s="24">
        <f t="shared" si="200"/>
        <v>1.5465916368046</v>
      </c>
    </row>
    <row r="273" spans="1:26">
      <c r="A273" s="21" t="s">
        <v>3765</v>
      </c>
      <c r="B273" s="23">
        <f>KENT!D9</f>
        <v>70176</v>
      </c>
      <c r="C273" s="23">
        <f>KENT!E9</f>
        <v>69972</v>
      </c>
      <c r="D273" s="23">
        <f>KENT!F9</f>
        <v>70539</v>
      </c>
      <c r="E273" s="23">
        <f>KENT!G9</f>
        <v>70841</v>
      </c>
      <c r="F273" s="23">
        <f>KENT!H9</f>
        <v>71396</v>
      </c>
      <c r="G273" s="23">
        <f>KENT!I9</f>
        <v>70507</v>
      </c>
      <c r="H273" s="23">
        <f>KENT!J9</f>
        <v>72180</v>
      </c>
      <c r="I273" s="23">
        <f>KENT!K9</f>
        <v>73292</v>
      </c>
      <c r="J273" s="23">
        <f>KENT!L9</f>
        <v>74276</v>
      </c>
      <c r="K273" s="23">
        <f>KENT!M9</f>
        <v>76077</v>
      </c>
      <c r="L273" s="23">
        <f>KENT!N9</f>
        <v>76166</v>
      </c>
      <c r="M273" s="23">
        <f>KENT!O9</f>
        <v>78179</v>
      </c>
      <c r="N273" s="16"/>
      <c r="O273" s="24">
        <f t="shared" si="190"/>
        <v>0.92419533266606968</v>
      </c>
      <c r="P273" s="24">
        <f t="shared" si="191"/>
        <v>0.91298391200532347</v>
      </c>
      <c r="Q273" s="24">
        <f t="shared" si="192"/>
        <v>0.91512824171974938</v>
      </c>
      <c r="R273" s="24">
        <f t="shared" si="193"/>
        <v>0.9141481921180995</v>
      </c>
      <c r="S273" s="24">
        <f t="shared" si="194"/>
        <v>0.92560997744185447</v>
      </c>
      <c r="T273" s="24">
        <f t="shared" si="195"/>
        <v>0.93049066962282578</v>
      </c>
      <c r="U273" s="24">
        <f t="shared" si="196"/>
        <v>0.9653733499177467</v>
      </c>
      <c r="V273" s="24">
        <f t="shared" si="197"/>
        <v>0.95787754035156503</v>
      </c>
      <c r="W273" s="24">
        <f t="shared" si="198"/>
        <v>0.96271045843972369</v>
      </c>
      <c r="X273" s="24">
        <f t="shared" si="199"/>
        <v>0.99405477447342283</v>
      </c>
      <c r="Y273" s="24">
        <f t="shared" si="200"/>
        <v>1.0489306322559322</v>
      </c>
      <c r="Z273" s="24">
        <f t="shared" si="200"/>
        <v>1.0652105786655404</v>
      </c>
    </row>
    <row r="274" spans="1:26">
      <c r="A274" s="21" t="s">
        <v>3766</v>
      </c>
      <c r="B274" s="23">
        <f>KENT!D10</f>
        <v>82433</v>
      </c>
      <c r="C274" s="23">
        <f>KENT!E10</f>
        <v>82962</v>
      </c>
      <c r="D274" s="23">
        <f>KENT!F10</f>
        <v>83385</v>
      </c>
      <c r="E274" s="23">
        <f>KENT!G10</f>
        <v>83800</v>
      </c>
      <c r="F274" s="23">
        <f>KENT!H10</f>
        <v>84296</v>
      </c>
      <c r="G274" s="23">
        <f>KENT!I10</f>
        <v>83480</v>
      </c>
      <c r="H274" s="23">
        <f>KENT!J10</f>
        <v>84023</v>
      </c>
      <c r="I274" s="23">
        <f>KENT!K10</f>
        <v>85899</v>
      </c>
      <c r="J274" s="23">
        <f>KENT!L10</f>
        <v>85530</v>
      </c>
      <c r="K274" s="23">
        <f>KENT!M10</f>
        <v>84790</v>
      </c>
      <c r="L274" s="23">
        <f>KENT!N10</f>
        <v>87671</v>
      </c>
      <c r="M274" s="23">
        <f>KENT!O10</f>
        <v>86792</v>
      </c>
      <c r="N274" s="16"/>
      <c r="O274" s="24">
        <f t="shared" si="190"/>
        <v>1.0856160775430648</v>
      </c>
      <c r="P274" s="24">
        <f t="shared" si="191"/>
        <v>1.0824754374290524</v>
      </c>
      <c r="Q274" s="24">
        <f t="shared" si="192"/>
        <v>1.0817840972483492</v>
      </c>
      <c r="R274" s="24">
        <f t="shared" si="193"/>
        <v>1.0813740418613054</v>
      </c>
      <c r="S274" s="24">
        <f t="shared" si="194"/>
        <v>1.0928514014572044</v>
      </c>
      <c r="T274" s="24">
        <f t="shared" si="195"/>
        <v>1.1016971520574339</v>
      </c>
      <c r="U274" s="24">
        <f t="shared" si="196"/>
        <v>1.1237678717115382</v>
      </c>
      <c r="V274" s="24">
        <f t="shared" si="197"/>
        <v>1.1226426190942953</v>
      </c>
      <c r="W274" s="24">
        <f t="shared" si="198"/>
        <v>1.1085764649462755</v>
      </c>
      <c r="X274" s="24">
        <f t="shared" si="199"/>
        <v>1.1079025766999424</v>
      </c>
      <c r="Y274" s="24">
        <f t="shared" si="200"/>
        <v>1.2073733353531737</v>
      </c>
      <c r="Z274" s="24">
        <f t="shared" si="200"/>
        <v>1.1825650947638058</v>
      </c>
    </row>
    <row r="275" spans="1:26">
      <c r="A275" s="21" t="s">
        <v>12661</v>
      </c>
      <c r="B275" s="23">
        <f>KENT!D11</f>
        <v>73479</v>
      </c>
      <c r="C275" s="23">
        <f>KENT!E11</f>
        <v>80060</v>
      </c>
      <c r="D275" s="23">
        <f>KENT!F11</f>
        <v>80849</v>
      </c>
      <c r="E275" s="23">
        <f>KENT!G11</f>
        <v>81387</v>
      </c>
      <c r="F275" s="23">
        <f>KENT!H11</f>
        <v>80513</v>
      </c>
      <c r="G275" s="23">
        <f>KENT!I11</f>
        <v>77897</v>
      </c>
      <c r="H275" s="23">
        <f>KENT!J11</f>
        <v>77333</v>
      </c>
      <c r="I275" s="23">
        <f>KENT!K11</f>
        <v>79886</v>
      </c>
      <c r="J275" s="23">
        <f>KENT!L11</f>
        <v>81245</v>
      </c>
      <c r="K275" s="23">
        <f>KENT!M11</f>
        <v>81605</v>
      </c>
      <c r="L275" s="23">
        <f>KENT!N11</f>
        <v>84604</v>
      </c>
      <c r="M275" s="23">
        <f>KENT!O11</f>
        <v>84230</v>
      </c>
      <c r="N275" s="16"/>
      <c r="O275" s="24">
        <f t="shared" si="190"/>
        <v>0.96769477953958805</v>
      </c>
      <c r="P275" s="24">
        <f t="shared" si="191"/>
        <v>1.0446105870226119</v>
      </c>
      <c r="Q275" s="24">
        <f t="shared" si="192"/>
        <v>1.0488836418832137</v>
      </c>
      <c r="R275" s="24">
        <f t="shared" si="193"/>
        <v>1.0502361473146309</v>
      </c>
      <c r="S275" s="24">
        <f t="shared" si="194"/>
        <v>1.0438068815308423</v>
      </c>
      <c r="T275" s="24">
        <f t="shared" si="195"/>
        <v>1.0280175258004065</v>
      </c>
      <c r="U275" s="24">
        <f t="shared" si="196"/>
        <v>1.0342922869103506</v>
      </c>
      <c r="V275" s="24">
        <f t="shared" si="197"/>
        <v>1.0440567209043978</v>
      </c>
      <c r="W275" s="24">
        <f t="shared" si="198"/>
        <v>1.0530374709991834</v>
      </c>
      <c r="X275" s="24">
        <f t="shared" si="199"/>
        <v>1.0662859980139028</v>
      </c>
      <c r="Y275" s="24">
        <f t="shared" si="200"/>
        <v>1.1651357194992633</v>
      </c>
      <c r="Z275" s="24">
        <f t="shared" si="200"/>
        <v>1.1476571335140953</v>
      </c>
    </row>
    <row r="276" spans="1:26">
      <c r="A276" s="21" t="s">
        <v>3767</v>
      </c>
      <c r="B276" s="23">
        <f>KENT!D12</f>
        <v>69898</v>
      </c>
      <c r="C276" s="23">
        <f>KENT!E12</f>
        <v>70412</v>
      </c>
      <c r="D276" s="23">
        <f>KENT!F12</f>
        <v>71521</v>
      </c>
      <c r="E276" s="23">
        <f>KENT!G12</f>
        <v>72182</v>
      </c>
      <c r="F276" s="23">
        <f>KENT!H12</f>
        <v>72466</v>
      </c>
      <c r="G276" s="23">
        <f>KENT!I12</f>
        <v>70140</v>
      </c>
      <c r="H276" s="23">
        <f>KENT!J12</f>
        <v>70477</v>
      </c>
      <c r="I276" s="23">
        <f>KENT!K12</f>
        <v>73088</v>
      </c>
      <c r="J276" s="23">
        <f>KENT!L12</f>
        <v>71601</v>
      </c>
      <c r="K276" s="23">
        <f>KENT!M12</f>
        <v>71123</v>
      </c>
      <c r="L276" s="23">
        <f>KENT!N12</f>
        <v>72423</v>
      </c>
      <c r="M276" s="23">
        <f>KENT!O12</f>
        <v>72866</v>
      </c>
      <c r="N276" s="16"/>
      <c r="O276" s="24">
        <f t="shared" si="190"/>
        <v>0.92053416214507722</v>
      </c>
      <c r="P276" s="24">
        <f t="shared" si="191"/>
        <v>0.91872496444461837</v>
      </c>
      <c r="Q276" s="24">
        <f t="shared" si="192"/>
        <v>0.92786808681776312</v>
      </c>
      <c r="R276" s="24">
        <f t="shared" si="193"/>
        <v>0.93145275763284896</v>
      </c>
      <c r="S276" s="24">
        <f t="shared" si="194"/>
        <v>0.93948194051909661</v>
      </c>
      <c r="T276" s="24">
        <f t="shared" si="195"/>
        <v>0.92564731966109748</v>
      </c>
      <c r="U276" s="24">
        <f t="shared" si="196"/>
        <v>0.9425965306477283</v>
      </c>
      <c r="V276" s="24">
        <f t="shared" si="197"/>
        <v>0.95521139645821085</v>
      </c>
      <c r="W276" s="24">
        <f t="shared" si="198"/>
        <v>0.92803909115653316</v>
      </c>
      <c r="X276" s="24">
        <f t="shared" si="199"/>
        <v>0.92932368159724033</v>
      </c>
      <c r="Y276" s="24">
        <f t="shared" si="200"/>
        <v>0.99738338864941545</v>
      </c>
      <c r="Z276" s="24">
        <f t="shared" si="200"/>
        <v>0.99281947869687848</v>
      </c>
    </row>
    <row r="277" spans="1:26">
      <c r="A277" s="21" t="s">
        <v>3768</v>
      </c>
      <c r="B277" s="23">
        <f>KENT!D13</f>
        <v>113017</v>
      </c>
      <c r="C277" s="23">
        <f>KENT!E13</f>
        <v>111822</v>
      </c>
      <c r="D277" s="23">
        <f>KENT!F13</f>
        <v>115949</v>
      </c>
      <c r="E277" s="23">
        <f>KENT!G13</f>
        <v>117140</v>
      </c>
      <c r="F277" s="23">
        <f>KENT!H13</f>
        <v>108059</v>
      </c>
      <c r="G277" s="23">
        <f>KENT!I13</f>
        <v>109871</v>
      </c>
      <c r="H277" s="23">
        <f>KENT!J13</f>
        <v>108432</v>
      </c>
      <c r="I277" s="23">
        <f>KENT!K13</f>
        <v>115012</v>
      </c>
      <c r="J277" s="23">
        <f>KENT!L13</f>
        <v>113830</v>
      </c>
      <c r="K277" s="23">
        <f>KENT!M13</f>
        <v>116014</v>
      </c>
      <c r="L277" s="23">
        <f>KENT!N13</f>
        <v>121445</v>
      </c>
      <c r="M277" s="23">
        <f>KENT!O13</f>
        <v>120657</v>
      </c>
      <c r="N277" s="16"/>
      <c r="O277" s="24">
        <f t="shared" si="190"/>
        <v>1.4883975135647685</v>
      </c>
      <c r="P277" s="24">
        <f t="shared" si="191"/>
        <v>1.4590362860609856</v>
      </c>
      <c r="Q277" s="24">
        <f t="shared" si="192"/>
        <v>1.5042487772602846</v>
      </c>
      <c r="R277" s="24">
        <f t="shared" si="193"/>
        <v>1.5116008981340492</v>
      </c>
      <c r="S277" s="24">
        <f t="shared" si="194"/>
        <v>1.4009256618352477</v>
      </c>
      <c r="T277" s="24">
        <f t="shared" si="195"/>
        <v>1.4499828437194817</v>
      </c>
      <c r="U277" s="24">
        <f t="shared" si="196"/>
        <v>1.4502266982305501</v>
      </c>
      <c r="V277" s="24">
        <f t="shared" si="197"/>
        <v>1.5031301052081292</v>
      </c>
      <c r="W277" s="24">
        <f t="shared" si="198"/>
        <v>1.4753800889142354</v>
      </c>
      <c r="X277" s="24">
        <f t="shared" si="199"/>
        <v>1.5158887785501489</v>
      </c>
      <c r="Y277" s="24">
        <f t="shared" si="200"/>
        <v>1.6724966603776183</v>
      </c>
      <c r="Z277" s="24">
        <f t="shared" si="200"/>
        <v>1.6439851211968444</v>
      </c>
    </row>
    <row r="278" spans="1:26">
      <c r="A278" s="21" t="s">
        <v>3769</v>
      </c>
      <c r="B278" s="23">
        <f>KENT!D14</f>
        <v>86849</v>
      </c>
      <c r="C278" s="23">
        <f>KENT!E14</f>
        <v>86547</v>
      </c>
      <c r="D278" s="23">
        <f>KENT!F14</f>
        <v>87289</v>
      </c>
      <c r="E278" s="23">
        <f>KENT!G14</f>
        <v>87556</v>
      </c>
      <c r="F278" s="23">
        <f>KENT!H14</f>
        <v>85648</v>
      </c>
      <c r="G278" s="23">
        <f>KENT!I14</f>
        <v>85835</v>
      </c>
      <c r="H278" s="23">
        <f>KENT!J14</f>
        <v>85867</v>
      </c>
      <c r="I278" s="23">
        <f>KENT!K14</f>
        <v>87056</v>
      </c>
      <c r="J278" s="23">
        <f>KENT!L14</f>
        <v>87537</v>
      </c>
      <c r="K278" s="23">
        <f>KENT!M14</f>
        <v>87034</v>
      </c>
      <c r="L278" s="23">
        <f>KENT!N14</f>
        <v>88080</v>
      </c>
      <c r="M278" s="23">
        <f>KENT!O14</f>
        <v>89422</v>
      </c>
      <c r="N278" s="16"/>
      <c r="O278" s="24">
        <f t="shared" si="190"/>
        <v>1.1437733761786861</v>
      </c>
      <c r="P278" s="24">
        <f t="shared" si="191"/>
        <v>1.1292519669628527</v>
      </c>
      <c r="Q278" s="24">
        <f t="shared" si="192"/>
        <v>1.1324321168640781</v>
      </c>
      <c r="R278" s="24">
        <f t="shared" si="193"/>
        <v>1.129842310372416</v>
      </c>
      <c r="S278" s="24">
        <f t="shared" si="194"/>
        <v>1.1103793398501309</v>
      </c>
      <c r="T278" s="24">
        <f t="shared" si="195"/>
        <v>1.1327764140734289</v>
      </c>
      <c r="U278" s="24">
        <f t="shared" si="196"/>
        <v>1.1484304992710883</v>
      </c>
      <c r="V278" s="24">
        <f t="shared" si="197"/>
        <v>1.1377638371561132</v>
      </c>
      <c r="W278" s="24">
        <f t="shared" si="198"/>
        <v>1.1345897113527665</v>
      </c>
      <c r="X278" s="24">
        <f t="shared" si="199"/>
        <v>1.1372236450112372</v>
      </c>
      <c r="Y278" s="24">
        <f t="shared" si="200"/>
        <v>1.2130059355762741</v>
      </c>
      <c r="Z278" s="24">
        <f t="shared" si="200"/>
        <v>1.2183995748913383</v>
      </c>
    </row>
    <row r="279" spans="1:26">
      <c r="A279" s="21" t="s">
        <v>3770</v>
      </c>
      <c r="B279" s="23">
        <f>KENT!D15</f>
        <v>95947</v>
      </c>
      <c r="C279" s="23">
        <f>KENT!E15</f>
        <v>95264</v>
      </c>
      <c r="D279" s="23">
        <f>KENT!F15</f>
        <v>96360</v>
      </c>
      <c r="E279" s="23">
        <f>KENT!G15</f>
        <v>96760</v>
      </c>
      <c r="F279" s="23">
        <f>KENT!H15</f>
        <v>97494</v>
      </c>
      <c r="G279" s="23">
        <f>KENT!I15</f>
        <v>92331</v>
      </c>
      <c r="H279" s="23">
        <f>KENT!J15</f>
        <v>96025</v>
      </c>
      <c r="I279" s="23">
        <f>KENT!K15</f>
        <v>101034</v>
      </c>
      <c r="J279" s="23">
        <f>KENT!L15</f>
        <v>102276</v>
      </c>
      <c r="K279" s="23">
        <f>KENT!M15</f>
        <v>102639</v>
      </c>
      <c r="L279" s="23">
        <f>KENT!N15</f>
        <v>103216</v>
      </c>
      <c r="M279" s="23">
        <f>KENT!O15</f>
        <v>105492</v>
      </c>
      <c r="N279" s="16"/>
      <c r="O279" s="24">
        <f t="shared" si="190"/>
        <v>1.2635911078333246</v>
      </c>
      <c r="P279" s="24">
        <f t="shared" si="191"/>
        <v>1.2429900444931563</v>
      </c>
      <c r="Q279" s="24">
        <f t="shared" si="192"/>
        <v>1.2501135169497022</v>
      </c>
      <c r="R279" s="24">
        <f t="shared" si="193"/>
        <v>1.2486127958293545</v>
      </c>
      <c r="S279" s="24">
        <f t="shared" si="194"/>
        <v>1.2639562320118236</v>
      </c>
      <c r="T279" s="24">
        <f t="shared" si="195"/>
        <v>1.2185050281099057</v>
      </c>
      <c r="U279" s="24">
        <f t="shared" si="196"/>
        <v>1.2842889432786315</v>
      </c>
      <c r="V279" s="24">
        <f t="shared" si="197"/>
        <v>1.3204469711821212</v>
      </c>
      <c r="W279" s="24">
        <f t="shared" si="198"/>
        <v>1.3256257047684472</v>
      </c>
      <c r="X279" s="24">
        <f t="shared" si="199"/>
        <v>1.3411252809282392</v>
      </c>
      <c r="Y279" s="24">
        <f t="shared" si="200"/>
        <v>1.4214534587470564</v>
      </c>
      <c r="Z279" s="24">
        <f t="shared" si="200"/>
        <v>1.4373577861648932</v>
      </c>
    </row>
    <row r="280" spans="1:26">
      <c r="A280" s="21" t="s">
        <v>3771</v>
      </c>
      <c r="B280" s="23">
        <f>KENT!D16</f>
        <v>97254</v>
      </c>
      <c r="C280" s="23">
        <f>KENT!E16</f>
        <v>93087</v>
      </c>
      <c r="D280" s="23">
        <f>KENT!F16</f>
        <v>93568</v>
      </c>
      <c r="E280" s="23">
        <f>KENT!G16</f>
        <v>96861</v>
      </c>
      <c r="F280" s="23">
        <f>KENT!H16</f>
        <v>99158</v>
      </c>
      <c r="G280" s="23">
        <f>KENT!I16</f>
        <v>95394</v>
      </c>
      <c r="H280" s="23">
        <f>KENT!J16</f>
        <v>96967</v>
      </c>
      <c r="I280" s="23">
        <f>KENT!K16</f>
        <v>97551</v>
      </c>
      <c r="J280" s="23">
        <f>KENT!L16</f>
        <v>98389</v>
      </c>
      <c r="K280" s="23">
        <f>KENT!M16</f>
        <v>97846</v>
      </c>
      <c r="L280" s="23">
        <f>KENT!N16</f>
        <v>102427</v>
      </c>
      <c r="M280" s="23">
        <f>KENT!O16</f>
        <v>100871</v>
      </c>
      <c r="N280" s="16"/>
      <c r="O280" s="24">
        <f t="shared" si="190"/>
        <v>1.2808038771532424</v>
      </c>
      <c r="P280" s="24">
        <f t="shared" si="191"/>
        <v>1.2145848827650996</v>
      </c>
      <c r="Q280" s="24">
        <f t="shared" si="192"/>
        <v>1.2138918799704208</v>
      </c>
      <c r="R280" s="24">
        <f t="shared" si="193"/>
        <v>1.2499161225385191</v>
      </c>
      <c r="S280" s="24">
        <f t="shared" si="194"/>
        <v>1.2855290792646563</v>
      </c>
      <c r="T280" s="24">
        <f t="shared" si="195"/>
        <v>1.2589278644389896</v>
      </c>
      <c r="U280" s="24">
        <f t="shared" si="196"/>
        <v>1.2968877475959288</v>
      </c>
      <c r="V280" s="24">
        <f t="shared" si="197"/>
        <v>1.2749264850029407</v>
      </c>
      <c r="W280" s="24">
        <f t="shared" si="198"/>
        <v>1.2752452918227419</v>
      </c>
      <c r="X280" s="24">
        <f t="shared" si="199"/>
        <v>1.278497883238384</v>
      </c>
      <c r="Y280" s="24">
        <f t="shared" si="200"/>
        <v>1.4105876358227865</v>
      </c>
      <c r="Z280" s="24">
        <f t="shared" si="200"/>
        <v>1.3743953783058329</v>
      </c>
    </row>
    <row r="281" spans="1:26">
      <c r="A281" s="21" t="s">
        <v>3772</v>
      </c>
      <c r="B281" s="23">
        <f>KENT!D17</f>
        <v>86711</v>
      </c>
      <c r="C281" s="23">
        <f>KENT!E17</f>
        <v>88265</v>
      </c>
      <c r="D281" s="23">
        <f>KENT!F17</f>
        <v>89315</v>
      </c>
      <c r="E281" s="23">
        <f>KENT!G17</f>
        <v>90368</v>
      </c>
      <c r="F281" s="23">
        <f>KENT!H17</f>
        <v>84991</v>
      </c>
      <c r="G281" s="23">
        <f>KENT!I17</f>
        <v>88590</v>
      </c>
      <c r="H281" s="23">
        <f>KENT!J17</f>
        <v>90032</v>
      </c>
      <c r="I281" s="23">
        <f>KENT!K17</f>
        <v>94397</v>
      </c>
      <c r="J281" s="23">
        <f>KENT!L17</f>
        <v>95384</v>
      </c>
      <c r="K281" s="23">
        <f>KENT!M17</f>
        <v>95479</v>
      </c>
      <c r="L281" s="23">
        <f>KENT!N17</f>
        <v>96561</v>
      </c>
      <c r="M281" s="23">
        <f>KENT!O17</f>
        <v>99159</v>
      </c>
      <c r="N281" s="16"/>
      <c r="O281" s="24">
        <f t="shared" si="190"/>
        <v>1.141955960596323</v>
      </c>
      <c r="P281" s="24">
        <f t="shared" si="191"/>
        <v>1.1516681671690088</v>
      </c>
      <c r="Q281" s="24">
        <f t="shared" si="192"/>
        <v>1.1587161557322816</v>
      </c>
      <c r="R281" s="24">
        <f t="shared" si="193"/>
        <v>1.1661289906315329</v>
      </c>
      <c r="S281" s="24">
        <f t="shared" si="194"/>
        <v>1.1018616952316747</v>
      </c>
      <c r="T281" s="24">
        <f t="shared" si="195"/>
        <v>1.1691345316335418</v>
      </c>
      <c r="U281" s="24">
        <f t="shared" si="196"/>
        <v>1.2041354037100938</v>
      </c>
      <c r="V281" s="24">
        <f t="shared" si="197"/>
        <v>1.2337058093184343</v>
      </c>
      <c r="W281" s="24">
        <f t="shared" si="198"/>
        <v>1.2362967091363912</v>
      </c>
      <c r="X281" s="24">
        <f t="shared" si="199"/>
        <v>1.2475696440704542</v>
      </c>
      <c r="Y281" s="24">
        <f t="shared" si="200"/>
        <v>1.3298032032831586</v>
      </c>
      <c r="Z281" s="24">
        <f t="shared" si="200"/>
        <v>1.3510689030288991</v>
      </c>
    </row>
    <row r="282" spans="1:26">
      <c r="A282" s="21" t="s">
        <v>3773</v>
      </c>
      <c r="B282" s="23">
        <f>KENT!D18</f>
        <v>79183</v>
      </c>
      <c r="C282" s="23">
        <f>KENT!E18</f>
        <v>79835</v>
      </c>
      <c r="D282" s="23">
        <f>KENT!F18</f>
        <v>79735</v>
      </c>
      <c r="E282" s="23">
        <f>KENT!G18</f>
        <v>80407</v>
      </c>
      <c r="F282" s="23">
        <f>KENT!H18</f>
        <v>80158</v>
      </c>
      <c r="G282" s="23">
        <f>KENT!I18</f>
        <v>78093</v>
      </c>
      <c r="H282" s="23">
        <f>KENT!J18</f>
        <v>76380</v>
      </c>
      <c r="I282" s="23">
        <f>KENT!K18</f>
        <v>80523</v>
      </c>
      <c r="J282" s="23">
        <f>KENT!L18</f>
        <v>79622</v>
      </c>
      <c r="K282" s="23">
        <f>KENT!M18</f>
        <v>79073</v>
      </c>
      <c r="L282" s="23">
        <f>KENT!N18</f>
        <v>82426</v>
      </c>
      <c r="M282" s="23">
        <f>KENT!O18</f>
        <v>82248</v>
      </c>
      <c r="N282" s="16"/>
      <c r="O282" s="24">
        <f t="shared" si="190"/>
        <v>1.0428146236105991</v>
      </c>
      <c r="P282" s="24">
        <f t="shared" si="191"/>
        <v>1.0416748215706997</v>
      </c>
      <c r="Q282" s="24">
        <f t="shared" si="192"/>
        <v>1.0344313125154059</v>
      </c>
      <c r="R282" s="24">
        <f t="shared" si="193"/>
        <v>1.0375900069682815</v>
      </c>
      <c r="S282" s="24">
        <f t="shared" si="194"/>
        <v>1.0392045012575517</v>
      </c>
      <c r="T282" s="24">
        <f t="shared" si="195"/>
        <v>1.0306041650170243</v>
      </c>
      <c r="U282" s="24">
        <f t="shared" si="196"/>
        <v>1.021546362797416</v>
      </c>
      <c r="V282" s="24">
        <f t="shared" si="197"/>
        <v>1.0523818859047245</v>
      </c>
      <c r="W282" s="24">
        <f t="shared" si="198"/>
        <v>1.0320013479709149</v>
      </c>
      <c r="X282" s="24">
        <f t="shared" si="199"/>
        <v>1.0332017979407306</v>
      </c>
      <c r="Y282" s="24">
        <f t="shared" si="200"/>
        <v>1.1351410904383512</v>
      </c>
      <c r="Z282" s="24">
        <f t="shared" si="200"/>
        <v>1.1206518332811031</v>
      </c>
    </row>
    <row r="283" spans="1:26">
      <c r="A283" s="21" t="s">
        <v>3774</v>
      </c>
      <c r="B283" s="23">
        <f t="shared" ref="B283:K283" si="201">SUM(B271:B282)</f>
        <v>1044549</v>
      </c>
      <c r="C283" s="23">
        <f t="shared" si="201"/>
        <v>1049072</v>
      </c>
      <c r="D283" s="23">
        <f t="shared" si="201"/>
        <v>1063161</v>
      </c>
      <c r="E283" s="23">
        <f t="shared" si="201"/>
        <v>1076700</v>
      </c>
      <c r="F283" s="23">
        <f t="shared" si="201"/>
        <v>1064219</v>
      </c>
      <c r="G283" s="23">
        <f t="shared" si="201"/>
        <v>1051482</v>
      </c>
      <c r="H283" s="23">
        <f t="shared" si="201"/>
        <v>1044763</v>
      </c>
      <c r="I283" s="23">
        <f t="shared" si="201"/>
        <v>1080616</v>
      </c>
      <c r="J283" s="23">
        <f t="shared" si="201"/>
        <v>1086361</v>
      </c>
      <c r="K283" s="23">
        <f t="shared" si="201"/>
        <v>1087498</v>
      </c>
      <c r="L283" s="23">
        <f>SUM(L271:L282)</f>
        <v>1123340</v>
      </c>
      <c r="M283" s="23">
        <f>SUM(M271:M282)</f>
        <v>1127470</v>
      </c>
      <c r="N283" s="16"/>
      <c r="O283" s="24">
        <f t="shared" si="190"/>
        <v>13.756374124216403</v>
      </c>
      <c r="P283" s="24">
        <f t="shared" si="191"/>
        <v>13.688130374081759</v>
      </c>
      <c r="Q283" s="24">
        <f t="shared" si="192"/>
        <v>13.792776429989232</v>
      </c>
      <c r="R283" s="24">
        <f t="shared" si="193"/>
        <v>13.893978888688157</v>
      </c>
      <c r="S283" s="24">
        <f t="shared" si="194"/>
        <v>13.797015583270673</v>
      </c>
      <c r="T283" s="24">
        <f t="shared" si="195"/>
        <v>13.8765539631008</v>
      </c>
      <c r="U283" s="24">
        <f t="shared" si="196"/>
        <v>13.973210822667149</v>
      </c>
      <c r="V283" s="24">
        <f t="shared" si="197"/>
        <v>14.122930144416127</v>
      </c>
      <c r="W283" s="24">
        <f t="shared" si="198"/>
        <v>14.080606068461369</v>
      </c>
      <c r="X283" s="24">
        <f t="shared" si="199"/>
        <v>14.209716197146292</v>
      </c>
      <c r="Y283" s="24">
        <f t="shared" si="200"/>
        <v>15.470232602977429</v>
      </c>
      <c r="Z283" s="24">
        <f t="shared" si="200"/>
        <v>15.36209175261946</v>
      </c>
    </row>
    <row r="284" spans="1:26">
      <c r="A284" s="21" t="s">
        <v>3775</v>
      </c>
      <c r="B284" s="23">
        <f>KENT!D4</f>
        <v>185837</v>
      </c>
      <c r="C284" s="23">
        <f>KENT!E4</f>
        <v>186433</v>
      </c>
      <c r="D284" s="23">
        <f>KENT!F4</f>
        <v>189356</v>
      </c>
      <c r="E284" s="23">
        <f>KENT!G4</f>
        <v>189930</v>
      </c>
      <c r="F284" s="23">
        <f>KENT!H4</f>
        <v>193662</v>
      </c>
      <c r="G284" s="23">
        <f>KENT!I4</f>
        <v>186805</v>
      </c>
      <c r="H284" s="23">
        <f>KENT!J4</f>
        <v>182325</v>
      </c>
      <c r="I284" s="23">
        <f>KENT!K4</f>
        <v>190863</v>
      </c>
      <c r="J284" s="23">
        <f>KENT!L4</f>
        <v>191406</v>
      </c>
      <c r="K284" s="23">
        <f>KENT!M4</f>
        <v>194433</v>
      </c>
      <c r="L284" s="23">
        <f>KENT!N4</f>
        <v>191100</v>
      </c>
      <c r="M284" s="23">
        <f>KENT!O4</f>
        <v>197530</v>
      </c>
      <c r="N284" s="16"/>
      <c r="O284" s="24">
        <f t="shared" si="190"/>
        <v>2.4474134752146659</v>
      </c>
      <c r="P284" s="24">
        <f t="shared" si="191"/>
        <v>2.4325491577615113</v>
      </c>
      <c r="Q284" s="24">
        <f t="shared" si="192"/>
        <v>2.4565846317510154</v>
      </c>
      <c r="R284" s="24">
        <f t="shared" si="193"/>
        <v>2.4508994244715718</v>
      </c>
      <c r="S284" s="24">
        <f t="shared" si="194"/>
        <v>2.5107216013690459</v>
      </c>
      <c r="T284" s="24">
        <f t="shared" si="195"/>
        <v>2.4652915247974239</v>
      </c>
      <c r="U284" s="24">
        <f t="shared" si="196"/>
        <v>2.4385106126870761</v>
      </c>
      <c r="V284" s="24">
        <f t="shared" si="197"/>
        <v>2.4944520682219173</v>
      </c>
      <c r="W284" s="24">
        <f t="shared" si="198"/>
        <v>2.4808627013855586</v>
      </c>
      <c r="X284" s="24">
        <f t="shared" si="199"/>
        <v>2.5405451314482832</v>
      </c>
      <c r="Y284" s="24">
        <f t="shared" si="200"/>
        <v>2.6317601531406223</v>
      </c>
      <c r="Z284" s="24">
        <f t="shared" si="200"/>
        <v>2.6914010872971539</v>
      </c>
    </row>
    <row r="285" spans="1:26">
      <c r="A285" s="25" t="s">
        <v>3776</v>
      </c>
      <c r="B285" s="23">
        <f t="shared" ref="B285:G285" si="202">B283+B284</f>
        <v>1230386</v>
      </c>
      <c r="C285" s="23">
        <f t="shared" si="202"/>
        <v>1235505</v>
      </c>
      <c r="D285" s="23">
        <f t="shared" si="202"/>
        <v>1252517</v>
      </c>
      <c r="E285" s="23">
        <f t="shared" si="202"/>
        <v>1266630</v>
      </c>
      <c r="F285" s="23">
        <f t="shared" si="202"/>
        <v>1257881</v>
      </c>
      <c r="G285" s="23">
        <f t="shared" si="202"/>
        <v>1238287</v>
      </c>
      <c r="H285" s="23">
        <f t="shared" ref="H285:M285" si="203">H283+H284</f>
        <v>1227088</v>
      </c>
      <c r="I285" s="23">
        <f t="shared" si="203"/>
        <v>1271479</v>
      </c>
      <c r="J285" s="23">
        <f t="shared" si="203"/>
        <v>1277767</v>
      </c>
      <c r="K285" s="23">
        <f t="shared" si="203"/>
        <v>1281931</v>
      </c>
      <c r="L285" s="23">
        <f t="shared" si="203"/>
        <v>1314440</v>
      </c>
      <c r="M285" s="23">
        <f t="shared" si="203"/>
        <v>1325000</v>
      </c>
      <c r="N285" s="16"/>
      <c r="O285" s="24">
        <f t="shared" si="190"/>
        <v>16.20378759943107</v>
      </c>
      <c r="P285" s="24">
        <f t="shared" si="191"/>
        <v>16.120679531843269</v>
      </c>
      <c r="Q285" s="24">
        <f t="shared" si="192"/>
        <v>16.249361061740249</v>
      </c>
      <c r="R285" s="24">
        <f t="shared" si="193"/>
        <v>16.344878313159729</v>
      </c>
      <c r="S285" s="24">
        <f t="shared" si="194"/>
        <v>16.307737184639716</v>
      </c>
      <c r="T285" s="24">
        <f t="shared" si="195"/>
        <v>16.341845487898222</v>
      </c>
      <c r="U285" s="24">
        <f t="shared" si="196"/>
        <v>16.411721435354224</v>
      </c>
      <c r="V285" s="24">
        <f t="shared" si="197"/>
        <v>16.617382212638045</v>
      </c>
      <c r="W285" s="24">
        <f t="shared" si="198"/>
        <v>16.561468769846929</v>
      </c>
      <c r="X285" s="24">
        <f t="shared" si="199"/>
        <v>16.750261328594576</v>
      </c>
      <c r="Y285" s="24">
        <f t="shared" si="200"/>
        <v>18.101992756118051</v>
      </c>
      <c r="Z285" s="24">
        <f t="shared" si="200"/>
        <v>18.053492839916615</v>
      </c>
    </row>
    <row r="286" spans="1:26">
      <c r="A286" s="21"/>
      <c r="B286" s="23"/>
      <c r="C286" s="23"/>
      <c r="D286" s="23"/>
      <c r="E286" s="23"/>
      <c r="F286" s="23"/>
      <c r="G286" s="23"/>
      <c r="H286" s="23"/>
      <c r="I286" s="23"/>
      <c r="J286" s="23"/>
      <c r="K286" s="23"/>
      <c r="L286" s="23"/>
      <c r="M286" s="23"/>
      <c r="N286" s="16"/>
      <c r="O286" s="24"/>
      <c r="P286" s="24"/>
      <c r="Q286" s="24"/>
      <c r="R286" s="24"/>
      <c r="S286" s="24"/>
      <c r="T286" s="24"/>
      <c r="U286" s="24"/>
      <c r="V286" s="24"/>
      <c r="W286" s="24"/>
      <c r="X286" s="24"/>
      <c r="Y286" s="24"/>
      <c r="Z286" s="24"/>
    </row>
    <row r="287" spans="1:26">
      <c r="A287" s="21" t="s">
        <v>3808</v>
      </c>
      <c r="B287" s="23">
        <f>OXFORDSHIRE!D5</f>
        <v>102067</v>
      </c>
      <c r="C287" s="23">
        <f>OXFORDSHIRE!E5</f>
        <v>101966</v>
      </c>
      <c r="D287" s="23">
        <f>OXFORDSHIRE!F5</f>
        <v>103835</v>
      </c>
      <c r="E287" s="23">
        <f>OXFORDSHIRE!G5</f>
        <v>105087</v>
      </c>
      <c r="F287" s="23">
        <f>OXFORDSHIRE!H5</f>
        <v>104811</v>
      </c>
      <c r="G287" s="23">
        <f>OXFORDSHIRE!I5</f>
        <v>102971</v>
      </c>
      <c r="H287" s="23">
        <f>OXFORDSHIRE!J5</f>
        <v>103843</v>
      </c>
      <c r="I287" s="23">
        <f>OXFORDSHIRE!K5</f>
        <v>108410</v>
      </c>
      <c r="J287" s="23">
        <f>OXFORDSHIRE!L5</f>
        <v>103953</v>
      </c>
      <c r="K287" s="23">
        <f>OXFORDSHIRE!M5</f>
        <v>104405</v>
      </c>
      <c r="L287" s="23">
        <f>OXFORDSHIRE!N5</f>
        <v>106860</v>
      </c>
      <c r="M287" s="23">
        <f>OXFORDSHIRE!O5</f>
        <v>108876</v>
      </c>
      <c r="N287" s="16"/>
      <c r="O287" s="24">
        <f t="shared" ref="O287:X292" si="204">B287/B$451</f>
        <v>1.3441895380076911</v>
      </c>
      <c r="P287" s="24">
        <f t="shared" si="204"/>
        <v>1.33043671142078</v>
      </c>
      <c r="Q287" s="24">
        <f t="shared" si="204"/>
        <v>1.3470894254096339</v>
      </c>
      <c r="R287" s="24">
        <f t="shared" si="204"/>
        <v>1.3560662760987947</v>
      </c>
      <c r="S287" s="24">
        <f t="shared" si="204"/>
        <v>1.3588171234475068</v>
      </c>
      <c r="T287" s="24">
        <f t="shared" si="204"/>
        <v>1.3589225855834455</v>
      </c>
      <c r="U287" s="24">
        <f t="shared" si="204"/>
        <v>1.3888509943960732</v>
      </c>
      <c r="V287" s="24">
        <f t="shared" si="204"/>
        <v>1.4168463699928118</v>
      </c>
      <c r="W287" s="24">
        <f t="shared" si="204"/>
        <v>1.3473617357717782</v>
      </c>
      <c r="X287" s="24">
        <f t="shared" si="204"/>
        <v>1.3642005958291956</v>
      </c>
      <c r="Y287" s="24">
        <f t="shared" ref="Y287:Z292" si="205">L287/L$451</f>
        <v>1.4716373101235316</v>
      </c>
      <c r="Z287" s="24">
        <f t="shared" si="205"/>
        <v>1.4834657256141595</v>
      </c>
    </row>
    <row r="288" spans="1:26">
      <c r="A288" s="21" t="s">
        <v>3809</v>
      </c>
      <c r="B288" s="23">
        <f>OXFORDSHIRE!D6</f>
        <v>101565</v>
      </c>
      <c r="C288" s="23">
        <f>OXFORDSHIRE!E6</f>
        <v>103108</v>
      </c>
      <c r="D288" s="23">
        <f>OXFORDSHIRE!F6</f>
        <v>103309</v>
      </c>
      <c r="E288" s="23">
        <f>OXFORDSHIRE!G6</f>
        <v>102153</v>
      </c>
      <c r="F288" s="23">
        <f>OXFORDSHIRE!H6</f>
        <v>101952</v>
      </c>
      <c r="G288" s="23">
        <f>OXFORDSHIRE!I6</f>
        <v>91551</v>
      </c>
      <c r="H288" s="23">
        <f>OXFORDSHIRE!J6</f>
        <v>88712</v>
      </c>
      <c r="I288" s="23">
        <f>OXFORDSHIRE!K6</f>
        <v>92121</v>
      </c>
      <c r="J288" s="23">
        <f>OXFORDSHIRE!L6</f>
        <v>91367</v>
      </c>
      <c r="K288" s="23">
        <f>OXFORDSHIRE!M6</f>
        <v>89703</v>
      </c>
      <c r="L288" s="23">
        <f>OXFORDSHIRE!N6</f>
        <v>89636</v>
      </c>
      <c r="M288" s="23">
        <f>OXFORDSHIRE!O6</f>
        <v>99773</v>
      </c>
      <c r="N288" s="16"/>
      <c r="O288" s="24">
        <f t="shared" si="204"/>
        <v>1.3375783595848918</v>
      </c>
      <c r="P288" s="24">
        <f t="shared" si="204"/>
        <v>1.3453373520700409</v>
      </c>
      <c r="Q288" s="24">
        <f t="shared" si="204"/>
        <v>1.3402654350618182</v>
      </c>
      <c r="R288" s="24">
        <f t="shared" si="204"/>
        <v>1.3182052804088058</v>
      </c>
      <c r="S288" s="24">
        <f t="shared" si="204"/>
        <v>1.3217517566831747</v>
      </c>
      <c r="T288" s="24">
        <f t="shared" si="204"/>
        <v>1.2082112597988757</v>
      </c>
      <c r="U288" s="24">
        <f t="shared" si="204"/>
        <v>1.1864810282336262</v>
      </c>
      <c r="V288" s="24">
        <f t="shared" si="204"/>
        <v>1.2039600078415997</v>
      </c>
      <c r="W288" s="24">
        <f t="shared" si="204"/>
        <v>1.1842313325470171</v>
      </c>
      <c r="X288" s="24">
        <f t="shared" si="204"/>
        <v>1.1720979459572467</v>
      </c>
      <c r="Y288" s="24">
        <f t="shared" si="205"/>
        <v>1.2344346053736934</v>
      </c>
      <c r="Z288" s="24">
        <f t="shared" si="205"/>
        <v>1.3594348234845286</v>
      </c>
    </row>
    <row r="289" spans="1:26">
      <c r="A289" s="21" t="s">
        <v>3810</v>
      </c>
      <c r="B289" s="23">
        <f>OXFORDSHIRE!D7</f>
        <v>99930</v>
      </c>
      <c r="C289" s="23">
        <f>OXFORDSHIRE!E7</f>
        <v>100482</v>
      </c>
      <c r="D289" s="23">
        <f>OXFORDSHIRE!F7</f>
        <v>100930</v>
      </c>
      <c r="E289" s="23">
        <f>OXFORDSHIRE!G7</f>
        <v>101709</v>
      </c>
      <c r="F289" s="23">
        <f>OXFORDSHIRE!H7</f>
        <v>102398</v>
      </c>
      <c r="G289" s="23">
        <f>OXFORDSHIRE!I7</f>
        <v>104680</v>
      </c>
      <c r="H289" s="23">
        <f>OXFORDSHIRE!J7</f>
        <v>99880</v>
      </c>
      <c r="I289" s="23">
        <f>OXFORDSHIRE!K7</f>
        <v>102113</v>
      </c>
      <c r="J289" s="23">
        <f>OXFORDSHIRE!L7</f>
        <v>101906</v>
      </c>
      <c r="K289" s="23">
        <f>OXFORDSHIRE!M7</f>
        <v>102603</v>
      </c>
      <c r="L289" s="23">
        <f>OXFORDSHIRE!N7</f>
        <v>106011</v>
      </c>
      <c r="M289" s="23">
        <f>OXFORDSHIRE!O7</f>
        <v>107465</v>
      </c>
      <c r="N289" s="16"/>
      <c r="O289" s="24">
        <f t="shared" si="204"/>
        <v>1.3160459358373282</v>
      </c>
      <c r="P289" s="24">
        <f t="shared" si="204"/>
        <v>1.3110737072846126</v>
      </c>
      <c r="Q289" s="24">
        <f t="shared" si="204"/>
        <v>1.3094017981084833</v>
      </c>
      <c r="R289" s="24">
        <f t="shared" si="204"/>
        <v>1.3124758045784191</v>
      </c>
      <c r="S289" s="24">
        <f t="shared" si="204"/>
        <v>1.3275339020406047</v>
      </c>
      <c r="T289" s="24">
        <f t="shared" si="204"/>
        <v>1.3814764958956898</v>
      </c>
      <c r="U289" s="24">
        <f t="shared" si="204"/>
        <v>1.3358477443860424</v>
      </c>
      <c r="V289" s="24">
        <f t="shared" si="204"/>
        <v>1.3345487812847154</v>
      </c>
      <c r="W289" s="24">
        <f t="shared" si="204"/>
        <v>1.3208300390133889</v>
      </c>
      <c r="X289" s="24">
        <f t="shared" si="204"/>
        <v>1.3406548894580046</v>
      </c>
      <c r="Y289" s="24">
        <f t="shared" si="205"/>
        <v>1.4599451888780246</v>
      </c>
      <c r="Z289" s="24">
        <f t="shared" si="205"/>
        <v>1.4642404588993501</v>
      </c>
    </row>
    <row r="290" spans="1:26">
      <c r="A290" s="21" t="s">
        <v>3811</v>
      </c>
      <c r="B290" s="23">
        <f>OXFORDSHIRE!D8</f>
        <v>90625</v>
      </c>
      <c r="C290" s="23">
        <f>OXFORDSHIRE!E8</f>
        <v>91588</v>
      </c>
      <c r="D290" s="23">
        <f>OXFORDSHIRE!F8</f>
        <v>92688</v>
      </c>
      <c r="E290" s="23">
        <f>OXFORDSHIRE!G8</f>
        <v>92457</v>
      </c>
      <c r="F290" s="23">
        <f>OXFORDSHIRE!H8</f>
        <v>93022</v>
      </c>
      <c r="G290" s="23">
        <f>OXFORDSHIRE!I8</f>
        <v>95117</v>
      </c>
      <c r="H290" s="23">
        <f>OXFORDSHIRE!J8</f>
        <v>90444</v>
      </c>
      <c r="I290" s="23">
        <f>OXFORDSHIRE!K8</f>
        <v>92706</v>
      </c>
      <c r="J290" s="23">
        <f>OXFORDSHIRE!L8</f>
        <v>93405</v>
      </c>
      <c r="K290" s="23">
        <f>OXFORDSHIRE!M8</f>
        <v>94499</v>
      </c>
      <c r="L290" s="23">
        <f>OXFORDSHIRE!N8</f>
        <v>98566</v>
      </c>
      <c r="M290" s="23">
        <f>OXFORDSHIRE!O8</f>
        <v>100004</v>
      </c>
      <c r="N290" s="16"/>
      <c r="O290" s="24">
        <f t="shared" si="204"/>
        <v>1.193502080809145</v>
      </c>
      <c r="P290" s="24">
        <f t="shared" si="204"/>
        <v>1.1950261609321382</v>
      </c>
      <c r="Q290" s="24">
        <f t="shared" si="204"/>
        <v>1.2024753181717933</v>
      </c>
      <c r="R290" s="24">
        <f t="shared" si="204"/>
        <v>1.1930859163290062</v>
      </c>
      <c r="S290" s="24">
        <f t="shared" si="204"/>
        <v>1.2059792050198357</v>
      </c>
      <c r="T290" s="24">
        <f t="shared" si="204"/>
        <v>1.2552722569746879</v>
      </c>
      <c r="U290" s="24">
        <f t="shared" si="204"/>
        <v>1.2096457087830519</v>
      </c>
      <c r="V290" s="24">
        <f t="shared" si="204"/>
        <v>1.2116055675357773</v>
      </c>
      <c r="W290" s="24">
        <f t="shared" si="204"/>
        <v>1.2106463779762291</v>
      </c>
      <c r="X290" s="24">
        <f t="shared" si="204"/>
        <v>1.2347645429362881</v>
      </c>
      <c r="Y290" s="24">
        <f t="shared" si="205"/>
        <v>1.3574153388511698</v>
      </c>
      <c r="Z290" s="24">
        <f t="shared" si="205"/>
        <v>1.3625822626136008</v>
      </c>
    </row>
    <row r="291" spans="1:26">
      <c r="A291" s="21" t="s">
        <v>3812</v>
      </c>
      <c r="B291" s="23">
        <f>OXFORDSHIRE!D9</f>
        <v>78141</v>
      </c>
      <c r="C291" s="23">
        <f>OXFORDSHIRE!E9</f>
        <v>78220</v>
      </c>
      <c r="D291" s="23">
        <f>OXFORDSHIRE!F9</f>
        <v>79321</v>
      </c>
      <c r="E291" s="23">
        <f>OXFORDSHIRE!G9</f>
        <v>79653</v>
      </c>
      <c r="F291" s="23">
        <f>OXFORDSHIRE!H9</f>
        <v>79067</v>
      </c>
      <c r="G291" s="23">
        <f>OXFORDSHIRE!I9</f>
        <v>77097</v>
      </c>
      <c r="H291" s="23">
        <f>OXFORDSHIRE!J9</f>
        <v>78455</v>
      </c>
      <c r="I291" s="23">
        <f>OXFORDSHIRE!K9</f>
        <v>80868</v>
      </c>
      <c r="J291" s="23">
        <f>OXFORDSHIRE!L9</f>
        <v>80906</v>
      </c>
      <c r="K291" s="23">
        <f>OXFORDSHIRE!M9</f>
        <v>79644</v>
      </c>
      <c r="L291" s="23">
        <f>OXFORDSHIRE!N9</f>
        <v>83510</v>
      </c>
      <c r="M291" s="23">
        <f>OXFORDSHIRE!O9</f>
        <v>83613</v>
      </c>
      <c r="N291" s="16"/>
      <c r="O291" s="24">
        <f t="shared" si="204"/>
        <v>1.0290918189959437</v>
      </c>
      <c r="P291" s="24">
        <f t="shared" si="204"/>
        <v>1.0206025495491968</v>
      </c>
      <c r="Q291" s="24">
        <f t="shared" si="204"/>
        <v>1.0290603391237789</v>
      </c>
      <c r="R291" s="24">
        <f t="shared" si="204"/>
        <v>1.0278602214364982</v>
      </c>
      <c r="S291" s="24">
        <f t="shared" si="204"/>
        <v>1.0250602846993544</v>
      </c>
      <c r="T291" s="24">
        <f t="shared" si="204"/>
        <v>1.0174598147121705</v>
      </c>
      <c r="U291" s="24">
        <f t="shared" si="204"/>
        <v>1.0492985060653479</v>
      </c>
      <c r="V291" s="24">
        <f t="shared" si="204"/>
        <v>1.0568908057243678</v>
      </c>
      <c r="W291" s="24">
        <f t="shared" si="204"/>
        <v>1.0486436042668463</v>
      </c>
      <c r="X291" s="24">
        <f t="shared" si="204"/>
        <v>1.0406627293158417</v>
      </c>
      <c r="Y291" s="24">
        <f t="shared" si="205"/>
        <v>1.1500695467753708</v>
      </c>
      <c r="Z291" s="24">
        <f t="shared" si="205"/>
        <v>1.1392503372256211</v>
      </c>
    </row>
    <row r="292" spans="1:26">
      <c r="A292" s="21" t="s">
        <v>5296</v>
      </c>
      <c r="B292" s="23">
        <f t="shared" ref="B292:G292" si="206">SUM(B287:B291)</f>
        <v>472328</v>
      </c>
      <c r="C292" s="23">
        <f t="shared" si="206"/>
        <v>475364</v>
      </c>
      <c r="D292" s="23">
        <f t="shared" si="206"/>
        <v>480083</v>
      </c>
      <c r="E292" s="23">
        <f t="shared" si="206"/>
        <v>481059</v>
      </c>
      <c r="F292" s="23">
        <f t="shared" si="206"/>
        <v>481250</v>
      </c>
      <c r="G292" s="23">
        <f t="shared" si="206"/>
        <v>471416</v>
      </c>
      <c r="H292" s="23">
        <f t="shared" ref="H292:M292" si="207">SUM(H287:H291)</f>
        <v>461334</v>
      </c>
      <c r="I292" s="23">
        <f t="shared" si="207"/>
        <v>476218</v>
      </c>
      <c r="J292" s="23">
        <f t="shared" si="207"/>
        <v>471537</v>
      </c>
      <c r="K292" s="23">
        <f t="shared" si="207"/>
        <v>470854</v>
      </c>
      <c r="L292" s="23">
        <f t="shared" si="207"/>
        <v>484583</v>
      </c>
      <c r="M292" s="23">
        <f t="shared" si="207"/>
        <v>499731</v>
      </c>
      <c r="N292" s="16"/>
      <c r="O292" s="24">
        <f t="shared" si="204"/>
        <v>6.2204077332349996</v>
      </c>
      <c r="P292" s="24">
        <f t="shared" si="204"/>
        <v>6.2024764812567685</v>
      </c>
      <c r="Q292" s="24">
        <f t="shared" si="204"/>
        <v>6.2282923158755077</v>
      </c>
      <c r="R292" s="24">
        <f t="shared" si="204"/>
        <v>6.2076934988515236</v>
      </c>
      <c r="S292" s="24">
        <f t="shared" si="204"/>
        <v>6.2391422718904765</v>
      </c>
      <c r="T292" s="24">
        <f t="shared" si="204"/>
        <v>6.2213424129648693</v>
      </c>
      <c r="U292" s="24">
        <f t="shared" si="204"/>
        <v>6.1701239818641413</v>
      </c>
      <c r="V292" s="24">
        <f t="shared" si="204"/>
        <v>6.223851532379272</v>
      </c>
      <c r="W292" s="24">
        <f t="shared" si="204"/>
        <v>6.1117130895752592</v>
      </c>
      <c r="X292" s="24">
        <f t="shared" si="204"/>
        <v>6.1523807034965765</v>
      </c>
      <c r="Y292" s="24">
        <f t="shared" si="205"/>
        <v>6.6735019900017907</v>
      </c>
      <c r="Z292" s="24">
        <f t="shared" si="205"/>
        <v>6.8089736078372596</v>
      </c>
    </row>
    <row r="293" spans="1:26">
      <c r="A293" s="21"/>
      <c r="B293" s="23"/>
      <c r="C293" s="23"/>
      <c r="D293" s="23"/>
      <c r="E293" s="23"/>
      <c r="F293" s="23"/>
      <c r="G293" s="23"/>
      <c r="H293" s="23"/>
      <c r="I293" s="23"/>
      <c r="J293" s="23"/>
      <c r="K293" s="23"/>
      <c r="L293" s="23"/>
      <c r="M293" s="23"/>
      <c r="N293" s="16"/>
      <c r="O293" s="24"/>
      <c r="P293" s="24"/>
      <c r="Q293" s="24"/>
      <c r="R293" s="24"/>
      <c r="S293" s="24"/>
      <c r="T293" s="24"/>
      <c r="U293" s="24"/>
      <c r="V293" s="24"/>
      <c r="W293" s="24"/>
      <c r="X293" s="24"/>
      <c r="Y293" s="24"/>
      <c r="Z293" s="24"/>
    </row>
    <row r="294" spans="1:26">
      <c r="A294" s="21" t="s">
        <v>2415</v>
      </c>
      <c r="B294" s="23">
        <f>SURREY!D5</f>
        <v>90315</v>
      </c>
      <c r="C294" s="23">
        <f>SURREY!E5</f>
        <v>92023</v>
      </c>
      <c r="D294" s="23">
        <f>SURREY!F5</f>
        <v>92628</v>
      </c>
      <c r="E294" s="23">
        <f>SURREY!G5</f>
        <v>92704</v>
      </c>
      <c r="F294" s="23">
        <f>SURREY!H5</f>
        <v>93112</v>
      </c>
      <c r="G294" s="23">
        <f>SURREY!I5</f>
        <v>93133</v>
      </c>
      <c r="H294" s="23">
        <f>SURREY!J5</f>
        <v>93712</v>
      </c>
      <c r="I294" s="23">
        <f>SURREY!K5</f>
        <v>93430</v>
      </c>
      <c r="J294" s="23">
        <f>SURREY!L5</f>
        <v>94347</v>
      </c>
      <c r="K294" s="23">
        <f>SURREY!M5</f>
        <v>93020</v>
      </c>
      <c r="L294" s="23">
        <f>SURREY!N5</f>
        <v>94734</v>
      </c>
      <c r="M294" s="23">
        <f>SURREY!O5</f>
        <v>97774</v>
      </c>
      <c r="N294" s="16"/>
      <c r="O294" s="24">
        <f t="shared" ref="O294:O305" si="208">B294/B$451</f>
        <v>1.1894194805878944</v>
      </c>
      <c r="P294" s="24">
        <f t="shared" ref="P294:P305" si="209">C294/C$451</f>
        <v>1.2007019741391682</v>
      </c>
      <c r="Q294" s="24">
        <f t="shared" ref="Q294:Q305" si="210">D294/D$451</f>
        <v>1.2016969162309779</v>
      </c>
      <c r="R294" s="24">
        <f t="shared" ref="R294:R305" si="211">E294/E$451</f>
        <v>1.1962732598652799</v>
      </c>
      <c r="S294" s="24">
        <f t="shared" ref="S294:S305" si="212">F294/F$451</f>
        <v>1.2071460056525007</v>
      </c>
      <c r="T294" s="24">
        <f t="shared" ref="T294:T305" si="213">G294/G$451</f>
        <v>1.2290891334758625</v>
      </c>
      <c r="U294" s="24">
        <f t="shared" ref="U294:U305" si="214">H294/H$451</f>
        <v>1.253353662614185</v>
      </c>
      <c r="V294" s="24">
        <f t="shared" ref="V294:V305" si="215">I294/I$451</f>
        <v>1.2210677644906227</v>
      </c>
      <c r="W294" s="24">
        <f t="shared" ref="W294:W305" si="216">J294/J$451</f>
        <v>1.2228558837634311</v>
      </c>
      <c r="X294" s="24">
        <f t="shared" ref="X294:X305" si="217">K294/K$451</f>
        <v>1.2154392933674802</v>
      </c>
      <c r="Y294" s="24">
        <f t="shared" ref="Y294:Z305" si="218">L294/L$451</f>
        <v>1.3046424194014845</v>
      </c>
      <c r="Z294" s="24">
        <f t="shared" si="218"/>
        <v>1.3321978935320806</v>
      </c>
    </row>
    <row r="295" spans="1:26">
      <c r="A295" s="21" t="s">
        <v>2416</v>
      </c>
      <c r="B295" s="23">
        <f>SURREY!D6</f>
        <v>53928</v>
      </c>
      <c r="C295" s="23">
        <f>SURREY!E6</f>
        <v>54598</v>
      </c>
      <c r="D295" s="23">
        <f>SURREY!F6</f>
        <v>54941</v>
      </c>
      <c r="E295" s="23">
        <f>SURREY!G6</f>
        <v>55132</v>
      </c>
      <c r="F295" s="23">
        <f>SURREY!H6</f>
        <v>55744</v>
      </c>
      <c r="G295" s="23">
        <f>SURREY!I6</f>
        <v>54392</v>
      </c>
      <c r="H295" s="23">
        <f>SURREY!J6</f>
        <v>54801</v>
      </c>
      <c r="I295" s="23">
        <f>SURREY!K6</f>
        <v>55898</v>
      </c>
      <c r="J295" s="23">
        <f>SURREY!L6</f>
        <v>56141</v>
      </c>
      <c r="K295" s="23">
        <f>SURREY!M6</f>
        <v>55436</v>
      </c>
      <c r="L295" s="23">
        <f>SURREY!N6</f>
        <v>58276</v>
      </c>
      <c r="M295" s="23">
        <f>SURREY!O6</f>
        <v>56866</v>
      </c>
      <c r="N295" s="16"/>
      <c r="O295" s="24">
        <f t="shared" si="208"/>
        <v>0.71021440236000632</v>
      </c>
      <c r="P295" s="24">
        <f t="shared" si="209"/>
        <v>0.71238632063777874</v>
      </c>
      <c r="Q295" s="24">
        <f t="shared" si="210"/>
        <v>0.71276968383907835</v>
      </c>
      <c r="R295" s="24">
        <f t="shared" si="211"/>
        <v>0.71143572405605593</v>
      </c>
      <c r="S295" s="24">
        <f t="shared" si="212"/>
        <v>0.72269038296989652</v>
      </c>
      <c r="T295" s="24">
        <f t="shared" si="213"/>
        <v>0.7178187768891704</v>
      </c>
      <c r="U295" s="24">
        <f t="shared" si="214"/>
        <v>0.73293744733780042</v>
      </c>
      <c r="V295" s="24">
        <f t="shared" si="215"/>
        <v>0.73054956544468408</v>
      </c>
      <c r="W295" s="24">
        <f t="shared" si="216"/>
        <v>0.72765803014788799</v>
      </c>
      <c r="X295" s="24">
        <f t="shared" si="217"/>
        <v>0.72435059844248162</v>
      </c>
      <c r="Y295" s="24">
        <f t="shared" si="218"/>
        <v>0.80255601614036054</v>
      </c>
      <c r="Z295" s="24">
        <f t="shared" si="218"/>
        <v>0.77481503685637598</v>
      </c>
    </row>
    <row r="296" spans="1:26">
      <c r="A296" s="21" t="s">
        <v>2417</v>
      </c>
      <c r="B296" s="23">
        <f>SURREY!D7</f>
        <v>99998</v>
      </c>
      <c r="C296" s="23">
        <f>SURREY!E7</f>
        <v>101014</v>
      </c>
      <c r="D296" s="23">
        <f>SURREY!F7</f>
        <v>101584</v>
      </c>
      <c r="E296" s="23">
        <f>SURREY!G7</f>
        <v>101190</v>
      </c>
      <c r="F296" s="23">
        <f>SURREY!H7</f>
        <v>101541</v>
      </c>
      <c r="G296" s="23">
        <f>SURREY!I7</f>
        <v>96215</v>
      </c>
      <c r="H296" s="23">
        <f>SURREY!J7</f>
        <v>98505</v>
      </c>
      <c r="I296" s="23">
        <f>SURREY!K7</f>
        <v>99304</v>
      </c>
      <c r="J296" s="23">
        <f>SURREY!L7</f>
        <v>96712</v>
      </c>
      <c r="K296" s="23">
        <f>SURREY!M7</f>
        <v>95880</v>
      </c>
      <c r="L296" s="23">
        <f>SURREY!N7</f>
        <v>96831</v>
      </c>
      <c r="M296" s="23">
        <f>SURREY!O7</f>
        <v>101831</v>
      </c>
      <c r="N296" s="16"/>
      <c r="O296" s="24">
        <f t="shared" si="208"/>
        <v>1.3169414739503766</v>
      </c>
      <c r="P296" s="24">
        <f t="shared" si="209"/>
        <v>1.3180151615975784</v>
      </c>
      <c r="Q296" s="24">
        <f t="shared" si="210"/>
        <v>1.3178863792633724</v>
      </c>
      <c r="R296" s="24">
        <f t="shared" si="211"/>
        <v>1.3057785118847911</v>
      </c>
      <c r="S296" s="24">
        <f t="shared" si="212"/>
        <v>1.3164233671273369</v>
      </c>
      <c r="T296" s="24">
        <f t="shared" si="213"/>
        <v>1.269762715443292</v>
      </c>
      <c r="U296" s="24">
        <f t="shared" si="214"/>
        <v>1.3174577699313887</v>
      </c>
      <c r="V296" s="24">
        <f t="shared" si="215"/>
        <v>1.2978370254198524</v>
      </c>
      <c r="W296" s="24">
        <f t="shared" si="216"/>
        <v>1.2535092608194107</v>
      </c>
      <c r="X296" s="24">
        <f t="shared" si="217"/>
        <v>1.2528092823916792</v>
      </c>
      <c r="Y296" s="24">
        <f t="shared" si="218"/>
        <v>1.3335215457287262</v>
      </c>
      <c r="Z296" s="24">
        <f t="shared" si="218"/>
        <v>1.3874756448162631</v>
      </c>
    </row>
    <row r="297" spans="1:26">
      <c r="A297" s="21" t="s">
        <v>2418</v>
      </c>
      <c r="B297" s="23">
        <f>SURREY!D8</f>
        <v>65013</v>
      </c>
      <c r="C297" s="23">
        <f>SURREY!E8</f>
        <v>65486</v>
      </c>
      <c r="D297" s="23">
        <f>SURREY!F8</f>
        <v>66175</v>
      </c>
      <c r="E297" s="23">
        <f>SURREY!G8</f>
        <v>66206</v>
      </c>
      <c r="F297" s="23">
        <f>SURREY!H8</f>
        <v>66931</v>
      </c>
      <c r="G297" s="23">
        <f>SURREY!I8</f>
        <v>65841</v>
      </c>
      <c r="H297" s="23">
        <f>SURREY!J8</f>
        <v>64797</v>
      </c>
      <c r="I297" s="23">
        <f>SURREY!K8</f>
        <v>66601</v>
      </c>
      <c r="J297" s="23">
        <f>SURREY!L8</f>
        <v>66457</v>
      </c>
      <c r="K297" s="23">
        <f>SURREY!M8</f>
        <v>65404</v>
      </c>
      <c r="L297" s="23">
        <f>SURREY!N8</f>
        <v>67647</v>
      </c>
      <c r="M297" s="23">
        <f>SURREY!O8</f>
        <v>67499</v>
      </c>
      <c r="N297" s="16"/>
      <c r="O297" s="24">
        <f t="shared" si="208"/>
        <v>0.8562002844650477</v>
      </c>
      <c r="P297" s="24">
        <f t="shared" si="209"/>
        <v>0.8544512728174215</v>
      </c>
      <c r="Q297" s="24">
        <f t="shared" si="210"/>
        <v>0.85851247389110152</v>
      </c>
      <c r="R297" s="24">
        <f t="shared" si="211"/>
        <v>0.85433710996980416</v>
      </c>
      <c r="S297" s="24">
        <f t="shared" si="212"/>
        <v>0.86772370161018486</v>
      </c>
      <c r="T297" s="24">
        <f t="shared" si="213"/>
        <v>0.8689128197006889</v>
      </c>
      <c r="U297" s="24">
        <f t="shared" si="214"/>
        <v>0.86662921799141357</v>
      </c>
      <c r="V297" s="24">
        <f t="shared" si="215"/>
        <v>0.87043063451610792</v>
      </c>
      <c r="W297" s="24">
        <f t="shared" si="216"/>
        <v>0.86136637590242759</v>
      </c>
      <c r="X297" s="24">
        <f t="shared" si="217"/>
        <v>0.85459676997857104</v>
      </c>
      <c r="Y297" s="24">
        <f t="shared" si="218"/>
        <v>0.93161004227893074</v>
      </c>
      <c r="Z297" s="24">
        <f t="shared" si="218"/>
        <v>0.91969261373700484</v>
      </c>
    </row>
    <row r="298" spans="1:26">
      <c r="A298" s="21" t="s">
        <v>2419</v>
      </c>
      <c r="B298" s="23">
        <f>SURREY!D9</f>
        <v>98331</v>
      </c>
      <c r="C298" s="23">
        <f>SURREY!E9</f>
        <v>99470</v>
      </c>
      <c r="D298" s="23">
        <f>SURREY!F9</f>
        <v>100036</v>
      </c>
      <c r="E298" s="23">
        <f>SURREY!G9</f>
        <v>100486</v>
      </c>
      <c r="F298" s="23">
        <f>SURREY!H9</f>
        <v>99449</v>
      </c>
      <c r="G298" s="23">
        <f>SURREY!I9</f>
        <v>101001</v>
      </c>
      <c r="H298" s="23">
        <f>SURREY!J9</f>
        <v>99976</v>
      </c>
      <c r="I298" s="23">
        <f>SURREY!K9</f>
        <v>101796</v>
      </c>
      <c r="J298" s="23">
        <f>SURREY!L9</f>
        <v>101943</v>
      </c>
      <c r="K298" s="23">
        <f>SURREY!M9</f>
        <v>101675</v>
      </c>
      <c r="L298" s="23">
        <f>SURREY!N9</f>
        <v>103993</v>
      </c>
      <c r="M298" s="23">
        <f>SURREY!O9</f>
        <v>105111</v>
      </c>
      <c r="N298" s="16"/>
      <c r="O298" s="24">
        <f t="shared" si="208"/>
        <v>1.294987620502555</v>
      </c>
      <c r="P298" s="24">
        <f t="shared" si="209"/>
        <v>1.2978692866742345</v>
      </c>
      <c r="Q298" s="24">
        <f t="shared" si="210"/>
        <v>1.2978036091903322</v>
      </c>
      <c r="R298" s="24">
        <f t="shared" si="211"/>
        <v>1.2966939375951687</v>
      </c>
      <c r="S298" s="24">
        <f t="shared" si="212"/>
        <v>1.2893017346436073</v>
      </c>
      <c r="T298" s="24">
        <f t="shared" si="213"/>
        <v>1.3329242220286641</v>
      </c>
      <c r="U298" s="24">
        <f t="shared" si="214"/>
        <v>1.337131698966149</v>
      </c>
      <c r="V298" s="24">
        <f t="shared" si="215"/>
        <v>1.330405802783768</v>
      </c>
      <c r="W298" s="24">
        <f t="shared" si="216"/>
        <v>1.3213096055888949</v>
      </c>
      <c r="X298" s="24">
        <f t="shared" si="217"/>
        <v>1.3285292426697328</v>
      </c>
      <c r="Y298" s="24">
        <f t="shared" si="218"/>
        <v>1.4321540220070785</v>
      </c>
      <c r="Z298" s="24">
        <f t="shared" si="218"/>
        <v>1.4321665553935661</v>
      </c>
    </row>
    <row r="299" spans="1:26">
      <c r="A299" s="21" t="s">
        <v>2420</v>
      </c>
      <c r="B299" s="23">
        <f>SURREY!D10</f>
        <v>57856</v>
      </c>
      <c r="C299" s="23">
        <f>SURREY!E10</f>
        <v>58619</v>
      </c>
      <c r="D299" s="23">
        <f>SURREY!F10</f>
        <v>58962</v>
      </c>
      <c r="E299" s="23">
        <f>SURREY!G10</f>
        <v>59436</v>
      </c>
      <c r="F299" s="23">
        <f>SURREY!H10</f>
        <v>60363</v>
      </c>
      <c r="G299" s="23">
        <f>SURREY!I10</f>
        <v>56471</v>
      </c>
      <c r="H299" s="23">
        <f>SURREY!J10</f>
        <v>55472</v>
      </c>
      <c r="I299" s="23">
        <f>SURREY!K10</f>
        <v>57951</v>
      </c>
      <c r="J299" s="23">
        <f>SURREY!L10</f>
        <v>56357</v>
      </c>
      <c r="K299" s="23">
        <f>SURREY!M10</f>
        <v>56837</v>
      </c>
      <c r="L299" s="23">
        <f>SURREY!N10</f>
        <v>58145</v>
      </c>
      <c r="M299" s="23">
        <f>SURREY!O10</f>
        <v>60713</v>
      </c>
      <c r="N299" s="16"/>
      <c r="O299" s="24">
        <f t="shared" si="208"/>
        <v>0.7619448980666913</v>
      </c>
      <c r="P299" s="24">
        <f t="shared" si="209"/>
        <v>0.76485171122506235</v>
      </c>
      <c r="Q299" s="24">
        <f t="shared" si="210"/>
        <v>0.76493558723939747</v>
      </c>
      <c r="R299" s="24">
        <f t="shared" si="211"/>
        <v>0.76697550778124757</v>
      </c>
      <c r="S299" s="24">
        <f t="shared" si="212"/>
        <v>0.78257318432857104</v>
      </c>
      <c r="T299" s="24">
        <f t="shared" si="213"/>
        <v>0.74525562857972394</v>
      </c>
      <c r="U299" s="24">
        <f t="shared" si="214"/>
        <v>0.74191175487167138</v>
      </c>
      <c r="V299" s="24">
        <f t="shared" si="215"/>
        <v>0.7573809057047638</v>
      </c>
      <c r="W299" s="24">
        <f t="shared" si="216"/>
        <v>0.73045766204813811</v>
      </c>
      <c r="X299" s="24">
        <f t="shared" si="217"/>
        <v>0.74265666649244766</v>
      </c>
      <c r="Y299" s="24">
        <f t="shared" si="218"/>
        <v>0.80075193147232593</v>
      </c>
      <c r="Z299" s="24">
        <f t="shared" si="218"/>
        <v>0.82723147984140177</v>
      </c>
    </row>
    <row r="300" spans="1:26">
      <c r="A300" s="21" t="s">
        <v>5362</v>
      </c>
      <c r="B300" s="23">
        <f>SURREY!D11</f>
        <v>70962</v>
      </c>
      <c r="C300" s="23">
        <f>SURREY!E11</f>
        <v>71211</v>
      </c>
      <c r="D300" s="23">
        <f>SURREY!F11</f>
        <v>72000</v>
      </c>
      <c r="E300" s="23">
        <f>SURREY!G11</f>
        <v>72547</v>
      </c>
      <c r="F300" s="23">
        <f>SURREY!H11</f>
        <v>72660</v>
      </c>
      <c r="G300" s="23">
        <f>SURREY!I11</f>
        <v>70607</v>
      </c>
      <c r="H300" s="23">
        <f>SURREY!J11</f>
        <v>70299</v>
      </c>
      <c r="I300" s="23">
        <f>SURREY!K11</f>
        <v>71962</v>
      </c>
      <c r="J300" s="23">
        <f>SURREY!L11</f>
        <v>72030</v>
      </c>
      <c r="K300" s="23">
        <f>SURREY!M11</f>
        <v>71341</v>
      </c>
      <c r="L300" s="23">
        <f>SURREY!N11</f>
        <v>71197</v>
      </c>
      <c r="M300" s="23">
        <f>SURREY!O11</f>
        <v>72897</v>
      </c>
      <c r="N300" s="16"/>
      <c r="O300" s="24">
        <f t="shared" si="208"/>
        <v>0.93454669967865989</v>
      </c>
      <c r="P300" s="24">
        <f t="shared" si="209"/>
        <v>0.92915019376051977</v>
      </c>
      <c r="Q300" s="24">
        <f t="shared" si="210"/>
        <v>0.93408232897860688</v>
      </c>
      <c r="R300" s="24">
        <f t="shared" si="211"/>
        <v>0.93616279970062199</v>
      </c>
      <c r="S300" s="24">
        <f t="shared" si="212"/>
        <v>0.94199704410506391</v>
      </c>
      <c r="T300" s="24">
        <f t="shared" si="213"/>
        <v>0.93181038350885526</v>
      </c>
      <c r="U300" s="24">
        <f t="shared" si="214"/>
        <v>0.94021586486378039</v>
      </c>
      <c r="V300" s="24">
        <f t="shared" si="215"/>
        <v>0.94049532771352018</v>
      </c>
      <c r="W300" s="24">
        <f t="shared" si="216"/>
        <v>0.93359947118064102</v>
      </c>
      <c r="X300" s="24">
        <f t="shared" si="217"/>
        <v>0.93217216327810593</v>
      </c>
      <c r="Y300" s="24">
        <f t="shared" si="218"/>
        <v>0.98049935961880108</v>
      </c>
      <c r="Z300" s="24">
        <f t="shared" si="218"/>
        <v>0.99324186230294442</v>
      </c>
    </row>
    <row r="301" spans="1:26">
      <c r="A301" s="21" t="s">
        <v>5363</v>
      </c>
      <c r="B301" s="23">
        <f>SURREY!D12</f>
        <v>62445</v>
      </c>
      <c r="C301" s="23">
        <f>SURREY!E12</f>
        <v>63565</v>
      </c>
      <c r="D301" s="23">
        <f>SURREY!F12</f>
        <v>64145</v>
      </c>
      <c r="E301" s="23">
        <f>SURREY!G12</f>
        <v>64550</v>
      </c>
      <c r="F301" s="23">
        <f>SURREY!H12</f>
        <v>64430</v>
      </c>
      <c r="G301" s="23">
        <f>SURREY!I12</f>
        <v>63007</v>
      </c>
      <c r="H301" s="23">
        <f>SURREY!J12</f>
        <v>62634</v>
      </c>
      <c r="I301" s="23">
        <f>SURREY!K12</f>
        <v>64729</v>
      </c>
      <c r="J301" s="23">
        <f>SURREY!L12</f>
        <v>64728</v>
      </c>
      <c r="K301" s="23">
        <f>SURREY!M12</f>
        <v>64459</v>
      </c>
      <c r="L301" s="23">
        <f>SURREY!N12</f>
        <v>66645</v>
      </c>
      <c r="M301" s="23">
        <f>SURREY!O12</f>
        <v>66352</v>
      </c>
      <c r="N301" s="16"/>
      <c r="O301" s="24">
        <f t="shared" si="208"/>
        <v>0.82238055101933305</v>
      </c>
      <c r="P301" s="24">
        <f t="shared" si="209"/>
        <v>0.82938635978131814</v>
      </c>
      <c r="Q301" s="24">
        <f t="shared" si="210"/>
        <v>0.83217654156017695</v>
      </c>
      <c r="R301" s="24">
        <f t="shared" si="211"/>
        <v>0.83296771362944233</v>
      </c>
      <c r="S301" s="24">
        <f t="shared" si="212"/>
        <v>0.83529960847356544</v>
      </c>
      <c r="T301" s="24">
        <f t="shared" si="213"/>
        <v>0.8315121281706126</v>
      </c>
      <c r="U301" s="24">
        <f t="shared" si="214"/>
        <v>0.83770011635838382</v>
      </c>
      <c r="V301" s="24">
        <f t="shared" si="215"/>
        <v>0.84596484349473955</v>
      </c>
      <c r="W301" s="24">
        <f t="shared" si="216"/>
        <v>0.83895635944162894</v>
      </c>
      <c r="X301" s="24">
        <f t="shared" si="217"/>
        <v>0.84224899388491092</v>
      </c>
      <c r="Y301" s="24">
        <f t="shared" si="218"/>
        <v>0.91781086031426884</v>
      </c>
      <c r="Z301" s="24">
        <f t="shared" si="218"/>
        <v>0.90406442031256384</v>
      </c>
    </row>
    <row r="302" spans="1:26">
      <c r="A302" s="21" t="s">
        <v>5364</v>
      </c>
      <c r="B302" s="23">
        <f>SURREY!D13</f>
        <v>61007</v>
      </c>
      <c r="C302" s="23">
        <f>SURREY!E13</f>
        <v>61056</v>
      </c>
      <c r="D302" s="23">
        <f>SURREY!F13</f>
        <v>61146</v>
      </c>
      <c r="E302" s="23">
        <f>SURREY!G13</f>
        <v>61590</v>
      </c>
      <c r="F302" s="23">
        <f>SURREY!H13</f>
        <v>59190</v>
      </c>
      <c r="G302" s="23">
        <f>SURREY!I13</f>
        <v>60213</v>
      </c>
      <c r="H302" s="23">
        <f>SURREY!J13</f>
        <v>60505</v>
      </c>
      <c r="I302" s="23">
        <f>SURREY!K13</f>
        <v>63409</v>
      </c>
      <c r="J302" s="23">
        <f>SURREY!L13</f>
        <v>63562</v>
      </c>
      <c r="K302" s="23">
        <f>SURREY!M13</f>
        <v>62837</v>
      </c>
      <c r="L302" s="23">
        <f>SURREY!N13</f>
        <v>63265</v>
      </c>
      <c r="M302" s="23">
        <f>SURREY!O13</f>
        <v>65319</v>
      </c>
      <c r="N302" s="16"/>
      <c r="O302" s="24">
        <f t="shared" si="208"/>
        <v>0.80344255386398356</v>
      </c>
      <c r="P302" s="24">
        <f t="shared" si="209"/>
        <v>0.79664931303088427</v>
      </c>
      <c r="Q302" s="24">
        <f t="shared" si="210"/>
        <v>0.79326941788508187</v>
      </c>
      <c r="R302" s="24">
        <f t="shared" si="211"/>
        <v>0.79477120809352986</v>
      </c>
      <c r="S302" s="24">
        <f t="shared" si="212"/>
        <v>0.7673658827495009</v>
      </c>
      <c r="T302" s="24">
        <f t="shared" si="213"/>
        <v>0.79463932219494815</v>
      </c>
      <c r="U302" s="24">
        <f t="shared" si="214"/>
        <v>0.80922574863914187</v>
      </c>
      <c r="V302" s="24">
        <f t="shared" si="215"/>
        <v>0.82871332418480037</v>
      </c>
      <c r="W302" s="24">
        <f t="shared" si="216"/>
        <v>0.82384353168379709</v>
      </c>
      <c r="X302" s="24">
        <f t="shared" si="217"/>
        <v>0.82105524486489312</v>
      </c>
      <c r="Y302" s="24">
        <f t="shared" si="218"/>
        <v>0.87126272155123741</v>
      </c>
      <c r="Z302" s="24">
        <f t="shared" si="218"/>
        <v>0.88998950853623637</v>
      </c>
    </row>
    <row r="303" spans="1:26">
      <c r="A303" s="21" t="s">
        <v>5365</v>
      </c>
      <c r="B303" s="23">
        <f>SURREY!D14</f>
        <v>90872</v>
      </c>
      <c r="C303" s="23">
        <f>SURREY!E14</f>
        <v>90491</v>
      </c>
      <c r="D303" s="23">
        <f>SURREY!F14</f>
        <v>91140</v>
      </c>
      <c r="E303" s="23">
        <f>SURREY!G14</f>
        <v>91916</v>
      </c>
      <c r="F303" s="23">
        <f>SURREY!H14</f>
        <v>92504</v>
      </c>
      <c r="G303" s="23">
        <f>SURREY!I14</f>
        <v>90183</v>
      </c>
      <c r="H303" s="23">
        <f>SURREY!J14</f>
        <v>88240</v>
      </c>
      <c r="I303" s="23">
        <f>SURREY!K14</f>
        <v>91510</v>
      </c>
      <c r="J303" s="23">
        <f>SURREY!L14</f>
        <v>91395</v>
      </c>
      <c r="K303" s="23">
        <f>SURREY!M14</f>
        <v>90378</v>
      </c>
      <c r="L303" s="23">
        <f>SURREY!N14</f>
        <v>92000</v>
      </c>
      <c r="M303" s="23">
        <f>SURREY!O14</f>
        <v>93855</v>
      </c>
      <c r="N303" s="16"/>
      <c r="O303" s="24">
        <f t="shared" si="208"/>
        <v>1.1967549913080124</v>
      </c>
      <c r="P303" s="24">
        <f t="shared" si="209"/>
        <v>1.1807126733732598</v>
      </c>
      <c r="Q303" s="24">
        <f t="shared" si="210"/>
        <v>1.1823925480987532</v>
      </c>
      <c r="R303" s="24">
        <f t="shared" si="211"/>
        <v>1.1861047306888275</v>
      </c>
      <c r="S303" s="24">
        <f t="shared" si="212"/>
        <v>1.1992636191562736</v>
      </c>
      <c r="T303" s="24">
        <f t="shared" si="213"/>
        <v>1.1901575738379919</v>
      </c>
      <c r="U303" s="24">
        <f t="shared" si="214"/>
        <v>1.1801682515481016</v>
      </c>
      <c r="V303" s="24">
        <f t="shared" si="215"/>
        <v>1.1959746454943476</v>
      </c>
      <c r="W303" s="24">
        <f t="shared" si="216"/>
        <v>1.1845942477933458</v>
      </c>
      <c r="X303" s="24">
        <f t="shared" si="217"/>
        <v>1.1809177860241467</v>
      </c>
      <c r="Y303" s="24">
        <f t="shared" si="218"/>
        <v>1.2669907592304408</v>
      </c>
      <c r="Z303" s="24">
        <f t="shared" si="218"/>
        <v>1.2788004305587726</v>
      </c>
    </row>
    <row r="304" spans="1:26">
      <c r="A304" s="21" t="s">
        <v>5366</v>
      </c>
      <c r="B304" s="23">
        <f>SURREY!D15</f>
        <v>68609</v>
      </c>
      <c r="C304" s="23">
        <f>SURREY!E15</f>
        <v>69785</v>
      </c>
      <c r="D304" s="23">
        <f>SURREY!F15</f>
        <v>69476</v>
      </c>
      <c r="E304" s="23">
        <f>SURREY!G15</f>
        <v>70504</v>
      </c>
      <c r="F304" s="23">
        <f>SURREY!H15</f>
        <v>69796</v>
      </c>
      <c r="G304" s="23">
        <f>SURREY!I15</f>
        <v>68474</v>
      </c>
      <c r="H304" s="23">
        <f>SURREY!J15</f>
        <v>67583</v>
      </c>
      <c r="I304" s="23">
        <f>SURREY!K15</f>
        <v>69635</v>
      </c>
      <c r="J304" s="23">
        <f>SURREY!L15</f>
        <v>69763</v>
      </c>
      <c r="K304" s="23">
        <f>SURREY!M15</f>
        <v>68342</v>
      </c>
      <c r="L304" s="23">
        <f>SURREY!N15</f>
        <v>69879</v>
      </c>
      <c r="M304" s="23">
        <f>SURREY!O15</f>
        <v>71737</v>
      </c>
      <c r="N304" s="16"/>
      <c r="O304" s="24">
        <f t="shared" si="208"/>
        <v>0.90355844703155452</v>
      </c>
      <c r="P304" s="24">
        <f t="shared" si="209"/>
        <v>0.9105439647186232</v>
      </c>
      <c r="Q304" s="24">
        <f t="shared" si="210"/>
        <v>0.90133755400163462</v>
      </c>
      <c r="R304" s="24">
        <f t="shared" si="211"/>
        <v>0.9097994683459365</v>
      </c>
      <c r="S304" s="24">
        <f t="shared" si="212"/>
        <v>0.9048668550833614</v>
      </c>
      <c r="T304" s="24">
        <f t="shared" si="213"/>
        <v>0.90366088631984587</v>
      </c>
      <c r="U304" s="24">
        <f t="shared" si="214"/>
        <v>0.90389064986826095</v>
      </c>
      <c r="V304" s="24">
        <f t="shared" si="215"/>
        <v>0.91008299026334705</v>
      </c>
      <c r="W304" s="24">
        <f t="shared" si="216"/>
        <v>0.90421629748681187</v>
      </c>
      <c r="X304" s="24">
        <f t="shared" si="217"/>
        <v>0.89298594052161184</v>
      </c>
      <c r="Y304" s="24">
        <f t="shared" si="218"/>
        <v>0.96234833982895629</v>
      </c>
      <c r="Z304" s="24">
        <f t="shared" si="218"/>
        <v>0.97743654026950799</v>
      </c>
    </row>
    <row r="305" spans="1:26">
      <c r="A305" s="21" t="s">
        <v>5367</v>
      </c>
      <c r="B305" s="23">
        <f t="shared" ref="B305:G305" si="219">SUM(B294:B304)</f>
        <v>819336</v>
      </c>
      <c r="C305" s="23">
        <f t="shared" si="219"/>
        <v>827318</v>
      </c>
      <c r="D305" s="23">
        <f t="shared" si="219"/>
        <v>832233</v>
      </c>
      <c r="E305" s="23">
        <f t="shared" si="219"/>
        <v>836261</v>
      </c>
      <c r="F305" s="23">
        <f t="shared" si="219"/>
        <v>835720</v>
      </c>
      <c r="G305" s="23">
        <f t="shared" si="219"/>
        <v>819537</v>
      </c>
      <c r="H305" s="23">
        <f t="shared" ref="H305:M305" si="220">SUM(H294:H304)</f>
        <v>816524</v>
      </c>
      <c r="I305" s="23">
        <f t="shared" si="220"/>
        <v>836225</v>
      </c>
      <c r="J305" s="23">
        <f t="shared" si="220"/>
        <v>833435</v>
      </c>
      <c r="K305" s="23">
        <f t="shared" si="220"/>
        <v>825609</v>
      </c>
      <c r="L305" s="23">
        <f t="shared" si="220"/>
        <v>842612</v>
      </c>
      <c r="M305" s="23">
        <f t="shared" si="220"/>
        <v>859954</v>
      </c>
      <c r="N305" s="16"/>
      <c r="O305" s="24">
        <f t="shared" si="208"/>
        <v>10.790391402834114</v>
      </c>
      <c r="P305" s="24">
        <f t="shared" si="209"/>
        <v>10.794718231755848</v>
      </c>
      <c r="Q305" s="24">
        <f t="shared" si="210"/>
        <v>10.796863040178513</v>
      </c>
      <c r="R305" s="24">
        <f t="shared" si="211"/>
        <v>10.791299971610705</v>
      </c>
      <c r="S305" s="24">
        <f t="shared" si="212"/>
        <v>10.834651385899862</v>
      </c>
      <c r="T305" s="24">
        <f t="shared" si="213"/>
        <v>10.815543590149655</v>
      </c>
      <c r="U305" s="24">
        <f t="shared" si="214"/>
        <v>10.920622182990277</v>
      </c>
      <c r="V305" s="24">
        <f t="shared" si="215"/>
        <v>10.928902829510553</v>
      </c>
      <c r="W305" s="24">
        <f t="shared" si="216"/>
        <v>10.802366725856416</v>
      </c>
      <c r="X305" s="24">
        <f t="shared" si="217"/>
        <v>10.787761981916061</v>
      </c>
      <c r="Y305" s="24">
        <f t="shared" si="218"/>
        <v>11.60414801757261</v>
      </c>
      <c r="Z305" s="24">
        <f t="shared" si="218"/>
        <v>11.717111986156718</v>
      </c>
    </row>
    <row r="306" spans="1:26">
      <c r="A306" s="21"/>
      <c r="B306" s="23"/>
      <c r="C306" s="23"/>
      <c r="D306" s="23"/>
      <c r="E306" s="23"/>
      <c r="F306" s="23"/>
      <c r="G306" s="23"/>
      <c r="H306" s="23"/>
      <c r="I306" s="23"/>
      <c r="J306" s="23"/>
      <c r="K306" s="23"/>
      <c r="L306" s="23"/>
      <c r="M306" s="23"/>
      <c r="N306" s="16"/>
      <c r="O306" s="24"/>
      <c r="P306" s="24"/>
      <c r="Q306" s="24"/>
      <c r="R306" s="24"/>
      <c r="S306" s="24"/>
      <c r="T306" s="24"/>
      <c r="U306" s="24"/>
      <c r="V306" s="24"/>
      <c r="W306" s="24"/>
      <c r="X306" s="24"/>
      <c r="Y306" s="24"/>
      <c r="Z306" s="24"/>
    </row>
    <row r="307" spans="1:26">
      <c r="A307" s="21" t="s">
        <v>6839</v>
      </c>
      <c r="B307" s="23">
        <f>'WEST SUSSEX'!D5</f>
        <v>47382</v>
      </c>
      <c r="C307" s="23">
        <f>'WEST SUSSEX'!E5</f>
        <v>47396</v>
      </c>
      <c r="D307" s="23">
        <f>'WEST SUSSEX'!F5</f>
        <v>47913</v>
      </c>
      <c r="E307" s="23">
        <f>'WEST SUSSEX'!G5</f>
        <v>48236</v>
      </c>
      <c r="F307" s="23">
        <f>'WEST SUSSEX'!H5</f>
        <v>48113</v>
      </c>
      <c r="G307" s="23">
        <f>'WEST SUSSEX'!I5</f>
        <v>46710</v>
      </c>
      <c r="H307" s="23">
        <f>'WEST SUSSEX'!J5</f>
        <v>46643</v>
      </c>
      <c r="I307" s="23">
        <f>'WEST SUSSEX'!K5</f>
        <v>48207</v>
      </c>
      <c r="J307" s="23">
        <f>'WEST SUSSEX'!L5</f>
        <v>48471</v>
      </c>
      <c r="K307" s="23">
        <f>'WEST SUSSEX'!M5</f>
        <v>47897</v>
      </c>
      <c r="L307" s="23">
        <f>'WEST SUSSEX'!N5</f>
        <v>48200</v>
      </c>
      <c r="M307" s="23">
        <f>'WEST SUSSEX'!O5</f>
        <v>49118</v>
      </c>
      <c r="N307" s="16"/>
      <c r="O307" s="24">
        <f t="shared" ref="O307:X314" si="221">B307/B$451</f>
        <v>0.62400568930095346</v>
      </c>
      <c r="P307" s="24">
        <f t="shared" si="221"/>
        <v>0.6184157304836837</v>
      </c>
      <c r="Q307" s="24">
        <f t="shared" si="221"/>
        <v>0.62159286983822215</v>
      </c>
      <c r="R307" s="24">
        <f t="shared" si="221"/>
        <v>0.62244818953725445</v>
      </c>
      <c r="S307" s="24">
        <f t="shared" si="221"/>
        <v>0.62375865377135897</v>
      </c>
      <c r="T307" s="24">
        <f t="shared" si="221"/>
        <v>0.61643835616438358</v>
      </c>
      <c r="U307" s="24">
        <f t="shared" si="221"/>
        <v>0.62382805708248068</v>
      </c>
      <c r="V307" s="24">
        <f t="shared" si="221"/>
        <v>0.63003332679866697</v>
      </c>
      <c r="W307" s="24">
        <f t="shared" si="221"/>
        <v>0.62824517517141265</v>
      </c>
      <c r="X307" s="24">
        <f t="shared" si="221"/>
        <v>0.62584278471750376</v>
      </c>
      <c r="Y307" s="24">
        <f t="shared" ref="Y307:Z314" si="222">L307/L$451</f>
        <v>0.66379298472725268</v>
      </c>
      <c r="Z307" s="24">
        <f t="shared" si="222"/>
        <v>0.66924638589511265</v>
      </c>
    </row>
    <row r="308" spans="1:26">
      <c r="A308" s="21" t="s">
        <v>6840</v>
      </c>
      <c r="B308" s="23">
        <f>'WEST SUSSEX'!D6</f>
        <v>112814</v>
      </c>
      <c r="C308" s="23">
        <f>'WEST SUSSEX'!E6</f>
        <v>112169</v>
      </c>
      <c r="D308" s="23">
        <f>'WEST SUSSEX'!F6</f>
        <v>112052</v>
      </c>
      <c r="E308" s="23">
        <f>'WEST SUSSEX'!G6</f>
        <v>111331</v>
      </c>
      <c r="F308" s="23">
        <f>'WEST SUSSEX'!H6</f>
        <v>109063</v>
      </c>
      <c r="G308" s="23">
        <f>'WEST SUSSEX'!I6</f>
        <v>111759</v>
      </c>
      <c r="H308" s="23">
        <f>'WEST SUSSEX'!J6</f>
        <v>113193</v>
      </c>
      <c r="I308" s="23">
        <f>'WEST SUSSEX'!K6</f>
        <v>116521</v>
      </c>
      <c r="J308" s="23">
        <f>'WEST SUSSEX'!L6</f>
        <v>120238</v>
      </c>
      <c r="K308" s="23">
        <f>'WEST SUSSEX'!M6</f>
        <v>118125</v>
      </c>
      <c r="L308" s="23">
        <f>'WEST SUSSEX'!N6</f>
        <v>122127</v>
      </c>
      <c r="M308" s="23">
        <f>'WEST SUSSEX'!O6</f>
        <v>121629</v>
      </c>
      <c r="N308" s="16"/>
      <c r="O308" s="24">
        <f t="shared" si="221"/>
        <v>1.4857240689037561</v>
      </c>
      <c r="P308" s="24">
        <f t="shared" si="221"/>
        <v>1.4635638887801568</v>
      </c>
      <c r="Q308" s="24">
        <f t="shared" si="221"/>
        <v>1.4536915712043175</v>
      </c>
      <c r="R308" s="24">
        <f t="shared" si="221"/>
        <v>1.4366402560198208</v>
      </c>
      <c r="S308" s="24">
        <f t="shared" si="221"/>
        <v>1.4139419711152021</v>
      </c>
      <c r="T308" s="24">
        <f t="shared" si="221"/>
        <v>1.4748990418877188</v>
      </c>
      <c r="U308" s="24">
        <f t="shared" si="221"/>
        <v>1.5139028206877181</v>
      </c>
      <c r="V308" s="24">
        <f t="shared" si="221"/>
        <v>1.5228517284192642</v>
      </c>
      <c r="W308" s="24">
        <f t="shared" si="221"/>
        <v>1.5584358352883232</v>
      </c>
      <c r="X308" s="24">
        <f t="shared" si="221"/>
        <v>1.5434720117075211</v>
      </c>
      <c r="Y308" s="24">
        <f t="shared" si="222"/>
        <v>1.6818889179623484</v>
      </c>
      <c r="Z308" s="24">
        <f t="shared" si="222"/>
        <v>1.657228891038655</v>
      </c>
    </row>
    <row r="309" spans="1:26">
      <c r="A309" s="21" t="s">
        <v>6841</v>
      </c>
      <c r="B309" s="23">
        <f>'WEST SUSSEX'!D7</f>
        <v>88831</v>
      </c>
      <c r="C309" s="23">
        <f>'WEST SUSSEX'!E7</f>
        <v>89483</v>
      </c>
      <c r="D309" s="23">
        <f>'WEST SUSSEX'!F7</f>
        <v>89912</v>
      </c>
      <c r="E309" s="23">
        <f>'WEST SUSSEX'!G7</f>
        <v>91428</v>
      </c>
      <c r="F309" s="23">
        <f>'WEST SUSSEX'!H7</f>
        <v>89884</v>
      </c>
      <c r="G309" s="23">
        <f>'WEST SUSSEX'!I7</f>
        <v>88324</v>
      </c>
      <c r="H309" s="23">
        <f>'WEST SUSSEX'!J7</f>
        <v>85960</v>
      </c>
      <c r="I309" s="23">
        <f>'WEST SUSSEX'!K7</f>
        <v>90709</v>
      </c>
      <c r="J309" s="23">
        <f>'WEST SUSSEX'!L7</f>
        <v>90973</v>
      </c>
      <c r="K309" s="23">
        <f>'WEST SUSSEX'!M7</f>
        <v>89682</v>
      </c>
      <c r="L309" s="23">
        <f>'WEST SUSSEX'!N7</f>
        <v>90230</v>
      </c>
      <c r="M309" s="23">
        <f>'WEST SUSSEX'!O7</f>
        <v>93715</v>
      </c>
      <c r="N309" s="16"/>
      <c r="O309" s="24">
        <f t="shared" si="221"/>
        <v>1.1698756782384239</v>
      </c>
      <c r="P309" s="24">
        <f t="shared" si="221"/>
        <v>1.1675604441486933</v>
      </c>
      <c r="Q309" s="24">
        <f t="shared" si="221"/>
        <v>1.1664612550433959</v>
      </c>
      <c r="R309" s="24">
        <f t="shared" si="221"/>
        <v>1.1798074689653393</v>
      </c>
      <c r="S309" s="24">
        <f t="shared" si="221"/>
        <v>1.1652967562942411</v>
      </c>
      <c r="T309" s="24">
        <f t="shared" si="221"/>
        <v>1.1656240926967034</v>
      </c>
      <c r="U309" s="24">
        <f t="shared" si="221"/>
        <v>1.1496743302705668</v>
      </c>
      <c r="V309" s="24">
        <f t="shared" si="221"/>
        <v>1.185506109913089</v>
      </c>
      <c r="W309" s="24">
        <f t="shared" si="221"/>
        <v>1.1791245965808199</v>
      </c>
      <c r="X309" s="24">
        <f t="shared" si="221"/>
        <v>1.1718235509329431</v>
      </c>
      <c r="Y309" s="24">
        <f t="shared" si="222"/>
        <v>1.2426149587539421</v>
      </c>
      <c r="Z309" s="24">
        <f t="shared" si="222"/>
        <v>1.2768928916926683</v>
      </c>
    </row>
    <row r="310" spans="1:26">
      <c r="A310" s="21" t="s">
        <v>6842</v>
      </c>
      <c r="B310" s="23">
        <f>'WEST SUSSEX'!D8</f>
        <v>72024</v>
      </c>
      <c r="C310" s="23">
        <f>'WEST SUSSEX'!E8</f>
        <v>71793</v>
      </c>
      <c r="D310" s="23">
        <f>'WEST SUSSEX'!F8</f>
        <v>73935</v>
      </c>
      <c r="E310" s="23">
        <f>'WEST SUSSEX'!G8</f>
        <v>74610</v>
      </c>
      <c r="F310" s="23">
        <f>'WEST SUSSEX'!H8</f>
        <v>74369</v>
      </c>
      <c r="G310" s="23">
        <f>'WEST SUSSEX'!I8</f>
        <v>72424</v>
      </c>
      <c r="H310" s="23">
        <f>'WEST SUSSEX'!J8</f>
        <v>70578</v>
      </c>
      <c r="I310" s="23">
        <f>'WEST SUSSEX'!K8</f>
        <v>71455</v>
      </c>
      <c r="J310" s="23">
        <f>'WEST SUSSEX'!L8</f>
        <v>72499</v>
      </c>
      <c r="K310" s="23">
        <f>'WEST SUSSEX'!M8</f>
        <v>72199</v>
      </c>
      <c r="L310" s="23">
        <f>'WEST SUSSEX'!N8</f>
        <v>74712</v>
      </c>
      <c r="M310" s="23">
        <f>'WEST SUSSEX'!O8</f>
        <v>74446</v>
      </c>
      <c r="N310" s="16"/>
      <c r="O310" s="24">
        <f t="shared" si="221"/>
        <v>0.94853289785597639</v>
      </c>
      <c r="P310" s="24">
        <f t="shared" si="221"/>
        <v>0.93674404039613257</v>
      </c>
      <c r="Q310" s="24">
        <f t="shared" si="221"/>
        <v>0.95918579156990702</v>
      </c>
      <c r="R310" s="24">
        <f t="shared" si="221"/>
        <v>0.96278421555217175</v>
      </c>
      <c r="S310" s="24">
        <f t="shared" si="221"/>
        <v>0.96415329167422925</v>
      </c>
      <c r="T310" s="24">
        <f t="shared" si="221"/>
        <v>0.95578958481801146</v>
      </c>
      <c r="U310" s="24">
        <f t="shared" si="221"/>
        <v>0.94394735786221562</v>
      </c>
      <c r="V310" s="24">
        <f t="shared" si="221"/>
        <v>0.93386917597856633</v>
      </c>
      <c r="W310" s="24">
        <f t="shared" si="221"/>
        <v>0.93967830155664722</v>
      </c>
      <c r="X310" s="24">
        <f t="shared" si="221"/>
        <v>0.94338315998536559</v>
      </c>
      <c r="Y310" s="24">
        <f t="shared" si="222"/>
        <v>1.0289066696046163</v>
      </c>
      <c r="Z310" s="24">
        <f t="shared" si="222"/>
        <v>1.014347417328628</v>
      </c>
    </row>
    <row r="311" spans="1:26">
      <c r="A311" s="21" t="s">
        <v>6843</v>
      </c>
      <c r="B311" s="23">
        <f>'WEST SUSSEX'!D9</f>
        <v>99682</v>
      </c>
      <c r="C311" s="23">
        <f>'WEST SUSSEX'!E9</f>
        <v>100713</v>
      </c>
      <c r="D311" s="23">
        <f>'WEST SUSSEX'!F9</f>
        <v>101117</v>
      </c>
      <c r="E311" s="23">
        <f>'WEST SUSSEX'!G9</f>
        <v>101732</v>
      </c>
      <c r="F311" s="23">
        <f>'WEST SUSSEX'!H9</f>
        <v>99258</v>
      </c>
      <c r="G311" s="23">
        <f>'WEST SUSSEX'!I9</f>
        <v>99936</v>
      </c>
      <c r="H311" s="23">
        <f>'WEST SUSSEX'!J9</f>
        <v>100288</v>
      </c>
      <c r="I311" s="23">
        <f>'WEST SUSSEX'!K9</f>
        <v>103959</v>
      </c>
      <c r="J311" s="23">
        <f>'WEST SUSSEX'!L9</f>
        <v>105544</v>
      </c>
      <c r="K311" s="23">
        <f>'WEST SUSSEX'!M9</f>
        <v>106431</v>
      </c>
      <c r="L311" s="23">
        <f>'WEST SUSSEX'!N9</f>
        <v>109747</v>
      </c>
      <c r="M311" s="23">
        <f>'WEST SUSSEX'!O9</f>
        <v>111599</v>
      </c>
      <c r="N311" s="16"/>
      <c r="O311" s="24">
        <f t="shared" si="221"/>
        <v>1.3127798556603276</v>
      </c>
      <c r="P311" s="24">
        <f t="shared" si="221"/>
        <v>1.3140877598152425</v>
      </c>
      <c r="Q311" s="24">
        <f t="shared" si="221"/>
        <v>1.3118278174906917</v>
      </c>
      <c r="R311" s="24">
        <f t="shared" si="221"/>
        <v>1.3127726017498129</v>
      </c>
      <c r="S311" s="24">
        <f t="shared" si="221"/>
        <v>1.2868255244120621</v>
      </c>
      <c r="T311" s="24">
        <f t="shared" si="221"/>
        <v>1.31886926914245</v>
      </c>
      <c r="U311" s="24">
        <f t="shared" si="221"/>
        <v>1.3413045513514958</v>
      </c>
      <c r="V311" s="24">
        <f t="shared" si="221"/>
        <v>1.3586747696530093</v>
      </c>
      <c r="W311" s="24">
        <f t="shared" si="221"/>
        <v>1.3679830985185282</v>
      </c>
      <c r="X311" s="24">
        <f t="shared" si="221"/>
        <v>1.3906731824596248</v>
      </c>
      <c r="Y311" s="24">
        <f t="shared" si="222"/>
        <v>1.5113960310137304</v>
      </c>
      <c r="Z311" s="24">
        <f t="shared" si="222"/>
        <v>1.5205673565598898</v>
      </c>
    </row>
    <row r="312" spans="1:26">
      <c r="A312" s="21" t="s">
        <v>6844</v>
      </c>
      <c r="B312" s="23">
        <f>'WEST SUSSEX'!D10</f>
        <v>100172</v>
      </c>
      <c r="C312" s="23">
        <f>'WEST SUSSEX'!E10</f>
        <v>101739</v>
      </c>
      <c r="D312" s="23">
        <f>'WEST SUSSEX'!F10</f>
        <v>102770</v>
      </c>
      <c r="E312" s="23">
        <f>'WEST SUSSEX'!G10</f>
        <v>103635</v>
      </c>
      <c r="F312" s="23">
        <f>'WEST SUSSEX'!H10</f>
        <v>106256</v>
      </c>
      <c r="G312" s="23">
        <f>'WEST SUSSEX'!I10</f>
        <v>104742</v>
      </c>
      <c r="H312" s="23">
        <f>'WEST SUSSEX'!J10</f>
        <v>104358</v>
      </c>
      <c r="I312" s="23">
        <f>'WEST SUSSEX'!K10</f>
        <v>110296</v>
      </c>
      <c r="J312" s="23">
        <f>'WEST SUSSEX'!L10</f>
        <v>110194</v>
      </c>
      <c r="K312" s="23">
        <f>'WEST SUSSEX'!M10</f>
        <v>109816</v>
      </c>
      <c r="L312" s="23">
        <f>'WEST SUSSEX'!N10</f>
        <v>111127</v>
      </c>
      <c r="M312" s="23">
        <f>'WEST SUSSEX'!O10</f>
        <v>112500</v>
      </c>
      <c r="N312" s="16"/>
      <c r="O312" s="24">
        <f t="shared" si="221"/>
        <v>1.3192329979455302</v>
      </c>
      <c r="P312" s="24">
        <f t="shared" si="221"/>
        <v>1.3274748502759619</v>
      </c>
      <c r="Q312" s="24">
        <f t="shared" si="221"/>
        <v>1.3332727909601587</v>
      </c>
      <c r="R312" s="24">
        <f t="shared" si="221"/>
        <v>1.3373293416264485</v>
      </c>
      <c r="S312" s="24">
        <f t="shared" si="221"/>
        <v>1.3775507558275208</v>
      </c>
      <c r="T312" s="24">
        <f t="shared" si="221"/>
        <v>1.3822947185050281</v>
      </c>
      <c r="U312" s="24">
        <f t="shared" si="221"/>
        <v>1.3957388757372708</v>
      </c>
      <c r="V312" s="24">
        <f t="shared" si="221"/>
        <v>1.4414951316735281</v>
      </c>
      <c r="W312" s="24">
        <f t="shared" si="221"/>
        <v>1.4282529519266911</v>
      </c>
      <c r="X312" s="24">
        <f t="shared" si="221"/>
        <v>1.4349030470914128</v>
      </c>
      <c r="Y312" s="24">
        <f t="shared" si="222"/>
        <v>1.530400892402187</v>
      </c>
      <c r="Z312" s="24">
        <f t="shared" si="222"/>
        <v>1.5328437316910333</v>
      </c>
    </row>
    <row r="313" spans="1:26">
      <c r="A313" s="21" t="s">
        <v>6845</v>
      </c>
      <c r="B313" s="23">
        <f>'WEST SUSSEX'!D11</f>
        <v>77838</v>
      </c>
      <c r="C313" s="23">
        <f>'WEST SUSSEX'!E11</f>
        <v>79045</v>
      </c>
      <c r="D313" s="23">
        <f>'WEST SUSSEX'!F11</f>
        <v>79664</v>
      </c>
      <c r="E313" s="23">
        <f>'WEST SUSSEX'!G11</f>
        <v>80189</v>
      </c>
      <c r="F313" s="23">
        <f>'WEST SUSSEX'!H11</f>
        <v>78120</v>
      </c>
      <c r="G313" s="23">
        <f>'WEST SUSSEX'!I11</f>
        <v>76952</v>
      </c>
      <c r="H313" s="23">
        <f>'WEST SUSSEX'!J11</f>
        <v>77529</v>
      </c>
      <c r="I313" s="23">
        <f>'WEST SUSSEX'!K11</f>
        <v>81598</v>
      </c>
      <c r="J313" s="23">
        <f>'WEST SUSSEX'!L11</f>
        <v>81621</v>
      </c>
      <c r="K313" s="23">
        <f>'WEST SUSSEX'!M11</f>
        <v>80919</v>
      </c>
      <c r="L313" s="23">
        <f>'WEST SUSSEX'!N11</f>
        <v>81363</v>
      </c>
      <c r="M313" s="23">
        <f>'WEST SUSSEX'!O11</f>
        <v>83403</v>
      </c>
      <c r="N313" s="16"/>
      <c r="O313" s="24">
        <f t="shared" si="221"/>
        <v>1.0251014065216246</v>
      </c>
      <c r="P313" s="24">
        <f t="shared" si="221"/>
        <v>1.0313670228728749</v>
      </c>
      <c r="Q313" s="24">
        <f t="shared" si="221"/>
        <v>1.0335102035521075</v>
      </c>
      <c r="R313" s="24">
        <f t="shared" si="221"/>
        <v>1.0347768859524609</v>
      </c>
      <c r="S313" s="24">
        <f t="shared" si="221"/>
        <v>1.0127829491534213</v>
      </c>
      <c r="T313" s="24">
        <f t="shared" si="221"/>
        <v>1.0155462295774276</v>
      </c>
      <c r="U313" s="24">
        <f t="shared" si="221"/>
        <v>1.0369136941780686</v>
      </c>
      <c r="V313" s="24">
        <f t="shared" si="221"/>
        <v>1.0664314186760766</v>
      </c>
      <c r="W313" s="24">
        <f t="shared" si="221"/>
        <v>1.0579109043070263</v>
      </c>
      <c r="X313" s="24">
        <f t="shared" si="221"/>
        <v>1.0573224272199864</v>
      </c>
      <c r="Y313" s="24">
        <f t="shared" si="222"/>
        <v>1.1205018385137648</v>
      </c>
      <c r="Z313" s="24">
        <f t="shared" si="222"/>
        <v>1.1363890289264644</v>
      </c>
    </row>
    <row r="314" spans="1:26">
      <c r="A314" s="21" t="s">
        <v>6846</v>
      </c>
      <c r="B314" s="23">
        <f t="shared" ref="B314:H314" si="223">SUM(B307:B313)</f>
        <v>598743</v>
      </c>
      <c r="C314" s="23">
        <f t="shared" si="223"/>
        <v>602338</v>
      </c>
      <c r="D314" s="23">
        <f t="shared" si="223"/>
        <v>607363</v>
      </c>
      <c r="E314" s="23">
        <f t="shared" si="223"/>
        <v>611161</v>
      </c>
      <c r="F314" s="23">
        <f t="shared" si="223"/>
        <v>605063</v>
      </c>
      <c r="G314" s="23">
        <f t="shared" si="223"/>
        <v>600847</v>
      </c>
      <c r="H314" s="23">
        <f t="shared" si="223"/>
        <v>598549</v>
      </c>
      <c r="I314" s="23">
        <f>SUM(I307:I313)</f>
        <v>622745</v>
      </c>
      <c r="J314" s="23">
        <f>SUM(J307:J313)</f>
        <v>629540</v>
      </c>
      <c r="K314" s="23">
        <f>SUM(K307:K313)</f>
        <v>625069</v>
      </c>
      <c r="L314" s="23">
        <f>SUM(L307:L313)</f>
        <v>637506</v>
      </c>
      <c r="M314" s="23">
        <f>SUM(M307:M313)</f>
        <v>646410</v>
      </c>
      <c r="N314" s="16"/>
      <c r="O314" s="24">
        <f t="shared" si="221"/>
        <v>7.8852525944265919</v>
      </c>
      <c r="P314" s="24">
        <f t="shared" si="221"/>
        <v>7.8592137367727455</v>
      </c>
      <c r="Q314" s="24">
        <f t="shared" si="221"/>
        <v>7.8795422996588007</v>
      </c>
      <c r="R314" s="24">
        <f t="shared" si="221"/>
        <v>7.8865589594033088</v>
      </c>
      <c r="S314" s="24">
        <f t="shared" si="221"/>
        <v>7.8443099022480363</v>
      </c>
      <c r="T314" s="24">
        <f t="shared" si="221"/>
        <v>7.9294612927917232</v>
      </c>
      <c r="U314" s="24">
        <f t="shared" si="221"/>
        <v>8.0053096871698166</v>
      </c>
      <c r="V314" s="24">
        <f t="shared" si="221"/>
        <v>8.1388616611122</v>
      </c>
      <c r="W314" s="24">
        <f t="shared" si="221"/>
        <v>8.1596308633494488</v>
      </c>
      <c r="X314" s="24">
        <f t="shared" si="221"/>
        <v>8.1674201641143576</v>
      </c>
      <c r="Y314" s="24">
        <f t="shared" si="222"/>
        <v>8.7795022929778419</v>
      </c>
      <c r="Z314" s="24">
        <f t="shared" si="222"/>
        <v>8.8075157031324505</v>
      </c>
    </row>
    <row r="315" spans="1:26">
      <c r="A315" s="21"/>
      <c r="B315" s="23"/>
      <c r="C315" s="23"/>
      <c r="D315" s="23"/>
      <c r="E315" s="23"/>
      <c r="F315" s="23"/>
      <c r="G315" s="23"/>
      <c r="H315" s="23"/>
      <c r="I315" s="23"/>
      <c r="J315" s="23"/>
      <c r="K315" s="23"/>
      <c r="L315" s="23"/>
      <c r="M315" s="23"/>
      <c r="N315" s="16"/>
      <c r="O315" s="24"/>
      <c r="P315" s="24"/>
      <c r="Q315" s="24"/>
      <c r="R315" s="24"/>
      <c r="S315" s="24"/>
      <c r="T315" s="24"/>
      <c r="U315" s="24"/>
      <c r="V315" s="24"/>
      <c r="W315" s="24"/>
      <c r="X315" s="24"/>
      <c r="Y315" s="24"/>
      <c r="Z315" s="24"/>
    </row>
    <row r="316" spans="1:26">
      <c r="A316" s="29" t="s">
        <v>5376</v>
      </c>
      <c r="B316" s="27">
        <f t="shared" ref="B316:M316" si="224">B238+B242+B251+B267+B269+B285+B292+B305+B314</f>
        <v>6254288</v>
      </c>
      <c r="C316" s="27">
        <f t="shared" si="224"/>
        <v>6303428</v>
      </c>
      <c r="D316" s="27">
        <f t="shared" si="224"/>
        <v>6354105</v>
      </c>
      <c r="E316" s="27">
        <f t="shared" si="224"/>
        <v>6398775</v>
      </c>
      <c r="F316" s="27">
        <f t="shared" si="224"/>
        <v>6389909</v>
      </c>
      <c r="G316" s="27">
        <f t="shared" si="224"/>
        <v>6262311</v>
      </c>
      <c r="H316" s="27">
        <f t="shared" si="224"/>
        <v>6172923</v>
      </c>
      <c r="I316" s="27">
        <f t="shared" si="224"/>
        <v>6375705</v>
      </c>
      <c r="J316" s="27">
        <f t="shared" si="224"/>
        <v>6408798</v>
      </c>
      <c r="K316" s="27">
        <f t="shared" si="224"/>
        <v>6379940</v>
      </c>
      <c r="L316" s="27">
        <f t="shared" si="224"/>
        <v>6566095</v>
      </c>
      <c r="M316" s="27">
        <f t="shared" si="224"/>
        <v>6634518</v>
      </c>
      <c r="N316" s="26"/>
      <c r="O316" s="28">
        <f t="shared" ref="O316:X316" si="225">B316/B$451</f>
        <v>82.366959911499762</v>
      </c>
      <c r="P316" s="28">
        <f t="shared" si="225"/>
        <v>82.246160671181215</v>
      </c>
      <c r="Q316" s="28">
        <f t="shared" si="225"/>
        <v>82.434127735758494</v>
      </c>
      <c r="R316" s="28">
        <f t="shared" si="225"/>
        <v>82.571231321134533</v>
      </c>
      <c r="S316" s="28">
        <f t="shared" si="225"/>
        <v>82.841665154147321</v>
      </c>
      <c r="T316" s="28">
        <f t="shared" si="225"/>
        <v>82.6445878533534</v>
      </c>
      <c r="U316" s="28">
        <f t="shared" si="225"/>
        <v>82.559924567668418</v>
      </c>
      <c r="V316" s="28">
        <f t="shared" si="225"/>
        <v>83.326210546951572</v>
      </c>
      <c r="W316" s="28">
        <f t="shared" si="225"/>
        <v>83.066089458608218</v>
      </c>
      <c r="X316" s="28">
        <f t="shared" si="225"/>
        <v>83.363037683583343</v>
      </c>
      <c r="Y316" s="28">
        <f>L316/L$451</f>
        <v>90.425887926404357</v>
      </c>
      <c r="Z316" s="28">
        <f>M316/M$451</f>
        <v>90.39714959192294</v>
      </c>
    </row>
    <row r="317" spans="1:26">
      <c r="A317" s="21"/>
      <c r="B317" s="23"/>
      <c r="C317" s="23"/>
      <c r="D317" s="23"/>
      <c r="E317" s="23"/>
      <c r="F317" s="23"/>
      <c r="G317" s="23"/>
      <c r="H317" s="23"/>
      <c r="I317" s="23"/>
      <c r="J317" s="23"/>
      <c r="K317" s="23"/>
      <c r="L317" s="23"/>
      <c r="M317" s="23"/>
      <c r="N317" s="16"/>
      <c r="O317" s="24"/>
      <c r="P317" s="24"/>
      <c r="Q317" s="24"/>
      <c r="R317" s="24"/>
      <c r="S317" s="24"/>
      <c r="T317" s="24"/>
      <c r="U317" s="24"/>
      <c r="V317" s="24"/>
      <c r="W317" s="24"/>
      <c r="X317" s="24"/>
      <c r="Y317" s="24"/>
      <c r="Z317" s="24"/>
    </row>
    <row r="318" spans="1:26">
      <c r="A318" s="21" t="s">
        <v>3737</v>
      </c>
      <c r="B318" s="23" t="s">
        <v>3738</v>
      </c>
      <c r="C318" s="24"/>
      <c r="D318" s="24"/>
      <c r="O318" s="24"/>
      <c r="P318" s="24"/>
      <c r="Q318" s="24"/>
      <c r="R318" s="24"/>
      <c r="S318" s="24"/>
      <c r="T318" s="24"/>
      <c r="U318" s="24"/>
      <c r="V318" s="24"/>
      <c r="W318" s="24"/>
      <c r="X318" s="24"/>
      <c r="Y318" s="24"/>
      <c r="Z318" s="24"/>
    </row>
    <row r="319" spans="1:26">
      <c r="A319" s="21"/>
      <c r="B319" s="23"/>
      <c r="C319" s="23"/>
      <c r="D319" s="23"/>
      <c r="E319" s="23"/>
      <c r="F319" s="23"/>
      <c r="G319" s="23"/>
      <c r="H319" s="23"/>
      <c r="I319" s="23"/>
      <c r="J319" s="23"/>
      <c r="K319" s="23"/>
      <c r="L319" s="23"/>
      <c r="M319" s="23"/>
      <c r="N319" s="16"/>
      <c r="O319" s="24"/>
      <c r="P319" s="24"/>
      <c r="Q319" s="24"/>
      <c r="R319" s="24"/>
      <c r="S319" s="24"/>
      <c r="T319" s="24"/>
      <c r="U319" s="24"/>
      <c r="V319" s="24"/>
      <c r="W319" s="24"/>
      <c r="X319" s="24"/>
      <c r="Y319" s="24"/>
      <c r="Z319" s="24"/>
    </row>
    <row r="320" spans="1:26">
      <c r="A320" s="21" t="s">
        <v>6659</v>
      </c>
      <c r="B320" s="23">
        <f>'BATH &amp; NE SOMERSET'!D3</f>
        <v>134016</v>
      </c>
      <c r="C320" s="23">
        <f>'BATH &amp; NE SOMERSET'!E3</f>
        <v>135236</v>
      </c>
      <c r="D320" s="23">
        <f>'BATH &amp; NE SOMERSET'!F3</f>
        <v>132710</v>
      </c>
      <c r="E320" s="23">
        <f>'BATH &amp; NE SOMERSET'!G3</f>
        <v>134824</v>
      </c>
      <c r="F320" s="23">
        <f>'BATH &amp; NE SOMERSET'!H3</f>
        <v>130613</v>
      </c>
      <c r="G320" s="23">
        <f>'BATH &amp; NE SOMERSET'!I3</f>
        <v>125207</v>
      </c>
      <c r="H320" s="23">
        <f>'BATH &amp; NE SOMERSET'!J3</f>
        <v>129407</v>
      </c>
      <c r="I320" s="23">
        <f>'BATH &amp; NE SOMERSET'!K3</f>
        <v>131217</v>
      </c>
      <c r="J320" s="23">
        <f>'BATH &amp; NE SOMERSET'!L3</f>
        <v>129957</v>
      </c>
      <c r="K320" s="23">
        <f>'BATH &amp; NE SOMERSET'!M3</f>
        <v>130711</v>
      </c>
      <c r="L320" s="23">
        <f>'BATH &amp; NE SOMERSET'!N3</f>
        <v>133140</v>
      </c>
      <c r="M320" s="23">
        <f>'BATH &amp; NE SOMERSET'!O3</f>
        <v>141444</v>
      </c>
      <c r="N320" s="16"/>
      <c r="O320" s="24">
        <f t="shared" ref="O320:X324" si="226">B320/B$451</f>
        <v>1.7649475846810303</v>
      </c>
      <c r="P320" s="24">
        <f t="shared" si="226"/>
        <v>1.7645385629101917</v>
      </c>
      <c r="Q320" s="24">
        <f t="shared" si="226"/>
        <v>1.7216953594270961</v>
      </c>
      <c r="R320" s="24">
        <f t="shared" si="226"/>
        <v>1.7397992102614397</v>
      </c>
      <c r="S320" s="24">
        <f t="shared" si="226"/>
        <v>1.6933259003811549</v>
      </c>
      <c r="T320" s="24">
        <f t="shared" si="226"/>
        <v>1.6523741652809671</v>
      </c>
      <c r="U320" s="24">
        <f t="shared" si="226"/>
        <v>1.7307573994569942</v>
      </c>
      <c r="V320" s="24">
        <f t="shared" si="226"/>
        <v>1.7149186434032542</v>
      </c>
      <c r="W320" s="24">
        <f t="shared" si="226"/>
        <v>1.6844063095407826</v>
      </c>
      <c r="X320" s="24">
        <f t="shared" si="226"/>
        <v>1.7079260962734542</v>
      </c>
      <c r="Y320" s="24">
        <f t="shared" ref="Y320:Z324" si="227">L320/L$451</f>
        <v>1.8335559748254444</v>
      </c>
      <c r="Z320" s="24">
        <f t="shared" si="227"/>
        <v>1.9272137669805023</v>
      </c>
    </row>
    <row r="321" spans="1:26">
      <c r="A321" s="21" t="s">
        <v>966</v>
      </c>
      <c r="B321" s="23">
        <f>BRISTOL!D3</f>
        <v>299884</v>
      </c>
      <c r="C321" s="23">
        <f>BRISTOL!E3</f>
        <v>304473</v>
      </c>
      <c r="D321" s="23">
        <f>BRISTOL!F3</f>
        <v>309495</v>
      </c>
      <c r="E321" s="23">
        <f>BRISTOL!G3</f>
        <v>309644</v>
      </c>
      <c r="F321" s="23">
        <f>BRISTOL!H3</f>
        <v>308742</v>
      </c>
      <c r="G321" s="23">
        <f>BRISTOL!I3</f>
        <v>303609</v>
      </c>
      <c r="H321" s="23">
        <f>BRISTOL!J3</f>
        <v>300195</v>
      </c>
      <c r="I321" s="23">
        <f>BRISTOL!K3</f>
        <v>306555</v>
      </c>
      <c r="J321" s="23">
        <f>BRISTOL!L3</f>
        <v>308147</v>
      </c>
      <c r="K321" s="23">
        <f>BRISTOL!M3</f>
        <v>305184</v>
      </c>
      <c r="L321" s="23">
        <f>BRISTOL!N3</f>
        <v>313464</v>
      </c>
      <c r="M321" s="23">
        <f>BRISTOL!O3</f>
        <v>335568</v>
      </c>
      <c r="N321" s="16"/>
      <c r="O321" s="24">
        <f t="shared" si="226"/>
        <v>3.9493757572564925</v>
      </c>
      <c r="P321" s="24">
        <f t="shared" si="226"/>
        <v>3.9727169530668962</v>
      </c>
      <c r="Q321" s="24">
        <f t="shared" si="226"/>
        <v>4.015191811211583</v>
      </c>
      <c r="R321" s="24">
        <f t="shared" si="226"/>
        <v>3.995715797352053</v>
      </c>
      <c r="S321" s="24">
        <f t="shared" si="226"/>
        <v>4.002670677003656</v>
      </c>
      <c r="T321" s="24">
        <f t="shared" si="226"/>
        <v>4.0067701322353315</v>
      </c>
      <c r="U321" s="24">
        <f t="shared" si="226"/>
        <v>4.0149660955743691</v>
      </c>
      <c r="V321" s="24">
        <f t="shared" si="226"/>
        <v>4.0064693197412273</v>
      </c>
      <c r="W321" s="24">
        <f t="shared" si="226"/>
        <v>3.9939730146591836</v>
      </c>
      <c r="X321" s="24">
        <f t="shared" si="226"/>
        <v>3.9876652903360688</v>
      </c>
      <c r="Y321" s="24">
        <f t="shared" si="227"/>
        <v>4.3169129494718579</v>
      </c>
      <c r="Z321" s="24">
        <f t="shared" si="227"/>
        <v>4.5722071587208593</v>
      </c>
    </row>
    <row r="322" spans="1:26">
      <c r="A322" s="21" t="s">
        <v>4240</v>
      </c>
      <c r="B322" s="23">
        <f>'NORTH SOMERSET'!D3</f>
        <v>155666</v>
      </c>
      <c r="C322" s="23">
        <f>'NORTH SOMERSET'!E3</f>
        <v>157001</v>
      </c>
      <c r="D322" s="23">
        <f>'NORTH SOMERSET'!F3</f>
        <v>157809</v>
      </c>
      <c r="E322" s="23">
        <f>'NORTH SOMERSET'!G3</f>
        <v>159585</v>
      </c>
      <c r="F322" s="23">
        <f>'NORTH SOMERSET'!H3</f>
        <v>157776</v>
      </c>
      <c r="G322" s="23">
        <f>'NORTH SOMERSET'!I3</f>
        <v>156981</v>
      </c>
      <c r="H322" s="23">
        <f>'NORTH SOMERSET'!J3</f>
        <v>151312</v>
      </c>
      <c r="I322" s="23">
        <f>'NORTH SOMERSET'!K3</f>
        <v>159208</v>
      </c>
      <c r="J322" s="23">
        <f>'NORTH SOMERSET'!L3</f>
        <v>158288</v>
      </c>
      <c r="K322" s="23">
        <f>'NORTH SOMERSET'!M3</f>
        <v>159204</v>
      </c>
      <c r="L322" s="23">
        <f>'NORTH SOMERSET'!N3</f>
        <v>164273</v>
      </c>
      <c r="M322" s="23">
        <f>'NORTH SOMERSET'!O3</f>
        <v>164286</v>
      </c>
      <c r="N322" s="16"/>
      <c r="O322" s="24">
        <f t="shared" si="226"/>
        <v>2.0500711162619187</v>
      </c>
      <c r="P322" s="24">
        <f t="shared" si="226"/>
        <v>2.0485249409584947</v>
      </c>
      <c r="Q322" s="24">
        <f t="shared" si="226"/>
        <v>2.0473138646359024</v>
      </c>
      <c r="R322" s="24">
        <f t="shared" si="226"/>
        <v>2.0593207216042533</v>
      </c>
      <c r="S322" s="24">
        <f t="shared" si="226"/>
        <v>2.045479295770996</v>
      </c>
      <c r="T322" s="24">
        <f t="shared" si="226"/>
        <v>2.0717000554279834</v>
      </c>
      <c r="U322" s="24">
        <f t="shared" si="226"/>
        <v>2.0237264106782225</v>
      </c>
      <c r="V322" s="24">
        <f t="shared" si="226"/>
        <v>2.0807423381036396</v>
      </c>
      <c r="W322" s="24">
        <f t="shared" si="226"/>
        <v>2.0516117325314633</v>
      </c>
      <c r="X322" s="24">
        <f t="shared" si="226"/>
        <v>2.0802278785344694</v>
      </c>
      <c r="Y322" s="24">
        <f t="shared" si="227"/>
        <v>2.262308402076763</v>
      </c>
      <c r="Z322" s="24">
        <f t="shared" si="227"/>
        <v>2.2384423582630495</v>
      </c>
    </row>
    <row r="323" spans="1:26">
      <c r="A323" s="21" t="s">
        <v>5304</v>
      </c>
      <c r="B323" s="23">
        <f>'SOUTH GLOUCESTERSHIRE'!D3</f>
        <v>199268</v>
      </c>
      <c r="C323" s="23">
        <f>'SOUTH GLOUCESTERSHIRE'!E3</f>
        <v>201667</v>
      </c>
      <c r="D323" s="23">
        <f>'SOUTH GLOUCESTERSHIRE'!F3</f>
        <v>203568</v>
      </c>
      <c r="E323" s="23">
        <f>'SOUTH GLOUCESTERSHIRE'!G3</f>
        <v>204678</v>
      </c>
      <c r="F323" s="23">
        <f>'SOUTH GLOUCESTERSHIRE'!H3</f>
        <v>205320</v>
      </c>
      <c r="G323" s="23">
        <f>'SOUTH GLOUCESTERSHIRE'!I3</f>
        <v>202239</v>
      </c>
      <c r="H323" s="23">
        <f>'SOUTH GLOUCESTERSHIRE'!J3</f>
        <v>202593</v>
      </c>
      <c r="I323" s="23">
        <f>'SOUTH GLOUCESTERSHIRE'!K3</f>
        <v>206186</v>
      </c>
      <c r="J323" s="23">
        <f>'SOUTH GLOUCESTERSHIRE'!L3</f>
        <v>196491</v>
      </c>
      <c r="K323" s="23">
        <f>'SOUTH GLOUCESTERSHIRE'!M3</f>
        <v>203075</v>
      </c>
      <c r="L323" s="23">
        <f>'SOUTH GLOUCESTERSHIRE'!N3</f>
        <v>213362</v>
      </c>
      <c r="M323" s="23">
        <f>'SOUTH GLOUCESTERSHIRE'!O3</f>
        <v>213033</v>
      </c>
      <c r="N323" s="16"/>
      <c r="O323" s="24">
        <f t="shared" si="226"/>
        <v>2.6242954222198809</v>
      </c>
      <c r="P323" s="24">
        <f t="shared" si="226"/>
        <v>2.6313200506256442</v>
      </c>
      <c r="Q323" s="24">
        <f t="shared" si="226"/>
        <v>2.6409621047988479</v>
      </c>
      <c r="R323" s="24">
        <f t="shared" si="226"/>
        <v>2.6412109324592872</v>
      </c>
      <c r="S323" s="24">
        <f t="shared" si="226"/>
        <v>2.6618611766536158</v>
      </c>
      <c r="T323" s="24">
        <f t="shared" si="226"/>
        <v>2.6689761659672184</v>
      </c>
      <c r="U323" s="24">
        <f t="shared" si="226"/>
        <v>2.7095855234121093</v>
      </c>
      <c r="V323" s="24">
        <f t="shared" si="226"/>
        <v>2.6947134548781286</v>
      </c>
      <c r="W323" s="24">
        <f t="shared" si="226"/>
        <v>2.5467707023706141</v>
      </c>
      <c r="X323" s="24">
        <f t="shared" si="226"/>
        <v>2.653465217164062</v>
      </c>
      <c r="Y323" s="24">
        <f t="shared" si="227"/>
        <v>2.9383443735970145</v>
      </c>
      <c r="Z323" s="24">
        <f t="shared" si="227"/>
        <v>2.9026337661629857</v>
      </c>
    </row>
    <row r="324" spans="1:26">
      <c r="A324" s="25" t="s">
        <v>9777</v>
      </c>
      <c r="B324" s="23">
        <f t="shared" ref="B324:M324" si="228">SUM(B320:B323)</f>
        <v>788834</v>
      </c>
      <c r="C324" s="23">
        <f t="shared" si="228"/>
        <v>798377</v>
      </c>
      <c r="D324" s="23">
        <f t="shared" si="228"/>
        <v>803582</v>
      </c>
      <c r="E324" s="23">
        <f t="shared" si="228"/>
        <v>808731</v>
      </c>
      <c r="F324" s="23">
        <f t="shared" si="228"/>
        <v>802451</v>
      </c>
      <c r="G324" s="23">
        <f t="shared" si="228"/>
        <v>788036</v>
      </c>
      <c r="H324" s="23">
        <f t="shared" si="228"/>
        <v>783507</v>
      </c>
      <c r="I324" s="23">
        <f t="shared" si="228"/>
        <v>803166</v>
      </c>
      <c r="J324" s="23">
        <f t="shared" si="228"/>
        <v>792883</v>
      </c>
      <c r="K324" s="23">
        <f t="shared" si="228"/>
        <v>798174</v>
      </c>
      <c r="L324" s="23">
        <f t="shared" si="228"/>
        <v>824239</v>
      </c>
      <c r="M324" s="23">
        <f t="shared" si="228"/>
        <v>854331</v>
      </c>
      <c r="N324" s="16"/>
      <c r="O324" s="24">
        <f t="shared" si="226"/>
        <v>10.388689880419323</v>
      </c>
      <c r="P324" s="24">
        <f t="shared" si="226"/>
        <v>10.417100507561226</v>
      </c>
      <c r="Q324" s="24">
        <f t="shared" si="226"/>
        <v>10.42516314007343</v>
      </c>
      <c r="R324" s="24">
        <f t="shared" si="226"/>
        <v>10.436046661677032</v>
      </c>
      <c r="S324" s="24">
        <f t="shared" si="226"/>
        <v>10.403337049809423</v>
      </c>
      <c r="T324" s="24">
        <f t="shared" si="226"/>
        <v>10.3998205189115</v>
      </c>
      <c r="U324" s="24">
        <f t="shared" si="226"/>
        <v>10.479035429121694</v>
      </c>
      <c r="V324" s="24">
        <f t="shared" si="226"/>
        <v>10.49684375612625</v>
      </c>
      <c r="W324" s="24">
        <f t="shared" si="226"/>
        <v>10.276761759102044</v>
      </c>
      <c r="X324" s="24">
        <f t="shared" si="226"/>
        <v>10.429284482308054</v>
      </c>
      <c r="Y324" s="24">
        <f t="shared" si="227"/>
        <v>11.351121699971079</v>
      </c>
      <c r="Z324" s="24">
        <f t="shared" si="227"/>
        <v>11.640497050127397</v>
      </c>
    </row>
    <row r="325" spans="1:26">
      <c r="A325" s="16"/>
      <c r="N325" s="16"/>
      <c r="O325" s="24"/>
      <c r="P325" s="24"/>
      <c r="Q325" s="24"/>
      <c r="R325" s="24"/>
      <c r="S325" s="24"/>
      <c r="T325" s="24"/>
      <c r="U325" s="24"/>
      <c r="V325" s="24"/>
      <c r="W325" s="24"/>
      <c r="X325" s="24"/>
      <c r="Y325" s="24"/>
      <c r="Z325" s="24"/>
    </row>
    <row r="326" spans="1:26">
      <c r="A326" s="21" t="s">
        <v>6699</v>
      </c>
      <c r="B326" s="23">
        <f>CORNWALL!D3</f>
        <v>414414</v>
      </c>
      <c r="C326" s="23">
        <f>CORNWALL!E3</f>
        <v>417102</v>
      </c>
      <c r="D326" s="23">
        <f>CORNWALL!F3</f>
        <v>415406</v>
      </c>
      <c r="E326" s="23">
        <f>CORNWALL!G3</f>
        <v>418506</v>
      </c>
      <c r="F326" s="23">
        <f>CORNWALL!H3</f>
        <v>405256</v>
      </c>
      <c r="G326" s="23">
        <f>CORNWALL!I3</f>
        <v>411674</v>
      </c>
      <c r="H326" s="23">
        <f>CORNWALL!J3</f>
        <v>392223</v>
      </c>
      <c r="I326" s="23">
        <f>CORNWALL!K3</f>
        <v>406123</v>
      </c>
      <c r="J326" s="23">
        <f>CORNWALL!L3</f>
        <v>418223</v>
      </c>
      <c r="K326" s="23">
        <f>CORNWALL!M3</f>
        <v>417535</v>
      </c>
      <c r="L326" s="23">
        <f>CORNWALL!N3</f>
        <v>437129</v>
      </c>
      <c r="M326" s="23">
        <f>CORNWALL!O3</f>
        <v>436726</v>
      </c>
      <c r="N326" s="16"/>
      <c r="O326" s="24">
        <f t="shared" ref="O326:X328" si="229">B326/B$451</f>
        <v>5.4576989938365905</v>
      </c>
      <c r="P326" s="24">
        <f t="shared" si="229"/>
        <v>5.4422828512154071</v>
      </c>
      <c r="Q326" s="24">
        <f t="shared" si="229"/>
        <v>5.3892139437734334</v>
      </c>
      <c r="R326" s="24">
        <f t="shared" si="229"/>
        <v>5.400495522233979</v>
      </c>
      <c r="S326" s="24">
        <f t="shared" si="229"/>
        <v>5.2539217465709029</v>
      </c>
      <c r="T326" s="24">
        <f t="shared" si="229"/>
        <v>5.43291894317312</v>
      </c>
      <c r="U326" s="24">
        <f t="shared" si="229"/>
        <v>5.2457970549291817</v>
      </c>
      <c r="V326" s="24">
        <f t="shared" si="229"/>
        <v>5.3077566490230677</v>
      </c>
      <c r="W326" s="24">
        <f t="shared" si="229"/>
        <v>5.4206965380477756</v>
      </c>
      <c r="X326" s="24">
        <f t="shared" si="229"/>
        <v>5.4556917367898397</v>
      </c>
      <c r="Y326" s="24">
        <f t="shared" ref="Y326:Z328" si="230">L326/L$451</f>
        <v>6.0199826477352536</v>
      </c>
      <c r="Z326" s="24">
        <f t="shared" si="230"/>
        <v>5.9505129917022055</v>
      </c>
    </row>
    <row r="327" spans="1:26">
      <c r="A327" s="21" t="s">
        <v>3736</v>
      </c>
      <c r="B327" s="23">
        <f>CORNWALL!D4</f>
        <v>1752</v>
      </c>
      <c r="C327" s="23">
        <f>CORNWALL!E4</f>
        <v>1763</v>
      </c>
      <c r="D327" s="23">
        <f>CORNWALL!F4</f>
        <v>1721</v>
      </c>
      <c r="E327" s="23">
        <f>CORNWALL!G4</f>
        <v>1750</v>
      </c>
      <c r="F327" s="23">
        <f>CORNWALL!H4</f>
        <v>1631</v>
      </c>
      <c r="G327" s="23">
        <f>CORNWALL!I4</f>
        <v>1637</v>
      </c>
      <c r="H327" s="23">
        <f>CORNWALL!J4</f>
        <v>1651</v>
      </c>
      <c r="I327" s="23">
        <f>CORNWALL!K4</f>
        <v>1742</v>
      </c>
      <c r="J327" s="23">
        <f>CORNWALL!L4</f>
        <v>1696</v>
      </c>
      <c r="K327" s="23">
        <f>CORNWALL!M4</f>
        <v>1586</v>
      </c>
      <c r="L327" s="23">
        <f>CORNWALL!N4</f>
        <v>1551</v>
      </c>
      <c r="M327" s="23">
        <f>CORNWALL!O4</f>
        <v>1628</v>
      </c>
      <c r="N327" s="16"/>
      <c r="O327" s="24">
        <f t="shared" si="229"/>
        <v>2.3073276089132382E-2</v>
      </c>
      <c r="P327" s="24">
        <f t="shared" si="229"/>
        <v>2.3003353296538406E-2</v>
      </c>
      <c r="Q327" s="24">
        <f t="shared" si="229"/>
        <v>2.2327162335724758E-2</v>
      </c>
      <c r="R327" s="24">
        <f t="shared" si="229"/>
        <v>2.2582393475623918E-2</v>
      </c>
      <c r="S327" s="24">
        <f t="shared" si="229"/>
        <v>2.1145020354188814E-2</v>
      </c>
      <c r="T327" s="24">
        <f t="shared" si="229"/>
        <v>2.1603716314303058E-2</v>
      </c>
      <c r="U327" s="24">
        <f t="shared" si="229"/>
        <v>2.2081343872460513E-2</v>
      </c>
      <c r="V327" s="24">
        <f t="shared" si="229"/>
        <v>2.2766777755995556E-2</v>
      </c>
      <c r="W327" s="24">
        <f t="shared" si="229"/>
        <v>2.1982294920482676E-2</v>
      </c>
      <c r="X327" s="24">
        <f t="shared" si="229"/>
        <v>2.0723357549783099E-2</v>
      </c>
      <c r="Y327" s="24">
        <f t="shared" si="230"/>
        <v>2.1359811603982759E-2</v>
      </c>
      <c r="Z327" s="24">
        <f t="shared" si="230"/>
        <v>2.2181951957271129E-2</v>
      </c>
    </row>
    <row r="328" spans="1:26">
      <c r="A328" s="25" t="s">
        <v>5191</v>
      </c>
      <c r="B328" s="23">
        <f t="shared" ref="B328:G328" si="231">SUM(B326:B327)</f>
        <v>416166</v>
      </c>
      <c r="C328" s="23">
        <f t="shared" si="231"/>
        <v>418865</v>
      </c>
      <c r="D328" s="23">
        <f t="shared" si="231"/>
        <v>417127</v>
      </c>
      <c r="E328" s="23">
        <f t="shared" si="231"/>
        <v>420256</v>
      </c>
      <c r="F328" s="23">
        <f t="shared" si="231"/>
        <v>406887</v>
      </c>
      <c r="G328" s="23">
        <f t="shared" si="231"/>
        <v>413311</v>
      </c>
      <c r="H328" s="23">
        <f t="shared" ref="H328:M328" si="232">SUM(H326:H327)</f>
        <v>393874</v>
      </c>
      <c r="I328" s="23">
        <f t="shared" si="232"/>
        <v>407865</v>
      </c>
      <c r="J328" s="23">
        <f t="shared" si="232"/>
        <v>419919</v>
      </c>
      <c r="K328" s="23">
        <f t="shared" si="232"/>
        <v>419121</v>
      </c>
      <c r="L328" s="23">
        <f t="shared" si="232"/>
        <v>438680</v>
      </c>
      <c r="M328" s="23">
        <f t="shared" si="232"/>
        <v>438354</v>
      </c>
      <c r="N328" s="16"/>
      <c r="O328" s="24">
        <f t="shared" si="229"/>
        <v>5.4807722699257226</v>
      </c>
      <c r="P328" s="24">
        <f t="shared" si="229"/>
        <v>5.465286204511945</v>
      </c>
      <c r="Q328" s="24">
        <f t="shared" si="229"/>
        <v>5.4115411061091576</v>
      </c>
      <c r="R328" s="24">
        <f t="shared" si="229"/>
        <v>5.4230779157096034</v>
      </c>
      <c r="S328" s="24">
        <f t="shared" si="229"/>
        <v>5.2750667669250912</v>
      </c>
      <c r="T328" s="24">
        <f t="shared" si="229"/>
        <v>5.4545226594874228</v>
      </c>
      <c r="U328" s="24">
        <f t="shared" si="229"/>
        <v>5.267878398801642</v>
      </c>
      <c r="V328" s="24">
        <f t="shared" si="229"/>
        <v>5.3305234267790631</v>
      </c>
      <c r="W328" s="24">
        <f t="shared" si="229"/>
        <v>5.4426788329682578</v>
      </c>
      <c r="X328" s="24">
        <f t="shared" si="229"/>
        <v>5.4764150943396226</v>
      </c>
      <c r="Y328" s="24">
        <f t="shared" si="230"/>
        <v>6.0413424593392371</v>
      </c>
      <c r="Z328" s="24">
        <f t="shared" si="230"/>
        <v>5.9726949436594774</v>
      </c>
    </row>
    <row r="329" spans="1:26">
      <c r="A329" s="21"/>
      <c r="B329" s="23"/>
      <c r="C329" s="23"/>
      <c r="D329" s="23"/>
      <c r="E329" s="23"/>
      <c r="F329" s="23"/>
      <c r="G329" s="23"/>
      <c r="H329" s="23"/>
      <c r="I329" s="23"/>
      <c r="J329" s="23"/>
      <c r="K329" s="23"/>
      <c r="L329" s="23"/>
      <c r="M329" s="23"/>
      <c r="N329" s="16"/>
      <c r="O329" s="24"/>
      <c r="P329" s="24"/>
      <c r="Q329" s="24"/>
      <c r="R329" s="24"/>
      <c r="S329" s="24"/>
      <c r="T329" s="24"/>
      <c r="U329" s="24"/>
      <c r="V329" s="24"/>
      <c r="W329" s="24"/>
      <c r="X329" s="24"/>
      <c r="Y329" s="24"/>
      <c r="Z329" s="24"/>
    </row>
    <row r="330" spans="1:26">
      <c r="A330" s="21" t="s">
        <v>12663</v>
      </c>
      <c r="B330" s="23">
        <f>DEVON!D8</f>
        <v>104424</v>
      </c>
      <c r="C330" s="23">
        <f>DEVON!E8</f>
        <v>103381</v>
      </c>
      <c r="D330" s="23">
        <f>DEVON!F8</f>
        <v>103382</v>
      </c>
      <c r="E330" s="23">
        <f>DEVON!G8</f>
        <v>103526</v>
      </c>
      <c r="F330" s="23">
        <f>DEVON!H8</f>
        <v>96974</v>
      </c>
      <c r="G330" s="23">
        <f>DEVON!I8</f>
        <v>102056</v>
      </c>
      <c r="H330" s="23">
        <f>DEVON!J8</f>
        <v>107456</v>
      </c>
      <c r="I330" s="23">
        <f>DEVON!K8</f>
        <v>112596</v>
      </c>
      <c r="J330" s="23">
        <f>DEVON!L8</f>
        <v>114428</v>
      </c>
      <c r="K330" s="23">
        <f>DEVON!M8</f>
        <v>117120</v>
      </c>
      <c r="L330" s="23">
        <f>DEVON!N8</f>
        <v>118919</v>
      </c>
      <c r="M330" s="23">
        <f>DEVON!O8</f>
        <v>119865</v>
      </c>
      <c r="N330" s="16"/>
      <c r="O330" s="24">
        <f t="shared" ref="O330:O341" si="233">B330/B$451</f>
        <v>1.3752304693673287</v>
      </c>
      <c r="P330" s="24">
        <f t="shared" ref="P330:P341" si="234">C330/C$451</f>
        <v>1.3488994141516943</v>
      </c>
      <c r="Q330" s="24">
        <f t="shared" ref="Q330:Q341" si="235">D330/D$451</f>
        <v>1.3412124907564769</v>
      </c>
      <c r="R330" s="24">
        <f t="shared" ref="R330:R341" si="236">E330/E$451</f>
        <v>1.3359227811185381</v>
      </c>
      <c r="S330" s="24">
        <f t="shared" ref="S330:S341" si="237">F330/F$451</f>
        <v>1.2572147172453134</v>
      </c>
      <c r="T330" s="24">
        <f t="shared" ref="T330:T341" si="238">G330/G$451</f>
        <v>1.3468472035262755</v>
      </c>
      <c r="U330" s="24">
        <f t="shared" ref="U330:U341" si="239">H330/H$451</f>
        <v>1.437173159999465</v>
      </c>
      <c r="V330" s="24">
        <f t="shared" ref="V330:V341" si="240">I330/I$451</f>
        <v>1.4715545971378161</v>
      </c>
      <c r="W330" s="24">
        <f t="shared" ref="W330:W341" si="241">J330/J$451</f>
        <v>1.4831309216751132</v>
      </c>
      <c r="X330" s="24">
        <f t="shared" ref="X330:X341" si="242">K330/K$451</f>
        <v>1.5303402498301364</v>
      </c>
      <c r="Y330" s="24">
        <f t="shared" ref="Y330:Z341" si="243">L330/L$451</f>
        <v>1.6377095010535303</v>
      </c>
      <c r="Z330" s="24">
        <f t="shared" si="243"/>
        <v>1.6331939013257395</v>
      </c>
    </row>
    <row r="331" spans="1:26">
      <c r="A331" s="21" t="s">
        <v>2351</v>
      </c>
      <c r="B331" s="23">
        <f>DEVON!D9</f>
        <v>84910</v>
      </c>
      <c r="C331" s="23">
        <f>DEVON!E9</f>
        <v>85924</v>
      </c>
      <c r="D331" s="23">
        <f>DEVON!F9</f>
        <v>87388</v>
      </c>
      <c r="E331" s="23">
        <f>DEVON!G9</f>
        <v>87289</v>
      </c>
      <c r="F331" s="23">
        <f>DEVON!H9</f>
        <v>88519</v>
      </c>
      <c r="G331" s="23">
        <f>DEVON!I9</f>
        <v>83742</v>
      </c>
      <c r="H331" s="23">
        <f>DEVON!J9</f>
        <v>81231</v>
      </c>
      <c r="I331" s="23">
        <f>DEVON!K9</f>
        <v>83654</v>
      </c>
      <c r="J331" s="23">
        <f>DEVON!L9</f>
        <v>85456</v>
      </c>
      <c r="K331" s="23">
        <f>DEVON!M9</f>
        <v>85955</v>
      </c>
      <c r="L331" s="23">
        <f>DEVON!N9</f>
        <v>92506</v>
      </c>
      <c r="M331" s="23">
        <f>DEVON!O9</f>
        <v>92188</v>
      </c>
      <c r="N331" s="16"/>
      <c r="O331" s="24">
        <f t="shared" si="233"/>
        <v>1.1182373702786703</v>
      </c>
      <c r="P331" s="24">
        <f t="shared" si="234"/>
        <v>1.1211231586226693</v>
      </c>
      <c r="Q331" s="24">
        <f t="shared" si="235"/>
        <v>1.1337164800664237</v>
      </c>
      <c r="R331" s="24">
        <f t="shared" si="236"/>
        <v>1.1263968823392778</v>
      </c>
      <c r="S331" s="24">
        <f t="shared" si="237"/>
        <v>1.1476002800321519</v>
      </c>
      <c r="T331" s="24">
        <f t="shared" si="238"/>
        <v>1.1051548024388314</v>
      </c>
      <c r="U331" s="24">
        <f t="shared" si="239"/>
        <v>1.0864261926734342</v>
      </c>
      <c r="V331" s="24">
        <f t="shared" si="240"/>
        <v>1.093301966934588</v>
      </c>
      <c r="W331" s="24">
        <f t="shared" si="241"/>
        <v>1.107617331795264</v>
      </c>
      <c r="X331" s="24">
        <f t="shared" si="242"/>
        <v>1.1231249673339256</v>
      </c>
      <c r="Y331" s="24">
        <f t="shared" si="243"/>
        <v>1.2739592084062084</v>
      </c>
      <c r="Z331" s="24">
        <f t="shared" si="243"/>
        <v>1.2560870927745154</v>
      </c>
    </row>
    <row r="332" spans="1:26">
      <c r="A332" s="21" t="s">
        <v>2352</v>
      </c>
      <c r="B332" s="23">
        <f>DEVON!D10</f>
        <v>59582</v>
      </c>
      <c r="C332" s="23">
        <f>DEVON!E10</f>
        <v>59274</v>
      </c>
      <c r="D332" s="23">
        <f>DEVON!F10</f>
        <v>59841</v>
      </c>
      <c r="E332" s="23">
        <f>DEVON!G10</f>
        <v>59912</v>
      </c>
      <c r="F332" s="23">
        <f>DEVON!H10</f>
        <v>59488</v>
      </c>
      <c r="G332" s="23">
        <f>DEVON!I10</f>
        <v>59038</v>
      </c>
      <c r="H332" s="23">
        <f>DEVON!J10</f>
        <v>57917</v>
      </c>
      <c r="I332" s="23">
        <f>DEVON!K10</f>
        <v>59306</v>
      </c>
      <c r="J332" s="23">
        <f>DEVON!L10</f>
        <v>62441</v>
      </c>
      <c r="K332" s="23">
        <f>DEVON!M10</f>
        <v>61261</v>
      </c>
      <c r="L332" s="23">
        <f>DEVON!N10</f>
        <v>61019</v>
      </c>
      <c r="M332" s="23">
        <f>DEVON!O10</f>
        <v>62983</v>
      </c>
      <c r="N332" s="16"/>
      <c r="O332" s="24">
        <f t="shared" si="233"/>
        <v>0.78467576252436388</v>
      </c>
      <c r="P332" s="24">
        <f t="shared" si="234"/>
        <v>0.77339805065173994</v>
      </c>
      <c r="Q332" s="24">
        <f t="shared" si="235"/>
        <v>0.77633917567234467</v>
      </c>
      <c r="R332" s="24">
        <f t="shared" si="236"/>
        <v>0.77311791880661729</v>
      </c>
      <c r="S332" s="24">
        <f t="shared" si="237"/>
        <v>0.77122928928877021</v>
      </c>
      <c r="T332" s="24">
        <f t="shared" si="238"/>
        <v>0.77913268403410141</v>
      </c>
      <c r="U332" s="24">
        <f t="shared" si="239"/>
        <v>0.77461247308376469</v>
      </c>
      <c r="V332" s="24">
        <f t="shared" si="240"/>
        <v>0.77508985166307265</v>
      </c>
      <c r="W332" s="24">
        <f t="shared" si="241"/>
        <v>0.80931396057185079</v>
      </c>
      <c r="X332" s="24">
        <f t="shared" si="242"/>
        <v>0.80046255161239743</v>
      </c>
      <c r="Y332" s="24">
        <f t="shared" si="243"/>
        <v>0.84033162105958992</v>
      </c>
      <c r="Z332" s="24">
        <f t="shared" si="243"/>
        <v>0.85816086002752301</v>
      </c>
    </row>
    <row r="333" spans="1:26">
      <c r="A333" s="21" t="s">
        <v>2353</v>
      </c>
      <c r="B333" s="23">
        <f>DEVON!D11</f>
        <v>74408</v>
      </c>
      <c r="C333" s="23">
        <f>DEVON!E11</f>
        <v>75098</v>
      </c>
      <c r="D333" s="23">
        <f>DEVON!F11</f>
        <v>75353</v>
      </c>
      <c r="E333" s="23">
        <f>DEVON!G11</f>
        <v>75744</v>
      </c>
      <c r="F333" s="23">
        <f>DEVON!H11</f>
        <v>74228</v>
      </c>
      <c r="G333" s="23">
        <f>DEVON!I11</f>
        <v>73358</v>
      </c>
      <c r="H333" s="23">
        <f>DEVON!J11</f>
        <v>73240</v>
      </c>
      <c r="I333" s="23">
        <f>DEVON!K11</f>
        <v>75489</v>
      </c>
      <c r="J333" s="23">
        <f>DEVON!L11</f>
        <v>74101</v>
      </c>
      <c r="K333" s="23">
        <f>DEVON!M11</f>
        <v>73462</v>
      </c>
      <c r="L333" s="23">
        <f>DEVON!N11</f>
        <v>74112</v>
      </c>
      <c r="M333" s="23">
        <f>DEVON!O11</f>
        <v>76455</v>
      </c>
      <c r="N333" s="16"/>
      <c r="O333" s="24">
        <f t="shared" si="233"/>
        <v>0.97992941052520677</v>
      </c>
      <c r="P333" s="24">
        <f t="shared" si="234"/>
        <v>0.97986717292310899</v>
      </c>
      <c r="Q333" s="24">
        <f t="shared" si="235"/>
        <v>0.97758202410451345</v>
      </c>
      <c r="R333" s="24">
        <f t="shared" si="236"/>
        <v>0.97741760652437604</v>
      </c>
      <c r="S333" s="24">
        <f t="shared" si="237"/>
        <v>0.96232530401638705</v>
      </c>
      <c r="T333" s="24">
        <f t="shared" si="238"/>
        <v>0.96811571251352702</v>
      </c>
      <c r="U333" s="24">
        <f t="shared" si="239"/>
        <v>0.97955034840642508</v>
      </c>
      <c r="V333" s="24">
        <f t="shared" si="240"/>
        <v>0.98659086453636546</v>
      </c>
      <c r="W333" s="24">
        <f t="shared" si="241"/>
        <v>0.96044223815016916</v>
      </c>
      <c r="X333" s="24">
        <f t="shared" si="242"/>
        <v>0.95988606073276539</v>
      </c>
      <c r="Y333" s="24">
        <f t="shared" si="243"/>
        <v>1.0206436863922439</v>
      </c>
      <c r="Z333" s="24">
        <f t="shared" si="243"/>
        <v>1.0417206000572261</v>
      </c>
    </row>
    <row r="334" spans="1:26">
      <c r="A334" s="21" t="s">
        <v>2354</v>
      </c>
      <c r="B334" s="23">
        <f>DEVON!D12</f>
        <v>68490</v>
      </c>
      <c r="C334" s="23">
        <f>DEVON!E12</f>
        <v>68283</v>
      </c>
      <c r="D334" s="23">
        <f>DEVON!F12</f>
        <v>68020</v>
      </c>
      <c r="E334" s="23">
        <f>DEVON!G12</f>
        <v>68347</v>
      </c>
      <c r="F334" s="23">
        <f>DEVON!H12</f>
        <v>68002</v>
      </c>
      <c r="G334" s="23">
        <f>DEVON!I12</f>
        <v>67311</v>
      </c>
      <c r="H334" s="23">
        <f>DEVON!J12</f>
        <v>65782</v>
      </c>
      <c r="I334" s="23">
        <f>DEVON!K12</f>
        <v>67245</v>
      </c>
      <c r="J334" s="23">
        <f>DEVON!L12</f>
        <v>67313</v>
      </c>
      <c r="K334" s="23">
        <f>DEVON!M12</f>
        <v>66473</v>
      </c>
      <c r="L334" s="23">
        <f>DEVON!N12</f>
        <v>70146</v>
      </c>
      <c r="M334" s="23">
        <f>DEVON!O12</f>
        <v>69785</v>
      </c>
      <c r="N334" s="16"/>
      <c r="O334" s="24">
        <f t="shared" si="233"/>
        <v>0.9019912553337196</v>
      </c>
      <c r="P334" s="24">
        <f t="shared" si="234"/>
        <v>0.89094609934630287</v>
      </c>
      <c r="Q334" s="24">
        <f t="shared" si="235"/>
        <v>0.88244833357117836</v>
      </c>
      <c r="R334" s="24">
        <f t="shared" si="236"/>
        <v>0.88196505535912462</v>
      </c>
      <c r="S334" s="24">
        <f t="shared" si="237"/>
        <v>0.88160862913890115</v>
      </c>
      <c r="T334" s="24">
        <f t="shared" si="238"/>
        <v>0.88831261382532267</v>
      </c>
      <c r="U334" s="24">
        <f t="shared" si="239"/>
        <v>0.87980312696438367</v>
      </c>
      <c r="V334" s="24">
        <f t="shared" si="240"/>
        <v>0.87884728484610863</v>
      </c>
      <c r="W334" s="24">
        <f t="shared" si="241"/>
        <v>0.87246121343304861</v>
      </c>
      <c r="X334" s="24">
        <f t="shared" si="242"/>
        <v>0.8685647833585951</v>
      </c>
      <c r="Y334" s="24">
        <f t="shared" si="243"/>
        <v>0.96602536735846201</v>
      </c>
      <c r="Z334" s="24">
        <f t="shared" si="243"/>
        <v>0.95083999836496669</v>
      </c>
    </row>
    <row r="335" spans="1:26">
      <c r="A335" s="21" t="s">
        <v>2355</v>
      </c>
      <c r="B335" s="23">
        <f>DEVON!D13</f>
        <v>101385</v>
      </c>
      <c r="C335" s="23">
        <f>DEVON!E13</f>
        <v>101677</v>
      </c>
      <c r="D335" s="23">
        <f>DEVON!F13</f>
        <v>102062</v>
      </c>
      <c r="E335" s="23">
        <f>DEVON!G13</f>
        <v>102475</v>
      </c>
      <c r="F335" s="23">
        <f>DEVON!H13</f>
        <v>103042</v>
      </c>
      <c r="G335" s="23">
        <f>DEVON!I13</f>
        <v>101328</v>
      </c>
      <c r="H335" s="23">
        <f>DEVON!J13</f>
        <v>99599</v>
      </c>
      <c r="I335" s="23">
        <f>DEVON!K13</f>
        <v>102036</v>
      </c>
      <c r="J335" s="23">
        <f>DEVON!L13</f>
        <v>103295</v>
      </c>
      <c r="K335" s="23">
        <f>DEVON!M13</f>
        <v>102452</v>
      </c>
      <c r="L335" s="23">
        <f>DEVON!N13</f>
        <v>103031</v>
      </c>
      <c r="M335" s="23">
        <f>DEVON!O13</f>
        <v>106425</v>
      </c>
      <c r="N335" s="16"/>
      <c r="O335" s="24">
        <f t="shared" si="233"/>
        <v>1.3352078175209399</v>
      </c>
      <c r="P335" s="24">
        <f t="shared" si="234"/>
        <v>1.3266658837958796</v>
      </c>
      <c r="Q335" s="24">
        <f t="shared" si="235"/>
        <v>1.3240876480585357</v>
      </c>
      <c r="R335" s="24">
        <f t="shared" si="236"/>
        <v>1.3223604408083207</v>
      </c>
      <c r="S335" s="24">
        <f t="shared" si="237"/>
        <v>1.3358830087898981</v>
      </c>
      <c r="T335" s="24">
        <f t="shared" si="238"/>
        <v>1.3372396864359808</v>
      </c>
      <c r="U335" s="24">
        <f t="shared" si="239"/>
        <v>1.332089502333855</v>
      </c>
      <c r="V335" s="24">
        <f t="shared" si="240"/>
        <v>1.3335424426583022</v>
      </c>
      <c r="W335" s="24">
        <f t="shared" si="241"/>
        <v>1.3388332274830532</v>
      </c>
      <c r="X335" s="24">
        <f t="shared" si="242"/>
        <v>1.3386818585689646</v>
      </c>
      <c r="Y335" s="24">
        <f t="shared" si="243"/>
        <v>1.4189057055899081</v>
      </c>
      <c r="Z335" s="24">
        <f t="shared" si="243"/>
        <v>1.4500701701797174</v>
      </c>
    </row>
    <row r="336" spans="1:26">
      <c r="A336" s="21" t="s">
        <v>2356</v>
      </c>
      <c r="B336" s="23">
        <f>DEVON!D14</f>
        <v>50482</v>
      </c>
      <c r="C336" s="23">
        <f>DEVON!E14</f>
        <v>50920</v>
      </c>
      <c r="D336" s="23">
        <f>DEVON!F14</f>
        <v>51235</v>
      </c>
      <c r="E336" s="23">
        <f>DEVON!G14</f>
        <v>51915</v>
      </c>
      <c r="F336" s="23">
        <f>DEVON!H14</f>
        <v>51695</v>
      </c>
      <c r="G336" s="23">
        <f>DEVON!I14</f>
        <v>51119</v>
      </c>
      <c r="H336" s="23">
        <f>DEVON!J14</f>
        <v>51061</v>
      </c>
      <c r="I336" s="23">
        <f>DEVON!K14</f>
        <v>52193</v>
      </c>
      <c r="J336" s="23">
        <f>DEVON!L14</f>
        <v>52558</v>
      </c>
      <c r="K336" s="23">
        <f>DEVON!M14</f>
        <v>52351</v>
      </c>
      <c r="L336" s="23">
        <f>DEVON!N14</f>
        <v>52792</v>
      </c>
      <c r="M336" s="23">
        <f>DEVON!O14</f>
        <v>53777</v>
      </c>
      <c r="N336" s="16"/>
      <c r="O336" s="24">
        <f t="shared" si="233"/>
        <v>0.66483169151345944</v>
      </c>
      <c r="P336" s="24">
        <f t="shared" si="234"/>
        <v>0.66439634138385462</v>
      </c>
      <c r="Q336" s="24">
        <f t="shared" si="235"/>
        <v>0.66469039062804058</v>
      </c>
      <c r="R336" s="24">
        <f t="shared" si="236"/>
        <v>0.66992283273543762</v>
      </c>
      <c r="S336" s="24">
        <f t="shared" si="237"/>
        <v>0.67019731895143519</v>
      </c>
      <c r="T336" s="24">
        <f t="shared" si="238"/>
        <v>0.67462454139942463</v>
      </c>
      <c r="U336" s="24">
        <f t="shared" si="239"/>
        <v>0.68291671682114241</v>
      </c>
      <c r="V336" s="24">
        <f t="shared" si="240"/>
        <v>0.68212768738155916</v>
      </c>
      <c r="W336" s="24">
        <f t="shared" si="241"/>
        <v>0.68121783987660878</v>
      </c>
      <c r="X336" s="24">
        <f t="shared" si="242"/>
        <v>0.68404066272931585</v>
      </c>
      <c r="Y336" s="24">
        <f t="shared" si="243"/>
        <v>0.72703234957927643</v>
      </c>
      <c r="Z336" s="24">
        <f t="shared" si="243"/>
        <v>0.73272655430354394</v>
      </c>
    </row>
    <row r="337" spans="1:26">
      <c r="A337" s="21" t="s">
        <v>2357</v>
      </c>
      <c r="B337" s="23">
        <f>DEVON!D15</f>
        <v>41693</v>
      </c>
      <c r="C337" s="23">
        <f>DEVON!E15</f>
        <v>42445</v>
      </c>
      <c r="D337" s="23">
        <f>DEVON!F15</f>
        <v>43199</v>
      </c>
      <c r="E337" s="23">
        <f>DEVON!G15</f>
        <v>43393</v>
      </c>
      <c r="F337" s="23">
        <f>DEVON!H15</f>
        <v>42875</v>
      </c>
      <c r="G337" s="23">
        <f>DEVON!I15</f>
        <v>42533</v>
      </c>
      <c r="H337" s="23">
        <f>DEVON!J15</f>
        <v>41773</v>
      </c>
      <c r="I337" s="23">
        <f>DEVON!K15</f>
        <v>43140</v>
      </c>
      <c r="J337" s="23">
        <f>DEVON!L15</f>
        <v>43278</v>
      </c>
      <c r="K337" s="23">
        <f>DEVON!M15</f>
        <v>42390</v>
      </c>
      <c r="L337" s="23">
        <f>DEVON!N15</f>
        <v>42892</v>
      </c>
      <c r="M337" s="23">
        <f>DEVON!O15</f>
        <v>44092</v>
      </c>
      <c r="N337" s="16"/>
      <c r="O337" s="24">
        <f t="shared" si="233"/>
        <v>0.54908339040193854</v>
      </c>
      <c r="P337" s="24">
        <f t="shared" si="234"/>
        <v>0.55381584269516315</v>
      </c>
      <c r="Q337" s="24">
        <f t="shared" si="235"/>
        <v>0.56043642402148386</v>
      </c>
      <c r="R337" s="24">
        <f t="shared" si="236"/>
        <v>0.5599530286215707</v>
      </c>
      <c r="S337" s="24">
        <f t="shared" si="237"/>
        <v>0.55585085695024239</v>
      </c>
      <c r="T337" s="24">
        <f t="shared" si="238"/>
        <v>0.56131390714493101</v>
      </c>
      <c r="U337" s="24">
        <f t="shared" si="239"/>
        <v>0.55869411119581647</v>
      </c>
      <c r="V337" s="24">
        <f t="shared" si="240"/>
        <v>0.56381101744755935</v>
      </c>
      <c r="W337" s="24">
        <f t="shared" si="241"/>
        <v>0.56093735823623192</v>
      </c>
      <c r="X337" s="24">
        <f t="shared" si="242"/>
        <v>0.55388595620132752</v>
      </c>
      <c r="Y337" s="24">
        <f t="shared" si="243"/>
        <v>0.59069312657513118</v>
      </c>
      <c r="Z337" s="24">
        <f t="shared" si="243"/>
        <v>0.60076574060196475</v>
      </c>
    </row>
    <row r="338" spans="1:26">
      <c r="A338" s="21" t="s">
        <v>2291</v>
      </c>
      <c r="B338" s="23">
        <f t="shared" ref="B338:G338" si="244">SUM(B330:B337)</f>
        <v>585374</v>
      </c>
      <c r="C338" s="23">
        <f t="shared" si="244"/>
        <v>587002</v>
      </c>
      <c r="D338" s="23">
        <f t="shared" si="244"/>
        <v>590480</v>
      </c>
      <c r="E338" s="23">
        <f t="shared" si="244"/>
        <v>592601</v>
      </c>
      <c r="F338" s="23">
        <f t="shared" si="244"/>
        <v>584823</v>
      </c>
      <c r="G338" s="23">
        <f t="shared" si="244"/>
        <v>580485</v>
      </c>
      <c r="H338" s="23">
        <f t="shared" ref="H338:M338" si="245">SUM(H330:H337)</f>
        <v>578059</v>
      </c>
      <c r="I338" s="23">
        <f t="shared" si="245"/>
        <v>595659</v>
      </c>
      <c r="J338" s="23">
        <f t="shared" si="245"/>
        <v>602870</v>
      </c>
      <c r="K338" s="23">
        <f t="shared" si="245"/>
        <v>601464</v>
      </c>
      <c r="L338" s="23">
        <f t="shared" si="245"/>
        <v>615417</v>
      </c>
      <c r="M338" s="23">
        <f t="shared" si="245"/>
        <v>625570</v>
      </c>
      <c r="N338" s="16"/>
      <c r="O338" s="24">
        <f t="shared" si="233"/>
        <v>7.7091871674656272</v>
      </c>
      <c r="P338" s="24">
        <f t="shared" si="234"/>
        <v>7.659111963570413</v>
      </c>
      <c r="Q338" s="24">
        <f t="shared" si="235"/>
        <v>7.6605129668789971</v>
      </c>
      <c r="R338" s="24">
        <f t="shared" si="236"/>
        <v>7.6470565463132631</v>
      </c>
      <c r="S338" s="24">
        <f t="shared" si="237"/>
        <v>7.581909404413099</v>
      </c>
      <c r="T338" s="24">
        <f t="shared" si="238"/>
        <v>7.6607411513183941</v>
      </c>
      <c r="U338" s="24">
        <f t="shared" si="239"/>
        <v>7.7312656314782862</v>
      </c>
      <c r="V338" s="24">
        <f t="shared" si="240"/>
        <v>7.7848657126053711</v>
      </c>
      <c r="W338" s="24">
        <f t="shared" si="241"/>
        <v>7.8139540912213397</v>
      </c>
      <c r="X338" s="24">
        <f t="shared" si="242"/>
        <v>7.8589870903674282</v>
      </c>
      <c r="Y338" s="24">
        <f t="shared" si="243"/>
        <v>8.4753005660143508</v>
      </c>
      <c r="Z338" s="24">
        <f t="shared" si="243"/>
        <v>8.5235649176351966</v>
      </c>
    </row>
    <row r="339" spans="1:26">
      <c r="A339" s="21" t="s">
        <v>2292</v>
      </c>
      <c r="B339" s="23">
        <f>DEVON!D4</f>
        <v>179541</v>
      </c>
      <c r="C339" s="23">
        <f>DEVON!E4</f>
        <v>182688</v>
      </c>
      <c r="D339" s="23">
        <f>DEVON!F4</f>
        <v>178511</v>
      </c>
      <c r="E339" s="23">
        <f>DEVON!G4</f>
        <v>180278</v>
      </c>
      <c r="F339" s="23">
        <f>DEVON!H4</f>
        <v>178524</v>
      </c>
      <c r="G339" s="23">
        <f>DEVON!I4</f>
        <v>174034</v>
      </c>
      <c r="H339" s="23">
        <f>DEVON!J4</f>
        <v>176755</v>
      </c>
      <c r="I339" s="23">
        <f>DEVON!K4</f>
        <v>180356</v>
      </c>
      <c r="J339" s="23">
        <f>DEVON!L4</f>
        <v>183050</v>
      </c>
      <c r="K339" s="23">
        <f>DEVON!M4</f>
        <v>182454</v>
      </c>
      <c r="L339" s="23">
        <f>DEVON!N4</f>
        <v>191014</v>
      </c>
      <c r="M339" s="23">
        <f>DEVON!O4</f>
        <v>191011</v>
      </c>
      <c r="N339" s="16"/>
      <c r="O339" s="24">
        <f t="shared" si="233"/>
        <v>2.3644971816888796</v>
      </c>
      <c r="P339" s="24">
        <f t="shared" si="234"/>
        <v>2.3836849727952401</v>
      </c>
      <c r="Q339" s="24">
        <f t="shared" si="235"/>
        <v>2.3158884809486127</v>
      </c>
      <c r="R339" s="24">
        <f t="shared" si="236"/>
        <v>2.3263478462848735</v>
      </c>
      <c r="S339" s="24">
        <f t="shared" si="237"/>
        <v>2.3144657349547542</v>
      </c>
      <c r="T339" s="24">
        <f t="shared" si="238"/>
        <v>2.2967508644125951</v>
      </c>
      <c r="U339" s="24">
        <f t="shared" si="239"/>
        <v>2.3640144979871338</v>
      </c>
      <c r="V339" s="24">
        <f t="shared" si="240"/>
        <v>2.3571325883813632</v>
      </c>
      <c r="W339" s="24">
        <f t="shared" si="241"/>
        <v>2.3725584228740297</v>
      </c>
      <c r="X339" s="24">
        <f t="shared" si="242"/>
        <v>2.3840223697276954</v>
      </c>
      <c r="Y339" s="24">
        <f t="shared" si="243"/>
        <v>2.6305757922135156</v>
      </c>
      <c r="Z339" s="24">
        <f t="shared" si="243"/>
        <v>2.602577902524764</v>
      </c>
    </row>
    <row r="340" spans="1:26">
      <c r="A340" s="21" t="s">
        <v>3714</v>
      </c>
      <c r="B340" s="23">
        <f>DEVON!D5</f>
        <v>103442</v>
      </c>
      <c r="C340" s="23">
        <f>DEVON!E5</f>
        <v>103358</v>
      </c>
      <c r="D340" s="23">
        <f>DEVON!F5</f>
        <v>103991</v>
      </c>
      <c r="E340" s="23">
        <f>DEVON!G5</f>
        <v>105363</v>
      </c>
      <c r="F340" s="23">
        <f>DEVON!H5</f>
        <v>106330</v>
      </c>
      <c r="G340" s="23">
        <f>DEVON!I5</f>
        <v>103113</v>
      </c>
      <c r="H340" s="23">
        <f>DEVON!J5</f>
        <v>97951</v>
      </c>
      <c r="I340" s="23">
        <f>DEVON!K5</f>
        <v>100267</v>
      </c>
      <c r="J340" s="23">
        <f>DEVON!L5</f>
        <v>101796</v>
      </c>
      <c r="K340" s="23">
        <f>DEVON!M5</f>
        <v>98918</v>
      </c>
      <c r="L340" s="23">
        <f>DEVON!N5</f>
        <v>103099</v>
      </c>
      <c r="M340" s="23">
        <f>DEVON!O5</f>
        <v>102873</v>
      </c>
      <c r="N340" s="16"/>
      <c r="O340" s="24">
        <f t="shared" si="233"/>
        <v>1.3622978454406574</v>
      </c>
      <c r="P340" s="24">
        <f t="shared" si="234"/>
        <v>1.3485993136832766</v>
      </c>
      <c r="Q340" s="24">
        <f t="shared" si="235"/>
        <v>1.3491132704557542</v>
      </c>
      <c r="R340" s="24">
        <f t="shared" si="236"/>
        <v>1.3596278421555217</v>
      </c>
      <c r="S340" s="24">
        <f t="shared" si="237"/>
        <v>1.3785101252366012</v>
      </c>
      <c r="T340" s="24">
        <f t="shared" si="238"/>
        <v>1.3607965793016075</v>
      </c>
      <c r="U340" s="24">
        <f t="shared" si="239"/>
        <v>1.3100482820420227</v>
      </c>
      <c r="V340" s="24">
        <f t="shared" si="240"/>
        <v>1.3104227929164216</v>
      </c>
      <c r="W340" s="24">
        <f t="shared" si="241"/>
        <v>1.319404300545669</v>
      </c>
      <c r="X340" s="24">
        <f t="shared" si="242"/>
        <v>1.2925050959075941</v>
      </c>
      <c r="Y340" s="24">
        <f t="shared" si="243"/>
        <v>1.4198421770206437</v>
      </c>
      <c r="Z340" s="24">
        <f t="shared" si="243"/>
        <v>1.4016731840911258</v>
      </c>
    </row>
    <row r="341" spans="1:26">
      <c r="A341" s="25" t="s">
        <v>3715</v>
      </c>
      <c r="B341" s="23">
        <f t="shared" ref="B341:G341" si="246">SUM(B338:B340)</f>
        <v>868357</v>
      </c>
      <c r="C341" s="23">
        <f t="shared" si="246"/>
        <v>873048</v>
      </c>
      <c r="D341" s="23">
        <f t="shared" si="246"/>
        <v>872982</v>
      </c>
      <c r="E341" s="23">
        <f t="shared" si="246"/>
        <v>878242</v>
      </c>
      <c r="F341" s="23">
        <f t="shared" si="246"/>
        <v>869677</v>
      </c>
      <c r="G341" s="23">
        <f t="shared" si="246"/>
        <v>857632</v>
      </c>
      <c r="H341" s="23">
        <f t="shared" ref="H341:M341" si="247">SUM(H338:H340)</f>
        <v>852765</v>
      </c>
      <c r="I341" s="23">
        <f t="shared" si="247"/>
        <v>876282</v>
      </c>
      <c r="J341" s="23">
        <f t="shared" si="247"/>
        <v>887716</v>
      </c>
      <c r="K341" s="23">
        <f t="shared" si="247"/>
        <v>882836</v>
      </c>
      <c r="L341" s="23">
        <f t="shared" si="247"/>
        <v>909530</v>
      </c>
      <c r="M341" s="23">
        <f t="shared" si="247"/>
        <v>919454</v>
      </c>
      <c r="N341" s="16"/>
      <c r="O341" s="24">
        <f t="shared" si="233"/>
        <v>11.435982194595164</v>
      </c>
      <c r="P341" s="24">
        <f t="shared" si="234"/>
        <v>11.391396250048929</v>
      </c>
      <c r="Q341" s="24">
        <f t="shared" si="235"/>
        <v>11.325514718283364</v>
      </c>
      <c r="R341" s="24">
        <f t="shared" si="236"/>
        <v>11.333032234753658</v>
      </c>
      <c r="S341" s="24">
        <f t="shared" si="237"/>
        <v>11.274885264604455</v>
      </c>
      <c r="T341" s="24">
        <f t="shared" si="238"/>
        <v>11.318288595032596</v>
      </c>
      <c r="U341" s="24">
        <f t="shared" si="239"/>
        <v>11.405328411507442</v>
      </c>
      <c r="V341" s="24">
        <f t="shared" si="240"/>
        <v>11.452421093903157</v>
      </c>
      <c r="W341" s="24">
        <f t="shared" si="241"/>
        <v>11.505916814641038</v>
      </c>
      <c r="X341" s="24">
        <f t="shared" si="242"/>
        <v>11.535514556002719</v>
      </c>
      <c r="Y341" s="24">
        <f t="shared" si="243"/>
        <v>12.52571853524851</v>
      </c>
      <c r="Z341" s="24">
        <f t="shared" si="243"/>
        <v>12.527816004251086</v>
      </c>
    </row>
    <row r="342" spans="1:26">
      <c r="A342" s="21"/>
      <c r="B342" s="23"/>
      <c r="C342" s="23"/>
      <c r="D342" s="23"/>
      <c r="E342" s="23"/>
      <c r="F342" s="23"/>
      <c r="G342" s="23"/>
      <c r="H342" s="23"/>
      <c r="I342" s="23"/>
      <c r="J342" s="23"/>
      <c r="K342" s="23"/>
      <c r="L342" s="23"/>
      <c r="M342" s="23"/>
      <c r="N342" s="16"/>
      <c r="O342" s="24"/>
      <c r="P342" s="24"/>
      <c r="Q342" s="24"/>
      <c r="R342" s="24"/>
      <c r="S342" s="24"/>
      <c r="T342" s="24"/>
      <c r="U342" s="24"/>
      <c r="V342" s="24"/>
      <c r="W342" s="24"/>
      <c r="X342" s="24"/>
      <c r="Y342" s="24"/>
      <c r="Z342" s="24"/>
    </row>
    <row r="343" spans="1:26">
      <c r="A343" s="21" t="s">
        <v>13197</v>
      </c>
      <c r="B343" s="23">
        <f>DORSET!D4</f>
        <v>291487</v>
      </c>
      <c r="C343" s="23">
        <f>DORSET!E4</f>
        <v>290460</v>
      </c>
      <c r="D343" s="23">
        <f>DORSET!F4</f>
        <v>291885</v>
      </c>
      <c r="E343" s="23">
        <f>DORSET!G4</f>
        <v>293380</v>
      </c>
      <c r="F343" s="23">
        <f>DORSET!H4</f>
        <v>291411</v>
      </c>
      <c r="G343" s="23">
        <f>DORSET!I4</f>
        <v>287131</v>
      </c>
      <c r="H343" s="23">
        <f>DORSET!J4</f>
        <v>279119</v>
      </c>
      <c r="I343" s="23">
        <f>DORSET!K4</f>
        <v>290757</v>
      </c>
      <c r="J343" s="23">
        <f>DORSET!L4</f>
        <v>291649</v>
      </c>
      <c r="K343" s="23">
        <f>DORSET!M4</f>
        <v>289437</v>
      </c>
      <c r="L343" s="23">
        <f>DORSET!N4</f>
        <v>304249</v>
      </c>
      <c r="M343" s="23">
        <f>DORSET!O4</f>
        <v>299712</v>
      </c>
      <c r="N343" s="16"/>
      <c r="O343" s="24">
        <f t="shared" ref="O343:X345" si="248">B343/B$451</f>
        <v>3.838789969973134</v>
      </c>
      <c r="P343" s="24">
        <f t="shared" si="248"/>
        <v>3.789877480721807</v>
      </c>
      <c r="Q343" s="24">
        <f t="shared" si="248"/>
        <v>3.7867308415822318</v>
      </c>
      <c r="R343" s="24">
        <f t="shared" si="248"/>
        <v>3.7858414845020261</v>
      </c>
      <c r="S343" s="24">
        <f t="shared" si="248"/>
        <v>3.7779837685067545</v>
      </c>
      <c r="T343" s="24">
        <f t="shared" si="248"/>
        <v>3.7893076780953887</v>
      </c>
      <c r="U343" s="24">
        <f t="shared" si="248"/>
        <v>3.7330845671334378</v>
      </c>
      <c r="V343" s="24">
        <f t="shared" si="248"/>
        <v>3.8</v>
      </c>
      <c r="W343" s="24">
        <f t="shared" si="248"/>
        <v>3.780138167018781</v>
      </c>
      <c r="X343" s="24">
        <f t="shared" si="248"/>
        <v>3.7819082213975852</v>
      </c>
      <c r="Y343" s="24">
        <f t="shared" ref="Y343:Z345" si="249">L343/L$451</f>
        <v>4.1900072989685047</v>
      </c>
      <c r="Z343" s="24">
        <f t="shared" si="249"/>
        <v>4.0836592045562927</v>
      </c>
    </row>
    <row r="344" spans="1:26">
      <c r="A344" s="21" t="s">
        <v>13198</v>
      </c>
      <c r="B344" s="23">
        <f>DORSET!D3</f>
        <v>281161</v>
      </c>
      <c r="C344" s="23">
        <f>DORSET!E3</f>
        <v>284989</v>
      </c>
      <c r="D344" s="23">
        <f>DORSET!F3</f>
        <v>286104</v>
      </c>
      <c r="E344" s="23">
        <f>DORSET!G3</f>
        <v>287169</v>
      </c>
      <c r="F344" s="23">
        <f>DORSET!H3</f>
        <v>285033</v>
      </c>
      <c r="G344" s="23">
        <f>DORSET!I3</f>
        <v>277442</v>
      </c>
      <c r="H344" s="23">
        <f>DORSET!J3</f>
        <v>276641</v>
      </c>
      <c r="I344" s="23">
        <f>DORSET!K3</f>
        <v>283546</v>
      </c>
      <c r="J344" s="23">
        <f>DORSET!L3</f>
        <v>284702</v>
      </c>
      <c r="K344" s="23">
        <f>DORSET!M3</f>
        <v>280831</v>
      </c>
      <c r="L344" s="23">
        <f>DORSET!N3</f>
        <v>291415</v>
      </c>
      <c r="M344" s="23">
        <f>DORSET!O3</f>
        <v>287759</v>
      </c>
      <c r="N344" s="16"/>
      <c r="O344" s="24">
        <f t="shared" si="248"/>
        <v>3.7027998735710899</v>
      </c>
      <c r="P344" s="24">
        <f t="shared" si="248"/>
        <v>3.7184927127777558</v>
      </c>
      <c r="Q344" s="24">
        <f t="shared" si="248"/>
        <v>3.7117318145846578</v>
      </c>
      <c r="R344" s="24">
        <f t="shared" si="248"/>
        <v>3.7056933440008257</v>
      </c>
      <c r="S344" s="24">
        <f t="shared" si="248"/>
        <v>3.6952964970052116</v>
      </c>
      <c r="T344" s="24">
        <f t="shared" si="248"/>
        <v>3.6614405996779897</v>
      </c>
      <c r="U344" s="24">
        <f t="shared" si="248"/>
        <v>3.6999424895344326</v>
      </c>
      <c r="V344" s="24">
        <f t="shared" si="248"/>
        <v>3.7057570411030518</v>
      </c>
      <c r="W344" s="24">
        <f t="shared" si="248"/>
        <v>3.690096302152865</v>
      </c>
      <c r="X344" s="24">
        <f t="shared" si="248"/>
        <v>3.6694585271520408</v>
      </c>
      <c r="Y344" s="24">
        <f t="shared" si="249"/>
        <v>4.0132620880558578</v>
      </c>
      <c r="Z344" s="24">
        <f t="shared" si="249"/>
        <v>3.9207962612238223</v>
      </c>
    </row>
    <row r="345" spans="1:26">
      <c r="A345" s="25" t="s">
        <v>16093</v>
      </c>
      <c r="B345" s="23">
        <f>SUM(B343:B344)</f>
        <v>572648</v>
      </c>
      <c r="C345" s="23">
        <f t="shared" ref="C345:L345" si="250">SUM(C343:C344)</f>
        <v>575449</v>
      </c>
      <c r="D345" s="23">
        <f t="shared" si="250"/>
        <v>577989</v>
      </c>
      <c r="E345" s="23">
        <f t="shared" si="250"/>
        <v>580549</v>
      </c>
      <c r="F345" s="23">
        <f t="shared" si="250"/>
        <v>576444</v>
      </c>
      <c r="G345" s="23">
        <f t="shared" si="250"/>
        <v>564573</v>
      </c>
      <c r="H345" s="23">
        <f t="shared" si="250"/>
        <v>555760</v>
      </c>
      <c r="I345" s="23">
        <f t="shared" si="250"/>
        <v>574303</v>
      </c>
      <c r="J345" s="23">
        <f t="shared" si="250"/>
        <v>576351</v>
      </c>
      <c r="K345" s="23">
        <f t="shared" si="250"/>
        <v>570268</v>
      </c>
      <c r="L345" s="23">
        <f t="shared" si="250"/>
        <v>595664</v>
      </c>
      <c r="M345" s="23">
        <f>SUM(M343:M344)</f>
        <v>587471</v>
      </c>
      <c r="N345" s="16"/>
      <c r="O345" s="24">
        <f t="shared" si="248"/>
        <v>7.5415898435442239</v>
      </c>
      <c r="P345" s="24">
        <f t="shared" si="248"/>
        <v>7.5083701934995632</v>
      </c>
      <c r="Q345" s="24">
        <f t="shared" si="248"/>
        <v>7.4984626561668897</v>
      </c>
      <c r="R345" s="24">
        <f t="shared" si="248"/>
        <v>7.4915348285028518</v>
      </c>
      <c r="S345" s="24">
        <f t="shared" si="248"/>
        <v>7.4732802655119661</v>
      </c>
      <c r="T345" s="24">
        <f t="shared" si="248"/>
        <v>7.4507482777733784</v>
      </c>
      <c r="U345" s="24">
        <f t="shared" si="248"/>
        <v>7.4330270566678704</v>
      </c>
      <c r="V345" s="24">
        <f t="shared" si="248"/>
        <v>7.5057570411030516</v>
      </c>
      <c r="W345" s="24">
        <f t="shared" si="248"/>
        <v>7.470234469171646</v>
      </c>
      <c r="X345" s="24">
        <f t="shared" si="248"/>
        <v>7.451366748549626</v>
      </c>
      <c r="Y345" s="24">
        <f t="shared" si="249"/>
        <v>8.2032693870243616</v>
      </c>
      <c r="Z345" s="24">
        <f t="shared" si="249"/>
        <v>8.004455465780115</v>
      </c>
    </row>
    <row r="346" spans="1:26">
      <c r="A346" s="25"/>
      <c r="B346" s="23"/>
      <c r="C346" s="23"/>
      <c r="D346" s="23"/>
      <c r="E346" s="23"/>
      <c r="F346" s="23"/>
      <c r="G346" s="23"/>
      <c r="H346" s="23"/>
      <c r="I346" s="23"/>
      <c r="J346" s="23"/>
      <c r="K346" s="23"/>
      <c r="L346" s="23"/>
      <c r="M346" s="23"/>
      <c r="N346" s="16"/>
      <c r="O346" s="24"/>
      <c r="P346" s="24"/>
      <c r="Q346" s="24"/>
      <c r="R346" s="24"/>
      <c r="S346" s="24"/>
      <c r="T346" s="24"/>
      <c r="U346" s="24"/>
      <c r="V346" s="24"/>
      <c r="W346" s="24"/>
      <c r="X346" s="24"/>
      <c r="Y346" s="24"/>
      <c r="Z346" s="24"/>
    </row>
    <row r="347" spans="1:26">
      <c r="A347" s="21" t="s">
        <v>6751</v>
      </c>
      <c r="B347" s="23">
        <f>GLOUCESTERSHIRE!D5</f>
        <v>87489</v>
      </c>
      <c r="C347" s="23">
        <f>GLOUCESTERSHIRE!E5</f>
        <v>86856</v>
      </c>
      <c r="D347" s="23">
        <f>GLOUCESTERSHIRE!F5</f>
        <v>86841</v>
      </c>
      <c r="E347" s="23">
        <f>GLOUCESTERSHIRE!G5</f>
        <v>86854</v>
      </c>
      <c r="F347" s="23">
        <f>GLOUCESTERSHIRE!H5</f>
        <v>86332</v>
      </c>
      <c r="G347" s="23">
        <f>GLOUCESTERSHIRE!I5</f>
        <v>83347</v>
      </c>
      <c r="H347" s="23">
        <f>GLOUCESTERSHIRE!J5</f>
        <v>85812</v>
      </c>
      <c r="I347" s="23">
        <f>GLOUCESTERSHIRE!K5</f>
        <v>83888</v>
      </c>
      <c r="J347" s="23">
        <f>GLOUCESTERSHIRE!L5</f>
        <v>85321</v>
      </c>
      <c r="K347" s="23">
        <f>GLOUCESTERSHIRE!M5</f>
        <v>84136</v>
      </c>
      <c r="L347" s="23">
        <f>GLOUCESTERSHIRE!N5</f>
        <v>86010</v>
      </c>
      <c r="M347" s="23">
        <f>GLOUCESTERSHIRE!O5</f>
        <v>89005</v>
      </c>
      <c r="N347" s="16"/>
      <c r="O347" s="24">
        <f t="shared" ref="O347:X353" si="251">B347/B$451</f>
        <v>1.1522019701838486</v>
      </c>
      <c r="P347" s="24">
        <f t="shared" si="251"/>
        <v>1.1332837515168122</v>
      </c>
      <c r="Q347" s="24">
        <f t="shared" si="251"/>
        <v>1.1266200490393223</v>
      </c>
      <c r="R347" s="24">
        <f t="shared" si="251"/>
        <v>1.1207835445324799</v>
      </c>
      <c r="S347" s="24">
        <f t="shared" si="251"/>
        <v>1.1192470246583868</v>
      </c>
      <c r="T347" s="24">
        <f t="shared" si="251"/>
        <v>1.0999419325890147</v>
      </c>
      <c r="U347" s="24">
        <f t="shared" si="251"/>
        <v>1.1476949002929022</v>
      </c>
      <c r="V347" s="24">
        <f t="shared" si="251"/>
        <v>1.0963601908122591</v>
      </c>
      <c r="W347" s="24">
        <f t="shared" si="251"/>
        <v>1.1058675618576077</v>
      </c>
      <c r="X347" s="24">
        <f t="shared" si="251"/>
        <v>1.0993571316573461</v>
      </c>
      <c r="Y347" s="24">
        <f t="shared" ref="Y347:Z353" si="252">L347/L$451</f>
        <v>1.1844986434935894</v>
      </c>
      <c r="Z347" s="24">
        <f t="shared" si="252"/>
        <v>1.2127178341258704</v>
      </c>
    </row>
    <row r="348" spans="1:26">
      <c r="A348" s="21" t="s">
        <v>6752</v>
      </c>
      <c r="B348" s="23">
        <f>GLOUCESTERSHIRE!D6</f>
        <v>66804</v>
      </c>
      <c r="C348" s="23">
        <f>GLOUCESTERSHIRE!E6</f>
        <v>68087</v>
      </c>
      <c r="D348" s="23">
        <f>GLOUCESTERSHIRE!F6</f>
        <v>68019</v>
      </c>
      <c r="E348" s="23">
        <f>GLOUCESTERSHIRE!G6</f>
        <v>67966</v>
      </c>
      <c r="F348" s="23">
        <f>GLOUCESTERSHIRE!H6</f>
        <v>67770</v>
      </c>
      <c r="G348" s="23">
        <f>GLOUCESTERSHIRE!I6</f>
        <v>66739</v>
      </c>
      <c r="H348" s="23">
        <f>GLOUCESTERSHIRE!J6</f>
        <v>65825</v>
      </c>
      <c r="I348" s="23">
        <f>GLOUCESTERSHIRE!K6</f>
        <v>67478</v>
      </c>
      <c r="J348" s="23">
        <f>GLOUCESTERSHIRE!L6</f>
        <v>68969</v>
      </c>
      <c r="K348" s="23">
        <f>GLOUCESTERSHIRE!M6</f>
        <v>68984</v>
      </c>
      <c r="L348" s="23">
        <f>GLOUCESTERSHIRE!N6</f>
        <v>69945</v>
      </c>
      <c r="M348" s="23">
        <f>GLOUCESTERSHIRE!O6</f>
        <v>71234</v>
      </c>
      <c r="N348" s="16"/>
      <c r="O348" s="24">
        <f t="shared" si="251"/>
        <v>0.87978717800136963</v>
      </c>
      <c r="P348" s="24">
        <f t="shared" si="251"/>
        <v>0.88838872144152603</v>
      </c>
      <c r="Q348" s="24">
        <f t="shared" si="251"/>
        <v>0.88243536020549806</v>
      </c>
      <c r="R348" s="24">
        <f t="shared" si="251"/>
        <v>0.87704854569386015</v>
      </c>
      <c r="S348" s="24">
        <f t="shared" si="251"/>
        <v>0.87860087639691964</v>
      </c>
      <c r="T348" s="24">
        <f t="shared" si="251"/>
        <v>0.88076385039723393</v>
      </c>
      <c r="U348" s="24">
        <f t="shared" si="251"/>
        <v>0.88037823162005646</v>
      </c>
      <c r="V348" s="24">
        <f t="shared" si="251"/>
        <v>0.88189243939096906</v>
      </c>
      <c r="W348" s="24">
        <f t="shared" si="251"/>
        <v>0.89392505800163313</v>
      </c>
      <c r="X348" s="24">
        <f t="shared" si="251"/>
        <v>0.90137458840746354</v>
      </c>
      <c r="Y348" s="24">
        <f t="shared" si="252"/>
        <v>0.96325726798231726</v>
      </c>
      <c r="Z348" s="24">
        <f t="shared" si="252"/>
        <v>0.97058302562914722</v>
      </c>
    </row>
    <row r="349" spans="1:26">
      <c r="A349" s="21" t="s">
        <v>6753</v>
      </c>
      <c r="B349" s="23">
        <f>GLOUCESTERSHIRE!D7</f>
        <v>65296</v>
      </c>
      <c r="C349" s="23">
        <f>GLOUCESTERSHIRE!E7</f>
        <v>65153</v>
      </c>
      <c r="D349" s="23">
        <f>GLOUCESTERSHIRE!F7</f>
        <v>65892</v>
      </c>
      <c r="E349" s="23">
        <f>GLOUCESTERSHIRE!G7</f>
        <v>66361</v>
      </c>
      <c r="F349" s="23">
        <f>GLOUCESTERSHIRE!H7</f>
        <v>66310</v>
      </c>
      <c r="G349" s="23">
        <f>GLOUCESTERSHIRE!I7</f>
        <v>65422</v>
      </c>
      <c r="H349" s="23">
        <f>GLOUCESTERSHIRE!J7</f>
        <v>65175</v>
      </c>
      <c r="I349" s="23">
        <f>GLOUCESTERSHIRE!K7</f>
        <v>68319</v>
      </c>
      <c r="J349" s="23">
        <f>GLOUCESTERSHIRE!L7</f>
        <v>67061</v>
      </c>
      <c r="K349" s="23">
        <f>GLOUCESTERSHIRE!M7</f>
        <v>66753</v>
      </c>
      <c r="L349" s="23">
        <f>GLOUCESTERSHIRE!N7</f>
        <v>68296</v>
      </c>
      <c r="M349" s="23">
        <f>GLOUCESTERSHIRE!O7</f>
        <v>67890</v>
      </c>
      <c r="N349" s="16"/>
      <c r="O349" s="24">
        <f t="shared" si="251"/>
        <v>0.85992730337670542</v>
      </c>
      <c r="P349" s="24">
        <f t="shared" si="251"/>
        <v>0.85010633994859153</v>
      </c>
      <c r="Q349" s="24">
        <f t="shared" si="251"/>
        <v>0.85484101140358848</v>
      </c>
      <c r="R349" s="24">
        <f t="shared" si="251"/>
        <v>0.85633726482050221</v>
      </c>
      <c r="S349" s="24">
        <f t="shared" si="251"/>
        <v>0.85967277724479474</v>
      </c>
      <c r="T349" s="24">
        <f t="shared" si="251"/>
        <v>0.8633832185182253</v>
      </c>
      <c r="U349" s="24">
        <f t="shared" si="251"/>
        <v>0.87168478915058378</v>
      </c>
      <c r="V349" s="24">
        <f t="shared" si="251"/>
        <v>0.89288374828465011</v>
      </c>
      <c r="W349" s="24">
        <f t="shared" si="251"/>
        <v>0.8691949762160901</v>
      </c>
      <c r="X349" s="24">
        <f t="shared" si="251"/>
        <v>0.87222338368264252</v>
      </c>
      <c r="Y349" s="24">
        <f t="shared" si="252"/>
        <v>0.94054783578698031</v>
      </c>
      <c r="Z349" s="24">
        <f t="shared" si="252"/>
        <v>0.9250200972844822</v>
      </c>
    </row>
    <row r="350" spans="1:26">
      <c r="A350" s="21" t="s">
        <v>3747</v>
      </c>
      <c r="B350" s="23">
        <f>GLOUCESTERSHIRE!D8</f>
        <v>87510</v>
      </c>
      <c r="C350" s="23">
        <f>GLOUCESTERSHIRE!E8</f>
        <v>88291</v>
      </c>
      <c r="D350" s="23">
        <f>GLOUCESTERSHIRE!F8</f>
        <v>89781</v>
      </c>
      <c r="E350" s="23">
        <f>GLOUCESTERSHIRE!G8</f>
        <v>90793</v>
      </c>
      <c r="F350" s="23">
        <f>GLOUCESTERSHIRE!H8</f>
        <v>90196</v>
      </c>
      <c r="G350" s="23">
        <f>GLOUCESTERSHIRE!I8</f>
        <v>89522</v>
      </c>
      <c r="H350" s="23">
        <f>GLOUCESTERSHIRE!J8</f>
        <v>86427</v>
      </c>
      <c r="I350" s="23">
        <f>GLOUCESTERSHIRE!K8</f>
        <v>87756</v>
      </c>
      <c r="J350" s="23">
        <f>GLOUCESTERSHIRE!L8</f>
        <v>92251</v>
      </c>
      <c r="K350" s="23">
        <f>GLOUCESTERSHIRE!M8</f>
        <v>88829</v>
      </c>
      <c r="L350" s="23">
        <f>GLOUCESTERSHIRE!N8</f>
        <v>85556</v>
      </c>
      <c r="M350" s="23">
        <f>GLOUCESTERSHIRE!O8</f>
        <v>88968</v>
      </c>
      <c r="N350" s="16"/>
      <c r="O350" s="24">
        <f t="shared" si="251"/>
        <v>1.152478533424643</v>
      </c>
      <c r="P350" s="24">
        <f t="shared" si="251"/>
        <v>1.1520074111767853</v>
      </c>
      <c r="Q350" s="24">
        <f t="shared" si="251"/>
        <v>1.1647617441392821</v>
      </c>
      <c r="R350" s="24">
        <f t="shared" si="251"/>
        <v>1.1716132861898985</v>
      </c>
      <c r="S350" s="24">
        <f t="shared" si="251"/>
        <v>1.1693416651541473</v>
      </c>
      <c r="T350" s="24">
        <f t="shared" si="251"/>
        <v>1.181434265051337</v>
      </c>
      <c r="U350" s="24">
        <f t="shared" si="251"/>
        <v>1.1559202343217108</v>
      </c>
      <c r="V350" s="24">
        <f t="shared" si="251"/>
        <v>1.1469123701235051</v>
      </c>
      <c r="W350" s="24">
        <f t="shared" si="251"/>
        <v>1.1956890853239666</v>
      </c>
      <c r="X350" s="24">
        <f t="shared" si="251"/>
        <v>1.160677886374327</v>
      </c>
      <c r="Y350" s="24">
        <f t="shared" si="252"/>
        <v>1.1782463195295607</v>
      </c>
      <c r="Z350" s="24">
        <f t="shared" si="252"/>
        <v>1.2122136988541141</v>
      </c>
    </row>
    <row r="351" spans="1:26">
      <c r="A351" s="21" t="s">
        <v>3748</v>
      </c>
      <c r="B351" s="23">
        <f>GLOUCESTERSHIRE!D9</f>
        <v>88595</v>
      </c>
      <c r="C351" s="23">
        <f>GLOUCESTERSHIRE!E9</f>
        <v>89487</v>
      </c>
      <c r="D351" s="23">
        <f>GLOUCESTERSHIRE!F9</f>
        <v>90510</v>
      </c>
      <c r="E351" s="23">
        <f>GLOUCESTERSHIRE!G9</f>
        <v>90368</v>
      </c>
      <c r="F351" s="23">
        <f>GLOUCESTERSHIRE!H9</f>
        <v>89416</v>
      </c>
      <c r="G351" s="23">
        <f>GLOUCESTERSHIRE!I9</f>
        <v>88663</v>
      </c>
      <c r="H351" s="23">
        <f>GLOUCESTERSHIRE!J9</f>
        <v>91294</v>
      </c>
      <c r="I351" s="23">
        <f>GLOUCESTERSHIRE!K9</f>
        <v>92461</v>
      </c>
      <c r="J351" s="23">
        <f>GLOUCESTERSHIRE!L9</f>
        <v>93264</v>
      </c>
      <c r="K351" s="23">
        <f>GLOUCESTERSHIRE!M9</f>
        <v>92419</v>
      </c>
      <c r="L351" s="23">
        <f>GLOUCESTERSHIRE!N9</f>
        <v>95278</v>
      </c>
      <c r="M351" s="23">
        <f>GLOUCESTERSHIRE!O9</f>
        <v>95391</v>
      </c>
      <c r="N351" s="16"/>
      <c r="O351" s="24">
        <f t="shared" si="251"/>
        <v>1.1667676341990201</v>
      </c>
      <c r="P351" s="24">
        <f t="shared" si="251"/>
        <v>1.1676126355345051</v>
      </c>
      <c r="Q351" s="24">
        <f t="shared" si="251"/>
        <v>1.1742193277201904</v>
      </c>
      <c r="R351" s="24">
        <f t="shared" si="251"/>
        <v>1.1661289906315329</v>
      </c>
      <c r="S351" s="24">
        <f t="shared" si="251"/>
        <v>1.159229393004382</v>
      </c>
      <c r="T351" s="24">
        <f t="shared" si="251"/>
        <v>1.1700979227703434</v>
      </c>
      <c r="U351" s="24">
        <f t="shared" si="251"/>
        <v>1.2210140566277468</v>
      </c>
      <c r="V351" s="24">
        <f t="shared" si="251"/>
        <v>1.20840358099719</v>
      </c>
      <c r="W351" s="24">
        <f t="shared" si="251"/>
        <v>1.208818840485788</v>
      </c>
      <c r="X351" s="24">
        <f t="shared" si="251"/>
        <v>1.2075863691005069</v>
      </c>
      <c r="Y351" s="24">
        <f t="shared" si="252"/>
        <v>1.3121341908473689</v>
      </c>
      <c r="Z351" s="24">
        <f t="shared" si="252"/>
        <v>1.2997288569754608</v>
      </c>
    </row>
    <row r="352" spans="1:26">
      <c r="A352" s="21" t="s">
        <v>3749</v>
      </c>
      <c r="B352" s="23">
        <f>GLOUCESTERSHIRE!D10</f>
        <v>63391</v>
      </c>
      <c r="C352" s="23">
        <f>GLOUCESTERSHIRE!E10</f>
        <v>64334</v>
      </c>
      <c r="D352" s="23">
        <f>GLOUCESTERSHIRE!F10</f>
        <v>64993</v>
      </c>
      <c r="E352" s="23">
        <f>GLOUCESTERSHIRE!G10</f>
        <v>65547</v>
      </c>
      <c r="F352" s="23">
        <f>GLOUCESTERSHIRE!H10</f>
        <v>65597</v>
      </c>
      <c r="G352" s="23">
        <f>GLOUCESTERSHIRE!I10</f>
        <v>65129</v>
      </c>
      <c r="H352" s="23">
        <f>GLOUCESTERSHIRE!J10</f>
        <v>65989</v>
      </c>
      <c r="I352" s="23">
        <f>GLOUCESTERSHIRE!K10</f>
        <v>68049</v>
      </c>
      <c r="J352" s="23">
        <f>GLOUCESTERSHIRE!L10</f>
        <v>69723</v>
      </c>
      <c r="K352" s="23">
        <f>GLOUCESTERSHIRE!M10</f>
        <v>69324</v>
      </c>
      <c r="L352" s="23">
        <f>GLOUCESTERSHIRE!N10</f>
        <v>70243</v>
      </c>
      <c r="M352" s="23">
        <f>GLOUCESTERSHIRE!O10</f>
        <v>70954</v>
      </c>
      <c r="N352" s="16"/>
      <c r="O352" s="24">
        <f t="shared" si="251"/>
        <v>0.83483906653321394</v>
      </c>
      <c r="P352" s="24">
        <f t="shared" si="251"/>
        <v>0.83942015370363121</v>
      </c>
      <c r="Q352" s="24">
        <f t="shared" si="251"/>
        <v>0.84317795565703613</v>
      </c>
      <c r="R352" s="24">
        <f t="shared" si="251"/>
        <v>0.84583322579812625</v>
      </c>
      <c r="S352" s="24">
        <f t="shared" si="251"/>
        <v>0.85042912334379128</v>
      </c>
      <c r="T352" s="24">
        <f t="shared" si="251"/>
        <v>0.85951645683215883</v>
      </c>
      <c r="U352" s="24">
        <f t="shared" si="251"/>
        <v>0.88257165402773874</v>
      </c>
      <c r="V352" s="24">
        <f t="shared" si="251"/>
        <v>0.88935502842579883</v>
      </c>
      <c r="W352" s="24">
        <f t="shared" si="251"/>
        <v>0.90369784713491375</v>
      </c>
      <c r="X352" s="24">
        <f t="shared" si="251"/>
        <v>0.90581717451523547</v>
      </c>
      <c r="Y352" s="24">
        <f t="shared" si="252"/>
        <v>0.96736121631112881</v>
      </c>
      <c r="Z352" s="24">
        <f t="shared" si="252"/>
        <v>0.96676794789693843</v>
      </c>
    </row>
    <row r="353" spans="1:26">
      <c r="A353" s="21" t="s">
        <v>3750</v>
      </c>
      <c r="B353" s="23">
        <f t="shared" ref="B353:G353" si="253">SUM(B347:B352)</f>
        <v>459085</v>
      </c>
      <c r="C353" s="23">
        <f t="shared" si="253"/>
        <v>462208</v>
      </c>
      <c r="D353" s="23">
        <f t="shared" si="253"/>
        <v>466036</v>
      </c>
      <c r="E353" s="23">
        <f t="shared" si="253"/>
        <v>467889</v>
      </c>
      <c r="F353" s="23">
        <f t="shared" si="253"/>
        <v>465621</v>
      </c>
      <c r="G353" s="23">
        <f t="shared" si="253"/>
        <v>458822</v>
      </c>
      <c r="H353" s="23">
        <f t="shared" ref="H353:M353" si="254">SUM(H347:H352)</f>
        <v>460522</v>
      </c>
      <c r="I353" s="23">
        <f t="shared" si="254"/>
        <v>467951</v>
      </c>
      <c r="J353" s="23">
        <f t="shared" si="254"/>
        <v>476589</v>
      </c>
      <c r="K353" s="23">
        <f t="shared" si="254"/>
        <v>470445</v>
      </c>
      <c r="L353" s="23">
        <f t="shared" si="254"/>
        <v>475328</v>
      </c>
      <c r="M353" s="23">
        <f t="shared" si="254"/>
        <v>483442</v>
      </c>
      <c r="N353" s="16"/>
      <c r="O353" s="24">
        <f t="shared" si="251"/>
        <v>6.0460016857188013</v>
      </c>
      <c r="P353" s="24">
        <f t="shared" si="251"/>
        <v>6.0308190133218513</v>
      </c>
      <c r="Q353" s="24">
        <f t="shared" si="251"/>
        <v>6.0460554481649176</v>
      </c>
      <c r="R353" s="24">
        <f t="shared" si="251"/>
        <v>6.0377448576664001</v>
      </c>
      <c r="S353" s="24">
        <f t="shared" si="251"/>
        <v>6.0365208598024216</v>
      </c>
      <c r="T353" s="24">
        <f t="shared" si="251"/>
        <v>6.0551376461583128</v>
      </c>
      <c r="U353" s="24">
        <f t="shared" si="251"/>
        <v>6.1592638660407388</v>
      </c>
      <c r="V353" s="24">
        <f t="shared" si="251"/>
        <v>6.1158073580343721</v>
      </c>
      <c r="W353" s="24">
        <f t="shared" si="251"/>
        <v>6.1771933690199994</v>
      </c>
      <c r="X353" s="24">
        <f t="shared" si="251"/>
        <v>6.1470365337375217</v>
      </c>
      <c r="Y353" s="24">
        <f t="shared" si="252"/>
        <v>6.5460454739509455</v>
      </c>
      <c r="Z353" s="24">
        <f t="shared" si="252"/>
        <v>6.5870314607660134</v>
      </c>
    </row>
    <row r="354" spans="1:26">
      <c r="A354" s="21"/>
      <c r="B354" s="23"/>
      <c r="C354" s="23"/>
      <c r="D354" s="23"/>
      <c r="E354" s="23"/>
      <c r="F354" s="23"/>
      <c r="G354" s="23"/>
      <c r="H354" s="23"/>
      <c r="I354" s="23"/>
      <c r="J354" s="23"/>
      <c r="K354" s="23"/>
      <c r="L354" s="23"/>
      <c r="M354" s="23"/>
      <c r="N354" s="16"/>
      <c r="O354" s="24"/>
      <c r="P354" s="24"/>
      <c r="Q354" s="24"/>
      <c r="R354" s="24"/>
      <c r="S354" s="24"/>
      <c r="T354" s="24"/>
      <c r="U354" s="24"/>
      <c r="V354" s="24"/>
      <c r="W354" s="24"/>
      <c r="X354" s="24"/>
      <c r="Y354" s="24"/>
      <c r="Z354" s="24"/>
    </row>
    <row r="355" spans="1:26">
      <c r="A355" s="21" t="s">
        <v>5300</v>
      </c>
      <c r="B355" s="23">
        <f>SOMERSET!D5</f>
        <v>83602</v>
      </c>
      <c r="C355" s="23">
        <f>SOMERSET!E5</f>
        <v>84371</v>
      </c>
      <c r="D355" s="23">
        <f>SOMERSET!F5</f>
        <v>84879</v>
      </c>
      <c r="E355" s="23">
        <f>SOMERSET!G5</f>
        <v>85433</v>
      </c>
      <c r="F355" s="23">
        <f>SOMERSET!H5</f>
        <v>83777</v>
      </c>
      <c r="G355" s="23">
        <f>SOMERSET!I5</f>
        <v>84330</v>
      </c>
      <c r="H355" s="23">
        <f>SOMERSET!J5</f>
        <v>79769</v>
      </c>
      <c r="I355" s="23">
        <f>SOMERSET!K5</f>
        <v>84210</v>
      </c>
      <c r="J355" s="23">
        <f>SOMERSET!L5</f>
        <v>85392</v>
      </c>
      <c r="K355" s="23">
        <f>SOMERSET!M5</f>
        <v>85466</v>
      </c>
      <c r="L355" s="23">
        <f>SOMERSET!N5</f>
        <v>89794</v>
      </c>
      <c r="M355" s="23">
        <f>SOMERSET!O5</f>
        <v>89548</v>
      </c>
      <c r="N355" s="16"/>
      <c r="O355" s="24">
        <f t="shared" ref="O355:X359" si="255">B355/B$451</f>
        <v>1.1010114312806194</v>
      </c>
      <c r="P355" s="24">
        <f t="shared" si="255"/>
        <v>1.100859853081249</v>
      </c>
      <c r="Q355" s="24">
        <f t="shared" si="255"/>
        <v>1.1011663055746552</v>
      </c>
      <c r="R355" s="24">
        <f t="shared" si="255"/>
        <v>1.1024466410302733</v>
      </c>
      <c r="S355" s="24">
        <f t="shared" si="255"/>
        <v>1.0861228511421681</v>
      </c>
      <c r="T355" s="24">
        <f t="shared" si="255"/>
        <v>1.1129147200886849</v>
      </c>
      <c r="U355" s="24">
        <f t="shared" si="255"/>
        <v>1.0668726343805588</v>
      </c>
      <c r="V355" s="24">
        <f t="shared" si="255"/>
        <v>1.1005685159772594</v>
      </c>
      <c r="W355" s="24">
        <f t="shared" si="255"/>
        <v>1.1067878112322269</v>
      </c>
      <c r="X355" s="24">
        <f t="shared" si="255"/>
        <v>1.1167354831965715</v>
      </c>
      <c r="Y355" s="24">
        <f t="shared" ref="Y355:Z359" si="256">L355/L$451</f>
        <v>1.2366105242862848</v>
      </c>
      <c r="Z355" s="24">
        <f t="shared" si="256"/>
        <v>1.2201163598708324</v>
      </c>
    </row>
    <row r="356" spans="1:26">
      <c r="A356" s="21" t="s">
        <v>5301</v>
      </c>
      <c r="B356" s="23">
        <f>SOMERSET!D6</f>
        <v>87546</v>
      </c>
      <c r="C356" s="23">
        <f>SOMERSET!E6</f>
        <v>88464</v>
      </c>
      <c r="D356" s="23">
        <f>SOMERSET!F6</f>
        <v>88999</v>
      </c>
      <c r="E356" s="23">
        <f>SOMERSET!G6</f>
        <v>88734</v>
      </c>
      <c r="F356" s="23">
        <f>SOMERSET!H6</f>
        <v>87440</v>
      </c>
      <c r="G356" s="23">
        <f>SOMERSET!I6</f>
        <v>86792</v>
      </c>
      <c r="H356" s="23">
        <f>SOMERSET!J6</f>
        <v>86874</v>
      </c>
      <c r="I356" s="23">
        <f>SOMERSET!K6</f>
        <v>89769</v>
      </c>
      <c r="J356" s="23">
        <f>SOMERSET!L6</f>
        <v>90122</v>
      </c>
      <c r="K356" s="23">
        <f>SOMERSET!M6</f>
        <v>89828</v>
      </c>
      <c r="L356" s="23">
        <f>SOMERSET!N6</f>
        <v>90292</v>
      </c>
      <c r="M356" s="23">
        <f>SOMERSET!O6</f>
        <v>92880</v>
      </c>
      <c r="N356" s="16"/>
      <c r="O356" s="24">
        <f t="shared" si="255"/>
        <v>1.1529526418374334</v>
      </c>
      <c r="P356" s="24">
        <f t="shared" si="255"/>
        <v>1.1542646886131445</v>
      </c>
      <c r="Q356" s="24">
        <f t="shared" si="255"/>
        <v>1.1546165721773201</v>
      </c>
      <c r="R356" s="24">
        <f t="shared" si="255"/>
        <v>1.1450434872377215</v>
      </c>
      <c r="S356" s="24">
        <f t="shared" si="255"/>
        <v>1.1336116368916431</v>
      </c>
      <c r="T356" s="24">
        <f t="shared" si="255"/>
        <v>1.1454060759627314</v>
      </c>
      <c r="U356" s="24">
        <f t="shared" si="255"/>
        <v>1.1618986478353328</v>
      </c>
      <c r="V356" s="24">
        <f t="shared" si="255"/>
        <v>1.1732209370711626</v>
      </c>
      <c r="W356" s="24">
        <f t="shared" si="255"/>
        <v>1.1680945653441863</v>
      </c>
      <c r="X356" s="24">
        <f t="shared" si="255"/>
        <v>1.1737312496733392</v>
      </c>
      <c r="Y356" s="24">
        <f t="shared" si="256"/>
        <v>1.243468800352554</v>
      </c>
      <c r="Z356" s="24">
        <f t="shared" si="256"/>
        <v>1.265515784884117</v>
      </c>
    </row>
    <row r="357" spans="1:26">
      <c r="A357" s="21" t="s">
        <v>13263</v>
      </c>
      <c r="B357" s="23">
        <f>SOMERSET!D7</f>
        <v>110226</v>
      </c>
      <c r="C357" s="23">
        <f>SOMERSET!E7</f>
        <v>111306</v>
      </c>
      <c r="D357" s="23">
        <f>SOMERSET!F7</f>
        <v>111572</v>
      </c>
      <c r="E357" s="23">
        <f>SOMERSET!G7</f>
        <v>112032</v>
      </c>
      <c r="F357" s="23">
        <f>SOMERSET!H7</f>
        <v>104874</v>
      </c>
      <c r="G357" s="23">
        <f>SOMERSET!I7</f>
        <v>105718</v>
      </c>
      <c r="H357" s="23">
        <f>SOMERSET!J7</f>
        <v>104451</v>
      </c>
      <c r="I357" s="23">
        <f>SOMERSET!K7</f>
        <v>110326</v>
      </c>
      <c r="J357" s="23">
        <f>SOMERSET!L7</f>
        <v>111896</v>
      </c>
      <c r="K357" s="23">
        <f>SOMERSET!M7</f>
        <v>111000</v>
      </c>
      <c r="L357" s="23">
        <f>SOMERSET!N7</f>
        <v>114756</v>
      </c>
      <c r="M357" s="23">
        <f>SOMERSET!O7</f>
        <v>115385</v>
      </c>
      <c r="N357" s="16"/>
      <c r="O357" s="24">
        <f t="shared" si="255"/>
        <v>1.4516409418953802</v>
      </c>
      <c r="P357" s="24">
        <f t="shared" si="255"/>
        <v>1.452303597291267</v>
      </c>
      <c r="Q357" s="24">
        <f t="shared" si="255"/>
        <v>1.4474643556777935</v>
      </c>
      <c r="R357" s="24">
        <f t="shared" si="255"/>
        <v>1.4456861176349136</v>
      </c>
      <c r="S357" s="24">
        <f t="shared" si="255"/>
        <v>1.3596338838903725</v>
      </c>
      <c r="T357" s="24">
        <f t="shared" si="255"/>
        <v>1.3951751260326761</v>
      </c>
      <c r="U357" s="24">
        <f t="shared" si="255"/>
        <v>1.3969827067367493</v>
      </c>
      <c r="V357" s="24">
        <f t="shared" si="255"/>
        <v>1.4418872116578449</v>
      </c>
      <c r="W357" s="24">
        <f t="shared" si="255"/>
        <v>1.4503130143999585</v>
      </c>
      <c r="X357" s="24">
        <f t="shared" si="255"/>
        <v>1.4503736998902419</v>
      </c>
      <c r="Y357" s="24">
        <f t="shared" si="256"/>
        <v>1.5803781691983529</v>
      </c>
      <c r="Z357" s="24">
        <f t="shared" si="256"/>
        <v>1.5721526576103988</v>
      </c>
    </row>
    <row r="358" spans="1:26">
      <c r="A358" s="21" t="s">
        <v>5302</v>
      </c>
      <c r="B358" s="23">
        <f>SOMERSET!D8</f>
        <v>126230</v>
      </c>
      <c r="C358" s="23">
        <f>SOMERSET!E8</f>
        <v>126587</v>
      </c>
      <c r="D358" s="23">
        <f>SOMERSET!F8</f>
        <v>126706</v>
      </c>
      <c r="E358" s="23">
        <f>SOMERSET!G8</f>
        <v>128329</v>
      </c>
      <c r="F358" s="23">
        <f>SOMERSET!H8</f>
        <v>127883</v>
      </c>
      <c r="G358" s="23">
        <f>SOMERSET!I8</f>
        <v>125951</v>
      </c>
      <c r="H358" s="23">
        <f>SOMERSET!J8</f>
        <v>117938</v>
      </c>
      <c r="I358" s="23">
        <f>SOMERSET!K8</f>
        <v>124816</v>
      </c>
      <c r="J358" s="23">
        <f>SOMERSET!L8</f>
        <v>125114</v>
      </c>
      <c r="K358" s="23">
        <f>SOMERSET!M8</f>
        <v>123590</v>
      </c>
      <c r="L358" s="23">
        <f>SOMERSET!N8</f>
        <v>125339</v>
      </c>
      <c r="M358" s="23">
        <f>SOMERSET!O8</f>
        <v>127757</v>
      </c>
      <c r="N358" s="16"/>
      <c r="O358" s="24">
        <f t="shared" si="255"/>
        <v>1.6624084707369753</v>
      </c>
      <c r="P358" s="24">
        <f t="shared" si="255"/>
        <v>1.6516877389386881</v>
      </c>
      <c r="Q358" s="24">
        <f t="shared" si="255"/>
        <v>1.6438032718828246</v>
      </c>
      <c r="R358" s="24">
        <f t="shared" si="255"/>
        <v>1.6559862699047667</v>
      </c>
      <c r="S358" s="24">
        <f t="shared" si="255"/>
        <v>1.6579329478569762</v>
      </c>
      <c r="T358" s="24">
        <f t="shared" si="255"/>
        <v>1.6621928365930265</v>
      </c>
      <c r="U358" s="24">
        <f t="shared" si="255"/>
        <v>1.5773649507148684</v>
      </c>
      <c r="V358" s="24">
        <f t="shared" si="255"/>
        <v>1.6312618440828597</v>
      </c>
      <c r="W358" s="24">
        <f t="shared" si="255"/>
        <v>1.6216349331847109</v>
      </c>
      <c r="X358" s="24">
        <f t="shared" si="255"/>
        <v>1.6148800501750902</v>
      </c>
      <c r="Y358" s="24">
        <f t="shared" si="256"/>
        <v>1.7261234214259156</v>
      </c>
      <c r="Z358" s="24">
        <f t="shared" si="256"/>
        <v>1.7407245922635675</v>
      </c>
    </row>
    <row r="359" spans="1:26">
      <c r="A359" s="21" t="s">
        <v>5303</v>
      </c>
      <c r="B359" s="23">
        <f t="shared" ref="B359:L359" si="257">SUM(B355:B358)</f>
        <v>407604</v>
      </c>
      <c r="C359" s="23">
        <f t="shared" si="257"/>
        <v>410728</v>
      </c>
      <c r="D359" s="23">
        <f t="shared" si="257"/>
        <v>412156</v>
      </c>
      <c r="E359" s="23">
        <f t="shared" si="257"/>
        <v>414528</v>
      </c>
      <c r="F359" s="23">
        <f t="shared" si="257"/>
        <v>403974</v>
      </c>
      <c r="G359" s="23">
        <f t="shared" si="257"/>
        <v>402791</v>
      </c>
      <c r="H359" s="23">
        <f t="shared" si="257"/>
        <v>389032</v>
      </c>
      <c r="I359" s="23">
        <f t="shared" si="257"/>
        <v>409121</v>
      </c>
      <c r="J359" s="23">
        <f t="shared" si="257"/>
        <v>412524</v>
      </c>
      <c r="K359" s="23">
        <f t="shared" si="257"/>
        <v>409884</v>
      </c>
      <c r="L359" s="23">
        <f t="shared" si="257"/>
        <v>420181</v>
      </c>
      <c r="M359" s="23">
        <f>SUM(M355:M358)</f>
        <v>425570</v>
      </c>
      <c r="N359" s="16"/>
      <c r="O359" s="24">
        <f t="shared" si="255"/>
        <v>5.3680134857504083</v>
      </c>
      <c r="P359" s="24">
        <f t="shared" si="255"/>
        <v>5.3591158779243484</v>
      </c>
      <c r="Q359" s="24">
        <f t="shared" si="255"/>
        <v>5.347050505312593</v>
      </c>
      <c r="R359" s="24">
        <f t="shared" si="255"/>
        <v>5.3491625158076754</v>
      </c>
      <c r="S359" s="24">
        <f t="shared" si="255"/>
        <v>5.2373013197811602</v>
      </c>
      <c r="T359" s="24">
        <f t="shared" si="255"/>
        <v>5.3156887586771191</v>
      </c>
      <c r="U359" s="24">
        <f t="shared" si="255"/>
        <v>5.203118939667509</v>
      </c>
      <c r="V359" s="24">
        <f t="shared" si="255"/>
        <v>5.3469385087891261</v>
      </c>
      <c r="W359" s="24">
        <f t="shared" si="255"/>
        <v>5.3468303241610826</v>
      </c>
      <c r="X359" s="24">
        <f t="shared" si="255"/>
        <v>5.3557204829352427</v>
      </c>
      <c r="Y359" s="24">
        <f t="shared" si="256"/>
        <v>5.7865809152631069</v>
      </c>
      <c r="Z359" s="24">
        <f t="shared" si="256"/>
        <v>5.7985093946289155</v>
      </c>
    </row>
    <row r="360" spans="1:26">
      <c r="A360" s="21"/>
      <c r="B360" s="23"/>
      <c r="C360" s="23"/>
      <c r="D360" s="23"/>
      <c r="E360" s="23"/>
      <c r="F360" s="23"/>
      <c r="G360" s="23"/>
      <c r="H360" s="23"/>
      <c r="I360" s="23"/>
      <c r="J360" s="23"/>
      <c r="K360" s="23"/>
      <c r="L360" s="23"/>
      <c r="M360" s="23"/>
      <c r="N360" s="16"/>
      <c r="O360" s="24"/>
      <c r="P360" s="24"/>
      <c r="Q360" s="24"/>
      <c r="R360" s="24"/>
      <c r="S360" s="24"/>
      <c r="T360" s="24"/>
      <c r="U360" s="24"/>
      <c r="V360" s="24"/>
      <c r="W360" s="24"/>
      <c r="X360" s="24"/>
      <c r="Y360" s="24"/>
      <c r="Z360" s="24"/>
    </row>
    <row r="361" spans="1:26">
      <c r="A361" s="21" t="s">
        <v>5368</v>
      </c>
      <c r="B361" s="23">
        <f>SWINDON!D3</f>
        <v>151386</v>
      </c>
      <c r="C361" s="23">
        <f>SWINDON!E3</f>
        <v>152937</v>
      </c>
      <c r="D361" s="23">
        <f>SWINDON!F3</f>
        <v>154468</v>
      </c>
      <c r="E361" s="23">
        <f>SWINDON!G3</f>
        <v>156044</v>
      </c>
      <c r="F361" s="23">
        <f>SWINDON!H3</f>
        <v>154606</v>
      </c>
      <c r="G361" s="23">
        <f>SWINDON!I3</f>
        <v>153139</v>
      </c>
      <c r="H361" s="23">
        <f>SWINDON!J3</f>
        <v>148586</v>
      </c>
      <c r="I361" s="23">
        <f>SWINDON!K3</f>
        <v>149999</v>
      </c>
      <c r="J361" s="23">
        <f>SWINDON!L3</f>
        <v>152843</v>
      </c>
      <c r="K361" s="23">
        <f>SWINDON!M3</f>
        <v>156308</v>
      </c>
      <c r="L361" s="23">
        <f>SWINDON!N3</f>
        <v>151089</v>
      </c>
      <c r="M361" s="23">
        <f>SWINDON!O3</f>
        <v>155555</v>
      </c>
      <c r="N361" s="16"/>
      <c r="O361" s="24">
        <f t="shared" ref="O361:X363" si="258">B361/B$451</f>
        <v>1.9937048938523942</v>
      </c>
      <c r="P361" s="24">
        <f t="shared" si="258"/>
        <v>1.9954984929737347</v>
      </c>
      <c r="Q361" s="24">
        <f t="shared" si="258"/>
        <v>2.0039698498981591</v>
      </c>
      <c r="R361" s="24">
        <f t="shared" si="258"/>
        <v>2.0136268614344335</v>
      </c>
      <c r="S361" s="24">
        <f t="shared" si="258"/>
        <v>2.0043819845982318</v>
      </c>
      <c r="T361" s="24">
        <f t="shared" si="258"/>
        <v>2.0209966479267294</v>
      </c>
      <c r="U361" s="24">
        <f t="shared" si="258"/>
        <v>1.9872674504139416</v>
      </c>
      <c r="V361" s="24">
        <f t="shared" si="258"/>
        <v>1.9603868522511925</v>
      </c>
      <c r="W361" s="24">
        <f t="shared" si="258"/>
        <v>1.9810376783793242</v>
      </c>
      <c r="X361" s="24">
        <f t="shared" si="258"/>
        <v>2.0423874980400356</v>
      </c>
      <c r="Y361" s="24">
        <f t="shared" ref="Y361:Z363" si="259">L361/L$451</f>
        <v>2.080743117623566</v>
      </c>
      <c r="Z361" s="24">
        <f t="shared" si="259"/>
        <v>2.1194800594062104</v>
      </c>
    </row>
    <row r="362" spans="1:26">
      <c r="A362" s="21" t="s">
        <v>4965</v>
      </c>
      <c r="B362" s="23">
        <f>WILTSHIRE!D3</f>
        <v>343136</v>
      </c>
      <c r="C362" s="23">
        <f>WILTSHIRE!E3</f>
        <v>350863</v>
      </c>
      <c r="D362" s="23">
        <f>WILTSHIRE!F3</f>
        <v>350619</v>
      </c>
      <c r="E362" s="23">
        <f>WILTSHIRE!G3</f>
        <v>351990</v>
      </c>
      <c r="F362" s="23">
        <f>WILTSHIRE!H3</f>
        <v>352165</v>
      </c>
      <c r="G362" s="23">
        <f>WILTSHIRE!I3</f>
        <v>342196</v>
      </c>
      <c r="H362" s="23">
        <f>WILTSHIRE!J3</f>
        <v>346724</v>
      </c>
      <c r="I362" s="23">
        <f>WILTSHIRE!K3</f>
        <v>358156</v>
      </c>
      <c r="J362" s="23">
        <f>WILTSHIRE!L3</f>
        <v>363093</v>
      </c>
      <c r="K362" s="23">
        <f>WILTSHIRE!M3</f>
        <v>360075</v>
      </c>
      <c r="L362" s="23">
        <f>WILTSHIRE!N3</f>
        <v>378753</v>
      </c>
      <c r="M362" s="23">
        <f>WILTSHIRE!O3</f>
        <v>377959</v>
      </c>
      <c r="N362" s="16"/>
      <c r="O362" s="24">
        <f t="shared" si="258"/>
        <v>4.5189906758678822</v>
      </c>
      <c r="P362" s="24">
        <f t="shared" si="258"/>
        <v>4.5780065500189195</v>
      </c>
      <c r="Q362" s="24">
        <f t="shared" si="258"/>
        <v>4.5487085014465301</v>
      </c>
      <c r="R362" s="24">
        <f t="shared" si="258"/>
        <v>4.5421581025627793</v>
      </c>
      <c r="S362" s="24">
        <f t="shared" si="258"/>
        <v>4.5656260533616821</v>
      </c>
      <c r="T362" s="24">
        <f t="shared" si="258"/>
        <v>4.5160081294375383</v>
      </c>
      <c r="U362" s="24">
        <f t="shared" si="258"/>
        <v>4.6372694565929731</v>
      </c>
      <c r="V362" s="24">
        <f t="shared" si="258"/>
        <v>4.6808599620989346</v>
      </c>
      <c r="W362" s="24">
        <f t="shared" si="258"/>
        <v>4.7061423405441136</v>
      </c>
      <c r="X362" s="24">
        <f t="shared" si="258"/>
        <v>4.7048946845763862</v>
      </c>
      <c r="Y362" s="24">
        <f t="shared" si="259"/>
        <v>5.2160494677261644</v>
      </c>
      <c r="Z362" s="24">
        <f t="shared" si="259"/>
        <v>5.1497963020996549</v>
      </c>
    </row>
    <row r="363" spans="1:26">
      <c r="A363" s="25" t="s">
        <v>9778</v>
      </c>
      <c r="B363" s="23">
        <f>B361+B362</f>
        <v>494522</v>
      </c>
      <c r="C363" s="23">
        <f t="shared" ref="C363:H363" si="260">C361+C362</f>
        <v>503800</v>
      </c>
      <c r="D363" s="23">
        <f t="shared" si="260"/>
        <v>505087</v>
      </c>
      <c r="E363" s="23">
        <f t="shared" si="260"/>
        <v>508034</v>
      </c>
      <c r="F363" s="23">
        <f t="shared" si="260"/>
        <v>506771</v>
      </c>
      <c r="G363" s="23">
        <f t="shared" si="260"/>
        <v>495335</v>
      </c>
      <c r="H363" s="23">
        <f t="shared" si="260"/>
        <v>495310</v>
      </c>
      <c r="I363" s="23">
        <f>I361+I362</f>
        <v>508155</v>
      </c>
      <c r="J363" s="23">
        <f>J361+J362</f>
        <v>515936</v>
      </c>
      <c r="K363" s="23">
        <f>K361+K362</f>
        <v>516383</v>
      </c>
      <c r="L363" s="23">
        <f>L361+L362</f>
        <v>529842</v>
      </c>
      <c r="M363" s="23">
        <f>M361+M362</f>
        <v>533514</v>
      </c>
      <c r="N363" s="16"/>
      <c r="O363" s="24">
        <f t="shared" si="258"/>
        <v>6.5126955697202762</v>
      </c>
      <c r="P363" s="24">
        <f t="shared" si="258"/>
        <v>6.5735050429926538</v>
      </c>
      <c r="Q363" s="24">
        <f t="shared" si="258"/>
        <v>6.5526783513446896</v>
      </c>
      <c r="R363" s="24">
        <f t="shared" si="258"/>
        <v>6.5557849639972128</v>
      </c>
      <c r="S363" s="24">
        <f t="shared" si="258"/>
        <v>6.5700080379599139</v>
      </c>
      <c r="T363" s="24">
        <f t="shared" si="258"/>
        <v>6.5370047773642677</v>
      </c>
      <c r="U363" s="24">
        <f t="shared" si="258"/>
        <v>6.6245369070069149</v>
      </c>
      <c r="V363" s="24">
        <f t="shared" si="258"/>
        <v>6.6412468143501275</v>
      </c>
      <c r="W363" s="24">
        <f t="shared" si="258"/>
        <v>6.6871800189234376</v>
      </c>
      <c r="X363" s="24">
        <f t="shared" si="258"/>
        <v>6.7472821826164218</v>
      </c>
      <c r="Y363" s="24">
        <f t="shared" si="259"/>
        <v>7.2967925853497304</v>
      </c>
      <c r="Z363" s="24">
        <f t="shared" si="259"/>
        <v>7.2692763615058658</v>
      </c>
    </row>
    <row r="364" spans="1:26">
      <c r="A364" s="21"/>
      <c r="B364" s="23"/>
      <c r="C364" s="23"/>
      <c r="D364" s="23"/>
      <c r="E364" s="23"/>
      <c r="F364" s="23"/>
      <c r="G364" s="23"/>
      <c r="H364" s="23"/>
      <c r="I364" s="23"/>
      <c r="J364" s="23"/>
      <c r="K364" s="23"/>
      <c r="L364" s="23"/>
      <c r="M364" s="23"/>
      <c r="N364" s="16"/>
      <c r="O364" s="24"/>
      <c r="P364" s="24"/>
      <c r="Q364" s="24"/>
      <c r="R364" s="24"/>
      <c r="S364" s="24"/>
      <c r="T364" s="24"/>
      <c r="U364" s="24"/>
      <c r="V364" s="24"/>
      <c r="W364" s="24"/>
      <c r="X364" s="24"/>
      <c r="Y364" s="24"/>
      <c r="Z364" s="24"/>
    </row>
    <row r="365" spans="1:26">
      <c r="A365" s="29" t="s">
        <v>5377</v>
      </c>
      <c r="B365" s="27">
        <f t="shared" ref="B365:L365" si="261">B324+B328+B341+B345+B353+B359+B363</f>
        <v>4007216</v>
      </c>
      <c r="C365" s="27">
        <f t="shared" si="261"/>
        <v>4042475</v>
      </c>
      <c r="D365" s="27">
        <f t="shared" si="261"/>
        <v>4054959</v>
      </c>
      <c r="E365" s="27">
        <f t="shared" si="261"/>
        <v>4078229</v>
      </c>
      <c r="F365" s="27">
        <f t="shared" si="261"/>
        <v>4031825</v>
      </c>
      <c r="G365" s="27">
        <f t="shared" si="261"/>
        <v>3980500</v>
      </c>
      <c r="H365" s="27">
        <f t="shared" si="261"/>
        <v>3930770</v>
      </c>
      <c r="I365" s="27">
        <f t="shared" si="261"/>
        <v>4046843</v>
      </c>
      <c r="J365" s="27">
        <f t="shared" si="261"/>
        <v>4081918</v>
      </c>
      <c r="K365" s="27">
        <f t="shared" si="261"/>
        <v>4067111</v>
      </c>
      <c r="L365" s="27">
        <f t="shared" si="261"/>
        <v>4193464</v>
      </c>
      <c r="M365" s="27">
        <f>M324+M328+M341+M345+M353+M359+M363</f>
        <v>4242136</v>
      </c>
      <c r="N365" s="16"/>
      <c r="O365" s="28">
        <f t="shared" ref="O365:X365" si="262">B365/B$451</f>
        <v>52.773744929673917</v>
      </c>
      <c r="P365" s="28">
        <f t="shared" si="262"/>
        <v>52.74559308986052</v>
      </c>
      <c r="Q365" s="28">
        <f t="shared" si="262"/>
        <v>52.606465925455041</v>
      </c>
      <c r="R365" s="28">
        <f t="shared" si="262"/>
        <v>52.626383978114433</v>
      </c>
      <c r="S365" s="28">
        <f t="shared" si="262"/>
        <v>52.270399564394431</v>
      </c>
      <c r="T365" s="28">
        <f t="shared" si="262"/>
        <v>52.531211233404598</v>
      </c>
      <c r="U365" s="28">
        <f t="shared" si="262"/>
        <v>52.572189008813815</v>
      </c>
      <c r="V365" s="28">
        <f t="shared" si="262"/>
        <v>52.88953799908515</v>
      </c>
      <c r="W365" s="28">
        <f t="shared" si="262"/>
        <v>52.906795587987503</v>
      </c>
      <c r="X365" s="28">
        <f t="shared" si="262"/>
        <v>53.142620080489209</v>
      </c>
      <c r="Y365" s="28">
        <f>L365/L$451</f>
        <v>57.75087105614697</v>
      </c>
      <c r="Z365" s="28">
        <f>M365/M$451</f>
        <v>57.80028068071887</v>
      </c>
    </row>
    <row r="366" spans="1:26">
      <c r="A366" s="21"/>
      <c r="B366" s="23"/>
      <c r="C366" s="23"/>
      <c r="D366" s="23"/>
      <c r="E366" s="23"/>
      <c r="F366" s="23"/>
      <c r="G366" s="23"/>
      <c r="H366" s="23"/>
      <c r="I366" s="23"/>
      <c r="J366" s="23"/>
      <c r="K366" s="23"/>
      <c r="L366" s="23"/>
      <c r="M366" s="23"/>
      <c r="N366" s="16"/>
      <c r="O366" s="24"/>
      <c r="P366" s="24"/>
      <c r="Q366" s="24"/>
      <c r="R366" s="24"/>
      <c r="S366" s="24"/>
      <c r="T366" s="24"/>
      <c r="U366" s="24"/>
      <c r="V366" s="24"/>
      <c r="W366" s="24"/>
      <c r="X366" s="24"/>
      <c r="Y366" s="24"/>
      <c r="Z366" s="24"/>
    </row>
    <row r="367" spans="1:26">
      <c r="A367" s="21" t="s">
        <v>3737</v>
      </c>
      <c r="B367" s="23" t="s">
        <v>3738</v>
      </c>
      <c r="C367" s="23"/>
      <c r="D367" s="23"/>
      <c r="E367" s="23"/>
      <c r="F367" s="23"/>
      <c r="G367" s="23"/>
      <c r="H367" s="23"/>
      <c r="I367" s="23"/>
      <c r="J367" s="23"/>
      <c r="K367" s="23"/>
      <c r="L367" s="23"/>
      <c r="M367" s="23"/>
      <c r="N367" s="16"/>
      <c r="O367" s="24"/>
      <c r="P367" s="24"/>
      <c r="Q367" s="24"/>
      <c r="R367" s="24"/>
      <c r="S367" s="24"/>
      <c r="T367" s="24"/>
      <c r="U367" s="24"/>
      <c r="V367" s="24"/>
      <c r="W367" s="24"/>
      <c r="X367" s="24"/>
      <c r="Y367" s="24"/>
      <c r="Z367" s="24"/>
    </row>
    <row r="368" spans="1:26">
      <c r="A368" s="21"/>
      <c r="B368" s="23"/>
      <c r="C368" s="23"/>
      <c r="D368" s="23"/>
      <c r="E368" s="23"/>
      <c r="F368" s="23"/>
      <c r="G368" s="23"/>
      <c r="H368" s="23"/>
      <c r="I368" s="23"/>
      <c r="J368" s="23"/>
      <c r="K368" s="23"/>
      <c r="L368" s="23"/>
      <c r="M368" s="23"/>
      <c r="N368" s="16"/>
      <c r="O368" s="24"/>
      <c r="P368" s="24"/>
      <c r="Q368" s="24"/>
      <c r="R368" s="24"/>
      <c r="S368" s="24"/>
      <c r="T368" s="24"/>
      <c r="U368" s="24"/>
      <c r="V368" s="24"/>
      <c r="W368" s="24"/>
      <c r="X368" s="24"/>
      <c r="Y368" s="24"/>
      <c r="Z368" s="24"/>
    </row>
    <row r="369" spans="1:26">
      <c r="A369" s="21" t="s">
        <v>999</v>
      </c>
      <c r="B369" s="23">
        <f>HEREFORDSHIRE!D3</f>
        <v>139525</v>
      </c>
      <c r="C369" s="23">
        <f>HEREFORDSHIRE!E3</f>
        <v>138063</v>
      </c>
      <c r="D369" s="23">
        <f>HEREFORDSHIRE!F3</f>
        <v>138060</v>
      </c>
      <c r="E369" s="23">
        <f>HEREFORDSHIRE!G3</f>
        <v>139246</v>
      </c>
      <c r="F369" s="23">
        <f>HEREFORDSHIRE!H3</f>
        <v>133648</v>
      </c>
      <c r="G369" s="23">
        <f>HEREFORDSHIRE!I3</f>
        <v>134133</v>
      </c>
      <c r="H369" s="23">
        <f>HEREFORDSHIRE!J3</f>
        <v>133026</v>
      </c>
      <c r="I369" s="23">
        <f>HEREFORDSHIRE!K3</f>
        <v>135315</v>
      </c>
      <c r="J369" s="23">
        <f>HEREFORDSHIRE!L3</f>
        <v>137085</v>
      </c>
      <c r="K369" s="23">
        <f>HEREFORDSHIRE!M3</f>
        <v>137707</v>
      </c>
      <c r="L369" s="23">
        <f>HEREFORDSHIRE!N3</f>
        <v>142248</v>
      </c>
      <c r="M369" s="23">
        <f>HEREFORDSHIRE!O3</f>
        <v>142019</v>
      </c>
      <c r="N369" s="16"/>
      <c r="O369" s="24">
        <f t="shared" ref="O369:X369" si="263">B369/B$451</f>
        <v>1.8374993415160934</v>
      </c>
      <c r="P369" s="24">
        <f t="shared" si="263"/>
        <v>1.8014248248326614</v>
      </c>
      <c r="Q369" s="24">
        <f t="shared" si="263"/>
        <v>1.7911028658164787</v>
      </c>
      <c r="R369" s="24">
        <f t="shared" si="263"/>
        <v>1.7968616925181304</v>
      </c>
      <c r="S369" s="24">
        <f t="shared" si="263"/>
        <v>1.7326730106049213</v>
      </c>
      <c r="T369" s="24">
        <f t="shared" si="263"/>
        <v>1.7701718267479611</v>
      </c>
      <c r="U369" s="24">
        <f t="shared" si="263"/>
        <v>1.7791598122216428</v>
      </c>
      <c r="V369" s="24">
        <f t="shared" si="263"/>
        <v>1.7684767692609293</v>
      </c>
      <c r="W369" s="24">
        <f t="shared" si="263"/>
        <v>1.7767941622490375</v>
      </c>
      <c r="X369" s="24">
        <f t="shared" si="263"/>
        <v>1.7993388386557256</v>
      </c>
      <c r="Y369" s="24">
        <f>L369/L$451</f>
        <v>1.9589880599892582</v>
      </c>
      <c r="Z369" s="24">
        <f>M369/M$451</f>
        <v>1.9350483016091453</v>
      </c>
    </row>
    <row r="370" spans="1:26">
      <c r="A370" s="21"/>
      <c r="B370" s="23"/>
      <c r="C370" s="23"/>
      <c r="D370" s="23"/>
      <c r="E370" s="23"/>
      <c r="F370" s="23"/>
      <c r="G370" s="23"/>
      <c r="H370" s="23"/>
      <c r="I370" s="23"/>
      <c r="J370" s="23"/>
      <c r="K370" s="23"/>
      <c r="L370" s="23"/>
      <c r="M370" s="23"/>
      <c r="N370" s="16"/>
      <c r="O370" s="24"/>
      <c r="P370" s="24"/>
      <c r="Q370" s="24"/>
      <c r="R370" s="24"/>
      <c r="S370" s="24"/>
      <c r="T370" s="24"/>
      <c r="U370" s="24"/>
      <c r="V370" s="24"/>
      <c r="W370" s="24"/>
      <c r="X370" s="24"/>
      <c r="Y370" s="24"/>
      <c r="Z370" s="24"/>
    </row>
    <row r="371" spans="1:26">
      <c r="A371" s="21" t="s">
        <v>2069</v>
      </c>
      <c r="B371" s="23">
        <f>'SHROPSHIRE &amp; TELFORD &amp; WREKIN '!D3</f>
        <v>230844</v>
      </c>
      <c r="C371" s="23">
        <f>'SHROPSHIRE &amp; TELFORD &amp; WREKIN '!E3</f>
        <v>228607</v>
      </c>
      <c r="D371" s="23">
        <f>'SHROPSHIRE &amp; TELFORD &amp; WREKIN '!F3</f>
        <v>227169</v>
      </c>
      <c r="E371" s="23">
        <f>'SHROPSHIRE &amp; TELFORD &amp; WREKIN '!G3</f>
        <v>234601</v>
      </c>
      <c r="F371" s="23">
        <f>'SHROPSHIRE &amp; TELFORD &amp; WREKIN '!H3</f>
        <v>223081</v>
      </c>
      <c r="G371" s="23">
        <f>'SHROPSHIRE &amp; TELFORD &amp; WREKIN '!I3</f>
        <v>228191</v>
      </c>
      <c r="H371" s="23">
        <f>'SHROPSHIRE &amp; TELFORD &amp; WREKIN '!J3</f>
        <v>229810</v>
      </c>
      <c r="I371" s="23">
        <f>'SHROPSHIRE &amp; TELFORD &amp; WREKIN '!K3</f>
        <v>238443</v>
      </c>
      <c r="J371" s="23">
        <f>'SHROPSHIRE &amp; TELFORD &amp; WREKIN '!L3</f>
        <v>237626</v>
      </c>
      <c r="K371" s="23">
        <f>'SHROPSHIRE &amp; TELFORD &amp; WREKIN '!M3</f>
        <v>237622</v>
      </c>
      <c r="L371" s="23">
        <f>'SHROPSHIRE &amp; TELFORD &amp; WREKIN '!N3</f>
        <v>249550</v>
      </c>
      <c r="M371" s="23">
        <f>'SHROPSHIRE &amp; TELFORD &amp; WREKIN '!O3</f>
        <v>248552</v>
      </c>
      <c r="N371" s="16"/>
      <c r="O371" s="24">
        <f t="shared" ref="O371:X373" si="264">B371/B$451</f>
        <v>3.0401411789495865</v>
      </c>
      <c r="P371" s="24">
        <f t="shared" si="264"/>
        <v>2.9828290340679269</v>
      </c>
      <c r="Q371" s="24">
        <f t="shared" si="264"/>
        <v>2.9471465082186272</v>
      </c>
      <c r="R371" s="24">
        <f t="shared" si="264"/>
        <v>3.0273440524427699</v>
      </c>
      <c r="S371" s="24">
        <f t="shared" si="264"/>
        <v>2.8921227992843623</v>
      </c>
      <c r="T371" s="24">
        <f t="shared" si="264"/>
        <v>3.0114683136695963</v>
      </c>
      <c r="U371" s="24">
        <f t="shared" si="264"/>
        <v>3.0736000213992432</v>
      </c>
      <c r="V371" s="24">
        <f t="shared" si="264"/>
        <v>3.1162909233483629</v>
      </c>
      <c r="W371" s="24">
        <f t="shared" si="264"/>
        <v>3.0799320830039014</v>
      </c>
      <c r="X371" s="24">
        <f t="shared" si="264"/>
        <v>3.1048711650028746</v>
      </c>
      <c r="Y371" s="24">
        <f t="shared" ref="Y371:Z373" si="265">L371/L$451</f>
        <v>3.4367124344125708</v>
      </c>
      <c r="Z371" s="24">
        <f t="shared" si="265"/>
        <v>3.3865900017712862</v>
      </c>
    </row>
    <row r="372" spans="1:26">
      <c r="A372" s="21" t="s">
        <v>5298</v>
      </c>
      <c r="B372" s="23">
        <f>'SHROPSHIRE &amp; TELFORD &amp; WREKIN '!D4</f>
        <v>119968</v>
      </c>
      <c r="C372" s="23">
        <f>'SHROPSHIRE &amp; TELFORD &amp; WREKIN '!E4</f>
        <v>121292</v>
      </c>
      <c r="D372" s="23">
        <f>'SHROPSHIRE &amp; TELFORD &amp; WREKIN '!F4</f>
        <v>122136</v>
      </c>
      <c r="E372" s="23">
        <f>'SHROPSHIRE &amp; TELFORD &amp; WREKIN '!G4</f>
        <v>123225</v>
      </c>
      <c r="F372" s="23">
        <f>'SHROPSHIRE &amp; TELFORD &amp; WREKIN '!H4</f>
        <v>122619</v>
      </c>
      <c r="G372" s="23">
        <f>'SHROPSHIRE &amp; TELFORD &amp; WREKIN '!I4</f>
        <v>119972</v>
      </c>
      <c r="H372" s="23">
        <f>'SHROPSHIRE &amp; TELFORD &amp; WREKIN '!J4</f>
        <v>119097</v>
      </c>
      <c r="I372" s="23">
        <f>'SHROPSHIRE &amp; TELFORD &amp; WREKIN '!K4</f>
        <v>121615</v>
      </c>
      <c r="J372" s="23">
        <f>'SHROPSHIRE &amp; TELFORD &amp; WREKIN '!L4</f>
        <v>122961</v>
      </c>
      <c r="K372" s="23">
        <f>'SHROPSHIRE &amp; TELFORD &amp; WREKIN '!M4</f>
        <v>123439</v>
      </c>
      <c r="L372" s="23">
        <f>'SHROPSHIRE &amp; TELFORD &amp; WREKIN '!N4</f>
        <v>127722</v>
      </c>
      <c r="M372" s="23">
        <f>'SHROPSHIRE &amp; TELFORD &amp; WREKIN '!O4</f>
        <v>127584</v>
      </c>
      <c r="N372" s="16"/>
      <c r="O372" s="24">
        <f t="shared" si="264"/>
        <v>1.5799399462677133</v>
      </c>
      <c r="P372" s="24">
        <f t="shared" si="264"/>
        <v>1.5825993919703554</v>
      </c>
      <c r="Q372" s="24">
        <f t="shared" si="264"/>
        <v>1.5845149907240434</v>
      </c>
      <c r="R372" s="24">
        <f t="shared" si="264"/>
        <v>1.5901231063050043</v>
      </c>
      <c r="S372" s="24">
        <f t="shared" si="264"/>
        <v>1.5896880752975342</v>
      </c>
      <c r="T372" s="24">
        <f t="shared" si="264"/>
        <v>1.5832871433473223</v>
      </c>
      <c r="U372" s="24">
        <f t="shared" si="264"/>
        <v>1.5928660273642821</v>
      </c>
      <c r="V372" s="24">
        <f t="shared" si="264"/>
        <v>1.589426909756257</v>
      </c>
      <c r="W372" s="24">
        <f t="shared" si="264"/>
        <v>1.5937293429937915</v>
      </c>
      <c r="X372" s="24">
        <f t="shared" si="264"/>
        <v>1.6129070192860502</v>
      </c>
      <c r="Y372" s="24">
        <f t="shared" si="265"/>
        <v>1.7589412364177213</v>
      </c>
      <c r="Z372" s="24">
        <f t="shared" si="265"/>
        <v>1.7383674192361669</v>
      </c>
    </row>
    <row r="373" spans="1:26">
      <c r="A373" s="25" t="s">
        <v>5299</v>
      </c>
      <c r="B373" s="23">
        <f t="shared" ref="B373:H373" si="266">B371+B372</f>
        <v>350812</v>
      </c>
      <c r="C373" s="23">
        <f t="shared" si="266"/>
        <v>349899</v>
      </c>
      <c r="D373" s="23">
        <f t="shared" si="266"/>
        <v>349305</v>
      </c>
      <c r="E373" s="23">
        <f t="shared" si="266"/>
        <v>357826</v>
      </c>
      <c r="F373" s="23">
        <f t="shared" si="266"/>
        <v>345700</v>
      </c>
      <c r="G373" s="23">
        <f t="shared" si="266"/>
        <v>348163</v>
      </c>
      <c r="H373" s="23">
        <f t="shared" si="266"/>
        <v>348907</v>
      </c>
      <c r="I373" s="23">
        <f>I371+I372</f>
        <v>360058</v>
      </c>
      <c r="J373" s="23">
        <f>J371+J372</f>
        <v>360587</v>
      </c>
      <c r="K373" s="23">
        <f>K371+K372</f>
        <v>361061</v>
      </c>
      <c r="L373" s="23">
        <f>L371+L372</f>
        <v>377272</v>
      </c>
      <c r="M373" s="23">
        <f>M371+M372</f>
        <v>376136</v>
      </c>
      <c r="N373" s="16"/>
      <c r="O373" s="24">
        <f t="shared" si="264"/>
        <v>4.6200811252172995</v>
      </c>
      <c r="P373" s="24">
        <f t="shared" si="264"/>
        <v>4.5654284260382827</v>
      </c>
      <c r="Q373" s="24">
        <f t="shared" si="264"/>
        <v>4.5316614989426709</v>
      </c>
      <c r="R373" s="24">
        <f t="shared" si="264"/>
        <v>4.6174671587477736</v>
      </c>
      <c r="S373" s="24">
        <f t="shared" si="264"/>
        <v>4.4818108745818961</v>
      </c>
      <c r="T373" s="24">
        <f t="shared" si="264"/>
        <v>4.5947554570169187</v>
      </c>
      <c r="U373" s="24">
        <f t="shared" si="264"/>
        <v>4.6664660487635246</v>
      </c>
      <c r="V373" s="24">
        <f t="shared" si="264"/>
        <v>4.7057178331046199</v>
      </c>
      <c r="W373" s="24">
        <f t="shared" si="264"/>
        <v>4.6736614259976932</v>
      </c>
      <c r="X373" s="24">
        <f t="shared" si="264"/>
        <v>4.7177781842889246</v>
      </c>
      <c r="Y373" s="24">
        <f t="shared" si="265"/>
        <v>5.1956536708302918</v>
      </c>
      <c r="Z373" s="24">
        <f t="shared" si="265"/>
        <v>5.1249574210074531</v>
      </c>
    </row>
    <row r="374" spans="1:26">
      <c r="A374" s="21"/>
      <c r="B374" s="23"/>
      <c r="C374" s="23"/>
      <c r="D374" s="23"/>
      <c r="E374" s="23"/>
      <c r="F374" s="23"/>
      <c r="G374" s="23"/>
      <c r="H374" s="23"/>
      <c r="I374" s="23"/>
      <c r="J374" s="23"/>
      <c r="K374" s="23"/>
      <c r="L374" s="23"/>
      <c r="M374" s="23"/>
      <c r="N374" s="16"/>
      <c r="O374" s="24"/>
      <c r="P374" s="24"/>
      <c r="Q374" s="24"/>
      <c r="R374" s="24"/>
      <c r="S374" s="24"/>
      <c r="T374" s="24"/>
      <c r="U374" s="24"/>
      <c r="V374" s="24"/>
      <c r="W374" s="24"/>
      <c r="X374" s="24"/>
      <c r="Y374" s="24"/>
      <c r="Z374" s="24"/>
    </row>
    <row r="375" spans="1:26">
      <c r="A375" s="21" t="s">
        <v>5305</v>
      </c>
      <c r="B375" s="23">
        <f>STAFFORDSHIRE!D7</f>
        <v>74828</v>
      </c>
      <c r="C375" s="23">
        <f>STAFFORDSHIRE!E7</f>
        <v>75680</v>
      </c>
      <c r="D375" s="23">
        <f>STAFFORDSHIRE!F7</f>
        <v>75494</v>
      </c>
      <c r="E375" s="23">
        <f>STAFFORDSHIRE!G7</f>
        <v>75539</v>
      </c>
      <c r="F375" s="23">
        <f>STAFFORDSHIRE!H7</f>
        <v>75380</v>
      </c>
      <c r="G375" s="23">
        <f>STAFFORDSHIRE!I7</f>
        <v>74146</v>
      </c>
      <c r="H375" s="23">
        <f>STAFFORDSHIRE!J7</f>
        <v>73470</v>
      </c>
      <c r="I375" s="23">
        <f>STAFFORDSHIRE!K7</f>
        <v>73801</v>
      </c>
      <c r="J375" s="23">
        <f>STAFFORDSHIRE!L7</f>
        <v>73834</v>
      </c>
      <c r="K375" s="23">
        <f>STAFFORDSHIRE!M7</f>
        <v>73510</v>
      </c>
      <c r="L375" s="23">
        <f>STAFFORDSHIRE!N7</f>
        <v>73904</v>
      </c>
      <c r="M375" s="23">
        <f>STAFFORDSHIRE!O7</f>
        <v>75582</v>
      </c>
      <c r="N375" s="16"/>
      <c r="O375" s="24">
        <f t="shared" ref="O375:O385" si="267">B375/B$451</f>
        <v>0.98546067534109472</v>
      </c>
      <c r="P375" s="24">
        <f t="shared" ref="P375:P385" si="268">C375/C$451</f>
        <v>0.98746101955872179</v>
      </c>
      <c r="Q375" s="24">
        <f t="shared" ref="Q375:Q385" si="269">D375/D$451</f>
        <v>0.97941126866542982</v>
      </c>
      <c r="R375" s="24">
        <f t="shared" ref="R375:R385" si="270">E375/E$451</f>
        <v>0.97477224043151733</v>
      </c>
      <c r="S375" s="24">
        <f t="shared" ref="S375:S385" si="271">F375/F$451</f>
        <v>0.97726035211450202</v>
      </c>
      <c r="T375" s="24">
        <f t="shared" ref="T375:T385" si="272">G375/G$451</f>
        <v>0.97851505793543958</v>
      </c>
      <c r="U375" s="24">
        <f t="shared" ref="U375:U385" si="273">H375/H$451</f>
        <v>0.98262648958793086</v>
      </c>
      <c r="V375" s="24">
        <f t="shared" ref="V375:V385" si="274">I375/I$451</f>
        <v>0.96452983075214005</v>
      </c>
      <c r="W375" s="24">
        <f t="shared" ref="W375:W385" si="275">J375/J$451</f>
        <v>0.95698158205124884</v>
      </c>
      <c r="X375" s="24">
        <f t="shared" ref="X375:X385" si="276">K375/K$451</f>
        <v>0.96051324935974491</v>
      </c>
      <c r="Y375" s="24">
        <f t="shared" ref="Y375:Z385" si="277">L375/L$451</f>
        <v>1.017779185545288</v>
      </c>
      <c r="Z375" s="24">
        <f t="shared" si="277"/>
        <v>1.0298257326993037</v>
      </c>
    </row>
    <row r="376" spans="1:26">
      <c r="A376" s="21" t="s">
        <v>5306</v>
      </c>
      <c r="B376" s="23">
        <f>STAFFORDSHIRE!D8</f>
        <v>83873</v>
      </c>
      <c r="C376" s="23">
        <f>STAFFORDSHIRE!E8</f>
        <v>84149</v>
      </c>
      <c r="D376" s="23">
        <f>STAFFORDSHIRE!F8</f>
        <v>84554</v>
      </c>
      <c r="E376" s="23">
        <f>STAFFORDSHIRE!G8</f>
        <v>85098</v>
      </c>
      <c r="F376" s="23">
        <f>STAFFORDSHIRE!H8</f>
        <v>84955</v>
      </c>
      <c r="G376" s="23">
        <f>STAFFORDSHIRE!I8</f>
        <v>83823</v>
      </c>
      <c r="H376" s="23">
        <f>STAFFORDSHIRE!J8</f>
        <v>81297</v>
      </c>
      <c r="I376" s="23">
        <f>STAFFORDSHIRE!K8</f>
        <v>81468</v>
      </c>
      <c r="J376" s="23">
        <f>STAFFORDSHIRE!L8</f>
        <v>82781</v>
      </c>
      <c r="K376" s="23">
        <f>STAFFORDSHIRE!M8</f>
        <v>81858</v>
      </c>
      <c r="L376" s="23">
        <f>STAFFORDSHIRE!N8</f>
        <v>84818</v>
      </c>
      <c r="M376" s="23">
        <f>STAFFORDSHIRE!O8</f>
        <v>84788</v>
      </c>
      <c r="N376" s="16"/>
      <c r="O376" s="24">
        <f t="shared" si="267"/>
        <v>1.1045804140546804</v>
      </c>
      <c r="P376" s="24">
        <f t="shared" si="268"/>
        <v>1.0979632311686955</v>
      </c>
      <c r="Q376" s="24">
        <f t="shared" si="269"/>
        <v>1.0969499617285712</v>
      </c>
      <c r="R376" s="24">
        <f t="shared" si="270"/>
        <v>1.0981237257077967</v>
      </c>
      <c r="S376" s="24">
        <f t="shared" si="271"/>
        <v>1.1013949749786087</v>
      </c>
      <c r="T376" s="24">
        <f t="shared" si="272"/>
        <v>1.1062237706865152</v>
      </c>
      <c r="U376" s="24">
        <f t="shared" si="273"/>
        <v>1.0873089114472576</v>
      </c>
      <c r="V376" s="24">
        <f t="shared" si="274"/>
        <v>1.0647324054107037</v>
      </c>
      <c r="W376" s="24">
        <f t="shared" si="275"/>
        <v>1.0729459645120734</v>
      </c>
      <c r="X376" s="24">
        <f t="shared" si="276"/>
        <v>1.0695918047352742</v>
      </c>
      <c r="Y376" s="24">
        <f t="shared" si="277"/>
        <v>1.1680828501783427</v>
      </c>
      <c r="Z376" s="24">
        <f t="shared" si="277"/>
        <v>1.155260038423283</v>
      </c>
    </row>
    <row r="377" spans="1:26">
      <c r="A377" s="21" t="s">
        <v>5307</v>
      </c>
      <c r="B377" s="23">
        <f>STAFFORDSHIRE!D9</f>
        <v>77981</v>
      </c>
      <c r="C377" s="23">
        <f>STAFFORDSHIRE!E9</f>
        <v>78644</v>
      </c>
      <c r="D377" s="23">
        <f>STAFFORDSHIRE!F9</f>
        <v>79134</v>
      </c>
      <c r="E377" s="23">
        <f>STAFFORDSHIRE!G9</f>
        <v>79959</v>
      </c>
      <c r="F377" s="23">
        <f>STAFFORDSHIRE!H9</f>
        <v>80257</v>
      </c>
      <c r="G377" s="23">
        <f>STAFFORDSHIRE!I9</f>
        <v>79688</v>
      </c>
      <c r="H377" s="23">
        <f>STAFFORDSHIRE!J9</f>
        <v>77591</v>
      </c>
      <c r="I377" s="23">
        <f>STAFFORDSHIRE!K9</f>
        <v>79473</v>
      </c>
      <c r="J377" s="23">
        <f>STAFFORDSHIRE!L9</f>
        <v>78897</v>
      </c>
      <c r="K377" s="23">
        <f>STAFFORDSHIRE!M9</f>
        <v>79328</v>
      </c>
      <c r="L377" s="23">
        <f>STAFFORDSHIRE!N9</f>
        <v>83037</v>
      </c>
      <c r="M377" s="23">
        <f>STAFFORDSHIRE!O9</f>
        <v>82515</v>
      </c>
      <c r="N377" s="16"/>
      <c r="O377" s="24">
        <f t="shared" si="267"/>
        <v>1.026984670494653</v>
      </c>
      <c r="P377" s="24">
        <f t="shared" si="268"/>
        <v>1.0261348364452447</v>
      </c>
      <c r="Q377" s="24">
        <f t="shared" si="269"/>
        <v>1.0266343197415706</v>
      </c>
      <c r="R377" s="24">
        <f t="shared" si="270"/>
        <v>1.0318089142385216</v>
      </c>
      <c r="S377" s="24">
        <f t="shared" si="271"/>
        <v>1.0404879819534836</v>
      </c>
      <c r="T377" s="24">
        <f t="shared" si="272"/>
        <v>1.0516536014991951</v>
      </c>
      <c r="U377" s="24">
        <f t="shared" si="273"/>
        <v>1.0377429148443873</v>
      </c>
      <c r="V377" s="24">
        <f t="shared" si="274"/>
        <v>1.0386590864536365</v>
      </c>
      <c r="W377" s="24">
        <f t="shared" si="275"/>
        <v>1.0226044353427606</v>
      </c>
      <c r="X377" s="24">
        <f t="shared" si="276"/>
        <v>1.0365337375215595</v>
      </c>
      <c r="Y377" s="24">
        <f t="shared" si="277"/>
        <v>1.1435555616762838</v>
      </c>
      <c r="Z377" s="24">
        <f t="shared" si="277"/>
        <v>1.1242897824043165</v>
      </c>
    </row>
    <row r="378" spans="1:26">
      <c r="A378" s="21" t="s">
        <v>5308</v>
      </c>
      <c r="B378" s="23">
        <f>STAFFORDSHIRE!D10</f>
        <v>97040</v>
      </c>
      <c r="C378" s="23">
        <f>STAFFORDSHIRE!E10</f>
        <v>96728</v>
      </c>
      <c r="D378" s="23">
        <f>STAFFORDSHIRE!F10</f>
        <v>97206</v>
      </c>
      <c r="E378" s="23">
        <f>STAFFORDSHIRE!G10</f>
        <v>96829</v>
      </c>
      <c r="F378" s="23">
        <f>STAFFORDSHIRE!H10</f>
        <v>96580</v>
      </c>
      <c r="G378" s="23">
        <f>STAFFORDSHIRE!I10</f>
        <v>93590</v>
      </c>
      <c r="H378" s="23">
        <f>STAFFORDSHIRE!J10</f>
        <v>89247</v>
      </c>
      <c r="I378" s="23">
        <f>STAFFORDSHIRE!K10</f>
        <v>89525</v>
      </c>
      <c r="J378" s="23">
        <f>STAFFORDSHIRE!L10</f>
        <v>92521</v>
      </c>
      <c r="K378" s="23">
        <f>STAFFORDSHIRE!M10</f>
        <v>93893</v>
      </c>
      <c r="L378" s="23">
        <f>STAFFORDSHIRE!N10</f>
        <v>95271</v>
      </c>
      <c r="M378" s="23">
        <f>STAFFORDSHIRE!O10</f>
        <v>94317</v>
      </c>
      <c r="N378" s="16"/>
      <c r="O378" s="24">
        <f t="shared" si="267"/>
        <v>1.2779855660327661</v>
      </c>
      <c r="P378" s="24">
        <f t="shared" si="268"/>
        <v>1.2620920917002649</v>
      </c>
      <c r="Q378" s="24">
        <f t="shared" si="269"/>
        <v>1.2610889843152009</v>
      </c>
      <c r="R378" s="24">
        <f t="shared" si="270"/>
        <v>1.2495031873435363</v>
      </c>
      <c r="S378" s="24">
        <f t="shared" si="271"/>
        <v>1.2521067233645344</v>
      </c>
      <c r="T378" s="24">
        <f t="shared" si="272"/>
        <v>1.2351202259350174</v>
      </c>
      <c r="U378" s="24">
        <f t="shared" si="273"/>
        <v>1.1936364001123461</v>
      </c>
      <c r="V378" s="24">
        <f t="shared" si="274"/>
        <v>1.170032019865386</v>
      </c>
      <c r="W378" s="24">
        <f t="shared" si="275"/>
        <v>1.1991886251992794</v>
      </c>
      <c r="X378" s="24">
        <f t="shared" si="276"/>
        <v>1.2268462865206711</v>
      </c>
      <c r="Y378" s="24">
        <f t="shared" si="277"/>
        <v>1.312037789376558</v>
      </c>
      <c r="Z378" s="24">
        <f t="shared" si="277"/>
        <v>1.2850953088169172</v>
      </c>
    </row>
    <row r="379" spans="1:26">
      <c r="A379" s="21" t="s">
        <v>5309</v>
      </c>
      <c r="B379" s="23">
        <f>STAFFORDSHIRE!D11</f>
        <v>85281</v>
      </c>
      <c r="C379" s="23">
        <f>STAFFORDSHIRE!E11</f>
        <v>85860</v>
      </c>
      <c r="D379" s="23">
        <f>STAFFORDSHIRE!F11</f>
        <v>86305</v>
      </c>
      <c r="E379" s="23">
        <f>STAFFORDSHIRE!G11</f>
        <v>86657</v>
      </c>
      <c r="F379" s="23">
        <f>STAFFORDSHIRE!H11</f>
        <v>86323</v>
      </c>
      <c r="G379" s="23">
        <f>STAFFORDSHIRE!I11</f>
        <v>83366</v>
      </c>
      <c r="H379" s="23">
        <f>STAFFORDSHIRE!J11</f>
        <v>83407</v>
      </c>
      <c r="I379" s="23">
        <f>STAFFORDSHIRE!K11</f>
        <v>85099</v>
      </c>
      <c r="J379" s="23">
        <f>STAFFORDSHIRE!L11</f>
        <v>85014</v>
      </c>
      <c r="K379" s="23">
        <f>STAFFORDSHIRE!M11</f>
        <v>84855</v>
      </c>
      <c r="L379" s="23">
        <f>STAFFORDSHIRE!N11</f>
        <v>84862</v>
      </c>
      <c r="M379" s="23">
        <f>STAFFORDSHIRE!O11</f>
        <v>85773</v>
      </c>
      <c r="N379" s="16"/>
      <c r="O379" s="24">
        <f t="shared" si="267"/>
        <v>1.1231233208660381</v>
      </c>
      <c r="P379" s="24">
        <f t="shared" si="268"/>
        <v>1.1202880964496811</v>
      </c>
      <c r="Q379" s="24">
        <f t="shared" si="269"/>
        <v>1.1196663250347036</v>
      </c>
      <c r="R379" s="24">
        <f t="shared" si="270"/>
        <v>1.1182414122383668</v>
      </c>
      <c r="S379" s="24">
        <f t="shared" si="271"/>
        <v>1.1191303445951202</v>
      </c>
      <c r="T379" s="24">
        <f t="shared" si="272"/>
        <v>1.1001926782273603</v>
      </c>
      <c r="U379" s="24">
        <f t="shared" si="273"/>
        <v>1.1155291631558533</v>
      </c>
      <c r="V379" s="24">
        <f t="shared" si="274"/>
        <v>1.1121871528458471</v>
      </c>
      <c r="W379" s="24">
        <f t="shared" si="275"/>
        <v>1.1018884554067891</v>
      </c>
      <c r="X379" s="24">
        <f t="shared" si="276"/>
        <v>1.1087518946323107</v>
      </c>
      <c r="Y379" s="24">
        <f t="shared" si="277"/>
        <v>1.1686888022805835</v>
      </c>
      <c r="Z379" s="24">
        <f t="shared" si="277"/>
        <v>1.1686809368740889</v>
      </c>
    </row>
    <row r="380" spans="1:26">
      <c r="A380" s="21" t="s">
        <v>5310</v>
      </c>
      <c r="B380" s="23">
        <f>STAFFORDSHIRE!D12</f>
        <v>98303</v>
      </c>
      <c r="C380" s="23">
        <f>STAFFORDSHIRE!E12</f>
        <v>97459</v>
      </c>
      <c r="D380" s="23">
        <f>STAFFORDSHIRE!F12</f>
        <v>97541</v>
      </c>
      <c r="E380" s="23">
        <f>STAFFORDSHIRE!G12</f>
        <v>97914</v>
      </c>
      <c r="F380" s="23">
        <f>STAFFORDSHIRE!H12</f>
        <v>95842</v>
      </c>
      <c r="G380" s="23">
        <f>STAFFORDSHIRE!I12</f>
        <v>94986</v>
      </c>
      <c r="H380" s="23">
        <f>STAFFORDSHIRE!J12</f>
        <v>95558</v>
      </c>
      <c r="I380" s="23">
        <f>STAFFORDSHIRE!K12</f>
        <v>98652</v>
      </c>
      <c r="J380" s="23">
        <f>STAFFORDSHIRE!L12</f>
        <v>99622</v>
      </c>
      <c r="K380" s="23">
        <f>STAFFORDSHIRE!M12</f>
        <v>99824</v>
      </c>
      <c r="L380" s="23">
        <f>STAFFORDSHIRE!N12</f>
        <v>100458</v>
      </c>
      <c r="M380" s="23">
        <f>STAFFORDSHIRE!O12</f>
        <v>103829</v>
      </c>
      <c r="N380" s="16"/>
      <c r="O380" s="24">
        <f t="shared" si="267"/>
        <v>1.2946188695148291</v>
      </c>
      <c r="P380" s="24">
        <f t="shared" si="268"/>
        <v>1.2716300674573662</v>
      </c>
      <c r="Q380" s="24">
        <f t="shared" si="269"/>
        <v>1.2654350618180874</v>
      </c>
      <c r="R380" s="24">
        <f t="shared" si="270"/>
        <v>1.263504271298423</v>
      </c>
      <c r="S380" s="24">
        <f t="shared" si="271"/>
        <v>1.2425389581766795</v>
      </c>
      <c r="T380" s="24">
        <f t="shared" si="272"/>
        <v>1.2535434317839893</v>
      </c>
      <c r="U380" s="24">
        <f t="shared" si="273"/>
        <v>1.2780430392274873</v>
      </c>
      <c r="V380" s="24">
        <f t="shared" si="274"/>
        <v>1.2893158204273671</v>
      </c>
      <c r="W380" s="24">
        <f t="shared" si="275"/>
        <v>1.2912265239200031</v>
      </c>
      <c r="X380" s="24">
        <f t="shared" si="276"/>
        <v>1.3043432812418334</v>
      </c>
      <c r="Y380" s="24">
        <f t="shared" si="277"/>
        <v>1.3834712792475177</v>
      </c>
      <c r="Z380" s="24">
        <f t="shared" si="277"/>
        <v>1.414698949491096</v>
      </c>
    </row>
    <row r="381" spans="1:26">
      <c r="A381" s="21" t="s">
        <v>5311</v>
      </c>
      <c r="B381" s="23">
        <f>STAFFORDSHIRE!D13</f>
        <v>77952</v>
      </c>
      <c r="C381" s="23">
        <f>STAFFORDSHIRE!E13</f>
        <v>78034</v>
      </c>
      <c r="D381" s="23">
        <f>STAFFORDSHIRE!F13</f>
        <v>78178</v>
      </c>
      <c r="E381" s="23">
        <f>STAFFORDSHIRE!G13</f>
        <v>78413</v>
      </c>
      <c r="F381" s="23">
        <f>STAFFORDSHIRE!H13</f>
        <v>78268</v>
      </c>
      <c r="G381" s="23">
        <f>STAFFORDSHIRE!I13</f>
        <v>78277</v>
      </c>
      <c r="H381" s="23">
        <f>STAFFORDSHIRE!J13</f>
        <v>78211</v>
      </c>
      <c r="I381" s="23">
        <f>STAFFORDSHIRE!K13</f>
        <v>78206</v>
      </c>
      <c r="J381" s="23">
        <f>STAFFORDSHIRE!L13</f>
        <v>78002</v>
      </c>
      <c r="K381" s="23">
        <f>STAFFORDSHIRE!M13</f>
        <v>78783</v>
      </c>
      <c r="L381" s="23">
        <f>STAFFORDSHIRE!N13</f>
        <v>79321</v>
      </c>
      <c r="M381" s="23">
        <f>STAFFORDSHIRE!O13</f>
        <v>78999</v>
      </c>
      <c r="N381" s="16"/>
      <c r="O381" s="24">
        <f t="shared" si="267"/>
        <v>1.0266027498287942</v>
      </c>
      <c r="P381" s="24">
        <f t="shared" si="268"/>
        <v>1.0181756501089496</v>
      </c>
      <c r="Q381" s="24">
        <f t="shared" si="269"/>
        <v>1.0142317821512434</v>
      </c>
      <c r="R381" s="24">
        <f t="shared" si="270"/>
        <v>1.0118589826309135</v>
      </c>
      <c r="S381" s="24">
        <f t="shared" si="271"/>
        <v>1.014701687971582</v>
      </c>
      <c r="T381" s="24">
        <f t="shared" si="272"/>
        <v>1.0330324385673186</v>
      </c>
      <c r="U381" s="24">
        <f t="shared" si="273"/>
        <v>1.0460351215075767</v>
      </c>
      <c r="V381" s="24">
        <f t="shared" si="274"/>
        <v>1.022100241782657</v>
      </c>
      <c r="W381" s="24">
        <f t="shared" si="275"/>
        <v>1.0110041087190389</v>
      </c>
      <c r="X381" s="24">
        <f t="shared" si="276"/>
        <v>1.0294125333193958</v>
      </c>
      <c r="Y381" s="24">
        <f t="shared" si="277"/>
        <v>1.0923801523143239</v>
      </c>
      <c r="Z381" s="24">
        <f t="shared" si="277"/>
        <v>1.076383306309866</v>
      </c>
    </row>
    <row r="382" spans="1:26">
      <c r="A382" s="21" t="s">
        <v>3805</v>
      </c>
      <c r="B382" s="23">
        <f>STAFFORDSHIRE!D14</f>
        <v>57698</v>
      </c>
      <c r="C382" s="23">
        <f>STAFFORDSHIRE!E14</f>
        <v>58138</v>
      </c>
      <c r="D382" s="23">
        <f>STAFFORDSHIRE!F14</f>
        <v>57750</v>
      </c>
      <c r="E382" s="23">
        <f>STAFFORDSHIRE!G14</f>
        <v>58132</v>
      </c>
      <c r="F382" s="23">
        <f>STAFFORDSHIRE!H14</f>
        <v>57352</v>
      </c>
      <c r="G382" s="23">
        <f>STAFFORDSHIRE!I14</f>
        <v>56462</v>
      </c>
      <c r="H382" s="23">
        <f>STAFFORDSHIRE!J14</f>
        <v>56689</v>
      </c>
      <c r="I382" s="23">
        <f>STAFFORDSHIRE!K14</f>
        <v>57019</v>
      </c>
      <c r="J382" s="23">
        <f>STAFFORDSHIRE!L14</f>
        <v>57315</v>
      </c>
      <c r="K382" s="23">
        <f>STAFFORDSHIRE!M14</f>
        <v>55693</v>
      </c>
      <c r="L382" s="23">
        <f>STAFFORDSHIRE!N14</f>
        <v>56347</v>
      </c>
      <c r="M382" s="23">
        <f>STAFFORDSHIRE!O14</f>
        <v>56743</v>
      </c>
      <c r="N382" s="16"/>
      <c r="O382" s="24">
        <f t="shared" si="267"/>
        <v>0.75986408892166679</v>
      </c>
      <c r="P382" s="24">
        <f t="shared" si="268"/>
        <v>0.75857569708119676</v>
      </c>
      <c r="Q382" s="24">
        <f t="shared" si="269"/>
        <v>0.74921186803492434</v>
      </c>
      <c r="R382" s="24">
        <f t="shared" si="270"/>
        <v>0.75014839858569693</v>
      </c>
      <c r="S382" s="24">
        <f t="shared" si="271"/>
        <v>0.74353722094018204</v>
      </c>
      <c r="T382" s="24">
        <f t="shared" si="272"/>
        <v>0.74513685432998122</v>
      </c>
      <c r="U382" s="24">
        <f t="shared" si="273"/>
        <v>0.75818855407989938</v>
      </c>
      <c r="V382" s="24">
        <f t="shared" si="274"/>
        <v>0.74520028752532186</v>
      </c>
      <c r="W382" s="24">
        <f t="shared" si="275"/>
        <v>0.74287454797609942</v>
      </c>
      <c r="X382" s="24">
        <f t="shared" si="276"/>
        <v>0.72770867088276803</v>
      </c>
      <c r="Y382" s="24">
        <f t="shared" si="277"/>
        <v>0.77599052511258315</v>
      </c>
      <c r="Z382" s="24">
        <f t="shared" si="277"/>
        <v>0.77313912770972704</v>
      </c>
    </row>
    <row r="383" spans="1:26">
      <c r="A383" s="21" t="s">
        <v>2400</v>
      </c>
      <c r="B383" s="23">
        <f t="shared" ref="B383:G383" si="278">SUM(B375:B382)</f>
        <v>652956</v>
      </c>
      <c r="C383" s="23">
        <f t="shared" si="278"/>
        <v>654692</v>
      </c>
      <c r="D383" s="23">
        <f t="shared" si="278"/>
        <v>656162</v>
      </c>
      <c r="E383" s="23">
        <f t="shared" si="278"/>
        <v>658541</v>
      </c>
      <c r="F383" s="23">
        <f t="shared" si="278"/>
        <v>654957</v>
      </c>
      <c r="G383" s="23">
        <f t="shared" si="278"/>
        <v>644338</v>
      </c>
      <c r="H383" s="23">
        <f t="shared" ref="H383:M383" si="279">SUM(H375:H382)</f>
        <v>635470</v>
      </c>
      <c r="I383" s="23">
        <f t="shared" si="279"/>
        <v>643243</v>
      </c>
      <c r="J383" s="23">
        <f t="shared" si="279"/>
        <v>647986</v>
      </c>
      <c r="K383" s="23">
        <f t="shared" si="279"/>
        <v>647744</v>
      </c>
      <c r="L383" s="23">
        <f t="shared" si="279"/>
        <v>658018</v>
      </c>
      <c r="M383" s="23">
        <f t="shared" si="279"/>
        <v>662546</v>
      </c>
      <c r="N383" s="16"/>
      <c r="O383" s="24">
        <f t="shared" si="267"/>
        <v>8.5992203550545216</v>
      </c>
      <c r="P383" s="24">
        <f t="shared" si="268"/>
        <v>8.5423206899701203</v>
      </c>
      <c r="Q383" s="24">
        <f t="shared" si="269"/>
        <v>8.5126295714897324</v>
      </c>
      <c r="R383" s="24">
        <f t="shared" si="270"/>
        <v>8.4979611324747726</v>
      </c>
      <c r="S383" s="24">
        <f t="shared" si="271"/>
        <v>8.4911582440946916</v>
      </c>
      <c r="T383" s="24">
        <f t="shared" si="272"/>
        <v>8.503418058964817</v>
      </c>
      <c r="U383" s="24">
        <f t="shared" si="273"/>
        <v>8.4991105939627385</v>
      </c>
      <c r="V383" s="24">
        <f t="shared" si="274"/>
        <v>8.4067568450630592</v>
      </c>
      <c r="W383" s="24">
        <f t="shared" si="275"/>
        <v>8.3987142431272925</v>
      </c>
      <c r="X383" s="24">
        <f t="shared" si="276"/>
        <v>8.4637014582135581</v>
      </c>
      <c r="Y383" s="24">
        <f t="shared" si="277"/>
        <v>9.0619861457314812</v>
      </c>
      <c r="Z383" s="24">
        <f t="shared" si="277"/>
        <v>9.0273731827285975</v>
      </c>
    </row>
    <row r="384" spans="1:26">
      <c r="A384" s="21" t="s">
        <v>2401</v>
      </c>
      <c r="B384" s="23">
        <f>STAFFORDSHIRE!D4</f>
        <v>185256</v>
      </c>
      <c r="C384" s="23">
        <f>STAFFORDSHIRE!E4</f>
        <v>186441</v>
      </c>
      <c r="D384" s="23">
        <f>STAFFORDSHIRE!F4</f>
        <v>187432</v>
      </c>
      <c r="E384" s="23">
        <f>STAFFORDSHIRE!G4</f>
        <v>187103</v>
      </c>
      <c r="F384" s="23">
        <f>STAFFORDSHIRE!H4</f>
        <v>186514</v>
      </c>
      <c r="G384" s="23">
        <f>STAFFORDSHIRE!I4</f>
        <v>182238</v>
      </c>
      <c r="H384" s="23">
        <f>STAFFORDSHIRE!J4</f>
        <v>179857</v>
      </c>
      <c r="I384" s="23">
        <f>STAFFORDSHIRE!K4</f>
        <v>176234</v>
      </c>
      <c r="J384" s="23">
        <f>STAFFORDSHIRE!L4</f>
        <v>180154</v>
      </c>
      <c r="K384" s="23">
        <f>STAFFORDSHIRE!M4</f>
        <v>175362</v>
      </c>
      <c r="L384" s="23">
        <f>STAFFORDSHIRE!N4</f>
        <v>170443</v>
      </c>
      <c r="M384" s="23">
        <f>STAFFORDSHIRE!O4</f>
        <v>170346</v>
      </c>
      <c r="N384" s="16"/>
      <c r="O384" s="24">
        <f t="shared" si="267"/>
        <v>2.4397618922193542</v>
      </c>
      <c r="P384" s="24">
        <f t="shared" si="268"/>
        <v>2.4326535405331349</v>
      </c>
      <c r="Q384" s="24">
        <f t="shared" si="269"/>
        <v>2.431623876182198</v>
      </c>
      <c r="R384" s="24">
        <f t="shared" si="270"/>
        <v>2.4144191808398068</v>
      </c>
      <c r="S384" s="24">
        <f t="shared" si="271"/>
        <v>2.4180517022324786</v>
      </c>
      <c r="T384" s="24">
        <f t="shared" si="272"/>
        <v>2.4050201916224561</v>
      </c>
      <c r="U384" s="24">
        <f t="shared" si="273"/>
        <v>2.4055022803568322</v>
      </c>
      <c r="V384" s="24">
        <f t="shared" si="274"/>
        <v>2.3032607985362348</v>
      </c>
      <c r="W384" s="24">
        <f t="shared" si="275"/>
        <v>2.3350226173966018</v>
      </c>
      <c r="X384" s="24">
        <f t="shared" si="276"/>
        <v>2.2913552500914651</v>
      </c>
      <c r="Y384" s="24">
        <f t="shared" si="277"/>
        <v>2.3472794127773264</v>
      </c>
      <c r="Z384" s="24">
        <f t="shared" si="277"/>
        <v>2.3210115406101401</v>
      </c>
    </row>
    <row r="385" spans="1:26">
      <c r="A385" s="25" t="s">
        <v>2409</v>
      </c>
      <c r="B385" s="23">
        <f t="shared" ref="B385:G385" si="280">B383+B384</f>
        <v>838212</v>
      </c>
      <c r="C385" s="23">
        <f t="shared" si="280"/>
        <v>841133</v>
      </c>
      <c r="D385" s="23">
        <f t="shared" si="280"/>
        <v>843594</v>
      </c>
      <c r="E385" s="23">
        <f t="shared" si="280"/>
        <v>845644</v>
      </c>
      <c r="F385" s="23">
        <f t="shared" si="280"/>
        <v>841471</v>
      </c>
      <c r="G385" s="23">
        <f t="shared" si="280"/>
        <v>826576</v>
      </c>
      <c r="H385" s="23">
        <f t="shared" ref="H385:M385" si="281">H383+H384</f>
        <v>815327</v>
      </c>
      <c r="I385" s="23">
        <f t="shared" si="281"/>
        <v>819477</v>
      </c>
      <c r="J385" s="23">
        <f t="shared" si="281"/>
        <v>828140</v>
      </c>
      <c r="K385" s="23">
        <f t="shared" si="281"/>
        <v>823106</v>
      </c>
      <c r="L385" s="23">
        <f t="shared" si="281"/>
        <v>828461</v>
      </c>
      <c r="M385" s="23">
        <f t="shared" si="281"/>
        <v>832892</v>
      </c>
      <c r="N385" s="16"/>
      <c r="O385" s="24">
        <f t="shared" si="267"/>
        <v>11.038982247273877</v>
      </c>
      <c r="P385" s="24">
        <f t="shared" si="268"/>
        <v>10.974974230503255</v>
      </c>
      <c r="Q385" s="24">
        <f t="shared" si="269"/>
        <v>10.94425344767193</v>
      </c>
      <c r="R385" s="24">
        <f t="shared" si="270"/>
        <v>10.912380313314578</v>
      </c>
      <c r="S385" s="24">
        <f t="shared" si="271"/>
        <v>10.90920994632717</v>
      </c>
      <c r="T385" s="24">
        <f t="shared" si="272"/>
        <v>10.908438250587272</v>
      </c>
      <c r="U385" s="24">
        <f t="shared" si="273"/>
        <v>10.904612874319572</v>
      </c>
      <c r="V385" s="24">
        <f t="shared" si="274"/>
        <v>10.710017643599294</v>
      </c>
      <c r="W385" s="24">
        <f t="shared" si="275"/>
        <v>10.733736860523894</v>
      </c>
      <c r="X385" s="24">
        <f t="shared" si="276"/>
        <v>10.755056708305023</v>
      </c>
      <c r="Y385" s="24">
        <f t="shared" si="277"/>
        <v>11.409265558508807</v>
      </c>
      <c r="Z385" s="24">
        <f t="shared" si="277"/>
        <v>11.348384723338738</v>
      </c>
    </row>
    <row r="386" spans="1:26">
      <c r="A386" s="21"/>
      <c r="B386" s="23"/>
      <c r="C386" s="23"/>
      <c r="D386" s="23"/>
      <c r="E386" s="23"/>
      <c r="F386" s="23"/>
      <c r="G386" s="23"/>
      <c r="H386" s="23"/>
      <c r="I386" s="23"/>
      <c r="J386" s="23"/>
      <c r="K386" s="23"/>
      <c r="L386" s="23"/>
      <c r="M386" s="23"/>
      <c r="N386" s="16"/>
      <c r="O386" s="24"/>
      <c r="P386" s="24"/>
      <c r="Q386" s="24"/>
      <c r="R386" s="24"/>
      <c r="S386" s="24"/>
      <c r="T386" s="24"/>
      <c r="U386" s="24"/>
      <c r="V386" s="24"/>
      <c r="W386" s="24"/>
      <c r="X386" s="24"/>
      <c r="Y386" s="24"/>
      <c r="Z386" s="24"/>
    </row>
    <row r="387" spans="1:26">
      <c r="A387" s="21" t="s">
        <v>5370</v>
      </c>
      <c r="B387" s="23">
        <f>WARWICKSHIRE!D5</f>
        <v>49662</v>
      </c>
      <c r="C387" s="23">
        <f>WARWICKSHIRE!E5</f>
        <v>49627</v>
      </c>
      <c r="D387" s="23">
        <f>WARWICKSHIRE!F5</f>
        <v>49788</v>
      </c>
      <c r="E387" s="23">
        <f>WARWICKSHIRE!G5</f>
        <v>49987</v>
      </c>
      <c r="F387" s="23">
        <f>WARWICKSHIRE!H5</f>
        <v>49456</v>
      </c>
      <c r="G387" s="23">
        <f>WARWICKSHIRE!I5</f>
        <v>48520</v>
      </c>
      <c r="H387" s="23">
        <f>WARWICKSHIRE!J5</f>
        <v>47339</v>
      </c>
      <c r="I387" s="23">
        <f>WARWICKSHIRE!K5</f>
        <v>48761</v>
      </c>
      <c r="J387" s="23">
        <f>WARWICKSHIRE!L5</f>
        <v>48994</v>
      </c>
      <c r="K387" s="23">
        <f>WARWICKSHIRE!M5</f>
        <v>48511</v>
      </c>
      <c r="L387" s="23">
        <f>WARWICKSHIRE!N5</f>
        <v>48421</v>
      </c>
      <c r="M387" s="23">
        <f>WARWICKSHIRE!O5</f>
        <v>49542</v>
      </c>
      <c r="N387" s="16"/>
      <c r="O387" s="24">
        <f t="shared" ref="O387:X392" si="282">B387/B$451</f>
        <v>0.65403255544434491</v>
      </c>
      <c r="P387" s="24">
        <f t="shared" si="282"/>
        <v>0.64752547592019938</v>
      </c>
      <c r="Q387" s="24">
        <f t="shared" si="282"/>
        <v>0.64591793048870672</v>
      </c>
      <c r="R387" s="24">
        <f t="shared" si="282"/>
        <v>0.64504348723772165</v>
      </c>
      <c r="S387" s="24">
        <f t="shared" si="282"/>
        <v>0.64116991210101903</v>
      </c>
      <c r="T387" s="24">
        <f t="shared" si="282"/>
        <v>0.64032517750151763</v>
      </c>
      <c r="U387" s="24">
        <f t="shared" si="282"/>
        <v>0.63313672778825447</v>
      </c>
      <c r="V387" s="24">
        <f t="shared" si="282"/>
        <v>0.63727373717571723</v>
      </c>
      <c r="W387" s="24">
        <f t="shared" si="282"/>
        <v>0.63502391352248133</v>
      </c>
      <c r="X387" s="24">
        <f t="shared" si="282"/>
        <v>0.63386557257095066</v>
      </c>
      <c r="Y387" s="24">
        <f t="shared" ref="Y387:Z392" si="283">L387/L$451</f>
        <v>0.66683651687714318</v>
      </c>
      <c r="Z387" s="24">
        <f t="shared" si="283"/>
        <v>0.67502350360388597</v>
      </c>
    </row>
    <row r="388" spans="1:26">
      <c r="A388" s="21" t="s">
        <v>6835</v>
      </c>
      <c r="B388" s="23">
        <f>WARWICKSHIRE!D6</f>
        <v>94012</v>
      </c>
      <c r="C388" s="23">
        <f>WARWICKSHIRE!E6</f>
        <v>94340</v>
      </c>
      <c r="D388" s="23">
        <f>WARWICKSHIRE!F6</f>
        <v>94713</v>
      </c>
      <c r="E388" s="23">
        <f>WARWICKSHIRE!G6</f>
        <v>95735</v>
      </c>
      <c r="F388" s="23">
        <f>WARWICKSHIRE!H6</f>
        <v>94069</v>
      </c>
      <c r="G388" s="23">
        <f>WARWICKSHIRE!I6</f>
        <v>92436</v>
      </c>
      <c r="H388" s="23">
        <f>WARWICKSHIRE!J6</f>
        <v>90571</v>
      </c>
      <c r="I388" s="23">
        <f>WARWICKSHIRE!K6</f>
        <v>93023</v>
      </c>
      <c r="J388" s="23">
        <f>WARWICKSHIRE!L6</f>
        <v>94409</v>
      </c>
      <c r="K388" s="23">
        <f>WARWICKSHIRE!M6</f>
        <v>93870</v>
      </c>
      <c r="L388" s="23">
        <f>WARWICKSHIRE!N6</f>
        <v>94623</v>
      </c>
      <c r="M388" s="23">
        <f>WARWICKSHIRE!O6</f>
        <v>96134</v>
      </c>
      <c r="N388" s="16"/>
      <c r="O388" s="24">
        <f t="shared" si="282"/>
        <v>1.2381077806458409</v>
      </c>
      <c r="P388" s="24">
        <f t="shared" si="282"/>
        <v>1.2309338343706371</v>
      </c>
      <c r="Q388" s="24">
        <f t="shared" si="282"/>
        <v>1.2287463836743167</v>
      </c>
      <c r="R388" s="24">
        <f t="shared" si="282"/>
        <v>1.2353859653650605</v>
      </c>
      <c r="S388" s="24">
        <f t="shared" si="282"/>
        <v>1.2195529857131744</v>
      </c>
      <c r="T388" s="24">
        <f t="shared" si="282"/>
        <v>1.2198907276902367</v>
      </c>
      <c r="U388" s="24">
        <f t="shared" si="282"/>
        <v>1.211344273696318</v>
      </c>
      <c r="V388" s="24">
        <f t="shared" si="282"/>
        <v>1.2157485460367248</v>
      </c>
      <c r="W388" s="24">
        <f t="shared" si="282"/>
        <v>1.2236594818088733</v>
      </c>
      <c r="X388" s="24">
        <f t="shared" si="282"/>
        <v>1.22654575863691</v>
      </c>
      <c r="Y388" s="24">
        <f t="shared" si="283"/>
        <v>1.3031137675071958</v>
      </c>
      <c r="Z388" s="24">
        <f t="shared" si="283"/>
        <v>1.3098524382434291</v>
      </c>
    </row>
    <row r="389" spans="1:26">
      <c r="A389" s="21" t="s">
        <v>6836</v>
      </c>
      <c r="B389" s="23">
        <f>WARWICKSHIRE!D7</f>
        <v>71178</v>
      </c>
      <c r="C389" s="23">
        <f>WARWICKSHIRE!E7</f>
        <v>72604</v>
      </c>
      <c r="D389" s="23">
        <f>WARWICKSHIRE!F7</f>
        <v>72426</v>
      </c>
      <c r="E389" s="23">
        <f>WARWICKSHIRE!G7</f>
        <v>73069</v>
      </c>
      <c r="F389" s="23">
        <f>WARWICKSHIRE!H7</f>
        <v>73362</v>
      </c>
      <c r="G389" s="23">
        <f>WARWICKSHIRE!I7</f>
        <v>73393</v>
      </c>
      <c r="H389" s="23">
        <f>WARWICKSHIRE!J7</f>
        <v>71187</v>
      </c>
      <c r="I389" s="23">
        <f>WARWICKSHIRE!K7</f>
        <v>73539</v>
      </c>
      <c r="J389" s="23">
        <f>WARWICKSHIRE!L7</f>
        <v>74005</v>
      </c>
      <c r="K389" s="23">
        <f>WARWICKSHIRE!M7</f>
        <v>73330</v>
      </c>
      <c r="L389" s="23">
        <f>WARWICKSHIRE!N7</f>
        <v>74224</v>
      </c>
      <c r="M389" s="23">
        <f>WARWICKSHIRE!O7</f>
        <v>75851</v>
      </c>
      <c r="N389" s="16"/>
      <c r="O389" s="24">
        <f t="shared" si="282"/>
        <v>0.9373913501554022</v>
      </c>
      <c r="P389" s="24">
        <f t="shared" si="282"/>
        <v>0.94732584386946939</v>
      </c>
      <c r="Q389" s="24">
        <f t="shared" si="282"/>
        <v>0.93960898275839699</v>
      </c>
      <c r="R389" s="24">
        <f t="shared" si="282"/>
        <v>0.94289880506877954</v>
      </c>
      <c r="S389" s="24">
        <f t="shared" si="282"/>
        <v>0.95109808903985271</v>
      </c>
      <c r="T389" s="24">
        <f t="shared" si="282"/>
        <v>0.96857761237363738</v>
      </c>
      <c r="U389" s="24">
        <f t="shared" si="282"/>
        <v>0.95209244472976773</v>
      </c>
      <c r="V389" s="24">
        <f t="shared" si="282"/>
        <v>0.96110566555577337</v>
      </c>
      <c r="W389" s="24">
        <f t="shared" si="282"/>
        <v>0.95919795730561352</v>
      </c>
      <c r="X389" s="24">
        <f t="shared" si="282"/>
        <v>0.95816129200857159</v>
      </c>
      <c r="Y389" s="24">
        <f t="shared" si="283"/>
        <v>1.0221861099252201</v>
      </c>
      <c r="Z389" s="24">
        <f t="shared" si="283"/>
        <v>1.0334909323777473</v>
      </c>
    </row>
    <row r="390" spans="1:26">
      <c r="A390" s="21" t="s">
        <v>11868</v>
      </c>
      <c r="B390" s="23">
        <f>WARWICKSHIRE!D8</f>
        <v>94499</v>
      </c>
      <c r="C390" s="23">
        <f>WARWICKSHIRE!E8</f>
        <v>93887</v>
      </c>
      <c r="D390" s="23">
        <f>WARWICKSHIRE!F8</f>
        <v>95227</v>
      </c>
      <c r="E390" s="23">
        <f>WARWICKSHIRE!G8</f>
        <v>96193</v>
      </c>
      <c r="F390" s="23">
        <f>WARWICKSHIRE!H8</f>
        <v>96494</v>
      </c>
      <c r="G390" s="23">
        <f>WARWICKSHIRE!I8</f>
        <v>95396</v>
      </c>
      <c r="H390" s="23">
        <f>WARWICKSHIRE!J8</f>
        <v>94292</v>
      </c>
      <c r="I390" s="23">
        <f>WARWICKSHIRE!K8</f>
        <v>97284</v>
      </c>
      <c r="J390" s="23">
        <f>WARWICKSHIRE!L8</f>
        <v>97272</v>
      </c>
      <c r="K390" s="23">
        <f>WARWICKSHIRE!M8</f>
        <v>97515</v>
      </c>
      <c r="L390" s="23">
        <f>WARWICKSHIRE!N8</f>
        <v>99096</v>
      </c>
      <c r="M390" s="23">
        <f>WARWICKSHIRE!O8</f>
        <v>102450</v>
      </c>
      <c r="N390" s="16"/>
      <c r="O390" s="24">
        <f t="shared" si="282"/>
        <v>1.2445214138966443</v>
      </c>
      <c r="P390" s="24">
        <f t="shared" si="282"/>
        <v>1.2250231599274539</v>
      </c>
      <c r="Q390" s="24">
        <f t="shared" si="282"/>
        <v>1.2354146936339694</v>
      </c>
      <c r="R390" s="24">
        <f t="shared" si="282"/>
        <v>1.2412961003432523</v>
      </c>
      <c r="S390" s="24">
        <f t="shared" si="282"/>
        <v>1.2509917805377655</v>
      </c>
      <c r="T390" s="24">
        <f t="shared" si="282"/>
        <v>1.2589542587167102</v>
      </c>
      <c r="U390" s="24">
        <f t="shared" si="282"/>
        <v>1.2611108882023299</v>
      </c>
      <c r="V390" s="24">
        <f t="shared" si="282"/>
        <v>1.271436973142521</v>
      </c>
      <c r="W390" s="24">
        <f t="shared" si="282"/>
        <v>1.2607675657459851</v>
      </c>
      <c r="X390" s="24">
        <f t="shared" si="282"/>
        <v>1.2741728949981708</v>
      </c>
      <c r="Y390" s="24">
        <f t="shared" si="283"/>
        <v>1.3647143073554322</v>
      </c>
      <c r="Z390" s="24">
        <f t="shared" si="283"/>
        <v>1.3959096916599676</v>
      </c>
    </row>
    <row r="391" spans="1:26">
      <c r="A391" s="21" t="s">
        <v>6837</v>
      </c>
      <c r="B391" s="23">
        <f>WARWICKSHIRE!D9</f>
        <v>98267</v>
      </c>
      <c r="C391" s="23">
        <f>WARWICKSHIRE!E9</f>
        <v>97464</v>
      </c>
      <c r="D391" s="23">
        <f>WARWICKSHIRE!F9</f>
        <v>98266</v>
      </c>
      <c r="E391" s="23">
        <f>WARWICKSHIRE!G9</f>
        <v>100220</v>
      </c>
      <c r="F391" s="23">
        <f>WARWICKSHIRE!H9</f>
        <v>98077</v>
      </c>
      <c r="G391" s="23">
        <f>WARWICKSHIRE!I9</f>
        <v>98136</v>
      </c>
      <c r="H391" s="23">
        <f>WARWICKSHIRE!J9</f>
        <v>97927</v>
      </c>
      <c r="I391" s="23">
        <f>WARWICKSHIRE!K9</f>
        <v>101033</v>
      </c>
      <c r="J391" s="23">
        <f>WARWICKSHIRE!L9</f>
        <v>104667</v>
      </c>
      <c r="K391" s="23">
        <f>WARWICKSHIRE!M9</f>
        <v>102884</v>
      </c>
      <c r="L391" s="23">
        <f>WARWICKSHIRE!N9</f>
        <v>104436</v>
      </c>
      <c r="M391" s="23">
        <f>WARWICKSHIRE!O9</f>
        <v>108485</v>
      </c>
      <c r="N391" s="16"/>
      <c r="O391" s="24">
        <f t="shared" si="282"/>
        <v>1.2941447611020387</v>
      </c>
      <c r="P391" s="24">
        <f t="shared" si="282"/>
        <v>1.2716953066896308</v>
      </c>
      <c r="Q391" s="24">
        <f t="shared" si="282"/>
        <v>1.2748407519362748</v>
      </c>
      <c r="R391" s="24">
        <f t="shared" si="282"/>
        <v>1.2932614137868739</v>
      </c>
      <c r="S391" s="24">
        <f t="shared" si="282"/>
        <v>1.2715145072211995</v>
      </c>
      <c r="T391" s="24">
        <f t="shared" si="282"/>
        <v>1.2951144191939188</v>
      </c>
      <c r="U391" s="24">
        <f t="shared" si="282"/>
        <v>1.3097272933969961</v>
      </c>
      <c r="V391" s="24">
        <f t="shared" si="282"/>
        <v>1.3204339018493105</v>
      </c>
      <c r="W391" s="24">
        <f t="shared" si="282"/>
        <v>1.3566160745531606</v>
      </c>
      <c r="X391" s="24">
        <f t="shared" si="282"/>
        <v>1.3443265562117808</v>
      </c>
      <c r="Y391" s="24">
        <f t="shared" si="283"/>
        <v>1.438254857945547</v>
      </c>
      <c r="Z391" s="24">
        <f t="shared" si="283"/>
        <v>1.4781382420666822</v>
      </c>
    </row>
    <row r="392" spans="1:26">
      <c r="A392" s="21" t="s">
        <v>6838</v>
      </c>
      <c r="B392" s="23">
        <f t="shared" ref="B392:G392" si="284">SUM(B387:B391)</f>
        <v>407618</v>
      </c>
      <c r="C392" s="23">
        <f t="shared" si="284"/>
        <v>407922</v>
      </c>
      <c r="D392" s="23">
        <f t="shared" si="284"/>
        <v>410420</v>
      </c>
      <c r="E392" s="23">
        <f t="shared" si="284"/>
        <v>415204</v>
      </c>
      <c r="F392" s="23">
        <f t="shared" si="284"/>
        <v>411458</v>
      </c>
      <c r="G392" s="23">
        <f t="shared" si="284"/>
        <v>407881</v>
      </c>
      <c r="H392" s="23">
        <f t="shared" ref="H392:M392" si="285">SUM(H387:H391)</f>
        <v>401316</v>
      </c>
      <c r="I392" s="23">
        <f t="shared" si="285"/>
        <v>413640</v>
      </c>
      <c r="J392" s="23">
        <f t="shared" si="285"/>
        <v>419347</v>
      </c>
      <c r="K392" s="23">
        <f t="shared" si="285"/>
        <v>416110</v>
      </c>
      <c r="L392" s="23">
        <f t="shared" si="285"/>
        <v>420800</v>
      </c>
      <c r="M392" s="23">
        <f t="shared" si="285"/>
        <v>432462</v>
      </c>
      <c r="N392" s="16"/>
      <c r="O392" s="24">
        <f t="shared" si="282"/>
        <v>5.3681978612442709</v>
      </c>
      <c r="P392" s="24">
        <f t="shared" si="282"/>
        <v>5.3225036207773906</v>
      </c>
      <c r="Q392" s="24">
        <f t="shared" si="282"/>
        <v>5.3245287424916645</v>
      </c>
      <c r="R392" s="24">
        <f t="shared" si="282"/>
        <v>5.3578857718016879</v>
      </c>
      <c r="S392" s="24">
        <f t="shared" si="282"/>
        <v>5.3343272746130115</v>
      </c>
      <c r="T392" s="24">
        <f t="shared" si="282"/>
        <v>5.3828621954760205</v>
      </c>
      <c r="U392" s="24">
        <f t="shared" si="282"/>
        <v>5.3674116278136657</v>
      </c>
      <c r="V392" s="24">
        <f t="shared" si="282"/>
        <v>5.4059988237600471</v>
      </c>
      <c r="W392" s="24">
        <f t="shared" si="282"/>
        <v>5.4352649929361139</v>
      </c>
      <c r="X392" s="24">
        <f t="shared" si="282"/>
        <v>5.4370720744263838</v>
      </c>
      <c r="Y392" s="24">
        <f t="shared" si="283"/>
        <v>5.7951055596105379</v>
      </c>
      <c r="Z392" s="24">
        <f t="shared" si="283"/>
        <v>5.8924148079517122</v>
      </c>
    </row>
    <row r="393" spans="1:26">
      <c r="A393" s="21"/>
      <c r="B393" s="23"/>
      <c r="C393" s="23"/>
      <c r="D393" s="23"/>
      <c r="E393" s="23"/>
      <c r="F393" s="23"/>
      <c r="G393" s="23"/>
      <c r="H393" s="23"/>
      <c r="I393" s="23"/>
      <c r="J393" s="23"/>
      <c r="K393" s="23"/>
      <c r="L393" s="23"/>
      <c r="M393" s="23"/>
      <c r="N393" s="16"/>
      <c r="O393" s="24"/>
      <c r="P393" s="24"/>
      <c r="Q393" s="24"/>
      <c r="R393" s="24"/>
      <c r="S393" s="24"/>
      <c r="T393" s="24"/>
      <c r="U393" s="24"/>
      <c r="V393" s="24"/>
      <c r="W393" s="24"/>
      <c r="X393" s="24"/>
      <c r="Y393" s="24"/>
      <c r="Z393" s="24"/>
    </row>
    <row r="394" spans="1:26">
      <c r="A394" s="21" t="s">
        <v>4428</v>
      </c>
      <c r="B394" s="30">
        <f>'WEST MIDLANDS'!D5</f>
        <v>726290</v>
      </c>
      <c r="C394" s="30">
        <f>'WEST MIDLANDS'!E5</f>
        <v>731731</v>
      </c>
      <c r="D394" s="30">
        <f>'WEST MIDLANDS'!F5</f>
        <v>743467</v>
      </c>
      <c r="E394" s="30">
        <f>'WEST MIDLANDS'!G5</f>
        <v>736042</v>
      </c>
      <c r="F394" s="30">
        <f>'WEST MIDLANDS'!H5</f>
        <v>715434</v>
      </c>
      <c r="G394" s="30">
        <f>'WEST MIDLANDS'!I5</f>
        <v>707888</v>
      </c>
      <c r="H394" s="30">
        <f>'WEST MIDLANDS'!J5</f>
        <v>686804</v>
      </c>
      <c r="I394" s="30">
        <f>'WEST MIDLANDS'!K5</f>
        <v>688561</v>
      </c>
      <c r="J394" s="30">
        <f>'WEST MIDLANDS'!L5</f>
        <v>695370</v>
      </c>
      <c r="K394" s="30">
        <f>'WEST MIDLANDS'!M5</f>
        <v>687172</v>
      </c>
      <c r="L394" s="30">
        <f>'WEST MIDLANDS'!N5</f>
        <v>735443</v>
      </c>
      <c r="M394" s="30">
        <f>'WEST MIDLANDS'!O5</f>
        <v>729944</v>
      </c>
      <c r="N394" s="16"/>
      <c r="O394" s="24">
        <f t="shared" ref="O394:X401" si="286">B394/B$451</f>
        <v>9.5650055312648163</v>
      </c>
      <c r="P394" s="24">
        <f t="shared" si="286"/>
        <v>9.5475137328583912</v>
      </c>
      <c r="Q394" s="24">
        <f t="shared" si="286"/>
        <v>9.6452692622046943</v>
      </c>
      <c r="R394" s="24">
        <f t="shared" si="286"/>
        <v>9.4980514620486751</v>
      </c>
      <c r="S394" s="24">
        <f t="shared" si="286"/>
        <v>9.2752093758913059</v>
      </c>
      <c r="T394" s="24">
        <f t="shared" si="286"/>
        <v>9.3420962335365694</v>
      </c>
      <c r="U394" s="24">
        <f t="shared" si="286"/>
        <v>9.1856785566210597</v>
      </c>
      <c r="V394" s="24">
        <f t="shared" si="286"/>
        <v>8.9990328693720194</v>
      </c>
      <c r="W394" s="24">
        <f t="shared" si="286"/>
        <v>9.0128705299858716</v>
      </c>
      <c r="X394" s="24">
        <f t="shared" si="286"/>
        <v>8.9788846495583545</v>
      </c>
      <c r="Y394" s="24">
        <f t="shared" ref="Y394:Z401" si="287">L394/L$451</f>
        <v>10.128255271094707</v>
      </c>
      <c r="Z394" s="24">
        <f t="shared" si="287"/>
        <v>9.9456896434264852</v>
      </c>
    </row>
    <row r="395" spans="1:26">
      <c r="A395" s="21" t="s">
        <v>5195</v>
      </c>
      <c r="B395" s="30">
        <f>'WEST MIDLANDS'!D6</f>
        <v>218866</v>
      </c>
      <c r="C395" s="30">
        <f>'WEST MIDLANDS'!E6</f>
        <v>224755</v>
      </c>
      <c r="D395" s="30">
        <f>'WEST MIDLANDS'!F6</f>
        <v>227296</v>
      </c>
      <c r="E395" s="30">
        <f>'WEST MIDLANDS'!G6</f>
        <v>226540</v>
      </c>
      <c r="F395" s="30">
        <f>'WEST MIDLANDS'!H6</f>
        <v>221669</v>
      </c>
      <c r="G395" s="30">
        <f>'WEST MIDLANDS'!I6</f>
        <v>214724</v>
      </c>
      <c r="H395" s="30">
        <f>'WEST MIDLANDS'!J6</f>
        <v>210031</v>
      </c>
      <c r="I395" s="30">
        <f>'WEST MIDLANDS'!K6</f>
        <v>215348</v>
      </c>
      <c r="J395" s="30">
        <f>'WEST MIDLANDS'!L6</f>
        <v>214219</v>
      </c>
      <c r="K395" s="30">
        <f>'WEST MIDLANDS'!M6</f>
        <v>211069</v>
      </c>
      <c r="L395" s="30">
        <f>'WEST MIDLANDS'!N6</f>
        <v>218047</v>
      </c>
      <c r="M395" s="30">
        <f>'WEST MIDLANDS'!O6</f>
        <v>217818</v>
      </c>
      <c r="N395" s="16"/>
      <c r="O395" s="24">
        <f t="shared" si="286"/>
        <v>2.8823947742717166</v>
      </c>
      <c r="P395" s="24">
        <f t="shared" si="286"/>
        <v>2.9325687295311909</v>
      </c>
      <c r="Q395" s="24">
        <f t="shared" si="286"/>
        <v>2.9487941256600201</v>
      </c>
      <c r="R395" s="24">
        <f t="shared" si="286"/>
        <v>2.9233230959816243</v>
      </c>
      <c r="S395" s="24">
        <f t="shared" si="286"/>
        <v>2.873816993802992</v>
      </c>
      <c r="T395" s="24">
        <f t="shared" si="286"/>
        <v>2.8337424446380024</v>
      </c>
      <c r="U395" s="24">
        <f t="shared" si="286"/>
        <v>2.8090652543166286</v>
      </c>
      <c r="V395" s="24">
        <f t="shared" si="286"/>
        <v>2.8144546820884795</v>
      </c>
      <c r="W395" s="24">
        <f t="shared" si="286"/>
        <v>2.7765478983318861</v>
      </c>
      <c r="X395" s="24">
        <f t="shared" si="286"/>
        <v>2.7579182564156168</v>
      </c>
      <c r="Y395" s="24">
        <f t="shared" si="287"/>
        <v>3.0028645008469557</v>
      </c>
      <c r="Z395" s="24">
        <f t="shared" si="287"/>
        <v>2.967830719550911</v>
      </c>
    </row>
    <row r="396" spans="1:26">
      <c r="A396" s="21" t="s">
        <v>5196</v>
      </c>
      <c r="B396" s="30">
        <f>'WEST MIDLANDS'!D7</f>
        <v>240213</v>
      </c>
      <c r="C396" s="30">
        <f>'WEST MIDLANDS'!E7</f>
        <v>242131</v>
      </c>
      <c r="D396" s="30">
        <f>'WEST MIDLANDS'!F7</f>
        <v>242929</v>
      </c>
      <c r="E396" s="30">
        <f>'WEST MIDLANDS'!G7</f>
        <v>243645</v>
      </c>
      <c r="F396" s="30">
        <f>'WEST MIDLANDS'!H7</f>
        <v>237787</v>
      </c>
      <c r="G396" s="30">
        <f>'WEST MIDLANDS'!I7</f>
        <v>237550</v>
      </c>
      <c r="H396" s="30">
        <f>'WEST MIDLANDS'!J7</f>
        <v>239405</v>
      </c>
      <c r="I396" s="30">
        <f>'WEST MIDLANDS'!K7</f>
        <v>241620</v>
      </c>
      <c r="J396" s="30">
        <f>'WEST MIDLANDS'!L7</f>
        <v>240020</v>
      </c>
      <c r="K396" s="30">
        <f>'WEST MIDLANDS'!M7</f>
        <v>238475</v>
      </c>
      <c r="L396" s="30">
        <f>'WEST MIDLANDS'!N7</f>
        <v>243015</v>
      </c>
      <c r="M396" s="30">
        <f>'WEST MIDLANDS'!O7</f>
        <v>239722</v>
      </c>
      <c r="N396" s="16"/>
      <c r="O396" s="24">
        <f t="shared" si="286"/>
        <v>3.1635278933782858</v>
      </c>
      <c r="P396" s="24">
        <f t="shared" si="286"/>
        <v>3.1592881094975276</v>
      </c>
      <c r="Q396" s="24">
        <f t="shared" si="286"/>
        <v>3.1516067513395001</v>
      </c>
      <c r="R396" s="24">
        <f t="shared" si="286"/>
        <v>3.1440498619247941</v>
      </c>
      <c r="S396" s="24">
        <f t="shared" si="286"/>
        <v>3.0827780226618611</v>
      </c>
      <c r="T396" s="24">
        <f t="shared" si="286"/>
        <v>3.1349803362630984</v>
      </c>
      <c r="U396" s="24">
        <f t="shared" si="286"/>
        <v>3.2019286067755353</v>
      </c>
      <c r="V396" s="24">
        <f t="shared" si="286"/>
        <v>3.1578121936875121</v>
      </c>
      <c r="W396" s="24">
        <f t="shared" si="286"/>
        <v>3.1109613365650071</v>
      </c>
      <c r="X396" s="24">
        <f t="shared" si="286"/>
        <v>3.1160168295614907</v>
      </c>
      <c r="Y396" s="24">
        <f t="shared" si="287"/>
        <v>3.3467147755911477</v>
      </c>
      <c r="Z396" s="24">
        <f t="shared" si="287"/>
        <v>3.266278800430559</v>
      </c>
    </row>
    <row r="397" spans="1:26">
      <c r="A397" s="21" t="s">
        <v>5197</v>
      </c>
      <c r="B397" s="30">
        <f>'WEST MIDLANDS'!D8</f>
        <v>220403</v>
      </c>
      <c r="C397" s="30">
        <f>'WEST MIDLANDS'!E8</f>
        <v>219710</v>
      </c>
      <c r="D397" s="30">
        <f>'WEST MIDLANDS'!F8</f>
        <v>222014</v>
      </c>
      <c r="E397" s="30">
        <f>'WEST MIDLANDS'!G8</f>
        <v>224705</v>
      </c>
      <c r="F397" s="30">
        <f>'WEST MIDLANDS'!H8</f>
        <v>221702</v>
      </c>
      <c r="G397" s="30">
        <f>'WEST MIDLANDS'!I8</f>
        <v>221691</v>
      </c>
      <c r="H397" s="30">
        <f>'WEST MIDLANDS'!J8</f>
        <v>215484</v>
      </c>
      <c r="I397" s="30">
        <f>'WEST MIDLANDS'!K8</f>
        <v>219141</v>
      </c>
      <c r="J397" s="30">
        <f>'WEST MIDLANDS'!L8</f>
        <v>222016</v>
      </c>
      <c r="K397" s="30">
        <f>'WEST MIDLANDS'!M8</f>
        <v>209837</v>
      </c>
      <c r="L397" s="30">
        <f>'WEST MIDLANDS'!N8</f>
        <v>219242</v>
      </c>
      <c r="M397" s="30">
        <f>'WEST MIDLANDS'!O8</f>
        <v>218539</v>
      </c>
      <c r="N397" s="16"/>
      <c r="O397" s="24">
        <f t="shared" si="286"/>
        <v>2.9026365695622398</v>
      </c>
      <c r="P397" s="24">
        <f t="shared" si="286"/>
        <v>2.8667423441760937</v>
      </c>
      <c r="Q397" s="24">
        <f t="shared" si="286"/>
        <v>2.8802688081368948</v>
      </c>
      <c r="R397" s="24">
        <f t="shared" si="286"/>
        <v>2.8996438433943275</v>
      </c>
      <c r="S397" s="24">
        <f t="shared" si="286"/>
        <v>2.874244820701636</v>
      </c>
      <c r="T397" s="24">
        <f t="shared" si="286"/>
        <v>2.9256869110776784</v>
      </c>
      <c r="U397" s="24">
        <f t="shared" si="286"/>
        <v>2.8819965493720661</v>
      </c>
      <c r="V397" s="24">
        <f t="shared" si="286"/>
        <v>2.8640266614389334</v>
      </c>
      <c r="W397" s="24">
        <f t="shared" si="286"/>
        <v>2.8776068331756379</v>
      </c>
      <c r="X397" s="24">
        <f t="shared" si="286"/>
        <v>2.741820414989808</v>
      </c>
      <c r="Y397" s="24">
        <f t="shared" si="287"/>
        <v>3.0193216090782644</v>
      </c>
      <c r="Z397" s="24">
        <f t="shared" si="287"/>
        <v>2.9776545447113483</v>
      </c>
    </row>
    <row r="398" spans="1:26">
      <c r="A398" s="21" t="s">
        <v>5198</v>
      </c>
      <c r="B398" s="30">
        <f>'WEST MIDLANDS'!D9</f>
        <v>159038</v>
      </c>
      <c r="C398" s="30">
        <f>'WEST MIDLANDS'!E9</f>
        <v>160782</v>
      </c>
      <c r="D398" s="30">
        <f>'WEST MIDLANDS'!F9</f>
        <v>157202</v>
      </c>
      <c r="E398" s="30">
        <f>'WEST MIDLANDS'!G9</f>
        <v>159215</v>
      </c>
      <c r="F398" s="30">
        <f>'WEST MIDLANDS'!H9</f>
        <v>160752</v>
      </c>
      <c r="G398" s="30">
        <f>'WEST MIDLANDS'!I9</f>
        <v>156714</v>
      </c>
      <c r="H398" s="30">
        <f>'WEST MIDLANDS'!J9</f>
        <v>153873</v>
      </c>
      <c r="I398" s="30">
        <f>'WEST MIDLANDS'!K9</f>
        <v>160380</v>
      </c>
      <c r="J398" s="30">
        <f>'WEST MIDLANDS'!L9</f>
        <v>158603</v>
      </c>
      <c r="K398" s="30">
        <f>'WEST MIDLANDS'!M9</f>
        <v>157620</v>
      </c>
      <c r="L398" s="30">
        <f>'WEST MIDLANDS'!N9</f>
        <v>161156</v>
      </c>
      <c r="M398" s="30">
        <f>'WEST MIDLANDS'!O9</f>
        <v>162614</v>
      </c>
      <c r="N398" s="16"/>
      <c r="O398" s="24">
        <f t="shared" si="286"/>
        <v>2.0944792709266187</v>
      </c>
      <c r="P398" s="24">
        <f t="shared" si="286"/>
        <v>2.0978588483970722</v>
      </c>
      <c r="Q398" s="24">
        <f t="shared" si="286"/>
        <v>2.0394390316679858</v>
      </c>
      <c r="R398" s="24">
        <f t="shared" si="286"/>
        <v>2.054546158412264</v>
      </c>
      <c r="S398" s="24">
        <f t="shared" si="286"/>
        <v>2.0840615033577929</v>
      </c>
      <c r="T398" s="24">
        <f t="shared" si="286"/>
        <v>2.0681764193522842</v>
      </c>
      <c r="U398" s="24">
        <f t="shared" si="286"/>
        <v>2.0579785740079446</v>
      </c>
      <c r="V398" s="24">
        <f t="shared" si="286"/>
        <v>2.0960595961576161</v>
      </c>
      <c r="W398" s="24">
        <f t="shared" si="286"/>
        <v>2.0556945290526616</v>
      </c>
      <c r="X398" s="24">
        <f t="shared" si="286"/>
        <v>2.0595306538441438</v>
      </c>
      <c r="Y398" s="24">
        <f t="shared" si="287"/>
        <v>2.2193822042884883</v>
      </c>
      <c r="Z398" s="24">
        <f t="shared" si="287"/>
        <v>2.2156608940907172</v>
      </c>
    </row>
    <row r="399" spans="1:26">
      <c r="A399" s="21" t="s">
        <v>6706</v>
      </c>
      <c r="B399" s="30">
        <f>'WEST MIDLANDS'!D10</f>
        <v>188908</v>
      </c>
      <c r="C399" s="30">
        <f>'WEST MIDLANDS'!E10</f>
        <v>191056</v>
      </c>
      <c r="D399" s="30">
        <f>'WEST MIDLANDS'!F10</f>
        <v>195268</v>
      </c>
      <c r="E399" s="30">
        <f>'WEST MIDLANDS'!G10</f>
        <v>196935</v>
      </c>
      <c r="F399" s="30">
        <f>'WEST MIDLANDS'!H10</f>
        <v>194347</v>
      </c>
      <c r="G399" s="30">
        <f>'WEST MIDLANDS'!I10</f>
        <v>193557</v>
      </c>
      <c r="H399" s="30">
        <f>'WEST MIDLANDS'!J10</f>
        <v>186960</v>
      </c>
      <c r="I399" s="30">
        <f>'WEST MIDLANDS'!K10</f>
        <v>191066</v>
      </c>
      <c r="J399" s="30">
        <f>'WEST MIDLANDS'!L10</f>
        <v>192252</v>
      </c>
      <c r="K399" s="30">
        <f>'WEST MIDLANDS'!M10</f>
        <v>192586</v>
      </c>
      <c r="L399" s="30">
        <f>'WEST MIDLANDS'!N10</f>
        <v>193027</v>
      </c>
      <c r="M399" s="30">
        <f>'WEST MIDLANDS'!O10</f>
        <v>197239</v>
      </c>
      <c r="N399" s="16"/>
      <c r="O399" s="24">
        <f t="shared" si="286"/>
        <v>2.4878575567613126</v>
      </c>
      <c r="P399" s="24">
        <f t="shared" si="286"/>
        <v>2.4928693519134666</v>
      </c>
      <c r="Q399" s="24">
        <f t="shared" si="286"/>
        <v>2.5332831696527029</v>
      </c>
      <c r="R399" s="24">
        <f t="shared" si="286"/>
        <v>2.5412935194982835</v>
      </c>
      <c r="S399" s="24">
        <f t="shared" si="286"/>
        <v>2.5196022506287759</v>
      </c>
      <c r="T399" s="24">
        <f t="shared" si="286"/>
        <v>2.5543986063821364</v>
      </c>
      <c r="U399" s="24">
        <f t="shared" si="286"/>
        <v>2.5005015447578542</v>
      </c>
      <c r="V399" s="24">
        <f t="shared" si="286"/>
        <v>2.4971051427824609</v>
      </c>
      <c r="W399" s="24">
        <f t="shared" si="286"/>
        <v>2.491827926328205</v>
      </c>
      <c r="X399" s="24">
        <f t="shared" si="286"/>
        <v>2.5164114357392986</v>
      </c>
      <c r="Y399" s="24">
        <f t="shared" si="287"/>
        <v>2.6582981008910251</v>
      </c>
      <c r="Z399" s="24">
        <f t="shared" si="287"/>
        <v>2.6874361315111797</v>
      </c>
    </row>
    <row r="400" spans="1:26">
      <c r="A400" s="21" t="s">
        <v>5970</v>
      </c>
      <c r="B400" s="30">
        <f>'WEST MIDLANDS'!D11</f>
        <v>168234</v>
      </c>
      <c r="C400" s="30">
        <f>'WEST MIDLANDS'!E11</f>
        <v>172294</v>
      </c>
      <c r="D400" s="30">
        <f>'WEST MIDLANDS'!F11</f>
        <v>174945</v>
      </c>
      <c r="E400" s="30">
        <f>'WEST MIDLANDS'!G11</f>
        <v>174015</v>
      </c>
      <c r="F400" s="30">
        <f>'WEST MIDLANDS'!H11</f>
        <v>173250</v>
      </c>
      <c r="G400" s="30">
        <f>'WEST MIDLANDS'!I11</f>
        <v>173351</v>
      </c>
      <c r="H400" s="30">
        <f>'WEST MIDLANDS'!J11</f>
        <v>170212</v>
      </c>
      <c r="I400" s="30">
        <f>'WEST MIDLANDS'!K11</f>
        <v>171733</v>
      </c>
      <c r="J400" s="30">
        <f>'WEST MIDLANDS'!L11</f>
        <v>171916</v>
      </c>
      <c r="K400" s="30">
        <f>'WEST MIDLANDS'!M11</f>
        <v>168006</v>
      </c>
      <c r="L400" s="30">
        <f>'WEST MIDLANDS'!N11</f>
        <v>176903</v>
      </c>
      <c r="M400" s="30">
        <f>'WEST MIDLANDS'!O11</f>
        <v>172475</v>
      </c>
      <c r="N400" s="16"/>
      <c r="O400" s="24">
        <f t="shared" si="286"/>
        <v>2.2155876310382974</v>
      </c>
      <c r="P400" s="24">
        <f t="shared" si="286"/>
        <v>2.2480656567633512</v>
      </c>
      <c r="Q400" s="24">
        <f t="shared" si="286"/>
        <v>2.2696254589328109</v>
      </c>
      <c r="R400" s="24">
        <f t="shared" si="286"/>
        <v>2.2455286860918267</v>
      </c>
      <c r="S400" s="24">
        <f t="shared" si="286"/>
        <v>2.2460912178805716</v>
      </c>
      <c r="T400" s="24">
        <f t="shared" si="286"/>
        <v>2.2877372185710136</v>
      </c>
      <c r="U400" s="24">
        <f t="shared" si="286"/>
        <v>2.2765049686367345</v>
      </c>
      <c r="V400" s="24">
        <f t="shared" si="286"/>
        <v>2.244435731555904</v>
      </c>
      <c r="W400" s="24">
        <f t="shared" si="286"/>
        <v>2.2282477674231722</v>
      </c>
      <c r="X400" s="24">
        <f t="shared" si="286"/>
        <v>2.195238593006847</v>
      </c>
      <c r="Y400" s="24">
        <f t="shared" si="287"/>
        <v>2.436244198697203</v>
      </c>
      <c r="Z400" s="24">
        <f t="shared" si="287"/>
        <v>2.3500197566525416</v>
      </c>
    </row>
    <row r="401" spans="1:26">
      <c r="A401" s="21" t="s">
        <v>5971</v>
      </c>
      <c r="B401" s="23">
        <f t="shared" ref="B401:G401" si="288">SUM(B394:B400)</f>
        <v>1921952</v>
      </c>
      <c r="C401" s="23">
        <f t="shared" si="288"/>
        <v>1942459</v>
      </c>
      <c r="D401" s="23">
        <f t="shared" si="288"/>
        <v>1963121</v>
      </c>
      <c r="E401" s="23">
        <f t="shared" si="288"/>
        <v>1961097</v>
      </c>
      <c r="F401" s="23">
        <f t="shared" si="288"/>
        <v>1924941</v>
      </c>
      <c r="G401" s="23">
        <f t="shared" si="288"/>
        <v>1905475</v>
      </c>
      <c r="H401" s="23">
        <f t="shared" ref="H401:M401" si="289">SUM(H394:H400)</f>
        <v>1862769</v>
      </c>
      <c r="I401" s="23">
        <f t="shared" si="289"/>
        <v>1887849</v>
      </c>
      <c r="J401" s="23">
        <f t="shared" si="289"/>
        <v>1894396</v>
      </c>
      <c r="K401" s="23">
        <f t="shared" si="289"/>
        <v>1864765</v>
      </c>
      <c r="L401" s="23">
        <f t="shared" si="289"/>
        <v>1946833</v>
      </c>
      <c r="M401" s="23">
        <f t="shared" si="289"/>
        <v>1938351</v>
      </c>
      <c r="N401" s="16"/>
      <c r="O401" s="24">
        <f t="shared" si="286"/>
        <v>25.311489227203285</v>
      </c>
      <c r="P401" s="24">
        <f t="shared" si="286"/>
        <v>25.344906773137094</v>
      </c>
      <c r="Q401" s="24">
        <f t="shared" si="286"/>
        <v>25.468286607594607</v>
      </c>
      <c r="R401" s="24">
        <f t="shared" si="286"/>
        <v>25.306436627351793</v>
      </c>
      <c r="S401" s="24">
        <f t="shared" si="286"/>
        <v>24.955804184924936</v>
      </c>
      <c r="T401" s="24">
        <f t="shared" si="286"/>
        <v>25.146818169820783</v>
      </c>
      <c r="U401" s="24">
        <f t="shared" si="286"/>
        <v>24.913654054487822</v>
      </c>
      <c r="V401" s="24">
        <f t="shared" si="286"/>
        <v>24.672926877082926</v>
      </c>
      <c r="W401" s="24">
        <f t="shared" si="286"/>
        <v>24.553756820862443</v>
      </c>
      <c r="X401" s="24">
        <f t="shared" si="286"/>
        <v>24.36582083311556</v>
      </c>
      <c r="Y401" s="24">
        <f t="shared" si="287"/>
        <v>26.811080660487793</v>
      </c>
      <c r="Z401" s="24">
        <f t="shared" si="287"/>
        <v>26.41057049037374</v>
      </c>
    </row>
    <row r="402" spans="1:26">
      <c r="A402" s="21"/>
      <c r="B402" s="23"/>
      <c r="C402" s="23"/>
      <c r="D402" s="23"/>
      <c r="E402" s="23"/>
      <c r="F402" s="23"/>
      <c r="G402" s="23"/>
      <c r="H402" s="23"/>
      <c r="I402" s="23"/>
      <c r="J402" s="23"/>
      <c r="K402" s="23"/>
      <c r="L402" s="23"/>
      <c r="M402" s="23"/>
      <c r="N402" s="16"/>
      <c r="O402" s="24"/>
      <c r="P402" s="24"/>
      <c r="Q402" s="24"/>
      <c r="R402" s="24"/>
      <c r="S402" s="24"/>
      <c r="T402" s="24"/>
      <c r="U402" s="24"/>
      <c r="V402" s="24"/>
      <c r="W402" s="24"/>
      <c r="X402" s="24"/>
      <c r="Y402" s="24"/>
      <c r="Z402" s="24"/>
    </row>
    <row r="403" spans="1:26">
      <c r="A403" s="21" t="s">
        <v>6847</v>
      </c>
      <c r="B403" s="23">
        <f>WORCESTERSHIRE!D5</f>
        <v>73430</v>
      </c>
      <c r="C403" s="23">
        <f>WORCESTERSHIRE!E5</f>
        <v>73279</v>
      </c>
      <c r="D403" s="23">
        <f>WORCESTERSHIRE!F5</f>
        <v>73099</v>
      </c>
      <c r="E403" s="23">
        <f>WORCESTERSHIRE!G5</f>
        <v>73892</v>
      </c>
      <c r="F403" s="23">
        <f>WORCESTERSHIRE!H5</f>
        <v>71548</v>
      </c>
      <c r="G403" s="23">
        <f>WORCESTERSHIRE!I5</f>
        <v>72319</v>
      </c>
      <c r="H403" s="23">
        <f>WORCESTERSHIRE!J5</f>
        <v>72042</v>
      </c>
      <c r="I403" s="23">
        <f>WORCESTERSHIRE!K5</f>
        <v>72948</v>
      </c>
      <c r="J403" s="23">
        <f>WORCESTERSHIRE!L5</f>
        <v>72206</v>
      </c>
      <c r="K403" s="23">
        <f>WORCESTERSHIRE!M5</f>
        <v>71813</v>
      </c>
      <c r="L403" s="23">
        <f>WORCESTERSHIRE!N5</f>
        <v>73943</v>
      </c>
      <c r="M403" s="23">
        <f>WORCESTERSHIRE!O5</f>
        <v>75305</v>
      </c>
      <c r="N403" s="16"/>
      <c r="O403" s="24">
        <f t="shared" ref="O403:X409" si="290">B403/B$451</f>
        <v>0.96704946531106784</v>
      </c>
      <c r="P403" s="24">
        <f t="shared" si="290"/>
        <v>0.95613314022520579</v>
      </c>
      <c r="Q403" s="24">
        <f t="shared" si="290"/>
        <v>0.94834005786121089</v>
      </c>
      <c r="R403" s="24">
        <f t="shared" si="290"/>
        <v>0.9535189821147444</v>
      </c>
      <c r="S403" s="24">
        <f t="shared" si="290"/>
        <v>0.92758057406591132</v>
      </c>
      <c r="T403" s="24">
        <f t="shared" si="290"/>
        <v>0.95440388523768049</v>
      </c>
      <c r="U403" s="24">
        <f t="shared" si="290"/>
        <v>0.96352766520884325</v>
      </c>
      <c r="V403" s="24">
        <f t="shared" si="290"/>
        <v>0.95338168986473237</v>
      </c>
      <c r="W403" s="24">
        <f t="shared" si="290"/>
        <v>0.93588065272899301</v>
      </c>
      <c r="X403" s="24">
        <f t="shared" si="290"/>
        <v>0.93833951811007166</v>
      </c>
      <c r="Y403" s="24">
        <f t="shared" ref="Y403:Z409" si="291">L403/L$451</f>
        <v>1.0183162794540923</v>
      </c>
      <c r="Z403" s="24">
        <f t="shared" si="291"/>
        <v>1.02605153079994</v>
      </c>
    </row>
    <row r="404" spans="1:26">
      <c r="A404" s="21" t="s">
        <v>6848</v>
      </c>
      <c r="B404" s="23">
        <f>WORCESTERSHIRE!D6</f>
        <v>58849</v>
      </c>
      <c r="C404" s="23">
        <f>WORCESTERSHIRE!E6</f>
        <v>59220</v>
      </c>
      <c r="D404" s="23">
        <f>WORCESTERSHIRE!F6</f>
        <v>59261</v>
      </c>
      <c r="E404" s="23">
        <f>WORCESTERSHIRE!G6</f>
        <v>59839</v>
      </c>
      <c r="F404" s="23">
        <f>WORCESTERSHIRE!H6</f>
        <v>59462</v>
      </c>
      <c r="G404" s="23">
        <f>WORCESTERSHIRE!I6</f>
        <v>58717</v>
      </c>
      <c r="H404" s="23">
        <f>WORCESTERSHIRE!J6</f>
        <v>58606</v>
      </c>
      <c r="I404" s="23">
        <f>WORCESTERSHIRE!K6</f>
        <v>59796</v>
      </c>
      <c r="J404" s="23">
        <f>WORCESTERSHIRE!L6</f>
        <v>59644</v>
      </c>
      <c r="K404" s="23">
        <f>WORCESTERSHIRE!M6</f>
        <v>59537</v>
      </c>
      <c r="L404" s="23">
        <f>WORCESTERSHIRE!N6</f>
        <v>60514</v>
      </c>
      <c r="M404" s="23">
        <f>WORCESTERSHIRE!O6</f>
        <v>61738</v>
      </c>
      <c r="N404" s="16"/>
      <c r="O404" s="24">
        <f t="shared" si="290"/>
        <v>0.77502238845282623</v>
      </c>
      <c r="P404" s="24">
        <f t="shared" si="290"/>
        <v>0.772693466943281</v>
      </c>
      <c r="Q404" s="24">
        <f t="shared" si="290"/>
        <v>0.76881462357779484</v>
      </c>
      <c r="R404" s="24">
        <f t="shared" si="290"/>
        <v>0.77217591039306266</v>
      </c>
      <c r="S404" s="24">
        <f t="shared" si="290"/>
        <v>0.77089221355044468</v>
      </c>
      <c r="T404" s="24">
        <f t="shared" si="290"/>
        <v>0.77489640245994673</v>
      </c>
      <c r="U404" s="24">
        <f t="shared" si="290"/>
        <v>0.78382752210140572</v>
      </c>
      <c r="V404" s="24">
        <f t="shared" si="290"/>
        <v>0.78149382474024698</v>
      </c>
      <c r="W404" s="24">
        <f t="shared" si="290"/>
        <v>0.77306131971537073</v>
      </c>
      <c r="X404" s="24">
        <f t="shared" si="290"/>
        <v>0.77793602676004814</v>
      </c>
      <c r="Y404" s="24">
        <f t="shared" si="291"/>
        <v>0.83337694352250979</v>
      </c>
      <c r="Z404" s="24">
        <f t="shared" si="291"/>
        <v>0.84119738939680899</v>
      </c>
    </row>
    <row r="405" spans="1:26">
      <c r="A405" s="21" t="s">
        <v>6849</v>
      </c>
      <c r="B405" s="23">
        <f>WORCESTERSHIRE!D7</f>
        <v>62522</v>
      </c>
      <c r="C405" s="23">
        <f>WORCESTERSHIRE!E7</f>
        <v>61937</v>
      </c>
      <c r="D405" s="23">
        <f>WORCESTERSHIRE!F7</f>
        <v>61986</v>
      </c>
      <c r="E405" s="23">
        <f>WORCESTERSHIRE!G7</f>
        <v>62189</v>
      </c>
      <c r="F405" s="23">
        <f>WORCESTERSHIRE!H7</f>
        <v>60349</v>
      </c>
      <c r="G405" s="23">
        <f>WORCESTERSHIRE!I7</f>
        <v>60417</v>
      </c>
      <c r="H405" s="23">
        <f>WORCESTERSHIRE!J7</f>
        <v>59495</v>
      </c>
      <c r="I405" s="23">
        <f>WORCESTERSHIRE!K7</f>
        <v>59938</v>
      </c>
      <c r="J405" s="23">
        <f>WORCESTERSHIRE!L7</f>
        <v>58564</v>
      </c>
      <c r="K405" s="23">
        <f>WORCESTERSHIRE!M7</f>
        <v>58045</v>
      </c>
      <c r="L405" s="23">
        <f>WORCESTERSHIRE!N7</f>
        <v>59599</v>
      </c>
      <c r="M405" s="23">
        <f>WORCESTERSHIRE!O7</f>
        <v>60565</v>
      </c>
      <c r="N405" s="16"/>
      <c r="O405" s="24">
        <f t="shared" si="290"/>
        <v>0.82339461623557919</v>
      </c>
      <c r="P405" s="24">
        <f t="shared" si="290"/>
        <v>0.80814446575592702</v>
      </c>
      <c r="Q405" s="24">
        <f t="shared" si="290"/>
        <v>0.80416704505649905</v>
      </c>
      <c r="R405" s="24">
        <f t="shared" si="290"/>
        <v>0.80250083877461476</v>
      </c>
      <c r="S405" s="24">
        <f t="shared" si="290"/>
        <v>0.7823916820079343</v>
      </c>
      <c r="T405" s="24">
        <f t="shared" si="290"/>
        <v>0.79733153852244831</v>
      </c>
      <c r="U405" s="24">
        <f t="shared" si="290"/>
        <v>0.79571747649426905</v>
      </c>
      <c r="V405" s="24">
        <f t="shared" si="290"/>
        <v>0.78334966999934652</v>
      </c>
      <c r="W405" s="24">
        <f t="shared" si="290"/>
        <v>0.75906316021412001</v>
      </c>
      <c r="X405" s="24">
        <f t="shared" si="290"/>
        <v>0.75844091360476662</v>
      </c>
      <c r="Y405" s="24">
        <f t="shared" si="291"/>
        <v>0.82077589412364182</v>
      </c>
      <c r="Z405" s="24">
        <f t="shared" si="291"/>
        <v>0.82521493875437713</v>
      </c>
    </row>
    <row r="406" spans="1:26">
      <c r="A406" s="21" t="s">
        <v>6850</v>
      </c>
      <c r="B406" s="23">
        <f>WORCESTERSHIRE!D8</f>
        <v>72965</v>
      </c>
      <c r="C406" s="23">
        <f>WORCESTERSHIRE!E8</f>
        <v>73960</v>
      </c>
      <c r="D406" s="23">
        <f>WORCESTERSHIRE!F8</f>
        <v>74513</v>
      </c>
      <c r="E406" s="23">
        <f>WORCESTERSHIRE!G8</f>
        <v>73837</v>
      </c>
      <c r="F406" s="23">
        <f>WORCESTERSHIRE!H8</f>
        <v>72165</v>
      </c>
      <c r="G406" s="23">
        <f>WORCESTERSHIRE!I8</f>
        <v>71580</v>
      </c>
      <c r="H406" s="23">
        <f>WORCESTERSHIRE!J8</f>
        <v>70542</v>
      </c>
      <c r="I406" s="23">
        <f>WORCESTERSHIRE!K8</f>
        <v>72543</v>
      </c>
      <c r="J406" s="23">
        <f>WORCESTERSHIRE!L8</f>
        <v>72702</v>
      </c>
      <c r="K406" s="23">
        <f>WORCESTERSHIRE!M8</f>
        <v>73889</v>
      </c>
      <c r="L406" s="23">
        <f>WORCESTERSHIRE!N8</f>
        <v>73930</v>
      </c>
      <c r="M406" s="23">
        <f>WORCESTERSHIRE!O8</f>
        <v>73928</v>
      </c>
      <c r="N406" s="16"/>
      <c r="O406" s="24">
        <f t="shared" si="290"/>
        <v>0.9609255649791919</v>
      </c>
      <c r="P406" s="24">
        <f t="shared" si="290"/>
        <v>0.96501872365966002</v>
      </c>
      <c r="Q406" s="24">
        <f t="shared" si="290"/>
        <v>0.96668439693309638</v>
      </c>
      <c r="R406" s="24">
        <f t="shared" si="290"/>
        <v>0.95280924974836767</v>
      </c>
      <c r="S406" s="24">
        <f t="shared" si="290"/>
        <v>0.93557964062540511</v>
      </c>
      <c r="T406" s="24">
        <f t="shared" si="290"/>
        <v>0.94465119961992239</v>
      </c>
      <c r="U406" s="24">
        <f t="shared" si="290"/>
        <v>0.94346587489467559</v>
      </c>
      <c r="V406" s="24">
        <f t="shared" si="290"/>
        <v>0.94808861007645562</v>
      </c>
      <c r="W406" s="24">
        <f t="shared" si="290"/>
        <v>0.94230943709253046</v>
      </c>
      <c r="X406" s="24">
        <f t="shared" si="290"/>
        <v>0.96546542622693776</v>
      </c>
      <c r="Y406" s="24">
        <f t="shared" si="291"/>
        <v>1.0181372481511575</v>
      </c>
      <c r="Z406" s="24">
        <f t="shared" si="291"/>
        <v>1.0072895235240418</v>
      </c>
    </row>
    <row r="407" spans="1:26">
      <c r="A407" s="21" t="s">
        <v>6851</v>
      </c>
      <c r="B407" s="23">
        <f>WORCESTERSHIRE!D9</f>
        <v>90152</v>
      </c>
      <c r="C407" s="23">
        <f>WORCESTERSHIRE!E9</f>
        <v>89996</v>
      </c>
      <c r="D407" s="23">
        <f>WORCESTERSHIRE!F9</f>
        <v>91095</v>
      </c>
      <c r="E407" s="23">
        <f>WORCESTERSHIRE!G9</f>
        <v>91938</v>
      </c>
      <c r="F407" s="23">
        <f>WORCESTERSHIRE!H9</f>
        <v>91382</v>
      </c>
      <c r="G407" s="23">
        <f>WORCESTERSHIRE!I9</f>
        <v>89821</v>
      </c>
      <c r="H407" s="23">
        <f>WORCESTERSHIRE!J9</f>
        <v>92064</v>
      </c>
      <c r="I407" s="23">
        <f>WORCESTERSHIRE!K9</f>
        <v>94479</v>
      </c>
      <c r="J407" s="23">
        <f>WORCESTERSHIRE!L9</f>
        <v>95023</v>
      </c>
      <c r="K407" s="23">
        <f>WORCESTERSHIRE!M9</f>
        <v>95500</v>
      </c>
      <c r="L407" s="23">
        <f>WORCESTERSHIRE!N9</f>
        <v>96745</v>
      </c>
      <c r="M407" s="23">
        <f>WORCESTERSHIRE!O9</f>
        <v>98601</v>
      </c>
      <c r="N407" s="16"/>
      <c r="O407" s="24">
        <f t="shared" si="290"/>
        <v>1.1872728230522045</v>
      </c>
      <c r="P407" s="24">
        <f t="shared" si="290"/>
        <v>1.1742539893790529</v>
      </c>
      <c r="Q407" s="24">
        <f t="shared" si="290"/>
        <v>1.1818087466431417</v>
      </c>
      <c r="R407" s="24">
        <f t="shared" si="290"/>
        <v>1.1863886236353782</v>
      </c>
      <c r="S407" s="24">
        <f t="shared" si="290"/>
        <v>1.1847175046023803</v>
      </c>
      <c r="T407" s="24">
        <f t="shared" si="290"/>
        <v>1.185380209570565</v>
      </c>
      <c r="U407" s="24">
        <f t="shared" si="290"/>
        <v>1.2313124423223529</v>
      </c>
      <c r="V407" s="24">
        <f t="shared" si="290"/>
        <v>1.2347774946089003</v>
      </c>
      <c r="W407" s="24">
        <f t="shared" si="290"/>
        <v>1.2316176947105102</v>
      </c>
      <c r="X407" s="24">
        <f t="shared" si="290"/>
        <v>1.2478440390947578</v>
      </c>
      <c r="Y407" s="24">
        <f t="shared" si="291"/>
        <v>1.3323371848016194</v>
      </c>
      <c r="Z407" s="24">
        <f t="shared" si="291"/>
        <v>1.3434659981197117</v>
      </c>
    </row>
    <row r="408" spans="1:26">
      <c r="A408" s="21" t="s">
        <v>6860</v>
      </c>
      <c r="B408" s="23">
        <f>WORCESTERSHIRE!D10</f>
        <v>76774</v>
      </c>
      <c r="C408" s="23">
        <f>WORCESTERSHIRE!E10</f>
        <v>77800</v>
      </c>
      <c r="D408" s="23">
        <f>WORCESTERSHIRE!F10</f>
        <v>77635</v>
      </c>
      <c r="E408" s="23">
        <f>WORCESTERSHIRE!G10</f>
        <v>77314</v>
      </c>
      <c r="F408" s="23">
        <f>WORCESTERSHIRE!H10</f>
        <v>76831</v>
      </c>
      <c r="G408" s="23">
        <f>WORCESTERSHIRE!I10</f>
        <v>77206</v>
      </c>
      <c r="H408" s="23">
        <f>WORCESTERSHIRE!J10</f>
        <v>75226</v>
      </c>
      <c r="I408" s="23">
        <f>WORCESTERSHIRE!K10</f>
        <v>77342</v>
      </c>
      <c r="J408" s="23">
        <f>WORCESTERSHIRE!L10</f>
        <v>77231</v>
      </c>
      <c r="K408" s="23">
        <f>WORCESTERSHIRE!M10</f>
        <v>75718</v>
      </c>
      <c r="L408" s="23">
        <f>WORCESTERSHIRE!N10</f>
        <v>77018</v>
      </c>
      <c r="M408" s="23">
        <f>WORCESTERSHIRE!O10</f>
        <v>77015</v>
      </c>
      <c r="N408" s="16"/>
      <c r="O408" s="24">
        <f t="shared" si="290"/>
        <v>1.011088868988042</v>
      </c>
      <c r="P408" s="24">
        <f t="shared" si="290"/>
        <v>1.015122454038961</v>
      </c>
      <c r="Q408" s="24">
        <f t="shared" si="290"/>
        <v>1.0071872445868633</v>
      </c>
      <c r="R408" s="24">
        <f t="shared" si="290"/>
        <v>0.99767723952822152</v>
      </c>
      <c r="S408" s="24">
        <f t="shared" si="290"/>
        <v>0.99607177120336043</v>
      </c>
      <c r="T408" s="24">
        <f t="shared" si="290"/>
        <v>1.0188983028479426</v>
      </c>
      <c r="U408" s="24">
        <f t="shared" si="290"/>
        <v>1.0061121587823831</v>
      </c>
      <c r="V408" s="24">
        <f t="shared" si="290"/>
        <v>1.0108083382343331</v>
      </c>
      <c r="W408" s="24">
        <f t="shared" si="290"/>
        <v>1.0010109781862015</v>
      </c>
      <c r="X408" s="24">
        <f t="shared" si="290"/>
        <v>0.98936392620080493</v>
      </c>
      <c r="Y408" s="24">
        <f t="shared" si="291"/>
        <v>1.060664068417501</v>
      </c>
      <c r="Z408" s="24">
        <f t="shared" si="291"/>
        <v>1.0493507555216437</v>
      </c>
    </row>
    <row r="409" spans="1:26">
      <c r="A409" s="21" t="s">
        <v>6861</v>
      </c>
      <c r="B409" s="23">
        <f t="shared" ref="B409:H409" si="292">SUM(B403:B408)</f>
        <v>434692</v>
      </c>
      <c r="C409" s="23">
        <f t="shared" si="292"/>
        <v>436192</v>
      </c>
      <c r="D409" s="23">
        <f t="shared" si="292"/>
        <v>437589</v>
      </c>
      <c r="E409" s="23">
        <f t="shared" si="292"/>
        <v>439009</v>
      </c>
      <c r="F409" s="23">
        <f t="shared" si="292"/>
        <v>431737</v>
      </c>
      <c r="G409" s="23">
        <f t="shared" si="292"/>
        <v>430060</v>
      </c>
      <c r="H409" s="23">
        <f t="shared" si="292"/>
        <v>427975</v>
      </c>
      <c r="I409" s="23">
        <f>SUM(I403:I408)</f>
        <v>437046</v>
      </c>
      <c r="J409" s="23">
        <f>SUM(J403:J408)</f>
        <v>435370</v>
      </c>
      <c r="K409" s="23">
        <f>SUM(K403:K408)</f>
        <v>434502</v>
      </c>
      <c r="L409" s="23">
        <f>SUM(L403:L408)</f>
        <v>441749</v>
      </c>
      <c r="M409" s="23">
        <f>SUM(M403:M408)</f>
        <v>447152</v>
      </c>
      <c r="N409" s="16"/>
      <c r="O409" s="24">
        <f t="shared" si="290"/>
        <v>5.7247537270189115</v>
      </c>
      <c r="P409" s="24">
        <f t="shared" si="290"/>
        <v>5.6913662400020879</v>
      </c>
      <c r="Q409" s="24">
        <f t="shared" si="290"/>
        <v>5.677002114658606</v>
      </c>
      <c r="R409" s="24">
        <f t="shared" si="290"/>
        <v>5.6650708441943891</v>
      </c>
      <c r="S409" s="24">
        <f t="shared" si="290"/>
        <v>5.5972333860554357</v>
      </c>
      <c r="T409" s="24">
        <f t="shared" si="290"/>
        <v>5.6755615382585054</v>
      </c>
      <c r="U409" s="24">
        <f t="shared" si="290"/>
        <v>5.7239631398039297</v>
      </c>
      <c r="V409" s="24">
        <f t="shared" si="290"/>
        <v>5.7118996275240148</v>
      </c>
      <c r="W409" s="24">
        <f t="shared" si="290"/>
        <v>5.6429432426477257</v>
      </c>
      <c r="X409" s="24">
        <f t="shared" si="290"/>
        <v>5.6773898499973869</v>
      </c>
      <c r="Y409" s="24">
        <f t="shared" si="291"/>
        <v>6.0836076184705217</v>
      </c>
      <c r="Z409" s="24">
        <f t="shared" si="291"/>
        <v>6.0925701361165236</v>
      </c>
    </row>
    <row r="410" spans="1:26">
      <c r="A410" s="21"/>
      <c r="B410" s="23"/>
      <c r="C410" s="23"/>
      <c r="D410" s="23"/>
      <c r="E410" s="23"/>
      <c r="F410" s="23"/>
      <c r="G410" s="23"/>
      <c r="H410" s="23"/>
      <c r="I410" s="23"/>
      <c r="J410" s="23"/>
      <c r="K410" s="23"/>
      <c r="L410" s="23"/>
      <c r="M410" s="23"/>
      <c r="N410" s="16"/>
      <c r="O410" s="24"/>
      <c r="P410" s="24"/>
      <c r="Q410" s="24"/>
      <c r="R410" s="24"/>
      <c r="S410" s="24"/>
      <c r="T410" s="24"/>
      <c r="U410" s="24"/>
      <c r="V410" s="24"/>
      <c r="W410" s="24"/>
      <c r="X410" s="24"/>
      <c r="Y410" s="24"/>
      <c r="Z410" s="24"/>
    </row>
    <row r="411" spans="1:26">
      <c r="A411" s="29" t="s">
        <v>5378</v>
      </c>
      <c r="B411" s="27">
        <f t="shared" ref="B411:H411" si="293">B369+B373+B385+B392+B401+B409</f>
        <v>4092811</v>
      </c>
      <c r="C411" s="27">
        <f>C369+C373+C385+C392+C401+C409</f>
        <v>4115668</v>
      </c>
      <c r="D411" s="27">
        <f t="shared" si="293"/>
        <v>4142089</v>
      </c>
      <c r="E411" s="27">
        <f t="shared" si="293"/>
        <v>4158026</v>
      </c>
      <c r="F411" s="27">
        <f t="shared" si="293"/>
        <v>4088955</v>
      </c>
      <c r="G411" s="27">
        <f t="shared" si="293"/>
        <v>4052288</v>
      </c>
      <c r="H411" s="27">
        <f t="shared" si="293"/>
        <v>3989320</v>
      </c>
      <c r="I411" s="27">
        <f>I369+I373+I385+I392+I401+I409</f>
        <v>4053385</v>
      </c>
      <c r="J411" s="27">
        <f>J369+J373+J385+J392+J401+J409</f>
        <v>4074925</v>
      </c>
      <c r="K411" s="27">
        <f>K369+K373+K385+K392+K401+K409</f>
        <v>4037251</v>
      </c>
      <c r="L411" s="27">
        <f>L369+L373+L385+L392+L401+L409</f>
        <v>4157363</v>
      </c>
      <c r="M411" s="27">
        <f>M369+M373+M385+M392+M401+M409</f>
        <v>4169012</v>
      </c>
      <c r="N411" s="16"/>
      <c r="O411" s="28">
        <f t="shared" ref="O411:X411" si="294">B411/B$451</f>
        <v>53.901003529473741</v>
      </c>
      <c r="P411" s="28">
        <f t="shared" si="294"/>
        <v>53.700604115290773</v>
      </c>
      <c r="Q411" s="28">
        <f t="shared" si="294"/>
        <v>53.736835277175956</v>
      </c>
      <c r="R411" s="28">
        <f t="shared" si="294"/>
        <v>53.656102407928358</v>
      </c>
      <c r="S411" s="28">
        <f t="shared" si="294"/>
        <v>53.011058677107371</v>
      </c>
      <c r="T411" s="28">
        <f t="shared" si="294"/>
        <v>53.478607437907463</v>
      </c>
      <c r="U411" s="28">
        <f t="shared" si="294"/>
        <v>53.355267557410158</v>
      </c>
      <c r="V411" s="28">
        <f t="shared" si="294"/>
        <v>52.975037574331829</v>
      </c>
      <c r="W411" s="28">
        <f t="shared" si="294"/>
        <v>52.816157505216907</v>
      </c>
      <c r="X411" s="28">
        <f t="shared" si="294"/>
        <v>52.752456488789001</v>
      </c>
      <c r="Y411" s="28">
        <f>L411/L$451</f>
        <v>57.253701127897209</v>
      </c>
      <c r="Z411" s="28">
        <f>M411/M$451</f>
        <v>56.803945880397315</v>
      </c>
    </row>
    <row r="412" spans="1:26">
      <c r="A412" s="21"/>
      <c r="B412" s="23"/>
      <c r="C412" s="23"/>
      <c r="D412" s="23"/>
      <c r="E412" s="23"/>
      <c r="F412" s="23"/>
      <c r="G412" s="23"/>
      <c r="H412" s="23"/>
      <c r="I412" s="23"/>
      <c r="J412" s="23"/>
      <c r="K412" s="23"/>
      <c r="L412" s="23"/>
      <c r="M412" s="23"/>
      <c r="N412" s="16"/>
      <c r="O412" s="24"/>
      <c r="P412" s="24"/>
      <c r="Q412" s="24"/>
      <c r="R412" s="24"/>
      <c r="S412" s="24"/>
      <c r="T412" s="24"/>
      <c r="U412" s="24"/>
      <c r="V412" s="24"/>
      <c r="W412" s="24"/>
      <c r="X412" s="24"/>
      <c r="Y412" s="24"/>
      <c r="Z412" s="24"/>
    </row>
    <row r="413" spans="1:26">
      <c r="A413" s="21" t="s">
        <v>3737</v>
      </c>
      <c r="B413" s="23"/>
      <c r="C413" s="23"/>
      <c r="D413" s="23"/>
      <c r="E413" s="23"/>
      <c r="F413" s="23"/>
      <c r="G413" s="23"/>
      <c r="H413" s="23"/>
      <c r="I413" s="23"/>
      <c r="J413" s="23"/>
      <c r="K413" s="23"/>
      <c r="L413" s="23"/>
      <c r="M413" s="23"/>
      <c r="N413" s="16"/>
      <c r="O413" s="24"/>
      <c r="P413" s="24"/>
      <c r="Q413" s="24"/>
      <c r="R413" s="24"/>
      <c r="S413" s="24"/>
      <c r="T413" s="24"/>
      <c r="U413" s="24"/>
      <c r="V413" s="24"/>
      <c r="W413" s="24"/>
      <c r="X413" s="24"/>
      <c r="Y413" s="24"/>
      <c r="Z413" s="24"/>
    </row>
    <row r="414" spans="1:26">
      <c r="A414" s="21"/>
      <c r="B414" s="23"/>
      <c r="C414" s="23"/>
      <c r="D414" s="23"/>
      <c r="E414" s="23"/>
      <c r="F414" s="23"/>
      <c r="G414" s="23"/>
      <c r="H414" s="23"/>
      <c r="I414" s="23"/>
      <c r="J414" s="23"/>
      <c r="K414" s="23"/>
      <c r="L414" s="23"/>
      <c r="M414" s="23"/>
      <c r="N414" s="16"/>
      <c r="O414" s="24"/>
      <c r="P414" s="24"/>
      <c r="Q414" s="24"/>
      <c r="R414" s="24"/>
      <c r="S414" s="24"/>
      <c r="T414" s="24"/>
      <c r="U414" s="24"/>
      <c r="V414" s="24"/>
      <c r="W414" s="24"/>
      <c r="X414" s="24"/>
      <c r="Y414" s="24"/>
      <c r="Z414" s="24"/>
    </row>
    <row r="415" spans="1:26">
      <c r="A415" s="21" t="s">
        <v>952</v>
      </c>
      <c r="B415" s="23">
        <f>'"HUMBERSIDE"'!D3</f>
        <v>265296</v>
      </c>
      <c r="C415" s="23">
        <f>'"HUMBERSIDE"'!E3</f>
        <v>265356</v>
      </c>
      <c r="D415" s="23">
        <f>'"HUMBERSIDE"'!F3</f>
        <v>265031</v>
      </c>
      <c r="E415" s="23">
        <f>'"HUMBERSIDE"'!G3</f>
        <v>267415</v>
      </c>
      <c r="F415" s="23">
        <f>'"HUMBERSIDE"'!H3</f>
        <v>266457</v>
      </c>
      <c r="G415" s="23">
        <f>'"HUMBERSIDE"'!I3</f>
        <v>261259</v>
      </c>
      <c r="H415" s="23">
        <f>'"HUMBERSIDE"'!J3</f>
        <v>254116</v>
      </c>
      <c r="I415" s="23">
        <f>'"HUMBERSIDE"'!K3</f>
        <v>258789</v>
      </c>
      <c r="J415" s="23">
        <f>'"HUMBERSIDE"'!L3</f>
        <v>261070</v>
      </c>
      <c r="K415" s="23">
        <f>'"HUMBERSIDE"'!M3</f>
        <v>262734</v>
      </c>
      <c r="L415" s="23">
        <f>'"HUMBERSIDE"'!N3</f>
        <v>261401</v>
      </c>
      <c r="M415" s="23">
        <f>'"HUMBERSIDE"'!O3</f>
        <v>264293</v>
      </c>
      <c r="N415" s="16"/>
      <c r="O415" s="24">
        <f t="shared" ref="O415:X419" si="295">B415/B$451</f>
        <v>3.4938629299899913</v>
      </c>
      <c r="P415" s="24">
        <f t="shared" si="295"/>
        <v>3.4623243433671274</v>
      </c>
      <c r="Q415" s="24">
        <f t="shared" si="295"/>
        <v>3.4383440796045717</v>
      </c>
      <c r="R415" s="24">
        <f t="shared" si="295"/>
        <v>3.450783286447983</v>
      </c>
      <c r="S415" s="24">
        <f t="shared" si="295"/>
        <v>3.4544688464231079</v>
      </c>
      <c r="T415" s="24">
        <f t="shared" si="295"/>
        <v>3.4478713015018343</v>
      </c>
      <c r="U415" s="24">
        <f t="shared" si="295"/>
        <v>3.3986812716500152</v>
      </c>
      <c r="V415" s="24">
        <f t="shared" si="295"/>
        <v>3.3821995687120174</v>
      </c>
      <c r="W415" s="24">
        <f t="shared" si="295"/>
        <v>3.3837958342514227</v>
      </c>
      <c r="X415" s="24">
        <f t="shared" si="295"/>
        <v>3.4329953483510165</v>
      </c>
      <c r="Y415" s="24">
        <f t="shared" ref="Y415:Z419" si="296">L415/L$451</f>
        <v>3.5999201244956138</v>
      </c>
      <c r="Z415" s="24">
        <f t="shared" si="296"/>
        <v>3.6010654967094955</v>
      </c>
    </row>
    <row r="416" spans="1:26">
      <c r="A416" s="21" t="s">
        <v>1661</v>
      </c>
      <c r="B416" s="23">
        <f>'"HUMBERSIDE"'!D4</f>
        <v>180755</v>
      </c>
      <c r="C416" s="23">
        <f>'"HUMBERSIDE"'!E4</f>
        <v>182950</v>
      </c>
      <c r="D416" s="23">
        <f>'"HUMBERSIDE"'!F4</f>
        <v>183658</v>
      </c>
      <c r="E416" s="23">
        <f>'"HUMBERSIDE"'!G4</f>
        <v>183976</v>
      </c>
      <c r="F416" s="23">
        <f>'"HUMBERSIDE"'!H4</f>
        <v>184098</v>
      </c>
      <c r="G416" s="23">
        <f>'"HUMBERSIDE"'!I4</f>
        <v>174136</v>
      </c>
      <c r="H416" s="23">
        <f>'"HUMBERSIDE"'!J4</f>
        <v>175422</v>
      </c>
      <c r="I416" s="23">
        <f>'"HUMBERSIDE"'!K4</f>
        <v>178544</v>
      </c>
      <c r="J416" s="23">
        <f>'"HUMBERSIDE"'!L4</f>
        <v>175412</v>
      </c>
      <c r="K416" s="23">
        <f>'"HUMBERSIDE"'!M4</f>
        <v>173063</v>
      </c>
      <c r="L416" s="23">
        <f>'"HUMBERSIDE"'!N4</f>
        <v>175645</v>
      </c>
      <c r="M416" s="23">
        <f>'"HUMBERSIDE"'!O4</f>
        <v>178629</v>
      </c>
      <c r="N416" s="16"/>
      <c r="O416" s="24">
        <f t="shared" si="295"/>
        <v>2.3804851709424222</v>
      </c>
      <c r="P416" s="24">
        <f t="shared" si="295"/>
        <v>2.3871035085659114</v>
      </c>
      <c r="Q416" s="24">
        <f t="shared" si="295"/>
        <v>2.3826623941049028</v>
      </c>
      <c r="R416" s="24">
        <f t="shared" si="295"/>
        <v>2.3740676697550778</v>
      </c>
      <c r="S416" s="24">
        <f t="shared" si="295"/>
        <v>2.3867295874711543</v>
      </c>
      <c r="T416" s="24">
        <f t="shared" si="295"/>
        <v>2.2980969725763454</v>
      </c>
      <c r="U416" s="24">
        <f t="shared" si="295"/>
        <v>2.3461862536612768</v>
      </c>
      <c r="V416" s="24">
        <f t="shared" si="295"/>
        <v>2.3334509573286284</v>
      </c>
      <c r="W416" s="24">
        <f t="shared" si="295"/>
        <v>2.2735603281790726</v>
      </c>
      <c r="X416" s="24">
        <f t="shared" si="295"/>
        <v>2.2613155281450896</v>
      </c>
      <c r="Y416" s="24">
        <f t="shared" si="296"/>
        <v>2.4189194772285956</v>
      </c>
      <c r="Z416" s="24">
        <f t="shared" si="296"/>
        <v>2.4338697150954451</v>
      </c>
    </row>
    <row r="417" spans="1:26">
      <c r="A417" s="21" t="s">
        <v>2405</v>
      </c>
      <c r="B417" s="23">
        <f>'"HUMBERSIDE"'!D5</f>
        <v>115415</v>
      </c>
      <c r="C417" s="23">
        <f>'"HUMBERSIDE"'!E5</f>
        <v>115806</v>
      </c>
      <c r="D417" s="23">
        <f>'"HUMBERSIDE"'!F5</f>
        <v>116307</v>
      </c>
      <c r="E417" s="23">
        <f>'"HUMBERSIDE"'!G5</f>
        <v>115755</v>
      </c>
      <c r="F417" s="23">
        <f>'"HUMBERSIDE"'!H5</f>
        <v>114083</v>
      </c>
      <c r="G417" s="23">
        <f>'"HUMBERSIDE"'!I5</f>
        <v>109553</v>
      </c>
      <c r="H417" s="23">
        <f>'"HUMBERSIDE"'!J5</f>
        <v>112541</v>
      </c>
      <c r="I417" s="23">
        <f>'"HUMBERSIDE"'!K5</f>
        <v>117081</v>
      </c>
      <c r="J417" s="23">
        <f>'"HUMBERSIDE"'!L5</f>
        <v>115876</v>
      </c>
      <c r="K417" s="23">
        <f>'"HUMBERSIDE"'!M5</f>
        <v>114786</v>
      </c>
      <c r="L417" s="23">
        <f>'"HUMBERSIDE"'!N5</f>
        <v>114735</v>
      </c>
      <c r="M417" s="23">
        <f>'"HUMBERSIDE"'!O5</f>
        <v>115996</v>
      </c>
      <c r="N417" s="16"/>
      <c r="O417" s="24">
        <f t="shared" si="295"/>
        <v>1.5199784017278617</v>
      </c>
      <c r="P417" s="24">
        <f t="shared" si="295"/>
        <v>1.5110189063295103</v>
      </c>
      <c r="Q417" s="24">
        <f t="shared" si="295"/>
        <v>1.5088932421738173</v>
      </c>
      <c r="R417" s="24">
        <f t="shared" si="295"/>
        <v>1.4937285467261983</v>
      </c>
      <c r="S417" s="24">
        <f t="shared" si="295"/>
        <v>1.479023517514974</v>
      </c>
      <c r="T417" s="24">
        <f t="shared" si="295"/>
        <v>1.4457861535619079</v>
      </c>
      <c r="U417" s="24">
        <f t="shared" si="295"/>
        <v>1.5051826291644934</v>
      </c>
      <c r="V417" s="24">
        <f t="shared" si="295"/>
        <v>1.5301705547931779</v>
      </c>
      <c r="W417" s="24">
        <f t="shared" si="295"/>
        <v>1.5018988244138272</v>
      </c>
      <c r="X417" s="24">
        <f t="shared" si="295"/>
        <v>1.4998432028432551</v>
      </c>
      <c r="Y417" s="24">
        <f t="shared" si="296"/>
        <v>1.58008896478592</v>
      </c>
      <c r="Z417" s="24">
        <f t="shared" si="296"/>
        <v>1.5804777022331831</v>
      </c>
    </row>
    <row r="418" spans="1:26">
      <c r="A418" s="21" t="s">
        <v>2406</v>
      </c>
      <c r="B418" s="23">
        <f>'"HUMBERSIDE"'!D6</f>
        <v>124476</v>
      </c>
      <c r="C418" s="23">
        <f>'"HUMBERSIDE"'!E6</f>
        <v>124610</v>
      </c>
      <c r="D418" s="23">
        <f>'"HUMBERSIDE"'!F6</f>
        <v>124626</v>
      </c>
      <c r="E418" s="23">
        <f>'"HUMBERSIDE"'!G6</f>
        <v>125173</v>
      </c>
      <c r="F418" s="23">
        <f>'"HUMBERSIDE"'!H6</f>
        <v>124636</v>
      </c>
      <c r="G418" s="23">
        <f>'"HUMBERSIDE"'!I6</f>
        <v>121292</v>
      </c>
      <c r="H418" s="23">
        <f>'"HUMBERSIDE"'!J6</f>
        <v>119916</v>
      </c>
      <c r="I418" s="23">
        <f>'"HUMBERSIDE"'!K6</f>
        <v>122395</v>
      </c>
      <c r="J418" s="23">
        <f>'"HUMBERSIDE"'!L6</f>
        <v>122502</v>
      </c>
      <c r="K418" s="23">
        <f>'"HUMBERSIDE"'!M6</f>
        <v>126815</v>
      </c>
      <c r="L418" s="23">
        <f>'"HUMBERSIDE"'!N6</f>
        <v>120988</v>
      </c>
      <c r="M418" s="23">
        <f>'"HUMBERSIDE"'!O6</f>
        <v>125376</v>
      </c>
      <c r="N418" s="16"/>
      <c r="O418" s="24">
        <f t="shared" si="295"/>
        <v>1.6393088552915767</v>
      </c>
      <c r="P418" s="24">
        <f t="shared" si="295"/>
        <v>1.6258921465012199</v>
      </c>
      <c r="Q418" s="24">
        <f t="shared" si="295"/>
        <v>1.6168186712678869</v>
      </c>
      <c r="R418" s="24">
        <f t="shared" si="295"/>
        <v>1.6152605362995844</v>
      </c>
      <c r="S418" s="24">
        <f t="shared" si="295"/>
        <v>1.6158373739207095</v>
      </c>
      <c r="T418" s="24">
        <f t="shared" si="295"/>
        <v>1.6007073666429119</v>
      </c>
      <c r="U418" s="24">
        <f t="shared" si="295"/>
        <v>1.6038197648758175</v>
      </c>
      <c r="V418" s="24">
        <f t="shared" si="295"/>
        <v>1.5996209893484938</v>
      </c>
      <c r="W418" s="24">
        <f t="shared" si="295"/>
        <v>1.58778012520576</v>
      </c>
      <c r="X418" s="24">
        <f t="shared" si="295"/>
        <v>1.6570192860502797</v>
      </c>
      <c r="Y418" s="24">
        <f t="shared" si="296"/>
        <v>1.6662030214975281</v>
      </c>
      <c r="Z418" s="24">
        <f t="shared" si="296"/>
        <v>1.7082828062621775</v>
      </c>
    </row>
    <row r="419" spans="1:26">
      <c r="A419" s="25" t="s">
        <v>10424</v>
      </c>
      <c r="B419" s="23">
        <f t="shared" ref="B419:G419" si="297">SUM(B415:B418)</f>
        <v>685942</v>
      </c>
      <c r="C419" s="23">
        <f t="shared" si="297"/>
        <v>688722</v>
      </c>
      <c r="D419" s="23">
        <f t="shared" si="297"/>
        <v>689622</v>
      </c>
      <c r="E419" s="23">
        <f t="shared" si="297"/>
        <v>692319</v>
      </c>
      <c r="F419" s="23">
        <f t="shared" si="297"/>
        <v>689274</v>
      </c>
      <c r="G419" s="23">
        <f t="shared" si="297"/>
        <v>666240</v>
      </c>
      <c r="H419" s="23">
        <f t="shared" ref="H419:M419" si="298">SUM(H415:H418)</f>
        <v>661995</v>
      </c>
      <c r="I419" s="23">
        <f t="shared" si="298"/>
        <v>676809</v>
      </c>
      <c r="J419" s="23">
        <f t="shared" si="298"/>
        <v>674860</v>
      </c>
      <c r="K419" s="23">
        <f t="shared" si="298"/>
        <v>677398</v>
      </c>
      <c r="L419" s="23">
        <f t="shared" si="298"/>
        <v>672769</v>
      </c>
      <c r="M419" s="23">
        <f t="shared" si="298"/>
        <v>684294</v>
      </c>
      <c r="N419" s="16"/>
      <c r="O419" s="24">
        <f t="shared" si="295"/>
        <v>9.0336353579518516</v>
      </c>
      <c r="P419" s="24">
        <f t="shared" si="295"/>
        <v>8.9863389047637696</v>
      </c>
      <c r="Q419" s="24">
        <f t="shared" si="295"/>
        <v>8.9467183871511793</v>
      </c>
      <c r="R419" s="24">
        <f t="shared" si="295"/>
        <v>8.9338400392288442</v>
      </c>
      <c r="S419" s="24">
        <f t="shared" si="295"/>
        <v>8.9360593253299445</v>
      </c>
      <c r="T419" s="24">
        <f t="shared" si="295"/>
        <v>8.7924617942829997</v>
      </c>
      <c r="U419" s="24">
        <f t="shared" si="295"/>
        <v>8.8538699193516024</v>
      </c>
      <c r="V419" s="24">
        <f t="shared" si="295"/>
        <v>8.8454420701823171</v>
      </c>
      <c r="W419" s="24">
        <f t="shared" si="295"/>
        <v>8.7470351120500816</v>
      </c>
      <c r="X419" s="24">
        <f t="shared" si="295"/>
        <v>8.8511733653896414</v>
      </c>
      <c r="Y419" s="24">
        <f t="shared" si="296"/>
        <v>9.265131588007657</v>
      </c>
      <c r="Z419" s="24">
        <f t="shared" si="296"/>
        <v>9.3236957203003019</v>
      </c>
    </row>
    <row r="420" spans="1:26">
      <c r="A420" s="21"/>
      <c r="B420" s="23"/>
      <c r="C420" s="23"/>
      <c r="D420" s="23"/>
      <c r="E420" s="23"/>
      <c r="F420" s="23"/>
      <c r="G420" s="23"/>
      <c r="H420" s="23"/>
      <c r="I420" s="23"/>
      <c r="J420" s="23"/>
      <c r="K420" s="23"/>
      <c r="L420" s="23"/>
      <c r="M420" s="23"/>
      <c r="N420" s="16"/>
      <c r="O420" s="24"/>
      <c r="P420" s="24"/>
      <c r="Q420" s="24"/>
      <c r="R420" s="24"/>
      <c r="S420" s="24"/>
      <c r="T420" s="24"/>
      <c r="U420" s="24"/>
      <c r="V420" s="24"/>
      <c r="W420" s="24"/>
      <c r="X420" s="24"/>
      <c r="Y420" s="24"/>
      <c r="Z420" s="24"/>
    </row>
    <row r="421" spans="1:26">
      <c r="A421" s="21" t="s">
        <v>4241</v>
      </c>
      <c r="B421" s="23">
        <f>'NORTH YORKSHIRE'!D5</f>
        <v>44376</v>
      </c>
      <c r="C421" s="23">
        <f>'NORTH YORKSHIRE'!E5</f>
        <v>44552</v>
      </c>
      <c r="D421" s="23">
        <f>'NORTH YORKSHIRE'!F5</f>
        <v>44576</v>
      </c>
      <c r="E421" s="23">
        <f>'NORTH YORKSHIRE'!G5</f>
        <v>44903</v>
      </c>
      <c r="F421" s="23">
        <f>'NORTH YORKSHIRE'!H5</f>
        <v>44423</v>
      </c>
      <c r="G421" s="23">
        <f>'NORTH YORKSHIRE'!I5</f>
        <v>43302</v>
      </c>
      <c r="H421" s="23">
        <f>'NORTH YORKSHIRE'!J5</f>
        <v>42127</v>
      </c>
      <c r="I421" s="23">
        <f>'NORTH YORKSHIRE'!K5</f>
        <v>43918</v>
      </c>
      <c r="J421" s="23">
        <f>'NORTH YORKSHIRE'!L5</f>
        <v>44156</v>
      </c>
      <c r="K421" s="23">
        <f>'NORTH YORKSHIRE'!M5</f>
        <v>43944</v>
      </c>
      <c r="L421" s="23">
        <f>'NORTH YORKSHIRE'!N5</f>
        <v>44344</v>
      </c>
      <c r="M421" s="23">
        <f>'NORTH YORKSHIRE'!O5</f>
        <v>45296</v>
      </c>
      <c r="N421" s="16"/>
      <c r="O421" s="24">
        <f t="shared" ref="O421:O430" si="299">B421/B$451</f>
        <v>0.58441763683295578</v>
      </c>
      <c r="P421" s="24">
        <f t="shared" ref="P421:P430" si="300">C421/C$451</f>
        <v>0.58130765517151395</v>
      </c>
      <c r="Q421" s="24">
        <f t="shared" ref="Q421:Q430" si="301">D421/D$451</f>
        <v>0.5783007485631998</v>
      </c>
      <c r="R421" s="24">
        <f t="shared" ref="R421:R430" si="302">E421/E$451</f>
        <v>0.57943840813482339</v>
      </c>
      <c r="S421" s="24">
        <f t="shared" ref="S421:S430" si="303">F421/F$451</f>
        <v>0.5759198278320844</v>
      </c>
      <c r="T421" s="24">
        <f t="shared" ref="T421:T430" si="304">G421/G$451</f>
        <v>0.57146250692849787</v>
      </c>
      <c r="U421" s="24">
        <f t="shared" ref="U421:U430" si="305">H421/H$451</f>
        <v>0.56342869370995996</v>
      </c>
      <c r="V421" s="24">
        <f t="shared" ref="V421:V430" si="306">I421/I$451</f>
        <v>0.57397895837417501</v>
      </c>
      <c r="W421" s="24">
        <f t="shared" ref="W421:W430" si="307">J421/J$451</f>
        <v>0.57231734346039687</v>
      </c>
      <c r="X421" s="24">
        <f t="shared" ref="X421:X430" si="308">K421/K$451</f>
        <v>0.57419118799979096</v>
      </c>
      <c r="Y421" s="24">
        <f t="shared" ref="Y421:Z430" si="309">L421/L$451</f>
        <v>0.61068954594907243</v>
      </c>
      <c r="Z421" s="24">
        <f t="shared" si="309"/>
        <v>0.61717057485046256</v>
      </c>
    </row>
    <row r="422" spans="1:26">
      <c r="A422" s="21" t="s">
        <v>4242</v>
      </c>
      <c r="B422" s="23">
        <f>'NORTH YORKSHIRE'!D6</f>
        <v>70278</v>
      </c>
      <c r="C422" s="23">
        <f>'NORTH YORKSHIRE'!E6</f>
        <v>70709</v>
      </c>
      <c r="D422" s="23">
        <f>'NORTH YORKSHIRE'!F6</f>
        <v>70453</v>
      </c>
      <c r="E422" s="23">
        <f>'NORTH YORKSHIRE'!G6</f>
        <v>69992</v>
      </c>
      <c r="F422" s="23">
        <f>'NORTH YORKSHIRE'!H6</f>
        <v>70752</v>
      </c>
      <c r="G422" s="23">
        <f>'NORTH YORKSHIRE'!I6</f>
        <v>68768</v>
      </c>
      <c r="H422" s="23">
        <f>'NORTH YORKSHIRE'!J6</f>
        <v>67293</v>
      </c>
      <c r="I422" s="23">
        <f>'NORTH YORKSHIRE'!K6</f>
        <v>71238</v>
      </c>
      <c r="J422" s="23">
        <f>'NORTH YORKSHIRE'!L6</f>
        <v>70970</v>
      </c>
      <c r="K422" s="23">
        <f>'NORTH YORKSHIRE'!M6</f>
        <v>71676</v>
      </c>
      <c r="L422" s="23">
        <f>'NORTH YORKSHIRE'!N6</f>
        <v>73425</v>
      </c>
      <c r="M422" s="23">
        <f>'NORTH YORKSHIRE'!O6</f>
        <v>72262</v>
      </c>
      <c r="N422" s="16"/>
      <c r="O422" s="24">
        <f t="shared" si="299"/>
        <v>0.92553863983564244</v>
      </c>
      <c r="P422" s="24">
        <f t="shared" si="300"/>
        <v>0.92260017484114243</v>
      </c>
      <c r="Q422" s="24">
        <f t="shared" si="301"/>
        <v>0.91401253227124712</v>
      </c>
      <c r="R422" s="24">
        <f t="shared" si="302"/>
        <v>0.90319250522621108</v>
      </c>
      <c r="S422" s="24">
        <f t="shared" si="303"/>
        <v>0.91726087069256101</v>
      </c>
      <c r="T422" s="24">
        <f t="shared" si="304"/>
        <v>0.90754084514477262</v>
      </c>
      <c r="U422" s="24">
        <f t="shared" si="305"/>
        <v>0.90001203707418853</v>
      </c>
      <c r="V422" s="24">
        <f t="shared" si="306"/>
        <v>0.93103313075867478</v>
      </c>
      <c r="W422" s="24">
        <f t="shared" si="307"/>
        <v>0.91986053685533942</v>
      </c>
      <c r="X422" s="24">
        <f t="shared" si="308"/>
        <v>0.93654941723723406</v>
      </c>
      <c r="Y422" s="24">
        <f t="shared" si="309"/>
        <v>1.0111825706140773</v>
      </c>
      <c r="Z422" s="24">
        <f t="shared" si="309"/>
        <v>0.98458981101739951</v>
      </c>
    </row>
    <row r="423" spans="1:26">
      <c r="A423" s="21" t="s">
        <v>4243</v>
      </c>
      <c r="B423" s="23">
        <f>'NORTH YORKSHIRE'!D7</f>
        <v>116382</v>
      </c>
      <c r="C423" s="23">
        <f>'NORTH YORKSHIRE'!E7</f>
        <v>117243</v>
      </c>
      <c r="D423" s="23">
        <f>'NORTH YORKSHIRE'!F7</f>
        <v>117436</v>
      </c>
      <c r="E423" s="23">
        <f>'NORTH YORKSHIRE'!G7</f>
        <v>118889</v>
      </c>
      <c r="F423" s="23">
        <f>'NORTH YORKSHIRE'!H7</f>
        <v>118076</v>
      </c>
      <c r="G423" s="23">
        <f>'NORTH YORKSHIRE'!I7</f>
        <v>117983</v>
      </c>
      <c r="H423" s="23">
        <f>'NORTH YORKSHIRE'!J7</f>
        <v>115996</v>
      </c>
      <c r="I423" s="23">
        <f>'NORTH YORKSHIRE'!K7</f>
        <v>119093</v>
      </c>
      <c r="J423" s="23">
        <f>'NORTH YORKSHIRE'!L7</f>
        <v>118845</v>
      </c>
      <c r="K423" s="23">
        <f>'NORTH YORKSHIRE'!M7</f>
        <v>117392</v>
      </c>
      <c r="L423" s="23">
        <f>'NORTH YORKSHIRE'!N7</f>
        <v>119931</v>
      </c>
      <c r="M423" s="23">
        <f>'NORTH YORKSHIRE'!O7</f>
        <v>122569</v>
      </c>
      <c r="N423" s="16"/>
      <c r="O423" s="24">
        <f t="shared" si="299"/>
        <v>1.5327134804825371</v>
      </c>
      <c r="P423" s="24">
        <f t="shared" si="300"/>
        <v>1.5297686616823893</v>
      </c>
      <c r="Q423" s="24">
        <f t="shared" si="301"/>
        <v>1.5235401720268289</v>
      </c>
      <c r="R423" s="24">
        <f t="shared" si="302"/>
        <v>1.5341703873848298</v>
      </c>
      <c r="S423" s="24">
        <f t="shared" si="303"/>
        <v>1.5307905722508881</v>
      </c>
      <c r="T423" s="24">
        <f t="shared" si="304"/>
        <v>1.5570380341541954</v>
      </c>
      <c r="U423" s="24">
        <f t="shared" si="305"/>
        <v>1.5513916195214594</v>
      </c>
      <c r="V423" s="24">
        <f t="shared" si="306"/>
        <v>1.5564660524080245</v>
      </c>
      <c r="W423" s="24">
        <f t="shared" si="307"/>
        <v>1.5403808017834693</v>
      </c>
      <c r="X423" s="24">
        <f t="shared" si="308"/>
        <v>1.5338943187163538</v>
      </c>
      <c r="Y423" s="24">
        <f t="shared" si="309"/>
        <v>1.6516463994050652</v>
      </c>
      <c r="Z423" s="24">
        <f t="shared" si="309"/>
        <v>1.6700366519967844</v>
      </c>
    </row>
    <row r="424" spans="1:26">
      <c r="A424" s="21" t="s">
        <v>4244</v>
      </c>
      <c r="B424" s="23">
        <f>'NORTH YORKSHIRE'!D8</f>
        <v>37245</v>
      </c>
      <c r="C424" s="23">
        <f>'NORTH YORKSHIRE'!E8</f>
        <v>34633</v>
      </c>
      <c r="D424" s="23">
        <f>'NORTH YORKSHIRE'!F8</f>
        <v>34841</v>
      </c>
      <c r="E424" s="23">
        <f>'NORTH YORKSHIRE'!G8</f>
        <v>35623</v>
      </c>
      <c r="F424" s="23">
        <f>'NORTH YORKSHIRE'!H8</f>
        <v>35658</v>
      </c>
      <c r="G424" s="23">
        <f>'NORTH YORKSHIRE'!I8</f>
        <v>34720</v>
      </c>
      <c r="H424" s="23">
        <f>'NORTH YORKSHIRE'!J8</f>
        <v>34366</v>
      </c>
      <c r="I424" s="23">
        <f>'NORTH YORKSHIRE'!K8</f>
        <v>35855</v>
      </c>
      <c r="J424" s="23">
        <f>'NORTH YORKSHIRE'!L8</f>
        <v>36330</v>
      </c>
      <c r="K424" s="23">
        <f>'NORTH YORKSHIRE'!M8</f>
        <v>36185</v>
      </c>
      <c r="L424" s="23">
        <f>'NORTH YORKSHIRE'!N8</f>
        <v>38032</v>
      </c>
      <c r="M424" s="23">
        <f>'NORTH YORKSHIRE'!O8</f>
        <v>37539</v>
      </c>
      <c r="N424" s="16"/>
      <c r="O424" s="24">
        <f t="shared" si="299"/>
        <v>0.49050466206605908</v>
      </c>
      <c r="P424" s="24">
        <f t="shared" si="300"/>
        <v>0.4518860662047729</v>
      </c>
      <c r="Q424" s="24">
        <f t="shared" si="301"/>
        <v>0.45200503366588396</v>
      </c>
      <c r="R424" s="24">
        <f t="shared" si="302"/>
        <v>0.45968720158980048</v>
      </c>
      <c r="S424" s="24">
        <f t="shared" si="303"/>
        <v>0.46228641066196491</v>
      </c>
      <c r="T424" s="24">
        <f t="shared" si="304"/>
        <v>0.45820466122944548</v>
      </c>
      <c r="U424" s="24">
        <f t="shared" si="305"/>
        <v>0.45962899062445667</v>
      </c>
      <c r="V424" s="24">
        <f t="shared" si="306"/>
        <v>0.46860092792262953</v>
      </c>
      <c r="W424" s="24">
        <f t="shared" si="307"/>
        <v>0.47088253211151865</v>
      </c>
      <c r="X424" s="24">
        <f t="shared" si="308"/>
        <v>0.47280875973449016</v>
      </c>
      <c r="Y424" s="24">
        <f t="shared" si="309"/>
        <v>0.52376296255491439</v>
      </c>
      <c r="Z424" s="24">
        <f t="shared" si="309"/>
        <v>0.51147929639066392</v>
      </c>
    </row>
    <row r="425" spans="1:26">
      <c r="A425" s="21" t="s">
        <v>4245</v>
      </c>
      <c r="B425" s="23">
        <f>'NORTH YORKSHIRE'!D9</f>
        <v>41032</v>
      </c>
      <c r="C425" s="23">
        <f>'NORTH YORKSHIRE'!E9</f>
        <v>41234</v>
      </c>
      <c r="D425" s="23">
        <f>'NORTH YORKSHIRE'!F9</f>
        <v>41480</v>
      </c>
      <c r="E425" s="23">
        <f>'NORTH YORKSHIRE'!G9</f>
        <v>42074</v>
      </c>
      <c r="F425" s="23">
        <f>'NORTH YORKSHIRE'!H9</f>
        <v>40530</v>
      </c>
      <c r="G425" s="23">
        <f>'NORTH YORKSHIRE'!I9</f>
        <v>40590</v>
      </c>
      <c r="H425" s="23">
        <f>'NORTH YORKSHIRE'!J9</f>
        <v>39668</v>
      </c>
      <c r="I425" s="23">
        <f>'NORTH YORKSHIRE'!K9</f>
        <v>41406</v>
      </c>
      <c r="J425" s="23">
        <f>'NORTH YORKSHIRE'!L9</f>
        <v>41576</v>
      </c>
      <c r="K425" s="23">
        <f>'NORTH YORKSHIRE'!M9</f>
        <v>41432</v>
      </c>
      <c r="L425" s="23">
        <f>'NORTH YORKSHIRE'!N9</f>
        <v>42356</v>
      </c>
      <c r="M425" s="23">
        <f>'NORTH YORKSHIRE'!O9</f>
        <v>43806</v>
      </c>
      <c r="N425" s="16"/>
      <c r="O425" s="24">
        <f t="shared" si="299"/>
        <v>0.54037823315598166</v>
      </c>
      <c r="P425" s="24">
        <f t="shared" si="300"/>
        <v>0.53801490064064927</v>
      </c>
      <c r="Q425" s="24">
        <f t="shared" si="301"/>
        <v>0.5381352084171197</v>
      </c>
      <c r="R425" s="24">
        <f t="shared" si="302"/>
        <v>0.54293235605337187</v>
      </c>
      <c r="S425" s="24">
        <f t="shared" si="303"/>
        <v>0.52544921824357615</v>
      </c>
      <c r="T425" s="24">
        <f t="shared" si="304"/>
        <v>0.53567186633937758</v>
      </c>
      <c r="U425" s="24">
        <f t="shared" si="305"/>
        <v>0.53054073212160124</v>
      </c>
      <c r="V425" s="24">
        <f t="shared" si="306"/>
        <v>0.54114879435404828</v>
      </c>
      <c r="W425" s="24">
        <f t="shared" si="307"/>
        <v>0.5388772957629645</v>
      </c>
      <c r="X425" s="24">
        <f t="shared" si="308"/>
        <v>0.54136831652119377</v>
      </c>
      <c r="Y425" s="24">
        <f t="shared" si="309"/>
        <v>0.5833115282387451</v>
      </c>
      <c r="Z425" s="24">
        <f t="shared" si="309"/>
        <v>0.59686891120406582</v>
      </c>
    </row>
    <row r="426" spans="1:26">
      <c r="A426" s="21" t="s">
        <v>4246</v>
      </c>
      <c r="B426" s="23">
        <f>'NORTH YORKSHIRE'!D10</f>
        <v>85624</v>
      </c>
      <c r="C426" s="23">
        <f>'NORTH YORKSHIRE'!E10</f>
        <v>85634</v>
      </c>
      <c r="D426" s="23">
        <f>'NORTH YORKSHIRE'!F10</f>
        <v>85187</v>
      </c>
      <c r="E426" s="23">
        <f>'NORTH YORKSHIRE'!G10</f>
        <v>85066</v>
      </c>
      <c r="F426" s="23">
        <f>'NORTH YORKSHIRE'!H10</f>
        <v>84602</v>
      </c>
      <c r="G426" s="23">
        <f>'NORTH YORKSHIRE'!I10</f>
        <v>82120</v>
      </c>
      <c r="H426" s="23">
        <f>'NORTH YORKSHIRE'!J10</f>
        <v>79890</v>
      </c>
      <c r="I426" s="23">
        <f>'NORTH YORKSHIRE'!K10</f>
        <v>81261</v>
      </c>
      <c r="J426" s="23">
        <f>'NORTH YORKSHIRE'!L10</f>
        <v>81797</v>
      </c>
      <c r="K426" s="23">
        <f>'NORTH YORKSHIRE'!M10</f>
        <v>80829</v>
      </c>
      <c r="L426" s="23">
        <f>'NORTH YORKSHIRE'!N10</f>
        <v>81561</v>
      </c>
      <c r="M426" s="23">
        <f>'NORTH YORKSHIRE'!O10</f>
        <v>83348</v>
      </c>
      <c r="N426" s="16"/>
      <c r="O426" s="24">
        <f t="shared" si="299"/>
        <v>1.1276405204656799</v>
      </c>
      <c r="P426" s="24">
        <f t="shared" si="300"/>
        <v>1.1173392831513158</v>
      </c>
      <c r="Q426" s="24">
        <f t="shared" si="301"/>
        <v>1.1051621022041749</v>
      </c>
      <c r="R426" s="24">
        <f t="shared" si="302"/>
        <v>1.0977107905128138</v>
      </c>
      <c r="S426" s="24">
        <f t="shared" si="303"/>
        <v>1.0968185236082661</v>
      </c>
      <c r="T426" s="24">
        <f t="shared" si="304"/>
        <v>1.0837490432074326</v>
      </c>
      <c r="U426" s="24">
        <f t="shared" si="305"/>
        <v>1.0684909521325683</v>
      </c>
      <c r="V426" s="24">
        <f t="shared" si="306"/>
        <v>1.0620270535189178</v>
      </c>
      <c r="W426" s="24">
        <f t="shared" si="307"/>
        <v>1.0601920858553782</v>
      </c>
      <c r="X426" s="24">
        <f t="shared" si="308"/>
        <v>1.0561464485443997</v>
      </c>
      <c r="Y426" s="24">
        <f t="shared" si="309"/>
        <v>1.1232286229738477</v>
      </c>
      <c r="Z426" s="24">
        <f t="shared" si="309"/>
        <v>1.1356396386576377</v>
      </c>
    </row>
    <row r="427" spans="1:26">
      <c r="A427" s="21" t="s">
        <v>4247</v>
      </c>
      <c r="B427" s="23">
        <f>'NORTH YORKSHIRE'!D11</f>
        <v>62988</v>
      </c>
      <c r="C427" s="23">
        <f>'NORTH YORKSHIRE'!E11</f>
        <v>63927</v>
      </c>
      <c r="D427" s="23">
        <f>'NORTH YORKSHIRE'!F11</f>
        <v>63823</v>
      </c>
      <c r="E427" s="23">
        <f>'NORTH YORKSHIRE'!G11</f>
        <v>65622</v>
      </c>
      <c r="F427" s="23">
        <f>'NORTH YORKSHIRE'!H11</f>
        <v>66002</v>
      </c>
      <c r="G427" s="23">
        <f>'NORTH YORKSHIRE'!I11</f>
        <v>65775</v>
      </c>
      <c r="H427" s="23">
        <f>'NORTH YORKSHIRE'!J11</f>
        <v>63151</v>
      </c>
      <c r="I427" s="23">
        <f>'NORTH YORKSHIRE'!K11</f>
        <v>65119</v>
      </c>
      <c r="J427" s="23">
        <f>'NORTH YORKSHIRE'!L11</f>
        <v>65643</v>
      </c>
      <c r="K427" s="23">
        <f>'NORTH YORKSHIRE'!M11</f>
        <v>66030</v>
      </c>
      <c r="L427" s="23">
        <f>'NORTH YORKSHIRE'!N11</f>
        <v>67697</v>
      </c>
      <c r="M427" s="23">
        <f>'NORTH YORKSHIRE'!O11</f>
        <v>68480</v>
      </c>
      <c r="N427" s="16"/>
      <c r="O427" s="24">
        <f t="shared" si="299"/>
        <v>0.82953168624558815</v>
      </c>
      <c r="P427" s="24">
        <f t="shared" si="300"/>
        <v>0.83410968019728349</v>
      </c>
      <c r="Q427" s="24">
        <f t="shared" si="301"/>
        <v>0.82799911781113378</v>
      </c>
      <c r="R427" s="24">
        <f t="shared" si="302"/>
        <v>0.84680104266136735</v>
      </c>
      <c r="S427" s="24">
        <f t="shared" si="303"/>
        <v>0.85567972619078492</v>
      </c>
      <c r="T427" s="24">
        <f t="shared" si="304"/>
        <v>0.8680418085359094</v>
      </c>
      <c r="U427" s="24">
        <f t="shared" si="305"/>
        <v>0.84461474675333359</v>
      </c>
      <c r="V427" s="24">
        <f t="shared" si="306"/>
        <v>0.85106188329085797</v>
      </c>
      <c r="W427" s="24">
        <f t="shared" si="307"/>
        <v>0.85081591124129974</v>
      </c>
      <c r="X427" s="24">
        <f t="shared" si="308"/>
        <v>0.86277635498876282</v>
      </c>
      <c r="Y427" s="24">
        <f t="shared" si="309"/>
        <v>0.93229862421329512</v>
      </c>
      <c r="Z427" s="24">
        <f t="shared" si="309"/>
        <v>0.93305901107735068</v>
      </c>
    </row>
    <row r="428" spans="1:26">
      <c r="A428" s="21" t="s">
        <v>4248</v>
      </c>
      <c r="B428" s="23">
        <f t="shared" ref="B428:G428" si="310">SUM(B421:B427)</f>
        <v>457925</v>
      </c>
      <c r="C428" s="23">
        <f t="shared" si="310"/>
        <v>457932</v>
      </c>
      <c r="D428" s="23">
        <f t="shared" si="310"/>
        <v>457796</v>
      </c>
      <c r="E428" s="23">
        <f t="shared" si="310"/>
        <v>462169</v>
      </c>
      <c r="F428" s="23">
        <f t="shared" si="310"/>
        <v>460043</v>
      </c>
      <c r="G428" s="23">
        <f t="shared" si="310"/>
        <v>453258</v>
      </c>
      <c r="H428" s="23">
        <f t="shared" ref="H428:M428" si="311">SUM(H421:H427)</f>
        <v>442491</v>
      </c>
      <c r="I428" s="23">
        <f t="shared" si="311"/>
        <v>457890</v>
      </c>
      <c r="J428" s="23">
        <f t="shared" si="311"/>
        <v>459317</v>
      </c>
      <c r="K428" s="23">
        <f t="shared" si="311"/>
        <v>457488</v>
      </c>
      <c r="L428" s="23">
        <f t="shared" si="311"/>
        <v>467346</v>
      </c>
      <c r="M428" s="23">
        <f t="shared" si="311"/>
        <v>473300</v>
      </c>
      <c r="N428" s="16"/>
      <c r="O428" s="24">
        <f t="shared" si="299"/>
        <v>6.0307248590844438</v>
      </c>
      <c r="P428" s="24">
        <f t="shared" si="300"/>
        <v>5.9750264218890674</v>
      </c>
      <c r="Q428" s="24">
        <f t="shared" si="301"/>
        <v>5.9391549149595884</v>
      </c>
      <c r="R428" s="24">
        <f t="shared" si="302"/>
        <v>5.963932691563218</v>
      </c>
      <c r="S428" s="24">
        <f t="shared" si="303"/>
        <v>5.9642051494801258</v>
      </c>
      <c r="T428" s="24">
        <f t="shared" si="304"/>
        <v>5.981708765539631</v>
      </c>
      <c r="U428" s="24">
        <f t="shared" si="305"/>
        <v>5.9181077719375681</v>
      </c>
      <c r="V428" s="24">
        <f t="shared" si="306"/>
        <v>5.9843168006273277</v>
      </c>
      <c r="W428" s="24">
        <f t="shared" si="307"/>
        <v>5.9533265070703667</v>
      </c>
      <c r="X428" s="24">
        <f t="shared" si="308"/>
        <v>5.9777348037422255</v>
      </c>
      <c r="Y428" s="24">
        <f t="shared" si="309"/>
        <v>6.4361202539490172</v>
      </c>
      <c r="Z428" s="24">
        <f t="shared" si="309"/>
        <v>6.448843895194365</v>
      </c>
    </row>
    <row r="429" spans="1:26">
      <c r="A429" s="21" t="s">
        <v>6862</v>
      </c>
      <c r="B429" s="23">
        <f>YORK!D3</f>
        <v>148810</v>
      </c>
      <c r="C429" s="23">
        <f>YORK!E3</f>
        <v>150781</v>
      </c>
      <c r="D429" s="23">
        <f>YORK!F3</f>
        <v>152510</v>
      </c>
      <c r="E429" s="23">
        <f>YORK!G3</f>
        <v>152053</v>
      </c>
      <c r="F429" s="23">
        <f>YORK!H3</f>
        <v>153430</v>
      </c>
      <c r="G429" s="23">
        <f>YORK!I3</f>
        <v>143140</v>
      </c>
      <c r="H429" s="23">
        <f>YORK!J3</f>
        <v>147364</v>
      </c>
      <c r="I429" s="23">
        <f>YORK!K3</f>
        <v>145153</v>
      </c>
      <c r="J429" s="23">
        <f>YORK!L3</f>
        <v>149670</v>
      </c>
      <c r="K429" s="23">
        <f>YORK!M3</f>
        <v>141440</v>
      </c>
      <c r="L429" s="23">
        <f>YORK!N3</f>
        <v>142347</v>
      </c>
      <c r="M429" s="23">
        <f>YORK!O3</f>
        <v>147574</v>
      </c>
      <c r="N429" s="16"/>
      <c r="O429" s="24">
        <f t="shared" si="299"/>
        <v>1.9597798029816151</v>
      </c>
      <c r="P429" s="24">
        <f t="shared" si="300"/>
        <v>1.9673673360211896</v>
      </c>
      <c r="Q429" s="24">
        <f t="shared" si="301"/>
        <v>1.9785679998962131</v>
      </c>
      <c r="R429" s="24">
        <f t="shared" si="302"/>
        <v>1.962126100085168</v>
      </c>
      <c r="S429" s="24">
        <f t="shared" si="303"/>
        <v>1.9891357896647393</v>
      </c>
      <c r="T429" s="24">
        <f t="shared" si="304"/>
        <v>1.8890384564626388</v>
      </c>
      <c r="U429" s="24">
        <f t="shared" si="305"/>
        <v>1.9709237785713329</v>
      </c>
      <c r="V429" s="24">
        <f t="shared" si="306"/>
        <v>1.8970528654512187</v>
      </c>
      <c r="W429" s="24">
        <f t="shared" si="307"/>
        <v>1.9399116042150013</v>
      </c>
      <c r="X429" s="24">
        <f t="shared" si="308"/>
        <v>1.8481158208331157</v>
      </c>
      <c r="Y429" s="24">
        <f t="shared" si="309"/>
        <v>1.9603514522192995</v>
      </c>
      <c r="Z429" s="24">
        <f t="shared" si="309"/>
        <v>2.0107367187606449</v>
      </c>
    </row>
    <row r="430" spans="1:26">
      <c r="A430" s="25" t="s">
        <v>10425</v>
      </c>
      <c r="B430" s="23">
        <f t="shared" ref="B430:M430" si="312">B428+B429</f>
        <v>606735</v>
      </c>
      <c r="C430" s="23">
        <f t="shared" si="312"/>
        <v>608713</v>
      </c>
      <c r="D430" s="23">
        <f t="shared" si="312"/>
        <v>610306</v>
      </c>
      <c r="E430" s="23">
        <f t="shared" si="312"/>
        <v>614222</v>
      </c>
      <c r="F430" s="23">
        <f t="shared" si="312"/>
        <v>613473</v>
      </c>
      <c r="G430" s="23">
        <f t="shared" si="312"/>
        <v>596398</v>
      </c>
      <c r="H430" s="23">
        <f t="shared" si="312"/>
        <v>589855</v>
      </c>
      <c r="I430" s="23">
        <f t="shared" si="312"/>
        <v>603043</v>
      </c>
      <c r="J430" s="23">
        <f t="shared" si="312"/>
        <v>608987</v>
      </c>
      <c r="K430" s="23">
        <f t="shared" si="312"/>
        <v>598928</v>
      </c>
      <c r="L430" s="23">
        <f t="shared" si="312"/>
        <v>609693</v>
      </c>
      <c r="M430" s="23">
        <f t="shared" si="312"/>
        <v>620874</v>
      </c>
      <c r="N430" s="16"/>
      <c r="O430" s="24">
        <f t="shared" si="299"/>
        <v>7.9905046620660594</v>
      </c>
      <c r="P430" s="24">
        <f t="shared" si="300"/>
        <v>7.9423937579102573</v>
      </c>
      <c r="Q430" s="24">
        <f t="shared" si="301"/>
        <v>7.9177229148558013</v>
      </c>
      <c r="R430" s="24">
        <f t="shared" si="302"/>
        <v>7.9260587916483853</v>
      </c>
      <c r="S430" s="24">
        <f t="shared" si="303"/>
        <v>7.9533409391448648</v>
      </c>
      <c r="T430" s="24">
        <f t="shared" si="304"/>
        <v>7.8707472220022696</v>
      </c>
      <c r="U430" s="24">
        <f t="shared" si="305"/>
        <v>7.8890315505089008</v>
      </c>
      <c r="V430" s="24">
        <f t="shared" si="306"/>
        <v>7.8813696660785464</v>
      </c>
      <c r="W430" s="24">
        <f t="shared" si="307"/>
        <v>7.8932381112853678</v>
      </c>
      <c r="X430" s="24">
        <f t="shared" si="308"/>
        <v>7.8258506245753408</v>
      </c>
      <c r="Y430" s="24">
        <f t="shared" si="309"/>
        <v>8.3964717061683167</v>
      </c>
      <c r="Z430" s="24">
        <f t="shared" si="309"/>
        <v>8.4595806139550085</v>
      </c>
    </row>
    <row r="431" spans="1:26">
      <c r="A431" s="21"/>
      <c r="B431" s="23"/>
      <c r="C431" s="23"/>
      <c r="D431" s="23"/>
      <c r="E431" s="23"/>
      <c r="F431" s="23"/>
      <c r="G431" s="23"/>
      <c r="H431" s="23"/>
      <c r="I431" s="23"/>
      <c r="J431" s="23"/>
      <c r="K431" s="23"/>
      <c r="L431" s="23"/>
      <c r="M431" s="23"/>
      <c r="N431" s="16"/>
      <c r="O431" s="24"/>
      <c r="P431" s="24"/>
      <c r="Q431" s="24"/>
      <c r="R431" s="24"/>
      <c r="S431" s="24"/>
      <c r="T431" s="24"/>
      <c r="U431" s="24"/>
      <c r="V431" s="24"/>
      <c r="W431" s="24"/>
      <c r="X431" s="24"/>
      <c r="Y431" s="24"/>
      <c r="Z431" s="24"/>
    </row>
    <row r="432" spans="1:26">
      <c r="A432" s="21" t="s">
        <v>5106</v>
      </c>
      <c r="B432" s="30">
        <f>'SOUTH YORKSHIRE'!D5</f>
        <v>175811</v>
      </c>
      <c r="C432" s="30">
        <f>'SOUTH YORKSHIRE'!E5</f>
        <v>176015</v>
      </c>
      <c r="D432" s="30">
        <f>'SOUTH YORKSHIRE'!F5</f>
        <v>178262</v>
      </c>
      <c r="E432" s="30">
        <f>'SOUTH YORKSHIRE'!G5</f>
        <v>179470</v>
      </c>
      <c r="F432" s="30">
        <f>'SOUTH YORKSHIRE'!H5</f>
        <v>180213</v>
      </c>
      <c r="G432" s="30">
        <f>'SOUTH YORKSHIRE'!I5</f>
        <v>176280</v>
      </c>
      <c r="H432" s="30">
        <f>'SOUTH YORKSHIRE'!J5</f>
        <v>167715</v>
      </c>
      <c r="I432" s="30">
        <f>'SOUTH YORKSHIRE'!K5</f>
        <v>173280</v>
      </c>
      <c r="J432" s="30">
        <f>'SOUTH YORKSHIRE'!L5</f>
        <v>175948</v>
      </c>
      <c r="K432" s="30">
        <f>'SOUTH YORKSHIRE'!M5</f>
        <v>176176</v>
      </c>
      <c r="L432" s="30">
        <f>'SOUTH YORKSHIRE'!N5</f>
        <v>177892</v>
      </c>
      <c r="M432" s="30">
        <f>'SOUTH YORKSHIRE'!O5</f>
        <v>181134</v>
      </c>
      <c r="N432" s="16"/>
      <c r="O432" s="24">
        <f t="shared" ref="O432:X436" si="313">B432/B$451</f>
        <v>2.3153742822525416</v>
      </c>
      <c r="P432" s="24">
        <f t="shared" si="313"/>
        <v>2.2966166934147521</v>
      </c>
      <c r="Q432" s="24">
        <f t="shared" si="313"/>
        <v>2.3126581128942281</v>
      </c>
      <c r="R432" s="24">
        <f t="shared" si="313"/>
        <v>2.315921232611557</v>
      </c>
      <c r="S432" s="24">
        <f t="shared" si="313"/>
        <v>2.3363626934944381</v>
      </c>
      <c r="T432" s="24">
        <f t="shared" si="313"/>
        <v>2.3263916382928183</v>
      </c>
      <c r="U432" s="24">
        <f t="shared" si="313"/>
        <v>2.2431087750270833</v>
      </c>
      <c r="V432" s="24">
        <f t="shared" si="313"/>
        <v>2.2646539894138402</v>
      </c>
      <c r="W432" s="24">
        <f t="shared" si="313"/>
        <v>2.2805075628945084</v>
      </c>
      <c r="X432" s="24">
        <f t="shared" si="313"/>
        <v>2.3019913238906602</v>
      </c>
      <c r="Y432" s="24">
        <f t="shared" ref="Y432:Z436" si="314">L432/L$451</f>
        <v>2.44986434935893</v>
      </c>
      <c r="Z432" s="24">
        <f t="shared" si="314"/>
        <v>2.4680010355210986</v>
      </c>
    </row>
    <row r="433" spans="1:26">
      <c r="A433" s="21" t="s">
        <v>5107</v>
      </c>
      <c r="B433" s="30">
        <f>'SOUTH YORKSHIRE'!D6</f>
        <v>218109</v>
      </c>
      <c r="C433" s="30">
        <f>'SOUTH YORKSHIRE'!E6</f>
        <v>220403</v>
      </c>
      <c r="D433" s="30">
        <f>'SOUTH YORKSHIRE'!F6</f>
        <v>220639</v>
      </c>
      <c r="E433" s="30">
        <f>'SOUTH YORKSHIRE'!G6</f>
        <v>221968</v>
      </c>
      <c r="F433" s="30">
        <f>'SOUTH YORKSHIRE'!H6</f>
        <v>217226</v>
      </c>
      <c r="G433" s="30">
        <f>'SOUTH YORKSHIRE'!I6</f>
        <v>206309</v>
      </c>
      <c r="H433" s="30">
        <f>'SOUTH YORKSHIRE'!J6</f>
        <v>211267</v>
      </c>
      <c r="I433" s="30">
        <f>'SOUTH YORKSHIRE'!K6</f>
        <v>215105</v>
      </c>
      <c r="J433" s="30">
        <f>'SOUTH YORKSHIRE'!L6</f>
        <v>219058</v>
      </c>
      <c r="K433" s="30">
        <f>'SOUTH YORKSHIRE'!M6</f>
        <v>215403</v>
      </c>
      <c r="L433" s="30">
        <f>'SOUTH YORKSHIRE'!N6</f>
        <v>216250</v>
      </c>
      <c r="M433" s="30">
        <f>'SOUTH YORKSHIRE'!O6</f>
        <v>219008</v>
      </c>
      <c r="N433" s="16"/>
      <c r="O433" s="24">
        <f t="shared" si="313"/>
        <v>2.8724253279249856</v>
      </c>
      <c r="P433" s="24">
        <f t="shared" si="313"/>
        <v>2.8757845017679831</v>
      </c>
      <c r="Q433" s="24">
        <f t="shared" si="313"/>
        <v>2.8624304303265395</v>
      </c>
      <c r="R433" s="24">
        <f t="shared" si="313"/>
        <v>2.8643249799984516</v>
      </c>
      <c r="S433" s="24">
        <f t="shared" si="313"/>
        <v>2.816215935903752</v>
      </c>
      <c r="T433" s="24">
        <f t="shared" si="313"/>
        <v>2.7226885211286191</v>
      </c>
      <c r="U433" s="24">
        <f t="shared" si="313"/>
        <v>2.8255961695355025</v>
      </c>
      <c r="V433" s="24">
        <f t="shared" si="313"/>
        <v>2.8112788342155133</v>
      </c>
      <c r="W433" s="24">
        <f t="shared" si="313"/>
        <v>2.839267429652768</v>
      </c>
      <c r="X433" s="24">
        <f t="shared" si="313"/>
        <v>2.81454816285998</v>
      </c>
      <c r="Y433" s="24">
        <f t="shared" si="314"/>
        <v>2.9781168661259003</v>
      </c>
      <c r="Z433" s="24">
        <f t="shared" si="314"/>
        <v>2.9840447999127981</v>
      </c>
    </row>
    <row r="434" spans="1:26">
      <c r="A434" s="21" t="s">
        <v>5108</v>
      </c>
      <c r="B434" s="30">
        <f>'SOUTH YORKSHIRE'!D7</f>
        <v>190076</v>
      </c>
      <c r="C434" s="30">
        <f>'SOUTH YORKSHIRE'!E7</f>
        <v>191489</v>
      </c>
      <c r="D434" s="30">
        <f>'SOUTH YORKSHIRE'!F7</f>
        <v>192390</v>
      </c>
      <c r="E434" s="30">
        <f>'SOUTH YORKSHIRE'!G7</f>
        <v>194397</v>
      </c>
      <c r="F434" s="30">
        <f>'SOUTH YORKSHIRE'!H7</f>
        <v>196100</v>
      </c>
      <c r="G434" s="30">
        <f>'SOUTH YORKSHIRE'!I7</f>
        <v>195614</v>
      </c>
      <c r="H434" s="30">
        <f>'SOUTH YORKSHIRE'!J7</f>
        <v>192118</v>
      </c>
      <c r="I434" s="30">
        <f>'SOUTH YORKSHIRE'!K7</f>
        <v>194419</v>
      </c>
      <c r="J434" s="30">
        <f>'SOUTH YORKSHIRE'!L7</f>
        <v>194140</v>
      </c>
      <c r="K434" s="30">
        <f>'SOUTH YORKSHIRE'!M7</f>
        <v>191965</v>
      </c>
      <c r="L434" s="30">
        <f>'SOUTH YORKSHIRE'!N7</f>
        <v>191778</v>
      </c>
      <c r="M434" s="30">
        <f>'SOUTH YORKSHIRE'!O7</f>
        <v>195236</v>
      </c>
      <c r="N434" s="16"/>
      <c r="O434" s="24">
        <f t="shared" si="313"/>
        <v>2.5032397408207343</v>
      </c>
      <c r="P434" s="24">
        <f t="shared" si="313"/>
        <v>2.4985190694275912</v>
      </c>
      <c r="Q434" s="24">
        <f t="shared" si="313"/>
        <v>2.4959458232249192</v>
      </c>
      <c r="R434" s="24">
        <f t="shared" si="313"/>
        <v>2.5085425968462074</v>
      </c>
      <c r="S434" s="24">
        <f t="shared" si="313"/>
        <v>2.5423289340627999</v>
      </c>
      <c r="T434" s="24">
        <f t="shared" si="313"/>
        <v>2.5815451210177636</v>
      </c>
      <c r="U434" s="24">
        <f t="shared" si="313"/>
        <v>2.5694873543848384</v>
      </c>
      <c r="V434" s="24">
        <f t="shared" si="313"/>
        <v>2.5409266156962689</v>
      </c>
      <c r="W434" s="24">
        <f t="shared" si="313"/>
        <v>2.516298782937799</v>
      </c>
      <c r="X434" s="24">
        <f t="shared" si="313"/>
        <v>2.5082971828777505</v>
      </c>
      <c r="Y434" s="24">
        <f t="shared" si="314"/>
        <v>2.6410973241706031</v>
      </c>
      <c r="Z434" s="24">
        <f t="shared" si="314"/>
        <v>2.6601447004482717</v>
      </c>
    </row>
    <row r="435" spans="1:26">
      <c r="A435" s="21" t="s">
        <v>5109</v>
      </c>
      <c r="B435" s="30">
        <f>'SOUTH YORKSHIRE'!D8</f>
        <v>378810</v>
      </c>
      <c r="C435" s="30">
        <f>'SOUTH YORKSHIRE'!E8</f>
        <v>386512</v>
      </c>
      <c r="D435" s="30">
        <f>'SOUTH YORKSHIRE'!F8</f>
        <v>389856</v>
      </c>
      <c r="E435" s="30">
        <f>'SOUTH YORKSHIRE'!G8</f>
        <v>396026</v>
      </c>
      <c r="F435" s="30">
        <f>'SOUTH YORKSHIRE'!H8</f>
        <v>391377</v>
      </c>
      <c r="G435" s="30">
        <f>'SOUTH YORKSHIRE'!I8</f>
        <v>385100</v>
      </c>
      <c r="H435" s="30">
        <f>'SOUTH YORKSHIRE'!J8</f>
        <v>381430</v>
      </c>
      <c r="I435" s="30">
        <f>'SOUTH YORKSHIRE'!K8</f>
        <v>396454</v>
      </c>
      <c r="J435" s="30">
        <f>'SOUTH YORKSHIRE'!L8</f>
        <v>406654</v>
      </c>
      <c r="K435" s="30">
        <f>'SOUTH YORKSHIRE'!M8</f>
        <v>391282</v>
      </c>
      <c r="L435" s="30">
        <f>'SOUTH YORKSHIRE'!N8</f>
        <v>391397</v>
      </c>
      <c r="M435" s="30">
        <f>'SOUTH YORKSHIRE'!O8</f>
        <v>412014</v>
      </c>
      <c r="N435" s="16"/>
      <c r="O435" s="24">
        <f t="shared" si="313"/>
        <v>4.9888057735868934</v>
      </c>
      <c r="P435" s="24">
        <f t="shared" si="313"/>
        <v>5.0431492282198827</v>
      </c>
      <c r="Q435" s="24">
        <f t="shared" si="313"/>
        <v>5.0577444506428302</v>
      </c>
      <c r="R435" s="24">
        <f t="shared" si="313"/>
        <v>5.1104085477585359</v>
      </c>
      <c r="S435" s="24">
        <f t="shared" si="313"/>
        <v>5.0739881245624501</v>
      </c>
      <c r="T435" s="24">
        <f t="shared" si="313"/>
        <v>5.082218175099638</v>
      </c>
      <c r="U435" s="24">
        <f t="shared" si="313"/>
        <v>5.101445786355308</v>
      </c>
      <c r="V435" s="24">
        <f t="shared" si="313"/>
        <v>5.1813892700777622</v>
      </c>
      <c r="W435" s="24">
        <f t="shared" si="313"/>
        <v>5.2707477350200254</v>
      </c>
      <c r="X435" s="24">
        <f t="shared" si="313"/>
        <v>5.1126587571212045</v>
      </c>
      <c r="Y435" s="24">
        <f t="shared" si="314"/>
        <v>5.3901780672882262</v>
      </c>
      <c r="Z435" s="24">
        <f t="shared" si="314"/>
        <v>5.6138051312795501</v>
      </c>
    </row>
    <row r="436" spans="1:26">
      <c r="A436" s="21" t="s">
        <v>5110</v>
      </c>
      <c r="B436" s="23">
        <f t="shared" ref="B436:G436" si="315">SUM(B432:B435)</f>
        <v>962806</v>
      </c>
      <c r="C436" s="23">
        <f t="shared" si="315"/>
        <v>974419</v>
      </c>
      <c r="D436" s="23">
        <f t="shared" si="315"/>
        <v>981147</v>
      </c>
      <c r="E436" s="23">
        <f t="shared" si="315"/>
        <v>991861</v>
      </c>
      <c r="F436" s="23">
        <f t="shared" si="315"/>
        <v>984916</v>
      </c>
      <c r="G436" s="23">
        <f t="shared" si="315"/>
        <v>963303</v>
      </c>
      <c r="H436" s="23">
        <f t="shared" ref="H436:M436" si="316">SUM(H432:H435)</f>
        <v>952530</v>
      </c>
      <c r="I436" s="23">
        <f t="shared" si="316"/>
        <v>979258</v>
      </c>
      <c r="J436" s="23">
        <f t="shared" si="316"/>
        <v>995800</v>
      </c>
      <c r="K436" s="23">
        <f t="shared" si="316"/>
        <v>974826</v>
      </c>
      <c r="L436" s="23">
        <f t="shared" si="316"/>
        <v>977317</v>
      </c>
      <c r="M436" s="23">
        <f t="shared" si="316"/>
        <v>1007392</v>
      </c>
      <c r="N436" s="16"/>
      <c r="O436" s="24">
        <f t="shared" si="313"/>
        <v>12.679845124585155</v>
      </c>
      <c r="P436" s="24">
        <f t="shared" si="313"/>
        <v>12.714069492830209</v>
      </c>
      <c r="Q436" s="24">
        <f t="shared" si="313"/>
        <v>12.728778817088518</v>
      </c>
      <c r="R436" s="24">
        <f t="shared" si="313"/>
        <v>12.799197357214751</v>
      </c>
      <c r="S436" s="24">
        <f t="shared" si="313"/>
        <v>12.76889568802344</v>
      </c>
      <c r="T436" s="24">
        <f t="shared" si="313"/>
        <v>12.71284345553884</v>
      </c>
      <c r="U436" s="24">
        <f t="shared" si="313"/>
        <v>12.739638085302733</v>
      </c>
      <c r="V436" s="24">
        <f t="shared" si="313"/>
        <v>12.798248709403385</v>
      </c>
      <c r="W436" s="24">
        <f t="shared" si="313"/>
        <v>12.9068215105051</v>
      </c>
      <c r="X436" s="24">
        <f t="shared" si="313"/>
        <v>12.737495426749595</v>
      </c>
      <c r="Y436" s="24">
        <f t="shared" si="314"/>
        <v>13.45925660694366</v>
      </c>
      <c r="Z436" s="24">
        <f t="shared" si="314"/>
        <v>13.725995667161719</v>
      </c>
    </row>
    <row r="437" spans="1:26">
      <c r="A437" s="16"/>
      <c r="N437" s="16"/>
      <c r="O437" s="24"/>
      <c r="P437" s="24"/>
      <c r="Q437" s="24"/>
      <c r="R437" s="24"/>
      <c r="S437" s="24"/>
      <c r="T437" s="24"/>
      <c r="U437" s="24"/>
      <c r="V437" s="24"/>
      <c r="W437" s="24"/>
      <c r="X437" s="24"/>
      <c r="Y437" s="24"/>
      <c r="Z437" s="24"/>
    </row>
    <row r="438" spans="1:26">
      <c r="A438" s="21" t="s">
        <v>16088</v>
      </c>
      <c r="B438" s="30">
        <f>'WEST YORKSHIRE'!D5</f>
        <v>321338</v>
      </c>
      <c r="C438" s="30">
        <f>'WEST YORKSHIRE'!E5</f>
        <v>329954</v>
      </c>
      <c r="D438" s="30">
        <f>'WEST YORKSHIRE'!F5</f>
        <v>333826</v>
      </c>
      <c r="E438" s="30">
        <f>'WEST YORKSHIRE'!G5</f>
        <v>340795</v>
      </c>
      <c r="F438" s="30">
        <f>'WEST YORKSHIRE'!H5</f>
        <v>342079</v>
      </c>
      <c r="G438" s="30">
        <f>'WEST YORKSHIRE'!I5</f>
        <v>325735</v>
      </c>
      <c r="H438" s="30">
        <f>'WEST YORKSHIRE'!J5</f>
        <v>326783</v>
      </c>
      <c r="I438" s="30">
        <f>'WEST YORKSHIRE'!K5</f>
        <v>342413</v>
      </c>
      <c r="J438" s="30">
        <f>'WEST YORKSHIRE'!L5</f>
        <v>348281</v>
      </c>
      <c r="K438" s="30">
        <f>'WEST YORKSHIRE'!M5</f>
        <v>347654</v>
      </c>
      <c r="L438" s="30">
        <f>'WEST YORKSHIRE'!N5</f>
        <v>363363</v>
      </c>
      <c r="M438" s="30">
        <f>'WEST YORKSHIRE'!O5</f>
        <v>361347</v>
      </c>
      <c r="N438" s="16"/>
      <c r="O438" s="24">
        <f t="shared" ref="O438:X443" si="317">B438/B$451</f>
        <v>4.2319180319232998</v>
      </c>
      <c r="P438" s="24">
        <f t="shared" si="317"/>
        <v>4.3051891285343356</v>
      </c>
      <c r="Q438" s="24">
        <f t="shared" si="317"/>
        <v>4.3308467715779502</v>
      </c>
      <c r="R438" s="24">
        <f t="shared" si="317"/>
        <v>4.3976953054430021</v>
      </c>
      <c r="S438" s="24">
        <f t="shared" si="317"/>
        <v>4.4348665957943316</v>
      </c>
      <c r="T438" s="24">
        <f t="shared" si="317"/>
        <v>4.2987700266582207</v>
      </c>
      <c r="U438" s="24">
        <f t="shared" si="317"/>
        <v>4.3705680161564286</v>
      </c>
      <c r="V438" s="24">
        <f t="shared" si="317"/>
        <v>4.4751094556622881</v>
      </c>
      <c r="W438" s="24">
        <f t="shared" si="317"/>
        <v>4.5141601752362188</v>
      </c>
      <c r="X438" s="24">
        <f t="shared" si="317"/>
        <v>4.5425965609156957</v>
      </c>
      <c r="Y438" s="24">
        <f t="shared" ref="Y438:Z443" si="318">L438/L$451</f>
        <v>5.0041039483288117</v>
      </c>
      <c r="Z438" s="24">
        <f t="shared" si="318"/>
        <v>4.923453190358754</v>
      </c>
    </row>
    <row r="439" spans="1:26">
      <c r="A439" s="21" t="s">
        <v>5972</v>
      </c>
      <c r="B439" s="30">
        <f>'WEST YORKSHIRE'!D6</f>
        <v>147691</v>
      </c>
      <c r="C439" s="30">
        <f>'WEST YORKSHIRE'!E6</f>
        <v>145167</v>
      </c>
      <c r="D439" s="30">
        <f>'WEST YORKSHIRE'!F6</f>
        <v>147214</v>
      </c>
      <c r="E439" s="30">
        <f>'WEST YORKSHIRE'!G6</f>
        <v>147153</v>
      </c>
      <c r="F439" s="30">
        <f>'WEST YORKSHIRE'!H6</f>
        <v>145702</v>
      </c>
      <c r="G439" s="30">
        <f>'WEST YORKSHIRE'!I6</f>
        <v>142972</v>
      </c>
      <c r="H439" s="30">
        <f>'WEST YORKSHIRE'!J6</f>
        <v>142864</v>
      </c>
      <c r="I439" s="30">
        <f>'WEST YORKSHIRE'!K6</f>
        <v>146496</v>
      </c>
      <c r="J439" s="30">
        <f>'WEST YORKSHIRE'!L6</f>
        <v>147634</v>
      </c>
      <c r="K439" s="30">
        <f>'WEST YORKSHIRE'!M6</f>
        <v>146893</v>
      </c>
      <c r="L439" s="30">
        <f>'WEST YORKSHIRE'!N6</f>
        <v>147917</v>
      </c>
      <c r="M439" s="30">
        <f>'WEST YORKSHIRE'!O6</f>
        <v>150550</v>
      </c>
      <c r="N439" s="16"/>
      <c r="O439" s="24">
        <f t="shared" si="317"/>
        <v>1.9450429331507137</v>
      </c>
      <c r="P439" s="24">
        <f t="shared" si="317"/>
        <v>1.8941167260343681</v>
      </c>
      <c r="Q439" s="24">
        <f t="shared" si="317"/>
        <v>1.9098610552535644</v>
      </c>
      <c r="R439" s="24">
        <f t="shared" si="317"/>
        <v>1.8988953983534209</v>
      </c>
      <c r="S439" s="24">
        <f t="shared" si="317"/>
        <v>1.888946508673218</v>
      </c>
      <c r="T439" s="24">
        <f t="shared" si="317"/>
        <v>1.8868213371341094</v>
      </c>
      <c r="U439" s="24">
        <f t="shared" si="317"/>
        <v>1.9107384076288301</v>
      </c>
      <c r="V439" s="24">
        <f t="shared" si="317"/>
        <v>1.9146049794158009</v>
      </c>
      <c r="W439" s="24">
        <f t="shared" si="317"/>
        <v>1.9135224813033842</v>
      </c>
      <c r="X439" s="24">
        <f t="shared" si="317"/>
        <v>1.9193670621439398</v>
      </c>
      <c r="Y439" s="24">
        <f t="shared" si="318"/>
        <v>2.0370594797074904</v>
      </c>
      <c r="Z439" s="24">
        <f t="shared" si="318"/>
        <v>2.0512855449429783</v>
      </c>
    </row>
    <row r="440" spans="1:26">
      <c r="A440" s="21" t="s">
        <v>5973</v>
      </c>
      <c r="B440" s="30">
        <f>'WEST YORKSHIRE'!D7</f>
        <v>301360</v>
      </c>
      <c r="C440" s="30">
        <f>'WEST YORKSHIRE'!E7</f>
        <v>304578</v>
      </c>
      <c r="D440" s="30">
        <f>'WEST YORKSHIRE'!F7</f>
        <v>307626</v>
      </c>
      <c r="E440" s="30">
        <f>'WEST YORKSHIRE'!G7</f>
        <v>308896</v>
      </c>
      <c r="F440" s="30">
        <f>'WEST YORKSHIRE'!H7</f>
        <v>308557</v>
      </c>
      <c r="G440" s="30">
        <f>'WEST YORKSHIRE'!I7</f>
        <v>296481</v>
      </c>
      <c r="H440" s="30">
        <f>'WEST YORKSHIRE'!J7</f>
        <v>295405</v>
      </c>
      <c r="I440" s="30">
        <f>'WEST YORKSHIRE'!K7</f>
        <v>306707</v>
      </c>
      <c r="J440" s="30">
        <f>'WEST YORKSHIRE'!L7</f>
        <v>302980</v>
      </c>
      <c r="K440" s="30">
        <f>'WEST YORKSHIRE'!M7</f>
        <v>300853</v>
      </c>
      <c r="L440" s="30">
        <f>'WEST YORKSHIRE'!N7</f>
        <v>312683</v>
      </c>
      <c r="M440" s="30">
        <f>'WEST YORKSHIRE'!O7</f>
        <v>312908</v>
      </c>
      <c r="N440" s="16"/>
      <c r="O440" s="24">
        <f t="shared" si="317"/>
        <v>3.9688142021808988</v>
      </c>
      <c r="P440" s="24">
        <f t="shared" si="317"/>
        <v>3.9740869769444553</v>
      </c>
      <c r="Q440" s="24">
        <f t="shared" si="317"/>
        <v>3.9909445907551797</v>
      </c>
      <c r="R440" s="24">
        <f t="shared" si="317"/>
        <v>3.9860634371693293</v>
      </c>
      <c r="S440" s="24">
        <f t="shared" si="317"/>
        <v>4.0002722534809552</v>
      </c>
      <c r="T440" s="24">
        <f t="shared" si="317"/>
        <v>3.9127009264391481</v>
      </c>
      <c r="U440" s="24">
        <f t="shared" si="317"/>
        <v>3.9509021118377938</v>
      </c>
      <c r="V440" s="24">
        <f t="shared" si="317"/>
        <v>4.008455858328432</v>
      </c>
      <c r="W440" s="24">
        <f t="shared" si="317"/>
        <v>3.9270021904527366</v>
      </c>
      <c r="X440" s="24">
        <f t="shared" si="317"/>
        <v>3.9310745831808918</v>
      </c>
      <c r="Y440" s="24">
        <f t="shared" si="318"/>
        <v>4.3061572996570865</v>
      </c>
      <c r="Z440" s="24">
        <f t="shared" si="318"/>
        <v>4.2634583679642475</v>
      </c>
    </row>
    <row r="441" spans="1:26">
      <c r="A441" s="21" t="s">
        <v>5974</v>
      </c>
      <c r="B441" s="30">
        <f>'WEST YORKSHIRE'!D8</f>
        <v>541763</v>
      </c>
      <c r="C441" s="30">
        <f>'WEST YORKSHIRE'!E8</f>
        <v>545338</v>
      </c>
      <c r="D441" s="30">
        <f>'WEST YORKSHIRE'!F8</f>
        <v>541754</v>
      </c>
      <c r="E441" s="30">
        <f>'WEST YORKSHIRE'!G8</f>
        <v>548575</v>
      </c>
      <c r="F441" s="30">
        <f>'WEST YORKSHIRE'!H8</f>
        <v>523862</v>
      </c>
      <c r="G441" s="30">
        <f>'WEST YORKSHIRE'!I8</f>
        <v>519957</v>
      </c>
      <c r="H441" s="30">
        <f>'WEST YORKSHIRE'!J8</f>
        <v>515304</v>
      </c>
      <c r="I441" s="30">
        <f>'WEST YORKSHIRE'!K8</f>
        <v>535725</v>
      </c>
      <c r="J441" s="30">
        <f>'WEST YORKSHIRE'!L8</f>
        <v>541976</v>
      </c>
      <c r="K441" s="30">
        <f>'WEST YORKSHIRE'!M8</f>
        <v>533294</v>
      </c>
      <c r="L441" s="30">
        <f>'WEST YORKSHIRE'!N8</f>
        <v>543568</v>
      </c>
      <c r="M441" s="30">
        <f>'WEST YORKSHIRE'!O8</f>
        <v>574579</v>
      </c>
      <c r="N441" s="16"/>
      <c r="O441" s="24">
        <f t="shared" si="317"/>
        <v>7.134844334404467</v>
      </c>
      <c r="P441" s="24">
        <f t="shared" si="317"/>
        <v>7.115486488954998</v>
      </c>
      <c r="Q441" s="24">
        <f t="shared" si="317"/>
        <v>7.0283727507427249</v>
      </c>
      <c r="R441" s="24">
        <f t="shared" si="317"/>
        <v>7.0789351433659382</v>
      </c>
      <c r="S441" s="24">
        <f t="shared" si="317"/>
        <v>6.7915834781030417</v>
      </c>
      <c r="T441" s="24">
        <f t="shared" si="317"/>
        <v>6.8619447303824535</v>
      </c>
      <c r="U441" s="24">
        <f t="shared" si="317"/>
        <v>6.8919471973678927</v>
      </c>
      <c r="V441" s="24">
        <f t="shared" si="317"/>
        <v>7.0015683199372676</v>
      </c>
      <c r="W441" s="24">
        <f t="shared" si="317"/>
        <v>7.0246911980091502</v>
      </c>
      <c r="X441" s="24">
        <f t="shared" si="317"/>
        <v>6.9682485757591595</v>
      </c>
      <c r="Y441" s="24">
        <f t="shared" si="318"/>
        <v>7.4858220979714378</v>
      </c>
      <c r="Z441" s="24">
        <f t="shared" si="318"/>
        <v>7.8287983867671302</v>
      </c>
    </row>
    <row r="442" spans="1:26">
      <c r="A442" s="21" t="s">
        <v>5975</v>
      </c>
      <c r="B442" s="30">
        <f>'WEST YORKSHIRE'!D9</f>
        <v>250658</v>
      </c>
      <c r="C442" s="30">
        <f>'WEST YORKSHIRE'!E9</f>
        <v>252051</v>
      </c>
      <c r="D442" s="30">
        <f>'WEST YORKSHIRE'!F9</f>
        <v>251403</v>
      </c>
      <c r="E442" s="30">
        <f>'WEST YORKSHIRE'!G9</f>
        <v>250596</v>
      </c>
      <c r="F442" s="30">
        <f>'WEST YORKSHIRE'!H9</f>
        <v>246378</v>
      </c>
      <c r="G442" s="30">
        <f>'WEST YORKSHIRE'!I9</f>
        <v>247935</v>
      </c>
      <c r="H442" s="30">
        <f>'WEST YORKSHIRE'!J9</f>
        <v>237299</v>
      </c>
      <c r="I442" s="30">
        <f>'WEST YORKSHIRE'!K9</f>
        <v>241370</v>
      </c>
      <c r="J442" s="30">
        <f>'WEST YORKSHIRE'!L9</f>
        <v>246957</v>
      </c>
      <c r="K442" s="30">
        <f>'WEST YORKSHIRE'!M9</f>
        <v>244841</v>
      </c>
      <c r="L442" s="30">
        <f>'WEST YORKSHIRE'!N9</f>
        <v>255186</v>
      </c>
      <c r="M442" s="30">
        <f>'WEST YORKSHIRE'!O9</f>
        <v>254556</v>
      </c>
      <c r="N442" s="16"/>
      <c r="O442" s="24">
        <f t="shared" si="317"/>
        <v>3.3010851814781645</v>
      </c>
      <c r="P442" s="24">
        <f t="shared" si="317"/>
        <v>3.2887227463107216</v>
      </c>
      <c r="Q442" s="24">
        <f t="shared" si="317"/>
        <v>3.2615430521140101</v>
      </c>
      <c r="R442" s="24">
        <f t="shared" si="317"/>
        <v>3.2337471288099722</v>
      </c>
      <c r="S442" s="24">
        <f t="shared" si="317"/>
        <v>3.1941556252754948</v>
      </c>
      <c r="T442" s="24">
        <f t="shared" si="317"/>
        <v>3.2720326233272625</v>
      </c>
      <c r="U442" s="24">
        <f t="shared" si="317"/>
        <v>3.1737618531744438</v>
      </c>
      <c r="V442" s="24">
        <f t="shared" si="317"/>
        <v>3.1545448604848723</v>
      </c>
      <c r="W442" s="24">
        <f t="shared" si="317"/>
        <v>3.2008735888429483</v>
      </c>
      <c r="X442" s="24">
        <f t="shared" si="317"/>
        <v>3.1991977212146554</v>
      </c>
      <c r="Y442" s="24">
        <f t="shared" si="318"/>
        <v>3.5143293900541224</v>
      </c>
      <c r="Z442" s="24">
        <f t="shared" si="318"/>
        <v>3.4683961685719344</v>
      </c>
    </row>
    <row r="443" spans="1:26">
      <c r="A443" s="21" t="s">
        <v>5976</v>
      </c>
      <c r="B443" s="23">
        <f t="shared" ref="B443:H443" si="319">SUM(B438:B442)</f>
        <v>1562810</v>
      </c>
      <c r="C443" s="23">
        <f t="shared" si="319"/>
        <v>1577088</v>
      </c>
      <c r="D443" s="23">
        <f t="shared" si="319"/>
        <v>1581823</v>
      </c>
      <c r="E443" s="23">
        <f t="shared" si="319"/>
        <v>1596015</v>
      </c>
      <c r="F443" s="23">
        <f t="shared" si="319"/>
        <v>1566578</v>
      </c>
      <c r="G443" s="23">
        <f t="shared" si="319"/>
        <v>1533080</v>
      </c>
      <c r="H443" s="23">
        <f t="shared" si="319"/>
        <v>1517655</v>
      </c>
      <c r="I443" s="23">
        <f>SUM(I438:I442)</f>
        <v>1572711</v>
      </c>
      <c r="J443" s="23">
        <f>SUM(J438:J442)</f>
        <v>1587828</v>
      </c>
      <c r="K443" s="23">
        <f>SUM(K438:K442)</f>
        <v>1573535</v>
      </c>
      <c r="L443" s="23">
        <f>SUM(L438:L442)</f>
        <v>1622717</v>
      </c>
      <c r="M443" s="23">
        <f>SUM(M438:M442)</f>
        <v>1653940</v>
      </c>
      <c r="N443" s="16"/>
      <c r="O443" s="24">
        <f t="shared" si="317"/>
        <v>20.581704683137545</v>
      </c>
      <c r="P443" s="24">
        <f t="shared" si="317"/>
        <v>20.577602066778876</v>
      </c>
      <c r="Q443" s="24">
        <f t="shared" si="317"/>
        <v>20.521568220443431</v>
      </c>
      <c r="R443" s="24">
        <f t="shared" si="317"/>
        <v>20.595336413141663</v>
      </c>
      <c r="S443" s="24">
        <f t="shared" si="317"/>
        <v>20.30982446132704</v>
      </c>
      <c r="T443" s="24">
        <f t="shared" si="317"/>
        <v>20.232269643941194</v>
      </c>
      <c r="U443" s="24">
        <f t="shared" si="317"/>
        <v>20.29791758616539</v>
      </c>
      <c r="V443" s="24">
        <f t="shared" si="317"/>
        <v>20.554283473828661</v>
      </c>
      <c r="W443" s="24">
        <f t="shared" si="317"/>
        <v>20.580249633844439</v>
      </c>
      <c r="X443" s="24">
        <f t="shared" si="317"/>
        <v>20.56048450321434</v>
      </c>
      <c r="Y443" s="24">
        <f t="shared" si="318"/>
        <v>22.347472215718948</v>
      </c>
      <c r="Z443" s="24">
        <f t="shared" si="318"/>
        <v>22.535391658605043</v>
      </c>
    </row>
    <row r="444" spans="1:26">
      <c r="A444" s="21"/>
      <c r="B444" s="23"/>
      <c r="C444" s="23"/>
      <c r="D444" s="23"/>
      <c r="E444" s="23"/>
      <c r="F444" s="23"/>
      <c r="G444" s="23"/>
      <c r="H444" s="23"/>
      <c r="I444" s="23"/>
      <c r="J444" s="23"/>
      <c r="K444" s="23"/>
      <c r="L444" s="23"/>
      <c r="M444" s="23"/>
      <c r="N444" s="16"/>
      <c r="O444" s="24"/>
      <c r="P444" s="24"/>
      <c r="Q444" s="24"/>
      <c r="R444" s="24"/>
    </row>
    <row r="445" spans="1:26">
      <c r="A445" s="29" t="s">
        <v>3862</v>
      </c>
      <c r="B445" s="27">
        <f t="shared" ref="B445:M445" si="320">B419+B430+B436+B443</f>
        <v>3818293</v>
      </c>
      <c r="C445" s="27">
        <f t="shared" si="320"/>
        <v>3848942</v>
      </c>
      <c r="D445" s="27">
        <f t="shared" si="320"/>
        <v>3862898</v>
      </c>
      <c r="E445" s="27">
        <f t="shared" si="320"/>
        <v>3894417</v>
      </c>
      <c r="F445" s="27">
        <f t="shared" si="320"/>
        <v>3854241</v>
      </c>
      <c r="G445" s="27">
        <f t="shared" si="320"/>
        <v>3759021</v>
      </c>
      <c r="H445" s="27">
        <f t="shared" si="320"/>
        <v>3722035</v>
      </c>
      <c r="I445" s="27">
        <f t="shared" si="320"/>
        <v>3831821</v>
      </c>
      <c r="J445" s="27">
        <f t="shared" si="320"/>
        <v>3867475</v>
      </c>
      <c r="K445" s="27">
        <f t="shared" si="320"/>
        <v>3824687</v>
      </c>
      <c r="L445" s="27">
        <f t="shared" si="320"/>
        <v>3882496</v>
      </c>
      <c r="M445" s="27">
        <f t="shared" si="320"/>
        <v>3966500</v>
      </c>
      <c r="N445" s="16"/>
      <c r="O445" s="28">
        <f t="shared" ref="O445:X445" si="321">B445/B$451</f>
        <v>50.285689827740612</v>
      </c>
      <c r="P445" s="28">
        <f t="shared" si="321"/>
        <v>50.220404222283115</v>
      </c>
      <c r="Q445" s="28">
        <f t="shared" si="321"/>
        <v>50.114788339538926</v>
      </c>
      <c r="R445" s="28">
        <f t="shared" si="321"/>
        <v>50.254432601233646</v>
      </c>
      <c r="S445" s="28">
        <f t="shared" si="321"/>
        <v>49.968120413825289</v>
      </c>
      <c r="T445" s="28">
        <f t="shared" si="321"/>
        <v>49.608322115765304</v>
      </c>
      <c r="U445" s="28">
        <f t="shared" si="321"/>
        <v>49.780457141328625</v>
      </c>
      <c r="V445" s="28">
        <f t="shared" si="321"/>
        <v>50.079343919492906</v>
      </c>
      <c r="W445" s="28">
        <f t="shared" si="321"/>
        <v>50.127344367684991</v>
      </c>
      <c r="X445" s="28">
        <f t="shared" si="321"/>
        <v>49.975003919928916</v>
      </c>
      <c r="Y445" s="28">
        <f>L445/L$451</f>
        <v>53.468332116838582</v>
      </c>
      <c r="Z445" s="28">
        <f>M445/M$451</f>
        <v>54.044663660022074</v>
      </c>
    </row>
    <row r="446" spans="1:26">
      <c r="A446" s="21"/>
      <c r="B446" s="23"/>
      <c r="C446" s="23"/>
      <c r="D446" s="23"/>
      <c r="E446" s="23"/>
      <c r="F446" s="23"/>
      <c r="G446" s="23"/>
      <c r="H446" s="23"/>
      <c r="I446" s="23"/>
      <c r="J446" s="23"/>
      <c r="K446" s="23"/>
      <c r="L446" s="23"/>
      <c r="M446" s="23"/>
      <c r="N446" s="16"/>
      <c r="O446" s="24"/>
    </row>
    <row r="447" spans="1:26">
      <c r="A447" s="21" t="s">
        <v>3737</v>
      </c>
      <c r="B447" s="23" t="s">
        <v>3738</v>
      </c>
      <c r="C447" s="23"/>
      <c r="D447" s="23"/>
      <c r="E447" s="23"/>
      <c r="F447" s="23"/>
      <c r="G447" s="23"/>
      <c r="H447" s="23"/>
      <c r="I447" s="23"/>
      <c r="J447" s="23"/>
      <c r="K447" s="23"/>
      <c r="L447" s="23"/>
      <c r="M447" s="23"/>
      <c r="N447" s="16"/>
      <c r="O447" s="24"/>
    </row>
    <row r="448" spans="1:26">
      <c r="B448" s="23"/>
      <c r="C448" s="23"/>
      <c r="D448" s="23"/>
      <c r="E448" s="23"/>
      <c r="F448" s="23"/>
      <c r="G448" s="23"/>
      <c r="H448" s="23"/>
      <c r="I448" s="23"/>
      <c r="J448" s="23"/>
      <c r="K448" s="23"/>
      <c r="L448" s="23"/>
      <c r="M448" s="23"/>
      <c r="N448" s="16"/>
      <c r="O448" s="24"/>
    </row>
    <row r="449" spans="1:25">
      <c r="A449" s="29" t="s">
        <v>6852</v>
      </c>
      <c r="B449" s="27">
        <f t="shared" ref="B449:M449" si="322">B63+B115+B153+B174+B228+B316+B365+B411+B445</f>
        <v>38129082</v>
      </c>
      <c r="C449" s="27">
        <f t="shared" si="322"/>
        <v>38443481</v>
      </c>
      <c r="D449" s="27">
        <f t="shared" si="322"/>
        <v>38654054</v>
      </c>
      <c r="E449" s="27">
        <f t="shared" si="322"/>
        <v>38837344</v>
      </c>
      <c r="F449" s="27">
        <f t="shared" si="322"/>
        <v>38597137</v>
      </c>
      <c r="G449" s="27">
        <f t="shared" si="322"/>
        <v>37831553</v>
      </c>
      <c r="H449" s="27">
        <f t="shared" si="322"/>
        <v>37399942</v>
      </c>
      <c r="I449" s="27">
        <f t="shared" si="322"/>
        <v>38386864</v>
      </c>
      <c r="J449" s="27">
        <f t="shared" si="322"/>
        <v>38693859</v>
      </c>
      <c r="K449" s="27">
        <f t="shared" si="322"/>
        <v>38371420</v>
      </c>
      <c r="L449" s="27">
        <f t="shared" si="322"/>
        <v>39476140</v>
      </c>
      <c r="M449" s="27">
        <f t="shared" si="322"/>
        <v>39860421</v>
      </c>
      <c r="N449" s="26"/>
      <c r="O449" s="28"/>
      <c r="P449" s="28"/>
      <c r="Q449" s="28"/>
      <c r="R449" s="28"/>
      <c r="S449" s="28"/>
      <c r="T449" s="28"/>
      <c r="U449" s="28"/>
      <c r="V449" s="28"/>
      <c r="W449" s="28"/>
      <c r="X449" s="28"/>
      <c r="Y449" s="28"/>
    </row>
    <row r="450" spans="1:25">
      <c r="A450" s="16"/>
      <c r="B450" s="23"/>
      <c r="C450" s="23"/>
      <c r="D450" s="23"/>
      <c r="E450" s="23"/>
      <c r="F450" s="23"/>
      <c r="G450" s="23"/>
      <c r="H450" s="23"/>
      <c r="I450" s="23"/>
      <c r="J450" s="23"/>
      <c r="K450" s="23"/>
      <c r="L450" s="23"/>
      <c r="M450" s="23"/>
      <c r="N450" s="16"/>
    </row>
    <row r="451" spans="1:25">
      <c r="A451" s="29" t="s">
        <v>9401</v>
      </c>
      <c r="B451" s="27">
        <v>75932</v>
      </c>
      <c r="C451" s="27">
        <v>76641</v>
      </c>
      <c r="D451" s="27">
        <v>77081</v>
      </c>
      <c r="E451" s="27">
        <v>77494</v>
      </c>
      <c r="F451" s="27">
        <v>77134</v>
      </c>
      <c r="G451" s="27">
        <v>75774</v>
      </c>
      <c r="H451" s="27">
        <v>74769</v>
      </c>
      <c r="I451" s="27">
        <v>76515</v>
      </c>
      <c r="J451" s="27">
        <v>77153</v>
      </c>
      <c r="K451" s="27">
        <v>76532</v>
      </c>
      <c r="L451" s="27">
        <v>72613</v>
      </c>
      <c r="M451" s="27">
        <v>73393</v>
      </c>
      <c r="N451" s="32"/>
    </row>
    <row r="452" spans="1:25">
      <c r="A452" s="16"/>
      <c r="B452" s="16"/>
      <c r="C452" s="16"/>
      <c r="D452" s="16"/>
      <c r="E452" s="16"/>
      <c r="F452" s="16"/>
      <c r="G452" s="16"/>
      <c r="H452" s="16"/>
      <c r="I452" s="16"/>
      <c r="J452" s="16"/>
      <c r="K452" s="16"/>
      <c r="L452" s="16"/>
      <c r="M452" s="16"/>
      <c r="N452" s="16"/>
    </row>
    <row r="453" spans="1:25">
      <c r="A453" s="21"/>
      <c r="B453" s="16"/>
      <c r="C453" s="16"/>
      <c r="D453" s="16"/>
      <c r="E453" s="16"/>
      <c r="F453" s="16"/>
      <c r="G453" s="16"/>
      <c r="H453" s="16"/>
      <c r="I453" s="16"/>
      <c r="J453" s="16"/>
      <c r="K453" s="16"/>
      <c r="L453" s="6" t="s">
        <v>14498</v>
      </c>
      <c r="M453" s="6"/>
      <c r="N453" s="16"/>
    </row>
    <row r="454" spans="1:25">
      <c r="A454" s="16"/>
      <c r="B454" s="16"/>
      <c r="C454" s="16"/>
      <c r="D454" s="16"/>
      <c r="E454" s="16"/>
      <c r="F454" s="16"/>
      <c r="G454" s="16"/>
      <c r="H454" s="16"/>
      <c r="I454" s="16"/>
      <c r="J454" s="16"/>
      <c r="K454" s="16"/>
      <c r="L454" s="16"/>
      <c r="M454" s="16"/>
      <c r="N454" s="16"/>
    </row>
    <row r="455" spans="1:25">
      <c r="A455" s="16"/>
      <c r="B455" s="16"/>
      <c r="C455" s="16"/>
      <c r="D455" s="16"/>
      <c r="E455" s="16"/>
      <c r="F455" s="16"/>
      <c r="G455" s="16"/>
      <c r="H455" s="16"/>
      <c r="I455" s="16"/>
      <c r="J455" s="16"/>
      <c r="K455" s="16"/>
      <c r="L455" s="16"/>
      <c r="M455" s="16"/>
      <c r="N455" s="16"/>
    </row>
  </sheetData>
  <phoneticPr fontId="6" type="noConversion"/>
  <printOptions gridLinesSet="0"/>
  <pageMargins left="0.62992125984251968" right="0" top="0.78740157480314965" bottom="0.39370078740157483" header="0.51181102362204722" footer="0.51181102362204722"/>
  <pageSetup paperSize="8" scale="75" orientation="landscape" verticalDpi="4" r:id="rId1"/>
  <headerFooter alignWithMargins="0">
    <oddFooter>&amp;C&amp;8&amp;P of &amp;N</oddFooter>
  </headerFooter>
  <rowBreaks count="8" manualBreakCount="8">
    <brk id="65" max="9" man="1"/>
    <brk id="117" max="9" man="1"/>
    <brk id="153" max="9" man="1"/>
    <brk id="176" max="9" man="1"/>
    <brk id="230" max="9" man="1"/>
    <brk id="318" max="9" man="1"/>
    <brk id="367" max="9" man="1"/>
    <brk id="413" max="9" man="1"/>
  </rowBreaks>
  <ignoredErrors>
    <ignoredError sqref="B446 B183:D202 B366:C366 B338:C338 C449 D119:D153 D226 D204:D219 D243:D251 B287:D292 D320 D387:D411 D155:D159 D293:D315 D371:D385 B339:D341 C330:D337 D90:D101 B448:B449 B319:B320 B369:D369 N319:N320 O451:R451 E319:E320 O450:R450 E114:F114 N114:S161 D67:D78 B79:F87 B114:C114 D88:F89 B88:C101 E90:F101 N88:S101 B116:C159 E116:F159 B112:F112 N163:S180 E164:F173 B160:F161 D164:D172 B164:C173 B175:C175 E183:F227 B177:C177 C176 E175:F180 B178:D180 B203:C227 N182:N227 E243:F264 N243:S264 D253:D264 B243:C264 B229:C239 N229:N239 E229:F239 D232:D239 E287:F315 B241:F241 C293:C320 E317 F317:F320 B293:B315 D325:D328 B325:B337 N325:N342 O322:S342 C325:C329 E325:F342 N321:S321 B321:F324 B342:C342 N358:S358 B364:F365 B368:C368 C367 D316:F316 B228:F228 B64:C78 B63 B163:F163 B181:F182 B429:G445 O87:S87 O112:S113 O162:S162 O181:S239 O363:S363 E366:F428 B370:C428 N364:S428 D415:D428 N431:N437 O431:R448 S431:T445 N429:T429 O430:T430 D446:E449 F446:G449 H449:I449 H443:H445 H436 H421:H430 H415:H419 H401:H411 H369:H392 H320:H341 H226:H228 H155:H172 H67:H101 H119:H153 H178:H219 H232:H239 B58:J59 N58:N59 N266:N274 B265:F274 O265:S274 O276:S320 B276:F286 N276:N317 G276:G342 H276:H316 I276:J342 T276:W342 N439:N448 E62:F78 B62:C62 N61:S86 I62:J101 G62:G101 T61:W101 N4:W56 B4:J7 N343:W356 D346:D353 H358 B358:F358 B346:C354 T358 G358 I358 J358 U358:W358 B345 E346:J356 B355:D356 N359:S362 H359:H365 B359:F362 T359:T428 G359:G428 I359:I445 J359:J449 U359:W445 N240 O240:S242 H241:H274 I241:J274 G241:G274 T240:W274 B317 N450 D102:D110 B102:C111 E102:F111 N102:S111 H102:H113 I102:J239 G102:G239 T102:W239 B9:J16 B18:J5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dimension ref="A1:Q64"/>
  <sheetViews>
    <sheetView showGridLines="0" zoomScale="90" zoomScaleNormal="90" workbookViewId="0">
      <selection activeCell="S11" sqref="S11"/>
    </sheetView>
  </sheetViews>
  <sheetFormatPr defaultColWidth="14.5703125" defaultRowHeight="15"/>
  <cols>
    <col min="1" max="1" width="4.85546875" style="127" customWidth="1"/>
    <col min="2" max="2" width="32.140625" style="127" customWidth="1"/>
    <col min="3" max="3" width="11.7109375" style="127" customWidth="1"/>
    <col min="4" max="15" width="10" style="127" customWidth="1"/>
    <col min="16" max="16" width="2.28515625" style="127" customWidth="1"/>
    <col min="17" max="17" width="33.140625" style="127" customWidth="1"/>
    <col min="18" max="16384" width="14.5703125" style="127"/>
  </cols>
  <sheetData>
    <row r="1" spans="1:17">
      <c r="A1" s="397" t="s">
        <v>6924</v>
      </c>
      <c r="D1" s="398">
        <v>2010</v>
      </c>
      <c r="E1" s="398">
        <v>2011</v>
      </c>
      <c r="F1" s="398">
        <v>2012</v>
      </c>
      <c r="G1" s="398">
        <v>2013</v>
      </c>
      <c r="H1" s="398">
        <v>2014</v>
      </c>
      <c r="I1" s="398">
        <v>2015</v>
      </c>
      <c r="J1" s="398">
        <v>2016</v>
      </c>
      <c r="K1" s="398">
        <v>2017</v>
      </c>
      <c r="L1" s="398">
        <v>2018</v>
      </c>
      <c r="M1" s="398">
        <v>2019</v>
      </c>
      <c r="N1" s="398">
        <v>2020</v>
      </c>
      <c r="O1" s="943" t="s">
        <v>14823</v>
      </c>
    </row>
    <row r="3" spans="1:17">
      <c r="A3" s="397" t="s">
        <v>4835</v>
      </c>
      <c r="D3" s="401">
        <f t="shared" ref="D3:L3" si="0">SUM(D21:D25)+SUM(D27:D30)+SUM(D32:D36)+SUM(D37:D46)+SUM(D47:D56)+SUM(D58:D60)</f>
        <v>299884</v>
      </c>
      <c r="E3" s="401">
        <f t="shared" si="0"/>
        <v>304473</v>
      </c>
      <c r="F3" s="401">
        <f t="shared" si="0"/>
        <v>309495</v>
      </c>
      <c r="G3" s="401">
        <f t="shared" si="0"/>
        <v>309644</v>
      </c>
      <c r="H3" s="401">
        <f t="shared" si="0"/>
        <v>308742</v>
      </c>
      <c r="I3" s="401">
        <f t="shared" si="0"/>
        <v>303609</v>
      </c>
      <c r="J3" s="401">
        <f t="shared" si="0"/>
        <v>300195</v>
      </c>
      <c r="K3" s="401">
        <f t="shared" si="0"/>
        <v>306555</v>
      </c>
      <c r="L3" s="401">
        <f t="shared" si="0"/>
        <v>308147</v>
      </c>
      <c r="M3" s="401">
        <f>SUM(M21:M25)+SUM(M27:M30)+SUM(M32:M36)+SUM(M37:M46)+SUM(M47:M56)+SUM(M58:M60)</f>
        <v>305184</v>
      </c>
      <c r="N3" s="401">
        <f>SUM(N21:N25)+SUM(N27:N30)+SUM(N32:N36)+SUM(N37:N46)+SUM(N47:N56)+SUM(N58:N60)</f>
        <v>313464</v>
      </c>
      <c r="O3" s="401">
        <f>SUM(O21:O25)+SUM(O27:O30)+SUM(O32:O36)+SUM(O37:O46)+SUM(O47:O56)+SUM(O58:O60)</f>
        <v>335568</v>
      </c>
    </row>
    <row r="4" spans="1:17">
      <c r="D4" s="399"/>
      <c r="E4" s="399"/>
      <c r="F4" s="399"/>
      <c r="G4" s="399"/>
      <c r="H4" s="399"/>
      <c r="I4" s="399"/>
      <c r="J4" s="399"/>
      <c r="K4" s="399"/>
      <c r="L4" s="399"/>
      <c r="M4" s="399"/>
      <c r="N4" s="399"/>
      <c r="O4" s="399"/>
      <c r="Q4" s="400"/>
    </row>
    <row r="5" spans="1:17">
      <c r="A5" s="397" t="s">
        <v>4836</v>
      </c>
      <c r="D5" s="401">
        <f t="shared" ref="D5:L5" si="1">D3/4</f>
        <v>74971</v>
      </c>
      <c r="E5" s="401">
        <f t="shared" si="1"/>
        <v>76118.25</v>
      </c>
      <c r="F5" s="401">
        <f t="shared" si="1"/>
        <v>77373.75</v>
      </c>
      <c r="G5" s="401">
        <f t="shared" si="1"/>
        <v>77411</v>
      </c>
      <c r="H5" s="401">
        <f t="shared" si="1"/>
        <v>77185.5</v>
      </c>
      <c r="I5" s="401">
        <f t="shared" si="1"/>
        <v>75902.25</v>
      </c>
      <c r="J5" s="401">
        <f t="shared" si="1"/>
        <v>75048.75</v>
      </c>
      <c r="K5" s="401">
        <f t="shared" si="1"/>
        <v>76638.75</v>
      </c>
      <c r="L5" s="401">
        <f t="shared" si="1"/>
        <v>77036.75</v>
      </c>
      <c r="M5" s="401">
        <f>M3/4</f>
        <v>76296</v>
      </c>
      <c r="N5" s="401">
        <f>N3/4</f>
        <v>78366</v>
      </c>
      <c r="O5" s="401">
        <f>O3/4</f>
        <v>83892</v>
      </c>
    </row>
    <row r="6" spans="1:17">
      <c r="D6" s="402"/>
      <c r="E6" s="402"/>
      <c r="F6" s="402"/>
      <c r="G6" s="402"/>
      <c r="H6" s="402"/>
      <c r="I6" s="402"/>
      <c r="J6" s="402"/>
      <c r="K6" s="402"/>
      <c r="L6" s="402"/>
      <c r="M6" s="402"/>
      <c r="N6" s="402"/>
      <c r="O6" s="402"/>
    </row>
    <row r="7" spans="1:17">
      <c r="A7" s="397" t="s">
        <v>4837</v>
      </c>
      <c r="D7" s="401">
        <f t="shared" ref="D7:L7" si="2">SUM(D28:D29,D37,D39,D43,D50:D52,D55)</f>
        <v>68999</v>
      </c>
      <c r="E7" s="401">
        <f t="shared" si="2"/>
        <v>69347</v>
      </c>
      <c r="F7" s="401">
        <f t="shared" si="2"/>
        <v>70455</v>
      </c>
      <c r="G7" s="401">
        <f t="shared" si="2"/>
        <v>69989</v>
      </c>
      <c r="H7" s="401">
        <f t="shared" si="2"/>
        <v>70605</v>
      </c>
      <c r="I7" s="401">
        <f t="shared" si="2"/>
        <v>69738</v>
      </c>
      <c r="J7" s="401">
        <f t="shared" si="2"/>
        <v>68199</v>
      </c>
      <c r="K7" s="401">
        <f t="shared" si="2"/>
        <v>70066</v>
      </c>
      <c r="L7" s="401">
        <f t="shared" si="2"/>
        <v>70366</v>
      </c>
      <c r="M7" s="401">
        <f>SUM(M28:M29,M37,M39,M43,M50:M52,M55)</f>
        <v>70253</v>
      </c>
      <c r="N7" s="401">
        <f>SUM(N28:N29,N37,N39,N43,N50:N52,N55)</f>
        <v>71127</v>
      </c>
      <c r="O7" s="401">
        <f>SUM(O28:O29,O37,O39,O43,O50:O52,O55)</f>
        <v>74322</v>
      </c>
      <c r="Q7" s="397" t="s">
        <v>4838</v>
      </c>
    </row>
    <row r="8" spans="1:17">
      <c r="D8" s="402"/>
      <c r="E8" s="402"/>
      <c r="F8" s="402"/>
      <c r="G8" s="402"/>
      <c r="H8" s="402"/>
      <c r="I8" s="402"/>
      <c r="J8" s="402"/>
      <c r="K8" s="402"/>
      <c r="L8" s="402"/>
      <c r="M8" s="402"/>
      <c r="N8" s="402"/>
      <c r="O8" s="402"/>
    </row>
    <row r="9" spans="1:17">
      <c r="A9" s="397" t="s">
        <v>4831</v>
      </c>
      <c r="D9" s="401">
        <f t="shared" ref="D9:L9" si="3">D22+D24+D41+D44+D48+D53+D58+D59</f>
        <v>73104</v>
      </c>
      <c r="E9" s="401">
        <f t="shared" si="3"/>
        <v>73920</v>
      </c>
      <c r="F9" s="401">
        <f t="shared" si="3"/>
        <v>74595</v>
      </c>
      <c r="G9" s="401">
        <f t="shared" si="3"/>
        <v>74969</v>
      </c>
      <c r="H9" s="401">
        <f t="shared" si="3"/>
        <v>74540</v>
      </c>
      <c r="I9" s="401">
        <f t="shared" si="3"/>
        <v>73793</v>
      </c>
      <c r="J9" s="401">
        <f t="shared" si="3"/>
        <v>71869</v>
      </c>
      <c r="K9" s="401">
        <f t="shared" si="3"/>
        <v>72784</v>
      </c>
      <c r="L9" s="401">
        <f t="shared" si="3"/>
        <v>72211</v>
      </c>
      <c r="M9" s="401">
        <f>M22+M24+M41+M44+M48+M53+M58+M59</f>
        <v>71622</v>
      </c>
      <c r="N9" s="401">
        <f>N22+N24+N41+N44+N48+N53+N58+N59</f>
        <v>72896</v>
      </c>
      <c r="O9" s="401">
        <f>O22+O24+O41+O44+O48+O53+O58+O59</f>
        <v>76823</v>
      </c>
      <c r="Q9" s="397" t="s">
        <v>4838</v>
      </c>
    </row>
    <row r="10" spans="1:17">
      <c r="D10" s="402"/>
      <c r="E10" s="402"/>
      <c r="F10" s="402"/>
      <c r="G10" s="402"/>
      <c r="H10" s="402"/>
      <c r="I10" s="402"/>
      <c r="J10" s="402"/>
      <c r="K10" s="402"/>
      <c r="L10" s="402"/>
      <c r="M10" s="402"/>
      <c r="N10" s="402"/>
      <c r="O10" s="402"/>
    </row>
    <row r="11" spans="1:17">
      <c r="A11" s="397" t="s">
        <v>3327</v>
      </c>
      <c r="D11" s="401">
        <f t="shared" ref="D11:L11" si="4">D23+D27+D30+D38+D40+D42+D46+D54+D56+D60</f>
        <v>78148</v>
      </c>
      <c r="E11" s="401">
        <f t="shared" si="4"/>
        <v>78703</v>
      </c>
      <c r="F11" s="401">
        <f t="shared" si="4"/>
        <v>79858</v>
      </c>
      <c r="G11" s="401">
        <f t="shared" si="4"/>
        <v>80224</v>
      </c>
      <c r="H11" s="401">
        <f t="shared" si="4"/>
        <v>80481</v>
      </c>
      <c r="I11" s="401">
        <f t="shared" si="4"/>
        <v>79512</v>
      </c>
      <c r="J11" s="401">
        <f t="shared" si="4"/>
        <v>78060</v>
      </c>
      <c r="K11" s="401">
        <f t="shared" si="4"/>
        <v>80750</v>
      </c>
      <c r="L11" s="401">
        <f t="shared" si="4"/>
        <v>80999</v>
      </c>
      <c r="M11" s="401">
        <f>M23+M27+M30+M38+M40+M42+M46+M54+M56+M60</f>
        <v>80307</v>
      </c>
      <c r="N11" s="401">
        <f>N23+N27+N30+N38+N40+N42+N46+N54+N56+N60</f>
        <v>81582</v>
      </c>
      <c r="O11" s="401">
        <f>O23+O27+O30+O38+O40+O42+O46+O54+O56+O60</f>
        <v>84564</v>
      </c>
      <c r="Q11" s="397" t="s">
        <v>4838</v>
      </c>
    </row>
    <row r="12" spans="1:17">
      <c r="D12" s="402"/>
      <c r="E12" s="402"/>
      <c r="F12" s="402"/>
      <c r="G12" s="402"/>
      <c r="H12" s="402"/>
      <c r="I12" s="402"/>
      <c r="J12" s="402"/>
      <c r="K12" s="402"/>
      <c r="L12" s="402"/>
      <c r="M12" s="402"/>
      <c r="N12" s="402"/>
      <c r="O12" s="402"/>
    </row>
    <row r="13" spans="1:17">
      <c r="A13" s="397" t="s">
        <v>3328</v>
      </c>
      <c r="D13" s="401">
        <f t="shared" ref="D13:L13" si="5">D21+D25+SUM(D32:D36)+D45+D47+D49</f>
        <v>79633</v>
      </c>
      <c r="E13" s="401">
        <f t="shared" si="5"/>
        <v>82503</v>
      </c>
      <c r="F13" s="401">
        <f t="shared" si="5"/>
        <v>84587</v>
      </c>
      <c r="G13" s="401">
        <f t="shared" si="5"/>
        <v>84462</v>
      </c>
      <c r="H13" s="401">
        <f t="shared" si="5"/>
        <v>83116</v>
      </c>
      <c r="I13" s="401">
        <f t="shared" si="5"/>
        <v>80566</v>
      </c>
      <c r="J13" s="401">
        <f t="shared" si="5"/>
        <v>82067</v>
      </c>
      <c r="K13" s="401">
        <f t="shared" si="5"/>
        <v>82955</v>
      </c>
      <c r="L13" s="401">
        <f t="shared" si="5"/>
        <v>84571</v>
      </c>
      <c r="M13" s="401">
        <f>M21+M25+SUM(M32:M36)+M45+M47+M49</f>
        <v>83002</v>
      </c>
      <c r="N13" s="401">
        <f>N21+N25+SUM(N32:N36)+N45+N47+N49</f>
        <v>87859</v>
      </c>
      <c r="O13" s="401">
        <f>O21+O25+SUM(O32:O36)+O45+O47+O49</f>
        <v>99859</v>
      </c>
      <c r="Q13" s="397" t="s">
        <v>4838</v>
      </c>
    </row>
    <row r="14" spans="1:17">
      <c r="D14" s="402"/>
      <c r="E14" s="402"/>
      <c r="F14" s="402"/>
      <c r="G14" s="402"/>
      <c r="H14" s="402"/>
      <c r="I14" s="402"/>
      <c r="J14" s="402"/>
      <c r="K14" s="402"/>
      <c r="L14" s="402"/>
      <c r="M14" s="402"/>
      <c r="N14" s="402"/>
      <c r="O14" s="402"/>
    </row>
    <row r="15" spans="1:17">
      <c r="A15" s="397" t="s">
        <v>6796</v>
      </c>
      <c r="D15" s="401">
        <f t="shared" ref="D15:L15" si="6">D7+D9+D11+D13</f>
        <v>299884</v>
      </c>
      <c r="E15" s="401">
        <f t="shared" si="6"/>
        <v>304473</v>
      </c>
      <c r="F15" s="401">
        <f t="shared" si="6"/>
        <v>309495</v>
      </c>
      <c r="G15" s="401">
        <f t="shared" si="6"/>
        <v>309644</v>
      </c>
      <c r="H15" s="401">
        <f t="shared" si="6"/>
        <v>308742</v>
      </c>
      <c r="I15" s="401">
        <f t="shared" si="6"/>
        <v>303609</v>
      </c>
      <c r="J15" s="401">
        <f t="shared" si="6"/>
        <v>300195</v>
      </c>
      <c r="K15" s="401">
        <f t="shared" si="6"/>
        <v>306555</v>
      </c>
      <c r="L15" s="401">
        <f t="shared" si="6"/>
        <v>308147</v>
      </c>
      <c r="M15" s="401">
        <f>M7+M9+M11+M13</f>
        <v>305184</v>
      </c>
      <c r="N15" s="401">
        <f>N7+N9+N11+N13</f>
        <v>313464</v>
      </c>
      <c r="O15" s="401">
        <f>O7+O9+O11+O13</f>
        <v>335568</v>
      </c>
    </row>
    <row r="16" spans="1:17">
      <c r="D16" s="402"/>
      <c r="E16" s="402"/>
      <c r="F16" s="402"/>
      <c r="G16" s="402"/>
      <c r="H16" s="402"/>
      <c r="I16" s="402"/>
      <c r="J16" s="402"/>
      <c r="K16" s="402"/>
      <c r="L16" s="402"/>
      <c r="M16" s="402"/>
      <c r="N16" s="402"/>
      <c r="O16" s="402"/>
    </row>
    <row r="17" spans="1:17">
      <c r="A17" s="397" t="s">
        <v>6797</v>
      </c>
      <c r="D17" s="401">
        <f t="shared" ref="D17:L17" si="7">MAX(D7,D9,D11,D13)-MIN(D7,D9,D11,D13)</f>
        <v>10634</v>
      </c>
      <c r="E17" s="401">
        <f t="shared" si="7"/>
        <v>13156</v>
      </c>
      <c r="F17" s="401">
        <f t="shared" si="7"/>
        <v>14132</v>
      </c>
      <c r="G17" s="401">
        <f t="shared" si="7"/>
        <v>14473</v>
      </c>
      <c r="H17" s="401">
        <f t="shared" si="7"/>
        <v>12511</v>
      </c>
      <c r="I17" s="401">
        <f t="shared" si="7"/>
        <v>10828</v>
      </c>
      <c r="J17" s="401">
        <f t="shared" si="7"/>
        <v>13868</v>
      </c>
      <c r="K17" s="401">
        <f t="shared" si="7"/>
        <v>12889</v>
      </c>
      <c r="L17" s="401">
        <f t="shared" si="7"/>
        <v>14205</v>
      </c>
      <c r="M17" s="401">
        <f>MAX(M7,M9,M11,M13)-MIN(M7,M9,M11,M13)</f>
        <v>12749</v>
      </c>
      <c r="N17" s="401">
        <f>MAX(N7,N9,N11,N13)-MIN(N7,N9,N11,N13)</f>
        <v>16732</v>
      </c>
      <c r="O17" s="401">
        <f>MAX(O7,O9,O11,O13)-MIN(O7,O9,O11,O13)</f>
        <v>25537</v>
      </c>
    </row>
    <row r="18" spans="1:17">
      <c r="D18" s="402"/>
      <c r="E18" s="402"/>
      <c r="F18" s="402"/>
      <c r="G18" s="402"/>
      <c r="H18" s="402"/>
      <c r="I18" s="402"/>
      <c r="J18" s="402"/>
      <c r="K18" s="402"/>
      <c r="L18" s="402"/>
      <c r="M18" s="402"/>
      <c r="N18" s="402"/>
      <c r="O18" s="402"/>
    </row>
    <row r="19" spans="1:17">
      <c r="A19" s="397" t="s">
        <v>6800</v>
      </c>
      <c r="D19" s="401">
        <f t="shared" ref="D19:L19" si="8">STDEVP(D7,D9,D11,D13)</f>
        <v>4212.4234711149356</v>
      </c>
      <c r="E19" s="401">
        <f t="shared" si="8"/>
        <v>4952.981292867963</v>
      </c>
      <c r="F19" s="401">
        <f t="shared" si="8"/>
        <v>5333.6907191456085</v>
      </c>
      <c r="G19" s="401">
        <f t="shared" si="8"/>
        <v>5446.9949972438935</v>
      </c>
      <c r="H19" s="401">
        <f t="shared" si="8"/>
        <v>4907.4637288522063</v>
      </c>
      <c r="I19" s="401">
        <f t="shared" si="8"/>
        <v>4393.9666802901456</v>
      </c>
      <c r="J19" s="401">
        <f t="shared" si="8"/>
        <v>5370.1337215659723</v>
      </c>
      <c r="K19" s="401">
        <f t="shared" si="8"/>
        <v>5358.5802865591177</v>
      </c>
      <c r="L19" s="401">
        <f t="shared" si="8"/>
        <v>5921.3832157275547</v>
      </c>
      <c r="M19" s="401">
        <f>STDEVP(M7,M9,M11,M13)</f>
        <v>5464.0342696582711</v>
      </c>
      <c r="N19" s="401">
        <f>STDEVP(N7,N9,N11,N13)</f>
        <v>6759.8765891101884</v>
      </c>
      <c r="O19" s="401">
        <f>STDEVP(O7,O9,O11,O13)</f>
        <v>9961.8313326416046</v>
      </c>
    </row>
    <row r="21" spans="1:17">
      <c r="A21" s="320">
        <v>1</v>
      </c>
      <c r="B21" s="397" t="s">
        <v>5501</v>
      </c>
      <c r="C21" s="55" t="s">
        <v>11595</v>
      </c>
      <c r="D21" s="401">
        <v>79633</v>
      </c>
      <c r="E21" s="401">
        <v>82503</v>
      </c>
      <c r="F21" s="401">
        <v>84587</v>
      </c>
      <c r="G21" s="401">
        <v>84462</v>
      </c>
      <c r="H21" s="63">
        <v>83116</v>
      </c>
      <c r="I21" s="58">
        <v>80566</v>
      </c>
      <c r="J21" s="58">
        <v>82067</v>
      </c>
      <c r="K21" s="58">
        <v>12372</v>
      </c>
      <c r="L21" s="58">
        <v>12927</v>
      </c>
      <c r="M21" s="58">
        <v>12476</v>
      </c>
      <c r="N21" s="58">
        <v>13062</v>
      </c>
      <c r="O21" s="58">
        <v>14596</v>
      </c>
      <c r="Q21" s="397" t="s">
        <v>3328</v>
      </c>
    </row>
    <row r="22" spans="1:17">
      <c r="A22" s="320">
        <v>2</v>
      </c>
      <c r="B22" s="397" t="s">
        <v>11630</v>
      </c>
      <c r="C22" s="55" t="s">
        <v>11596</v>
      </c>
      <c r="D22" s="401">
        <v>73104</v>
      </c>
      <c r="E22" s="401">
        <v>73920</v>
      </c>
      <c r="F22" s="401">
        <v>74595</v>
      </c>
      <c r="G22" s="401">
        <v>74969</v>
      </c>
      <c r="H22" s="63">
        <v>74540</v>
      </c>
      <c r="I22" s="56">
        <v>73793</v>
      </c>
      <c r="J22" s="56">
        <v>71869</v>
      </c>
      <c r="K22" s="56">
        <v>14505</v>
      </c>
      <c r="L22" s="56">
        <v>14472</v>
      </c>
      <c r="M22" s="56">
        <v>14295</v>
      </c>
      <c r="N22" s="56">
        <v>14313</v>
      </c>
      <c r="O22" s="56">
        <v>14660</v>
      </c>
      <c r="Q22" s="397" t="s">
        <v>4831</v>
      </c>
    </row>
    <row r="23" spans="1:17">
      <c r="A23" s="320">
        <v>3</v>
      </c>
      <c r="B23" s="397" t="s">
        <v>6186</v>
      </c>
      <c r="C23" s="55" t="s">
        <v>11597</v>
      </c>
      <c r="D23" s="401">
        <v>78148</v>
      </c>
      <c r="E23" s="401">
        <v>78703</v>
      </c>
      <c r="F23" s="401">
        <v>79858</v>
      </c>
      <c r="G23" s="401">
        <v>80224</v>
      </c>
      <c r="H23" s="63">
        <v>80481</v>
      </c>
      <c r="I23" s="58">
        <v>79512</v>
      </c>
      <c r="J23" s="58">
        <v>78060</v>
      </c>
      <c r="K23" s="58">
        <v>9233</v>
      </c>
      <c r="L23" s="58">
        <v>9187</v>
      </c>
      <c r="M23" s="58">
        <v>8996</v>
      </c>
      <c r="N23" s="58">
        <v>9331</v>
      </c>
      <c r="O23" s="58">
        <v>9795</v>
      </c>
      <c r="Q23" s="397" t="s">
        <v>3327</v>
      </c>
    </row>
    <row r="24" spans="1:17">
      <c r="A24" s="320">
        <v>4</v>
      </c>
      <c r="B24" s="397" t="s">
        <v>11631</v>
      </c>
      <c r="C24" s="55" t="s">
        <v>11598</v>
      </c>
      <c r="D24" s="401">
        <v>0</v>
      </c>
      <c r="E24" s="401">
        <v>0</v>
      </c>
      <c r="F24" s="401">
        <v>0</v>
      </c>
      <c r="G24" s="401">
        <v>0</v>
      </c>
      <c r="H24" s="63">
        <v>0</v>
      </c>
      <c r="I24" s="58">
        <v>0</v>
      </c>
      <c r="J24" s="58">
        <v>0</v>
      </c>
      <c r="K24" s="56">
        <v>684</v>
      </c>
      <c r="L24" s="56">
        <v>680</v>
      </c>
      <c r="M24" s="56">
        <v>674</v>
      </c>
      <c r="N24" s="56">
        <v>665</v>
      </c>
      <c r="O24" s="56">
        <v>731</v>
      </c>
      <c r="Q24" s="397" t="s">
        <v>4831</v>
      </c>
    </row>
    <row r="25" spans="1:17" ht="15.75" thickBot="1">
      <c r="A25" s="320"/>
      <c r="B25" s="397"/>
      <c r="C25" s="55" t="s">
        <v>11598</v>
      </c>
      <c r="D25" s="861">
        <v>0</v>
      </c>
      <c r="E25" s="861">
        <v>0</v>
      </c>
      <c r="F25" s="861">
        <v>0</v>
      </c>
      <c r="G25" s="861">
        <v>0</v>
      </c>
      <c r="H25" s="185">
        <v>0</v>
      </c>
      <c r="I25" s="394">
        <v>0</v>
      </c>
      <c r="J25" s="394">
        <v>0</v>
      </c>
      <c r="K25" s="58">
        <v>8014</v>
      </c>
      <c r="L25" s="58">
        <v>8046</v>
      </c>
      <c r="M25" s="58">
        <v>7839</v>
      </c>
      <c r="N25" s="58">
        <v>8078</v>
      </c>
      <c r="O25" s="58">
        <v>9077</v>
      </c>
      <c r="Q25" s="397" t="s">
        <v>3328</v>
      </c>
    </row>
    <row r="26" spans="1:17" ht="15.75" thickBot="1">
      <c r="A26" s="320"/>
      <c r="B26" s="397"/>
      <c r="C26" s="55" t="s">
        <v>11598</v>
      </c>
      <c r="D26" s="862">
        <f>D24+D25</f>
        <v>0</v>
      </c>
      <c r="E26" s="862">
        <f t="shared" ref="E26:L26" si="9">E24+E25</f>
        <v>0</v>
      </c>
      <c r="F26" s="862">
        <f t="shared" si="9"/>
        <v>0</v>
      </c>
      <c r="G26" s="862">
        <f t="shared" si="9"/>
        <v>0</v>
      </c>
      <c r="H26" s="862">
        <f t="shared" si="9"/>
        <v>0</v>
      </c>
      <c r="I26" s="862">
        <f t="shared" si="9"/>
        <v>0</v>
      </c>
      <c r="J26" s="862">
        <f t="shared" si="9"/>
        <v>0</v>
      </c>
      <c r="K26" s="862">
        <f t="shared" si="9"/>
        <v>8698</v>
      </c>
      <c r="L26" s="862">
        <f t="shared" si="9"/>
        <v>8726</v>
      </c>
      <c r="M26" s="862">
        <f>M24+M25</f>
        <v>8513</v>
      </c>
      <c r="N26" s="862">
        <f>N24+N25</f>
        <v>8743</v>
      </c>
      <c r="O26" s="862">
        <f>O24+O25</f>
        <v>9808</v>
      </c>
      <c r="Q26" s="397"/>
    </row>
    <row r="27" spans="1:17">
      <c r="A27" s="320">
        <v>5</v>
      </c>
      <c r="B27" s="397" t="s">
        <v>6187</v>
      </c>
      <c r="C27" s="55" t="s">
        <v>11599</v>
      </c>
      <c r="D27" s="401">
        <v>0</v>
      </c>
      <c r="E27" s="401">
        <v>0</v>
      </c>
      <c r="F27" s="401">
        <v>0</v>
      </c>
      <c r="G27" s="401">
        <v>0</v>
      </c>
      <c r="H27" s="63">
        <v>0</v>
      </c>
      <c r="I27" s="58">
        <v>0</v>
      </c>
      <c r="J27" s="58">
        <v>0</v>
      </c>
      <c r="K27" s="58">
        <v>8887</v>
      </c>
      <c r="L27" s="58">
        <v>8821</v>
      </c>
      <c r="M27" s="58">
        <v>8783</v>
      </c>
      <c r="N27" s="58">
        <v>8883</v>
      </c>
      <c r="O27" s="58">
        <v>9129</v>
      </c>
      <c r="Q27" s="397" t="s">
        <v>3327</v>
      </c>
    </row>
    <row r="28" spans="1:17">
      <c r="A28" s="320">
        <v>6</v>
      </c>
      <c r="B28" s="397" t="s">
        <v>6188</v>
      </c>
      <c r="C28" s="55" t="s">
        <v>11600</v>
      </c>
      <c r="D28" s="401">
        <v>68999</v>
      </c>
      <c r="E28" s="401">
        <v>69347</v>
      </c>
      <c r="F28" s="401">
        <v>70455</v>
      </c>
      <c r="G28" s="401">
        <v>69989</v>
      </c>
      <c r="H28" s="63">
        <v>70605</v>
      </c>
      <c r="I28" s="56">
        <v>69738</v>
      </c>
      <c r="J28" s="56">
        <v>68199</v>
      </c>
      <c r="K28" s="56">
        <v>8544</v>
      </c>
      <c r="L28" s="56">
        <v>8495</v>
      </c>
      <c r="M28" s="56">
        <v>8424</v>
      </c>
      <c r="N28" s="56">
        <v>8466</v>
      </c>
      <c r="O28" s="56">
        <v>8700</v>
      </c>
      <c r="Q28" s="397" t="s">
        <v>4837</v>
      </c>
    </row>
    <row r="29" spans="1:17">
      <c r="A29" s="320">
        <v>7</v>
      </c>
      <c r="B29" s="397" t="s">
        <v>6189</v>
      </c>
      <c r="C29" s="55" t="s">
        <v>11601</v>
      </c>
      <c r="D29" s="56">
        <v>0</v>
      </c>
      <c r="E29" s="56">
        <v>0</v>
      </c>
      <c r="F29" s="56">
        <v>0</v>
      </c>
      <c r="G29" s="56">
        <v>0</v>
      </c>
      <c r="H29" s="56">
        <v>0</v>
      </c>
      <c r="I29" s="56">
        <v>0</v>
      </c>
      <c r="J29" s="56">
        <v>0</v>
      </c>
      <c r="K29" s="56">
        <v>8166</v>
      </c>
      <c r="L29" s="56">
        <v>8387</v>
      </c>
      <c r="M29" s="56">
        <v>8429</v>
      </c>
      <c r="N29" s="56">
        <v>8590</v>
      </c>
      <c r="O29" s="56">
        <v>8939</v>
      </c>
      <c r="Q29" s="397" t="s">
        <v>4837</v>
      </c>
    </row>
    <row r="30" spans="1:17" ht="15.75" thickBot="1">
      <c r="A30" s="320"/>
      <c r="B30" s="397"/>
      <c r="C30" s="55" t="s">
        <v>11601</v>
      </c>
      <c r="D30" s="861">
        <v>0</v>
      </c>
      <c r="E30" s="861">
        <v>0</v>
      </c>
      <c r="F30" s="861">
        <v>0</v>
      </c>
      <c r="G30" s="861">
        <v>0</v>
      </c>
      <c r="H30" s="185">
        <v>0</v>
      </c>
      <c r="I30" s="394">
        <v>0</v>
      </c>
      <c r="J30" s="394">
        <v>0</v>
      </c>
      <c r="K30" s="58">
        <v>5</v>
      </c>
      <c r="L30" s="58">
        <v>6</v>
      </c>
      <c r="M30" s="58">
        <v>5</v>
      </c>
      <c r="N30" s="394">
        <v>0</v>
      </c>
      <c r="O30" s="394">
        <v>5</v>
      </c>
      <c r="Q30" s="397" t="s">
        <v>3327</v>
      </c>
    </row>
    <row r="31" spans="1:17" ht="15.75" thickBot="1">
      <c r="A31" s="320"/>
      <c r="B31" s="397"/>
      <c r="C31" s="55" t="s">
        <v>11601</v>
      </c>
      <c r="D31" s="862">
        <f t="shared" ref="D31:O31" si="10">D29+D30</f>
        <v>0</v>
      </c>
      <c r="E31" s="862">
        <f t="shared" si="10"/>
        <v>0</v>
      </c>
      <c r="F31" s="862">
        <f t="shared" si="10"/>
        <v>0</v>
      </c>
      <c r="G31" s="862">
        <f t="shared" si="10"/>
        <v>0</v>
      </c>
      <c r="H31" s="862">
        <f t="shared" si="10"/>
        <v>0</v>
      </c>
      <c r="I31" s="862">
        <f t="shared" si="10"/>
        <v>0</v>
      </c>
      <c r="J31" s="862">
        <f t="shared" si="10"/>
        <v>0</v>
      </c>
      <c r="K31" s="862">
        <f t="shared" si="10"/>
        <v>8171</v>
      </c>
      <c r="L31" s="862">
        <f t="shared" si="10"/>
        <v>8393</v>
      </c>
      <c r="M31" s="862">
        <f t="shared" si="10"/>
        <v>8434</v>
      </c>
      <c r="N31" s="862">
        <f t="shared" si="10"/>
        <v>8590</v>
      </c>
      <c r="O31" s="862">
        <f t="shared" si="10"/>
        <v>8944</v>
      </c>
      <c r="Q31" s="397"/>
    </row>
    <row r="32" spans="1:17">
      <c r="A32" s="320">
        <v>8</v>
      </c>
      <c r="B32" s="397" t="s">
        <v>6024</v>
      </c>
      <c r="C32" s="55" t="s">
        <v>11602</v>
      </c>
      <c r="D32" s="56">
        <v>0</v>
      </c>
      <c r="E32" s="56">
        <v>0</v>
      </c>
      <c r="F32" s="56">
        <v>0</v>
      </c>
      <c r="G32" s="56">
        <v>0</v>
      </c>
      <c r="H32" s="56">
        <v>0</v>
      </c>
      <c r="I32" s="56">
        <v>0</v>
      </c>
      <c r="J32" s="56">
        <v>0</v>
      </c>
      <c r="K32" s="58">
        <v>7153</v>
      </c>
      <c r="L32" s="58">
        <v>7520</v>
      </c>
      <c r="M32" s="58">
        <v>7801</v>
      </c>
      <c r="N32" s="58">
        <v>8972</v>
      </c>
      <c r="O32" s="58">
        <v>11361</v>
      </c>
      <c r="Q32" s="397" t="s">
        <v>3328</v>
      </c>
    </row>
    <row r="33" spans="1:17">
      <c r="A33" s="320">
        <v>9</v>
      </c>
      <c r="B33" s="397" t="s">
        <v>6190</v>
      </c>
      <c r="C33" s="55" t="s">
        <v>11603</v>
      </c>
      <c r="D33" s="56">
        <v>0</v>
      </c>
      <c r="E33" s="56">
        <v>0</v>
      </c>
      <c r="F33" s="56">
        <v>0</v>
      </c>
      <c r="G33" s="56">
        <v>0</v>
      </c>
      <c r="H33" s="56">
        <v>0</v>
      </c>
      <c r="I33" s="56">
        <v>0</v>
      </c>
      <c r="J33" s="56">
        <v>0</v>
      </c>
      <c r="K33" s="58">
        <v>9030</v>
      </c>
      <c r="L33" s="58">
        <v>8932</v>
      </c>
      <c r="M33" s="58">
        <v>8569</v>
      </c>
      <c r="N33" s="58">
        <v>9119</v>
      </c>
      <c r="O33" s="58">
        <v>10422</v>
      </c>
      <c r="Q33" s="397" t="s">
        <v>3328</v>
      </c>
    </row>
    <row r="34" spans="1:17">
      <c r="A34" s="320">
        <v>10</v>
      </c>
      <c r="B34" s="397" t="s">
        <v>11632</v>
      </c>
      <c r="C34" s="55" t="s">
        <v>11604</v>
      </c>
      <c r="D34" s="56">
        <v>0</v>
      </c>
      <c r="E34" s="56">
        <v>0</v>
      </c>
      <c r="F34" s="56">
        <v>0</v>
      </c>
      <c r="G34" s="56">
        <v>0</v>
      </c>
      <c r="H34" s="56">
        <v>0</v>
      </c>
      <c r="I34" s="56">
        <v>0</v>
      </c>
      <c r="J34" s="56">
        <v>0</v>
      </c>
      <c r="K34" s="58">
        <v>7826</v>
      </c>
      <c r="L34" s="58">
        <v>7833</v>
      </c>
      <c r="M34" s="58">
        <v>7591</v>
      </c>
      <c r="N34" s="58">
        <v>7968</v>
      </c>
      <c r="O34" s="58">
        <v>9343</v>
      </c>
      <c r="Q34" s="397" t="s">
        <v>3328</v>
      </c>
    </row>
    <row r="35" spans="1:17">
      <c r="A35" s="320">
        <v>11</v>
      </c>
      <c r="B35" s="397" t="s">
        <v>6191</v>
      </c>
      <c r="C35" s="55" t="s">
        <v>11605</v>
      </c>
      <c r="D35" s="56">
        <v>0</v>
      </c>
      <c r="E35" s="56">
        <v>0</v>
      </c>
      <c r="F35" s="56">
        <v>0</v>
      </c>
      <c r="G35" s="56">
        <v>0</v>
      </c>
      <c r="H35" s="56">
        <v>0</v>
      </c>
      <c r="I35" s="56">
        <v>0</v>
      </c>
      <c r="J35" s="56">
        <v>0</v>
      </c>
      <c r="K35" s="58">
        <v>7343</v>
      </c>
      <c r="L35" s="58">
        <v>7476</v>
      </c>
      <c r="M35" s="58">
        <v>7421</v>
      </c>
      <c r="N35" s="58">
        <v>8101</v>
      </c>
      <c r="O35" s="58">
        <v>9414</v>
      </c>
      <c r="Q35" s="397" t="s">
        <v>3328</v>
      </c>
    </row>
    <row r="36" spans="1:17">
      <c r="A36" s="320">
        <v>12</v>
      </c>
      <c r="B36" s="397" t="s">
        <v>6192</v>
      </c>
      <c r="C36" s="55" t="s">
        <v>11606</v>
      </c>
      <c r="D36" s="399">
        <v>0</v>
      </c>
      <c r="E36" s="399">
        <v>0</v>
      </c>
      <c r="F36" s="399">
        <v>0</v>
      </c>
      <c r="G36" s="399">
        <v>0</v>
      </c>
      <c r="H36" s="863">
        <v>0</v>
      </c>
      <c r="I36" s="864">
        <v>0</v>
      </c>
      <c r="J36" s="864">
        <v>0</v>
      </c>
      <c r="K36" s="58">
        <v>8872</v>
      </c>
      <c r="L36" s="58">
        <v>9091</v>
      </c>
      <c r="M36" s="58">
        <v>8927</v>
      </c>
      <c r="N36" s="58">
        <v>9227</v>
      </c>
      <c r="O36" s="58">
        <v>9917</v>
      </c>
      <c r="Q36" s="397" t="s">
        <v>3328</v>
      </c>
    </row>
    <row r="37" spans="1:17">
      <c r="A37" s="320">
        <v>13</v>
      </c>
      <c r="B37" s="397" t="s">
        <v>6193</v>
      </c>
      <c r="C37" s="55" t="s">
        <v>11607</v>
      </c>
      <c r="D37" s="56">
        <v>0</v>
      </c>
      <c r="E37" s="56">
        <v>0</v>
      </c>
      <c r="F37" s="56">
        <v>0</v>
      </c>
      <c r="G37" s="56">
        <v>0</v>
      </c>
      <c r="H37" s="56">
        <v>0</v>
      </c>
      <c r="I37" s="56">
        <v>0</v>
      </c>
      <c r="J37" s="56">
        <v>0</v>
      </c>
      <c r="K37" s="56">
        <v>9131</v>
      </c>
      <c r="L37" s="56">
        <v>9331</v>
      </c>
      <c r="M37" s="56">
        <v>9267</v>
      </c>
      <c r="N37" s="56">
        <v>9499</v>
      </c>
      <c r="O37" s="56">
        <v>10293</v>
      </c>
      <c r="Q37" s="397" t="s">
        <v>4837</v>
      </c>
    </row>
    <row r="38" spans="1:17">
      <c r="A38" s="320">
        <v>14</v>
      </c>
      <c r="B38" s="397" t="s">
        <v>6194</v>
      </c>
      <c r="C38" s="55" t="s">
        <v>11608</v>
      </c>
      <c r="D38" s="56">
        <v>0</v>
      </c>
      <c r="E38" s="56">
        <v>0</v>
      </c>
      <c r="F38" s="56">
        <v>0</v>
      </c>
      <c r="G38" s="56">
        <v>0</v>
      </c>
      <c r="H38" s="56">
        <v>0</v>
      </c>
      <c r="I38" s="56">
        <v>0</v>
      </c>
      <c r="J38" s="56">
        <v>0</v>
      </c>
      <c r="K38" s="58">
        <v>8845</v>
      </c>
      <c r="L38" s="58">
        <v>8947</v>
      </c>
      <c r="M38" s="58">
        <v>8936</v>
      </c>
      <c r="N38" s="58">
        <v>9119</v>
      </c>
      <c r="O38" s="58">
        <v>9398</v>
      </c>
      <c r="Q38" s="397" t="s">
        <v>3327</v>
      </c>
    </row>
    <row r="39" spans="1:17">
      <c r="A39" s="320">
        <v>15</v>
      </c>
      <c r="B39" s="397" t="s">
        <v>6195</v>
      </c>
      <c r="C39" s="55" t="s">
        <v>11609</v>
      </c>
      <c r="D39" s="56">
        <v>0</v>
      </c>
      <c r="E39" s="56">
        <v>0</v>
      </c>
      <c r="F39" s="56">
        <v>0</v>
      </c>
      <c r="G39" s="56">
        <v>0</v>
      </c>
      <c r="H39" s="56">
        <v>0</v>
      </c>
      <c r="I39" s="56">
        <v>0</v>
      </c>
      <c r="J39" s="56">
        <v>0</v>
      </c>
      <c r="K39" s="56">
        <v>8846</v>
      </c>
      <c r="L39" s="56">
        <v>8771</v>
      </c>
      <c r="M39" s="56">
        <v>8801</v>
      </c>
      <c r="N39" s="56">
        <v>9044</v>
      </c>
      <c r="O39" s="56">
        <v>9671</v>
      </c>
      <c r="Q39" s="397" t="s">
        <v>4837</v>
      </c>
    </row>
    <row r="40" spans="1:17">
      <c r="A40" s="320">
        <v>16</v>
      </c>
      <c r="B40" s="397" t="s">
        <v>11633</v>
      </c>
      <c r="C40" s="55" t="s">
        <v>11610</v>
      </c>
      <c r="D40" s="56">
        <v>0</v>
      </c>
      <c r="E40" s="56">
        <v>0</v>
      </c>
      <c r="F40" s="56">
        <v>0</v>
      </c>
      <c r="G40" s="56">
        <v>0</v>
      </c>
      <c r="H40" s="56">
        <v>0</v>
      </c>
      <c r="I40" s="56">
        <v>0</v>
      </c>
      <c r="J40" s="56">
        <v>0</v>
      </c>
      <c r="K40" s="58">
        <v>12573</v>
      </c>
      <c r="L40" s="58">
        <v>12614</v>
      </c>
      <c r="M40" s="58">
        <v>12572</v>
      </c>
      <c r="N40" s="58">
        <v>12520</v>
      </c>
      <c r="O40" s="58">
        <v>12700</v>
      </c>
      <c r="Q40" s="397" t="s">
        <v>3327</v>
      </c>
    </row>
    <row r="41" spans="1:17">
      <c r="A41" s="320">
        <v>17</v>
      </c>
      <c r="B41" s="397" t="s">
        <v>11634</v>
      </c>
      <c r="C41" s="55" t="s">
        <v>11611</v>
      </c>
      <c r="D41" s="56">
        <v>0</v>
      </c>
      <c r="E41" s="56">
        <v>0</v>
      </c>
      <c r="F41" s="56">
        <v>0</v>
      </c>
      <c r="G41" s="56">
        <v>0</v>
      </c>
      <c r="H41" s="56">
        <v>0</v>
      </c>
      <c r="I41" s="56">
        <v>0</v>
      </c>
      <c r="J41" s="56">
        <v>0</v>
      </c>
      <c r="K41" s="56">
        <v>8740</v>
      </c>
      <c r="L41" s="56">
        <v>8739</v>
      </c>
      <c r="M41" s="56">
        <v>8734</v>
      </c>
      <c r="N41" s="56">
        <v>8785</v>
      </c>
      <c r="O41" s="56">
        <v>9043</v>
      </c>
      <c r="Q41" s="397" t="s">
        <v>4831</v>
      </c>
    </row>
    <row r="42" spans="1:17">
      <c r="A42" s="320">
        <v>18</v>
      </c>
      <c r="B42" s="397" t="s">
        <v>11635</v>
      </c>
      <c r="C42" s="55" t="s">
        <v>11612</v>
      </c>
      <c r="D42" s="56">
        <v>0</v>
      </c>
      <c r="E42" s="56">
        <v>0</v>
      </c>
      <c r="F42" s="56">
        <v>0</v>
      </c>
      <c r="G42" s="56">
        <v>0</v>
      </c>
      <c r="H42" s="56">
        <v>0</v>
      </c>
      <c r="I42" s="56">
        <v>0</v>
      </c>
      <c r="J42" s="56">
        <v>0</v>
      </c>
      <c r="K42" s="58">
        <v>13574</v>
      </c>
      <c r="L42" s="58">
        <v>13488</v>
      </c>
      <c r="M42" s="58">
        <v>13406</v>
      </c>
      <c r="N42" s="58">
        <v>13432</v>
      </c>
      <c r="O42" s="58">
        <v>13681</v>
      </c>
      <c r="Q42" s="397" t="s">
        <v>3327</v>
      </c>
    </row>
    <row r="43" spans="1:17">
      <c r="A43" s="320">
        <v>19</v>
      </c>
      <c r="B43" s="397" t="s">
        <v>6196</v>
      </c>
      <c r="C43" s="55" t="s">
        <v>11613</v>
      </c>
      <c r="D43" s="56">
        <v>0</v>
      </c>
      <c r="E43" s="56">
        <v>0</v>
      </c>
      <c r="F43" s="56">
        <v>0</v>
      </c>
      <c r="G43" s="56">
        <v>0</v>
      </c>
      <c r="H43" s="56">
        <v>0</v>
      </c>
      <c r="I43" s="56">
        <v>0</v>
      </c>
      <c r="J43" s="56">
        <v>0</v>
      </c>
      <c r="K43" s="56">
        <v>8416</v>
      </c>
      <c r="L43" s="56">
        <v>8488</v>
      </c>
      <c r="M43" s="56">
        <v>8429</v>
      </c>
      <c r="N43" s="56">
        <v>8488</v>
      </c>
      <c r="O43" s="56">
        <v>8845</v>
      </c>
      <c r="Q43" s="397" t="s">
        <v>4837</v>
      </c>
    </row>
    <row r="44" spans="1:17">
      <c r="A44" s="320">
        <v>20</v>
      </c>
      <c r="B44" s="397" t="s">
        <v>6197</v>
      </c>
      <c r="C44" s="55" t="s">
        <v>11614</v>
      </c>
      <c r="D44" s="56">
        <v>0</v>
      </c>
      <c r="E44" s="56">
        <v>0</v>
      </c>
      <c r="F44" s="56">
        <v>0</v>
      </c>
      <c r="G44" s="56">
        <v>0</v>
      </c>
      <c r="H44" s="56">
        <v>0</v>
      </c>
      <c r="I44" s="56">
        <v>0</v>
      </c>
      <c r="J44" s="56">
        <v>0</v>
      </c>
      <c r="K44" s="56">
        <v>8628</v>
      </c>
      <c r="L44" s="56">
        <v>8667</v>
      </c>
      <c r="M44" s="56">
        <v>8540</v>
      </c>
      <c r="N44" s="56">
        <v>8751</v>
      </c>
      <c r="O44" s="56">
        <v>9712</v>
      </c>
      <c r="Q44" s="397" t="s">
        <v>4831</v>
      </c>
    </row>
    <row r="45" spans="1:17">
      <c r="A45" s="320">
        <v>21</v>
      </c>
      <c r="B45" s="397" t="s">
        <v>11636</v>
      </c>
      <c r="C45" s="55" t="s">
        <v>11615</v>
      </c>
      <c r="D45" s="56">
        <v>0</v>
      </c>
      <c r="E45" s="56">
        <v>0</v>
      </c>
      <c r="F45" s="56">
        <v>0</v>
      </c>
      <c r="G45" s="56">
        <v>0</v>
      </c>
      <c r="H45" s="56">
        <v>0</v>
      </c>
      <c r="I45" s="56">
        <v>0</v>
      </c>
      <c r="J45" s="56">
        <v>0</v>
      </c>
      <c r="K45" s="58">
        <v>3699</v>
      </c>
      <c r="L45" s="58">
        <v>3607</v>
      </c>
      <c r="M45" s="58">
        <v>3522</v>
      </c>
      <c r="N45" s="58">
        <v>3857</v>
      </c>
      <c r="O45" s="58">
        <v>4348</v>
      </c>
      <c r="Q45" s="397" t="s">
        <v>3328</v>
      </c>
    </row>
    <row r="46" spans="1:17">
      <c r="A46" s="320">
        <v>22</v>
      </c>
      <c r="B46" s="397" t="s">
        <v>6198</v>
      </c>
      <c r="C46" s="55" t="s">
        <v>11616</v>
      </c>
      <c r="D46" s="56">
        <v>0</v>
      </c>
      <c r="E46" s="56">
        <v>0</v>
      </c>
      <c r="F46" s="56">
        <v>0</v>
      </c>
      <c r="G46" s="56">
        <v>0</v>
      </c>
      <c r="H46" s="56">
        <v>0</v>
      </c>
      <c r="I46" s="56">
        <v>0</v>
      </c>
      <c r="J46" s="56">
        <v>0</v>
      </c>
      <c r="K46" s="58">
        <v>9468</v>
      </c>
      <c r="L46" s="58">
        <v>9510</v>
      </c>
      <c r="M46" s="58">
        <v>9448</v>
      </c>
      <c r="N46" s="58">
        <v>9529</v>
      </c>
      <c r="O46" s="58">
        <v>9805</v>
      </c>
      <c r="Q46" s="397" t="s">
        <v>3327</v>
      </c>
    </row>
    <row r="47" spans="1:17">
      <c r="A47" s="320">
        <v>23</v>
      </c>
      <c r="B47" s="397" t="s">
        <v>6199</v>
      </c>
      <c r="C47" s="55" t="s">
        <v>11617</v>
      </c>
      <c r="D47" s="56">
        <v>0</v>
      </c>
      <c r="E47" s="56">
        <v>0</v>
      </c>
      <c r="F47" s="56">
        <v>0</v>
      </c>
      <c r="G47" s="56">
        <v>0</v>
      </c>
      <c r="H47" s="56">
        <v>0</v>
      </c>
      <c r="I47" s="56">
        <v>0</v>
      </c>
      <c r="J47" s="56">
        <v>0</v>
      </c>
      <c r="K47" s="58">
        <v>8774</v>
      </c>
      <c r="L47" s="58">
        <v>9249</v>
      </c>
      <c r="M47" s="58">
        <v>9184</v>
      </c>
      <c r="N47" s="58">
        <v>9586</v>
      </c>
      <c r="O47" s="58">
        <v>10638</v>
      </c>
      <c r="Q47" s="397" t="s">
        <v>3328</v>
      </c>
    </row>
    <row r="48" spans="1:17">
      <c r="A48" s="320">
        <v>24</v>
      </c>
      <c r="B48" s="397" t="s">
        <v>6200</v>
      </c>
      <c r="C48" s="55" t="s">
        <v>11618</v>
      </c>
      <c r="D48" s="56">
        <v>0</v>
      </c>
      <c r="E48" s="56">
        <v>0</v>
      </c>
      <c r="F48" s="56">
        <v>0</v>
      </c>
      <c r="G48" s="56">
        <v>0</v>
      </c>
      <c r="H48" s="56">
        <v>0</v>
      </c>
      <c r="I48" s="56">
        <v>0</v>
      </c>
      <c r="J48" s="56">
        <v>0</v>
      </c>
      <c r="K48" s="56">
        <v>8258</v>
      </c>
      <c r="L48" s="56">
        <v>8376</v>
      </c>
      <c r="M48" s="56">
        <v>8302</v>
      </c>
      <c r="N48" s="56">
        <v>8528</v>
      </c>
      <c r="O48" s="56">
        <v>9117</v>
      </c>
      <c r="Q48" s="397" t="s">
        <v>4831</v>
      </c>
    </row>
    <row r="49" spans="1:17">
      <c r="A49" s="320">
        <v>25</v>
      </c>
      <c r="B49" s="397" t="s">
        <v>6201</v>
      </c>
      <c r="C49" s="55" t="s">
        <v>11619</v>
      </c>
      <c r="D49" s="56">
        <v>0</v>
      </c>
      <c r="E49" s="56">
        <v>0</v>
      </c>
      <c r="F49" s="56">
        <v>0</v>
      </c>
      <c r="G49" s="56">
        <v>0</v>
      </c>
      <c r="H49" s="56">
        <v>0</v>
      </c>
      <c r="I49" s="56">
        <v>0</v>
      </c>
      <c r="J49" s="56">
        <v>0</v>
      </c>
      <c r="K49" s="58">
        <v>9872</v>
      </c>
      <c r="L49" s="58">
        <v>9890</v>
      </c>
      <c r="M49" s="58">
        <v>9672</v>
      </c>
      <c r="N49" s="58">
        <v>9889</v>
      </c>
      <c r="O49" s="58">
        <v>10743</v>
      </c>
      <c r="Q49" s="397" t="s">
        <v>3328</v>
      </c>
    </row>
    <row r="50" spans="1:17">
      <c r="A50" s="320">
        <v>26</v>
      </c>
      <c r="B50" s="397" t="s">
        <v>11637</v>
      </c>
      <c r="C50" s="55" t="s">
        <v>11620</v>
      </c>
      <c r="D50" s="56">
        <v>0</v>
      </c>
      <c r="E50" s="56">
        <v>0</v>
      </c>
      <c r="F50" s="56">
        <v>0</v>
      </c>
      <c r="G50" s="56">
        <v>0</v>
      </c>
      <c r="H50" s="56">
        <v>0</v>
      </c>
      <c r="I50" s="56">
        <v>0</v>
      </c>
      <c r="J50" s="56">
        <v>0</v>
      </c>
      <c r="K50" s="56">
        <v>9010</v>
      </c>
      <c r="L50" s="56">
        <v>8956</v>
      </c>
      <c r="M50" s="56">
        <v>9038</v>
      </c>
      <c r="N50" s="56">
        <v>9103</v>
      </c>
      <c r="O50" s="56">
        <v>9444</v>
      </c>
      <c r="Q50" s="397" t="s">
        <v>4837</v>
      </c>
    </row>
    <row r="51" spans="1:17">
      <c r="A51" s="320">
        <v>27</v>
      </c>
      <c r="B51" s="397" t="s">
        <v>11638</v>
      </c>
      <c r="C51" s="55" t="s">
        <v>11621</v>
      </c>
      <c r="D51" s="56">
        <v>0</v>
      </c>
      <c r="E51" s="56">
        <v>0</v>
      </c>
      <c r="F51" s="56">
        <v>0</v>
      </c>
      <c r="G51" s="56">
        <v>0</v>
      </c>
      <c r="H51" s="56">
        <v>0</v>
      </c>
      <c r="I51" s="56">
        <v>0</v>
      </c>
      <c r="J51" s="56">
        <v>0</v>
      </c>
      <c r="K51" s="56">
        <v>4490</v>
      </c>
      <c r="L51" s="56">
        <v>4519</v>
      </c>
      <c r="M51" s="56">
        <v>4449</v>
      </c>
      <c r="N51" s="56">
        <v>4451</v>
      </c>
      <c r="O51" s="56">
        <v>4574</v>
      </c>
      <c r="Q51" s="397" t="s">
        <v>4837</v>
      </c>
    </row>
    <row r="52" spans="1:17">
      <c r="A52" s="320">
        <v>28</v>
      </c>
      <c r="B52" s="397" t="s">
        <v>6202</v>
      </c>
      <c r="C52" s="55" t="s">
        <v>11622</v>
      </c>
      <c r="D52" s="56">
        <v>0</v>
      </c>
      <c r="E52" s="56">
        <v>0</v>
      </c>
      <c r="F52" s="56">
        <v>0</v>
      </c>
      <c r="G52" s="56">
        <v>0</v>
      </c>
      <c r="H52" s="56">
        <v>0</v>
      </c>
      <c r="I52" s="56">
        <v>0</v>
      </c>
      <c r="J52" s="56">
        <v>0</v>
      </c>
      <c r="K52" s="56">
        <v>4422</v>
      </c>
      <c r="L52" s="56">
        <v>4500</v>
      </c>
      <c r="M52" s="56">
        <v>4548</v>
      </c>
      <c r="N52" s="56">
        <v>4620</v>
      </c>
      <c r="O52" s="56">
        <v>4879</v>
      </c>
      <c r="Q52" s="397" t="s">
        <v>4837</v>
      </c>
    </row>
    <row r="53" spans="1:17">
      <c r="A53" s="320">
        <v>29</v>
      </c>
      <c r="B53" s="397" t="s">
        <v>6203</v>
      </c>
      <c r="C53" s="55" t="s">
        <v>11623</v>
      </c>
      <c r="D53" s="56">
        <v>0</v>
      </c>
      <c r="E53" s="56">
        <v>0</v>
      </c>
      <c r="F53" s="56">
        <v>0</v>
      </c>
      <c r="G53" s="56">
        <v>0</v>
      </c>
      <c r="H53" s="56">
        <v>0</v>
      </c>
      <c r="I53" s="56">
        <v>0</v>
      </c>
      <c r="J53" s="56">
        <v>0</v>
      </c>
      <c r="K53" s="56">
        <v>8363</v>
      </c>
      <c r="L53" s="56">
        <v>8326</v>
      </c>
      <c r="M53" s="56">
        <v>8246</v>
      </c>
      <c r="N53" s="56">
        <v>8301</v>
      </c>
      <c r="O53" s="56">
        <v>8536</v>
      </c>
      <c r="Q53" s="397" t="s">
        <v>4831</v>
      </c>
    </row>
    <row r="54" spans="1:17">
      <c r="A54" s="320">
        <v>30</v>
      </c>
      <c r="B54" s="397" t="s">
        <v>6204</v>
      </c>
      <c r="C54" s="55" t="s">
        <v>11624</v>
      </c>
      <c r="D54" s="56">
        <v>0</v>
      </c>
      <c r="E54" s="56">
        <v>0</v>
      </c>
      <c r="F54" s="56">
        <v>0</v>
      </c>
      <c r="G54" s="56">
        <v>0</v>
      </c>
      <c r="H54" s="56">
        <v>0</v>
      </c>
      <c r="I54" s="56">
        <v>0</v>
      </c>
      <c r="J54" s="56">
        <v>0</v>
      </c>
      <c r="K54" s="58">
        <v>8619</v>
      </c>
      <c r="L54" s="56">
        <v>8804</v>
      </c>
      <c r="M54" s="56">
        <v>8543</v>
      </c>
      <c r="N54" s="56">
        <v>8904</v>
      </c>
      <c r="O54" s="56">
        <v>9645</v>
      </c>
      <c r="Q54" s="397" t="s">
        <v>3327</v>
      </c>
    </row>
    <row r="55" spans="1:17">
      <c r="A55" s="320">
        <v>31</v>
      </c>
      <c r="B55" s="397" t="s">
        <v>6205</v>
      </c>
      <c r="C55" s="55" t="s">
        <v>11625</v>
      </c>
      <c r="D55" s="56">
        <v>0</v>
      </c>
      <c r="E55" s="56">
        <v>0</v>
      </c>
      <c r="F55" s="56">
        <v>0</v>
      </c>
      <c r="G55" s="56">
        <v>0</v>
      </c>
      <c r="H55" s="56">
        <v>0</v>
      </c>
      <c r="I55" s="56">
        <v>0</v>
      </c>
      <c r="J55" s="56">
        <v>0</v>
      </c>
      <c r="K55" s="56">
        <v>9041</v>
      </c>
      <c r="L55" s="56">
        <v>8919</v>
      </c>
      <c r="M55" s="56">
        <v>8868</v>
      </c>
      <c r="N55" s="56">
        <v>8866</v>
      </c>
      <c r="O55" s="56">
        <v>8977</v>
      </c>
      <c r="Q55" s="397" t="s">
        <v>4837</v>
      </c>
    </row>
    <row r="56" spans="1:17" ht="15.75" thickBot="1">
      <c r="A56" s="320"/>
      <c r="B56" s="397"/>
      <c r="C56" s="55" t="s">
        <v>11625</v>
      </c>
      <c r="D56" s="861">
        <v>0</v>
      </c>
      <c r="E56" s="861">
        <v>0</v>
      </c>
      <c r="F56" s="861">
        <v>0</v>
      </c>
      <c r="G56" s="861">
        <v>0</v>
      </c>
      <c r="H56" s="185">
        <v>0</v>
      </c>
      <c r="I56" s="394">
        <v>0</v>
      </c>
      <c r="J56" s="394">
        <v>0</v>
      </c>
      <c r="K56" s="58">
        <v>65</v>
      </c>
      <c r="L56" s="58">
        <v>62</v>
      </c>
      <c r="M56" s="58">
        <v>60</v>
      </c>
      <c r="N56" s="58">
        <v>57</v>
      </c>
      <c r="O56" s="58">
        <v>58</v>
      </c>
      <c r="Q56" s="397" t="s">
        <v>3327</v>
      </c>
    </row>
    <row r="57" spans="1:17" ht="15.75" thickBot="1">
      <c r="A57" s="320"/>
      <c r="B57" s="397"/>
      <c r="C57" s="55" t="s">
        <v>11625</v>
      </c>
      <c r="D57" s="862">
        <f t="shared" ref="D57:O57" si="11">D55+D56</f>
        <v>0</v>
      </c>
      <c r="E57" s="862">
        <f t="shared" si="11"/>
        <v>0</v>
      </c>
      <c r="F57" s="862">
        <f t="shared" si="11"/>
        <v>0</v>
      </c>
      <c r="G57" s="862">
        <f t="shared" si="11"/>
        <v>0</v>
      </c>
      <c r="H57" s="862">
        <f t="shared" si="11"/>
        <v>0</v>
      </c>
      <c r="I57" s="862">
        <f t="shared" si="11"/>
        <v>0</v>
      </c>
      <c r="J57" s="862">
        <f t="shared" si="11"/>
        <v>0</v>
      </c>
      <c r="K57" s="862">
        <f t="shared" si="11"/>
        <v>9106</v>
      </c>
      <c r="L57" s="862">
        <f t="shared" si="11"/>
        <v>8981</v>
      </c>
      <c r="M57" s="862">
        <f t="shared" si="11"/>
        <v>8928</v>
      </c>
      <c r="N57" s="862">
        <f t="shared" si="11"/>
        <v>8923</v>
      </c>
      <c r="O57" s="862">
        <f t="shared" si="11"/>
        <v>9035</v>
      </c>
      <c r="Q57" s="397"/>
    </row>
    <row r="58" spans="1:17">
      <c r="A58" s="320">
        <v>32</v>
      </c>
      <c r="B58" s="397" t="s">
        <v>6206</v>
      </c>
      <c r="C58" s="55" t="s">
        <v>11626</v>
      </c>
      <c r="D58" s="56">
        <v>0</v>
      </c>
      <c r="E58" s="56">
        <v>0</v>
      </c>
      <c r="F58" s="56">
        <v>0</v>
      </c>
      <c r="G58" s="56">
        <v>0</v>
      </c>
      <c r="H58" s="56">
        <v>0</v>
      </c>
      <c r="I58" s="56">
        <v>0</v>
      </c>
      <c r="J58" s="56">
        <v>0</v>
      </c>
      <c r="K58" s="58">
        <v>8649</v>
      </c>
      <c r="L58" s="58">
        <v>8043</v>
      </c>
      <c r="M58" s="58">
        <v>8011</v>
      </c>
      <c r="N58" s="58">
        <v>8470</v>
      </c>
      <c r="O58" s="58">
        <v>9539</v>
      </c>
      <c r="Q58" s="397" t="s">
        <v>4831</v>
      </c>
    </row>
    <row r="59" spans="1:17">
      <c r="A59" s="320">
        <v>33</v>
      </c>
      <c r="B59" s="397" t="s">
        <v>11639</v>
      </c>
      <c r="C59" s="55" t="s">
        <v>11627</v>
      </c>
      <c r="D59" s="56">
        <v>0</v>
      </c>
      <c r="E59" s="56">
        <v>0</v>
      </c>
      <c r="F59" s="56">
        <v>0</v>
      </c>
      <c r="G59" s="56">
        <v>0</v>
      </c>
      <c r="H59" s="56">
        <v>0</v>
      </c>
      <c r="I59" s="56">
        <v>0</v>
      </c>
      <c r="J59" s="56">
        <v>0</v>
      </c>
      <c r="K59" s="58">
        <v>14957</v>
      </c>
      <c r="L59" s="58">
        <v>14908</v>
      </c>
      <c r="M59" s="58">
        <v>14820</v>
      </c>
      <c r="N59" s="58">
        <v>15083</v>
      </c>
      <c r="O59" s="58">
        <v>15485</v>
      </c>
      <c r="Q59" s="397" t="s">
        <v>4831</v>
      </c>
    </row>
    <row r="60" spans="1:17">
      <c r="A60" s="320">
        <v>34</v>
      </c>
      <c r="B60" s="397" t="s">
        <v>6207</v>
      </c>
      <c r="C60" s="55" t="s">
        <v>11628</v>
      </c>
      <c r="D60" s="56">
        <v>0</v>
      </c>
      <c r="E60" s="56">
        <v>0</v>
      </c>
      <c r="F60" s="56">
        <v>0</v>
      </c>
      <c r="G60" s="56">
        <v>0</v>
      </c>
      <c r="H60" s="56">
        <v>0</v>
      </c>
      <c r="I60" s="56">
        <v>0</v>
      </c>
      <c r="J60" s="56">
        <v>0</v>
      </c>
      <c r="K60" s="58">
        <v>9481</v>
      </c>
      <c r="L60" s="58">
        <v>9560</v>
      </c>
      <c r="M60" s="58">
        <v>9558</v>
      </c>
      <c r="N60" s="58">
        <v>9807</v>
      </c>
      <c r="O60" s="58">
        <v>10348</v>
      </c>
      <c r="Q60" s="397" t="s">
        <v>3327</v>
      </c>
    </row>
    <row r="61" spans="1:17">
      <c r="D61" s="402"/>
      <c r="E61" s="402"/>
      <c r="F61" s="402"/>
      <c r="G61" s="402"/>
      <c r="H61" s="402"/>
      <c r="I61" s="402"/>
      <c r="J61" s="402"/>
      <c r="K61" s="402"/>
      <c r="L61" s="402"/>
    </row>
    <row r="62" spans="1:17">
      <c r="A62" s="127" t="s">
        <v>11629</v>
      </c>
      <c r="D62" s="865"/>
      <c r="E62" s="865"/>
      <c r="F62" s="865"/>
      <c r="G62" s="865"/>
      <c r="H62" s="865"/>
      <c r="I62" s="865"/>
      <c r="J62" s="865"/>
      <c r="K62" s="865"/>
      <c r="L62" s="865"/>
    </row>
    <row r="63" spans="1:17">
      <c r="A63" s="397"/>
      <c r="B63" s="397"/>
      <c r="D63" s="865"/>
      <c r="E63" s="865"/>
      <c r="F63" s="865"/>
      <c r="G63" s="865"/>
      <c r="H63" s="865"/>
      <c r="I63" s="865"/>
      <c r="J63" s="865"/>
      <c r="K63" s="865"/>
      <c r="L63" s="865"/>
    </row>
    <row r="64" spans="1:17">
      <c r="A64" s="397"/>
      <c r="B64" s="397"/>
      <c r="D64" s="865"/>
      <c r="E64" s="865"/>
      <c r="F64" s="865"/>
      <c r="G64" s="865"/>
      <c r="H64" s="865"/>
      <c r="I64" s="865"/>
      <c r="J64" s="865"/>
      <c r="K64" s="865"/>
      <c r="L64" s="865"/>
    </row>
  </sheetData>
  <phoneticPr fontId="6" type="noConversion"/>
  <printOptions gridLinesSet="0"/>
  <pageMargins left="0.78740157480314965" right="0" top="0.51181102362204722" bottom="0.51181102362204722" header="0.51181102362204722" footer="0.51181102362204722"/>
  <pageSetup paperSize="9" scale="79" orientation="portrait" horizontalDpi="300" verticalDpi="300" r:id="rId1"/>
  <headerFooter alignWithMargins="0">
    <oddFooter>&amp;C&amp;"Times New Roman,Regular"&amp;8&amp;P of &amp;N</oddFooter>
  </headerFooter>
  <ignoredErrors>
    <ignoredError sqref="D26:K26 D31:K31 D57:K57"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dimension ref="A1:Q51"/>
  <sheetViews>
    <sheetView showGridLines="0" topLeftCell="A40" zoomScale="90" zoomScaleNormal="90" workbookViewId="0">
      <selection activeCell="V44" sqref="V44"/>
    </sheetView>
  </sheetViews>
  <sheetFormatPr defaultColWidth="12.7109375" defaultRowHeight="15"/>
  <cols>
    <col min="1" max="1" width="5" style="169" customWidth="1"/>
    <col min="2" max="2" width="40.7109375" style="169" customWidth="1"/>
    <col min="3" max="3" width="11.5703125" style="169" customWidth="1"/>
    <col min="4" max="12" width="10.140625" style="169" customWidth="1"/>
    <col min="13" max="15" width="10" style="169" customWidth="1"/>
    <col min="16" max="16" width="2.42578125" style="169" customWidth="1"/>
    <col min="17" max="17" width="33" style="169" customWidth="1"/>
    <col min="18" max="16384" width="12.7109375" style="169"/>
  </cols>
  <sheetData>
    <row r="1" spans="1:17">
      <c r="A1" s="559" t="s">
        <v>5719</v>
      </c>
      <c r="D1" s="853">
        <v>2010</v>
      </c>
      <c r="E1" s="853">
        <v>2011</v>
      </c>
      <c r="F1" s="853">
        <v>2012</v>
      </c>
      <c r="G1" s="853">
        <v>2013</v>
      </c>
      <c r="H1" s="853">
        <v>2014</v>
      </c>
      <c r="I1" s="853">
        <v>2015</v>
      </c>
      <c r="J1" s="853">
        <v>2016</v>
      </c>
      <c r="K1" s="853">
        <v>2017</v>
      </c>
      <c r="L1" s="853">
        <v>2018</v>
      </c>
      <c r="M1" s="853">
        <v>2019</v>
      </c>
      <c r="N1" s="853">
        <v>2020</v>
      </c>
      <c r="O1" s="988" t="s">
        <v>14823</v>
      </c>
    </row>
    <row r="3" spans="1:17">
      <c r="A3" s="559" t="s">
        <v>3302</v>
      </c>
      <c r="D3" s="854">
        <f t="shared" ref="D3:I3" si="0">SUM(D27:D48)</f>
        <v>229189</v>
      </c>
      <c r="E3" s="854">
        <f t="shared" si="0"/>
        <v>230828</v>
      </c>
      <c r="F3" s="854">
        <f t="shared" si="0"/>
        <v>232287</v>
      </c>
      <c r="G3" s="854">
        <f t="shared" si="0"/>
        <v>230805</v>
      </c>
      <c r="H3" s="854">
        <f t="shared" si="0"/>
        <v>229227</v>
      </c>
      <c r="I3" s="854">
        <f t="shared" si="0"/>
        <v>229175</v>
      </c>
      <c r="J3" s="854">
        <f t="shared" ref="J3:O3" si="1">SUM(J27:J48)</f>
        <v>226093</v>
      </c>
      <c r="K3" s="854">
        <f t="shared" si="1"/>
        <v>230366</v>
      </c>
      <c r="L3" s="854">
        <f t="shared" si="1"/>
        <v>230969</v>
      </c>
      <c r="M3" s="854">
        <f t="shared" si="1"/>
        <v>231526</v>
      </c>
      <c r="N3" s="854">
        <f t="shared" si="1"/>
        <v>232402</v>
      </c>
      <c r="O3" s="854">
        <f t="shared" si="1"/>
        <v>237677</v>
      </c>
    </row>
    <row r="5" spans="1:17">
      <c r="A5" s="559" t="s">
        <v>5382</v>
      </c>
      <c r="D5" s="854">
        <f t="shared" ref="D5:I5" si="2">D3/3</f>
        <v>76396.333333333328</v>
      </c>
      <c r="E5" s="854">
        <f t="shared" si="2"/>
        <v>76942.666666666672</v>
      </c>
      <c r="F5" s="854">
        <f t="shared" si="2"/>
        <v>77429</v>
      </c>
      <c r="G5" s="854">
        <f t="shared" si="2"/>
        <v>76935</v>
      </c>
      <c r="H5" s="854">
        <f t="shared" si="2"/>
        <v>76409</v>
      </c>
      <c r="I5" s="854">
        <f t="shared" si="2"/>
        <v>76391.666666666672</v>
      </c>
      <c r="J5" s="854">
        <f t="shared" ref="J5:O5" si="3">J3/3</f>
        <v>75364.333333333328</v>
      </c>
      <c r="K5" s="854">
        <f t="shared" si="3"/>
        <v>76788.666666666672</v>
      </c>
      <c r="L5" s="854">
        <f t="shared" si="3"/>
        <v>76989.666666666672</v>
      </c>
      <c r="M5" s="854">
        <f t="shared" si="3"/>
        <v>77175.333333333328</v>
      </c>
      <c r="N5" s="854">
        <f t="shared" si="3"/>
        <v>77467.333333333328</v>
      </c>
      <c r="O5" s="854">
        <f t="shared" si="3"/>
        <v>79225.666666666672</v>
      </c>
    </row>
    <row r="6" spans="1:17">
      <c r="D6" s="855"/>
      <c r="E6" s="855"/>
      <c r="F6" s="855"/>
      <c r="G6" s="855"/>
      <c r="H6" s="855"/>
      <c r="I6" s="855"/>
      <c r="J6" s="855"/>
      <c r="K6" s="855"/>
      <c r="L6" s="855"/>
      <c r="M6" s="855"/>
      <c r="N6" s="855"/>
      <c r="O6" s="855"/>
    </row>
    <row r="7" spans="1:17">
      <c r="A7" s="559" t="s">
        <v>3303</v>
      </c>
      <c r="D7" s="854">
        <f t="shared" ref="D7:I7" si="4">D29+D34+D40+D41+D47+D48</f>
        <v>66029</v>
      </c>
      <c r="E7" s="854">
        <f t="shared" si="4"/>
        <v>66470</v>
      </c>
      <c r="F7" s="854">
        <f t="shared" si="4"/>
        <v>67185</v>
      </c>
      <c r="G7" s="854">
        <f t="shared" si="4"/>
        <v>67054</v>
      </c>
      <c r="H7" s="854">
        <f t="shared" si="4"/>
        <v>66899</v>
      </c>
      <c r="I7" s="854">
        <f t="shared" si="4"/>
        <v>66654</v>
      </c>
      <c r="J7" s="854">
        <f t="shared" ref="J7:O7" si="5">J29+J34+J40+J41+J47+J48</f>
        <v>66067</v>
      </c>
      <c r="K7" s="854">
        <f t="shared" si="5"/>
        <v>67390</v>
      </c>
      <c r="L7" s="854">
        <f t="shared" si="5"/>
        <v>67524</v>
      </c>
      <c r="M7" s="854">
        <f t="shared" si="5"/>
        <v>67589</v>
      </c>
      <c r="N7" s="854">
        <f t="shared" si="5"/>
        <v>67614</v>
      </c>
      <c r="O7" s="854">
        <f t="shared" si="5"/>
        <v>68934</v>
      </c>
      <c r="Q7" s="559" t="s">
        <v>3304</v>
      </c>
    </row>
    <row r="8" spans="1:17">
      <c r="A8" s="559"/>
      <c r="D8" s="854"/>
      <c r="E8" s="854"/>
      <c r="F8" s="854"/>
      <c r="G8" s="854"/>
      <c r="H8" s="854"/>
      <c r="I8" s="854"/>
      <c r="J8" s="854"/>
      <c r="K8" s="854"/>
      <c r="L8" s="854"/>
      <c r="M8" s="854"/>
      <c r="N8" s="854"/>
      <c r="O8" s="854"/>
      <c r="Q8" s="559"/>
    </row>
    <row r="9" spans="1:17">
      <c r="A9" s="559" t="s">
        <v>3305</v>
      </c>
      <c r="D9" s="854">
        <f t="shared" ref="D9:I9" si="6">D27+D30+D32+D36+D42+D46</f>
        <v>65210</v>
      </c>
      <c r="E9" s="854">
        <f t="shared" si="6"/>
        <v>65508</v>
      </c>
      <c r="F9" s="854">
        <f t="shared" si="6"/>
        <v>65885</v>
      </c>
      <c r="G9" s="854">
        <f t="shared" si="6"/>
        <v>65183</v>
      </c>
      <c r="H9" s="854">
        <f t="shared" si="6"/>
        <v>64582</v>
      </c>
      <c r="I9" s="854">
        <f t="shared" si="6"/>
        <v>64556</v>
      </c>
      <c r="J9" s="854">
        <f t="shared" ref="J9:O9" si="7">J27+J30+J32+J36+J42+J46</f>
        <v>63339</v>
      </c>
      <c r="K9" s="854">
        <f t="shared" si="7"/>
        <v>64452</v>
      </c>
      <c r="L9" s="854">
        <f t="shared" si="7"/>
        <v>64702</v>
      </c>
      <c r="M9" s="854">
        <f t="shared" si="7"/>
        <v>64919</v>
      </c>
      <c r="N9" s="854">
        <f t="shared" si="7"/>
        <v>65195</v>
      </c>
      <c r="O9" s="854">
        <f t="shared" si="7"/>
        <v>66840</v>
      </c>
      <c r="Q9" s="559" t="s">
        <v>3304</v>
      </c>
    </row>
    <row r="10" spans="1:17">
      <c r="D10" s="855"/>
      <c r="E10" s="855"/>
      <c r="F10" s="855"/>
      <c r="G10" s="855"/>
      <c r="H10" s="855"/>
      <c r="I10" s="855"/>
      <c r="J10" s="855"/>
      <c r="K10" s="855"/>
      <c r="L10" s="855"/>
      <c r="M10" s="855"/>
      <c r="N10" s="855"/>
      <c r="O10" s="855"/>
    </row>
    <row r="11" spans="1:17">
      <c r="A11" s="559" t="s">
        <v>3306</v>
      </c>
      <c r="D11" s="854">
        <f t="shared" ref="D11:I11" si="8">D28+D31+D35+D38+D39+D43+D45</f>
        <v>67765</v>
      </c>
      <c r="E11" s="854">
        <f t="shared" si="8"/>
        <v>68221</v>
      </c>
      <c r="F11" s="854">
        <f t="shared" si="8"/>
        <v>68282</v>
      </c>
      <c r="G11" s="854">
        <f t="shared" si="8"/>
        <v>68023</v>
      </c>
      <c r="H11" s="854">
        <f t="shared" si="8"/>
        <v>67592</v>
      </c>
      <c r="I11" s="854">
        <f t="shared" si="8"/>
        <v>67623</v>
      </c>
      <c r="J11" s="854">
        <f t="shared" ref="J11:O11" si="9">J28+J31+J35+J38+J39+J43+J45</f>
        <v>66724</v>
      </c>
      <c r="K11" s="854">
        <f t="shared" si="9"/>
        <v>67837</v>
      </c>
      <c r="L11" s="854">
        <f t="shared" si="9"/>
        <v>67821</v>
      </c>
      <c r="M11" s="854">
        <f t="shared" si="9"/>
        <v>67928</v>
      </c>
      <c r="N11" s="854">
        <f t="shared" si="9"/>
        <v>67989</v>
      </c>
      <c r="O11" s="854">
        <f t="shared" si="9"/>
        <v>69102</v>
      </c>
      <c r="Q11" s="559" t="s">
        <v>3304</v>
      </c>
    </row>
    <row r="12" spans="1:17">
      <c r="D12" s="855"/>
      <c r="E12" s="855"/>
      <c r="F12" s="855"/>
      <c r="G12" s="855"/>
      <c r="H12" s="855"/>
      <c r="I12" s="855"/>
      <c r="J12" s="855"/>
      <c r="K12" s="855"/>
      <c r="L12" s="855"/>
      <c r="M12" s="855"/>
      <c r="N12" s="855"/>
      <c r="O12" s="855"/>
    </row>
    <row r="13" spans="1:17">
      <c r="A13" s="169" t="s">
        <v>3307</v>
      </c>
      <c r="D13" s="855">
        <f>LEWISHAM!D7</f>
        <v>64809</v>
      </c>
      <c r="E13" s="855">
        <f>LEWISHAM!E7</f>
        <v>67590</v>
      </c>
      <c r="F13" s="855">
        <f>LEWISHAM!F7</f>
        <v>68405</v>
      </c>
      <c r="G13" s="855">
        <f>LEWISHAM!G7</f>
        <v>70178</v>
      </c>
      <c r="H13" s="855">
        <f>LEWISHAM!H7</f>
        <v>71651</v>
      </c>
      <c r="I13" s="855">
        <f>LEWISHAM!I7</f>
        <v>69292</v>
      </c>
      <c r="J13" s="855">
        <f>LEWISHAM!J7</f>
        <v>67166</v>
      </c>
      <c r="K13" s="855">
        <f>LEWISHAM!K7</f>
        <v>72220</v>
      </c>
      <c r="L13" s="855">
        <f>LEWISHAM!L7</f>
        <v>74576</v>
      </c>
      <c r="M13" s="855">
        <f>LEWISHAM!M7</f>
        <v>72385</v>
      </c>
      <c r="N13" s="855">
        <f>LEWISHAM!N7</f>
        <v>75716</v>
      </c>
      <c r="O13" s="855">
        <f>LEWISHAM!O7</f>
        <v>78547</v>
      </c>
      <c r="Q13" s="169" t="s">
        <v>3308</v>
      </c>
    </row>
    <row r="14" spans="1:17">
      <c r="D14" s="855"/>
      <c r="E14" s="855"/>
      <c r="F14" s="855"/>
      <c r="G14" s="855"/>
      <c r="H14" s="855"/>
      <c r="I14" s="855"/>
      <c r="J14" s="855"/>
      <c r="K14" s="855"/>
      <c r="L14" s="855"/>
      <c r="M14" s="855"/>
      <c r="N14" s="855"/>
      <c r="O14" s="855"/>
    </row>
    <row r="15" spans="1:17">
      <c r="A15" s="169" t="s">
        <v>3309</v>
      </c>
      <c r="D15" s="855">
        <f>LEWISHAM!D9</f>
        <v>64937</v>
      </c>
      <c r="E15" s="855">
        <f>LEWISHAM!E9</f>
        <v>65508</v>
      </c>
      <c r="F15" s="855">
        <f>LEWISHAM!F9</f>
        <v>65797</v>
      </c>
      <c r="G15" s="855">
        <f>LEWISHAM!G9</f>
        <v>66116</v>
      </c>
      <c r="H15" s="855">
        <f>LEWISHAM!H9</f>
        <v>66939</v>
      </c>
      <c r="I15" s="855">
        <f>LEWISHAM!I9</f>
        <v>64984</v>
      </c>
      <c r="J15" s="855">
        <f>LEWISHAM!J9</f>
        <v>62366</v>
      </c>
      <c r="K15" s="855">
        <f>LEWISHAM!K9</f>
        <v>65099</v>
      </c>
      <c r="L15" s="855">
        <f>LEWISHAM!L9</f>
        <v>65970</v>
      </c>
      <c r="M15" s="855">
        <f>LEWISHAM!M9</f>
        <v>65020</v>
      </c>
      <c r="N15" s="855">
        <f>LEWISHAM!N9</f>
        <v>65657</v>
      </c>
      <c r="O15" s="855">
        <f>LEWISHAM!O9</f>
        <v>70528</v>
      </c>
      <c r="Q15" s="169" t="s">
        <v>3308</v>
      </c>
    </row>
    <row r="16" spans="1:17">
      <c r="D16" s="855"/>
      <c r="E16" s="855"/>
      <c r="F16" s="855"/>
      <c r="G16" s="855"/>
      <c r="H16" s="855"/>
      <c r="I16" s="855"/>
      <c r="J16" s="855"/>
      <c r="K16" s="855"/>
      <c r="L16" s="855"/>
      <c r="M16" s="855"/>
      <c r="N16" s="855"/>
      <c r="O16" s="855"/>
    </row>
    <row r="17" spans="1:17">
      <c r="A17" s="169" t="s">
        <v>3310</v>
      </c>
      <c r="D17" s="855">
        <f t="shared" ref="D17:I17" si="10">D33+D37+D44</f>
        <v>30185</v>
      </c>
      <c r="E17" s="855">
        <f t="shared" si="10"/>
        <v>30629</v>
      </c>
      <c r="F17" s="855">
        <f t="shared" si="10"/>
        <v>30935</v>
      </c>
      <c r="G17" s="855">
        <f t="shared" si="10"/>
        <v>30545</v>
      </c>
      <c r="H17" s="855">
        <f t="shared" si="10"/>
        <v>30154</v>
      </c>
      <c r="I17" s="855">
        <f t="shared" si="10"/>
        <v>30342</v>
      </c>
      <c r="J17" s="855">
        <f t="shared" ref="J17:O17" si="11">J33+J37+J44</f>
        <v>29963</v>
      </c>
      <c r="K17" s="855">
        <f t="shared" si="11"/>
        <v>30687</v>
      </c>
      <c r="L17" s="855">
        <f t="shared" si="11"/>
        <v>30922</v>
      </c>
      <c r="M17" s="855">
        <f t="shared" si="11"/>
        <v>31090</v>
      </c>
      <c r="N17" s="855">
        <f t="shared" si="11"/>
        <v>31604</v>
      </c>
      <c r="O17" s="855">
        <f t="shared" si="11"/>
        <v>32801</v>
      </c>
      <c r="Q17" s="559" t="s">
        <v>3304</v>
      </c>
    </row>
    <row r="18" spans="1:17" ht="15.75" thickBot="1">
      <c r="D18" s="856">
        <f>LEWISHAM!D12</f>
        <v>38167</v>
      </c>
      <c r="E18" s="856">
        <f>LEWISHAM!E12</f>
        <v>38770</v>
      </c>
      <c r="F18" s="856">
        <f>LEWISHAM!F12</f>
        <v>39001</v>
      </c>
      <c r="G18" s="856">
        <f>LEWISHAM!G12</f>
        <v>39456</v>
      </c>
      <c r="H18" s="856">
        <f>LEWISHAM!H12</f>
        <v>40144</v>
      </c>
      <c r="I18" s="856">
        <f>LEWISHAM!I12</f>
        <v>39192</v>
      </c>
      <c r="J18" s="856">
        <f>LEWISHAM!J12</f>
        <v>37690</v>
      </c>
      <c r="K18" s="856">
        <f>LEWISHAM!K12</f>
        <v>39594</v>
      </c>
      <c r="L18" s="856">
        <f>LEWISHAM!L12</f>
        <v>40228</v>
      </c>
      <c r="M18" s="856">
        <f>LEWISHAM!M12</f>
        <v>39336</v>
      </c>
      <c r="N18" s="856">
        <f>LEWISHAM!N12</f>
        <v>40259</v>
      </c>
      <c r="O18" s="856">
        <f>LEWISHAM!O12</f>
        <v>41194</v>
      </c>
      <c r="Q18" s="169" t="s">
        <v>3308</v>
      </c>
    </row>
    <row r="19" spans="1:17" ht="15.75" thickBot="1">
      <c r="D19" s="857">
        <f t="shared" ref="D19:I19" si="12">D17+D18</f>
        <v>68352</v>
      </c>
      <c r="E19" s="857">
        <f t="shared" si="12"/>
        <v>69399</v>
      </c>
      <c r="F19" s="857">
        <f t="shared" si="12"/>
        <v>69936</v>
      </c>
      <c r="G19" s="857">
        <f t="shared" si="12"/>
        <v>70001</v>
      </c>
      <c r="H19" s="857">
        <f t="shared" si="12"/>
        <v>70298</v>
      </c>
      <c r="I19" s="857">
        <f t="shared" si="12"/>
        <v>69534</v>
      </c>
      <c r="J19" s="857">
        <f t="shared" ref="J19:O19" si="13">J17+J18</f>
        <v>67653</v>
      </c>
      <c r="K19" s="857">
        <f t="shared" si="13"/>
        <v>70281</v>
      </c>
      <c r="L19" s="857">
        <f t="shared" si="13"/>
        <v>71150</v>
      </c>
      <c r="M19" s="857">
        <f t="shared" si="13"/>
        <v>70426</v>
      </c>
      <c r="N19" s="857">
        <f t="shared" si="13"/>
        <v>71863</v>
      </c>
      <c r="O19" s="857">
        <f t="shared" si="13"/>
        <v>73995</v>
      </c>
    </row>
    <row r="20" spans="1:17">
      <c r="D20" s="855"/>
      <c r="E20" s="855"/>
      <c r="F20" s="855"/>
      <c r="G20" s="855"/>
      <c r="H20" s="855"/>
      <c r="I20" s="855"/>
      <c r="J20" s="855"/>
      <c r="K20" s="855"/>
      <c r="L20" s="855"/>
      <c r="M20" s="855"/>
      <c r="N20" s="855"/>
      <c r="O20" s="855"/>
    </row>
    <row r="21" spans="1:17">
      <c r="A21" s="559" t="s">
        <v>6796</v>
      </c>
      <c r="D21" s="854">
        <f t="shared" ref="D21:I21" si="14">D7+D9+D11+D17</f>
        <v>229189</v>
      </c>
      <c r="E21" s="854">
        <f t="shared" si="14"/>
        <v>230828</v>
      </c>
      <c r="F21" s="854">
        <f t="shared" si="14"/>
        <v>232287</v>
      </c>
      <c r="G21" s="854">
        <f t="shared" si="14"/>
        <v>230805</v>
      </c>
      <c r="H21" s="854">
        <f t="shared" si="14"/>
        <v>229227</v>
      </c>
      <c r="I21" s="854">
        <f t="shared" si="14"/>
        <v>229175</v>
      </c>
      <c r="J21" s="854">
        <f t="shared" ref="J21:O21" si="15">J7+J9+J11+J17</f>
        <v>226093</v>
      </c>
      <c r="K21" s="854">
        <f t="shared" si="15"/>
        <v>230366</v>
      </c>
      <c r="L21" s="854">
        <f t="shared" si="15"/>
        <v>230969</v>
      </c>
      <c r="M21" s="854">
        <f t="shared" si="15"/>
        <v>231526</v>
      </c>
      <c r="N21" s="854">
        <f t="shared" si="15"/>
        <v>232402</v>
      </c>
      <c r="O21" s="854">
        <f t="shared" si="15"/>
        <v>237677</v>
      </c>
    </row>
    <row r="22" spans="1:17">
      <c r="D22" s="855"/>
      <c r="E22" s="855"/>
      <c r="F22" s="855"/>
      <c r="G22" s="855"/>
      <c r="H22" s="855"/>
      <c r="I22" s="855"/>
      <c r="J22" s="855"/>
      <c r="K22" s="855"/>
      <c r="L22" s="855"/>
      <c r="M22" s="855"/>
      <c r="N22" s="855"/>
      <c r="O22" s="855"/>
    </row>
    <row r="23" spans="1:17">
      <c r="A23" s="559" t="s">
        <v>6797</v>
      </c>
      <c r="D23" s="854">
        <f t="shared" ref="D23:I23" si="16">MAX(D7,D9,D11,D13,D15,D19)-MIN(D7,D9,D11,D13,D15,D19)</f>
        <v>3543</v>
      </c>
      <c r="E23" s="854">
        <f t="shared" si="16"/>
        <v>3891</v>
      </c>
      <c r="F23" s="854">
        <f t="shared" si="16"/>
        <v>4139</v>
      </c>
      <c r="G23" s="854">
        <f t="shared" si="16"/>
        <v>4995</v>
      </c>
      <c r="H23" s="854">
        <f t="shared" si="16"/>
        <v>7069</v>
      </c>
      <c r="I23" s="854">
        <f t="shared" si="16"/>
        <v>4978</v>
      </c>
      <c r="J23" s="854">
        <f t="shared" ref="J23:O23" si="17">MAX(J7,J9,J11,J13,J15,J19)-MIN(J7,J9,J11,J13,J15,J19)</f>
        <v>5287</v>
      </c>
      <c r="K23" s="854">
        <f t="shared" si="17"/>
        <v>7768</v>
      </c>
      <c r="L23" s="854">
        <f t="shared" si="17"/>
        <v>9874</v>
      </c>
      <c r="M23" s="854">
        <f t="shared" si="17"/>
        <v>7466</v>
      </c>
      <c r="N23" s="854">
        <f t="shared" si="17"/>
        <v>10521</v>
      </c>
      <c r="O23" s="854">
        <f t="shared" si="17"/>
        <v>11707</v>
      </c>
    </row>
    <row r="24" spans="1:17">
      <c r="D24" s="855"/>
      <c r="E24" s="855"/>
      <c r="F24" s="855"/>
      <c r="G24" s="855"/>
      <c r="H24" s="855"/>
      <c r="I24" s="855"/>
      <c r="J24" s="855"/>
      <c r="K24" s="855"/>
      <c r="L24" s="855"/>
      <c r="M24" s="855"/>
      <c r="N24" s="855"/>
      <c r="O24" s="855"/>
    </row>
    <row r="25" spans="1:17">
      <c r="A25" s="559" t="s">
        <v>6800</v>
      </c>
      <c r="D25" s="854">
        <f t="shared" ref="D25:I25" si="18">STDEVP(D7,D9,D11,D13,D15,D19)</f>
        <v>1391.5290949966595</v>
      </c>
      <c r="E25" s="854">
        <f t="shared" si="18"/>
        <v>1428.6610281425519</v>
      </c>
      <c r="F25" s="854">
        <f t="shared" si="18"/>
        <v>1468.1216646525663</v>
      </c>
      <c r="G25" s="854">
        <f t="shared" si="18"/>
        <v>1861.0064854505179</v>
      </c>
      <c r="H25" s="854">
        <f t="shared" si="18"/>
        <v>2337.999910892499</v>
      </c>
      <c r="I25" s="854">
        <f t="shared" si="18"/>
        <v>1921.4035162407249</v>
      </c>
      <c r="J25" s="854">
        <f t="shared" ref="J25:O25" si="19">STDEVP(J7,J9,J11,J13,J15,J19)</f>
        <v>1987.7109741274426</v>
      </c>
      <c r="K25" s="854">
        <f t="shared" si="19"/>
        <v>2718.0720751215476</v>
      </c>
      <c r="L25" s="854">
        <f t="shared" si="19"/>
        <v>3318.8248129253357</v>
      </c>
      <c r="M25" s="854">
        <f t="shared" si="19"/>
        <v>2697.1863580405416</v>
      </c>
      <c r="N25" s="854">
        <f t="shared" si="19"/>
        <v>3694.5460554113483</v>
      </c>
      <c r="O25" s="854">
        <f t="shared" si="19"/>
        <v>3887.9134363934713</v>
      </c>
    </row>
    <row r="26" spans="1:17">
      <c r="D26" s="855"/>
      <c r="E26" s="855"/>
      <c r="F26" s="855"/>
      <c r="G26" s="855"/>
      <c r="H26" s="855"/>
      <c r="I26" s="855"/>
      <c r="J26" s="855"/>
      <c r="K26" s="855"/>
      <c r="L26" s="855"/>
      <c r="M26" s="855"/>
      <c r="N26" s="855"/>
      <c r="O26" s="855"/>
    </row>
    <row r="27" spans="1:17">
      <c r="A27" s="559" t="s">
        <v>5387</v>
      </c>
      <c r="B27" s="559" t="s">
        <v>3311</v>
      </c>
      <c r="C27" s="55" t="s">
        <v>410</v>
      </c>
      <c r="D27" s="858">
        <v>11484</v>
      </c>
      <c r="E27" s="858">
        <v>11608</v>
      </c>
      <c r="F27" s="858">
        <v>11743</v>
      </c>
      <c r="G27" s="858">
        <v>11557</v>
      </c>
      <c r="H27" s="56">
        <v>11420</v>
      </c>
      <c r="I27" s="56">
        <v>11358</v>
      </c>
      <c r="J27" s="56">
        <v>11129</v>
      </c>
      <c r="K27" s="56">
        <v>11325</v>
      </c>
      <c r="L27" s="56">
        <v>11321</v>
      </c>
      <c r="M27" s="56">
        <v>11346</v>
      </c>
      <c r="N27" s="56">
        <v>11376</v>
      </c>
      <c r="O27" s="56">
        <v>11586</v>
      </c>
      <c r="Q27" s="559" t="s">
        <v>3305</v>
      </c>
    </row>
    <row r="28" spans="1:17">
      <c r="A28" s="559" t="s">
        <v>5389</v>
      </c>
      <c r="B28" s="559" t="s">
        <v>3312</v>
      </c>
      <c r="C28" s="55" t="s">
        <v>411</v>
      </c>
      <c r="D28" s="858">
        <v>7889</v>
      </c>
      <c r="E28" s="858">
        <v>7897</v>
      </c>
      <c r="F28" s="858">
        <v>7935</v>
      </c>
      <c r="G28" s="858">
        <v>7914</v>
      </c>
      <c r="H28" s="58">
        <v>7795</v>
      </c>
      <c r="I28" s="58">
        <v>7791</v>
      </c>
      <c r="J28" s="58">
        <v>7747</v>
      </c>
      <c r="K28" s="58">
        <v>7823</v>
      </c>
      <c r="L28" s="58">
        <v>7830</v>
      </c>
      <c r="M28" s="58">
        <v>7841</v>
      </c>
      <c r="N28" s="58">
        <v>7780</v>
      </c>
      <c r="O28" s="58">
        <v>7902</v>
      </c>
      <c r="Q28" s="559" t="s">
        <v>3306</v>
      </c>
    </row>
    <row r="29" spans="1:17">
      <c r="A29" s="559" t="s">
        <v>5391</v>
      </c>
      <c r="B29" s="559" t="s">
        <v>3313</v>
      </c>
      <c r="C29" s="55" t="s">
        <v>412</v>
      </c>
      <c r="D29" s="556">
        <v>11168</v>
      </c>
      <c r="E29" s="556">
        <v>11270</v>
      </c>
      <c r="F29" s="556">
        <v>11541</v>
      </c>
      <c r="G29" s="556">
        <v>11705</v>
      </c>
      <c r="H29" s="56">
        <v>11838</v>
      </c>
      <c r="I29" s="56">
        <v>11821</v>
      </c>
      <c r="J29" s="56">
        <v>11891</v>
      </c>
      <c r="K29" s="56">
        <v>12207</v>
      </c>
      <c r="L29" s="56">
        <v>12293</v>
      </c>
      <c r="M29" s="56">
        <v>12308</v>
      </c>
      <c r="N29" s="56">
        <v>12264</v>
      </c>
      <c r="O29" s="56">
        <v>12521</v>
      </c>
      <c r="Q29" s="559" t="s">
        <v>3303</v>
      </c>
    </row>
    <row r="30" spans="1:17">
      <c r="A30" s="559" t="s">
        <v>5393</v>
      </c>
      <c r="B30" s="559" t="s">
        <v>3314</v>
      </c>
      <c r="C30" s="55" t="s">
        <v>413</v>
      </c>
      <c r="D30" s="858">
        <v>11989</v>
      </c>
      <c r="E30" s="858">
        <v>12057</v>
      </c>
      <c r="F30" s="858">
        <v>12168</v>
      </c>
      <c r="G30" s="858">
        <v>12106</v>
      </c>
      <c r="H30" s="56">
        <v>12015</v>
      </c>
      <c r="I30" s="56">
        <v>11961</v>
      </c>
      <c r="J30" s="56">
        <v>11671</v>
      </c>
      <c r="K30" s="56">
        <v>12119</v>
      </c>
      <c r="L30" s="56">
        <v>12189</v>
      </c>
      <c r="M30" s="56">
        <v>12291</v>
      </c>
      <c r="N30" s="56">
        <v>12422</v>
      </c>
      <c r="O30" s="56">
        <v>12761</v>
      </c>
      <c r="Q30" s="559" t="s">
        <v>3305</v>
      </c>
    </row>
    <row r="31" spans="1:17">
      <c r="A31" s="859">
        <v>5</v>
      </c>
      <c r="B31" s="559" t="s">
        <v>3315</v>
      </c>
      <c r="C31" s="55" t="s">
        <v>414</v>
      </c>
      <c r="D31" s="858">
        <v>11216</v>
      </c>
      <c r="E31" s="858">
        <v>11298</v>
      </c>
      <c r="F31" s="858">
        <v>11323</v>
      </c>
      <c r="G31" s="858">
        <v>11221</v>
      </c>
      <c r="H31" s="58">
        <v>11197</v>
      </c>
      <c r="I31" s="58">
        <v>11202</v>
      </c>
      <c r="J31" s="58">
        <v>10957</v>
      </c>
      <c r="K31" s="58">
        <v>11161</v>
      </c>
      <c r="L31" s="58">
        <v>11078</v>
      </c>
      <c r="M31" s="58">
        <v>10953</v>
      </c>
      <c r="N31" s="58">
        <v>11030</v>
      </c>
      <c r="O31" s="58">
        <v>11198</v>
      </c>
      <c r="Q31" s="559" t="s">
        <v>3306</v>
      </c>
    </row>
    <row r="32" spans="1:17">
      <c r="A32" s="559" t="s">
        <v>5416</v>
      </c>
      <c r="B32" s="559" t="s">
        <v>3316</v>
      </c>
      <c r="C32" s="55" t="s">
        <v>415</v>
      </c>
      <c r="D32" s="858">
        <v>11527</v>
      </c>
      <c r="E32" s="858">
        <v>11481</v>
      </c>
      <c r="F32" s="858">
        <v>11572</v>
      </c>
      <c r="G32" s="858">
        <v>11537</v>
      </c>
      <c r="H32" s="56">
        <v>11522</v>
      </c>
      <c r="I32" s="56">
        <v>11577</v>
      </c>
      <c r="J32" s="56">
        <v>11512</v>
      </c>
      <c r="K32" s="56">
        <v>11790</v>
      </c>
      <c r="L32" s="56">
        <v>11680</v>
      </c>
      <c r="M32" s="56">
        <v>11673</v>
      </c>
      <c r="N32" s="56">
        <v>11793</v>
      </c>
      <c r="O32" s="56">
        <v>12014</v>
      </c>
      <c r="Q32" s="559" t="s">
        <v>3305</v>
      </c>
    </row>
    <row r="33" spans="1:17">
      <c r="A33" s="559" t="s">
        <v>5418</v>
      </c>
      <c r="B33" s="559" t="s">
        <v>3317</v>
      </c>
      <c r="C33" s="55" t="s">
        <v>416</v>
      </c>
      <c r="D33" s="858">
        <v>11145</v>
      </c>
      <c r="E33" s="858">
        <v>11259</v>
      </c>
      <c r="F33" s="858">
        <v>11406</v>
      </c>
      <c r="G33" s="858">
        <v>11227</v>
      </c>
      <c r="H33" s="56">
        <v>11228</v>
      </c>
      <c r="I33" s="56">
        <v>11178</v>
      </c>
      <c r="J33" s="56">
        <v>10932</v>
      </c>
      <c r="K33" s="56">
        <v>11135</v>
      </c>
      <c r="L33" s="56">
        <v>11279</v>
      </c>
      <c r="M33" s="56">
        <v>11202</v>
      </c>
      <c r="N33" s="56">
        <v>11297</v>
      </c>
      <c r="O33" s="56">
        <v>11573</v>
      </c>
      <c r="Q33" s="169" t="s">
        <v>3310</v>
      </c>
    </row>
    <row r="34" spans="1:17">
      <c r="A34" s="559" t="s">
        <v>5420</v>
      </c>
      <c r="B34" s="559" t="s">
        <v>3318</v>
      </c>
      <c r="C34" s="55" t="s">
        <v>417</v>
      </c>
      <c r="D34" s="858">
        <v>11701</v>
      </c>
      <c r="E34" s="858">
        <v>11822</v>
      </c>
      <c r="F34" s="858">
        <v>11920</v>
      </c>
      <c r="G34" s="858">
        <v>11697</v>
      </c>
      <c r="H34" s="56">
        <v>11406</v>
      </c>
      <c r="I34" s="56">
        <v>11269</v>
      </c>
      <c r="J34" s="56">
        <v>11254</v>
      </c>
      <c r="K34" s="56">
        <v>11549</v>
      </c>
      <c r="L34" s="56">
        <v>11497</v>
      </c>
      <c r="M34" s="56">
        <v>11642</v>
      </c>
      <c r="N34" s="56">
        <v>11757</v>
      </c>
      <c r="O34" s="56">
        <v>12140</v>
      </c>
      <c r="Q34" s="559" t="s">
        <v>3303</v>
      </c>
    </row>
    <row r="35" spans="1:17">
      <c r="A35" s="559" t="s">
        <v>5422</v>
      </c>
      <c r="B35" s="559" t="s">
        <v>1909</v>
      </c>
      <c r="C35" s="55" t="s">
        <v>418</v>
      </c>
      <c r="D35" s="858">
        <v>10821</v>
      </c>
      <c r="E35" s="858">
        <v>10954</v>
      </c>
      <c r="F35" s="858">
        <v>11001</v>
      </c>
      <c r="G35" s="858">
        <v>10937</v>
      </c>
      <c r="H35" s="58">
        <v>10650</v>
      </c>
      <c r="I35" s="58">
        <v>10693</v>
      </c>
      <c r="J35" s="58">
        <v>10685</v>
      </c>
      <c r="K35" s="58">
        <v>10810</v>
      </c>
      <c r="L35" s="58">
        <v>10883</v>
      </c>
      <c r="M35" s="58">
        <v>11005</v>
      </c>
      <c r="N35" s="58">
        <v>11016</v>
      </c>
      <c r="O35" s="58">
        <v>11244</v>
      </c>
      <c r="Q35" s="559" t="s">
        <v>3306</v>
      </c>
    </row>
    <row r="36" spans="1:17">
      <c r="A36" s="559" t="s">
        <v>5424</v>
      </c>
      <c r="B36" s="559" t="s">
        <v>1910</v>
      </c>
      <c r="C36" s="55" t="s">
        <v>419</v>
      </c>
      <c r="D36" s="858">
        <v>11829</v>
      </c>
      <c r="E36" s="858">
        <v>11894</v>
      </c>
      <c r="F36" s="858">
        <v>11928</v>
      </c>
      <c r="G36" s="858">
        <v>11817</v>
      </c>
      <c r="H36" s="56">
        <v>11785</v>
      </c>
      <c r="I36" s="56">
        <v>11765</v>
      </c>
      <c r="J36" s="56">
        <v>11553</v>
      </c>
      <c r="K36" s="56">
        <v>11535</v>
      </c>
      <c r="L36" s="56">
        <v>11697</v>
      </c>
      <c r="M36" s="56">
        <v>11735</v>
      </c>
      <c r="N36" s="56">
        <v>11742</v>
      </c>
      <c r="O36" s="56">
        <v>12015</v>
      </c>
      <c r="Q36" s="559" t="s">
        <v>3305</v>
      </c>
    </row>
    <row r="37" spans="1:17">
      <c r="A37" s="559" t="s">
        <v>5426</v>
      </c>
      <c r="B37" s="559" t="s">
        <v>1911</v>
      </c>
      <c r="C37" s="55" t="s">
        <v>420</v>
      </c>
      <c r="D37" s="858">
        <v>7791</v>
      </c>
      <c r="E37" s="858">
        <v>7907</v>
      </c>
      <c r="F37" s="858">
        <v>7929</v>
      </c>
      <c r="G37" s="858">
        <v>7869</v>
      </c>
      <c r="H37" s="56">
        <v>7534</v>
      </c>
      <c r="I37" s="56">
        <v>7685</v>
      </c>
      <c r="J37" s="56">
        <v>7783</v>
      </c>
      <c r="K37" s="56">
        <v>8128</v>
      </c>
      <c r="L37" s="56">
        <v>8153</v>
      </c>
      <c r="M37" s="56">
        <v>8293</v>
      </c>
      <c r="N37" s="56">
        <v>8540</v>
      </c>
      <c r="O37" s="56">
        <v>9031</v>
      </c>
      <c r="Q37" s="169" t="s">
        <v>3310</v>
      </c>
    </row>
    <row r="38" spans="1:17">
      <c r="A38" s="559" t="s">
        <v>5428</v>
      </c>
      <c r="B38" s="559" t="s">
        <v>1912</v>
      </c>
      <c r="C38" s="55" t="s">
        <v>421</v>
      </c>
      <c r="D38" s="858">
        <v>4007</v>
      </c>
      <c r="E38" s="858">
        <v>4070</v>
      </c>
      <c r="F38" s="858">
        <v>4061</v>
      </c>
      <c r="G38" s="858">
        <v>4057</v>
      </c>
      <c r="H38" s="58">
        <v>3990</v>
      </c>
      <c r="I38" s="58">
        <v>4009</v>
      </c>
      <c r="J38" s="58">
        <v>4041</v>
      </c>
      <c r="K38" s="58">
        <v>4118</v>
      </c>
      <c r="L38" s="58">
        <v>4124</v>
      </c>
      <c r="M38" s="58">
        <v>4104</v>
      </c>
      <c r="N38" s="58">
        <v>4147</v>
      </c>
      <c r="O38" s="58">
        <v>4235</v>
      </c>
      <c r="Q38" s="559" t="s">
        <v>3306</v>
      </c>
    </row>
    <row r="39" spans="1:17">
      <c r="A39" s="559" t="s">
        <v>5429</v>
      </c>
      <c r="B39" s="559" t="s">
        <v>1913</v>
      </c>
      <c r="C39" s="55" t="s">
        <v>422</v>
      </c>
      <c r="D39" s="858">
        <v>11380</v>
      </c>
      <c r="E39" s="858">
        <v>11500</v>
      </c>
      <c r="F39" s="858">
        <v>11544</v>
      </c>
      <c r="G39" s="858">
        <v>11528</v>
      </c>
      <c r="H39" s="58">
        <v>11542</v>
      </c>
      <c r="I39" s="58">
        <v>11594</v>
      </c>
      <c r="J39" s="58">
        <v>11388</v>
      </c>
      <c r="K39" s="58">
        <v>11584</v>
      </c>
      <c r="L39" s="58">
        <v>11571</v>
      </c>
      <c r="M39" s="58">
        <v>11609</v>
      </c>
      <c r="N39" s="58">
        <v>11617</v>
      </c>
      <c r="O39" s="58">
        <v>11801</v>
      </c>
      <c r="Q39" s="559" t="s">
        <v>3306</v>
      </c>
    </row>
    <row r="40" spans="1:17">
      <c r="A40" s="559" t="s">
        <v>5431</v>
      </c>
      <c r="B40" s="559" t="s">
        <v>1914</v>
      </c>
      <c r="C40" s="55" t="s">
        <v>423</v>
      </c>
      <c r="D40" s="556">
        <v>12332</v>
      </c>
      <c r="E40" s="556">
        <v>12312</v>
      </c>
      <c r="F40" s="556">
        <v>12356</v>
      </c>
      <c r="G40" s="556">
        <v>12386</v>
      </c>
      <c r="H40" s="56">
        <v>12369</v>
      </c>
      <c r="I40" s="56">
        <v>12329</v>
      </c>
      <c r="J40" s="56">
        <v>12135</v>
      </c>
      <c r="K40" s="56">
        <v>12419</v>
      </c>
      <c r="L40" s="56">
        <v>12425</v>
      </c>
      <c r="M40" s="56">
        <v>12408</v>
      </c>
      <c r="N40" s="56">
        <v>12418</v>
      </c>
      <c r="O40" s="56">
        <v>12589</v>
      </c>
      <c r="Q40" s="559" t="s">
        <v>3303</v>
      </c>
    </row>
    <row r="41" spans="1:17">
      <c r="A41" s="559" t="s">
        <v>5433</v>
      </c>
      <c r="B41" s="559" t="s">
        <v>1915</v>
      </c>
      <c r="C41" s="55" t="s">
        <v>424</v>
      </c>
      <c r="D41" s="858">
        <v>11834</v>
      </c>
      <c r="E41" s="858">
        <v>11934</v>
      </c>
      <c r="F41" s="858">
        <v>12014</v>
      </c>
      <c r="G41" s="858">
        <v>11975</v>
      </c>
      <c r="H41" s="56">
        <v>11940</v>
      </c>
      <c r="I41" s="56">
        <v>11972</v>
      </c>
      <c r="J41" s="56">
        <v>11872</v>
      </c>
      <c r="K41" s="56">
        <v>12022</v>
      </c>
      <c r="L41" s="56">
        <v>12064</v>
      </c>
      <c r="M41" s="56">
        <v>12088</v>
      </c>
      <c r="N41" s="56">
        <v>12045</v>
      </c>
      <c r="O41" s="56">
        <v>12263</v>
      </c>
      <c r="Q41" s="559" t="s">
        <v>3303</v>
      </c>
    </row>
    <row r="42" spans="1:17">
      <c r="A42" s="559" t="s">
        <v>5435</v>
      </c>
      <c r="B42" s="559" t="s">
        <v>3294</v>
      </c>
      <c r="C42" s="55" t="s">
        <v>425</v>
      </c>
      <c r="D42" s="858">
        <v>7169</v>
      </c>
      <c r="E42" s="858">
        <v>7192</v>
      </c>
      <c r="F42" s="858">
        <v>7213</v>
      </c>
      <c r="G42" s="858">
        <v>7123</v>
      </c>
      <c r="H42" s="56">
        <v>6950</v>
      </c>
      <c r="I42" s="56">
        <v>6943</v>
      </c>
      <c r="J42" s="56">
        <v>6701</v>
      </c>
      <c r="K42" s="56">
        <v>6778</v>
      </c>
      <c r="L42" s="56">
        <v>6787</v>
      </c>
      <c r="M42" s="56">
        <v>6811</v>
      </c>
      <c r="N42" s="56">
        <v>6817</v>
      </c>
      <c r="O42" s="56">
        <v>7049</v>
      </c>
      <c r="Q42" s="559" t="s">
        <v>3305</v>
      </c>
    </row>
    <row r="43" spans="1:17">
      <c r="A43" s="559" t="s">
        <v>5436</v>
      </c>
      <c r="B43" s="559" t="s">
        <v>3295</v>
      </c>
      <c r="C43" s="55" t="s">
        <v>426</v>
      </c>
      <c r="D43" s="858">
        <v>11635</v>
      </c>
      <c r="E43" s="858">
        <v>11697</v>
      </c>
      <c r="F43" s="858">
        <v>11619</v>
      </c>
      <c r="G43" s="858">
        <v>11616</v>
      </c>
      <c r="H43" s="58">
        <v>11724</v>
      </c>
      <c r="I43" s="58">
        <v>11698</v>
      </c>
      <c r="J43" s="58">
        <v>11479</v>
      </c>
      <c r="K43" s="58">
        <v>11740</v>
      </c>
      <c r="L43" s="58">
        <v>11820</v>
      </c>
      <c r="M43" s="58">
        <v>11877</v>
      </c>
      <c r="N43" s="58">
        <v>11877</v>
      </c>
      <c r="O43" s="58">
        <v>12079</v>
      </c>
      <c r="Q43" s="559" t="s">
        <v>3306</v>
      </c>
    </row>
    <row r="44" spans="1:17">
      <c r="A44" s="559" t="s">
        <v>5437</v>
      </c>
      <c r="B44" s="559" t="s">
        <v>3296</v>
      </c>
      <c r="C44" s="55" t="s">
        <v>427</v>
      </c>
      <c r="D44" s="858">
        <v>11249</v>
      </c>
      <c r="E44" s="858">
        <v>11463</v>
      </c>
      <c r="F44" s="858">
        <v>11600</v>
      </c>
      <c r="G44" s="858">
        <v>11449</v>
      </c>
      <c r="H44" s="56">
        <v>11392</v>
      </c>
      <c r="I44" s="56">
        <v>11479</v>
      </c>
      <c r="J44" s="56">
        <v>11248</v>
      </c>
      <c r="K44" s="56">
        <v>11424</v>
      </c>
      <c r="L44" s="56">
        <v>11490</v>
      </c>
      <c r="M44" s="56">
        <v>11595</v>
      </c>
      <c r="N44" s="56">
        <v>11767</v>
      </c>
      <c r="O44" s="56">
        <v>12197</v>
      </c>
      <c r="Q44" s="169" t="s">
        <v>3310</v>
      </c>
    </row>
    <row r="45" spans="1:17">
      <c r="A45" s="559" t="s">
        <v>5439</v>
      </c>
      <c r="B45" s="559" t="s">
        <v>3297</v>
      </c>
      <c r="C45" s="55" t="s">
        <v>428</v>
      </c>
      <c r="D45" s="858">
        <v>10817</v>
      </c>
      <c r="E45" s="858">
        <v>10805</v>
      </c>
      <c r="F45" s="858">
        <v>10799</v>
      </c>
      <c r="G45" s="858">
        <v>10750</v>
      </c>
      <c r="H45" s="58">
        <v>10694</v>
      </c>
      <c r="I45" s="58">
        <v>10636</v>
      </c>
      <c r="J45" s="58">
        <v>10427</v>
      </c>
      <c r="K45" s="58">
        <v>10601</v>
      </c>
      <c r="L45" s="58">
        <v>10515</v>
      </c>
      <c r="M45" s="58">
        <v>10539</v>
      </c>
      <c r="N45" s="58">
        <v>10522</v>
      </c>
      <c r="O45" s="58">
        <v>10643</v>
      </c>
      <c r="Q45" s="559" t="s">
        <v>3306</v>
      </c>
    </row>
    <row r="46" spans="1:17">
      <c r="A46" s="559" t="s">
        <v>5441</v>
      </c>
      <c r="B46" s="559" t="s">
        <v>4804</v>
      </c>
      <c r="C46" s="55" t="s">
        <v>429</v>
      </c>
      <c r="D46" s="858">
        <v>11212</v>
      </c>
      <c r="E46" s="858">
        <v>11276</v>
      </c>
      <c r="F46" s="858">
        <v>11261</v>
      </c>
      <c r="G46" s="858">
        <v>11043</v>
      </c>
      <c r="H46" s="56">
        <v>10890</v>
      </c>
      <c r="I46" s="56">
        <v>10952</v>
      </c>
      <c r="J46" s="56">
        <v>10773</v>
      </c>
      <c r="K46" s="56">
        <v>10905</v>
      </c>
      <c r="L46" s="56">
        <v>11028</v>
      </c>
      <c r="M46" s="56">
        <v>11063</v>
      </c>
      <c r="N46" s="56">
        <v>11045</v>
      </c>
      <c r="O46" s="56">
        <v>11415</v>
      </c>
      <c r="Q46" s="559" t="s">
        <v>3305</v>
      </c>
    </row>
    <row r="47" spans="1:17">
      <c r="A47" s="559" t="s">
        <v>5886</v>
      </c>
      <c r="B47" s="559" t="s">
        <v>4805</v>
      </c>
      <c r="C47" s="55" t="s">
        <v>430</v>
      </c>
      <c r="D47" s="860">
        <v>7471</v>
      </c>
      <c r="E47" s="860">
        <v>7535</v>
      </c>
      <c r="F47" s="860">
        <v>7641</v>
      </c>
      <c r="G47" s="860">
        <v>7585</v>
      </c>
      <c r="H47" s="56">
        <v>7504</v>
      </c>
      <c r="I47" s="56">
        <v>7430</v>
      </c>
      <c r="J47" s="56">
        <v>7221</v>
      </c>
      <c r="K47" s="56">
        <v>7455</v>
      </c>
      <c r="L47" s="56">
        <v>7396</v>
      </c>
      <c r="M47" s="56">
        <v>7371</v>
      </c>
      <c r="N47" s="56">
        <v>7374</v>
      </c>
      <c r="O47" s="56">
        <v>7529</v>
      </c>
      <c r="Q47" s="559" t="s">
        <v>3303</v>
      </c>
    </row>
    <row r="48" spans="1:17">
      <c r="A48" s="559" t="s">
        <v>5888</v>
      </c>
      <c r="B48" s="559" t="s">
        <v>4806</v>
      </c>
      <c r="C48" s="55" t="s">
        <v>431</v>
      </c>
      <c r="D48" s="858">
        <v>11523</v>
      </c>
      <c r="E48" s="858">
        <v>11597</v>
      </c>
      <c r="F48" s="858">
        <v>11713</v>
      </c>
      <c r="G48" s="858">
        <v>11706</v>
      </c>
      <c r="H48" s="56">
        <v>11842</v>
      </c>
      <c r="I48" s="56">
        <v>11833</v>
      </c>
      <c r="J48" s="56">
        <v>11694</v>
      </c>
      <c r="K48" s="56">
        <v>11738</v>
      </c>
      <c r="L48" s="56">
        <v>11849</v>
      </c>
      <c r="M48" s="56">
        <v>11772</v>
      </c>
      <c r="N48" s="56">
        <v>11756</v>
      </c>
      <c r="O48" s="56">
        <v>11892</v>
      </c>
      <c r="Q48" s="559" t="s">
        <v>3303</v>
      </c>
    </row>
    <row r="50" spans="1:1">
      <c r="A50" s="169" t="s">
        <v>4807</v>
      </c>
    </row>
    <row r="51" spans="1:1">
      <c r="A51" s="169" t="s">
        <v>4808</v>
      </c>
    </row>
  </sheetData>
  <sortState ref="R27:U48">
    <sortCondition ref="S27:S48"/>
  </sortState>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3:D4 E3:E4 F3:F4 G3:G4 D5:D25 E5:E25 F5:F25 G5:G25 H3:H4 H5:H25 I3:I11 I21:I25 J3:J25 K3:K25 L3:L2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Q94"/>
  <sheetViews>
    <sheetView showGridLines="0" topLeftCell="A67" zoomScale="90" zoomScaleNormal="90" workbookViewId="0">
      <selection activeCell="A93" sqref="A93:A94"/>
    </sheetView>
  </sheetViews>
  <sheetFormatPr defaultColWidth="12.5703125" defaultRowHeight="15"/>
  <cols>
    <col min="1" max="1" width="4.85546875" style="138" customWidth="1"/>
    <col min="2" max="2" width="49.42578125" style="138" bestFit="1" customWidth="1"/>
    <col min="3" max="3" width="11.5703125" style="138" customWidth="1"/>
    <col min="4" max="15" width="10" style="138" customWidth="1"/>
    <col min="16" max="16" width="2.42578125" style="138" customWidth="1"/>
    <col min="17" max="17" width="26.140625" style="138" bestFit="1" customWidth="1"/>
    <col min="18" max="16384" width="12.5703125" style="138"/>
  </cols>
  <sheetData>
    <row r="1" spans="1:17">
      <c r="A1" s="506" t="s">
        <v>6924</v>
      </c>
      <c r="D1" s="507">
        <v>2010</v>
      </c>
      <c r="E1" s="507">
        <v>2011</v>
      </c>
      <c r="F1" s="507">
        <v>2012</v>
      </c>
      <c r="G1" s="507">
        <v>2013</v>
      </c>
      <c r="H1" s="507">
        <v>2014</v>
      </c>
      <c r="I1" s="507">
        <v>2015</v>
      </c>
      <c r="J1" s="507">
        <v>2016</v>
      </c>
      <c r="K1" s="507">
        <v>2017</v>
      </c>
      <c r="L1" s="507">
        <v>2018</v>
      </c>
      <c r="M1" s="507">
        <v>2019</v>
      </c>
      <c r="N1" s="507">
        <v>2020</v>
      </c>
      <c r="O1" s="955" t="s">
        <v>14823</v>
      </c>
    </row>
    <row r="3" spans="1:17">
      <c r="A3" s="506" t="s">
        <v>2298</v>
      </c>
      <c r="C3" s="506"/>
      <c r="D3" s="510">
        <f t="shared" ref="D3:N3" si="0">SUM(,D27:D30,D32:D33,D35:D37,D39:D69,D71:D75,D77:D84,D86:D87,D89)</f>
        <v>370704</v>
      </c>
      <c r="E3" s="510">
        <f t="shared" si="0"/>
        <v>374380</v>
      </c>
      <c r="F3" s="510">
        <f t="shared" si="0"/>
        <v>376345</v>
      </c>
      <c r="G3" s="510">
        <f t="shared" si="0"/>
        <v>377748</v>
      </c>
      <c r="H3" s="510">
        <f t="shared" si="0"/>
        <v>385937</v>
      </c>
      <c r="I3" s="510">
        <f t="shared" si="0"/>
        <v>379056</v>
      </c>
      <c r="J3" s="510">
        <f t="shared" si="0"/>
        <v>366601</v>
      </c>
      <c r="K3" s="510">
        <f t="shared" si="0"/>
        <v>382221</v>
      </c>
      <c r="L3" s="510">
        <f t="shared" si="0"/>
        <v>385850</v>
      </c>
      <c r="M3" s="510">
        <f t="shared" si="0"/>
        <v>386314</v>
      </c>
      <c r="N3" s="510">
        <f t="shared" si="0"/>
        <v>396962</v>
      </c>
      <c r="O3" s="510">
        <f>SUM(,O27:O30,O32:O33,O35:O37,O39:O69,O71:O75,O77:O84,O86:O87,O89)</f>
        <v>398814</v>
      </c>
    </row>
    <row r="4" spans="1:17">
      <c r="D4" s="509"/>
      <c r="E4" s="509"/>
      <c r="F4" s="509"/>
      <c r="G4" s="509"/>
      <c r="H4" s="509"/>
      <c r="I4" s="509"/>
      <c r="J4" s="509"/>
      <c r="K4" s="509"/>
      <c r="L4" s="509"/>
      <c r="M4" s="509"/>
      <c r="N4" s="509"/>
      <c r="O4" s="509"/>
    </row>
    <row r="5" spans="1:17">
      <c r="A5" s="506" t="s">
        <v>5522</v>
      </c>
      <c r="D5" s="510">
        <f t="shared" ref="D5:O5" si="1">D3/5</f>
        <v>74140.800000000003</v>
      </c>
      <c r="E5" s="510">
        <f t="shared" si="1"/>
        <v>74876</v>
      </c>
      <c r="F5" s="510">
        <f t="shared" si="1"/>
        <v>75269</v>
      </c>
      <c r="G5" s="510">
        <f t="shared" si="1"/>
        <v>75549.600000000006</v>
      </c>
      <c r="H5" s="510">
        <f t="shared" si="1"/>
        <v>77187.399999999994</v>
      </c>
      <c r="I5" s="510">
        <f t="shared" si="1"/>
        <v>75811.199999999997</v>
      </c>
      <c r="J5" s="510">
        <f t="shared" si="1"/>
        <v>73320.2</v>
      </c>
      <c r="K5" s="510">
        <f t="shared" si="1"/>
        <v>76444.2</v>
      </c>
      <c r="L5" s="510">
        <f t="shared" si="1"/>
        <v>77170</v>
      </c>
      <c r="M5" s="510">
        <f t="shared" si="1"/>
        <v>77262.8</v>
      </c>
      <c r="N5" s="510">
        <f t="shared" si="1"/>
        <v>79392.399999999994</v>
      </c>
      <c r="O5" s="510">
        <f t="shared" si="1"/>
        <v>79762.8</v>
      </c>
    </row>
    <row r="6" spans="1:17">
      <c r="D6" s="510"/>
      <c r="E6" s="510"/>
      <c r="F6" s="510"/>
      <c r="G6" s="510"/>
      <c r="H6" s="510"/>
      <c r="I6" s="510"/>
      <c r="J6" s="510"/>
      <c r="K6" s="510"/>
      <c r="L6" s="510"/>
      <c r="M6" s="510"/>
      <c r="N6" s="510"/>
      <c r="O6" s="510"/>
    </row>
    <row r="7" spans="1:17">
      <c r="A7" s="506" t="s">
        <v>5523</v>
      </c>
      <c r="D7" s="510">
        <f t="shared" ref="D7:N7" si="2">SUM(D29,D32,D35:D36,D39:D41,D68,D71,D74,D82:D83,D86)</f>
        <v>78017</v>
      </c>
      <c r="E7" s="510">
        <f t="shared" si="2"/>
        <v>78750</v>
      </c>
      <c r="F7" s="510">
        <f t="shared" si="2"/>
        <v>79449</v>
      </c>
      <c r="G7" s="510">
        <f t="shared" si="2"/>
        <v>80409</v>
      </c>
      <c r="H7" s="510">
        <f t="shared" si="2"/>
        <v>81728</v>
      </c>
      <c r="I7" s="510">
        <f t="shared" si="2"/>
        <v>79664</v>
      </c>
      <c r="J7" s="510">
        <f t="shared" si="2"/>
        <v>77463</v>
      </c>
      <c r="K7" s="510">
        <f t="shared" si="2"/>
        <v>80946</v>
      </c>
      <c r="L7" s="510">
        <f t="shared" si="2"/>
        <v>82448</v>
      </c>
      <c r="M7" s="510">
        <f t="shared" si="2"/>
        <v>82897</v>
      </c>
      <c r="N7" s="510">
        <f t="shared" si="2"/>
        <v>86480</v>
      </c>
      <c r="O7" s="510">
        <f>SUM(O29,O32,O35:O36,O39:O41,O68,O71,O74,O82:O83,O86)</f>
        <v>86002</v>
      </c>
      <c r="Q7" s="506" t="s">
        <v>15019</v>
      </c>
    </row>
    <row r="8" spans="1:17">
      <c r="D8" s="510"/>
      <c r="E8" s="510"/>
      <c r="F8" s="510"/>
      <c r="G8" s="510"/>
      <c r="H8" s="510"/>
      <c r="I8" s="510"/>
      <c r="J8" s="510"/>
      <c r="K8" s="510"/>
      <c r="L8" s="510"/>
      <c r="M8" s="510"/>
      <c r="N8" s="510"/>
      <c r="O8" s="510"/>
    </row>
    <row r="9" spans="1:17">
      <c r="A9" s="506" t="s">
        <v>5524</v>
      </c>
      <c r="D9" s="510">
        <f t="shared" ref="D9:N9" si="3">SUM(D42,D53:D54,D56:D58,D63,D66,D73,D79)</f>
        <v>74284</v>
      </c>
      <c r="E9" s="510">
        <f t="shared" si="3"/>
        <v>75320</v>
      </c>
      <c r="F9" s="510">
        <f t="shared" si="3"/>
        <v>75807</v>
      </c>
      <c r="G9" s="510">
        <f t="shared" si="3"/>
        <v>75909</v>
      </c>
      <c r="H9" s="510">
        <f t="shared" si="3"/>
        <v>76771</v>
      </c>
      <c r="I9" s="510">
        <f t="shared" si="3"/>
        <v>75981</v>
      </c>
      <c r="J9" s="510">
        <f t="shared" si="3"/>
        <v>73984</v>
      </c>
      <c r="K9" s="510">
        <f t="shared" si="3"/>
        <v>76717</v>
      </c>
      <c r="L9" s="510">
        <f t="shared" si="3"/>
        <v>76582</v>
      </c>
      <c r="M9" s="510">
        <f t="shared" si="3"/>
        <v>76703</v>
      </c>
      <c r="N9" s="510">
        <f t="shared" si="3"/>
        <v>77199</v>
      </c>
      <c r="O9" s="510">
        <f>SUM(O42,O53:O54,O56:O58,O63,O66,O73,O79)</f>
        <v>78524</v>
      </c>
      <c r="Q9" s="506" t="s">
        <v>15019</v>
      </c>
    </row>
    <row r="10" spans="1:17">
      <c r="D10" s="510"/>
      <c r="E10" s="510"/>
      <c r="F10" s="510"/>
      <c r="G10" s="510"/>
      <c r="H10" s="510"/>
      <c r="I10" s="510"/>
      <c r="J10" s="510"/>
      <c r="K10" s="510"/>
      <c r="L10" s="510"/>
      <c r="M10" s="510"/>
      <c r="N10" s="510"/>
      <c r="O10" s="510"/>
      <c r="Q10" s="506"/>
    </row>
    <row r="11" spans="1:17">
      <c r="A11" s="506" t="s">
        <v>5525</v>
      </c>
      <c r="D11" s="510">
        <f t="shared" ref="D11:N11" si="4">SUM(D30,D33,D37,D43,D45:D46,D59,D61,D64,D69,D75,D78,D87,D89)</f>
        <v>75076</v>
      </c>
      <c r="E11" s="510">
        <f t="shared" si="4"/>
        <v>75837</v>
      </c>
      <c r="F11" s="510">
        <f t="shared" si="4"/>
        <v>76461</v>
      </c>
      <c r="G11" s="510">
        <f t="shared" si="4"/>
        <v>77641</v>
      </c>
      <c r="H11" s="510">
        <f t="shared" si="4"/>
        <v>78744</v>
      </c>
      <c r="I11" s="510">
        <f t="shared" si="4"/>
        <v>77224</v>
      </c>
      <c r="J11" s="510">
        <f t="shared" si="4"/>
        <v>74882</v>
      </c>
      <c r="K11" s="510">
        <f t="shared" si="4"/>
        <v>78414</v>
      </c>
      <c r="L11" s="510">
        <f t="shared" si="4"/>
        <v>79515</v>
      </c>
      <c r="M11" s="510">
        <f t="shared" si="4"/>
        <v>79659</v>
      </c>
      <c r="N11" s="510">
        <f t="shared" si="4"/>
        <v>83046</v>
      </c>
      <c r="O11" s="510">
        <f>SUM(O30,O33,O37,O43,O45:O46,O59,O61,O64,O69,O75,O78,O87,O89)</f>
        <v>82555</v>
      </c>
      <c r="Q11" s="506" t="s">
        <v>15019</v>
      </c>
    </row>
    <row r="12" spans="1:17">
      <c r="A12" s="506"/>
      <c r="D12" s="510"/>
      <c r="E12" s="510"/>
      <c r="F12" s="510"/>
      <c r="G12" s="510"/>
      <c r="H12" s="510"/>
      <c r="I12" s="510"/>
      <c r="J12" s="510"/>
      <c r="K12" s="510"/>
      <c r="L12" s="510"/>
      <c r="M12" s="510"/>
      <c r="N12" s="510"/>
      <c r="O12" s="510"/>
      <c r="Q12" s="506"/>
    </row>
    <row r="13" spans="1:17">
      <c r="A13" s="506" t="s">
        <v>5526</v>
      </c>
      <c r="D13" s="510">
        <f t="shared" ref="D13:N13" si="5">SUM(D28,D47:D51,D60,D65,D67)</f>
        <v>70021</v>
      </c>
      <c r="E13" s="510">
        <f t="shared" si="5"/>
        <v>70723</v>
      </c>
      <c r="F13" s="510">
        <f t="shared" si="5"/>
        <v>71302</v>
      </c>
      <c r="G13" s="510">
        <f t="shared" si="5"/>
        <v>71912</v>
      </c>
      <c r="H13" s="510">
        <f t="shared" si="5"/>
        <v>72319</v>
      </c>
      <c r="I13" s="510">
        <f t="shared" si="5"/>
        <v>72231</v>
      </c>
      <c r="J13" s="510">
        <f t="shared" si="5"/>
        <v>68560</v>
      </c>
      <c r="K13" s="510">
        <f t="shared" si="5"/>
        <v>70675</v>
      </c>
      <c r="L13" s="510">
        <f t="shared" si="5"/>
        <v>71259</v>
      </c>
      <c r="M13" s="510">
        <f t="shared" si="5"/>
        <v>71646</v>
      </c>
      <c r="N13" s="510">
        <f t="shared" si="5"/>
        <v>71541</v>
      </c>
      <c r="O13" s="510">
        <f>SUM(O28,O47:O51,O60,O65,O67)</f>
        <v>73015</v>
      </c>
      <c r="Q13" s="506" t="s">
        <v>15019</v>
      </c>
    </row>
    <row r="14" spans="1:17">
      <c r="D14" s="510"/>
      <c r="E14" s="510"/>
      <c r="F14" s="510"/>
      <c r="G14" s="510"/>
      <c r="H14" s="510"/>
      <c r="I14" s="510"/>
      <c r="J14" s="510"/>
      <c r="K14" s="510"/>
      <c r="L14" s="510"/>
      <c r="M14" s="510"/>
      <c r="N14" s="510"/>
      <c r="O14" s="510"/>
    </row>
    <row r="15" spans="1:17">
      <c r="A15" s="506" t="s">
        <v>5527</v>
      </c>
      <c r="D15" s="510">
        <f t="shared" ref="D15:N15" si="6">SUM(D27,D44,D52,D55,D62,D72,D77,D80:D81,D84)</f>
        <v>73306</v>
      </c>
      <c r="E15" s="510">
        <f t="shared" si="6"/>
        <v>73750</v>
      </c>
      <c r="F15" s="510">
        <f t="shared" si="6"/>
        <v>73326</v>
      </c>
      <c r="G15" s="510">
        <f t="shared" si="6"/>
        <v>71877</v>
      </c>
      <c r="H15" s="510">
        <f t="shared" si="6"/>
        <v>76375</v>
      </c>
      <c r="I15" s="510">
        <f t="shared" si="6"/>
        <v>73956</v>
      </c>
      <c r="J15" s="510">
        <f t="shared" si="6"/>
        <v>71712</v>
      </c>
      <c r="K15" s="510">
        <f t="shared" si="6"/>
        <v>75469</v>
      </c>
      <c r="L15" s="510">
        <f t="shared" si="6"/>
        <v>76046</v>
      </c>
      <c r="M15" s="510">
        <f t="shared" si="6"/>
        <v>75409</v>
      </c>
      <c r="N15" s="510">
        <f t="shared" si="6"/>
        <v>78696</v>
      </c>
      <c r="O15" s="510">
        <f>SUM(O27,O44,O52,O55,O62,O72,O77,O80:O81,O84)</f>
        <v>78718</v>
      </c>
      <c r="Q15" s="506" t="s">
        <v>15019</v>
      </c>
    </row>
    <row r="16" spans="1:17">
      <c r="D16" s="510"/>
      <c r="E16" s="510"/>
      <c r="F16" s="510"/>
      <c r="G16" s="510"/>
      <c r="H16" s="510"/>
      <c r="I16" s="510"/>
      <c r="J16" s="510"/>
      <c r="K16" s="510"/>
      <c r="L16" s="510"/>
      <c r="M16" s="510"/>
      <c r="N16" s="510"/>
      <c r="O16" s="510"/>
    </row>
    <row r="17" spans="1:17">
      <c r="A17" s="506" t="s">
        <v>6796</v>
      </c>
      <c r="D17" s="510">
        <f>D7+D9+D11+D13+D15</f>
        <v>370704</v>
      </c>
      <c r="E17" s="510">
        <f t="shared" ref="E17:O17" si="7">E7+E9+E11+E13+E15</f>
        <v>374380</v>
      </c>
      <c r="F17" s="510">
        <f t="shared" si="7"/>
        <v>376345</v>
      </c>
      <c r="G17" s="510">
        <f t="shared" si="7"/>
        <v>377748</v>
      </c>
      <c r="H17" s="510">
        <f t="shared" si="7"/>
        <v>385937</v>
      </c>
      <c r="I17" s="510">
        <f t="shared" si="7"/>
        <v>379056</v>
      </c>
      <c r="J17" s="510">
        <f t="shared" si="7"/>
        <v>366601</v>
      </c>
      <c r="K17" s="510">
        <f t="shared" si="7"/>
        <v>382221</v>
      </c>
      <c r="L17" s="510">
        <f t="shared" si="7"/>
        <v>385850</v>
      </c>
      <c r="M17" s="510">
        <f t="shared" si="7"/>
        <v>386314</v>
      </c>
      <c r="N17" s="510">
        <f t="shared" si="7"/>
        <v>396962</v>
      </c>
      <c r="O17" s="510">
        <f t="shared" si="7"/>
        <v>398814</v>
      </c>
    </row>
    <row r="18" spans="1:17">
      <c r="D18" s="510"/>
      <c r="E18" s="510"/>
      <c r="F18" s="510"/>
      <c r="G18" s="510"/>
      <c r="H18" s="510"/>
      <c r="I18" s="510"/>
      <c r="J18" s="510"/>
      <c r="K18" s="510"/>
      <c r="L18" s="510"/>
      <c r="M18" s="510"/>
      <c r="N18" s="510"/>
      <c r="O18" s="510"/>
    </row>
    <row r="19" spans="1:17">
      <c r="A19" s="506" t="s">
        <v>6797</v>
      </c>
      <c r="D19" s="510">
        <f>MAX(D7,D9,D11,D13,D15)-MIN(D7,D9,D11,D13,D15)</f>
        <v>7996</v>
      </c>
      <c r="E19" s="510">
        <f t="shared" ref="E19:O19" si="8">MAX(E7,E9,E11,E13,E15)-MIN(E7,E9,E11,E13,E15)</f>
        <v>8027</v>
      </c>
      <c r="F19" s="510">
        <f t="shared" si="8"/>
        <v>8147</v>
      </c>
      <c r="G19" s="510">
        <f t="shared" si="8"/>
        <v>8532</v>
      </c>
      <c r="H19" s="510">
        <f t="shared" si="8"/>
        <v>9409</v>
      </c>
      <c r="I19" s="510">
        <f t="shared" si="8"/>
        <v>7433</v>
      </c>
      <c r="J19" s="510">
        <f t="shared" si="8"/>
        <v>8903</v>
      </c>
      <c r="K19" s="510">
        <f t="shared" si="8"/>
        <v>10271</v>
      </c>
      <c r="L19" s="510">
        <f t="shared" si="8"/>
        <v>11189</v>
      </c>
      <c r="M19" s="510">
        <f t="shared" si="8"/>
        <v>11251</v>
      </c>
      <c r="N19" s="510">
        <f t="shared" si="8"/>
        <v>14939</v>
      </c>
      <c r="O19" s="510">
        <f t="shared" si="8"/>
        <v>12987</v>
      </c>
    </row>
    <row r="20" spans="1:17">
      <c r="D20" s="510"/>
      <c r="E20" s="510"/>
      <c r="F20" s="510"/>
      <c r="G20" s="510"/>
      <c r="H20" s="510"/>
      <c r="I20" s="510"/>
      <c r="J20" s="510"/>
      <c r="K20" s="510"/>
      <c r="L20" s="510"/>
      <c r="M20" s="510"/>
      <c r="N20" s="510"/>
      <c r="O20" s="510"/>
    </row>
    <row r="21" spans="1:17">
      <c r="A21" s="511" t="s">
        <v>6800</v>
      </c>
      <c r="D21" s="510">
        <f>STDEVP(D7,D9,D11,D13,D15)</f>
        <v>2591.8979455217755</v>
      </c>
      <c r="E21" s="510">
        <f t="shared" ref="E21:O21" si="9">STDEVP(E7,E9,E11,E13,E15)</f>
        <v>2632.2544709811018</v>
      </c>
      <c r="F21" s="510">
        <f t="shared" si="9"/>
        <v>2781.9074750968985</v>
      </c>
      <c r="G21" s="510">
        <f t="shared" si="9"/>
        <v>3311.7069677131758</v>
      </c>
      <c r="H21" s="510">
        <f t="shared" si="9"/>
        <v>3084.631362091749</v>
      </c>
      <c r="I21" s="510">
        <f t="shared" si="9"/>
        <v>2574.0436204540124</v>
      </c>
      <c r="J21" s="510">
        <f t="shared" si="9"/>
        <v>3009.5997341839329</v>
      </c>
      <c r="K21" s="510">
        <f t="shared" si="9"/>
        <v>3419.2226835934507</v>
      </c>
      <c r="L21" s="510">
        <f t="shared" si="9"/>
        <v>3739.1269034361485</v>
      </c>
      <c r="M21" s="510">
        <f t="shared" si="9"/>
        <v>3815.3473446070411</v>
      </c>
      <c r="N21" s="510">
        <f t="shared" si="9"/>
        <v>5109.2724570138162</v>
      </c>
      <c r="O21" s="510">
        <f t="shared" si="9"/>
        <v>4356.2147513638492</v>
      </c>
    </row>
    <row r="24" spans="1:17">
      <c r="E24" s="51" t="s">
        <v>1526</v>
      </c>
      <c r="F24" s="51"/>
      <c r="G24" s="51"/>
      <c r="H24" s="51"/>
      <c r="I24" s="51"/>
      <c r="J24" s="51"/>
      <c r="K24" s="51"/>
      <c r="L24" s="51"/>
      <c r="M24" s="51"/>
      <c r="N24" s="51"/>
      <c r="O24" s="51"/>
      <c r="Q24" s="138" t="s">
        <v>9479</v>
      </c>
    </row>
    <row r="25" spans="1:17">
      <c r="D25" s="507">
        <v>2010</v>
      </c>
      <c r="E25" s="507">
        <v>2011</v>
      </c>
      <c r="F25" s="507">
        <v>2012</v>
      </c>
      <c r="G25" s="507">
        <v>2013</v>
      </c>
      <c r="H25" s="507">
        <v>2014</v>
      </c>
      <c r="I25" s="507">
        <v>2015</v>
      </c>
      <c r="J25" s="507">
        <v>2016</v>
      </c>
      <c r="K25" s="507">
        <v>2017</v>
      </c>
      <c r="L25" s="507">
        <v>2018</v>
      </c>
      <c r="M25" s="507">
        <v>2019</v>
      </c>
      <c r="N25" s="507">
        <v>2020</v>
      </c>
      <c r="O25" s="955" t="s">
        <v>14823</v>
      </c>
      <c r="Q25" s="506" t="s">
        <v>1527</v>
      </c>
    </row>
    <row r="26" spans="1:17">
      <c r="A26" s="506" t="s">
        <v>15026</v>
      </c>
      <c r="C26" s="506"/>
      <c r="D26" s="510"/>
      <c r="E26" s="510"/>
      <c r="F26" s="510"/>
      <c r="G26" s="510"/>
      <c r="H26" s="510"/>
      <c r="I26" s="510"/>
      <c r="J26" s="510"/>
      <c r="K26" s="510"/>
      <c r="L26" s="510"/>
      <c r="M26" s="510"/>
      <c r="N26" s="510"/>
      <c r="O26" s="510"/>
    </row>
    <row r="27" spans="1:17">
      <c r="A27" s="506" t="s">
        <v>5387</v>
      </c>
      <c r="B27" s="506" t="s">
        <v>6402</v>
      </c>
      <c r="C27" s="996" t="s">
        <v>14931</v>
      </c>
      <c r="D27" s="510">
        <v>73306</v>
      </c>
      <c r="E27" s="510">
        <v>73750</v>
      </c>
      <c r="F27" s="510">
        <v>73326</v>
      </c>
      <c r="G27" s="510">
        <v>71877</v>
      </c>
      <c r="H27" s="510">
        <v>76375</v>
      </c>
      <c r="I27" s="510">
        <v>73956</v>
      </c>
      <c r="J27" s="510">
        <v>71712</v>
      </c>
      <c r="K27" s="510">
        <v>75469</v>
      </c>
      <c r="L27" s="510">
        <v>76046</v>
      </c>
      <c r="M27" s="510">
        <v>75409</v>
      </c>
      <c r="N27" s="510">
        <v>78696</v>
      </c>
      <c r="O27" s="56">
        <v>8050</v>
      </c>
      <c r="Q27" s="506" t="s">
        <v>5527</v>
      </c>
    </row>
    <row r="28" spans="1:17">
      <c r="A28" s="506" t="s">
        <v>5389</v>
      </c>
      <c r="B28" s="506" t="s">
        <v>14933</v>
      </c>
      <c r="C28" s="996" t="s">
        <v>14932</v>
      </c>
      <c r="D28" s="510">
        <v>70021</v>
      </c>
      <c r="E28" s="510">
        <v>70723</v>
      </c>
      <c r="F28" s="510">
        <v>71302</v>
      </c>
      <c r="G28" s="510">
        <v>71912</v>
      </c>
      <c r="H28" s="510">
        <v>72319</v>
      </c>
      <c r="I28" s="510">
        <v>72231</v>
      </c>
      <c r="J28" s="510">
        <v>68560</v>
      </c>
      <c r="K28" s="510">
        <v>70675</v>
      </c>
      <c r="L28" s="510">
        <v>71259</v>
      </c>
      <c r="M28" s="510">
        <v>71646</v>
      </c>
      <c r="N28" s="510">
        <v>71541</v>
      </c>
      <c r="O28" s="56">
        <v>7869</v>
      </c>
      <c r="Q28" s="506" t="s">
        <v>5526</v>
      </c>
    </row>
    <row r="29" spans="1:17">
      <c r="A29" s="506" t="s">
        <v>5391</v>
      </c>
      <c r="B29" s="506" t="s">
        <v>14935</v>
      </c>
      <c r="C29" s="996" t="s">
        <v>14934</v>
      </c>
      <c r="D29" s="510">
        <v>0</v>
      </c>
      <c r="E29" s="510">
        <v>0</v>
      </c>
      <c r="F29" s="510">
        <v>0</v>
      </c>
      <c r="G29" s="510">
        <v>0</v>
      </c>
      <c r="H29" s="510">
        <v>0</v>
      </c>
      <c r="I29" s="510">
        <v>0</v>
      </c>
      <c r="J29" s="510">
        <v>0</v>
      </c>
      <c r="K29" s="510">
        <v>0</v>
      </c>
      <c r="L29" s="510">
        <v>0</v>
      </c>
      <c r="M29" s="510">
        <v>0</v>
      </c>
      <c r="N29" s="510">
        <v>0</v>
      </c>
      <c r="O29" s="56">
        <v>7171</v>
      </c>
      <c r="Q29" s="506" t="s">
        <v>5523</v>
      </c>
    </row>
    <row r="30" spans="1:17" ht="15.75" thickBot="1">
      <c r="A30" s="506"/>
      <c r="B30" s="506"/>
      <c r="C30" s="996" t="s">
        <v>14934</v>
      </c>
      <c r="D30" s="510">
        <v>0</v>
      </c>
      <c r="E30" s="510">
        <v>0</v>
      </c>
      <c r="F30" s="510">
        <v>0</v>
      </c>
      <c r="G30" s="510">
        <v>0</v>
      </c>
      <c r="H30" s="510">
        <v>0</v>
      </c>
      <c r="I30" s="510">
        <v>0</v>
      </c>
      <c r="J30" s="510">
        <v>0</v>
      </c>
      <c r="K30" s="510">
        <v>0</v>
      </c>
      <c r="L30" s="510">
        <v>0</v>
      </c>
      <c r="M30" s="510">
        <v>0</v>
      </c>
      <c r="N30" s="510">
        <v>0</v>
      </c>
      <c r="O30" s="56">
        <v>2346</v>
      </c>
      <c r="Q30" s="506" t="s">
        <v>5525</v>
      </c>
    </row>
    <row r="31" spans="1:17" ht="15.75" thickBot="1">
      <c r="A31" s="506"/>
      <c r="B31" s="506"/>
      <c r="C31" s="996" t="s">
        <v>14934</v>
      </c>
      <c r="D31" s="852">
        <f>D29+D30</f>
        <v>0</v>
      </c>
      <c r="E31" s="852">
        <f t="shared" ref="E31:O31" si="10">E29+E30</f>
        <v>0</v>
      </c>
      <c r="F31" s="852">
        <f t="shared" si="10"/>
        <v>0</v>
      </c>
      <c r="G31" s="852">
        <f t="shared" si="10"/>
        <v>0</v>
      </c>
      <c r="H31" s="852">
        <f t="shared" si="10"/>
        <v>0</v>
      </c>
      <c r="I31" s="852">
        <f t="shared" si="10"/>
        <v>0</v>
      </c>
      <c r="J31" s="852">
        <f t="shared" si="10"/>
        <v>0</v>
      </c>
      <c r="K31" s="852">
        <f t="shared" si="10"/>
        <v>0</v>
      </c>
      <c r="L31" s="852">
        <f t="shared" si="10"/>
        <v>0</v>
      </c>
      <c r="M31" s="852">
        <f t="shared" si="10"/>
        <v>0</v>
      </c>
      <c r="N31" s="852">
        <f t="shared" si="10"/>
        <v>0</v>
      </c>
      <c r="O31" s="852">
        <f t="shared" si="10"/>
        <v>9517</v>
      </c>
      <c r="Q31" s="506"/>
    </row>
    <row r="32" spans="1:17">
      <c r="A32" s="506" t="s">
        <v>5393</v>
      </c>
      <c r="B32" s="506" t="s">
        <v>14937</v>
      </c>
      <c r="C32" s="996" t="s">
        <v>14936</v>
      </c>
      <c r="D32" s="510">
        <v>0</v>
      </c>
      <c r="E32" s="510">
        <v>0</v>
      </c>
      <c r="F32" s="510">
        <v>0</v>
      </c>
      <c r="G32" s="510">
        <v>0</v>
      </c>
      <c r="H32" s="510">
        <v>0</v>
      </c>
      <c r="I32" s="510">
        <v>0</v>
      </c>
      <c r="J32" s="510">
        <v>0</v>
      </c>
      <c r="K32" s="510">
        <v>0</v>
      </c>
      <c r="L32" s="510">
        <v>0</v>
      </c>
      <c r="M32" s="510">
        <v>0</v>
      </c>
      <c r="N32" s="510">
        <v>0</v>
      </c>
      <c r="O32" s="56">
        <v>8042</v>
      </c>
      <c r="Q32" s="506" t="s">
        <v>5523</v>
      </c>
    </row>
    <row r="33" spans="1:17" ht="15.75" thickBot="1">
      <c r="A33" s="506"/>
      <c r="B33" s="506"/>
      <c r="C33" s="996" t="s">
        <v>14936</v>
      </c>
      <c r="D33" s="510">
        <v>0</v>
      </c>
      <c r="E33" s="510">
        <v>0</v>
      </c>
      <c r="F33" s="510">
        <v>0</v>
      </c>
      <c r="G33" s="510">
        <v>0</v>
      </c>
      <c r="H33" s="510">
        <v>0</v>
      </c>
      <c r="I33" s="510">
        <v>0</v>
      </c>
      <c r="J33" s="510">
        <v>0</v>
      </c>
      <c r="K33" s="510">
        <v>0</v>
      </c>
      <c r="L33" s="510">
        <v>0</v>
      </c>
      <c r="M33" s="510">
        <v>0</v>
      </c>
      <c r="N33" s="510">
        <v>0</v>
      </c>
      <c r="O33" s="56">
        <v>129</v>
      </c>
      <c r="Q33" s="506" t="s">
        <v>5525</v>
      </c>
    </row>
    <row r="34" spans="1:17" ht="15.75" thickBot="1">
      <c r="A34" s="506"/>
      <c r="B34" s="506"/>
      <c r="C34" s="996" t="s">
        <v>14936</v>
      </c>
      <c r="D34" s="852">
        <f>D32+D33</f>
        <v>0</v>
      </c>
      <c r="E34" s="852">
        <f t="shared" ref="E34:O34" si="11">E32+E33</f>
        <v>0</v>
      </c>
      <c r="F34" s="852">
        <f t="shared" si="11"/>
        <v>0</v>
      </c>
      <c r="G34" s="852">
        <f t="shared" si="11"/>
        <v>0</v>
      </c>
      <c r="H34" s="852">
        <f t="shared" si="11"/>
        <v>0</v>
      </c>
      <c r="I34" s="852">
        <f t="shared" si="11"/>
        <v>0</v>
      </c>
      <c r="J34" s="852">
        <f t="shared" si="11"/>
        <v>0</v>
      </c>
      <c r="K34" s="852">
        <f t="shared" si="11"/>
        <v>0</v>
      </c>
      <c r="L34" s="852">
        <f t="shared" si="11"/>
        <v>0</v>
      </c>
      <c r="M34" s="852">
        <f t="shared" si="11"/>
        <v>0</v>
      </c>
      <c r="N34" s="852">
        <f t="shared" si="11"/>
        <v>0</v>
      </c>
      <c r="O34" s="852">
        <f t="shared" si="11"/>
        <v>8171</v>
      </c>
      <c r="Q34" s="506"/>
    </row>
    <row r="35" spans="1:17">
      <c r="A35" s="506" t="s">
        <v>5394</v>
      </c>
      <c r="B35" s="506" t="s">
        <v>14939</v>
      </c>
      <c r="C35" s="996" t="s">
        <v>14938</v>
      </c>
      <c r="D35" s="510">
        <v>78017</v>
      </c>
      <c r="E35" s="510">
        <v>78750</v>
      </c>
      <c r="F35" s="510">
        <v>79449</v>
      </c>
      <c r="G35" s="510">
        <v>80409</v>
      </c>
      <c r="H35" s="510">
        <v>81728</v>
      </c>
      <c r="I35" s="510">
        <v>79664</v>
      </c>
      <c r="J35" s="510">
        <v>77463</v>
      </c>
      <c r="K35" s="510">
        <v>80946</v>
      </c>
      <c r="L35" s="510">
        <v>82448</v>
      </c>
      <c r="M35" s="510">
        <v>82897</v>
      </c>
      <c r="N35" s="510">
        <v>86480</v>
      </c>
      <c r="O35" s="56">
        <v>8409</v>
      </c>
      <c r="Q35" s="506" t="s">
        <v>5523</v>
      </c>
    </row>
    <row r="36" spans="1:17">
      <c r="A36" s="506" t="s">
        <v>5416</v>
      </c>
      <c r="B36" s="506" t="s">
        <v>14941</v>
      </c>
      <c r="C36" s="996" t="s">
        <v>14940</v>
      </c>
      <c r="D36" s="510">
        <v>0</v>
      </c>
      <c r="E36" s="510">
        <v>0</v>
      </c>
      <c r="F36" s="510">
        <v>0</v>
      </c>
      <c r="G36" s="510">
        <v>0</v>
      </c>
      <c r="H36" s="510">
        <v>0</v>
      </c>
      <c r="I36" s="510">
        <v>0</v>
      </c>
      <c r="J36" s="510">
        <v>0</v>
      </c>
      <c r="K36" s="510">
        <v>0</v>
      </c>
      <c r="L36" s="510">
        <v>0</v>
      </c>
      <c r="M36" s="510">
        <v>0</v>
      </c>
      <c r="N36" s="510">
        <v>0</v>
      </c>
      <c r="O36" s="56">
        <v>8540</v>
      </c>
      <c r="Q36" s="506" t="s">
        <v>5523</v>
      </c>
    </row>
    <row r="37" spans="1:17" ht="15.75" thickBot="1">
      <c r="A37" s="506"/>
      <c r="B37" s="506"/>
      <c r="C37" s="996" t="s">
        <v>14940</v>
      </c>
      <c r="D37" s="510">
        <v>0</v>
      </c>
      <c r="E37" s="510">
        <v>0</v>
      </c>
      <c r="F37" s="510">
        <v>0</v>
      </c>
      <c r="G37" s="510">
        <v>0</v>
      </c>
      <c r="H37" s="510">
        <v>0</v>
      </c>
      <c r="I37" s="510">
        <v>0</v>
      </c>
      <c r="J37" s="510">
        <v>0</v>
      </c>
      <c r="K37" s="510">
        <v>0</v>
      </c>
      <c r="L37" s="510">
        <v>0</v>
      </c>
      <c r="M37" s="510">
        <v>0</v>
      </c>
      <c r="N37" s="510">
        <v>0</v>
      </c>
      <c r="O37" s="56">
        <v>5</v>
      </c>
      <c r="Q37" s="506" t="s">
        <v>5525</v>
      </c>
    </row>
    <row r="38" spans="1:17" ht="15.75" thickBot="1">
      <c r="A38" s="506"/>
      <c r="B38" s="506"/>
      <c r="C38" s="996" t="s">
        <v>14940</v>
      </c>
      <c r="D38" s="852">
        <f>D36+D37</f>
        <v>0</v>
      </c>
      <c r="E38" s="852">
        <f t="shared" ref="E38:O38" si="12">E36+E37</f>
        <v>0</v>
      </c>
      <c r="F38" s="852">
        <f t="shared" si="12"/>
        <v>0</v>
      </c>
      <c r="G38" s="852">
        <f t="shared" si="12"/>
        <v>0</v>
      </c>
      <c r="H38" s="852">
        <f t="shared" si="12"/>
        <v>0</v>
      </c>
      <c r="I38" s="852">
        <f t="shared" si="12"/>
        <v>0</v>
      </c>
      <c r="J38" s="852">
        <f t="shared" si="12"/>
        <v>0</v>
      </c>
      <c r="K38" s="852">
        <f t="shared" si="12"/>
        <v>0</v>
      </c>
      <c r="L38" s="852">
        <f t="shared" si="12"/>
        <v>0</v>
      </c>
      <c r="M38" s="852">
        <f t="shared" si="12"/>
        <v>0</v>
      </c>
      <c r="N38" s="852">
        <f t="shared" si="12"/>
        <v>0</v>
      </c>
      <c r="O38" s="852">
        <f t="shared" si="12"/>
        <v>8545</v>
      </c>
      <c r="Q38" s="506"/>
    </row>
    <row r="39" spans="1:17">
      <c r="A39" s="506" t="s">
        <v>5418</v>
      </c>
      <c r="B39" s="506" t="s">
        <v>14943</v>
      </c>
      <c r="C39" s="996" t="s">
        <v>14942</v>
      </c>
      <c r="D39" s="510">
        <v>0</v>
      </c>
      <c r="E39" s="510">
        <v>0</v>
      </c>
      <c r="F39" s="510">
        <v>0</v>
      </c>
      <c r="G39" s="510">
        <v>0</v>
      </c>
      <c r="H39" s="510">
        <v>0</v>
      </c>
      <c r="I39" s="510">
        <v>0</v>
      </c>
      <c r="J39" s="510">
        <v>0</v>
      </c>
      <c r="K39" s="510">
        <v>0</v>
      </c>
      <c r="L39" s="510">
        <v>0</v>
      </c>
      <c r="M39" s="510">
        <v>0</v>
      </c>
      <c r="N39" s="510">
        <v>0</v>
      </c>
      <c r="O39" s="58">
        <v>8337</v>
      </c>
      <c r="Q39" s="506" t="s">
        <v>5523</v>
      </c>
    </row>
    <row r="40" spans="1:17">
      <c r="A40" s="506" t="s">
        <v>5420</v>
      </c>
      <c r="B40" s="506" t="s">
        <v>14945</v>
      </c>
      <c r="C40" s="996" t="s">
        <v>14944</v>
      </c>
      <c r="D40" s="510">
        <v>0</v>
      </c>
      <c r="E40" s="510">
        <v>0</v>
      </c>
      <c r="F40" s="510">
        <v>0</v>
      </c>
      <c r="G40" s="510">
        <v>0</v>
      </c>
      <c r="H40" s="510">
        <v>0</v>
      </c>
      <c r="I40" s="510">
        <v>0</v>
      </c>
      <c r="J40" s="510">
        <v>0</v>
      </c>
      <c r="K40" s="510">
        <v>0</v>
      </c>
      <c r="L40" s="510">
        <v>0</v>
      </c>
      <c r="M40" s="510">
        <v>0</v>
      </c>
      <c r="N40" s="510">
        <v>0</v>
      </c>
      <c r="O40" s="510">
        <v>7583</v>
      </c>
      <c r="Q40" s="506" t="s">
        <v>5523</v>
      </c>
    </row>
    <row r="41" spans="1:17">
      <c r="A41" s="506" t="s">
        <v>5422</v>
      </c>
      <c r="B41" s="506" t="s">
        <v>14947</v>
      </c>
      <c r="C41" s="996" t="s">
        <v>14946</v>
      </c>
      <c r="D41" s="510">
        <v>0</v>
      </c>
      <c r="E41" s="510">
        <v>0</v>
      </c>
      <c r="F41" s="510">
        <v>0</v>
      </c>
      <c r="G41" s="510">
        <v>0</v>
      </c>
      <c r="H41" s="510">
        <v>0</v>
      </c>
      <c r="I41" s="510">
        <v>0</v>
      </c>
      <c r="J41" s="510">
        <v>0</v>
      </c>
      <c r="K41" s="510">
        <v>0</v>
      </c>
      <c r="L41" s="510">
        <v>0</v>
      </c>
      <c r="M41" s="510">
        <v>0</v>
      </c>
      <c r="N41" s="510">
        <v>0</v>
      </c>
      <c r="O41" s="510">
        <v>7742</v>
      </c>
      <c r="Q41" s="506" t="s">
        <v>5523</v>
      </c>
    </row>
    <row r="42" spans="1:17">
      <c r="A42" s="506" t="s">
        <v>5424</v>
      </c>
      <c r="B42" s="506" t="s">
        <v>14949</v>
      </c>
      <c r="C42" s="996" t="s">
        <v>14948</v>
      </c>
      <c r="D42" s="510">
        <v>74284</v>
      </c>
      <c r="E42" s="510">
        <v>75320</v>
      </c>
      <c r="F42" s="510">
        <v>75807</v>
      </c>
      <c r="G42" s="510">
        <v>75909</v>
      </c>
      <c r="H42" s="510">
        <v>76771</v>
      </c>
      <c r="I42" s="510">
        <v>75981</v>
      </c>
      <c r="J42" s="510">
        <v>73984</v>
      </c>
      <c r="K42" s="510">
        <v>76717</v>
      </c>
      <c r="L42" s="510">
        <v>76582</v>
      </c>
      <c r="M42" s="510">
        <v>76703</v>
      </c>
      <c r="N42" s="510">
        <v>77199</v>
      </c>
      <c r="O42" s="510">
        <v>8212</v>
      </c>
      <c r="Q42" s="506" t="s">
        <v>5524</v>
      </c>
    </row>
    <row r="43" spans="1:17">
      <c r="A43" s="506" t="s">
        <v>5426</v>
      </c>
      <c r="B43" s="506" t="s">
        <v>14951</v>
      </c>
      <c r="C43" s="996" t="s">
        <v>14950</v>
      </c>
      <c r="D43" s="510">
        <v>75076</v>
      </c>
      <c r="E43" s="510">
        <v>75837</v>
      </c>
      <c r="F43" s="510">
        <v>76461</v>
      </c>
      <c r="G43" s="510">
        <v>77641</v>
      </c>
      <c r="H43" s="510">
        <v>78744</v>
      </c>
      <c r="I43" s="510">
        <v>77224</v>
      </c>
      <c r="J43" s="510">
        <v>74882</v>
      </c>
      <c r="K43" s="510">
        <v>78414</v>
      </c>
      <c r="L43" s="510">
        <v>79515</v>
      </c>
      <c r="M43" s="510">
        <v>79659</v>
      </c>
      <c r="N43" s="510">
        <v>83046</v>
      </c>
      <c r="O43" s="510">
        <v>8220</v>
      </c>
      <c r="Q43" s="506" t="s">
        <v>5525</v>
      </c>
    </row>
    <row r="44" spans="1:17">
      <c r="A44" s="506" t="s">
        <v>5428</v>
      </c>
      <c r="B44" s="506" t="s">
        <v>14953</v>
      </c>
      <c r="C44" s="996" t="s">
        <v>14952</v>
      </c>
      <c r="D44" s="510">
        <v>0</v>
      </c>
      <c r="E44" s="510">
        <v>0</v>
      </c>
      <c r="F44" s="510">
        <v>0</v>
      </c>
      <c r="G44" s="510">
        <v>0</v>
      </c>
      <c r="H44" s="510">
        <v>0</v>
      </c>
      <c r="I44" s="510">
        <v>0</v>
      </c>
      <c r="J44" s="510">
        <v>0</v>
      </c>
      <c r="K44" s="510">
        <v>0</v>
      </c>
      <c r="L44" s="510">
        <v>0</v>
      </c>
      <c r="M44" s="510">
        <v>0</v>
      </c>
      <c r="N44" s="510">
        <v>0</v>
      </c>
      <c r="O44" s="510">
        <v>8152</v>
      </c>
      <c r="Q44" s="506" t="s">
        <v>5527</v>
      </c>
    </row>
    <row r="45" spans="1:17">
      <c r="A45" s="506" t="s">
        <v>5429</v>
      </c>
      <c r="B45" s="506" t="s">
        <v>14955</v>
      </c>
      <c r="C45" s="996" t="s">
        <v>14954</v>
      </c>
      <c r="D45" s="510">
        <v>0</v>
      </c>
      <c r="E45" s="510">
        <v>0</v>
      </c>
      <c r="F45" s="510">
        <v>0</v>
      </c>
      <c r="G45" s="510">
        <v>0</v>
      </c>
      <c r="H45" s="510">
        <v>0</v>
      </c>
      <c r="I45" s="510">
        <v>0</v>
      </c>
      <c r="J45" s="510">
        <v>0</v>
      </c>
      <c r="K45" s="510">
        <v>0</v>
      </c>
      <c r="L45" s="510">
        <v>0</v>
      </c>
      <c r="M45" s="510">
        <v>0</v>
      </c>
      <c r="N45" s="510">
        <v>0</v>
      </c>
      <c r="O45" s="510">
        <v>7254</v>
      </c>
      <c r="Q45" s="506" t="s">
        <v>5525</v>
      </c>
    </row>
    <row r="46" spans="1:17">
      <c r="A46" s="506" t="s">
        <v>5431</v>
      </c>
      <c r="B46" s="506" t="s">
        <v>14957</v>
      </c>
      <c r="C46" s="996" t="s">
        <v>14956</v>
      </c>
      <c r="D46" s="510">
        <v>0</v>
      </c>
      <c r="E46" s="510">
        <v>0</v>
      </c>
      <c r="F46" s="510">
        <v>0</v>
      </c>
      <c r="G46" s="510">
        <v>0</v>
      </c>
      <c r="H46" s="510">
        <v>0</v>
      </c>
      <c r="I46" s="510">
        <v>0</v>
      </c>
      <c r="J46" s="510">
        <v>0</v>
      </c>
      <c r="K46" s="510">
        <v>0</v>
      </c>
      <c r="L46" s="510">
        <v>0</v>
      </c>
      <c r="M46" s="510">
        <v>0</v>
      </c>
      <c r="N46" s="510">
        <v>0</v>
      </c>
      <c r="O46" s="510">
        <v>8440</v>
      </c>
      <c r="Q46" s="506" t="s">
        <v>5525</v>
      </c>
    </row>
    <row r="47" spans="1:17">
      <c r="A47" s="506" t="s">
        <v>5433</v>
      </c>
      <c r="B47" s="506" t="s">
        <v>3552</v>
      </c>
      <c r="C47" s="996" t="s">
        <v>14958</v>
      </c>
      <c r="D47" s="510">
        <v>0</v>
      </c>
      <c r="E47" s="510">
        <v>0</v>
      </c>
      <c r="F47" s="510">
        <v>0</v>
      </c>
      <c r="G47" s="510">
        <v>0</v>
      </c>
      <c r="H47" s="510">
        <v>0</v>
      </c>
      <c r="I47" s="510">
        <v>0</v>
      </c>
      <c r="J47" s="510">
        <v>0</v>
      </c>
      <c r="K47" s="510">
        <v>0</v>
      </c>
      <c r="L47" s="510">
        <v>0</v>
      </c>
      <c r="M47" s="510">
        <v>0</v>
      </c>
      <c r="N47" s="510">
        <v>0</v>
      </c>
      <c r="O47" s="510">
        <v>8563</v>
      </c>
      <c r="Q47" s="506" t="s">
        <v>5526</v>
      </c>
    </row>
    <row r="48" spans="1:17">
      <c r="A48" s="506" t="s">
        <v>5435</v>
      </c>
      <c r="B48" s="506" t="s">
        <v>14960</v>
      </c>
      <c r="C48" s="996" t="s">
        <v>14959</v>
      </c>
      <c r="D48" s="510">
        <v>0</v>
      </c>
      <c r="E48" s="510">
        <v>0</v>
      </c>
      <c r="F48" s="510">
        <v>0</v>
      </c>
      <c r="G48" s="510">
        <v>0</v>
      </c>
      <c r="H48" s="510">
        <v>0</v>
      </c>
      <c r="I48" s="510">
        <v>0</v>
      </c>
      <c r="J48" s="510">
        <v>0</v>
      </c>
      <c r="K48" s="510">
        <v>0</v>
      </c>
      <c r="L48" s="510">
        <v>0</v>
      </c>
      <c r="M48" s="510">
        <v>0</v>
      </c>
      <c r="N48" s="510">
        <v>0</v>
      </c>
      <c r="O48" s="510">
        <v>8514</v>
      </c>
      <c r="Q48" s="506" t="s">
        <v>5526</v>
      </c>
    </row>
    <row r="49" spans="1:17">
      <c r="A49" s="506" t="s">
        <v>5436</v>
      </c>
      <c r="B49" s="506" t="s">
        <v>14962</v>
      </c>
      <c r="C49" s="996" t="s">
        <v>14961</v>
      </c>
      <c r="D49" s="510">
        <v>0</v>
      </c>
      <c r="E49" s="510">
        <v>0</v>
      </c>
      <c r="F49" s="510">
        <v>0</v>
      </c>
      <c r="G49" s="510">
        <v>0</v>
      </c>
      <c r="H49" s="510">
        <v>0</v>
      </c>
      <c r="I49" s="510">
        <v>0</v>
      </c>
      <c r="J49" s="510">
        <v>0</v>
      </c>
      <c r="K49" s="510">
        <v>0</v>
      </c>
      <c r="L49" s="510">
        <v>0</v>
      </c>
      <c r="M49" s="510">
        <v>0</v>
      </c>
      <c r="N49" s="510">
        <v>0</v>
      </c>
      <c r="O49" s="510">
        <v>7479</v>
      </c>
      <c r="Q49" s="506" t="s">
        <v>5526</v>
      </c>
    </row>
    <row r="50" spans="1:17">
      <c r="A50" s="506" t="s">
        <v>5437</v>
      </c>
      <c r="B50" s="506" t="s">
        <v>14964</v>
      </c>
      <c r="C50" s="996" t="s">
        <v>14963</v>
      </c>
      <c r="D50" s="510">
        <v>0</v>
      </c>
      <c r="E50" s="510">
        <v>0</v>
      </c>
      <c r="F50" s="510">
        <v>0</v>
      </c>
      <c r="G50" s="510">
        <v>0</v>
      </c>
      <c r="H50" s="510">
        <v>0</v>
      </c>
      <c r="I50" s="510">
        <v>0</v>
      </c>
      <c r="J50" s="510">
        <v>0</v>
      </c>
      <c r="K50" s="510">
        <v>0</v>
      </c>
      <c r="L50" s="510">
        <v>0</v>
      </c>
      <c r="M50" s="510">
        <v>0</v>
      </c>
      <c r="N50" s="510">
        <v>0</v>
      </c>
      <c r="O50" s="510">
        <v>7825</v>
      </c>
      <c r="Q50" s="506" t="s">
        <v>5526</v>
      </c>
    </row>
    <row r="51" spans="1:17">
      <c r="A51" s="506" t="s">
        <v>5439</v>
      </c>
      <c r="B51" s="506" t="s">
        <v>14966</v>
      </c>
      <c r="C51" s="996" t="s">
        <v>14965</v>
      </c>
      <c r="D51" s="510">
        <v>0</v>
      </c>
      <c r="E51" s="510">
        <v>0</v>
      </c>
      <c r="F51" s="510">
        <v>0</v>
      </c>
      <c r="G51" s="510">
        <v>0</v>
      </c>
      <c r="H51" s="510">
        <v>0</v>
      </c>
      <c r="I51" s="510">
        <v>0</v>
      </c>
      <c r="J51" s="510">
        <v>0</v>
      </c>
      <c r="K51" s="510">
        <v>0</v>
      </c>
      <c r="L51" s="510">
        <v>0</v>
      </c>
      <c r="M51" s="510">
        <v>0</v>
      </c>
      <c r="N51" s="510">
        <v>0</v>
      </c>
      <c r="O51" s="510">
        <v>8389</v>
      </c>
      <c r="Q51" s="506" t="s">
        <v>5526</v>
      </c>
    </row>
    <row r="52" spans="1:17">
      <c r="A52" s="506" t="s">
        <v>5441</v>
      </c>
      <c r="B52" s="506" t="s">
        <v>14968</v>
      </c>
      <c r="C52" s="996" t="s">
        <v>14967</v>
      </c>
      <c r="D52" s="510">
        <v>0</v>
      </c>
      <c r="E52" s="510">
        <v>0</v>
      </c>
      <c r="F52" s="510">
        <v>0</v>
      </c>
      <c r="G52" s="510">
        <v>0</v>
      </c>
      <c r="H52" s="510">
        <v>0</v>
      </c>
      <c r="I52" s="510">
        <v>0</v>
      </c>
      <c r="J52" s="510">
        <v>0</v>
      </c>
      <c r="K52" s="510">
        <v>0</v>
      </c>
      <c r="L52" s="510">
        <v>0</v>
      </c>
      <c r="M52" s="510">
        <v>0</v>
      </c>
      <c r="N52" s="510">
        <v>0</v>
      </c>
      <c r="O52" s="510">
        <v>8904</v>
      </c>
      <c r="Q52" s="506" t="s">
        <v>5527</v>
      </c>
    </row>
    <row r="53" spans="1:17">
      <c r="A53" s="506" t="s">
        <v>5886</v>
      </c>
      <c r="B53" s="506" t="s">
        <v>14970</v>
      </c>
      <c r="C53" s="996" t="s">
        <v>14969</v>
      </c>
      <c r="D53" s="510">
        <v>0</v>
      </c>
      <c r="E53" s="510">
        <v>0</v>
      </c>
      <c r="F53" s="510">
        <v>0</v>
      </c>
      <c r="G53" s="510">
        <v>0</v>
      </c>
      <c r="H53" s="510">
        <v>0</v>
      </c>
      <c r="I53" s="510">
        <v>0</v>
      </c>
      <c r="J53" s="510">
        <v>0</v>
      </c>
      <c r="K53" s="510">
        <v>0</v>
      </c>
      <c r="L53" s="510">
        <v>0</v>
      </c>
      <c r="M53" s="510">
        <v>0</v>
      </c>
      <c r="N53" s="510">
        <v>0</v>
      </c>
      <c r="O53" s="510">
        <v>7600</v>
      </c>
      <c r="Q53" s="506" t="s">
        <v>5524</v>
      </c>
    </row>
    <row r="54" spans="1:17">
      <c r="A54" s="506" t="s">
        <v>5888</v>
      </c>
      <c r="B54" s="506" t="s">
        <v>10460</v>
      </c>
      <c r="C54" s="996" t="s">
        <v>14971</v>
      </c>
      <c r="D54" s="510">
        <v>0</v>
      </c>
      <c r="E54" s="510">
        <v>0</v>
      </c>
      <c r="F54" s="510">
        <v>0</v>
      </c>
      <c r="G54" s="510">
        <v>0</v>
      </c>
      <c r="H54" s="510">
        <v>0</v>
      </c>
      <c r="I54" s="510">
        <v>0</v>
      </c>
      <c r="J54" s="510">
        <v>0</v>
      </c>
      <c r="K54" s="510">
        <v>0</v>
      </c>
      <c r="L54" s="510">
        <v>0</v>
      </c>
      <c r="M54" s="510">
        <v>0</v>
      </c>
      <c r="N54" s="510">
        <v>0</v>
      </c>
      <c r="O54" s="510">
        <v>7255</v>
      </c>
      <c r="Q54" s="506" t="s">
        <v>5524</v>
      </c>
    </row>
    <row r="55" spans="1:17">
      <c r="A55" s="506" t="s">
        <v>5889</v>
      </c>
      <c r="B55" s="506" t="s">
        <v>14973</v>
      </c>
      <c r="C55" s="996" t="s">
        <v>14972</v>
      </c>
      <c r="D55" s="510">
        <v>0</v>
      </c>
      <c r="E55" s="510">
        <v>0</v>
      </c>
      <c r="F55" s="510">
        <v>0</v>
      </c>
      <c r="G55" s="510">
        <v>0</v>
      </c>
      <c r="H55" s="510">
        <v>0</v>
      </c>
      <c r="I55" s="510">
        <v>0</v>
      </c>
      <c r="J55" s="510">
        <v>0</v>
      </c>
      <c r="K55" s="510">
        <v>0</v>
      </c>
      <c r="L55" s="510">
        <v>0</v>
      </c>
      <c r="M55" s="510">
        <v>0</v>
      </c>
      <c r="N55" s="510">
        <v>0</v>
      </c>
      <c r="O55" s="510">
        <v>8380</v>
      </c>
      <c r="Q55" s="506" t="s">
        <v>5527</v>
      </c>
    </row>
    <row r="56" spans="1:17">
      <c r="A56" s="506" t="s">
        <v>4431</v>
      </c>
      <c r="B56" s="506" t="s">
        <v>14975</v>
      </c>
      <c r="C56" s="996" t="s">
        <v>14974</v>
      </c>
      <c r="D56" s="510">
        <v>0</v>
      </c>
      <c r="E56" s="510">
        <v>0</v>
      </c>
      <c r="F56" s="510">
        <v>0</v>
      </c>
      <c r="G56" s="510">
        <v>0</v>
      </c>
      <c r="H56" s="510">
        <v>0</v>
      </c>
      <c r="I56" s="510">
        <v>0</v>
      </c>
      <c r="J56" s="510">
        <v>0</v>
      </c>
      <c r="K56" s="510">
        <v>0</v>
      </c>
      <c r="L56" s="510">
        <v>0</v>
      </c>
      <c r="M56" s="510">
        <v>0</v>
      </c>
      <c r="N56" s="510">
        <v>0</v>
      </c>
      <c r="O56" s="510">
        <v>7186</v>
      </c>
      <c r="Q56" s="506" t="s">
        <v>5524</v>
      </c>
    </row>
    <row r="57" spans="1:17">
      <c r="A57" s="506" t="s">
        <v>4432</v>
      </c>
      <c r="B57" s="506" t="s">
        <v>14977</v>
      </c>
      <c r="C57" s="996" t="s">
        <v>14976</v>
      </c>
      <c r="D57" s="510">
        <v>0</v>
      </c>
      <c r="E57" s="510">
        <v>0</v>
      </c>
      <c r="F57" s="510">
        <v>0</v>
      </c>
      <c r="G57" s="510">
        <v>0</v>
      </c>
      <c r="H57" s="510">
        <v>0</v>
      </c>
      <c r="I57" s="510">
        <v>0</v>
      </c>
      <c r="J57" s="510">
        <v>0</v>
      </c>
      <c r="K57" s="510">
        <v>0</v>
      </c>
      <c r="L57" s="510">
        <v>0</v>
      </c>
      <c r="M57" s="510">
        <v>0</v>
      </c>
      <c r="N57" s="510">
        <v>0</v>
      </c>
      <c r="O57" s="510">
        <v>8479</v>
      </c>
      <c r="Q57" s="506" t="s">
        <v>5524</v>
      </c>
    </row>
    <row r="58" spans="1:17">
      <c r="A58" s="506" t="s">
        <v>4434</v>
      </c>
      <c r="B58" s="506" t="s">
        <v>10461</v>
      </c>
      <c r="C58" s="996" t="s">
        <v>14978</v>
      </c>
      <c r="D58" s="510">
        <v>0</v>
      </c>
      <c r="E58" s="510">
        <v>0</v>
      </c>
      <c r="F58" s="510">
        <v>0</v>
      </c>
      <c r="G58" s="510">
        <v>0</v>
      </c>
      <c r="H58" s="510">
        <v>0</v>
      </c>
      <c r="I58" s="510">
        <v>0</v>
      </c>
      <c r="J58" s="510">
        <v>0</v>
      </c>
      <c r="K58" s="510">
        <v>0</v>
      </c>
      <c r="L58" s="510">
        <v>0</v>
      </c>
      <c r="M58" s="510">
        <v>0</v>
      </c>
      <c r="N58" s="510">
        <v>0</v>
      </c>
      <c r="O58" s="510">
        <v>6843</v>
      </c>
      <c r="Q58" s="506" t="s">
        <v>5524</v>
      </c>
    </row>
    <row r="59" spans="1:17">
      <c r="A59" s="506" t="s">
        <v>4533</v>
      </c>
      <c r="B59" s="506" t="s">
        <v>14980</v>
      </c>
      <c r="C59" s="996" t="s">
        <v>14979</v>
      </c>
      <c r="D59" s="510">
        <v>0</v>
      </c>
      <c r="E59" s="510">
        <v>0</v>
      </c>
      <c r="F59" s="510">
        <v>0</v>
      </c>
      <c r="G59" s="510">
        <v>0</v>
      </c>
      <c r="H59" s="510">
        <v>0</v>
      </c>
      <c r="I59" s="510">
        <v>0</v>
      </c>
      <c r="J59" s="510">
        <v>0</v>
      </c>
      <c r="K59" s="510">
        <v>0</v>
      </c>
      <c r="L59" s="510">
        <v>0</v>
      </c>
      <c r="M59" s="510">
        <v>0</v>
      </c>
      <c r="N59" s="510">
        <v>0</v>
      </c>
      <c r="O59" s="510">
        <v>9260</v>
      </c>
      <c r="Q59" s="506" t="s">
        <v>5525</v>
      </c>
    </row>
    <row r="60" spans="1:17">
      <c r="A60" s="506" t="s">
        <v>4535</v>
      </c>
      <c r="B60" s="506" t="s">
        <v>3553</v>
      </c>
      <c r="C60" s="996" t="s">
        <v>14981</v>
      </c>
      <c r="D60" s="510">
        <v>0</v>
      </c>
      <c r="E60" s="510">
        <v>0</v>
      </c>
      <c r="F60" s="510">
        <v>0</v>
      </c>
      <c r="G60" s="510">
        <v>0</v>
      </c>
      <c r="H60" s="510">
        <v>0</v>
      </c>
      <c r="I60" s="510">
        <v>0</v>
      </c>
      <c r="J60" s="510">
        <v>0</v>
      </c>
      <c r="K60" s="510">
        <v>0</v>
      </c>
      <c r="L60" s="510">
        <v>0</v>
      </c>
      <c r="M60" s="510">
        <v>0</v>
      </c>
      <c r="N60" s="510">
        <v>0</v>
      </c>
      <c r="O60" s="510">
        <v>7981</v>
      </c>
      <c r="Q60" s="506" t="s">
        <v>5526</v>
      </c>
    </row>
    <row r="61" spans="1:17">
      <c r="A61" s="506" t="s">
        <v>4537</v>
      </c>
      <c r="B61" s="506" t="s">
        <v>14983</v>
      </c>
      <c r="C61" s="996" t="s">
        <v>14982</v>
      </c>
      <c r="D61" s="510">
        <v>0</v>
      </c>
      <c r="E61" s="510">
        <v>0</v>
      </c>
      <c r="F61" s="510">
        <v>0</v>
      </c>
      <c r="G61" s="510">
        <v>0</v>
      </c>
      <c r="H61" s="510">
        <v>0</v>
      </c>
      <c r="I61" s="510">
        <v>0</v>
      </c>
      <c r="J61" s="510">
        <v>0</v>
      </c>
      <c r="K61" s="510">
        <v>0</v>
      </c>
      <c r="L61" s="510">
        <v>0</v>
      </c>
      <c r="M61" s="510">
        <v>0</v>
      </c>
      <c r="N61" s="510">
        <v>0</v>
      </c>
      <c r="O61" s="510">
        <v>8581</v>
      </c>
      <c r="Q61" s="506" t="s">
        <v>5525</v>
      </c>
    </row>
    <row r="62" spans="1:17">
      <c r="A62" s="506" t="s">
        <v>4539</v>
      </c>
      <c r="B62" s="506" t="s">
        <v>14985</v>
      </c>
      <c r="C62" s="996" t="s">
        <v>14984</v>
      </c>
      <c r="D62" s="510">
        <v>0</v>
      </c>
      <c r="E62" s="510">
        <v>0</v>
      </c>
      <c r="F62" s="510">
        <v>0</v>
      </c>
      <c r="G62" s="510">
        <v>0</v>
      </c>
      <c r="H62" s="510">
        <v>0</v>
      </c>
      <c r="I62" s="510">
        <v>0</v>
      </c>
      <c r="J62" s="510">
        <v>0</v>
      </c>
      <c r="K62" s="510">
        <v>0</v>
      </c>
      <c r="L62" s="510">
        <v>0</v>
      </c>
      <c r="M62" s="510">
        <v>0</v>
      </c>
      <c r="N62" s="510">
        <v>0</v>
      </c>
      <c r="O62" s="510">
        <v>7520</v>
      </c>
      <c r="Q62" s="506" t="s">
        <v>5527</v>
      </c>
    </row>
    <row r="63" spans="1:17">
      <c r="A63" s="506" t="s">
        <v>6158</v>
      </c>
      <c r="B63" s="506" t="s">
        <v>14987</v>
      </c>
      <c r="C63" s="996" t="s">
        <v>14986</v>
      </c>
      <c r="D63" s="510">
        <v>0</v>
      </c>
      <c r="E63" s="510">
        <v>0</v>
      </c>
      <c r="F63" s="510">
        <v>0</v>
      </c>
      <c r="G63" s="510">
        <v>0</v>
      </c>
      <c r="H63" s="510">
        <v>0</v>
      </c>
      <c r="I63" s="510">
        <v>0</v>
      </c>
      <c r="J63" s="510">
        <v>0</v>
      </c>
      <c r="K63" s="510">
        <v>0</v>
      </c>
      <c r="L63" s="510">
        <v>0</v>
      </c>
      <c r="M63" s="510">
        <v>0</v>
      </c>
      <c r="N63" s="510">
        <v>0</v>
      </c>
      <c r="O63" s="510">
        <v>8164</v>
      </c>
      <c r="Q63" s="506" t="s">
        <v>5524</v>
      </c>
    </row>
    <row r="64" spans="1:17">
      <c r="A64" s="506" t="s">
        <v>6159</v>
      </c>
      <c r="B64" s="506" t="s">
        <v>14989</v>
      </c>
      <c r="C64" s="996" t="s">
        <v>14988</v>
      </c>
      <c r="D64" s="510">
        <v>0</v>
      </c>
      <c r="E64" s="510">
        <v>0</v>
      </c>
      <c r="F64" s="510">
        <v>0</v>
      </c>
      <c r="G64" s="510">
        <v>0</v>
      </c>
      <c r="H64" s="510">
        <v>0</v>
      </c>
      <c r="I64" s="510">
        <v>0</v>
      </c>
      <c r="J64" s="510">
        <v>0</v>
      </c>
      <c r="K64" s="510">
        <v>0</v>
      </c>
      <c r="L64" s="510">
        <v>0</v>
      </c>
      <c r="M64" s="510">
        <v>0</v>
      </c>
      <c r="N64" s="510">
        <v>0</v>
      </c>
      <c r="O64" s="510">
        <v>8485</v>
      </c>
      <c r="Q64" s="506" t="s">
        <v>5525</v>
      </c>
    </row>
    <row r="65" spans="1:17">
      <c r="A65" s="506" t="s">
        <v>6160</v>
      </c>
      <c r="B65" s="506" t="s">
        <v>14991</v>
      </c>
      <c r="C65" s="996" t="s">
        <v>14990</v>
      </c>
      <c r="D65" s="510">
        <v>0</v>
      </c>
      <c r="E65" s="510">
        <v>0</v>
      </c>
      <c r="F65" s="510">
        <v>0</v>
      </c>
      <c r="G65" s="510">
        <v>0</v>
      </c>
      <c r="H65" s="510">
        <v>0</v>
      </c>
      <c r="I65" s="510">
        <v>0</v>
      </c>
      <c r="J65" s="510">
        <v>0</v>
      </c>
      <c r="K65" s="510">
        <v>0</v>
      </c>
      <c r="L65" s="510">
        <v>0</v>
      </c>
      <c r="M65" s="510">
        <v>0</v>
      </c>
      <c r="N65" s="510">
        <v>0</v>
      </c>
      <c r="O65" s="510">
        <v>7842</v>
      </c>
      <c r="Q65" s="506" t="s">
        <v>5526</v>
      </c>
    </row>
    <row r="66" spans="1:17">
      <c r="A66" s="997" t="s">
        <v>6162</v>
      </c>
      <c r="B66" s="506" t="s">
        <v>14993</v>
      </c>
      <c r="C66" s="996" t="s">
        <v>14992</v>
      </c>
      <c r="D66" s="510">
        <v>0</v>
      </c>
      <c r="E66" s="510">
        <v>0</v>
      </c>
      <c r="F66" s="510">
        <v>0</v>
      </c>
      <c r="G66" s="510">
        <v>0</v>
      </c>
      <c r="H66" s="510">
        <v>0</v>
      </c>
      <c r="I66" s="510">
        <v>0</v>
      </c>
      <c r="J66" s="510">
        <v>0</v>
      </c>
      <c r="K66" s="510">
        <v>0</v>
      </c>
      <c r="L66" s="510">
        <v>0</v>
      </c>
      <c r="M66" s="510">
        <v>0</v>
      </c>
      <c r="N66" s="510">
        <v>0</v>
      </c>
      <c r="O66" s="510">
        <v>8439</v>
      </c>
      <c r="Q66" s="506" t="s">
        <v>5524</v>
      </c>
    </row>
    <row r="67" spans="1:17">
      <c r="A67" s="997" t="s">
        <v>2157</v>
      </c>
      <c r="B67" s="506" t="s">
        <v>14995</v>
      </c>
      <c r="C67" s="996" t="s">
        <v>14994</v>
      </c>
      <c r="D67" s="510">
        <v>0</v>
      </c>
      <c r="E67" s="510">
        <v>0</v>
      </c>
      <c r="F67" s="510">
        <v>0</v>
      </c>
      <c r="G67" s="510">
        <v>0</v>
      </c>
      <c r="H67" s="510">
        <v>0</v>
      </c>
      <c r="I67" s="510">
        <v>0</v>
      </c>
      <c r="J67" s="510">
        <v>0</v>
      </c>
      <c r="K67" s="510">
        <v>0</v>
      </c>
      <c r="L67" s="510">
        <v>0</v>
      </c>
      <c r="M67" s="510">
        <v>0</v>
      </c>
      <c r="N67" s="510">
        <v>0</v>
      </c>
      <c r="O67" s="510">
        <v>8553</v>
      </c>
      <c r="Q67" s="506" t="s">
        <v>5526</v>
      </c>
    </row>
    <row r="68" spans="1:17">
      <c r="A68" s="998" t="s">
        <v>2158</v>
      </c>
      <c r="B68" s="506" t="s">
        <v>14997</v>
      </c>
      <c r="C68" s="996" t="s">
        <v>14996</v>
      </c>
      <c r="D68" s="510">
        <v>0</v>
      </c>
      <c r="E68" s="510">
        <v>0</v>
      </c>
      <c r="F68" s="510">
        <v>0</v>
      </c>
      <c r="G68" s="510">
        <v>0</v>
      </c>
      <c r="H68" s="510">
        <v>0</v>
      </c>
      <c r="I68" s="510">
        <v>0</v>
      </c>
      <c r="J68" s="510">
        <v>0</v>
      </c>
      <c r="K68" s="510">
        <v>0</v>
      </c>
      <c r="L68" s="510">
        <v>0</v>
      </c>
      <c r="M68" s="510">
        <v>0</v>
      </c>
      <c r="N68" s="510">
        <v>0</v>
      </c>
      <c r="O68" s="510">
        <v>7025</v>
      </c>
      <c r="Q68" s="506" t="s">
        <v>5523</v>
      </c>
    </row>
    <row r="69" spans="1:17" ht="15.75" thickBot="1">
      <c r="A69" s="998"/>
      <c r="B69" s="506"/>
      <c r="C69" s="996" t="s">
        <v>14996</v>
      </c>
      <c r="D69" s="510">
        <v>0</v>
      </c>
      <c r="E69" s="510">
        <v>0</v>
      </c>
      <c r="F69" s="510">
        <v>0</v>
      </c>
      <c r="G69" s="510">
        <v>0</v>
      </c>
      <c r="H69" s="510">
        <v>0</v>
      </c>
      <c r="I69" s="510">
        <v>0</v>
      </c>
      <c r="J69" s="510">
        <v>0</v>
      </c>
      <c r="K69" s="510">
        <v>0</v>
      </c>
      <c r="L69" s="510">
        <v>0</v>
      </c>
      <c r="M69" s="510">
        <v>0</v>
      </c>
      <c r="N69" s="510">
        <v>0</v>
      </c>
      <c r="O69" s="510">
        <v>1537</v>
      </c>
      <c r="Q69" s="506" t="s">
        <v>5525</v>
      </c>
    </row>
    <row r="70" spans="1:17" ht="15.75" thickBot="1">
      <c r="A70" s="998"/>
      <c r="B70" s="506"/>
      <c r="C70" s="996" t="s">
        <v>14996</v>
      </c>
      <c r="D70" s="852">
        <f>D68+D69</f>
        <v>0</v>
      </c>
      <c r="E70" s="852">
        <f t="shared" ref="E70:O70" si="13">E68+E69</f>
        <v>0</v>
      </c>
      <c r="F70" s="852">
        <f t="shared" si="13"/>
        <v>0</v>
      </c>
      <c r="G70" s="852">
        <f t="shared" si="13"/>
        <v>0</v>
      </c>
      <c r="H70" s="852">
        <f t="shared" si="13"/>
        <v>0</v>
      </c>
      <c r="I70" s="852">
        <f t="shared" si="13"/>
        <v>0</v>
      </c>
      <c r="J70" s="852">
        <f t="shared" si="13"/>
        <v>0</v>
      </c>
      <c r="K70" s="852">
        <f t="shared" si="13"/>
        <v>0</v>
      </c>
      <c r="L70" s="852">
        <f t="shared" si="13"/>
        <v>0</v>
      </c>
      <c r="M70" s="852">
        <f t="shared" si="13"/>
        <v>0</v>
      </c>
      <c r="N70" s="852">
        <f t="shared" si="13"/>
        <v>0</v>
      </c>
      <c r="O70" s="852">
        <f t="shared" si="13"/>
        <v>8562</v>
      </c>
      <c r="Q70" s="506"/>
    </row>
    <row r="71" spans="1:17">
      <c r="A71" s="998" t="s">
        <v>1838</v>
      </c>
      <c r="B71" s="506" t="s">
        <v>14999</v>
      </c>
      <c r="C71" s="996" t="s">
        <v>14998</v>
      </c>
      <c r="D71" s="510">
        <v>0</v>
      </c>
      <c r="E71" s="510">
        <v>0</v>
      </c>
      <c r="F71" s="510">
        <v>0</v>
      </c>
      <c r="G71" s="510">
        <v>0</v>
      </c>
      <c r="H71" s="510">
        <v>0</v>
      </c>
      <c r="I71" s="510">
        <v>0</v>
      </c>
      <c r="J71" s="510">
        <v>0</v>
      </c>
      <c r="K71" s="510">
        <v>0</v>
      </c>
      <c r="L71" s="510">
        <v>0</v>
      </c>
      <c r="M71" s="510">
        <v>0</v>
      </c>
      <c r="N71" s="510">
        <v>0</v>
      </c>
      <c r="O71" s="510">
        <v>8001</v>
      </c>
      <c r="Q71" s="506" t="s">
        <v>5523</v>
      </c>
    </row>
    <row r="72" spans="1:17">
      <c r="A72" s="998" t="s">
        <v>1839</v>
      </c>
      <c r="B72" s="506" t="s">
        <v>15001</v>
      </c>
      <c r="C72" s="996" t="s">
        <v>15000</v>
      </c>
      <c r="D72" s="510">
        <v>0</v>
      </c>
      <c r="E72" s="510">
        <v>0</v>
      </c>
      <c r="F72" s="510">
        <v>0</v>
      </c>
      <c r="G72" s="510">
        <v>0</v>
      </c>
      <c r="H72" s="510">
        <v>0</v>
      </c>
      <c r="I72" s="510">
        <v>0</v>
      </c>
      <c r="J72" s="510">
        <v>0</v>
      </c>
      <c r="K72" s="510">
        <v>0</v>
      </c>
      <c r="L72" s="510">
        <v>0</v>
      </c>
      <c r="M72" s="510">
        <v>0</v>
      </c>
      <c r="N72" s="510">
        <v>0</v>
      </c>
      <c r="O72" s="510">
        <v>7520</v>
      </c>
      <c r="Q72" s="506" t="s">
        <v>5527</v>
      </c>
    </row>
    <row r="73" spans="1:17">
      <c r="A73" s="998" t="s">
        <v>1841</v>
      </c>
      <c r="B73" s="506" t="s">
        <v>15003</v>
      </c>
      <c r="C73" s="996" t="s">
        <v>15002</v>
      </c>
      <c r="D73" s="510">
        <v>0</v>
      </c>
      <c r="E73" s="510">
        <v>0</v>
      </c>
      <c r="F73" s="510">
        <v>0</v>
      </c>
      <c r="G73" s="510">
        <v>0</v>
      </c>
      <c r="H73" s="510">
        <v>0</v>
      </c>
      <c r="I73" s="510">
        <v>0</v>
      </c>
      <c r="J73" s="510">
        <v>0</v>
      </c>
      <c r="K73" s="510">
        <v>0</v>
      </c>
      <c r="L73" s="510">
        <v>0</v>
      </c>
      <c r="M73" s="510">
        <v>0</v>
      </c>
      <c r="N73" s="510">
        <v>0</v>
      </c>
      <c r="O73" s="510">
        <v>7796</v>
      </c>
      <c r="Q73" s="506" t="s">
        <v>5524</v>
      </c>
    </row>
    <row r="74" spans="1:17">
      <c r="A74" s="998" t="s">
        <v>513</v>
      </c>
      <c r="B74" s="506" t="s">
        <v>15005</v>
      </c>
      <c r="C74" s="996" t="s">
        <v>15004</v>
      </c>
      <c r="D74" s="510">
        <v>0</v>
      </c>
      <c r="E74" s="510">
        <v>0</v>
      </c>
      <c r="F74" s="510">
        <v>0</v>
      </c>
      <c r="G74" s="510">
        <v>0</v>
      </c>
      <c r="H74" s="510">
        <v>0</v>
      </c>
      <c r="I74" s="510">
        <v>0</v>
      </c>
      <c r="J74" s="510">
        <v>0</v>
      </c>
      <c r="K74" s="510">
        <v>0</v>
      </c>
      <c r="L74" s="510">
        <v>0</v>
      </c>
      <c r="M74" s="510">
        <v>0</v>
      </c>
      <c r="N74" s="510">
        <v>0</v>
      </c>
      <c r="O74" s="510">
        <v>4497</v>
      </c>
      <c r="Q74" s="506" t="s">
        <v>5523</v>
      </c>
    </row>
    <row r="75" spans="1:17" ht="15.75" thickBot="1">
      <c r="A75" s="998"/>
      <c r="B75" s="506"/>
      <c r="C75" s="996" t="s">
        <v>15004</v>
      </c>
      <c r="D75" s="510">
        <v>0</v>
      </c>
      <c r="E75" s="510">
        <v>0</v>
      </c>
      <c r="F75" s="510">
        <v>0</v>
      </c>
      <c r="G75" s="510">
        <v>0</v>
      </c>
      <c r="H75" s="510">
        <v>0</v>
      </c>
      <c r="I75" s="510">
        <v>0</v>
      </c>
      <c r="J75" s="510">
        <v>0</v>
      </c>
      <c r="K75" s="510">
        <v>0</v>
      </c>
      <c r="L75" s="510">
        <v>0</v>
      </c>
      <c r="M75" s="510">
        <v>0</v>
      </c>
      <c r="N75" s="510">
        <v>0</v>
      </c>
      <c r="O75" s="510">
        <v>5535</v>
      </c>
      <c r="Q75" s="506" t="s">
        <v>5525</v>
      </c>
    </row>
    <row r="76" spans="1:17" ht="15.75" thickBot="1">
      <c r="A76" s="998"/>
      <c r="B76" s="506"/>
      <c r="C76" s="996" t="s">
        <v>15004</v>
      </c>
      <c r="D76" s="852">
        <f>D74+D75</f>
        <v>0</v>
      </c>
      <c r="E76" s="852">
        <f t="shared" ref="E76:O76" si="14">E74+E75</f>
        <v>0</v>
      </c>
      <c r="F76" s="852">
        <f t="shared" si="14"/>
        <v>0</v>
      </c>
      <c r="G76" s="852">
        <f t="shared" si="14"/>
        <v>0</v>
      </c>
      <c r="H76" s="852">
        <f t="shared" si="14"/>
        <v>0</v>
      </c>
      <c r="I76" s="852">
        <f t="shared" si="14"/>
        <v>0</v>
      </c>
      <c r="J76" s="852">
        <f t="shared" si="14"/>
        <v>0</v>
      </c>
      <c r="K76" s="852">
        <f t="shared" si="14"/>
        <v>0</v>
      </c>
      <c r="L76" s="852">
        <f t="shared" si="14"/>
        <v>0</v>
      </c>
      <c r="M76" s="852">
        <f t="shared" si="14"/>
        <v>0</v>
      </c>
      <c r="N76" s="852">
        <f t="shared" si="14"/>
        <v>0</v>
      </c>
      <c r="O76" s="852">
        <f t="shared" si="14"/>
        <v>10032</v>
      </c>
      <c r="Q76" s="506"/>
    </row>
    <row r="77" spans="1:17">
      <c r="A77" s="998" t="s">
        <v>12982</v>
      </c>
      <c r="B77" s="506" t="s">
        <v>4117</v>
      </c>
      <c r="C77" s="996" t="s">
        <v>15006</v>
      </c>
      <c r="D77" s="510">
        <v>0</v>
      </c>
      <c r="E77" s="510">
        <v>0</v>
      </c>
      <c r="F77" s="510">
        <v>0</v>
      </c>
      <c r="G77" s="510">
        <v>0</v>
      </c>
      <c r="H77" s="510">
        <v>0</v>
      </c>
      <c r="I77" s="510">
        <v>0</v>
      </c>
      <c r="J77" s="510">
        <v>0</v>
      </c>
      <c r="K77" s="510">
        <v>0</v>
      </c>
      <c r="L77" s="510">
        <v>0</v>
      </c>
      <c r="M77" s="510">
        <v>0</v>
      </c>
      <c r="N77" s="510">
        <v>0</v>
      </c>
      <c r="O77" s="510">
        <v>7516</v>
      </c>
      <c r="Q77" s="506" t="s">
        <v>5527</v>
      </c>
    </row>
    <row r="78" spans="1:17">
      <c r="A78" s="998" t="s">
        <v>12983</v>
      </c>
      <c r="B78" s="138" t="s">
        <v>4118</v>
      </c>
      <c r="C78" s="996" t="s">
        <v>15007</v>
      </c>
      <c r="D78" s="510">
        <v>0</v>
      </c>
      <c r="E78" s="510">
        <v>0</v>
      </c>
      <c r="F78" s="510">
        <v>0</v>
      </c>
      <c r="G78" s="510">
        <v>0</v>
      </c>
      <c r="H78" s="510">
        <v>0</v>
      </c>
      <c r="I78" s="510">
        <v>0</v>
      </c>
      <c r="J78" s="510">
        <v>0</v>
      </c>
      <c r="K78" s="510">
        <v>0</v>
      </c>
      <c r="L78" s="510">
        <v>0</v>
      </c>
      <c r="M78" s="510">
        <v>0</v>
      </c>
      <c r="N78" s="510">
        <v>0</v>
      </c>
      <c r="O78" s="510">
        <v>7858</v>
      </c>
      <c r="Q78" s="506" t="s">
        <v>5525</v>
      </c>
    </row>
    <row r="79" spans="1:17">
      <c r="A79" s="998" t="s">
        <v>12984</v>
      </c>
      <c r="B79" s="138" t="s">
        <v>15009</v>
      </c>
      <c r="C79" s="996" t="s">
        <v>15008</v>
      </c>
      <c r="D79" s="510">
        <v>0</v>
      </c>
      <c r="E79" s="510">
        <v>0</v>
      </c>
      <c r="F79" s="510">
        <v>0</v>
      </c>
      <c r="G79" s="510">
        <v>0</v>
      </c>
      <c r="H79" s="510">
        <v>0</v>
      </c>
      <c r="I79" s="510">
        <v>0</v>
      </c>
      <c r="J79" s="510">
        <v>0</v>
      </c>
      <c r="K79" s="510">
        <v>0</v>
      </c>
      <c r="L79" s="510">
        <v>0</v>
      </c>
      <c r="M79" s="510">
        <v>0</v>
      </c>
      <c r="N79" s="510">
        <v>0</v>
      </c>
      <c r="O79" s="510">
        <v>8550</v>
      </c>
      <c r="Q79" s="506" t="s">
        <v>5524</v>
      </c>
    </row>
    <row r="80" spans="1:17">
      <c r="A80" s="998" t="s">
        <v>15020</v>
      </c>
      <c r="B80" s="138" t="s">
        <v>15011</v>
      </c>
      <c r="C80" s="996" t="s">
        <v>15010</v>
      </c>
      <c r="D80" s="510">
        <v>0</v>
      </c>
      <c r="E80" s="510">
        <v>0</v>
      </c>
      <c r="F80" s="510">
        <v>0</v>
      </c>
      <c r="G80" s="510">
        <v>0</v>
      </c>
      <c r="H80" s="510">
        <v>0</v>
      </c>
      <c r="I80" s="510">
        <v>0</v>
      </c>
      <c r="J80" s="510">
        <v>0</v>
      </c>
      <c r="K80" s="510">
        <v>0</v>
      </c>
      <c r="L80" s="510">
        <v>0</v>
      </c>
      <c r="M80" s="510">
        <v>0</v>
      </c>
      <c r="N80" s="510">
        <v>0</v>
      </c>
      <c r="O80" s="510">
        <v>7750</v>
      </c>
      <c r="Q80" s="506" t="s">
        <v>5527</v>
      </c>
    </row>
    <row r="81" spans="1:17">
      <c r="A81" s="998" t="s">
        <v>15021</v>
      </c>
      <c r="B81" s="138" t="s">
        <v>4119</v>
      </c>
      <c r="C81" s="996" t="s">
        <v>15012</v>
      </c>
      <c r="D81" s="510">
        <v>0</v>
      </c>
      <c r="E81" s="510">
        <v>0</v>
      </c>
      <c r="F81" s="510">
        <v>0</v>
      </c>
      <c r="G81" s="510">
        <v>0</v>
      </c>
      <c r="H81" s="510">
        <v>0</v>
      </c>
      <c r="I81" s="510">
        <v>0</v>
      </c>
      <c r="J81" s="510">
        <v>0</v>
      </c>
      <c r="K81" s="510">
        <v>0</v>
      </c>
      <c r="L81" s="510">
        <v>0</v>
      </c>
      <c r="M81" s="510">
        <v>0</v>
      </c>
      <c r="N81" s="510">
        <v>0</v>
      </c>
      <c r="O81" s="510">
        <v>8286</v>
      </c>
      <c r="Q81" s="506" t="s">
        <v>5527</v>
      </c>
    </row>
    <row r="82" spans="1:17">
      <c r="A82" s="998" t="s">
        <v>15022</v>
      </c>
      <c r="B82" s="138" t="s">
        <v>15014</v>
      </c>
      <c r="C82" s="996" t="s">
        <v>15013</v>
      </c>
      <c r="D82" s="510">
        <v>0</v>
      </c>
      <c r="E82" s="510">
        <v>0</v>
      </c>
      <c r="F82" s="510">
        <v>0</v>
      </c>
      <c r="G82" s="510">
        <v>0</v>
      </c>
      <c r="H82" s="510">
        <v>0</v>
      </c>
      <c r="I82" s="510">
        <v>0</v>
      </c>
      <c r="J82" s="510">
        <v>0</v>
      </c>
      <c r="K82" s="510">
        <v>0</v>
      </c>
      <c r="L82" s="510">
        <v>0</v>
      </c>
      <c r="M82" s="510">
        <v>0</v>
      </c>
      <c r="N82" s="510">
        <v>0</v>
      </c>
      <c r="O82" s="510">
        <v>8397</v>
      </c>
      <c r="Q82" s="506" t="s">
        <v>5523</v>
      </c>
    </row>
    <row r="83" spans="1:17">
      <c r="A83" s="998" t="s">
        <v>15023</v>
      </c>
      <c r="B83" s="506" t="s">
        <v>15016</v>
      </c>
      <c r="C83" s="996" t="s">
        <v>15015</v>
      </c>
      <c r="D83" s="510">
        <v>0</v>
      </c>
      <c r="E83" s="510">
        <v>0</v>
      </c>
      <c r="F83" s="510">
        <v>0</v>
      </c>
      <c r="G83" s="510">
        <v>0</v>
      </c>
      <c r="H83" s="510">
        <v>0</v>
      </c>
      <c r="I83" s="510">
        <v>0</v>
      </c>
      <c r="J83" s="510">
        <v>0</v>
      </c>
      <c r="K83" s="510">
        <v>0</v>
      </c>
      <c r="L83" s="510">
        <v>0</v>
      </c>
      <c r="M83" s="510">
        <v>0</v>
      </c>
      <c r="N83" s="510">
        <v>0</v>
      </c>
      <c r="O83" s="510">
        <v>571</v>
      </c>
      <c r="Q83" s="506" t="s">
        <v>5523</v>
      </c>
    </row>
    <row r="84" spans="1:17" ht="15.75" thickBot="1">
      <c r="A84" s="998"/>
      <c r="B84" s="506"/>
      <c r="C84" s="996" t="s">
        <v>15015</v>
      </c>
      <c r="D84" s="510">
        <v>0</v>
      </c>
      <c r="E84" s="510">
        <v>0</v>
      </c>
      <c r="F84" s="510">
        <v>0</v>
      </c>
      <c r="G84" s="510">
        <v>0</v>
      </c>
      <c r="H84" s="510">
        <v>0</v>
      </c>
      <c r="I84" s="510">
        <v>0</v>
      </c>
      <c r="J84" s="510">
        <v>0</v>
      </c>
      <c r="K84" s="510">
        <v>0</v>
      </c>
      <c r="L84" s="510">
        <v>0</v>
      </c>
      <c r="M84" s="510">
        <v>0</v>
      </c>
      <c r="N84" s="510">
        <v>0</v>
      </c>
      <c r="O84" s="510">
        <v>6640</v>
      </c>
      <c r="Q84" s="506" t="s">
        <v>5527</v>
      </c>
    </row>
    <row r="85" spans="1:17" ht="15.75" thickBot="1">
      <c r="A85" s="998"/>
      <c r="B85" s="506"/>
      <c r="C85" s="996" t="s">
        <v>15015</v>
      </c>
      <c r="D85" s="852">
        <f>D83+D84</f>
        <v>0</v>
      </c>
      <c r="E85" s="852">
        <f t="shared" ref="E85:O85" si="15">E83+E84</f>
        <v>0</v>
      </c>
      <c r="F85" s="852">
        <f t="shared" si="15"/>
        <v>0</v>
      </c>
      <c r="G85" s="852">
        <f t="shared" si="15"/>
        <v>0</v>
      </c>
      <c r="H85" s="852">
        <f t="shared" si="15"/>
        <v>0</v>
      </c>
      <c r="I85" s="852">
        <f t="shared" si="15"/>
        <v>0</v>
      </c>
      <c r="J85" s="852">
        <f t="shared" si="15"/>
        <v>0</v>
      </c>
      <c r="K85" s="852">
        <f t="shared" si="15"/>
        <v>0</v>
      </c>
      <c r="L85" s="852">
        <f t="shared" si="15"/>
        <v>0</v>
      </c>
      <c r="M85" s="852">
        <f t="shared" si="15"/>
        <v>0</v>
      </c>
      <c r="N85" s="852">
        <f t="shared" si="15"/>
        <v>0</v>
      </c>
      <c r="O85" s="852">
        <f t="shared" si="15"/>
        <v>7211</v>
      </c>
    </row>
    <row r="86" spans="1:17">
      <c r="A86" s="998" t="s">
        <v>15024</v>
      </c>
      <c r="B86" s="506" t="s">
        <v>2156</v>
      </c>
      <c r="C86" s="996" t="s">
        <v>15017</v>
      </c>
      <c r="D86" s="510">
        <v>0</v>
      </c>
      <c r="E86" s="510">
        <v>0</v>
      </c>
      <c r="F86" s="510">
        <v>0</v>
      </c>
      <c r="G86" s="510">
        <v>0</v>
      </c>
      <c r="H86" s="510">
        <v>0</v>
      </c>
      <c r="I86" s="510">
        <v>0</v>
      </c>
      <c r="J86" s="510">
        <v>0</v>
      </c>
      <c r="K86" s="510">
        <v>0</v>
      </c>
      <c r="L86" s="510">
        <v>0</v>
      </c>
      <c r="M86" s="510">
        <v>0</v>
      </c>
      <c r="N86" s="510">
        <v>0</v>
      </c>
      <c r="O86" s="510">
        <v>1687</v>
      </c>
      <c r="Q86" s="506" t="s">
        <v>5523</v>
      </c>
    </row>
    <row r="87" spans="1:17" ht="15.75" thickBot="1">
      <c r="A87" s="998"/>
      <c r="B87" s="506"/>
      <c r="C87" s="996" t="s">
        <v>15017</v>
      </c>
      <c r="D87" s="510">
        <v>0</v>
      </c>
      <c r="E87" s="510">
        <v>0</v>
      </c>
      <c r="F87" s="510">
        <v>0</v>
      </c>
      <c r="G87" s="510">
        <v>0</v>
      </c>
      <c r="H87" s="510">
        <v>0</v>
      </c>
      <c r="I87" s="510">
        <v>0</v>
      </c>
      <c r="J87" s="510">
        <v>0</v>
      </c>
      <c r="K87" s="510">
        <v>0</v>
      </c>
      <c r="L87" s="510">
        <v>0</v>
      </c>
      <c r="M87" s="510">
        <v>0</v>
      </c>
      <c r="N87" s="510">
        <v>0</v>
      </c>
      <c r="O87" s="510">
        <v>7160</v>
      </c>
      <c r="Q87" s="506" t="s">
        <v>5525</v>
      </c>
    </row>
    <row r="88" spans="1:17" ht="15.75" thickBot="1">
      <c r="A88" s="998"/>
      <c r="B88" s="506"/>
      <c r="C88" s="996" t="s">
        <v>15017</v>
      </c>
      <c r="D88" s="852">
        <f>D86+D87</f>
        <v>0</v>
      </c>
      <c r="E88" s="852">
        <f t="shared" ref="E88:O88" si="16">E86+E87</f>
        <v>0</v>
      </c>
      <c r="F88" s="852">
        <f t="shared" si="16"/>
        <v>0</v>
      </c>
      <c r="G88" s="852">
        <f t="shared" si="16"/>
        <v>0</v>
      </c>
      <c r="H88" s="852">
        <f t="shared" si="16"/>
        <v>0</v>
      </c>
      <c r="I88" s="852">
        <f t="shared" si="16"/>
        <v>0</v>
      </c>
      <c r="J88" s="852">
        <f t="shared" si="16"/>
        <v>0</v>
      </c>
      <c r="K88" s="852">
        <f t="shared" si="16"/>
        <v>0</v>
      </c>
      <c r="L88" s="852">
        <f t="shared" si="16"/>
        <v>0</v>
      </c>
      <c r="M88" s="852">
        <f t="shared" si="16"/>
        <v>0</v>
      </c>
      <c r="N88" s="852">
        <f t="shared" si="16"/>
        <v>0</v>
      </c>
      <c r="O88" s="852">
        <f t="shared" si="16"/>
        <v>8847</v>
      </c>
    </row>
    <row r="89" spans="1:17">
      <c r="A89" s="998" t="s">
        <v>15025</v>
      </c>
      <c r="B89" s="138" t="s">
        <v>2159</v>
      </c>
      <c r="C89" s="996" t="s">
        <v>15018</v>
      </c>
      <c r="D89" s="510">
        <v>0</v>
      </c>
      <c r="E89" s="510">
        <v>0</v>
      </c>
      <c r="F89" s="510">
        <v>0</v>
      </c>
      <c r="G89" s="510">
        <v>0</v>
      </c>
      <c r="H89" s="510">
        <v>0</v>
      </c>
      <c r="I89" s="510">
        <v>0</v>
      </c>
      <c r="J89" s="510">
        <v>0</v>
      </c>
      <c r="K89" s="510">
        <v>0</v>
      </c>
      <c r="L89" s="510">
        <v>0</v>
      </c>
      <c r="M89" s="510">
        <v>0</v>
      </c>
      <c r="N89" s="510">
        <v>0</v>
      </c>
      <c r="O89" s="510">
        <v>7745</v>
      </c>
      <c r="Q89" s="506" t="s">
        <v>5525</v>
      </c>
    </row>
    <row r="91" spans="1:17">
      <c r="A91" s="138" t="s">
        <v>15027</v>
      </c>
    </row>
    <row r="93" spans="1:17">
      <c r="A93" s="1014" t="s">
        <v>16023</v>
      </c>
    </row>
    <row r="94" spans="1:17">
      <c r="A94" s="167" t="s">
        <v>16099</v>
      </c>
    </row>
  </sheetData>
  <phoneticPr fontId="6" type="noConversion"/>
  <printOptions gridLinesSet="0"/>
  <pageMargins left="0.78740157480314965" right="0" top="0.51181102362204722" bottom="0.51181102362204722" header="0.51181102362204722" footer="0.51181102362204722"/>
  <pageSetup paperSize="9" scale="62" orientation="portrait" horizontalDpi="300" verticalDpi="300" r:id="rId1"/>
  <headerFooter alignWithMargins="0">
    <oddFooter>&amp;C&amp;"Times New Roman,Regular"&amp;8&amp;P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Q258"/>
  <sheetViews>
    <sheetView showGridLines="0" topLeftCell="A82" zoomScale="90" zoomScaleNormal="90" workbookViewId="0">
      <selection activeCell="A111" sqref="A111:A112"/>
    </sheetView>
  </sheetViews>
  <sheetFormatPr defaultColWidth="12.5703125" defaultRowHeight="15"/>
  <cols>
    <col min="1" max="1" width="4.85546875" style="168" customWidth="1"/>
    <col min="2" max="2" width="37.7109375" style="168" customWidth="1"/>
    <col min="3" max="3" width="11.5703125" style="168" customWidth="1"/>
    <col min="4" max="15" width="10" style="168" customWidth="1"/>
    <col min="16" max="16" width="2.28515625" style="168" customWidth="1"/>
    <col min="17" max="17" width="44.140625" style="168" customWidth="1"/>
    <col min="18" max="16384" width="12.5703125" style="168"/>
  </cols>
  <sheetData>
    <row r="1" spans="1:17">
      <c r="A1" s="842" t="s">
        <v>6924</v>
      </c>
      <c r="D1" s="843">
        <v>2010</v>
      </c>
      <c r="E1" s="843">
        <v>2011</v>
      </c>
      <c r="F1" s="843">
        <v>2012</v>
      </c>
      <c r="G1" s="843">
        <v>2013</v>
      </c>
      <c r="H1" s="843">
        <v>2014</v>
      </c>
      <c r="I1" s="843">
        <v>2015</v>
      </c>
      <c r="J1" s="843">
        <v>2016</v>
      </c>
      <c r="K1" s="843">
        <v>2017</v>
      </c>
      <c r="L1" s="843">
        <v>2018</v>
      </c>
      <c r="M1" s="843">
        <v>2019</v>
      </c>
      <c r="N1" s="843">
        <v>2020</v>
      </c>
      <c r="O1" s="987" t="s">
        <v>14823</v>
      </c>
    </row>
    <row r="3" spans="1:17">
      <c r="A3" s="842" t="s">
        <v>1946</v>
      </c>
      <c r="C3" s="842"/>
      <c r="D3" s="844">
        <f t="shared" ref="D3:I3" si="0">SUM(D7:D11)</f>
        <v>441548</v>
      </c>
      <c r="E3" s="844">
        <f t="shared" si="0"/>
        <v>443013</v>
      </c>
      <c r="F3" s="844">
        <f t="shared" si="0"/>
        <v>445668</v>
      </c>
      <c r="G3" s="844">
        <f t="shared" si="0"/>
        <v>445290</v>
      </c>
      <c r="H3" s="844">
        <f t="shared" si="0"/>
        <v>452495</v>
      </c>
      <c r="I3" s="844">
        <f t="shared" si="0"/>
        <v>446259</v>
      </c>
      <c r="J3" s="844">
        <f t="shared" ref="J3:O3" si="1">SUM(J7:J11)</f>
        <v>437043</v>
      </c>
      <c r="K3" s="844">
        <f t="shared" si="1"/>
        <v>450958</v>
      </c>
      <c r="L3" s="844">
        <f t="shared" si="1"/>
        <v>453770</v>
      </c>
      <c r="M3" s="844">
        <f t="shared" si="1"/>
        <v>450265</v>
      </c>
      <c r="N3" s="844">
        <f t="shared" si="1"/>
        <v>465846</v>
      </c>
      <c r="O3" s="844">
        <f t="shared" si="1"/>
        <v>466797</v>
      </c>
    </row>
    <row r="4" spans="1:17" ht="15.75" thickBot="1">
      <c r="A4" s="842" t="s">
        <v>1947</v>
      </c>
      <c r="C4" s="842"/>
      <c r="D4" s="845">
        <f t="shared" ref="D4:I4" si="2">D50</f>
        <v>113970</v>
      </c>
      <c r="E4" s="845">
        <f t="shared" si="2"/>
        <v>119513</v>
      </c>
      <c r="F4" s="845">
        <f t="shared" si="2"/>
        <v>121182</v>
      </c>
      <c r="G4" s="845">
        <f t="shared" si="2"/>
        <v>120684</v>
      </c>
      <c r="H4" s="845">
        <f t="shared" si="2"/>
        <v>119920</v>
      </c>
      <c r="I4" s="845">
        <f t="shared" si="2"/>
        <v>119762</v>
      </c>
      <c r="J4" s="845">
        <f t="shared" ref="J4:O4" si="3">J50</f>
        <v>117844</v>
      </c>
      <c r="K4" s="845">
        <f t="shared" si="3"/>
        <v>120872</v>
      </c>
      <c r="L4" s="845">
        <f t="shared" si="3"/>
        <v>118379</v>
      </c>
      <c r="M4" s="845">
        <f t="shared" si="3"/>
        <v>116495</v>
      </c>
      <c r="N4" s="845">
        <f t="shared" si="3"/>
        <v>124178</v>
      </c>
      <c r="O4" s="845">
        <f t="shared" si="3"/>
        <v>124450</v>
      </c>
    </row>
    <row r="5" spans="1:17" ht="15.75" thickBot="1">
      <c r="D5" s="845">
        <f t="shared" ref="D5:I5" si="4">D3+D4</f>
        <v>555518</v>
      </c>
      <c r="E5" s="845">
        <f t="shared" si="4"/>
        <v>562526</v>
      </c>
      <c r="F5" s="845">
        <f t="shared" si="4"/>
        <v>566850</v>
      </c>
      <c r="G5" s="845">
        <f t="shared" si="4"/>
        <v>565974</v>
      </c>
      <c r="H5" s="845">
        <f t="shared" si="4"/>
        <v>572415</v>
      </c>
      <c r="I5" s="845">
        <f t="shared" si="4"/>
        <v>566021</v>
      </c>
      <c r="J5" s="845">
        <f t="shared" ref="J5:O5" si="5">J3+J4</f>
        <v>554887</v>
      </c>
      <c r="K5" s="845">
        <f t="shared" si="5"/>
        <v>571830</v>
      </c>
      <c r="L5" s="845">
        <f t="shared" si="5"/>
        <v>572149</v>
      </c>
      <c r="M5" s="845">
        <f t="shared" si="5"/>
        <v>566760</v>
      </c>
      <c r="N5" s="845">
        <f t="shared" si="5"/>
        <v>590024</v>
      </c>
      <c r="O5" s="845">
        <f t="shared" si="5"/>
        <v>591247</v>
      </c>
    </row>
    <row r="6" spans="1:17">
      <c r="D6" s="844"/>
      <c r="E6" s="844"/>
      <c r="F6" s="844"/>
      <c r="G6" s="844"/>
      <c r="H6" s="844"/>
      <c r="I6" s="844"/>
      <c r="J6" s="844"/>
      <c r="K6" s="844"/>
      <c r="L6" s="844"/>
      <c r="M6" s="844"/>
      <c r="N6" s="844"/>
      <c r="O6" s="844"/>
    </row>
    <row r="7" spans="1:17">
      <c r="A7" s="842" t="s">
        <v>1948</v>
      </c>
      <c r="C7" s="842"/>
      <c r="D7" s="844">
        <f t="shared" ref="D7:I7" si="6">D86</f>
        <v>81609</v>
      </c>
      <c r="E7" s="844">
        <f t="shared" si="6"/>
        <v>81291</v>
      </c>
      <c r="F7" s="844">
        <f t="shared" si="6"/>
        <v>81856</v>
      </c>
      <c r="G7" s="844">
        <f t="shared" si="6"/>
        <v>79341</v>
      </c>
      <c r="H7" s="844">
        <f t="shared" si="6"/>
        <v>82439</v>
      </c>
      <c r="I7" s="844">
        <f t="shared" si="6"/>
        <v>80802</v>
      </c>
      <c r="J7" s="844">
        <f t="shared" ref="J7:O7" si="7">J86</f>
        <v>72757</v>
      </c>
      <c r="K7" s="844">
        <f t="shared" si="7"/>
        <v>77556</v>
      </c>
      <c r="L7" s="844">
        <f t="shared" si="7"/>
        <v>80703</v>
      </c>
      <c r="M7" s="844">
        <f t="shared" si="7"/>
        <v>78804</v>
      </c>
      <c r="N7" s="844">
        <f t="shared" si="7"/>
        <v>84566</v>
      </c>
      <c r="O7" s="844">
        <f t="shared" si="7"/>
        <v>84955</v>
      </c>
      <c r="Q7" s="846"/>
    </row>
    <row r="8" spans="1:17">
      <c r="A8" s="842" t="s">
        <v>1949</v>
      </c>
      <c r="C8" s="842"/>
      <c r="D8" s="844">
        <f t="shared" ref="D8:I8" si="8">D116</f>
        <v>60562</v>
      </c>
      <c r="E8" s="844">
        <f t="shared" si="8"/>
        <v>61073</v>
      </c>
      <c r="F8" s="844">
        <f t="shared" si="8"/>
        <v>61782</v>
      </c>
      <c r="G8" s="844">
        <f t="shared" si="8"/>
        <v>62510</v>
      </c>
      <c r="H8" s="844">
        <f t="shared" si="8"/>
        <v>62919</v>
      </c>
      <c r="I8" s="844">
        <f t="shared" si="8"/>
        <v>60857</v>
      </c>
      <c r="J8" s="844">
        <f t="shared" ref="J8:O8" si="9">J116</f>
        <v>60605</v>
      </c>
      <c r="K8" s="844">
        <f t="shared" si="9"/>
        <v>62463</v>
      </c>
      <c r="L8" s="844">
        <f t="shared" si="9"/>
        <v>62547</v>
      </c>
      <c r="M8" s="844">
        <f t="shared" si="9"/>
        <v>62140</v>
      </c>
      <c r="N8" s="844">
        <f t="shared" si="9"/>
        <v>62073</v>
      </c>
      <c r="O8" s="844">
        <f t="shared" si="9"/>
        <v>63516</v>
      </c>
      <c r="Q8" s="846"/>
    </row>
    <row r="9" spans="1:17">
      <c r="A9" s="842" t="s">
        <v>1950</v>
      </c>
      <c r="C9" s="842"/>
      <c r="D9" s="844">
        <f t="shared" ref="D9:I9" si="10">D146</f>
        <v>70329</v>
      </c>
      <c r="E9" s="844">
        <f t="shared" si="10"/>
        <v>71117</v>
      </c>
      <c r="F9" s="844">
        <f t="shared" si="10"/>
        <v>71339</v>
      </c>
      <c r="G9" s="844">
        <f t="shared" si="10"/>
        <v>71418</v>
      </c>
      <c r="H9" s="844">
        <f t="shared" si="10"/>
        <v>69961</v>
      </c>
      <c r="I9" s="844">
        <f t="shared" si="10"/>
        <v>69145</v>
      </c>
      <c r="J9" s="844">
        <f t="shared" ref="J9:O9" si="11">J146</f>
        <v>69319</v>
      </c>
      <c r="K9" s="844">
        <f t="shared" si="11"/>
        <v>70336</v>
      </c>
      <c r="L9" s="844">
        <f t="shared" si="11"/>
        <v>70209</v>
      </c>
      <c r="M9" s="844">
        <f t="shared" si="11"/>
        <v>70241</v>
      </c>
      <c r="N9" s="844">
        <f t="shared" si="11"/>
        <v>70883</v>
      </c>
      <c r="O9" s="844">
        <f t="shared" si="11"/>
        <v>70806</v>
      </c>
      <c r="Q9" s="846"/>
    </row>
    <row r="10" spans="1:17" s="76" customFormat="1">
      <c r="A10" s="842" t="s">
        <v>1951</v>
      </c>
      <c r="C10" s="842"/>
      <c r="D10" s="844">
        <f t="shared" ref="D10:I10" si="12">D179</f>
        <v>123393</v>
      </c>
      <c r="E10" s="844">
        <f t="shared" si="12"/>
        <v>121827</v>
      </c>
      <c r="F10" s="844">
        <f t="shared" si="12"/>
        <v>121600</v>
      </c>
      <c r="G10" s="844">
        <f t="shared" si="12"/>
        <v>122579</v>
      </c>
      <c r="H10" s="844">
        <f t="shared" si="12"/>
        <v>126462</v>
      </c>
      <c r="I10" s="844">
        <f t="shared" si="12"/>
        <v>124746</v>
      </c>
      <c r="J10" s="844">
        <f t="shared" ref="J10:O10" si="13">J179</f>
        <v>124073</v>
      </c>
      <c r="K10" s="844">
        <f t="shared" si="13"/>
        <v>127242</v>
      </c>
      <c r="L10" s="844">
        <f t="shared" si="13"/>
        <v>127398</v>
      </c>
      <c r="M10" s="844">
        <f t="shared" si="13"/>
        <v>127178</v>
      </c>
      <c r="N10" s="844">
        <f t="shared" si="13"/>
        <v>129844</v>
      </c>
      <c r="O10" s="844">
        <f t="shared" si="13"/>
        <v>129584</v>
      </c>
      <c r="Q10" s="846"/>
    </row>
    <row r="11" spans="1:17">
      <c r="A11" s="842" t="s">
        <v>3360</v>
      </c>
      <c r="C11" s="842"/>
      <c r="D11" s="844">
        <f t="shared" ref="D11:I11" si="14">D225</f>
        <v>105655</v>
      </c>
      <c r="E11" s="844">
        <f t="shared" si="14"/>
        <v>107705</v>
      </c>
      <c r="F11" s="844">
        <f t="shared" si="14"/>
        <v>109091</v>
      </c>
      <c r="G11" s="844">
        <f t="shared" si="14"/>
        <v>109442</v>
      </c>
      <c r="H11" s="844">
        <f t="shared" si="14"/>
        <v>110714</v>
      </c>
      <c r="I11" s="844">
        <f t="shared" si="14"/>
        <v>110709</v>
      </c>
      <c r="J11" s="844">
        <f t="shared" ref="J11:O11" si="15">J225</f>
        <v>110289</v>
      </c>
      <c r="K11" s="844">
        <f t="shared" si="15"/>
        <v>113361</v>
      </c>
      <c r="L11" s="844">
        <f t="shared" si="15"/>
        <v>112913</v>
      </c>
      <c r="M11" s="844">
        <f t="shared" si="15"/>
        <v>111902</v>
      </c>
      <c r="N11" s="844">
        <f t="shared" si="15"/>
        <v>118480</v>
      </c>
      <c r="O11" s="844">
        <f t="shared" si="15"/>
        <v>117936</v>
      </c>
      <c r="Q11" s="846"/>
    </row>
    <row r="13" spans="1:17">
      <c r="A13" s="842" t="s">
        <v>4883</v>
      </c>
      <c r="D13" s="844">
        <f t="shared" ref="D13:I13" si="16">D3/6</f>
        <v>73591.333333333328</v>
      </c>
      <c r="E13" s="844">
        <f t="shared" si="16"/>
        <v>73835.5</v>
      </c>
      <c r="F13" s="844">
        <f t="shared" si="16"/>
        <v>74278</v>
      </c>
      <c r="G13" s="844">
        <f t="shared" si="16"/>
        <v>74215</v>
      </c>
      <c r="H13" s="844">
        <f t="shared" si="16"/>
        <v>75415.833333333328</v>
      </c>
      <c r="I13" s="844">
        <f t="shared" si="16"/>
        <v>74376.5</v>
      </c>
      <c r="J13" s="844">
        <f t="shared" ref="J13:O13" si="17">J3/6</f>
        <v>72840.5</v>
      </c>
      <c r="K13" s="844">
        <f t="shared" si="17"/>
        <v>75159.666666666672</v>
      </c>
      <c r="L13" s="844">
        <f t="shared" si="17"/>
        <v>75628.333333333328</v>
      </c>
      <c r="M13" s="844">
        <f t="shared" si="17"/>
        <v>75044.166666666672</v>
      </c>
      <c r="N13" s="844">
        <f t="shared" si="17"/>
        <v>77641</v>
      </c>
      <c r="O13" s="844">
        <f t="shared" si="17"/>
        <v>77799.5</v>
      </c>
    </row>
    <row r="14" spans="1:17">
      <c r="A14" s="842" t="s">
        <v>4884</v>
      </c>
      <c r="D14" s="844">
        <f t="shared" ref="D14:I14" si="18">D4/2</f>
        <v>56985</v>
      </c>
      <c r="E14" s="844">
        <f t="shared" si="18"/>
        <v>59756.5</v>
      </c>
      <c r="F14" s="844">
        <f t="shared" si="18"/>
        <v>60591</v>
      </c>
      <c r="G14" s="844">
        <f t="shared" si="18"/>
        <v>60342</v>
      </c>
      <c r="H14" s="844">
        <f t="shared" si="18"/>
        <v>59960</v>
      </c>
      <c r="I14" s="844">
        <f t="shared" si="18"/>
        <v>59881</v>
      </c>
      <c r="J14" s="844">
        <f t="shared" ref="J14:O14" si="19">J4/2</f>
        <v>58922</v>
      </c>
      <c r="K14" s="844">
        <f t="shared" si="19"/>
        <v>60436</v>
      </c>
      <c r="L14" s="844">
        <f t="shared" si="19"/>
        <v>59189.5</v>
      </c>
      <c r="M14" s="844">
        <f t="shared" si="19"/>
        <v>58247.5</v>
      </c>
      <c r="N14" s="844">
        <f t="shared" si="19"/>
        <v>62089</v>
      </c>
      <c r="O14" s="844">
        <f t="shared" si="19"/>
        <v>62225</v>
      </c>
    </row>
    <row r="15" spans="1:17">
      <c r="A15" s="842" t="s">
        <v>4885</v>
      </c>
      <c r="D15" s="844">
        <f t="shared" ref="D15:I15" si="20">D5/7</f>
        <v>79359.71428571429</v>
      </c>
      <c r="E15" s="844">
        <f t="shared" si="20"/>
        <v>80360.857142857145</v>
      </c>
      <c r="F15" s="844">
        <f t="shared" si="20"/>
        <v>80978.571428571435</v>
      </c>
      <c r="G15" s="844">
        <f t="shared" si="20"/>
        <v>80853.428571428565</v>
      </c>
      <c r="H15" s="844">
        <f t="shared" si="20"/>
        <v>81773.571428571435</v>
      </c>
      <c r="I15" s="844">
        <f t="shared" si="20"/>
        <v>80860.142857142855</v>
      </c>
      <c r="J15" s="844">
        <f t="shared" ref="J15:O15" si="21">J5/7</f>
        <v>79269.571428571435</v>
      </c>
      <c r="K15" s="844">
        <f t="shared" si="21"/>
        <v>81690</v>
      </c>
      <c r="L15" s="844">
        <f t="shared" si="21"/>
        <v>81735.571428571435</v>
      </c>
      <c r="M15" s="844">
        <f t="shared" si="21"/>
        <v>80965.71428571429</v>
      </c>
      <c r="N15" s="844">
        <f t="shared" si="21"/>
        <v>84289.142857142855</v>
      </c>
      <c r="O15" s="844">
        <f t="shared" si="21"/>
        <v>84463.857142857145</v>
      </c>
    </row>
    <row r="16" spans="1:17">
      <c r="D16" s="847"/>
      <c r="E16" s="847"/>
      <c r="F16" s="847"/>
      <c r="G16" s="847"/>
      <c r="H16" s="847"/>
      <c r="I16" s="847"/>
      <c r="J16" s="847"/>
      <c r="K16" s="847"/>
      <c r="L16" s="847"/>
      <c r="M16" s="847"/>
      <c r="N16" s="847"/>
      <c r="O16" s="847"/>
    </row>
    <row r="17" spans="1:17">
      <c r="A17" s="842" t="s">
        <v>4886</v>
      </c>
      <c r="D17" s="844">
        <f t="shared" ref="D17:I17" si="22">D106</f>
        <v>75612</v>
      </c>
      <c r="E17" s="844">
        <f t="shared" si="22"/>
        <v>75259</v>
      </c>
      <c r="F17" s="844">
        <f t="shared" si="22"/>
        <v>75702</v>
      </c>
      <c r="G17" s="844">
        <f t="shared" si="22"/>
        <v>73612</v>
      </c>
      <c r="H17" s="844">
        <f t="shared" si="22"/>
        <v>76244</v>
      </c>
      <c r="I17" s="844">
        <f t="shared" si="22"/>
        <v>74665</v>
      </c>
      <c r="J17" s="844">
        <f t="shared" ref="J17:O17" si="23">J106</f>
        <v>67266</v>
      </c>
      <c r="K17" s="844">
        <f t="shared" si="23"/>
        <v>71723</v>
      </c>
      <c r="L17" s="844">
        <f t="shared" si="23"/>
        <v>74628</v>
      </c>
      <c r="M17" s="844">
        <f t="shared" si="23"/>
        <v>72837</v>
      </c>
      <c r="N17" s="844">
        <f t="shared" si="23"/>
        <v>78170</v>
      </c>
      <c r="O17" s="844">
        <f t="shared" si="23"/>
        <v>78521</v>
      </c>
      <c r="Q17" s="842" t="s">
        <v>4887</v>
      </c>
    </row>
    <row r="18" spans="1:17">
      <c r="D18" s="847"/>
      <c r="E18" s="847"/>
      <c r="F18" s="847"/>
      <c r="G18" s="847"/>
      <c r="H18" s="847"/>
      <c r="I18" s="847"/>
      <c r="J18" s="847"/>
      <c r="K18" s="847"/>
      <c r="L18" s="847"/>
      <c r="M18" s="847"/>
      <c r="N18" s="847"/>
      <c r="O18" s="847"/>
    </row>
    <row r="19" spans="1:17">
      <c r="A19" s="842" t="s">
        <v>4888</v>
      </c>
      <c r="D19" s="844">
        <f t="shared" ref="D19:I19" si="24">D217</f>
        <v>80273</v>
      </c>
      <c r="E19" s="844">
        <f t="shared" si="24"/>
        <v>79134</v>
      </c>
      <c r="F19" s="844">
        <f t="shared" si="24"/>
        <v>79193</v>
      </c>
      <c r="G19" s="844">
        <f t="shared" si="24"/>
        <v>80044</v>
      </c>
      <c r="H19" s="844">
        <f t="shared" si="24"/>
        <v>82892</v>
      </c>
      <c r="I19" s="844">
        <f t="shared" si="24"/>
        <v>81475</v>
      </c>
      <c r="J19" s="844">
        <f t="shared" ref="J19:O19" si="25">J217</f>
        <v>81303</v>
      </c>
      <c r="K19" s="844">
        <f t="shared" si="25"/>
        <v>83209</v>
      </c>
      <c r="L19" s="844">
        <f t="shared" si="25"/>
        <v>83371</v>
      </c>
      <c r="M19" s="844">
        <f t="shared" si="25"/>
        <v>83328</v>
      </c>
      <c r="N19" s="844">
        <f t="shared" si="25"/>
        <v>85270</v>
      </c>
      <c r="O19" s="844">
        <f t="shared" si="25"/>
        <v>85109</v>
      </c>
      <c r="Q19" s="842" t="s">
        <v>4889</v>
      </c>
    </row>
    <row r="20" spans="1:17">
      <c r="D20" s="847"/>
      <c r="E20" s="847"/>
      <c r="F20" s="847"/>
      <c r="G20" s="847"/>
      <c r="H20" s="847"/>
      <c r="I20" s="847"/>
      <c r="J20" s="847"/>
      <c r="K20" s="847"/>
      <c r="L20" s="847"/>
      <c r="M20" s="847"/>
      <c r="N20" s="847"/>
      <c r="O20" s="847"/>
    </row>
    <row r="21" spans="1:17">
      <c r="A21" s="842" t="s">
        <v>4890</v>
      </c>
      <c r="D21" s="844">
        <f t="shared" ref="D21:I21" si="26">D138</f>
        <v>12458</v>
      </c>
      <c r="E21" s="844">
        <f t="shared" si="26"/>
        <v>12544</v>
      </c>
      <c r="F21" s="844">
        <f t="shared" si="26"/>
        <v>12707</v>
      </c>
      <c r="G21" s="844">
        <f t="shared" si="26"/>
        <v>12920</v>
      </c>
      <c r="H21" s="844">
        <f t="shared" si="26"/>
        <v>12995</v>
      </c>
      <c r="I21" s="844">
        <f t="shared" si="26"/>
        <v>12350</v>
      </c>
      <c r="J21" s="844">
        <f t="shared" ref="J21:O21" si="27">J138</f>
        <v>12460</v>
      </c>
      <c r="K21" s="844">
        <f t="shared" si="27"/>
        <v>12955</v>
      </c>
      <c r="L21" s="844">
        <f t="shared" si="27"/>
        <v>13077</v>
      </c>
      <c r="M21" s="844">
        <f t="shared" si="27"/>
        <v>12982</v>
      </c>
      <c r="N21" s="844">
        <f t="shared" si="27"/>
        <v>12950</v>
      </c>
      <c r="O21" s="844">
        <f t="shared" si="27"/>
        <v>13187</v>
      </c>
      <c r="Q21" s="842" t="s">
        <v>4891</v>
      </c>
    </row>
    <row r="22" spans="1:17" ht="15.75" thickBot="1">
      <c r="D22" s="845">
        <f t="shared" ref="D22:I22" si="28">SUM(D172)</f>
        <v>70329</v>
      </c>
      <c r="E22" s="845">
        <f t="shared" si="28"/>
        <v>71117</v>
      </c>
      <c r="F22" s="845">
        <f t="shared" si="28"/>
        <v>71339</v>
      </c>
      <c r="G22" s="845">
        <f t="shared" si="28"/>
        <v>71418</v>
      </c>
      <c r="H22" s="845">
        <f t="shared" si="28"/>
        <v>69961</v>
      </c>
      <c r="I22" s="845">
        <f t="shared" si="28"/>
        <v>69145</v>
      </c>
      <c r="J22" s="845">
        <f t="shared" ref="J22:O22" si="29">SUM(J172)</f>
        <v>69319</v>
      </c>
      <c r="K22" s="845">
        <f t="shared" si="29"/>
        <v>70336</v>
      </c>
      <c r="L22" s="845">
        <f t="shared" si="29"/>
        <v>70209</v>
      </c>
      <c r="M22" s="845">
        <f t="shared" si="29"/>
        <v>70241</v>
      </c>
      <c r="N22" s="845">
        <f t="shared" si="29"/>
        <v>70883</v>
      </c>
      <c r="O22" s="845">
        <f t="shared" si="29"/>
        <v>70806</v>
      </c>
      <c r="Q22" s="842" t="s">
        <v>2301</v>
      </c>
    </row>
    <row r="23" spans="1:17" ht="15.75" thickBot="1">
      <c r="D23" s="845">
        <f t="shared" ref="D23:I23" si="30">SUM(D21:D22)</f>
        <v>82787</v>
      </c>
      <c r="E23" s="845">
        <f t="shared" si="30"/>
        <v>83661</v>
      </c>
      <c r="F23" s="845">
        <f t="shared" si="30"/>
        <v>84046</v>
      </c>
      <c r="G23" s="845">
        <f t="shared" si="30"/>
        <v>84338</v>
      </c>
      <c r="H23" s="845">
        <f t="shared" si="30"/>
        <v>82956</v>
      </c>
      <c r="I23" s="845">
        <f t="shared" si="30"/>
        <v>81495</v>
      </c>
      <c r="J23" s="845">
        <f t="shared" ref="J23:O23" si="31">SUM(J21:J22)</f>
        <v>81779</v>
      </c>
      <c r="K23" s="845">
        <f t="shared" si="31"/>
        <v>83291</v>
      </c>
      <c r="L23" s="845">
        <f t="shared" si="31"/>
        <v>83286</v>
      </c>
      <c r="M23" s="845">
        <f t="shared" si="31"/>
        <v>83223</v>
      </c>
      <c r="N23" s="845">
        <f t="shared" si="31"/>
        <v>83833</v>
      </c>
      <c r="O23" s="845">
        <f t="shared" si="31"/>
        <v>83993</v>
      </c>
    </row>
    <row r="24" spans="1:17">
      <c r="D24" s="847"/>
      <c r="E24" s="847"/>
      <c r="F24" s="847"/>
      <c r="G24" s="847"/>
      <c r="H24" s="847"/>
      <c r="I24" s="847"/>
      <c r="J24" s="847"/>
      <c r="K24" s="847"/>
      <c r="L24" s="847"/>
      <c r="M24" s="847"/>
      <c r="N24" s="847"/>
      <c r="O24" s="847"/>
    </row>
    <row r="25" spans="1:17">
      <c r="A25" s="842" t="s">
        <v>4892</v>
      </c>
      <c r="D25" s="844">
        <f t="shared" ref="D25:I25" si="32">D218</f>
        <v>43120</v>
      </c>
      <c r="E25" s="844">
        <f t="shared" si="32"/>
        <v>42693</v>
      </c>
      <c r="F25" s="844">
        <f t="shared" si="32"/>
        <v>42407</v>
      </c>
      <c r="G25" s="844">
        <f t="shared" si="32"/>
        <v>42535</v>
      </c>
      <c r="H25" s="844">
        <f t="shared" si="32"/>
        <v>43570</v>
      </c>
      <c r="I25" s="844">
        <f t="shared" si="32"/>
        <v>43271</v>
      </c>
      <c r="J25" s="844">
        <f t="shared" ref="J25:O25" si="33">J218</f>
        <v>42770</v>
      </c>
      <c r="K25" s="844">
        <f t="shared" si="33"/>
        <v>44033</v>
      </c>
      <c r="L25" s="844">
        <f t="shared" si="33"/>
        <v>44027</v>
      </c>
      <c r="M25" s="844">
        <f t="shared" si="33"/>
        <v>43850</v>
      </c>
      <c r="N25" s="844">
        <f t="shared" si="33"/>
        <v>44574</v>
      </c>
      <c r="O25" s="844">
        <f t="shared" si="33"/>
        <v>44475</v>
      </c>
      <c r="Q25" s="842" t="s">
        <v>4889</v>
      </c>
    </row>
    <row r="26" spans="1:17" ht="15.75" thickBot="1">
      <c r="D26" s="845">
        <f t="shared" ref="D26:I26" si="34">D78</f>
        <v>44238</v>
      </c>
      <c r="E26" s="845">
        <f t="shared" si="34"/>
        <v>46726</v>
      </c>
      <c r="F26" s="845">
        <f t="shared" si="34"/>
        <v>47461</v>
      </c>
      <c r="G26" s="845">
        <f t="shared" si="34"/>
        <v>47268</v>
      </c>
      <c r="H26" s="845">
        <f t="shared" si="34"/>
        <v>47619</v>
      </c>
      <c r="I26" s="845">
        <f t="shared" si="34"/>
        <v>47722</v>
      </c>
      <c r="J26" s="845">
        <f t="shared" ref="J26:O26" si="35">J78</f>
        <v>47221</v>
      </c>
      <c r="K26" s="845">
        <f t="shared" si="35"/>
        <v>48665</v>
      </c>
      <c r="L26" s="845">
        <f t="shared" si="35"/>
        <v>47955</v>
      </c>
      <c r="M26" s="845">
        <f t="shared" si="35"/>
        <v>47271</v>
      </c>
      <c r="N26" s="845">
        <f t="shared" si="35"/>
        <v>51116</v>
      </c>
      <c r="O26" s="845">
        <f t="shared" si="35"/>
        <v>51209</v>
      </c>
      <c r="Q26" s="842" t="s">
        <v>4893</v>
      </c>
    </row>
    <row r="27" spans="1:17" ht="15.75" thickBot="1">
      <c r="D27" s="845">
        <f t="shared" ref="D27:I27" si="36">D25+D26</f>
        <v>87358</v>
      </c>
      <c r="E27" s="845">
        <f t="shared" si="36"/>
        <v>89419</v>
      </c>
      <c r="F27" s="845">
        <f t="shared" si="36"/>
        <v>89868</v>
      </c>
      <c r="G27" s="845">
        <f t="shared" si="36"/>
        <v>89803</v>
      </c>
      <c r="H27" s="845">
        <f t="shared" si="36"/>
        <v>91189</v>
      </c>
      <c r="I27" s="845">
        <f t="shared" si="36"/>
        <v>90993</v>
      </c>
      <c r="J27" s="845">
        <f t="shared" ref="J27:O27" si="37">J25+J26</f>
        <v>89991</v>
      </c>
      <c r="K27" s="845">
        <f t="shared" si="37"/>
        <v>92698</v>
      </c>
      <c r="L27" s="845">
        <f t="shared" si="37"/>
        <v>91982</v>
      </c>
      <c r="M27" s="845">
        <f t="shared" si="37"/>
        <v>91121</v>
      </c>
      <c r="N27" s="845">
        <f t="shared" si="37"/>
        <v>95690</v>
      </c>
      <c r="O27" s="845">
        <f t="shared" si="37"/>
        <v>95684</v>
      </c>
    </row>
    <row r="28" spans="1:17">
      <c r="D28" s="847"/>
      <c r="E28" s="847"/>
      <c r="F28" s="847"/>
      <c r="G28" s="847"/>
      <c r="H28" s="847"/>
      <c r="I28" s="847"/>
      <c r="J28" s="847"/>
      <c r="K28" s="847"/>
      <c r="L28" s="847"/>
      <c r="M28" s="847"/>
      <c r="N28" s="847"/>
      <c r="O28" s="847"/>
    </row>
    <row r="29" spans="1:17">
      <c r="A29" s="842" t="s">
        <v>4894</v>
      </c>
      <c r="D29" s="844">
        <f t="shared" ref="D29:I29" si="38">D79</f>
        <v>69732</v>
      </c>
      <c r="E29" s="844">
        <f t="shared" si="38"/>
        <v>72787</v>
      </c>
      <c r="F29" s="844">
        <f t="shared" si="38"/>
        <v>73721</v>
      </c>
      <c r="G29" s="844">
        <f t="shared" si="38"/>
        <v>73416</v>
      </c>
      <c r="H29" s="844">
        <f t="shared" si="38"/>
        <v>72301</v>
      </c>
      <c r="I29" s="844">
        <f t="shared" si="38"/>
        <v>72040</v>
      </c>
      <c r="J29" s="844">
        <f t="shared" ref="J29:O29" si="39">J79</f>
        <v>70623</v>
      </c>
      <c r="K29" s="844">
        <f t="shared" si="39"/>
        <v>72207</v>
      </c>
      <c r="L29" s="844">
        <f t="shared" si="39"/>
        <v>70424</v>
      </c>
      <c r="M29" s="844">
        <f t="shared" si="39"/>
        <v>69224</v>
      </c>
      <c r="N29" s="844">
        <f t="shared" si="39"/>
        <v>73062</v>
      </c>
      <c r="O29" s="844">
        <f t="shared" si="39"/>
        <v>73241</v>
      </c>
      <c r="Q29" s="842" t="s">
        <v>4893</v>
      </c>
    </row>
    <row r="30" spans="1:17">
      <c r="D30" s="847"/>
      <c r="E30" s="847"/>
      <c r="F30" s="847"/>
      <c r="G30" s="847"/>
      <c r="H30" s="847"/>
      <c r="I30" s="847"/>
      <c r="J30" s="847"/>
      <c r="K30" s="847"/>
      <c r="L30" s="847"/>
      <c r="M30" s="847"/>
      <c r="N30" s="847"/>
      <c r="O30" s="847"/>
    </row>
    <row r="31" spans="1:17">
      <c r="A31" s="842" t="s">
        <v>4895</v>
      </c>
      <c r="D31" s="844">
        <f t="shared" ref="D31:I31" si="40">D107</f>
        <v>5997</v>
      </c>
      <c r="E31" s="844">
        <f t="shared" si="40"/>
        <v>6032</v>
      </c>
      <c r="F31" s="844">
        <f t="shared" si="40"/>
        <v>6154</v>
      </c>
      <c r="G31" s="844">
        <f t="shared" si="40"/>
        <v>5729</v>
      </c>
      <c r="H31" s="844">
        <f t="shared" si="40"/>
        <v>6195</v>
      </c>
      <c r="I31" s="844">
        <f t="shared" si="40"/>
        <v>6137</v>
      </c>
      <c r="J31" s="844">
        <f t="shared" ref="J31:O31" si="41">J107</f>
        <v>5491</v>
      </c>
      <c r="K31" s="844">
        <f t="shared" si="41"/>
        <v>5833</v>
      </c>
      <c r="L31" s="844">
        <f t="shared" si="41"/>
        <v>6075</v>
      </c>
      <c r="M31" s="844">
        <f t="shared" si="41"/>
        <v>5967</v>
      </c>
      <c r="N31" s="844">
        <f t="shared" si="41"/>
        <v>6396</v>
      </c>
      <c r="O31" s="844">
        <f t="shared" si="41"/>
        <v>6434</v>
      </c>
      <c r="Q31" s="842" t="s">
        <v>4887</v>
      </c>
    </row>
    <row r="32" spans="1:17" ht="15.75" thickBot="1">
      <c r="D32" s="845">
        <f t="shared" ref="D32:I32" si="42">D255</f>
        <v>72615</v>
      </c>
      <c r="E32" s="845">
        <f t="shared" si="42"/>
        <v>73969</v>
      </c>
      <c r="F32" s="845">
        <f t="shared" si="42"/>
        <v>74874</v>
      </c>
      <c r="G32" s="845">
        <f t="shared" si="42"/>
        <v>75357</v>
      </c>
      <c r="H32" s="845">
        <f t="shared" si="42"/>
        <v>76319</v>
      </c>
      <c r="I32" s="845">
        <f t="shared" si="42"/>
        <v>76151</v>
      </c>
      <c r="J32" s="845">
        <f t="shared" ref="J32:O32" si="43">J255</f>
        <v>75877</v>
      </c>
      <c r="K32" s="845">
        <f t="shared" si="43"/>
        <v>77888</v>
      </c>
      <c r="L32" s="845">
        <f t="shared" si="43"/>
        <v>77715</v>
      </c>
      <c r="M32" s="845">
        <f t="shared" si="43"/>
        <v>77102</v>
      </c>
      <c r="N32" s="845">
        <f t="shared" si="43"/>
        <v>81592</v>
      </c>
      <c r="O32" s="845">
        <f t="shared" si="43"/>
        <v>81233</v>
      </c>
      <c r="Q32" s="842" t="s">
        <v>4896</v>
      </c>
    </row>
    <row r="33" spans="1:17" ht="15.75" thickBot="1">
      <c r="D33" s="845">
        <f t="shared" ref="D33:I33" si="44">D31+D32</f>
        <v>78612</v>
      </c>
      <c r="E33" s="845">
        <f t="shared" si="44"/>
        <v>80001</v>
      </c>
      <c r="F33" s="845">
        <f t="shared" si="44"/>
        <v>81028</v>
      </c>
      <c r="G33" s="845">
        <f t="shared" si="44"/>
        <v>81086</v>
      </c>
      <c r="H33" s="845">
        <f t="shared" si="44"/>
        <v>82514</v>
      </c>
      <c r="I33" s="845">
        <f t="shared" si="44"/>
        <v>82288</v>
      </c>
      <c r="J33" s="845">
        <f t="shared" ref="J33:O33" si="45">J31+J32</f>
        <v>81368</v>
      </c>
      <c r="K33" s="845">
        <f t="shared" si="45"/>
        <v>83721</v>
      </c>
      <c r="L33" s="845">
        <f t="shared" si="45"/>
        <v>83790</v>
      </c>
      <c r="M33" s="845">
        <f t="shared" si="45"/>
        <v>83069</v>
      </c>
      <c r="N33" s="845">
        <f t="shared" si="45"/>
        <v>87988</v>
      </c>
      <c r="O33" s="845">
        <f t="shared" si="45"/>
        <v>87667</v>
      </c>
    </row>
    <row r="34" spans="1:17">
      <c r="D34" s="848"/>
      <c r="E34" s="848"/>
      <c r="F34" s="848"/>
      <c r="G34" s="848"/>
      <c r="H34" s="848"/>
      <c r="I34" s="848"/>
      <c r="J34" s="848"/>
      <c r="K34" s="848"/>
      <c r="L34" s="848"/>
      <c r="M34" s="848"/>
      <c r="N34" s="848"/>
      <c r="O34" s="848"/>
    </row>
    <row r="35" spans="1:17">
      <c r="A35" s="842" t="s">
        <v>4897</v>
      </c>
      <c r="D35" s="844">
        <f t="shared" ref="D35:I35" si="46">D139</f>
        <v>48104</v>
      </c>
      <c r="E35" s="844">
        <f t="shared" si="46"/>
        <v>48529</v>
      </c>
      <c r="F35" s="844">
        <f t="shared" si="46"/>
        <v>49075</v>
      </c>
      <c r="G35" s="844">
        <f t="shared" si="46"/>
        <v>49590</v>
      </c>
      <c r="H35" s="844">
        <f t="shared" si="46"/>
        <v>49924</v>
      </c>
      <c r="I35" s="844">
        <f t="shared" si="46"/>
        <v>48507</v>
      </c>
      <c r="J35" s="844">
        <f t="shared" ref="J35:O35" si="47">J139</f>
        <v>48145</v>
      </c>
      <c r="K35" s="844">
        <f t="shared" si="47"/>
        <v>49508</v>
      </c>
      <c r="L35" s="844">
        <f t="shared" si="47"/>
        <v>49470</v>
      </c>
      <c r="M35" s="844">
        <f t="shared" si="47"/>
        <v>49158</v>
      </c>
      <c r="N35" s="844">
        <f t="shared" si="47"/>
        <v>49123</v>
      </c>
      <c r="O35" s="844">
        <f t="shared" si="47"/>
        <v>50329</v>
      </c>
      <c r="Q35" s="842" t="s">
        <v>4891</v>
      </c>
    </row>
    <row r="36" spans="1:17" ht="15.75" thickBot="1">
      <c r="D36" s="845">
        <f t="shared" ref="D36:I36" si="48">D256</f>
        <v>33040</v>
      </c>
      <c r="E36" s="845">
        <f t="shared" si="48"/>
        <v>33736</v>
      </c>
      <c r="F36" s="845">
        <f t="shared" si="48"/>
        <v>34217</v>
      </c>
      <c r="G36" s="845">
        <f t="shared" si="48"/>
        <v>34085</v>
      </c>
      <c r="H36" s="845">
        <f t="shared" si="48"/>
        <v>34395</v>
      </c>
      <c r="I36" s="845">
        <f t="shared" si="48"/>
        <v>34558</v>
      </c>
      <c r="J36" s="845">
        <f t="shared" ref="J36:O36" si="49">J256</f>
        <v>34412</v>
      </c>
      <c r="K36" s="845">
        <f t="shared" si="49"/>
        <v>35473</v>
      </c>
      <c r="L36" s="845">
        <f t="shared" si="49"/>
        <v>35198</v>
      </c>
      <c r="M36" s="845">
        <f t="shared" si="49"/>
        <v>34800</v>
      </c>
      <c r="N36" s="845">
        <f t="shared" si="49"/>
        <v>36888</v>
      </c>
      <c r="O36" s="845">
        <f t="shared" si="49"/>
        <v>36703</v>
      </c>
      <c r="Q36" s="842" t="s">
        <v>4896</v>
      </c>
    </row>
    <row r="37" spans="1:17" ht="15.75" thickBot="1">
      <c r="D37" s="845">
        <f t="shared" ref="D37:I37" si="50">SUM(D35:D36)</f>
        <v>81144</v>
      </c>
      <c r="E37" s="845">
        <f t="shared" si="50"/>
        <v>82265</v>
      </c>
      <c r="F37" s="845">
        <f t="shared" si="50"/>
        <v>83292</v>
      </c>
      <c r="G37" s="845">
        <f t="shared" si="50"/>
        <v>83675</v>
      </c>
      <c r="H37" s="845">
        <f t="shared" si="50"/>
        <v>84319</v>
      </c>
      <c r="I37" s="845">
        <f t="shared" si="50"/>
        <v>83065</v>
      </c>
      <c r="J37" s="845">
        <f t="shared" ref="J37:O37" si="51">SUM(J35:J36)</f>
        <v>82557</v>
      </c>
      <c r="K37" s="845">
        <f t="shared" si="51"/>
        <v>84981</v>
      </c>
      <c r="L37" s="845">
        <f t="shared" si="51"/>
        <v>84668</v>
      </c>
      <c r="M37" s="845">
        <f t="shared" si="51"/>
        <v>83958</v>
      </c>
      <c r="N37" s="845">
        <f t="shared" si="51"/>
        <v>86011</v>
      </c>
      <c r="O37" s="845">
        <f t="shared" si="51"/>
        <v>87032</v>
      </c>
    </row>
    <row r="38" spans="1:17">
      <c r="D38" s="847"/>
      <c r="E38" s="847"/>
      <c r="F38" s="847"/>
      <c r="G38" s="847"/>
      <c r="H38" s="847"/>
      <c r="I38" s="847"/>
      <c r="J38" s="847"/>
      <c r="K38" s="847"/>
      <c r="L38" s="847"/>
      <c r="M38" s="847"/>
      <c r="N38" s="847"/>
      <c r="O38" s="847"/>
    </row>
    <row r="39" spans="1:17">
      <c r="A39" s="842" t="s">
        <v>6796</v>
      </c>
      <c r="D39" s="844">
        <f t="shared" ref="D39:I39" si="52">D17+D19+D23+D27+D29+D33+D37</f>
        <v>555518</v>
      </c>
      <c r="E39" s="844">
        <f t="shared" si="52"/>
        <v>562526</v>
      </c>
      <c r="F39" s="844">
        <f t="shared" si="52"/>
        <v>566850</v>
      </c>
      <c r="G39" s="844">
        <f t="shared" si="52"/>
        <v>565974</v>
      </c>
      <c r="H39" s="844">
        <f t="shared" si="52"/>
        <v>572415</v>
      </c>
      <c r="I39" s="844">
        <f t="shared" si="52"/>
        <v>566021</v>
      </c>
      <c r="J39" s="844">
        <f t="shared" ref="J39:O39" si="53">J17+J19+J23+J27+J29+J33+J37</f>
        <v>554887</v>
      </c>
      <c r="K39" s="844">
        <f t="shared" si="53"/>
        <v>571830</v>
      </c>
      <c r="L39" s="844">
        <f t="shared" si="53"/>
        <v>572149</v>
      </c>
      <c r="M39" s="844">
        <f t="shared" si="53"/>
        <v>566760</v>
      </c>
      <c r="N39" s="844">
        <f t="shared" si="53"/>
        <v>590024</v>
      </c>
      <c r="O39" s="844">
        <f t="shared" si="53"/>
        <v>591247</v>
      </c>
    </row>
    <row r="40" spans="1:17">
      <c r="D40" s="847"/>
      <c r="E40" s="847"/>
      <c r="F40" s="847"/>
      <c r="G40" s="847"/>
      <c r="H40" s="847"/>
      <c r="I40" s="847"/>
      <c r="J40" s="847"/>
      <c r="K40" s="847"/>
      <c r="L40" s="847"/>
      <c r="M40" s="847"/>
      <c r="N40" s="847"/>
      <c r="O40" s="847"/>
    </row>
    <row r="41" spans="1:17">
      <c r="A41" s="842" t="s">
        <v>6797</v>
      </c>
      <c r="D41" s="844">
        <f t="shared" ref="D41:I41" si="54">MAX(D17,D19,D23,D27,D29,D33,D37)-MIN(D17,D19,D23,D27,D29,D33,D37)</f>
        <v>17626</v>
      </c>
      <c r="E41" s="844">
        <f t="shared" si="54"/>
        <v>16632</v>
      </c>
      <c r="F41" s="844">
        <f t="shared" si="54"/>
        <v>16147</v>
      </c>
      <c r="G41" s="844">
        <f t="shared" si="54"/>
        <v>16387</v>
      </c>
      <c r="H41" s="844">
        <f t="shared" si="54"/>
        <v>18888</v>
      </c>
      <c r="I41" s="844">
        <f t="shared" si="54"/>
        <v>18953</v>
      </c>
      <c r="J41" s="844">
        <f t="shared" ref="J41:O41" si="55">MAX(J17,J19,J23,J27,J29,J33,J37)-MIN(J17,J19,J23,J27,J29,J33,J37)</f>
        <v>22725</v>
      </c>
      <c r="K41" s="844">
        <f t="shared" si="55"/>
        <v>20975</v>
      </c>
      <c r="L41" s="844">
        <f t="shared" si="55"/>
        <v>21558</v>
      </c>
      <c r="M41" s="844">
        <f t="shared" si="55"/>
        <v>21897</v>
      </c>
      <c r="N41" s="844">
        <f t="shared" si="55"/>
        <v>22628</v>
      </c>
      <c r="O41" s="844">
        <f t="shared" si="55"/>
        <v>22443</v>
      </c>
    </row>
    <row r="42" spans="1:17">
      <c r="D42" s="847"/>
      <c r="E42" s="847"/>
      <c r="F42" s="847"/>
      <c r="G42" s="847"/>
      <c r="H42" s="847"/>
      <c r="I42" s="847"/>
      <c r="J42" s="847"/>
      <c r="K42" s="847"/>
      <c r="L42" s="847"/>
      <c r="M42" s="847"/>
      <c r="N42" s="847"/>
      <c r="O42" s="847"/>
    </row>
    <row r="43" spans="1:17">
      <c r="A43" s="842" t="s">
        <v>6800</v>
      </c>
      <c r="D43" s="844">
        <f t="shared" ref="D43:I43" si="56">STDEVP(D17,D19,D23,D27,D29,D33,D37)</f>
        <v>5169.0555842100457</v>
      </c>
      <c r="E43" s="844">
        <f t="shared" si="56"/>
        <v>5093.3232044811493</v>
      </c>
      <c r="F43" s="844">
        <f t="shared" si="56"/>
        <v>5035.4212153827339</v>
      </c>
      <c r="G43" s="844">
        <f t="shared" si="56"/>
        <v>5459.7387131919168</v>
      </c>
      <c r="H43" s="844">
        <f t="shared" si="56"/>
        <v>5588.6687108097285</v>
      </c>
      <c r="I43" s="844">
        <f t="shared" si="56"/>
        <v>5688.7203288254414</v>
      </c>
      <c r="J43" s="844">
        <f t="shared" ref="J43:O43" si="57">STDEVP(J17,J19,J23,J27,J29,J33,J37)</f>
        <v>7165.797809378796</v>
      </c>
      <c r="K43" s="844">
        <f t="shared" si="57"/>
        <v>6868.8806116530268</v>
      </c>
      <c r="L43" s="844">
        <f t="shared" si="57"/>
        <v>6561.3237744733633</v>
      </c>
      <c r="M43" s="844">
        <f t="shared" si="57"/>
        <v>6877.7799099561134</v>
      </c>
      <c r="N43" s="844">
        <f t="shared" si="57"/>
        <v>6668.5688425750895</v>
      </c>
      <c r="O43" s="844">
        <f t="shared" si="57"/>
        <v>6597.1322433868718</v>
      </c>
    </row>
    <row r="44" spans="1:17">
      <c r="A44" s="842"/>
      <c r="D44" s="849"/>
      <c r="E44" s="849"/>
      <c r="F44" s="849"/>
      <c r="G44" s="849"/>
      <c r="H44" s="849"/>
      <c r="I44" s="849"/>
      <c r="J44" s="849"/>
      <c r="K44" s="849"/>
      <c r="L44" s="849"/>
      <c r="M44" s="849"/>
      <c r="N44" s="849"/>
      <c r="O44" s="849"/>
    </row>
    <row r="45" spans="1:17">
      <c r="A45" s="168" t="s">
        <v>1996</v>
      </c>
    </row>
    <row r="48" spans="1:17">
      <c r="E48" s="51" t="s">
        <v>1526</v>
      </c>
      <c r="F48" s="51"/>
      <c r="G48" s="51"/>
      <c r="H48" s="51"/>
      <c r="I48" s="51"/>
      <c r="J48" s="51"/>
      <c r="K48" s="51"/>
      <c r="L48" s="51"/>
      <c r="M48" s="51"/>
      <c r="N48" s="51"/>
      <c r="O48" s="51"/>
      <c r="P48" s="138"/>
      <c r="Q48" s="138" t="s">
        <v>9479</v>
      </c>
    </row>
    <row r="49" spans="1:17">
      <c r="D49" s="507">
        <v>2010</v>
      </c>
      <c r="E49" s="507">
        <v>2011</v>
      </c>
      <c r="F49" s="507">
        <v>2012</v>
      </c>
      <c r="G49" s="507">
        <v>2013</v>
      </c>
      <c r="H49" s="507">
        <v>2014</v>
      </c>
      <c r="I49" s="507">
        <v>2015</v>
      </c>
      <c r="J49" s="507">
        <v>2016</v>
      </c>
      <c r="K49" s="507">
        <v>2017</v>
      </c>
      <c r="L49" s="507">
        <v>2018</v>
      </c>
      <c r="M49" s="507">
        <v>2019</v>
      </c>
      <c r="N49" s="507">
        <v>2020</v>
      </c>
      <c r="O49" s="987" t="s">
        <v>14823</v>
      </c>
      <c r="Q49" s="506" t="s">
        <v>1527</v>
      </c>
    </row>
    <row r="50" spans="1:17">
      <c r="A50" s="842" t="s">
        <v>1947</v>
      </c>
      <c r="C50" s="842"/>
      <c r="D50" s="844">
        <f t="shared" ref="D50:M50" si="58">SUM(D51:D53)+SUM(D54:D55)+SUM(D56:D59)+D61+D62+SUM(D64:D76)</f>
        <v>113970</v>
      </c>
      <c r="E50" s="844">
        <f t="shared" si="58"/>
        <v>119513</v>
      </c>
      <c r="F50" s="844">
        <f t="shared" si="58"/>
        <v>121182</v>
      </c>
      <c r="G50" s="844">
        <f t="shared" si="58"/>
        <v>120684</v>
      </c>
      <c r="H50" s="844">
        <f t="shared" si="58"/>
        <v>119920</v>
      </c>
      <c r="I50" s="844">
        <f t="shared" si="58"/>
        <v>119762</v>
      </c>
      <c r="J50" s="844">
        <f t="shared" si="58"/>
        <v>117844</v>
      </c>
      <c r="K50" s="844">
        <f t="shared" si="58"/>
        <v>120872</v>
      </c>
      <c r="L50" s="844">
        <f t="shared" si="58"/>
        <v>118379</v>
      </c>
      <c r="M50" s="844">
        <f t="shared" si="58"/>
        <v>116495</v>
      </c>
      <c r="N50" s="844">
        <f>SUM(N51:N53)+SUM(N54:N55)+SUM(N56:N59)+N61+N62+SUM(N64:N76)</f>
        <v>124178</v>
      </c>
      <c r="O50" s="844">
        <f>SUM(O51:O53)+SUM(O54:O55)+SUM(O56:O59)+O61+O62+SUM(O64:O76)</f>
        <v>124450</v>
      </c>
    </row>
    <row r="51" spans="1:17">
      <c r="A51" s="842" t="s">
        <v>5387</v>
      </c>
      <c r="B51" s="842" t="s">
        <v>1997</v>
      </c>
      <c r="C51" s="55" t="s">
        <v>11502</v>
      </c>
      <c r="D51" s="844">
        <v>44238</v>
      </c>
      <c r="E51" s="844">
        <v>46726</v>
      </c>
      <c r="F51" s="844">
        <v>47461</v>
      </c>
      <c r="G51" s="56">
        <v>47268</v>
      </c>
      <c r="H51" s="56">
        <v>47619</v>
      </c>
      <c r="I51" s="56">
        <v>47722</v>
      </c>
      <c r="J51" s="56">
        <v>47221</v>
      </c>
      <c r="K51" s="56">
        <v>2574</v>
      </c>
      <c r="L51" s="56">
        <v>2583</v>
      </c>
      <c r="M51" s="56">
        <v>2538</v>
      </c>
      <c r="N51" s="56">
        <v>2714</v>
      </c>
      <c r="O51" s="56">
        <v>2713</v>
      </c>
      <c r="Q51" s="842" t="s">
        <v>4892</v>
      </c>
    </row>
    <row r="52" spans="1:17">
      <c r="A52" s="842" t="s">
        <v>5389</v>
      </c>
      <c r="B52" s="842" t="s">
        <v>11504</v>
      </c>
      <c r="C52" s="55" t="s">
        <v>11503</v>
      </c>
      <c r="D52" s="844">
        <v>69732</v>
      </c>
      <c r="E52" s="844">
        <v>72787</v>
      </c>
      <c r="F52" s="844">
        <v>73721</v>
      </c>
      <c r="G52" s="56">
        <v>73416</v>
      </c>
      <c r="H52" s="56">
        <v>72301</v>
      </c>
      <c r="I52" s="56">
        <v>72040</v>
      </c>
      <c r="J52" s="56">
        <v>70623</v>
      </c>
      <c r="K52" s="56">
        <v>5797</v>
      </c>
      <c r="L52" s="56">
        <v>5591</v>
      </c>
      <c r="M52" s="56">
        <v>5433</v>
      </c>
      <c r="N52" s="56">
        <v>5690</v>
      </c>
      <c r="O52" s="56">
        <v>5698</v>
      </c>
      <c r="Q52" s="842" t="s">
        <v>4894</v>
      </c>
    </row>
    <row r="53" spans="1:17">
      <c r="A53" s="842" t="s">
        <v>5391</v>
      </c>
      <c r="B53" s="842" t="s">
        <v>6024</v>
      </c>
      <c r="C53" s="55" t="s">
        <v>11505</v>
      </c>
      <c r="D53" s="844">
        <v>0</v>
      </c>
      <c r="E53" s="844">
        <v>0</v>
      </c>
      <c r="F53" s="844">
        <v>0</v>
      </c>
      <c r="G53" s="56">
        <v>0</v>
      </c>
      <c r="H53" s="56">
        <v>0</v>
      </c>
      <c r="I53" s="56">
        <v>0</v>
      </c>
      <c r="J53" s="56">
        <v>0</v>
      </c>
      <c r="K53" s="56">
        <v>5780</v>
      </c>
      <c r="L53" s="508">
        <v>5614</v>
      </c>
      <c r="M53" s="508">
        <v>5636</v>
      </c>
      <c r="N53" s="508">
        <v>6250</v>
      </c>
      <c r="O53" s="508">
        <v>6290</v>
      </c>
      <c r="Q53" s="842" t="s">
        <v>4894</v>
      </c>
    </row>
    <row r="54" spans="1:17">
      <c r="A54" s="842" t="s">
        <v>5393</v>
      </c>
      <c r="B54" s="842" t="s">
        <v>1998</v>
      </c>
      <c r="C54" s="55" t="s">
        <v>11506</v>
      </c>
      <c r="D54" s="844">
        <v>0</v>
      </c>
      <c r="E54" s="844">
        <v>0</v>
      </c>
      <c r="F54" s="844">
        <v>0</v>
      </c>
      <c r="G54" s="56">
        <v>0</v>
      </c>
      <c r="H54" s="56">
        <v>0</v>
      </c>
      <c r="I54" s="56">
        <v>0</v>
      </c>
      <c r="J54" s="56">
        <v>0</v>
      </c>
      <c r="K54" s="56">
        <v>5568</v>
      </c>
      <c r="L54" s="56">
        <v>5341</v>
      </c>
      <c r="M54" s="56">
        <v>5290</v>
      </c>
      <c r="N54" s="56">
        <v>5537</v>
      </c>
      <c r="O54" s="56">
        <v>5557</v>
      </c>
      <c r="Q54" s="842" t="s">
        <v>4894</v>
      </c>
    </row>
    <row r="55" spans="1:17">
      <c r="A55" s="842" t="s">
        <v>5394</v>
      </c>
      <c r="B55" s="842" t="s">
        <v>1999</v>
      </c>
      <c r="C55" s="55" t="s">
        <v>11507</v>
      </c>
      <c r="D55" s="848">
        <v>0</v>
      </c>
      <c r="E55" s="848">
        <v>0</v>
      </c>
      <c r="F55" s="848">
        <v>0</v>
      </c>
      <c r="G55" s="848">
        <v>0</v>
      </c>
      <c r="H55" s="56">
        <v>0</v>
      </c>
      <c r="I55" s="56">
        <v>0</v>
      </c>
      <c r="J55" s="56">
        <v>0</v>
      </c>
      <c r="K55" s="56">
        <v>5218</v>
      </c>
      <c r="L55" s="508">
        <v>5091</v>
      </c>
      <c r="M55" s="508">
        <v>4994</v>
      </c>
      <c r="N55" s="508">
        <v>5329</v>
      </c>
      <c r="O55" s="508">
        <v>5377</v>
      </c>
      <c r="Q55" s="842" t="s">
        <v>4894</v>
      </c>
    </row>
    <row r="56" spans="1:17">
      <c r="A56" s="842" t="s">
        <v>5416</v>
      </c>
      <c r="B56" s="842" t="s">
        <v>11508</v>
      </c>
      <c r="C56" s="55" t="s">
        <v>11511</v>
      </c>
      <c r="D56" s="848">
        <v>0</v>
      </c>
      <c r="E56" s="848">
        <v>0</v>
      </c>
      <c r="F56" s="848">
        <v>0</v>
      </c>
      <c r="G56" s="56">
        <v>0</v>
      </c>
      <c r="H56" s="56">
        <v>0</v>
      </c>
      <c r="I56" s="56">
        <v>0</v>
      </c>
      <c r="J56" s="56">
        <v>0</v>
      </c>
      <c r="K56" s="56">
        <v>6919</v>
      </c>
      <c r="L56" s="56">
        <v>6890</v>
      </c>
      <c r="M56" s="56">
        <v>6850</v>
      </c>
      <c r="N56" s="56">
        <v>7240</v>
      </c>
      <c r="O56" s="56">
        <v>7222</v>
      </c>
      <c r="Q56" s="842" t="s">
        <v>4894</v>
      </c>
    </row>
    <row r="57" spans="1:17">
      <c r="A57" s="842" t="s">
        <v>5418</v>
      </c>
      <c r="B57" s="842" t="s">
        <v>11509</v>
      </c>
      <c r="C57" s="55" t="s">
        <v>11512</v>
      </c>
      <c r="D57" s="848">
        <v>0</v>
      </c>
      <c r="E57" s="848">
        <v>0</v>
      </c>
      <c r="F57" s="848">
        <v>0</v>
      </c>
      <c r="G57" s="56">
        <v>0</v>
      </c>
      <c r="H57" s="56">
        <v>0</v>
      </c>
      <c r="I57" s="56">
        <v>0</v>
      </c>
      <c r="J57" s="56">
        <v>0</v>
      </c>
      <c r="K57" s="56">
        <v>6204</v>
      </c>
      <c r="L57" s="56">
        <v>6068</v>
      </c>
      <c r="M57" s="56">
        <v>5933</v>
      </c>
      <c r="N57" s="56">
        <v>6310</v>
      </c>
      <c r="O57" s="56">
        <v>6329</v>
      </c>
      <c r="Q57" s="842" t="s">
        <v>4892</v>
      </c>
    </row>
    <row r="58" spans="1:17">
      <c r="A58" s="842" t="s">
        <v>5420</v>
      </c>
      <c r="B58" s="842" t="s">
        <v>11510</v>
      </c>
      <c r="C58" s="55" t="s">
        <v>11513</v>
      </c>
      <c r="D58" s="848">
        <v>0</v>
      </c>
      <c r="E58" s="848">
        <v>0</v>
      </c>
      <c r="F58" s="848">
        <v>0</v>
      </c>
      <c r="G58" s="56">
        <v>0</v>
      </c>
      <c r="H58" s="56">
        <v>0</v>
      </c>
      <c r="I58" s="56">
        <v>0</v>
      </c>
      <c r="J58" s="56">
        <v>0</v>
      </c>
      <c r="K58" s="56">
        <v>5857</v>
      </c>
      <c r="L58" s="56">
        <v>5701</v>
      </c>
      <c r="M58" s="56">
        <v>5598</v>
      </c>
      <c r="N58" s="56">
        <v>6038</v>
      </c>
      <c r="O58" s="56">
        <v>6057</v>
      </c>
      <c r="Q58" s="842" t="s">
        <v>4892</v>
      </c>
    </row>
    <row r="59" spans="1:17" ht="15.75" thickBot="1">
      <c r="A59" s="842"/>
      <c r="B59" s="842"/>
      <c r="C59" s="55" t="s">
        <v>11513</v>
      </c>
      <c r="D59" s="848">
        <v>0</v>
      </c>
      <c r="E59" s="848">
        <v>0</v>
      </c>
      <c r="F59" s="848">
        <v>0</v>
      </c>
      <c r="G59" s="848">
        <v>0</v>
      </c>
      <c r="H59" s="56">
        <v>0</v>
      </c>
      <c r="I59" s="56">
        <v>0</v>
      </c>
      <c r="J59" s="56">
        <v>0</v>
      </c>
      <c r="K59" s="58">
        <v>563</v>
      </c>
      <c r="L59" s="58">
        <v>548</v>
      </c>
      <c r="M59" s="58">
        <v>521</v>
      </c>
      <c r="N59" s="58">
        <v>577</v>
      </c>
      <c r="O59" s="58">
        <v>576</v>
      </c>
      <c r="Q59" s="842" t="s">
        <v>4894</v>
      </c>
    </row>
    <row r="60" spans="1:17" ht="15.75" thickBot="1">
      <c r="A60" s="842"/>
      <c r="B60" s="842"/>
      <c r="C60" s="55" t="s">
        <v>11513</v>
      </c>
      <c r="D60" s="850">
        <f t="shared" ref="D60:L60" si="59">D58+D59</f>
        <v>0</v>
      </c>
      <c r="E60" s="850">
        <f t="shared" si="59"/>
        <v>0</v>
      </c>
      <c r="F60" s="850">
        <f t="shared" si="59"/>
        <v>0</v>
      </c>
      <c r="G60" s="850">
        <f t="shared" si="59"/>
        <v>0</v>
      </c>
      <c r="H60" s="850">
        <f t="shared" si="59"/>
        <v>0</v>
      </c>
      <c r="I60" s="850">
        <f t="shared" si="59"/>
        <v>0</v>
      </c>
      <c r="J60" s="850">
        <f t="shared" si="59"/>
        <v>0</v>
      </c>
      <c r="K60" s="850">
        <f t="shared" si="59"/>
        <v>6420</v>
      </c>
      <c r="L60" s="850">
        <f t="shared" si="59"/>
        <v>6249</v>
      </c>
      <c r="M60" s="850">
        <f>M58+M59</f>
        <v>6119</v>
      </c>
      <c r="N60" s="850">
        <f>N58+N59</f>
        <v>6615</v>
      </c>
      <c r="O60" s="850">
        <f>O58+O59</f>
        <v>6633</v>
      </c>
      <c r="Q60" s="842"/>
    </row>
    <row r="61" spans="1:17">
      <c r="A61" s="842" t="s">
        <v>5422</v>
      </c>
      <c r="B61" s="842" t="s">
        <v>11514</v>
      </c>
      <c r="C61" s="55" t="s">
        <v>11515</v>
      </c>
      <c r="D61" s="848">
        <v>0</v>
      </c>
      <c r="E61" s="848">
        <v>0</v>
      </c>
      <c r="F61" s="848">
        <v>0</v>
      </c>
      <c r="G61" s="56">
        <v>0</v>
      </c>
      <c r="H61" s="56">
        <v>0</v>
      </c>
      <c r="I61" s="56">
        <v>0</v>
      </c>
      <c r="J61" s="56">
        <v>0</v>
      </c>
      <c r="K61" s="56">
        <v>4865</v>
      </c>
      <c r="L61" s="56">
        <v>4802</v>
      </c>
      <c r="M61" s="56">
        <v>4732</v>
      </c>
      <c r="N61" s="56">
        <v>4924</v>
      </c>
      <c r="O61" s="56">
        <v>4905</v>
      </c>
      <c r="Q61" s="842" t="s">
        <v>4892</v>
      </c>
    </row>
    <row r="62" spans="1:17" ht="15.75" thickBot="1">
      <c r="A62" s="842"/>
      <c r="B62" s="842"/>
      <c r="C62" s="55" t="s">
        <v>11515</v>
      </c>
      <c r="D62" s="848">
        <v>0</v>
      </c>
      <c r="E62" s="848">
        <v>0</v>
      </c>
      <c r="F62" s="848">
        <v>0</v>
      </c>
      <c r="G62" s="848">
        <v>0</v>
      </c>
      <c r="H62" s="56">
        <v>0</v>
      </c>
      <c r="I62" s="56">
        <v>0</v>
      </c>
      <c r="J62" s="56">
        <v>0</v>
      </c>
      <c r="K62" s="56">
        <v>395</v>
      </c>
      <c r="L62" s="56">
        <v>381</v>
      </c>
      <c r="M62" s="56">
        <v>382</v>
      </c>
      <c r="N62" s="56">
        <v>391</v>
      </c>
      <c r="O62" s="56">
        <v>392</v>
      </c>
      <c r="Q62" s="842" t="s">
        <v>4894</v>
      </c>
    </row>
    <row r="63" spans="1:17" ht="15.75" thickBot="1">
      <c r="A63" s="842"/>
      <c r="B63" s="842"/>
      <c r="C63" s="55" t="s">
        <v>11515</v>
      </c>
      <c r="D63" s="850">
        <f t="shared" ref="D63:L63" si="60">D61+D62</f>
        <v>0</v>
      </c>
      <c r="E63" s="850">
        <f t="shared" si="60"/>
        <v>0</v>
      </c>
      <c r="F63" s="850">
        <f t="shared" si="60"/>
        <v>0</v>
      </c>
      <c r="G63" s="850">
        <f t="shared" si="60"/>
        <v>0</v>
      </c>
      <c r="H63" s="850">
        <f t="shared" si="60"/>
        <v>0</v>
      </c>
      <c r="I63" s="850">
        <f t="shared" si="60"/>
        <v>0</v>
      </c>
      <c r="J63" s="850">
        <f t="shared" si="60"/>
        <v>0</v>
      </c>
      <c r="K63" s="850">
        <f t="shared" si="60"/>
        <v>5260</v>
      </c>
      <c r="L63" s="850">
        <f t="shared" si="60"/>
        <v>5183</v>
      </c>
      <c r="M63" s="850">
        <f>M61+M62</f>
        <v>5114</v>
      </c>
      <c r="N63" s="850">
        <f>N61+N62</f>
        <v>5315</v>
      </c>
      <c r="O63" s="850">
        <f>O61+O62</f>
        <v>5297</v>
      </c>
      <c r="Q63" s="842"/>
    </row>
    <row r="64" spans="1:17">
      <c r="A64" s="842" t="s">
        <v>5424</v>
      </c>
      <c r="B64" s="842" t="s">
        <v>11516</v>
      </c>
      <c r="C64" s="55" t="s">
        <v>11519</v>
      </c>
      <c r="D64" s="848">
        <v>0</v>
      </c>
      <c r="E64" s="848">
        <v>0</v>
      </c>
      <c r="F64" s="848">
        <v>0</v>
      </c>
      <c r="G64" s="56">
        <v>0</v>
      </c>
      <c r="H64" s="56">
        <v>0</v>
      </c>
      <c r="I64" s="56">
        <v>0</v>
      </c>
      <c r="J64" s="56">
        <v>0</v>
      </c>
      <c r="K64" s="58">
        <v>6178</v>
      </c>
      <c r="L64" s="58">
        <v>6041</v>
      </c>
      <c r="M64" s="58">
        <v>5960</v>
      </c>
      <c r="N64" s="58">
        <v>6255</v>
      </c>
      <c r="O64" s="58">
        <v>6257</v>
      </c>
      <c r="Q64" s="842" t="s">
        <v>4894</v>
      </c>
    </row>
    <row r="65" spans="1:17">
      <c r="A65" s="842" t="s">
        <v>5426</v>
      </c>
      <c r="B65" s="842" t="s">
        <v>11517</v>
      </c>
      <c r="C65" s="55" t="s">
        <v>11520</v>
      </c>
      <c r="D65" s="848">
        <v>0</v>
      </c>
      <c r="E65" s="848">
        <v>0</v>
      </c>
      <c r="F65" s="848">
        <v>0</v>
      </c>
      <c r="G65" s="56">
        <v>0</v>
      </c>
      <c r="H65" s="56">
        <v>0</v>
      </c>
      <c r="I65" s="56">
        <v>0</v>
      </c>
      <c r="J65" s="56">
        <v>0</v>
      </c>
      <c r="K65" s="56">
        <v>3885</v>
      </c>
      <c r="L65" s="56">
        <v>3802</v>
      </c>
      <c r="M65" s="56">
        <v>3821</v>
      </c>
      <c r="N65" s="56">
        <v>4316</v>
      </c>
      <c r="O65" s="56">
        <v>4346</v>
      </c>
      <c r="Q65" s="842" t="s">
        <v>4892</v>
      </c>
    </row>
    <row r="66" spans="1:17">
      <c r="A66" s="842" t="s">
        <v>5428</v>
      </c>
      <c r="B66" s="842" t="s">
        <v>11518</v>
      </c>
      <c r="C66" s="55" t="s">
        <v>11521</v>
      </c>
      <c r="D66" s="848">
        <v>0</v>
      </c>
      <c r="E66" s="848">
        <v>0</v>
      </c>
      <c r="F66" s="848">
        <v>0</v>
      </c>
      <c r="G66" s="56">
        <v>0</v>
      </c>
      <c r="H66" s="56">
        <v>0</v>
      </c>
      <c r="I66" s="56">
        <v>0</v>
      </c>
      <c r="J66" s="56">
        <v>0</v>
      </c>
      <c r="K66" s="56">
        <v>3904</v>
      </c>
      <c r="L66" s="56">
        <v>3916</v>
      </c>
      <c r="M66" s="56">
        <v>3957</v>
      </c>
      <c r="N66" s="56">
        <v>4721</v>
      </c>
      <c r="O66" s="56">
        <v>4773</v>
      </c>
      <c r="Q66" s="842" t="s">
        <v>4892</v>
      </c>
    </row>
    <row r="67" spans="1:17">
      <c r="A67" s="842" t="s">
        <v>5429</v>
      </c>
      <c r="B67" s="842" t="s">
        <v>6136</v>
      </c>
      <c r="C67" s="55" t="s">
        <v>11522</v>
      </c>
      <c r="D67" s="848">
        <v>0</v>
      </c>
      <c r="E67" s="848">
        <v>0</v>
      </c>
      <c r="F67" s="848">
        <v>0</v>
      </c>
      <c r="G67" s="56">
        <v>0</v>
      </c>
      <c r="H67" s="56">
        <v>0</v>
      </c>
      <c r="I67" s="56">
        <v>0</v>
      </c>
      <c r="J67" s="56">
        <v>0</v>
      </c>
      <c r="K67" s="58">
        <v>5484</v>
      </c>
      <c r="L67" s="58">
        <v>5359</v>
      </c>
      <c r="M67" s="58">
        <v>5233</v>
      </c>
      <c r="N67" s="58">
        <v>5498</v>
      </c>
      <c r="O67" s="58">
        <v>5524</v>
      </c>
      <c r="Q67" s="842" t="s">
        <v>4894</v>
      </c>
    </row>
    <row r="68" spans="1:17">
      <c r="A68" s="842" t="s">
        <v>5431</v>
      </c>
      <c r="B68" s="842" t="s">
        <v>6137</v>
      </c>
      <c r="C68" s="55" t="s">
        <v>11523</v>
      </c>
      <c r="D68" s="848">
        <v>0</v>
      </c>
      <c r="E68" s="848">
        <v>0</v>
      </c>
      <c r="F68" s="848">
        <v>0</v>
      </c>
      <c r="G68" s="56">
        <v>0</v>
      </c>
      <c r="H68" s="56">
        <v>0</v>
      </c>
      <c r="I68" s="56">
        <v>0</v>
      </c>
      <c r="J68" s="56">
        <v>0</v>
      </c>
      <c r="K68" s="56">
        <v>6614</v>
      </c>
      <c r="L68" s="56">
        <v>6427</v>
      </c>
      <c r="M68" s="56">
        <v>6240</v>
      </c>
      <c r="N68" s="56">
        <v>6534</v>
      </c>
      <c r="O68" s="56">
        <v>6528</v>
      </c>
      <c r="Q68" s="842" t="s">
        <v>4892</v>
      </c>
    </row>
    <row r="69" spans="1:17">
      <c r="A69" s="842" t="s">
        <v>5433</v>
      </c>
      <c r="B69" s="842" t="s">
        <v>6138</v>
      </c>
      <c r="C69" s="55" t="s">
        <v>11524</v>
      </c>
      <c r="D69" s="848">
        <v>0</v>
      </c>
      <c r="E69" s="848">
        <v>0</v>
      </c>
      <c r="F69" s="848">
        <v>0</v>
      </c>
      <c r="G69" s="56">
        <v>0</v>
      </c>
      <c r="H69" s="56">
        <v>0</v>
      </c>
      <c r="I69" s="56">
        <v>0</v>
      </c>
      <c r="J69" s="56">
        <v>0</v>
      </c>
      <c r="K69" s="56">
        <v>6798</v>
      </c>
      <c r="L69" s="56">
        <v>6681</v>
      </c>
      <c r="M69" s="56">
        <v>6537</v>
      </c>
      <c r="N69" s="56">
        <v>6817</v>
      </c>
      <c r="O69" s="56">
        <v>6801</v>
      </c>
      <c r="Q69" s="842" t="s">
        <v>4892</v>
      </c>
    </row>
    <row r="70" spans="1:17">
      <c r="A70" s="842" t="s">
        <v>5435</v>
      </c>
      <c r="B70" s="842" t="s">
        <v>1645</v>
      </c>
      <c r="C70" s="55" t="s">
        <v>11525</v>
      </c>
      <c r="D70" s="848">
        <v>0</v>
      </c>
      <c r="E70" s="848">
        <v>0</v>
      </c>
      <c r="F70" s="848">
        <v>0</v>
      </c>
      <c r="G70" s="56">
        <v>0</v>
      </c>
      <c r="H70" s="56">
        <v>0</v>
      </c>
      <c r="I70" s="56">
        <v>0</v>
      </c>
      <c r="J70" s="56">
        <v>0</v>
      </c>
      <c r="K70" s="58">
        <v>5546</v>
      </c>
      <c r="L70" s="58">
        <v>5502</v>
      </c>
      <c r="M70" s="58">
        <v>5325</v>
      </c>
      <c r="N70" s="58">
        <v>5703</v>
      </c>
      <c r="O70" s="58">
        <v>5692</v>
      </c>
      <c r="Q70" s="842" t="s">
        <v>4894</v>
      </c>
    </row>
    <row r="71" spans="1:17">
      <c r="A71" s="842" t="s">
        <v>5436</v>
      </c>
      <c r="B71" s="842" t="s">
        <v>11532</v>
      </c>
      <c r="C71" s="55" t="s">
        <v>11526</v>
      </c>
      <c r="D71" s="848">
        <v>0</v>
      </c>
      <c r="E71" s="848">
        <v>0</v>
      </c>
      <c r="F71" s="848">
        <v>0</v>
      </c>
      <c r="G71" s="56">
        <v>0</v>
      </c>
      <c r="H71" s="56">
        <v>0</v>
      </c>
      <c r="I71" s="56">
        <v>0</v>
      </c>
      <c r="J71" s="56">
        <v>0</v>
      </c>
      <c r="K71" s="58">
        <v>6603</v>
      </c>
      <c r="L71" s="58">
        <v>6305</v>
      </c>
      <c r="M71" s="58">
        <v>6142</v>
      </c>
      <c r="N71" s="58">
        <v>6434</v>
      </c>
      <c r="O71" s="58">
        <v>6440</v>
      </c>
      <c r="Q71" s="842" t="s">
        <v>4894</v>
      </c>
    </row>
    <row r="72" spans="1:17">
      <c r="A72" s="842" t="s">
        <v>5437</v>
      </c>
      <c r="B72" s="842" t="s">
        <v>6139</v>
      </c>
      <c r="C72" s="55" t="s">
        <v>11527</v>
      </c>
      <c r="D72" s="848">
        <v>0</v>
      </c>
      <c r="E72" s="848">
        <v>0</v>
      </c>
      <c r="F72" s="848">
        <v>0</v>
      </c>
      <c r="G72" s="56">
        <v>0</v>
      </c>
      <c r="H72" s="56">
        <v>0</v>
      </c>
      <c r="I72" s="56">
        <v>0</v>
      </c>
      <c r="J72" s="56">
        <v>0</v>
      </c>
      <c r="K72" s="58">
        <v>6445</v>
      </c>
      <c r="L72" s="58">
        <v>6224</v>
      </c>
      <c r="M72" s="58">
        <v>6147</v>
      </c>
      <c r="N72" s="58">
        <v>6407</v>
      </c>
      <c r="O72" s="58">
        <v>6442</v>
      </c>
      <c r="Q72" s="842" t="s">
        <v>4894</v>
      </c>
    </row>
    <row r="73" spans="1:17">
      <c r="A73" s="842" t="s">
        <v>5439</v>
      </c>
      <c r="B73" s="842" t="s">
        <v>11533</v>
      </c>
      <c r="C73" s="55" t="s">
        <v>11528</v>
      </c>
      <c r="D73" s="848">
        <v>0</v>
      </c>
      <c r="E73" s="848">
        <v>0</v>
      </c>
      <c r="F73" s="848">
        <v>0</v>
      </c>
      <c r="G73" s="56">
        <v>0</v>
      </c>
      <c r="H73" s="56">
        <v>0</v>
      </c>
      <c r="I73" s="56">
        <v>0</v>
      </c>
      <c r="J73" s="56">
        <v>0</v>
      </c>
      <c r="K73" s="56">
        <v>5557</v>
      </c>
      <c r="L73" s="56">
        <v>5658</v>
      </c>
      <c r="M73" s="56">
        <v>5685</v>
      </c>
      <c r="N73" s="56">
        <v>6259</v>
      </c>
      <c r="O73" s="56">
        <v>6273</v>
      </c>
      <c r="Q73" s="842" t="s">
        <v>4892</v>
      </c>
    </row>
    <row r="74" spans="1:17">
      <c r="A74" s="842" t="s">
        <v>5441</v>
      </c>
      <c r="B74" s="842" t="s">
        <v>3014</v>
      </c>
      <c r="C74" s="55" t="s">
        <v>11529</v>
      </c>
      <c r="D74" s="848">
        <v>0</v>
      </c>
      <c r="E74" s="848">
        <v>0</v>
      </c>
      <c r="F74" s="848">
        <v>0</v>
      </c>
      <c r="G74" s="56">
        <v>0</v>
      </c>
      <c r="H74" s="56">
        <v>0</v>
      </c>
      <c r="I74" s="56">
        <v>0</v>
      </c>
      <c r="J74" s="56">
        <v>0</v>
      </c>
      <c r="K74" s="58">
        <v>7687</v>
      </c>
      <c r="L74" s="58">
        <v>7564</v>
      </c>
      <c r="M74" s="58">
        <v>7459</v>
      </c>
      <c r="N74" s="58">
        <v>7717</v>
      </c>
      <c r="O74" s="58">
        <v>7736</v>
      </c>
      <c r="Q74" s="842" t="s">
        <v>4894</v>
      </c>
    </row>
    <row r="75" spans="1:17">
      <c r="A75" s="842" t="s">
        <v>5886</v>
      </c>
      <c r="B75" s="842" t="s">
        <v>6090</v>
      </c>
      <c r="C75" s="55" t="s">
        <v>11530</v>
      </c>
      <c r="D75" s="848">
        <v>0</v>
      </c>
      <c r="E75" s="848">
        <v>0</v>
      </c>
      <c r="F75" s="848">
        <v>0</v>
      </c>
      <c r="G75" s="56">
        <v>0</v>
      </c>
      <c r="H75" s="56">
        <v>0</v>
      </c>
      <c r="I75" s="56">
        <v>0</v>
      </c>
      <c r="J75" s="56">
        <v>0</v>
      </c>
      <c r="K75" s="58">
        <v>4024</v>
      </c>
      <c r="L75" s="58">
        <v>3973</v>
      </c>
      <c r="M75" s="58">
        <v>3852</v>
      </c>
      <c r="N75" s="58">
        <v>4034</v>
      </c>
      <c r="O75" s="58">
        <v>4038</v>
      </c>
      <c r="Q75" s="842" t="s">
        <v>4894</v>
      </c>
    </row>
    <row r="76" spans="1:17">
      <c r="A76" s="842" t="s">
        <v>5888</v>
      </c>
      <c r="B76" s="842" t="s">
        <v>11534</v>
      </c>
      <c r="C76" s="55" t="s">
        <v>11531</v>
      </c>
      <c r="D76" s="848">
        <v>0</v>
      </c>
      <c r="E76" s="848">
        <v>0</v>
      </c>
      <c r="F76" s="848">
        <v>0</v>
      </c>
      <c r="G76" s="56">
        <v>0</v>
      </c>
      <c r="H76" s="56">
        <v>0</v>
      </c>
      <c r="I76" s="56">
        <v>0</v>
      </c>
      <c r="J76" s="56">
        <v>0</v>
      </c>
      <c r="K76" s="56">
        <v>2407</v>
      </c>
      <c r="L76" s="56">
        <v>2317</v>
      </c>
      <c r="M76" s="56">
        <v>2230</v>
      </c>
      <c r="N76" s="56">
        <v>2483</v>
      </c>
      <c r="O76" s="56">
        <v>2484</v>
      </c>
      <c r="Q76" s="842" t="s">
        <v>4892</v>
      </c>
    </row>
    <row r="77" spans="1:17">
      <c r="A77" s="842"/>
      <c r="D77" s="847"/>
      <c r="E77" s="847"/>
      <c r="F77" s="847"/>
      <c r="G77" s="847"/>
      <c r="H77" s="847"/>
      <c r="I77" s="847"/>
      <c r="J77" s="847"/>
      <c r="K77" s="847"/>
      <c r="L77" s="847"/>
      <c r="M77" s="847"/>
      <c r="N77" s="847"/>
      <c r="O77" s="847"/>
    </row>
    <row r="78" spans="1:17">
      <c r="A78" s="842" t="s">
        <v>6091</v>
      </c>
      <c r="D78" s="844">
        <f t="shared" ref="D78:L78" si="61">D51+D57+D58+D61+D65+D66+D68+D69+D73+D76</f>
        <v>44238</v>
      </c>
      <c r="E78" s="844">
        <f t="shared" si="61"/>
        <v>46726</v>
      </c>
      <c r="F78" s="844">
        <f t="shared" si="61"/>
        <v>47461</v>
      </c>
      <c r="G78" s="844">
        <f t="shared" si="61"/>
        <v>47268</v>
      </c>
      <c r="H78" s="844">
        <f t="shared" si="61"/>
        <v>47619</v>
      </c>
      <c r="I78" s="844">
        <f t="shared" si="61"/>
        <v>47722</v>
      </c>
      <c r="J78" s="844">
        <f t="shared" si="61"/>
        <v>47221</v>
      </c>
      <c r="K78" s="844">
        <f t="shared" si="61"/>
        <v>48665</v>
      </c>
      <c r="L78" s="844">
        <f t="shared" si="61"/>
        <v>47955</v>
      </c>
      <c r="M78" s="844">
        <f>M51+M57+M58+M61+M65+M66+M68+M69+M73+M76</f>
        <v>47271</v>
      </c>
      <c r="N78" s="844">
        <f>N51+N57+N58+N61+N65+N66+N68+N69+N73+N76</f>
        <v>51116</v>
      </c>
      <c r="O78" s="844">
        <f>O51+O57+O58+O61+O65+O66+O68+O69+O73+O76</f>
        <v>51209</v>
      </c>
    </row>
    <row r="79" spans="1:17">
      <c r="A79" s="842" t="s">
        <v>4894</v>
      </c>
      <c r="D79" s="844">
        <f t="shared" ref="D79:M79" si="62">D52+D53+D54+D55+D56+D59+D62+D64+D67+SUM(D70:D72)+D74+D75</f>
        <v>69732</v>
      </c>
      <c r="E79" s="844">
        <f t="shared" si="62"/>
        <v>72787</v>
      </c>
      <c r="F79" s="844">
        <f t="shared" si="62"/>
        <v>73721</v>
      </c>
      <c r="G79" s="844">
        <f t="shared" si="62"/>
        <v>73416</v>
      </c>
      <c r="H79" s="844">
        <f t="shared" si="62"/>
        <v>72301</v>
      </c>
      <c r="I79" s="844">
        <f t="shared" si="62"/>
        <v>72040</v>
      </c>
      <c r="J79" s="844">
        <f t="shared" si="62"/>
        <v>70623</v>
      </c>
      <c r="K79" s="844">
        <f t="shared" si="62"/>
        <v>72207</v>
      </c>
      <c r="L79" s="844">
        <f t="shared" si="62"/>
        <v>70424</v>
      </c>
      <c r="M79" s="844">
        <f t="shared" si="62"/>
        <v>69224</v>
      </c>
      <c r="N79" s="844">
        <f>N52+N53+N54+N55+N56+N59+N62+N64+N67+SUM(N70:N72)+N74+N75</f>
        <v>73062</v>
      </c>
      <c r="O79" s="844">
        <f>O52+O53+O54+O55+O56+O59+O62+O64+O67+SUM(O70:O72)+O74+O75</f>
        <v>73241</v>
      </c>
    </row>
    <row r="80" spans="1:17">
      <c r="A80" s="842"/>
      <c r="B80" s="842"/>
      <c r="D80" s="851"/>
      <c r="E80" s="851"/>
      <c r="F80" s="851"/>
      <c r="G80" s="851"/>
      <c r="H80" s="851"/>
      <c r="I80" s="851"/>
      <c r="J80" s="851"/>
      <c r="K80" s="851"/>
      <c r="L80" s="851"/>
      <c r="M80" s="851"/>
      <c r="N80" s="851"/>
      <c r="O80" s="851"/>
    </row>
    <row r="81" spans="1:17">
      <c r="A81" s="168" t="s">
        <v>11535</v>
      </c>
      <c r="B81" s="842"/>
      <c r="D81" s="851"/>
      <c r="E81" s="851"/>
      <c r="F81" s="851"/>
      <c r="G81" s="851"/>
      <c r="H81" s="851"/>
      <c r="I81" s="851"/>
      <c r="J81" s="851"/>
      <c r="K81" s="851"/>
      <c r="L81" s="851"/>
      <c r="M81" s="851"/>
      <c r="N81" s="851"/>
      <c r="O81" s="851"/>
    </row>
    <row r="82" spans="1:17">
      <c r="A82" s="842"/>
      <c r="B82" s="842"/>
      <c r="D82" s="851"/>
      <c r="E82" s="851"/>
      <c r="F82" s="851"/>
      <c r="G82" s="851"/>
      <c r="H82" s="851"/>
      <c r="I82" s="851"/>
      <c r="J82" s="851"/>
      <c r="K82" s="851"/>
      <c r="L82" s="851"/>
      <c r="M82" s="851"/>
      <c r="N82" s="851"/>
      <c r="O82" s="851"/>
    </row>
    <row r="83" spans="1:17">
      <c r="A83" s="842"/>
      <c r="B83" s="842"/>
      <c r="D83" s="851"/>
      <c r="E83" s="851"/>
      <c r="F83" s="851"/>
      <c r="G83" s="851"/>
      <c r="H83" s="851"/>
      <c r="I83" s="851"/>
      <c r="J83" s="851"/>
      <c r="K83" s="851"/>
      <c r="L83" s="851"/>
      <c r="M83" s="851"/>
      <c r="N83" s="851"/>
      <c r="O83" s="851"/>
    </row>
    <row r="84" spans="1:17">
      <c r="E84" s="51" t="s">
        <v>1526</v>
      </c>
      <c r="F84" s="51"/>
      <c r="G84" s="51"/>
      <c r="H84" s="51"/>
      <c r="I84" s="51"/>
      <c r="J84" s="51"/>
      <c r="K84" s="51"/>
      <c r="L84" s="51"/>
      <c r="M84" s="51"/>
      <c r="N84" s="51"/>
      <c r="O84" s="51"/>
      <c r="P84" s="138"/>
      <c r="Q84" s="138" t="s">
        <v>9479</v>
      </c>
    </row>
    <row r="85" spans="1:17">
      <c r="D85" s="507">
        <v>2010</v>
      </c>
      <c r="E85" s="507">
        <v>2011</v>
      </c>
      <c r="F85" s="507">
        <v>2012</v>
      </c>
      <c r="G85" s="507">
        <v>2013</v>
      </c>
      <c r="H85" s="507">
        <v>2014</v>
      </c>
      <c r="I85" s="507">
        <v>2015</v>
      </c>
      <c r="J85" s="507">
        <v>2016</v>
      </c>
      <c r="K85" s="507">
        <v>2017</v>
      </c>
      <c r="L85" s="507">
        <v>2018</v>
      </c>
      <c r="M85" s="507">
        <v>2019</v>
      </c>
      <c r="N85" s="507">
        <v>2020</v>
      </c>
      <c r="O85" s="987" t="s">
        <v>14823</v>
      </c>
      <c r="Q85" s="506" t="s">
        <v>1527</v>
      </c>
    </row>
    <row r="86" spans="1:17">
      <c r="A86" s="842" t="s">
        <v>6092</v>
      </c>
      <c r="D86" s="844">
        <f t="shared" ref="D86:M86" si="63">SUM(D87:D92,D94:D100,D102:D104)</f>
        <v>81609</v>
      </c>
      <c r="E86" s="844">
        <f t="shared" si="63"/>
        <v>81291</v>
      </c>
      <c r="F86" s="844">
        <f t="shared" si="63"/>
        <v>81856</v>
      </c>
      <c r="G86" s="844">
        <f t="shared" si="63"/>
        <v>79341</v>
      </c>
      <c r="H86" s="844">
        <f t="shared" si="63"/>
        <v>82439</v>
      </c>
      <c r="I86" s="844">
        <f t="shared" si="63"/>
        <v>80802</v>
      </c>
      <c r="J86" s="844">
        <f t="shared" si="63"/>
        <v>72757</v>
      </c>
      <c r="K86" s="844">
        <f t="shared" si="63"/>
        <v>77556</v>
      </c>
      <c r="L86" s="844">
        <f t="shared" si="63"/>
        <v>80703</v>
      </c>
      <c r="M86" s="844">
        <f t="shared" si="63"/>
        <v>78804</v>
      </c>
      <c r="N86" s="844">
        <f>SUM(N87:N92,N94:N100,N102:N104)</f>
        <v>84566</v>
      </c>
      <c r="O86" s="844">
        <f>SUM(O87:O92,O94:O100,O102:O104)</f>
        <v>84955</v>
      </c>
    </row>
    <row r="87" spans="1:17">
      <c r="A87" s="842" t="s">
        <v>5387</v>
      </c>
      <c r="B87" s="842" t="s">
        <v>6402</v>
      </c>
      <c r="C87" s="168" t="s">
        <v>14883</v>
      </c>
      <c r="D87" s="844">
        <v>75612</v>
      </c>
      <c r="E87" s="844">
        <v>75259</v>
      </c>
      <c r="F87" s="844">
        <v>75702</v>
      </c>
      <c r="G87" s="844">
        <v>73612</v>
      </c>
      <c r="H87" s="844">
        <v>76244</v>
      </c>
      <c r="I87" s="844">
        <v>74665</v>
      </c>
      <c r="J87" s="844">
        <v>67266</v>
      </c>
      <c r="K87" s="844">
        <v>71723</v>
      </c>
      <c r="L87" s="844">
        <v>74628</v>
      </c>
      <c r="M87" s="844">
        <v>72837</v>
      </c>
      <c r="N87" s="63">
        <v>6601</v>
      </c>
      <c r="O87" s="63">
        <v>6629</v>
      </c>
      <c r="Q87" s="842" t="s">
        <v>4886</v>
      </c>
    </row>
    <row r="88" spans="1:17">
      <c r="A88" s="842" t="s">
        <v>5389</v>
      </c>
      <c r="B88" s="842" t="s">
        <v>6093</v>
      </c>
      <c r="C88" s="168" t="s">
        <v>14884</v>
      </c>
      <c r="D88" s="844">
        <v>0</v>
      </c>
      <c r="E88" s="844">
        <v>0</v>
      </c>
      <c r="F88" s="844">
        <v>0</v>
      </c>
      <c r="G88" s="844">
        <v>0</v>
      </c>
      <c r="H88" s="844">
        <v>0</v>
      </c>
      <c r="I88" s="844">
        <v>0</v>
      </c>
      <c r="J88" s="844">
        <v>0</v>
      </c>
      <c r="K88" s="844">
        <v>0</v>
      </c>
      <c r="L88" s="844">
        <v>0</v>
      </c>
      <c r="M88" s="844">
        <v>0</v>
      </c>
      <c r="N88" s="63">
        <v>5841</v>
      </c>
      <c r="O88" s="63">
        <v>5869</v>
      </c>
      <c r="Q88" s="842" t="s">
        <v>4886</v>
      </c>
    </row>
    <row r="89" spans="1:17">
      <c r="A89" s="842" t="s">
        <v>5391</v>
      </c>
      <c r="B89" s="842" t="s">
        <v>5904</v>
      </c>
      <c r="C89" s="168" t="s">
        <v>14885</v>
      </c>
      <c r="D89" s="844">
        <v>0</v>
      </c>
      <c r="E89" s="844">
        <v>0</v>
      </c>
      <c r="F89" s="844">
        <v>0</v>
      </c>
      <c r="G89" s="844">
        <v>0</v>
      </c>
      <c r="H89" s="844">
        <v>0</v>
      </c>
      <c r="I89" s="844">
        <v>0</v>
      </c>
      <c r="J89" s="844">
        <v>0</v>
      </c>
      <c r="K89" s="844">
        <v>0</v>
      </c>
      <c r="L89" s="844">
        <v>0</v>
      </c>
      <c r="M89" s="844">
        <v>0</v>
      </c>
      <c r="N89" s="63">
        <v>4178</v>
      </c>
      <c r="O89" s="63">
        <v>4205</v>
      </c>
      <c r="Q89" s="842" t="s">
        <v>4886</v>
      </c>
    </row>
    <row r="90" spans="1:17">
      <c r="A90" s="842" t="s">
        <v>5393</v>
      </c>
      <c r="B90" s="842" t="s">
        <v>6094</v>
      </c>
      <c r="C90" s="168" t="s">
        <v>14886</v>
      </c>
      <c r="D90" s="844">
        <v>0</v>
      </c>
      <c r="E90" s="844">
        <v>0</v>
      </c>
      <c r="F90" s="844">
        <v>0</v>
      </c>
      <c r="G90" s="844">
        <v>0</v>
      </c>
      <c r="H90" s="844">
        <v>0</v>
      </c>
      <c r="I90" s="844">
        <v>0</v>
      </c>
      <c r="J90" s="844">
        <v>0</v>
      </c>
      <c r="K90" s="844">
        <v>0</v>
      </c>
      <c r="L90" s="844">
        <v>0</v>
      </c>
      <c r="M90" s="844">
        <v>0</v>
      </c>
      <c r="N90" s="63">
        <v>5938</v>
      </c>
      <c r="O90" s="63">
        <v>5966</v>
      </c>
      <c r="Q90" s="842" t="s">
        <v>4886</v>
      </c>
    </row>
    <row r="91" spans="1:17">
      <c r="A91" s="842" t="s">
        <v>5394</v>
      </c>
      <c r="B91" s="842" t="s">
        <v>6095</v>
      </c>
      <c r="C91" s="168" t="s">
        <v>14887</v>
      </c>
      <c r="D91" s="844">
        <v>0</v>
      </c>
      <c r="E91" s="844">
        <v>0</v>
      </c>
      <c r="F91" s="844">
        <v>0</v>
      </c>
      <c r="G91" s="844">
        <v>0</v>
      </c>
      <c r="H91" s="844">
        <v>0</v>
      </c>
      <c r="I91" s="844">
        <v>0</v>
      </c>
      <c r="J91" s="844">
        <v>0</v>
      </c>
      <c r="K91" s="844">
        <v>0</v>
      </c>
      <c r="L91" s="844">
        <v>0</v>
      </c>
      <c r="M91" s="844">
        <v>0</v>
      </c>
      <c r="N91" s="63">
        <v>5922</v>
      </c>
      <c r="O91" s="63">
        <v>5940</v>
      </c>
      <c r="Q91" s="842" t="s">
        <v>4886</v>
      </c>
    </row>
    <row r="92" spans="1:17" ht="15.75" thickBot="1">
      <c r="A92" s="842"/>
      <c r="B92" s="842"/>
      <c r="C92" s="168" t="s">
        <v>14887</v>
      </c>
      <c r="D92" s="848">
        <v>0</v>
      </c>
      <c r="E92" s="848">
        <v>0</v>
      </c>
      <c r="F92" s="848">
        <v>0</v>
      </c>
      <c r="G92" s="848">
        <v>0</v>
      </c>
      <c r="H92" s="848">
        <v>0</v>
      </c>
      <c r="I92" s="848">
        <v>0</v>
      </c>
      <c r="J92" s="848">
        <v>0</v>
      </c>
      <c r="K92" s="848">
        <v>0</v>
      </c>
      <c r="L92" s="848">
        <v>0</v>
      </c>
      <c r="M92" s="848">
        <v>0</v>
      </c>
      <c r="N92" s="848">
        <v>9</v>
      </c>
      <c r="O92" s="848">
        <v>19</v>
      </c>
      <c r="Q92" s="842" t="s">
        <v>4895</v>
      </c>
    </row>
    <row r="93" spans="1:17" ht="15.75" thickBot="1">
      <c r="A93" s="842"/>
      <c r="B93" s="842"/>
      <c r="C93" s="168" t="s">
        <v>14887</v>
      </c>
      <c r="D93" s="850">
        <f t="shared" ref="D93:N93" si="64">D91+D92</f>
        <v>0</v>
      </c>
      <c r="E93" s="850">
        <f t="shared" si="64"/>
        <v>0</v>
      </c>
      <c r="F93" s="850">
        <f t="shared" si="64"/>
        <v>0</v>
      </c>
      <c r="G93" s="850">
        <f t="shared" si="64"/>
        <v>0</v>
      </c>
      <c r="H93" s="850">
        <f t="shared" si="64"/>
        <v>0</v>
      </c>
      <c r="I93" s="850">
        <f t="shared" si="64"/>
        <v>0</v>
      </c>
      <c r="J93" s="850">
        <f t="shared" si="64"/>
        <v>0</v>
      </c>
      <c r="K93" s="850">
        <f t="shared" si="64"/>
        <v>0</v>
      </c>
      <c r="L93" s="850">
        <f t="shared" si="64"/>
        <v>0</v>
      </c>
      <c r="M93" s="850">
        <f t="shared" si="64"/>
        <v>0</v>
      </c>
      <c r="N93" s="850">
        <f t="shared" si="64"/>
        <v>5931</v>
      </c>
      <c r="O93" s="850">
        <f>O91+O92</f>
        <v>5959</v>
      </c>
      <c r="Q93" s="842"/>
    </row>
    <row r="94" spans="1:17">
      <c r="A94" s="842" t="s">
        <v>5416</v>
      </c>
      <c r="B94" s="842" t="s">
        <v>5397</v>
      </c>
      <c r="C94" s="168" t="s">
        <v>14888</v>
      </c>
      <c r="D94" s="844">
        <v>0</v>
      </c>
      <c r="E94" s="844">
        <v>0</v>
      </c>
      <c r="F94" s="844">
        <v>0</v>
      </c>
      <c r="G94" s="844">
        <v>0</v>
      </c>
      <c r="H94" s="844">
        <v>0</v>
      </c>
      <c r="I94" s="844">
        <v>0</v>
      </c>
      <c r="J94" s="844">
        <v>0</v>
      </c>
      <c r="K94" s="844">
        <v>0</v>
      </c>
      <c r="L94" s="844">
        <v>0</v>
      </c>
      <c r="M94" s="844">
        <v>0</v>
      </c>
      <c r="N94" s="844">
        <v>6014</v>
      </c>
      <c r="O94" s="844">
        <v>6042</v>
      </c>
      <c r="Q94" s="842" t="s">
        <v>4886</v>
      </c>
    </row>
    <row r="95" spans="1:17">
      <c r="A95" s="842" t="s">
        <v>5418</v>
      </c>
      <c r="B95" s="842" t="s">
        <v>5398</v>
      </c>
      <c r="C95" s="168" t="s">
        <v>14889</v>
      </c>
      <c r="D95" s="844">
        <v>0</v>
      </c>
      <c r="E95" s="844">
        <v>0</v>
      </c>
      <c r="F95" s="844">
        <v>0</v>
      </c>
      <c r="G95" s="844">
        <v>0</v>
      </c>
      <c r="H95" s="844">
        <v>0</v>
      </c>
      <c r="I95" s="844">
        <v>0</v>
      </c>
      <c r="J95" s="844">
        <v>0</v>
      </c>
      <c r="K95" s="844">
        <v>0</v>
      </c>
      <c r="L95" s="844">
        <v>0</v>
      </c>
      <c r="M95" s="844">
        <v>0</v>
      </c>
      <c r="N95" s="844">
        <v>6023</v>
      </c>
      <c r="O95" s="844">
        <v>6051</v>
      </c>
      <c r="Q95" s="842" t="s">
        <v>4886</v>
      </c>
    </row>
    <row r="96" spans="1:17">
      <c r="A96" s="842" t="s">
        <v>5420</v>
      </c>
      <c r="B96" s="842" t="s">
        <v>5399</v>
      </c>
      <c r="C96" s="168" t="s">
        <v>14890</v>
      </c>
      <c r="D96" s="844">
        <v>0</v>
      </c>
      <c r="E96" s="844">
        <v>0</v>
      </c>
      <c r="F96" s="844">
        <v>0</v>
      </c>
      <c r="G96" s="844">
        <v>0</v>
      </c>
      <c r="H96" s="844">
        <v>0</v>
      </c>
      <c r="I96" s="844">
        <v>0</v>
      </c>
      <c r="J96" s="844">
        <v>0</v>
      </c>
      <c r="K96" s="844">
        <v>0</v>
      </c>
      <c r="L96" s="844">
        <v>0</v>
      </c>
      <c r="M96" s="844">
        <v>0</v>
      </c>
      <c r="N96" s="844">
        <v>6198</v>
      </c>
      <c r="O96" s="844">
        <v>6226</v>
      </c>
      <c r="Q96" s="842" t="s">
        <v>4886</v>
      </c>
    </row>
    <row r="97" spans="1:17">
      <c r="A97" s="842" t="s">
        <v>5422</v>
      </c>
      <c r="B97" s="842" t="s">
        <v>5882</v>
      </c>
      <c r="C97" s="168" t="s">
        <v>14891</v>
      </c>
      <c r="D97" s="844">
        <v>0</v>
      </c>
      <c r="E97" s="844">
        <v>0</v>
      </c>
      <c r="F97" s="844">
        <v>0</v>
      </c>
      <c r="G97" s="844">
        <v>0</v>
      </c>
      <c r="H97" s="844">
        <v>0</v>
      </c>
      <c r="I97" s="844">
        <v>0</v>
      </c>
      <c r="J97" s="844">
        <v>0</v>
      </c>
      <c r="K97" s="844">
        <v>0</v>
      </c>
      <c r="L97" s="844">
        <v>0</v>
      </c>
      <c r="M97" s="844">
        <v>0</v>
      </c>
      <c r="N97" s="844">
        <v>5935</v>
      </c>
      <c r="O97" s="844">
        <v>5962</v>
      </c>
      <c r="Q97" s="842" t="s">
        <v>4886</v>
      </c>
    </row>
    <row r="98" spans="1:17">
      <c r="A98" s="842" t="s">
        <v>5424</v>
      </c>
      <c r="B98" s="842" t="s">
        <v>4686</v>
      </c>
      <c r="C98" s="168" t="s">
        <v>14892</v>
      </c>
      <c r="D98" s="844">
        <v>0</v>
      </c>
      <c r="E98" s="844">
        <v>0</v>
      </c>
      <c r="F98" s="844">
        <v>0</v>
      </c>
      <c r="G98" s="844">
        <v>0</v>
      </c>
      <c r="H98" s="844">
        <v>0</v>
      </c>
      <c r="I98" s="844">
        <v>0</v>
      </c>
      <c r="J98" s="844">
        <v>0</v>
      </c>
      <c r="K98" s="844">
        <v>0</v>
      </c>
      <c r="L98" s="844">
        <v>0</v>
      </c>
      <c r="M98" s="844">
        <v>0</v>
      </c>
      <c r="N98" s="844">
        <v>6599</v>
      </c>
      <c r="O98" s="844">
        <v>6626</v>
      </c>
      <c r="Q98" s="842" t="s">
        <v>4886</v>
      </c>
    </row>
    <row r="99" spans="1:17">
      <c r="A99" s="842" t="s">
        <v>5426</v>
      </c>
      <c r="B99" s="842" t="s">
        <v>4687</v>
      </c>
      <c r="C99" s="168" t="s">
        <v>14893</v>
      </c>
      <c r="D99" s="844">
        <v>0</v>
      </c>
      <c r="E99" s="844">
        <v>0</v>
      </c>
      <c r="F99" s="844">
        <v>0</v>
      </c>
      <c r="G99" s="844">
        <v>0</v>
      </c>
      <c r="H99" s="844">
        <v>0</v>
      </c>
      <c r="I99" s="844">
        <v>0</v>
      </c>
      <c r="J99" s="844">
        <v>0</v>
      </c>
      <c r="K99" s="844">
        <v>0</v>
      </c>
      <c r="L99" s="844">
        <v>0</v>
      </c>
      <c r="M99" s="844">
        <v>0</v>
      </c>
      <c r="N99" s="844">
        <v>14</v>
      </c>
      <c r="O99" s="844">
        <v>14</v>
      </c>
      <c r="Q99" s="842" t="s">
        <v>4886</v>
      </c>
    </row>
    <row r="100" spans="1:17" ht="15.75" thickBot="1">
      <c r="A100" s="842"/>
      <c r="B100" s="842"/>
      <c r="C100" s="168" t="s">
        <v>14893</v>
      </c>
      <c r="D100" s="848">
        <v>5997</v>
      </c>
      <c r="E100" s="848">
        <v>6032</v>
      </c>
      <c r="F100" s="848">
        <v>6154</v>
      </c>
      <c r="G100" s="848">
        <v>5729</v>
      </c>
      <c r="H100" s="848">
        <v>6195</v>
      </c>
      <c r="I100" s="848">
        <v>6137</v>
      </c>
      <c r="J100" s="848">
        <v>5491</v>
      </c>
      <c r="K100" s="848">
        <v>5833</v>
      </c>
      <c r="L100" s="848">
        <v>6075</v>
      </c>
      <c r="M100" s="848">
        <v>5967</v>
      </c>
      <c r="N100" s="848">
        <v>6387</v>
      </c>
      <c r="O100" s="848">
        <v>6415</v>
      </c>
      <c r="Q100" s="842" t="s">
        <v>4895</v>
      </c>
    </row>
    <row r="101" spans="1:17" ht="15.75" thickBot="1">
      <c r="A101" s="842"/>
      <c r="B101" s="842"/>
      <c r="C101" s="168" t="s">
        <v>14893</v>
      </c>
      <c r="D101" s="850">
        <f t="shared" ref="D101:N101" si="65">D99+D100</f>
        <v>5997</v>
      </c>
      <c r="E101" s="850">
        <f t="shared" si="65"/>
        <v>6032</v>
      </c>
      <c r="F101" s="850">
        <f t="shared" si="65"/>
        <v>6154</v>
      </c>
      <c r="G101" s="850">
        <f t="shared" si="65"/>
        <v>5729</v>
      </c>
      <c r="H101" s="850">
        <f t="shared" si="65"/>
        <v>6195</v>
      </c>
      <c r="I101" s="850">
        <f t="shared" si="65"/>
        <v>6137</v>
      </c>
      <c r="J101" s="850">
        <f t="shared" si="65"/>
        <v>5491</v>
      </c>
      <c r="K101" s="850">
        <f t="shared" si="65"/>
        <v>5833</v>
      </c>
      <c r="L101" s="850">
        <f t="shared" si="65"/>
        <v>6075</v>
      </c>
      <c r="M101" s="850">
        <f t="shared" si="65"/>
        <v>5967</v>
      </c>
      <c r="N101" s="850">
        <f t="shared" si="65"/>
        <v>6401</v>
      </c>
      <c r="O101" s="850">
        <f>O99+O100</f>
        <v>6429</v>
      </c>
      <c r="Q101" s="842"/>
    </row>
    <row r="102" spans="1:17">
      <c r="A102" s="842" t="s">
        <v>5428</v>
      </c>
      <c r="B102" s="842" t="s">
        <v>4688</v>
      </c>
      <c r="C102" s="168" t="s">
        <v>14894</v>
      </c>
      <c r="D102" s="844">
        <v>0</v>
      </c>
      <c r="E102" s="844">
        <v>0</v>
      </c>
      <c r="F102" s="844">
        <v>0</v>
      </c>
      <c r="G102" s="844">
        <v>0</v>
      </c>
      <c r="H102" s="844">
        <v>0</v>
      </c>
      <c r="I102" s="844">
        <v>0</v>
      </c>
      <c r="J102" s="844">
        <v>0</v>
      </c>
      <c r="K102" s="844">
        <v>0</v>
      </c>
      <c r="L102" s="844">
        <v>0</v>
      </c>
      <c r="M102" s="844">
        <v>0</v>
      </c>
      <c r="N102" s="63">
        <v>6322</v>
      </c>
      <c r="O102" s="63">
        <v>6350</v>
      </c>
      <c r="Q102" s="842" t="s">
        <v>4886</v>
      </c>
    </row>
    <row r="103" spans="1:17">
      <c r="A103" s="842" t="s">
        <v>5429</v>
      </c>
      <c r="B103" s="842" t="s">
        <v>4689</v>
      </c>
      <c r="C103" s="168" t="s">
        <v>14895</v>
      </c>
      <c r="D103" s="844">
        <v>0</v>
      </c>
      <c r="E103" s="844">
        <v>0</v>
      </c>
      <c r="F103" s="844">
        <v>0</v>
      </c>
      <c r="G103" s="844">
        <v>0</v>
      </c>
      <c r="H103" s="844">
        <v>0</v>
      </c>
      <c r="I103" s="844">
        <v>0</v>
      </c>
      <c r="J103" s="844">
        <v>0</v>
      </c>
      <c r="K103" s="844">
        <v>0</v>
      </c>
      <c r="L103" s="844">
        <v>0</v>
      </c>
      <c r="M103" s="844">
        <v>0</v>
      </c>
      <c r="N103" s="63">
        <v>6419</v>
      </c>
      <c r="O103" s="63">
        <v>6447</v>
      </c>
      <c r="Q103" s="842" t="s">
        <v>4886</v>
      </c>
    </row>
    <row r="104" spans="1:17">
      <c r="A104" s="842" t="s">
        <v>5431</v>
      </c>
      <c r="B104" s="842" t="s">
        <v>4690</v>
      </c>
      <c r="C104" s="168" t="s">
        <v>14896</v>
      </c>
      <c r="D104" s="844">
        <v>0</v>
      </c>
      <c r="E104" s="844">
        <v>0</v>
      </c>
      <c r="F104" s="844">
        <v>0</v>
      </c>
      <c r="G104" s="844">
        <v>0</v>
      </c>
      <c r="H104" s="844">
        <v>0</v>
      </c>
      <c r="I104" s="844">
        <v>0</v>
      </c>
      <c r="J104" s="844">
        <v>0</v>
      </c>
      <c r="K104" s="844">
        <v>0</v>
      </c>
      <c r="L104" s="844">
        <v>0</v>
      </c>
      <c r="M104" s="844">
        <v>0</v>
      </c>
      <c r="N104" s="63">
        <v>6166</v>
      </c>
      <c r="O104" s="63">
        <v>6194</v>
      </c>
      <c r="Q104" s="842" t="s">
        <v>4886</v>
      </c>
    </row>
    <row r="105" spans="1:17">
      <c r="D105" s="847"/>
      <c r="E105" s="847"/>
      <c r="F105" s="847"/>
      <c r="G105" s="847"/>
      <c r="H105" s="847"/>
      <c r="I105" s="847"/>
      <c r="J105" s="847"/>
      <c r="K105" s="847"/>
      <c r="L105" s="847"/>
      <c r="M105" s="847"/>
      <c r="N105" s="847"/>
      <c r="O105" s="847"/>
    </row>
    <row r="106" spans="1:17">
      <c r="A106" s="842" t="s">
        <v>4886</v>
      </c>
      <c r="D106" s="844">
        <f t="shared" ref="D106:M106" si="66">SUM(D87:D91,D94:D99,D102:D104)</f>
        <v>75612</v>
      </c>
      <c r="E106" s="844">
        <f t="shared" si="66"/>
        <v>75259</v>
      </c>
      <c r="F106" s="844">
        <f t="shared" si="66"/>
        <v>75702</v>
      </c>
      <c r="G106" s="844">
        <f t="shared" si="66"/>
        <v>73612</v>
      </c>
      <c r="H106" s="844">
        <f t="shared" si="66"/>
        <v>76244</v>
      </c>
      <c r="I106" s="844">
        <f t="shared" si="66"/>
        <v>74665</v>
      </c>
      <c r="J106" s="844">
        <f t="shared" si="66"/>
        <v>67266</v>
      </c>
      <c r="K106" s="844">
        <f t="shared" si="66"/>
        <v>71723</v>
      </c>
      <c r="L106" s="844">
        <f t="shared" si="66"/>
        <v>74628</v>
      </c>
      <c r="M106" s="844">
        <f t="shared" si="66"/>
        <v>72837</v>
      </c>
      <c r="N106" s="844">
        <f>SUM(N87:N91,N94:N99,N102:N104)</f>
        <v>78170</v>
      </c>
      <c r="O106" s="844">
        <f>SUM(O87:O91,O94:O99,O102:O104)</f>
        <v>78521</v>
      </c>
    </row>
    <row r="107" spans="1:17">
      <c r="A107" s="842" t="s">
        <v>6896</v>
      </c>
      <c r="D107" s="844">
        <f t="shared" ref="D107:M107" si="67">SUM(D92,D100)</f>
        <v>5997</v>
      </c>
      <c r="E107" s="844">
        <f t="shared" si="67"/>
        <v>6032</v>
      </c>
      <c r="F107" s="844">
        <f t="shared" si="67"/>
        <v>6154</v>
      </c>
      <c r="G107" s="844">
        <f t="shared" si="67"/>
        <v>5729</v>
      </c>
      <c r="H107" s="844">
        <f t="shared" si="67"/>
        <v>6195</v>
      </c>
      <c r="I107" s="844">
        <f t="shared" si="67"/>
        <v>6137</v>
      </c>
      <c r="J107" s="844">
        <f t="shared" si="67"/>
        <v>5491</v>
      </c>
      <c r="K107" s="844">
        <f t="shared" si="67"/>
        <v>5833</v>
      </c>
      <c r="L107" s="844">
        <f t="shared" si="67"/>
        <v>6075</v>
      </c>
      <c r="M107" s="844">
        <f t="shared" si="67"/>
        <v>5967</v>
      </c>
      <c r="N107" s="844">
        <f>SUM(N92,N100)</f>
        <v>6396</v>
      </c>
      <c r="O107" s="844">
        <f>SUM(O92,O100)</f>
        <v>6434</v>
      </c>
    </row>
    <row r="108" spans="1:17">
      <c r="A108" s="842"/>
      <c r="D108" s="844"/>
      <c r="E108" s="844"/>
      <c r="F108" s="844"/>
      <c r="G108" s="844"/>
      <c r="H108" s="844"/>
      <c r="I108" s="844"/>
      <c r="J108" s="844"/>
      <c r="K108" s="844"/>
      <c r="L108" s="844"/>
      <c r="M108" s="844"/>
      <c r="N108" s="844"/>
      <c r="O108" s="844"/>
    </row>
    <row r="109" spans="1:17">
      <c r="A109" s="842" t="s">
        <v>12756</v>
      </c>
      <c r="D109" s="844"/>
      <c r="E109" s="844"/>
      <c r="F109" s="844"/>
      <c r="G109" s="844"/>
      <c r="H109" s="844"/>
      <c r="I109" s="844"/>
      <c r="J109" s="844"/>
      <c r="K109" s="844"/>
      <c r="L109" s="844"/>
      <c r="M109" s="844"/>
      <c r="N109" s="844"/>
      <c r="O109" s="844"/>
    </row>
    <row r="110" spans="1:17">
      <c r="A110" s="842"/>
      <c r="D110" s="844"/>
      <c r="E110" s="844"/>
      <c r="F110" s="844"/>
      <c r="G110" s="844"/>
      <c r="H110" s="844"/>
      <c r="I110" s="844"/>
      <c r="J110" s="844"/>
      <c r="K110" s="844"/>
      <c r="L110" s="844"/>
      <c r="M110" s="844"/>
      <c r="N110" s="844"/>
      <c r="O110" s="844"/>
    </row>
    <row r="111" spans="1:17">
      <c r="A111" s="1014" t="s">
        <v>16023</v>
      </c>
      <c r="D111" s="844"/>
      <c r="E111" s="844"/>
      <c r="F111" s="844"/>
      <c r="G111" s="844"/>
      <c r="H111" s="844"/>
      <c r="I111" s="844"/>
      <c r="J111" s="844"/>
      <c r="K111" s="844"/>
      <c r="L111" s="844"/>
      <c r="M111" s="844"/>
      <c r="N111" s="844"/>
      <c r="O111" s="844"/>
    </row>
    <row r="112" spans="1:17">
      <c r="A112" s="167" t="s">
        <v>16099</v>
      </c>
      <c r="B112" s="842"/>
      <c r="D112" s="851"/>
      <c r="E112" s="851"/>
      <c r="F112" s="851"/>
      <c r="G112" s="851"/>
      <c r="H112" s="851"/>
      <c r="I112" s="851"/>
      <c r="J112" s="851"/>
      <c r="K112" s="851"/>
      <c r="L112" s="851"/>
      <c r="M112" s="851"/>
      <c r="N112" s="851"/>
      <c r="O112" s="851"/>
    </row>
    <row r="113" spans="1:17">
      <c r="A113" s="842"/>
      <c r="B113" s="842"/>
      <c r="D113" s="851"/>
      <c r="E113" s="851"/>
      <c r="F113" s="851"/>
      <c r="G113" s="851"/>
      <c r="H113" s="851"/>
      <c r="I113" s="851"/>
      <c r="J113" s="851"/>
      <c r="K113" s="851"/>
      <c r="L113" s="851"/>
      <c r="M113" s="851"/>
      <c r="N113" s="851"/>
      <c r="O113" s="851"/>
    </row>
    <row r="114" spans="1:17">
      <c r="E114" s="51" t="s">
        <v>1526</v>
      </c>
      <c r="F114" s="51"/>
      <c r="G114" s="51"/>
      <c r="H114" s="51"/>
      <c r="I114" s="51"/>
      <c r="J114" s="51"/>
      <c r="K114" s="51"/>
      <c r="L114" s="51"/>
      <c r="M114" s="51"/>
      <c r="N114" s="51"/>
      <c r="O114" s="51"/>
      <c r="P114" s="138"/>
      <c r="Q114" s="138" t="s">
        <v>9479</v>
      </c>
    </row>
    <row r="115" spans="1:17">
      <c r="D115" s="507">
        <v>2010</v>
      </c>
      <c r="E115" s="507">
        <v>2011</v>
      </c>
      <c r="F115" s="507">
        <v>2012</v>
      </c>
      <c r="G115" s="507">
        <v>2013</v>
      </c>
      <c r="H115" s="507">
        <v>2014</v>
      </c>
      <c r="I115" s="507">
        <v>2015</v>
      </c>
      <c r="J115" s="507">
        <v>2016</v>
      </c>
      <c r="K115" s="507">
        <v>2017</v>
      </c>
      <c r="L115" s="507">
        <v>2018</v>
      </c>
      <c r="M115" s="507">
        <v>2019</v>
      </c>
      <c r="N115" s="507">
        <v>2020</v>
      </c>
      <c r="O115" s="987" t="s">
        <v>14823</v>
      </c>
      <c r="Q115" s="506" t="s">
        <v>1527</v>
      </c>
    </row>
    <row r="116" spans="1:17">
      <c r="A116" s="842" t="s">
        <v>1807</v>
      </c>
      <c r="D116" s="844">
        <f t="shared" ref="D116:N116" si="68">SUM(D117:D123,D125:D127,D129:D134,D136)</f>
        <v>60562</v>
      </c>
      <c r="E116" s="844">
        <f t="shared" si="68"/>
        <v>61073</v>
      </c>
      <c r="F116" s="844">
        <f t="shared" si="68"/>
        <v>61782</v>
      </c>
      <c r="G116" s="844">
        <f t="shared" si="68"/>
        <v>62510</v>
      </c>
      <c r="H116" s="844">
        <f t="shared" si="68"/>
        <v>62919</v>
      </c>
      <c r="I116" s="844">
        <f t="shared" si="68"/>
        <v>60857</v>
      </c>
      <c r="J116" s="844">
        <f t="shared" si="68"/>
        <v>60605</v>
      </c>
      <c r="K116" s="844">
        <f t="shared" si="68"/>
        <v>62463</v>
      </c>
      <c r="L116" s="844">
        <f t="shared" si="68"/>
        <v>62547</v>
      </c>
      <c r="M116" s="844">
        <f t="shared" si="68"/>
        <v>62140</v>
      </c>
      <c r="N116" s="844">
        <f t="shared" si="68"/>
        <v>62073</v>
      </c>
      <c r="O116" s="844">
        <f>SUM(O117:O123,O125:O127,O129:O134,O136)</f>
        <v>63516</v>
      </c>
    </row>
    <row r="117" spans="1:17">
      <c r="A117" s="842" t="s">
        <v>5387</v>
      </c>
      <c r="B117" s="842" t="s">
        <v>1808</v>
      </c>
      <c r="C117" s="55" t="s">
        <v>14149</v>
      </c>
      <c r="D117" s="844">
        <v>48104</v>
      </c>
      <c r="E117" s="844">
        <v>48529</v>
      </c>
      <c r="F117" s="844">
        <v>49075</v>
      </c>
      <c r="G117" s="844">
        <v>49590</v>
      </c>
      <c r="H117" s="844">
        <v>49924</v>
      </c>
      <c r="I117" s="844">
        <v>48507</v>
      </c>
      <c r="J117" s="844">
        <v>48145</v>
      </c>
      <c r="K117" s="844">
        <v>49508</v>
      </c>
      <c r="L117" s="844">
        <v>49470</v>
      </c>
      <c r="M117" s="844">
        <v>49158</v>
      </c>
      <c r="N117" s="63">
        <v>4363</v>
      </c>
      <c r="O117" s="63">
        <v>4411</v>
      </c>
      <c r="Q117" s="842" t="s">
        <v>4897</v>
      </c>
    </row>
    <row r="118" spans="1:17">
      <c r="A118" s="842" t="s">
        <v>5389</v>
      </c>
      <c r="B118" s="842" t="s">
        <v>1809</v>
      </c>
      <c r="C118" s="55" t="s">
        <v>14150</v>
      </c>
      <c r="D118" s="844">
        <v>0</v>
      </c>
      <c r="E118" s="844">
        <v>0</v>
      </c>
      <c r="F118" s="844">
        <v>0</v>
      </c>
      <c r="G118" s="844">
        <v>0</v>
      </c>
      <c r="H118" s="844">
        <v>0</v>
      </c>
      <c r="I118" s="844">
        <v>0</v>
      </c>
      <c r="J118" s="844">
        <v>0</v>
      </c>
      <c r="K118" s="844">
        <v>0</v>
      </c>
      <c r="L118" s="844">
        <v>0</v>
      </c>
      <c r="M118" s="844">
        <v>0</v>
      </c>
      <c r="N118" s="63">
        <v>4784</v>
      </c>
      <c r="O118" s="63">
        <v>4961</v>
      </c>
      <c r="Q118" s="842" t="s">
        <v>4897</v>
      </c>
    </row>
    <row r="119" spans="1:17">
      <c r="A119" s="842" t="s">
        <v>5391</v>
      </c>
      <c r="B119" s="842" t="s">
        <v>1810</v>
      </c>
      <c r="C119" s="55" t="s">
        <v>14151</v>
      </c>
      <c r="D119" s="844">
        <v>12458</v>
      </c>
      <c r="E119" s="844">
        <v>12544</v>
      </c>
      <c r="F119" s="844">
        <v>12707</v>
      </c>
      <c r="G119" s="844">
        <v>12920</v>
      </c>
      <c r="H119" s="844">
        <v>12995</v>
      </c>
      <c r="I119" s="844">
        <v>12350</v>
      </c>
      <c r="J119" s="844">
        <v>12460</v>
      </c>
      <c r="K119" s="844">
        <v>12955</v>
      </c>
      <c r="L119" s="844">
        <v>13077</v>
      </c>
      <c r="M119" s="844">
        <v>12982</v>
      </c>
      <c r="N119" s="63">
        <v>2340</v>
      </c>
      <c r="O119" s="63">
        <v>2369</v>
      </c>
      <c r="Q119" s="842" t="s">
        <v>4890</v>
      </c>
    </row>
    <row r="120" spans="1:17">
      <c r="A120" s="842" t="s">
        <v>5393</v>
      </c>
      <c r="B120" s="842" t="s">
        <v>3197</v>
      </c>
      <c r="C120" s="55" t="s">
        <v>14152</v>
      </c>
      <c r="D120" s="844">
        <v>0</v>
      </c>
      <c r="E120" s="844">
        <v>0</v>
      </c>
      <c r="F120" s="844">
        <v>0</v>
      </c>
      <c r="G120" s="844">
        <v>0</v>
      </c>
      <c r="H120" s="844">
        <v>0</v>
      </c>
      <c r="I120" s="844">
        <v>0</v>
      </c>
      <c r="J120" s="844">
        <v>0</v>
      </c>
      <c r="K120" s="844">
        <v>0</v>
      </c>
      <c r="L120" s="844">
        <v>0</v>
      </c>
      <c r="M120" s="844">
        <v>0</v>
      </c>
      <c r="N120" s="63">
        <v>4160</v>
      </c>
      <c r="O120" s="63">
        <v>4330</v>
      </c>
      <c r="Q120" s="842" t="s">
        <v>4897</v>
      </c>
    </row>
    <row r="121" spans="1:17">
      <c r="A121" s="842" t="s">
        <v>5394</v>
      </c>
      <c r="B121" s="842" t="s">
        <v>3198</v>
      </c>
      <c r="C121" s="55" t="s">
        <v>14153</v>
      </c>
      <c r="D121" s="844">
        <v>0</v>
      </c>
      <c r="E121" s="844">
        <v>0</v>
      </c>
      <c r="F121" s="844">
        <v>0</v>
      </c>
      <c r="G121" s="844">
        <v>0</v>
      </c>
      <c r="H121" s="844">
        <v>0</v>
      </c>
      <c r="I121" s="844">
        <v>0</v>
      </c>
      <c r="J121" s="844">
        <v>0</v>
      </c>
      <c r="K121" s="844">
        <v>0</v>
      </c>
      <c r="L121" s="844">
        <v>0</v>
      </c>
      <c r="M121" s="844">
        <v>0</v>
      </c>
      <c r="N121" s="63">
        <v>2917</v>
      </c>
      <c r="O121" s="63">
        <v>3044</v>
      </c>
      <c r="Q121" s="842" t="s">
        <v>4897</v>
      </c>
    </row>
    <row r="122" spans="1:17">
      <c r="A122" s="842" t="s">
        <v>5416</v>
      </c>
      <c r="B122" s="842" t="s">
        <v>3199</v>
      </c>
      <c r="C122" s="55" t="s">
        <v>14154</v>
      </c>
      <c r="D122" s="844">
        <v>0</v>
      </c>
      <c r="E122" s="844">
        <v>0</v>
      </c>
      <c r="F122" s="844">
        <v>0</v>
      </c>
      <c r="G122" s="844">
        <v>0</v>
      </c>
      <c r="H122" s="844">
        <v>0</v>
      </c>
      <c r="I122" s="844">
        <v>0</v>
      </c>
      <c r="J122" s="844">
        <v>0</v>
      </c>
      <c r="K122" s="844">
        <v>0</v>
      </c>
      <c r="L122" s="844">
        <v>0</v>
      </c>
      <c r="M122" s="844">
        <v>0</v>
      </c>
      <c r="N122" s="63">
        <v>0</v>
      </c>
      <c r="O122" s="63">
        <v>7</v>
      </c>
      <c r="Q122" s="842" t="s">
        <v>4890</v>
      </c>
    </row>
    <row r="123" spans="1:17" ht="15.75" thickBot="1">
      <c r="A123" s="842"/>
      <c r="B123" s="842"/>
      <c r="C123" s="55" t="s">
        <v>14154</v>
      </c>
      <c r="D123" s="844">
        <v>0</v>
      </c>
      <c r="E123" s="844">
        <v>0</v>
      </c>
      <c r="F123" s="844">
        <v>0</v>
      </c>
      <c r="G123" s="844">
        <v>0</v>
      </c>
      <c r="H123" s="844">
        <v>0</v>
      </c>
      <c r="I123" s="844">
        <v>0</v>
      </c>
      <c r="J123" s="844">
        <v>0</v>
      </c>
      <c r="K123" s="844">
        <v>0</v>
      </c>
      <c r="L123" s="844">
        <v>0</v>
      </c>
      <c r="M123" s="844">
        <v>0</v>
      </c>
      <c r="N123" s="63">
        <v>7066</v>
      </c>
      <c r="O123" s="63">
        <v>7162</v>
      </c>
      <c r="Q123" s="842" t="s">
        <v>4897</v>
      </c>
    </row>
    <row r="124" spans="1:17" ht="15.75" thickBot="1">
      <c r="A124" s="842"/>
      <c r="B124" s="842"/>
      <c r="C124" s="55" t="s">
        <v>14154</v>
      </c>
      <c r="D124" s="850">
        <f t="shared" ref="D124:N124" si="69">D122+D123</f>
        <v>0</v>
      </c>
      <c r="E124" s="850">
        <f t="shared" si="69"/>
        <v>0</v>
      </c>
      <c r="F124" s="850">
        <f t="shared" si="69"/>
        <v>0</v>
      </c>
      <c r="G124" s="850">
        <f t="shared" si="69"/>
        <v>0</v>
      </c>
      <c r="H124" s="850">
        <f t="shared" si="69"/>
        <v>0</v>
      </c>
      <c r="I124" s="850">
        <f t="shared" si="69"/>
        <v>0</v>
      </c>
      <c r="J124" s="850">
        <f t="shared" si="69"/>
        <v>0</v>
      </c>
      <c r="K124" s="850">
        <f t="shared" si="69"/>
        <v>0</v>
      </c>
      <c r="L124" s="850">
        <f t="shared" si="69"/>
        <v>0</v>
      </c>
      <c r="M124" s="850">
        <f t="shared" si="69"/>
        <v>0</v>
      </c>
      <c r="N124" s="850">
        <f t="shared" si="69"/>
        <v>7066</v>
      </c>
      <c r="O124" s="850">
        <f>O122+O123</f>
        <v>7169</v>
      </c>
      <c r="Q124" s="842"/>
    </row>
    <row r="125" spans="1:17">
      <c r="A125" s="842" t="s">
        <v>5418</v>
      </c>
      <c r="B125" s="842" t="s">
        <v>14146</v>
      </c>
      <c r="C125" s="55" t="s">
        <v>14155</v>
      </c>
      <c r="D125" s="844">
        <v>0</v>
      </c>
      <c r="E125" s="844">
        <v>0</v>
      </c>
      <c r="F125" s="844">
        <v>0</v>
      </c>
      <c r="G125" s="844">
        <v>0</v>
      </c>
      <c r="H125" s="844">
        <v>0</v>
      </c>
      <c r="I125" s="844">
        <v>0</v>
      </c>
      <c r="J125" s="844">
        <v>0</v>
      </c>
      <c r="K125" s="844">
        <v>0</v>
      </c>
      <c r="L125" s="844">
        <v>0</v>
      </c>
      <c r="M125" s="844">
        <v>0</v>
      </c>
      <c r="N125" s="63">
        <v>4638</v>
      </c>
      <c r="O125" s="63">
        <v>4688</v>
      </c>
      <c r="Q125" s="842" t="s">
        <v>4897</v>
      </c>
    </row>
    <row r="126" spans="1:17">
      <c r="A126" s="842" t="s">
        <v>5420</v>
      </c>
      <c r="B126" s="842" t="s">
        <v>3200</v>
      </c>
      <c r="C126" s="55" t="s">
        <v>14156</v>
      </c>
      <c r="D126" s="844">
        <v>0</v>
      </c>
      <c r="E126" s="844">
        <v>0</v>
      </c>
      <c r="F126" s="844">
        <v>0</v>
      </c>
      <c r="G126" s="844">
        <v>0</v>
      </c>
      <c r="H126" s="844">
        <v>0</v>
      </c>
      <c r="I126" s="844">
        <v>0</v>
      </c>
      <c r="J126" s="844">
        <v>0</v>
      </c>
      <c r="K126" s="844">
        <v>0</v>
      </c>
      <c r="L126" s="844">
        <v>0</v>
      </c>
      <c r="M126" s="844">
        <v>0</v>
      </c>
      <c r="N126" s="63">
        <v>0</v>
      </c>
      <c r="O126" s="63">
        <v>1</v>
      </c>
      <c r="Q126" s="842" t="s">
        <v>4890</v>
      </c>
    </row>
    <row r="127" spans="1:17" ht="15.75" thickBot="1">
      <c r="A127" s="842"/>
      <c r="B127" s="842"/>
      <c r="C127" s="55" t="s">
        <v>14156</v>
      </c>
      <c r="D127" s="844">
        <v>0</v>
      </c>
      <c r="E127" s="844">
        <v>0</v>
      </c>
      <c r="F127" s="844">
        <v>0</v>
      </c>
      <c r="G127" s="844">
        <v>0</v>
      </c>
      <c r="H127" s="844">
        <v>0</v>
      </c>
      <c r="I127" s="844">
        <v>0</v>
      </c>
      <c r="J127" s="844">
        <v>0</v>
      </c>
      <c r="K127" s="844">
        <v>0</v>
      </c>
      <c r="L127" s="844">
        <v>0</v>
      </c>
      <c r="M127" s="844">
        <v>0</v>
      </c>
      <c r="N127" s="63">
        <v>2586</v>
      </c>
      <c r="O127" s="63">
        <v>2665</v>
      </c>
      <c r="Q127" s="842" t="s">
        <v>4897</v>
      </c>
    </row>
    <row r="128" spans="1:17" ht="15.75" thickBot="1">
      <c r="A128" s="842"/>
      <c r="B128" s="842"/>
      <c r="C128" s="55" t="s">
        <v>14156</v>
      </c>
      <c r="D128" s="850">
        <f t="shared" ref="D128:N128" si="70">D126+D127</f>
        <v>0</v>
      </c>
      <c r="E128" s="850">
        <f t="shared" si="70"/>
        <v>0</v>
      </c>
      <c r="F128" s="850">
        <f t="shared" si="70"/>
        <v>0</v>
      </c>
      <c r="G128" s="850">
        <f t="shared" si="70"/>
        <v>0</v>
      </c>
      <c r="H128" s="850">
        <f t="shared" si="70"/>
        <v>0</v>
      </c>
      <c r="I128" s="850">
        <f t="shared" si="70"/>
        <v>0</v>
      </c>
      <c r="J128" s="850">
        <f t="shared" si="70"/>
        <v>0</v>
      </c>
      <c r="K128" s="850">
        <f t="shared" si="70"/>
        <v>0</v>
      </c>
      <c r="L128" s="850">
        <f t="shared" si="70"/>
        <v>0</v>
      </c>
      <c r="M128" s="850">
        <f t="shared" si="70"/>
        <v>0</v>
      </c>
      <c r="N128" s="850">
        <f t="shared" si="70"/>
        <v>2586</v>
      </c>
      <c r="O128" s="850">
        <f>O126+O127</f>
        <v>2666</v>
      </c>
      <c r="Q128" s="842"/>
    </row>
    <row r="129" spans="1:17">
      <c r="A129" s="842" t="s">
        <v>5422</v>
      </c>
      <c r="B129" s="842" t="s">
        <v>14147</v>
      </c>
      <c r="C129" s="55" t="s">
        <v>14157</v>
      </c>
      <c r="D129" s="844">
        <v>0</v>
      </c>
      <c r="E129" s="844">
        <v>0</v>
      </c>
      <c r="F129" s="844">
        <v>0</v>
      </c>
      <c r="G129" s="844">
        <v>0</v>
      </c>
      <c r="H129" s="844">
        <v>0</v>
      </c>
      <c r="I129" s="844">
        <v>0</v>
      </c>
      <c r="J129" s="844">
        <v>0</v>
      </c>
      <c r="K129" s="844">
        <v>0</v>
      </c>
      <c r="L129" s="844">
        <v>0</v>
      </c>
      <c r="M129" s="844">
        <v>0</v>
      </c>
      <c r="N129" s="63">
        <v>6479</v>
      </c>
      <c r="O129" s="63">
        <v>6657</v>
      </c>
      <c r="Q129" s="842" t="s">
        <v>4890</v>
      </c>
    </row>
    <row r="130" spans="1:17">
      <c r="A130" s="842" t="s">
        <v>5424</v>
      </c>
      <c r="B130" s="842" t="s">
        <v>3173</v>
      </c>
      <c r="C130" s="55" t="s">
        <v>14158</v>
      </c>
      <c r="D130" s="844">
        <v>0</v>
      </c>
      <c r="E130" s="844">
        <v>0</v>
      </c>
      <c r="F130" s="844">
        <v>0</v>
      </c>
      <c r="G130" s="844">
        <v>0</v>
      </c>
      <c r="H130" s="844">
        <v>0</v>
      </c>
      <c r="I130" s="844">
        <v>0</v>
      </c>
      <c r="J130" s="844">
        <v>0</v>
      </c>
      <c r="K130" s="844">
        <v>0</v>
      </c>
      <c r="L130" s="844">
        <v>0</v>
      </c>
      <c r="M130" s="844">
        <v>0</v>
      </c>
      <c r="N130" s="63">
        <v>4497</v>
      </c>
      <c r="O130" s="63">
        <v>4600</v>
      </c>
      <c r="Q130" s="842" t="s">
        <v>4897</v>
      </c>
    </row>
    <row r="131" spans="1:17">
      <c r="A131" s="842" t="s">
        <v>5426</v>
      </c>
      <c r="B131" s="842" t="s">
        <v>3174</v>
      </c>
      <c r="C131" s="55" t="s">
        <v>14159</v>
      </c>
      <c r="D131" s="844">
        <v>0</v>
      </c>
      <c r="E131" s="844">
        <v>0</v>
      </c>
      <c r="F131" s="844">
        <v>0</v>
      </c>
      <c r="G131" s="844">
        <v>0</v>
      </c>
      <c r="H131" s="844">
        <v>0</v>
      </c>
      <c r="I131" s="844">
        <v>0</v>
      </c>
      <c r="J131" s="844">
        <v>0</v>
      </c>
      <c r="K131" s="844">
        <v>0</v>
      </c>
      <c r="L131" s="844">
        <v>0</v>
      </c>
      <c r="M131" s="844">
        <v>0</v>
      </c>
      <c r="N131" s="63">
        <v>4100</v>
      </c>
      <c r="O131" s="63">
        <v>4285</v>
      </c>
      <c r="Q131" s="842" t="s">
        <v>4897</v>
      </c>
    </row>
    <row r="132" spans="1:17">
      <c r="A132" s="842" t="s">
        <v>5428</v>
      </c>
      <c r="B132" s="842" t="s">
        <v>3175</v>
      </c>
      <c r="C132" s="55" t="s">
        <v>14160</v>
      </c>
      <c r="D132" s="844">
        <v>0</v>
      </c>
      <c r="E132" s="844">
        <v>0</v>
      </c>
      <c r="F132" s="844">
        <v>0</v>
      </c>
      <c r="G132" s="844">
        <v>0</v>
      </c>
      <c r="H132" s="844">
        <v>0</v>
      </c>
      <c r="I132" s="844">
        <v>0</v>
      </c>
      <c r="J132" s="844">
        <v>0</v>
      </c>
      <c r="K132" s="844">
        <v>0</v>
      </c>
      <c r="L132" s="844">
        <v>0</v>
      </c>
      <c r="M132" s="844">
        <v>0</v>
      </c>
      <c r="N132" s="63">
        <v>4936</v>
      </c>
      <c r="O132" s="63">
        <v>5044</v>
      </c>
      <c r="Q132" s="842" t="s">
        <v>4897</v>
      </c>
    </row>
    <row r="133" spans="1:17">
      <c r="A133" s="842" t="s">
        <v>5429</v>
      </c>
      <c r="B133" s="842" t="s">
        <v>6890</v>
      </c>
      <c r="C133" s="55" t="s">
        <v>14161</v>
      </c>
      <c r="D133" s="844">
        <v>0</v>
      </c>
      <c r="E133" s="844">
        <v>0</v>
      </c>
      <c r="F133" s="844">
        <v>0</v>
      </c>
      <c r="G133" s="844">
        <v>0</v>
      </c>
      <c r="H133" s="844">
        <v>0</v>
      </c>
      <c r="I133" s="844">
        <v>0</v>
      </c>
      <c r="J133" s="844">
        <v>0</v>
      </c>
      <c r="K133" s="844">
        <v>0</v>
      </c>
      <c r="L133" s="844">
        <v>0</v>
      </c>
      <c r="M133" s="844">
        <v>0</v>
      </c>
      <c r="N133" s="63">
        <v>4131</v>
      </c>
      <c r="O133" s="63">
        <v>4153</v>
      </c>
      <c r="Q133" s="842" t="s">
        <v>4890</v>
      </c>
    </row>
    <row r="134" spans="1:17" ht="15.75" thickBot="1">
      <c r="A134" s="842"/>
      <c r="B134" s="842"/>
      <c r="C134" s="55" t="s">
        <v>14161</v>
      </c>
      <c r="D134" s="844">
        <v>0</v>
      </c>
      <c r="E134" s="844">
        <v>0</v>
      </c>
      <c r="F134" s="844">
        <v>0</v>
      </c>
      <c r="G134" s="844">
        <v>0</v>
      </c>
      <c r="H134" s="844">
        <v>0</v>
      </c>
      <c r="I134" s="844">
        <v>0</v>
      </c>
      <c r="J134" s="844">
        <v>0</v>
      </c>
      <c r="K134" s="844">
        <v>0</v>
      </c>
      <c r="L134" s="844">
        <v>0</v>
      </c>
      <c r="M134" s="844">
        <v>0</v>
      </c>
      <c r="N134" s="63">
        <v>125</v>
      </c>
      <c r="O134" s="63">
        <v>129</v>
      </c>
      <c r="Q134" s="842" t="s">
        <v>4897</v>
      </c>
    </row>
    <row r="135" spans="1:17" ht="15.75" thickBot="1">
      <c r="A135" s="842"/>
      <c r="B135" s="842"/>
      <c r="C135" s="55" t="s">
        <v>14161</v>
      </c>
      <c r="D135" s="850">
        <f t="shared" ref="D135:N135" si="71">D133+D134</f>
        <v>0</v>
      </c>
      <c r="E135" s="850">
        <f t="shared" si="71"/>
        <v>0</v>
      </c>
      <c r="F135" s="850">
        <f t="shared" si="71"/>
        <v>0</v>
      </c>
      <c r="G135" s="850">
        <f t="shared" si="71"/>
        <v>0</v>
      </c>
      <c r="H135" s="850">
        <f t="shared" si="71"/>
        <v>0</v>
      </c>
      <c r="I135" s="850">
        <f t="shared" si="71"/>
        <v>0</v>
      </c>
      <c r="J135" s="850">
        <f t="shared" si="71"/>
        <v>0</v>
      </c>
      <c r="K135" s="850">
        <f t="shared" si="71"/>
        <v>0</v>
      </c>
      <c r="L135" s="850">
        <f t="shared" si="71"/>
        <v>0</v>
      </c>
      <c r="M135" s="850">
        <f t="shared" si="71"/>
        <v>0</v>
      </c>
      <c r="N135" s="850">
        <f t="shared" si="71"/>
        <v>4256</v>
      </c>
      <c r="O135" s="850">
        <f>O133+O134</f>
        <v>4282</v>
      </c>
      <c r="Q135" s="842"/>
    </row>
    <row r="136" spans="1:17">
      <c r="A136" s="842" t="s">
        <v>5431</v>
      </c>
      <c r="B136" s="842" t="s">
        <v>14148</v>
      </c>
      <c r="C136" s="55" t="s">
        <v>14162</v>
      </c>
      <c r="D136" s="844">
        <v>0</v>
      </c>
      <c r="E136" s="844">
        <v>0</v>
      </c>
      <c r="F136" s="844">
        <v>0</v>
      </c>
      <c r="G136" s="844">
        <v>0</v>
      </c>
      <c r="H136" s="844">
        <v>0</v>
      </c>
      <c r="I136" s="844">
        <v>0</v>
      </c>
      <c r="J136" s="844">
        <v>0</v>
      </c>
      <c r="K136" s="844">
        <v>0</v>
      </c>
      <c r="L136" s="844">
        <v>0</v>
      </c>
      <c r="M136" s="844">
        <v>0</v>
      </c>
      <c r="N136" s="63">
        <v>4951</v>
      </c>
      <c r="O136" s="63">
        <v>5010</v>
      </c>
      <c r="Q136" s="842" t="s">
        <v>4897</v>
      </c>
    </row>
    <row r="137" spans="1:17">
      <c r="A137" s="842"/>
      <c r="B137" s="842"/>
      <c r="C137" s="55"/>
      <c r="D137" s="844"/>
      <c r="E137" s="844"/>
      <c r="F137" s="844"/>
      <c r="G137" s="63"/>
      <c r="H137" s="63"/>
      <c r="I137" s="63"/>
      <c r="J137" s="63"/>
      <c r="K137" s="63"/>
      <c r="L137" s="63"/>
      <c r="M137" s="63"/>
      <c r="N137" s="63"/>
      <c r="O137" s="63"/>
      <c r="Q137" s="842"/>
    </row>
    <row r="138" spans="1:17">
      <c r="A138" s="842" t="s">
        <v>3176</v>
      </c>
      <c r="D138" s="844">
        <f t="shared" ref="D138:N138" si="72">SUM(D119,D122,D126,D129,D133)</f>
        <v>12458</v>
      </c>
      <c r="E138" s="844">
        <f t="shared" si="72"/>
        <v>12544</v>
      </c>
      <c r="F138" s="844">
        <f t="shared" si="72"/>
        <v>12707</v>
      </c>
      <c r="G138" s="844">
        <f t="shared" si="72"/>
        <v>12920</v>
      </c>
      <c r="H138" s="844">
        <f t="shared" si="72"/>
        <v>12995</v>
      </c>
      <c r="I138" s="844">
        <f t="shared" si="72"/>
        <v>12350</v>
      </c>
      <c r="J138" s="844">
        <f t="shared" si="72"/>
        <v>12460</v>
      </c>
      <c r="K138" s="844">
        <f t="shared" si="72"/>
        <v>12955</v>
      </c>
      <c r="L138" s="844">
        <f t="shared" si="72"/>
        <v>13077</v>
      </c>
      <c r="M138" s="844">
        <f t="shared" si="72"/>
        <v>12982</v>
      </c>
      <c r="N138" s="844">
        <f t="shared" si="72"/>
        <v>12950</v>
      </c>
      <c r="O138" s="844">
        <f>SUM(O119,O122,O126,O129,O133)</f>
        <v>13187</v>
      </c>
    </row>
    <row r="139" spans="1:17">
      <c r="A139" s="842" t="s">
        <v>3177</v>
      </c>
      <c r="D139" s="844">
        <f t="shared" ref="D139:N139" si="73">SUM(D117:D118,D120:D121,D123,D125,D127,D130:D132,D134,D136)</f>
        <v>48104</v>
      </c>
      <c r="E139" s="844">
        <f t="shared" si="73"/>
        <v>48529</v>
      </c>
      <c r="F139" s="844">
        <f t="shared" si="73"/>
        <v>49075</v>
      </c>
      <c r="G139" s="844">
        <f t="shared" si="73"/>
        <v>49590</v>
      </c>
      <c r="H139" s="844">
        <f t="shared" si="73"/>
        <v>49924</v>
      </c>
      <c r="I139" s="844">
        <f t="shared" si="73"/>
        <v>48507</v>
      </c>
      <c r="J139" s="844">
        <f t="shared" si="73"/>
        <v>48145</v>
      </c>
      <c r="K139" s="844">
        <f t="shared" si="73"/>
        <v>49508</v>
      </c>
      <c r="L139" s="844">
        <f t="shared" si="73"/>
        <v>49470</v>
      </c>
      <c r="M139" s="844">
        <f t="shared" si="73"/>
        <v>49158</v>
      </c>
      <c r="N139" s="844">
        <f t="shared" si="73"/>
        <v>49123</v>
      </c>
      <c r="O139" s="844">
        <f>SUM(O117:O118,O120:O121,O123,O125,O127,O130:O132,O134,O136)</f>
        <v>50329</v>
      </c>
    </row>
    <row r="140" spans="1:17">
      <c r="A140" s="842"/>
      <c r="D140" s="844"/>
      <c r="E140" s="844"/>
      <c r="F140" s="844"/>
      <c r="G140" s="844"/>
      <c r="H140" s="844"/>
      <c r="I140" s="844"/>
      <c r="J140" s="844"/>
      <c r="K140" s="844"/>
      <c r="L140" s="844"/>
      <c r="M140" s="844"/>
      <c r="N140" s="844"/>
      <c r="O140" s="844"/>
    </row>
    <row r="141" spans="1:17">
      <c r="A141" s="842" t="s">
        <v>14145</v>
      </c>
      <c r="D141" s="844"/>
      <c r="E141" s="844"/>
      <c r="F141" s="844"/>
      <c r="G141" s="844"/>
      <c r="H141" s="844"/>
      <c r="I141" s="844"/>
      <c r="J141" s="844"/>
      <c r="K141" s="844"/>
      <c r="L141" s="844"/>
      <c r="M141" s="844"/>
      <c r="N141" s="844"/>
      <c r="O141" s="844"/>
    </row>
    <row r="142" spans="1:17">
      <c r="A142" s="842"/>
      <c r="B142" s="842"/>
      <c r="D142" s="851"/>
      <c r="E142" s="851"/>
      <c r="F142" s="851"/>
      <c r="G142" s="851"/>
      <c r="H142" s="851"/>
      <c r="I142" s="851"/>
      <c r="J142" s="851"/>
      <c r="K142" s="851"/>
      <c r="L142" s="851"/>
      <c r="M142" s="851"/>
      <c r="N142" s="851"/>
      <c r="O142" s="851"/>
    </row>
    <row r="143" spans="1:17">
      <c r="A143" s="842"/>
      <c r="B143" s="842"/>
      <c r="D143" s="851"/>
      <c r="E143" s="851"/>
      <c r="F143" s="851"/>
      <c r="G143" s="851"/>
      <c r="H143" s="851"/>
      <c r="I143" s="851"/>
      <c r="J143" s="851"/>
      <c r="K143" s="851"/>
      <c r="L143" s="851"/>
      <c r="M143" s="851"/>
      <c r="N143" s="851"/>
      <c r="O143" s="851"/>
    </row>
    <row r="144" spans="1:17">
      <c r="E144" s="51" t="s">
        <v>1526</v>
      </c>
      <c r="F144" s="51"/>
      <c r="G144" s="51"/>
      <c r="H144" s="51"/>
      <c r="I144" s="51"/>
      <c r="J144" s="51"/>
      <c r="K144" s="51"/>
      <c r="L144" s="51"/>
      <c r="M144" s="51"/>
      <c r="N144" s="51"/>
      <c r="O144" s="51"/>
      <c r="P144" s="138"/>
      <c r="Q144" s="138" t="s">
        <v>9479</v>
      </c>
    </row>
    <row r="145" spans="1:17">
      <c r="D145" s="507">
        <v>2010</v>
      </c>
      <c r="E145" s="507">
        <v>2011</v>
      </c>
      <c r="F145" s="507">
        <v>2012</v>
      </c>
      <c r="G145" s="507">
        <v>2013</v>
      </c>
      <c r="H145" s="507">
        <v>2014</v>
      </c>
      <c r="I145" s="507">
        <v>2015</v>
      </c>
      <c r="J145" s="507">
        <v>2016</v>
      </c>
      <c r="K145" s="507">
        <v>2017</v>
      </c>
      <c r="L145" s="507">
        <v>2018</v>
      </c>
      <c r="M145" s="507">
        <v>2019</v>
      </c>
      <c r="N145" s="507">
        <v>2020</v>
      </c>
      <c r="O145" s="987" t="s">
        <v>14823</v>
      </c>
      <c r="Q145" s="506" t="s">
        <v>1527</v>
      </c>
    </row>
    <row r="146" spans="1:17">
      <c r="A146" s="842" t="s">
        <v>514</v>
      </c>
      <c r="D146" s="844">
        <f t="shared" ref="D146:J146" si="74">SUM(D147:D170)</f>
        <v>70329</v>
      </c>
      <c r="E146" s="844">
        <f t="shared" si="74"/>
        <v>71117</v>
      </c>
      <c r="F146" s="844">
        <f t="shared" si="74"/>
        <v>71339</v>
      </c>
      <c r="G146" s="844">
        <f t="shared" si="74"/>
        <v>71418</v>
      </c>
      <c r="H146" s="844">
        <f t="shared" si="74"/>
        <v>69961</v>
      </c>
      <c r="I146" s="844">
        <f t="shared" si="74"/>
        <v>69145</v>
      </c>
      <c r="J146" s="844">
        <f t="shared" si="74"/>
        <v>69319</v>
      </c>
      <c r="K146" s="844">
        <f>SUM(K147:K170)</f>
        <v>70336</v>
      </c>
      <c r="L146" s="844">
        <f>SUM(L147:L170)</f>
        <v>70209</v>
      </c>
      <c r="M146" s="844">
        <f>SUM(M147:M170)</f>
        <v>70241</v>
      </c>
      <c r="N146" s="844">
        <f>SUM(N147:N170)</f>
        <v>70883</v>
      </c>
      <c r="O146" s="844">
        <f>SUM(O147:O170)</f>
        <v>70806</v>
      </c>
    </row>
    <row r="147" spans="1:17">
      <c r="A147" s="842" t="s">
        <v>5387</v>
      </c>
      <c r="B147" s="842" t="s">
        <v>515</v>
      </c>
      <c r="C147" s="55" t="s">
        <v>10462</v>
      </c>
      <c r="D147" s="844">
        <v>70329</v>
      </c>
      <c r="E147" s="844">
        <v>71117</v>
      </c>
      <c r="F147" s="844">
        <v>71339</v>
      </c>
      <c r="G147" s="63">
        <v>71418</v>
      </c>
      <c r="H147" s="63">
        <v>69961</v>
      </c>
      <c r="I147" s="63">
        <v>69145</v>
      </c>
      <c r="J147" s="63">
        <v>3769</v>
      </c>
      <c r="K147" s="63">
        <v>3864</v>
      </c>
      <c r="L147" s="63">
        <v>3966</v>
      </c>
      <c r="M147" s="63">
        <v>4012</v>
      </c>
      <c r="N147" s="63">
        <v>4101</v>
      </c>
      <c r="O147" s="63">
        <v>4115</v>
      </c>
      <c r="Q147" s="842" t="s">
        <v>4890</v>
      </c>
    </row>
    <row r="148" spans="1:17">
      <c r="A148" s="842" t="s">
        <v>5389</v>
      </c>
      <c r="B148" s="842" t="s">
        <v>10463</v>
      </c>
      <c r="C148" s="55" t="s">
        <v>10470</v>
      </c>
      <c r="D148" s="63">
        <v>0</v>
      </c>
      <c r="E148" s="63">
        <v>0</v>
      </c>
      <c r="F148" s="63">
        <v>0</v>
      </c>
      <c r="G148" s="63">
        <v>0</v>
      </c>
      <c r="H148" s="63">
        <v>0</v>
      </c>
      <c r="I148" s="63">
        <v>0</v>
      </c>
      <c r="J148" s="63">
        <v>3449</v>
      </c>
      <c r="K148" s="63">
        <v>3540</v>
      </c>
      <c r="L148" s="63">
        <v>3530</v>
      </c>
      <c r="M148" s="63">
        <v>3500</v>
      </c>
      <c r="N148" s="63">
        <v>3569</v>
      </c>
      <c r="O148" s="63">
        <v>3574</v>
      </c>
      <c r="Q148" s="842" t="s">
        <v>4890</v>
      </c>
    </row>
    <row r="149" spans="1:17">
      <c r="A149" s="842" t="s">
        <v>5391</v>
      </c>
      <c r="B149" s="842" t="s">
        <v>516</v>
      </c>
      <c r="C149" s="55" t="s">
        <v>10471</v>
      </c>
      <c r="D149" s="63">
        <v>0</v>
      </c>
      <c r="E149" s="63">
        <v>0</v>
      </c>
      <c r="F149" s="63">
        <v>0</v>
      </c>
      <c r="G149" s="63">
        <v>0</v>
      </c>
      <c r="H149" s="63">
        <v>0</v>
      </c>
      <c r="I149" s="63">
        <v>0</v>
      </c>
      <c r="J149" s="63">
        <v>2101</v>
      </c>
      <c r="K149" s="63">
        <v>2090</v>
      </c>
      <c r="L149" s="63">
        <v>2141</v>
      </c>
      <c r="M149" s="63">
        <v>2208</v>
      </c>
      <c r="N149" s="63">
        <v>2182</v>
      </c>
      <c r="O149" s="63">
        <v>2190</v>
      </c>
      <c r="Q149" s="842" t="s">
        <v>4890</v>
      </c>
    </row>
    <row r="150" spans="1:17">
      <c r="A150" s="842" t="s">
        <v>5393</v>
      </c>
      <c r="B150" s="842" t="s">
        <v>517</v>
      </c>
      <c r="C150" s="55" t="s">
        <v>10472</v>
      </c>
      <c r="D150" s="63">
        <v>0</v>
      </c>
      <c r="E150" s="63">
        <v>0</v>
      </c>
      <c r="F150" s="63">
        <v>0</v>
      </c>
      <c r="G150" s="63">
        <v>0</v>
      </c>
      <c r="H150" s="63">
        <v>0</v>
      </c>
      <c r="I150" s="63">
        <v>0</v>
      </c>
      <c r="J150" s="63">
        <v>1270</v>
      </c>
      <c r="K150" s="63">
        <v>1248</v>
      </c>
      <c r="L150" s="63">
        <v>1213</v>
      </c>
      <c r="M150" s="63">
        <v>1230</v>
      </c>
      <c r="N150" s="63">
        <v>1223</v>
      </c>
      <c r="O150" s="63">
        <v>1205</v>
      </c>
      <c r="Q150" s="842" t="s">
        <v>4890</v>
      </c>
    </row>
    <row r="151" spans="1:17">
      <c r="A151" s="842" t="s">
        <v>5394</v>
      </c>
      <c r="B151" s="842" t="s">
        <v>10464</v>
      </c>
      <c r="C151" s="55" t="s">
        <v>10473</v>
      </c>
      <c r="D151" s="63">
        <v>0</v>
      </c>
      <c r="E151" s="63">
        <v>0</v>
      </c>
      <c r="F151" s="63">
        <v>0</v>
      </c>
      <c r="G151" s="63">
        <v>0</v>
      </c>
      <c r="H151" s="63">
        <v>0</v>
      </c>
      <c r="I151" s="63">
        <v>0</v>
      </c>
      <c r="J151" s="63">
        <v>3568</v>
      </c>
      <c r="K151" s="63">
        <v>3647</v>
      </c>
      <c r="L151" s="63">
        <v>3652</v>
      </c>
      <c r="M151" s="63">
        <v>3659</v>
      </c>
      <c r="N151" s="63">
        <v>3686</v>
      </c>
      <c r="O151" s="63">
        <v>3682</v>
      </c>
      <c r="Q151" s="842" t="s">
        <v>4890</v>
      </c>
    </row>
    <row r="152" spans="1:17">
      <c r="A152" s="842" t="s">
        <v>5416</v>
      </c>
      <c r="B152" s="842" t="s">
        <v>10465</v>
      </c>
      <c r="C152" s="55" t="s">
        <v>10474</v>
      </c>
      <c r="D152" s="63">
        <v>0</v>
      </c>
      <c r="E152" s="63">
        <v>0</v>
      </c>
      <c r="F152" s="63">
        <v>0</v>
      </c>
      <c r="G152" s="63">
        <v>0</v>
      </c>
      <c r="H152" s="63">
        <v>0</v>
      </c>
      <c r="I152" s="63">
        <v>0</v>
      </c>
      <c r="J152" s="63">
        <v>3674</v>
      </c>
      <c r="K152" s="63">
        <v>3804</v>
      </c>
      <c r="L152" s="63">
        <v>3753</v>
      </c>
      <c r="M152" s="63">
        <v>3752</v>
      </c>
      <c r="N152" s="63">
        <v>3761</v>
      </c>
      <c r="O152" s="63">
        <v>3764</v>
      </c>
      <c r="Q152" s="842" t="s">
        <v>4890</v>
      </c>
    </row>
    <row r="153" spans="1:17">
      <c r="A153" s="842" t="s">
        <v>5418</v>
      </c>
      <c r="B153" s="842" t="s">
        <v>4715</v>
      </c>
      <c r="C153" s="55" t="s">
        <v>10475</v>
      </c>
      <c r="D153" s="63">
        <v>0</v>
      </c>
      <c r="E153" s="63">
        <v>0</v>
      </c>
      <c r="F153" s="63">
        <v>0</v>
      </c>
      <c r="G153" s="63">
        <v>0</v>
      </c>
      <c r="H153" s="63">
        <v>0</v>
      </c>
      <c r="I153" s="63">
        <v>0</v>
      </c>
      <c r="J153" s="63">
        <v>1529</v>
      </c>
      <c r="K153" s="63">
        <v>1550</v>
      </c>
      <c r="L153" s="63">
        <v>1544</v>
      </c>
      <c r="M153" s="63">
        <v>1569</v>
      </c>
      <c r="N153" s="63">
        <v>1592</v>
      </c>
      <c r="O153" s="63">
        <v>1585</v>
      </c>
      <c r="Q153" s="842" t="s">
        <v>4890</v>
      </c>
    </row>
    <row r="154" spans="1:17">
      <c r="A154" s="842" t="s">
        <v>5420</v>
      </c>
      <c r="B154" s="842" t="s">
        <v>4716</v>
      </c>
      <c r="C154" s="55" t="s">
        <v>10476</v>
      </c>
      <c r="D154" s="63">
        <v>0</v>
      </c>
      <c r="E154" s="63">
        <v>0</v>
      </c>
      <c r="F154" s="63">
        <v>0</v>
      </c>
      <c r="G154" s="63">
        <v>0</v>
      </c>
      <c r="H154" s="63">
        <v>0</v>
      </c>
      <c r="I154" s="63">
        <v>0</v>
      </c>
      <c r="J154" s="63">
        <v>2082</v>
      </c>
      <c r="K154" s="63">
        <v>2107</v>
      </c>
      <c r="L154" s="63">
        <v>2103</v>
      </c>
      <c r="M154" s="63">
        <v>2102</v>
      </c>
      <c r="N154" s="63">
        <v>2141</v>
      </c>
      <c r="O154" s="63">
        <v>2132</v>
      </c>
      <c r="Q154" s="842" t="s">
        <v>4890</v>
      </c>
    </row>
    <row r="155" spans="1:17">
      <c r="A155" s="842" t="s">
        <v>5422</v>
      </c>
      <c r="B155" s="842" t="s">
        <v>4717</v>
      </c>
      <c r="C155" s="55" t="s">
        <v>10477</v>
      </c>
      <c r="D155" s="63">
        <v>0</v>
      </c>
      <c r="E155" s="63">
        <v>0</v>
      </c>
      <c r="F155" s="63">
        <v>0</v>
      </c>
      <c r="G155" s="63">
        <v>0</v>
      </c>
      <c r="H155" s="63">
        <v>0</v>
      </c>
      <c r="I155" s="63">
        <v>0</v>
      </c>
      <c r="J155" s="63">
        <v>1803</v>
      </c>
      <c r="K155" s="63">
        <v>1901</v>
      </c>
      <c r="L155" s="63">
        <v>1923</v>
      </c>
      <c r="M155" s="63">
        <v>1963</v>
      </c>
      <c r="N155" s="63">
        <v>2076</v>
      </c>
      <c r="O155" s="63">
        <v>2088</v>
      </c>
      <c r="Q155" s="842" t="s">
        <v>4890</v>
      </c>
    </row>
    <row r="156" spans="1:17">
      <c r="A156" s="842" t="s">
        <v>5424</v>
      </c>
      <c r="B156" s="842" t="s">
        <v>4718</v>
      </c>
      <c r="C156" s="55" t="s">
        <v>10478</v>
      </c>
      <c r="D156" s="63">
        <v>0</v>
      </c>
      <c r="E156" s="63">
        <v>0</v>
      </c>
      <c r="F156" s="63">
        <v>0</v>
      </c>
      <c r="G156" s="63">
        <v>0</v>
      </c>
      <c r="H156" s="63">
        <v>0</v>
      </c>
      <c r="I156" s="63">
        <v>0</v>
      </c>
      <c r="J156" s="63">
        <v>5591</v>
      </c>
      <c r="K156" s="63">
        <v>5598</v>
      </c>
      <c r="L156" s="63">
        <v>5613</v>
      </c>
      <c r="M156" s="63">
        <v>5587</v>
      </c>
      <c r="N156" s="63">
        <v>5584</v>
      </c>
      <c r="O156" s="63">
        <v>5554</v>
      </c>
      <c r="Q156" s="842" t="s">
        <v>4890</v>
      </c>
    </row>
    <row r="157" spans="1:17">
      <c r="A157" s="842" t="s">
        <v>5426</v>
      </c>
      <c r="B157" s="842" t="s">
        <v>4719</v>
      </c>
      <c r="C157" s="55" t="s">
        <v>10479</v>
      </c>
      <c r="D157" s="63">
        <v>0</v>
      </c>
      <c r="E157" s="63">
        <v>0</v>
      </c>
      <c r="F157" s="63">
        <v>0</v>
      </c>
      <c r="G157" s="63">
        <v>0</v>
      </c>
      <c r="H157" s="63">
        <v>0</v>
      </c>
      <c r="I157" s="63">
        <v>0</v>
      </c>
      <c r="J157" s="63">
        <v>5314</v>
      </c>
      <c r="K157" s="63">
        <v>5341</v>
      </c>
      <c r="L157" s="63">
        <v>5320</v>
      </c>
      <c r="M157" s="63">
        <v>5379</v>
      </c>
      <c r="N157" s="63">
        <v>5400</v>
      </c>
      <c r="O157" s="63">
        <v>5354</v>
      </c>
      <c r="Q157" s="842" t="s">
        <v>4890</v>
      </c>
    </row>
    <row r="158" spans="1:17">
      <c r="A158" s="842" t="s">
        <v>5428</v>
      </c>
      <c r="B158" s="842" t="s">
        <v>4720</v>
      </c>
      <c r="C158" s="55" t="s">
        <v>10480</v>
      </c>
      <c r="D158" s="63">
        <v>0</v>
      </c>
      <c r="E158" s="63">
        <v>0</v>
      </c>
      <c r="F158" s="63">
        <v>0</v>
      </c>
      <c r="G158" s="63">
        <v>0</v>
      </c>
      <c r="H158" s="63">
        <v>0</v>
      </c>
      <c r="I158" s="63">
        <v>0</v>
      </c>
      <c r="J158" s="63">
        <v>5339</v>
      </c>
      <c r="K158" s="63">
        <v>5554</v>
      </c>
      <c r="L158" s="63">
        <v>5593</v>
      </c>
      <c r="M158" s="63">
        <v>5572</v>
      </c>
      <c r="N158" s="63">
        <v>5595</v>
      </c>
      <c r="O158" s="63">
        <v>5591</v>
      </c>
      <c r="Q158" s="842" t="s">
        <v>4890</v>
      </c>
    </row>
    <row r="159" spans="1:17">
      <c r="A159" s="842" t="s">
        <v>5429</v>
      </c>
      <c r="B159" s="842" t="s">
        <v>4721</v>
      </c>
      <c r="C159" s="55" t="s">
        <v>10481</v>
      </c>
      <c r="D159" s="63">
        <v>0</v>
      </c>
      <c r="E159" s="63">
        <v>0</v>
      </c>
      <c r="F159" s="63">
        <v>0</v>
      </c>
      <c r="G159" s="63">
        <v>0</v>
      </c>
      <c r="H159" s="63">
        <v>0</v>
      </c>
      <c r="I159" s="63">
        <v>0</v>
      </c>
      <c r="J159" s="63">
        <v>1446</v>
      </c>
      <c r="K159" s="63">
        <v>1424</v>
      </c>
      <c r="L159" s="63">
        <v>1397</v>
      </c>
      <c r="M159" s="63">
        <v>1390</v>
      </c>
      <c r="N159" s="63">
        <v>1360</v>
      </c>
      <c r="O159" s="63">
        <v>1358</v>
      </c>
      <c r="Q159" s="842" t="s">
        <v>4890</v>
      </c>
    </row>
    <row r="160" spans="1:17">
      <c r="A160" s="842" t="s">
        <v>5431</v>
      </c>
      <c r="B160" s="842" t="s">
        <v>10466</v>
      </c>
      <c r="C160" s="55" t="s">
        <v>10482</v>
      </c>
      <c r="D160" s="63">
        <v>0</v>
      </c>
      <c r="E160" s="63">
        <v>0</v>
      </c>
      <c r="F160" s="63">
        <v>0</v>
      </c>
      <c r="G160" s="63">
        <v>0</v>
      </c>
      <c r="H160" s="63">
        <v>0</v>
      </c>
      <c r="I160" s="63">
        <v>0</v>
      </c>
      <c r="J160" s="63">
        <v>3167</v>
      </c>
      <c r="K160" s="63">
        <v>3126</v>
      </c>
      <c r="L160" s="63">
        <v>3061</v>
      </c>
      <c r="M160" s="63">
        <v>3046</v>
      </c>
      <c r="N160" s="63">
        <v>3033</v>
      </c>
      <c r="O160" s="63">
        <v>3031</v>
      </c>
      <c r="Q160" s="842" t="s">
        <v>4890</v>
      </c>
    </row>
    <row r="161" spans="1:17">
      <c r="A161" s="842" t="s">
        <v>5433</v>
      </c>
      <c r="B161" s="842" t="s">
        <v>10467</v>
      </c>
      <c r="C161" s="55" t="s">
        <v>10483</v>
      </c>
      <c r="D161" s="63">
        <v>0</v>
      </c>
      <c r="E161" s="63">
        <v>0</v>
      </c>
      <c r="F161" s="63">
        <v>0</v>
      </c>
      <c r="G161" s="63">
        <v>0</v>
      </c>
      <c r="H161" s="63">
        <v>0</v>
      </c>
      <c r="I161" s="63">
        <v>0</v>
      </c>
      <c r="J161" s="63">
        <v>3920</v>
      </c>
      <c r="K161" s="63">
        <v>3979</v>
      </c>
      <c r="L161" s="63">
        <v>4029</v>
      </c>
      <c r="M161" s="63">
        <v>4009</v>
      </c>
      <c r="N161" s="63">
        <v>4122</v>
      </c>
      <c r="O161" s="63">
        <v>4123</v>
      </c>
      <c r="Q161" s="842" t="s">
        <v>4890</v>
      </c>
    </row>
    <row r="162" spans="1:17">
      <c r="A162" s="842" t="s">
        <v>5435</v>
      </c>
      <c r="B162" s="842" t="s">
        <v>4722</v>
      </c>
      <c r="C162" s="55" t="s">
        <v>10484</v>
      </c>
      <c r="D162" s="63">
        <v>0</v>
      </c>
      <c r="E162" s="63">
        <v>0</v>
      </c>
      <c r="F162" s="63">
        <v>0</v>
      </c>
      <c r="G162" s="63">
        <v>0</v>
      </c>
      <c r="H162" s="63">
        <v>0</v>
      </c>
      <c r="I162" s="63">
        <v>0</v>
      </c>
      <c r="J162" s="63">
        <v>1646</v>
      </c>
      <c r="K162" s="63">
        <v>1669</v>
      </c>
      <c r="L162" s="63">
        <v>1656</v>
      </c>
      <c r="M162" s="63">
        <v>1624</v>
      </c>
      <c r="N162" s="63">
        <v>1621</v>
      </c>
      <c r="O162" s="63">
        <v>1632</v>
      </c>
      <c r="Q162" s="842" t="s">
        <v>4890</v>
      </c>
    </row>
    <row r="163" spans="1:17">
      <c r="A163" s="842" t="s">
        <v>5436</v>
      </c>
      <c r="B163" s="842" t="s">
        <v>4723</v>
      </c>
      <c r="C163" s="55" t="s">
        <v>10485</v>
      </c>
      <c r="D163" s="63">
        <v>0</v>
      </c>
      <c r="E163" s="63">
        <v>0</v>
      </c>
      <c r="F163" s="63">
        <v>0</v>
      </c>
      <c r="G163" s="63">
        <v>0</v>
      </c>
      <c r="H163" s="63">
        <v>0</v>
      </c>
      <c r="I163" s="63">
        <v>0</v>
      </c>
      <c r="J163" s="63">
        <v>5146</v>
      </c>
      <c r="K163" s="63">
        <v>5224</v>
      </c>
      <c r="L163" s="63">
        <v>5209</v>
      </c>
      <c r="M163" s="63">
        <v>5171</v>
      </c>
      <c r="N163" s="63">
        <v>5289</v>
      </c>
      <c r="O163" s="63">
        <v>5267</v>
      </c>
      <c r="Q163" s="842" t="s">
        <v>4890</v>
      </c>
    </row>
    <row r="164" spans="1:17">
      <c r="A164" s="842" t="s">
        <v>5437</v>
      </c>
      <c r="B164" s="842" t="s">
        <v>4724</v>
      </c>
      <c r="C164" s="55" t="s">
        <v>10486</v>
      </c>
      <c r="D164" s="63">
        <v>0</v>
      </c>
      <c r="E164" s="63">
        <v>0</v>
      </c>
      <c r="F164" s="63">
        <v>0</v>
      </c>
      <c r="G164" s="63">
        <v>0</v>
      </c>
      <c r="H164" s="63">
        <v>0</v>
      </c>
      <c r="I164" s="63">
        <v>0</v>
      </c>
      <c r="J164" s="63">
        <v>2036</v>
      </c>
      <c r="K164" s="63">
        <v>2072</v>
      </c>
      <c r="L164" s="63">
        <v>2070</v>
      </c>
      <c r="M164" s="63">
        <v>2079</v>
      </c>
      <c r="N164" s="63">
        <v>2054</v>
      </c>
      <c r="O164" s="63">
        <v>2037</v>
      </c>
      <c r="Q164" s="842" t="s">
        <v>4890</v>
      </c>
    </row>
    <row r="165" spans="1:17">
      <c r="A165" s="842" t="s">
        <v>5439</v>
      </c>
      <c r="B165" s="842" t="s">
        <v>1843</v>
      </c>
      <c r="C165" s="55" t="s">
        <v>10487</v>
      </c>
      <c r="D165" s="63">
        <v>0</v>
      </c>
      <c r="E165" s="63">
        <v>0</v>
      </c>
      <c r="F165" s="63">
        <v>0</v>
      </c>
      <c r="G165" s="63">
        <v>0</v>
      </c>
      <c r="H165" s="63">
        <v>0</v>
      </c>
      <c r="I165" s="63">
        <v>0</v>
      </c>
      <c r="J165" s="63">
        <v>1867</v>
      </c>
      <c r="K165" s="63">
        <v>1931</v>
      </c>
      <c r="L165" s="63">
        <v>1875</v>
      </c>
      <c r="M165" s="63">
        <v>1835</v>
      </c>
      <c r="N165" s="63">
        <v>1857</v>
      </c>
      <c r="O165" s="63">
        <v>1854</v>
      </c>
      <c r="Q165" s="842" t="s">
        <v>4890</v>
      </c>
    </row>
    <row r="166" spans="1:17">
      <c r="A166" s="842" t="s">
        <v>5441</v>
      </c>
      <c r="B166" s="842" t="s">
        <v>1844</v>
      </c>
      <c r="C166" s="55" t="s">
        <v>10488</v>
      </c>
      <c r="D166" s="63">
        <v>0</v>
      </c>
      <c r="E166" s="63">
        <v>0</v>
      </c>
      <c r="F166" s="63">
        <v>0</v>
      </c>
      <c r="G166" s="63">
        <v>0</v>
      </c>
      <c r="H166" s="63">
        <v>0</v>
      </c>
      <c r="I166" s="63">
        <v>0</v>
      </c>
      <c r="J166" s="63">
        <v>1790</v>
      </c>
      <c r="K166" s="63">
        <v>1809</v>
      </c>
      <c r="L166" s="63">
        <v>1752</v>
      </c>
      <c r="M166" s="63">
        <v>1749</v>
      </c>
      <c r="N166" s="63">
        <v>1708</v>
      </c>
      <c r="O166" s="63">
        <v>1716</v>
      </c>
      <c r="Q166" s="842" t="s">
        <v>4890</v>
      </c>
    </row>
    <row r="167" spans="1:17">
      <c r="A167" s="842" t="s">
        <v>5886</v>
      </c>
      <c r="B167" s="842" t="s">
        <v>10468</v>
      </c>
      <c r="C167" s="55" t="s">
        <v>10489</v>
      </c>
      <c r="D167" s="63">
        <v>0</v>
      </c>
      <c r="E167" s="63">
        <v>0</v>
      </c>
      <c r="F167" s="63">
        <v>0</v>
      </c>
      <c r="G167" s="63">
        <v>0</v>
      </c>
      <c r="H167" s="63">
        <v>0</v>
      </c>
      <c r="I167" s="63">
        <v>0</v>
      </c>
      <c r="J167" s="63">
        <v>2023</v>
      </c>
      <c r="K167" s="63">
        <v>2010</v>
      </c>
      <c r="L167" s="63">
        <v>2052</v>
      </c>
      <c r="M167" s="63">
        <v>2132</v>
      </c>
      <c r="N167" s="63">
        <v>2239</v>
      </c>
      <c r="O167" s="63">
        <v>2245</v>
      </c>
      <c r="Q167" s="842" t="s">
        <v>4890</v>
      </c>
    </row>
    <row r="168" spans="1:17">
      <c r="A168" s="842" t="s">
        <v>5888</v>
      </c>
      <c r="B168" s="842" t="s">
        <v>1845</v>
      </c>
      <c r="C168" s="55" t="s">
        <v>10490</v>
      </c>
      <c r="D168" s="63">
        <v>0</v>
      </c>
      <c r="E168" s="63">
        <v>0</v>
      </c>
      <c r="F168" s="63">
        <v>0</v>
      </c>
      <c r="G168" s="63">
        <v>0</v>
      </c>
      <c r="H168" s="63">
        <v>0</v>
      </c>
      <c r="I168" s="63">
        <v>0</v>
      </c>
      <c r="J168" s="63">
        <v>2161</v>
      </c>
      <c r="K168" s="63">
        <v>2158</v>
      </c>
      <c r="L168" s="63">
        <v>2132</v>
      </c>
      <c r="M168" s="63">
        <v>2091</v>
      </c>
      <c r="N168" s="63">
        <v>2130</v>
      </c>
      <c r="O168" s="63">
        <v>2150</v>
      </c>
      <c r="Q168" s="842" t="s">
        <v>4890</v>
      </c>
    </row>
    <row r="169" spans="1:17">
      <c r="A169" s="842" t="s">
        <v>5889</v>
      </c>
      <c r="B169" s="842" t="s">
        <v>10469</v>
      </c>
      <c r="C169" s="55" t="s">
        <v>10491</v>
      </c>
      <c r="D169" s="63">
        <v>0</v>
      </c>
      <c r="E169" s="63">
        <v>0</v>
      </c>
      <c r="F169" s="63">
        <v>0</v>
      </c>
      <c r="G169" s="63">
        <v>0</v>
      </c>
      <c r="H169" s="63">
        <v>0</v>
      </c>
      <c r="I169" s="63">
        <v>0</v>
      </c>
      <c r="J169" s="63">
        <v>2969</v>
      </c>
      <c r="K169" s="63">
        <v>2986</v>
      </c>
      <c r="L169" s="63">
        <v>2935</v>
      </c>
      <c r="M169" s="63">
        <v>2882</v>
      </c>
      <c r="N169" s="63">
        <v>2852</v>
      </c>
      <c r="O169" s="63">
        <v>2858</v>
      </c>
      <c r="Q169" s="842" t="s">
        <v>4890</v>
      </c>
    </row>
    <row r="170" spans="1:17">
      <c r="A170" s="842" t="s">
        <v>4431</v>
      </c>
      <c r="B170" s="842" t="s">
        <v>1846</v>
      </c>
      <c r="C170" s="55" t="s">
        <v>10492</v>
      </c>
      <c r="D170" s="63">
        <v>0</v>
      </c>
      <c r="E170" s="63">
        <v>0</v>
      </c>
      <c r="F170" s="63">
        <v>0</v>
      </c>
      <c r="G170" s="63">
        <v>0</v>
      </c>
      <c r="H170" s="63">
        <v>0</v>
      </c>
      <c r="I170" s="63">
        <v>0</v>
      </c>
      <c r="J170" s="63">
        <v>1659</v>
      </c>
      <c r="K170" s="63">
        <v>1704</v>
      </c>
      <c r="L170" s="63">
        <v>1690</v>
      </c>
      <c r="M170" s="63">
        <v>1700</v>
      </c>
      <c r="N170" s="63">
        <v>1708</v>
      </c>
      <c r="O170" s="63">
        <v>1701</v>
      </c>
      <c r="Q170" s="842" t="s">
        <v>4890</v>
      </c>
    </row>
    <row r="171" spans="1:17">
      <c r="D171" s="847"/>
      <c r="E171" s="847"/>
      <c r="F171" s="847"/>
      <c r="G171" s="847"/>
      <c r="H171" s="847"/>
      <c r="I171" s="847"/>
      <c r="J171" s="847"/>
      <c r="K171" s="847"/>
      <c r="L171" s="847"/>
      <c r="M171" s="847"/>
      <c r="N171" s="847"/>
      <c r="O171" s="847"/>
    </row>
    <row r="172" spans="1:17">
      <c r="A172" s="842" t="s">
        <v>3176</v>
      </c>
      <c r="D172" s="844">
        <f t="shared" ref="D172:J172" si="75">SUM(D147:D170)</f>
        <v>70329</v>
      </c>
      <c r="E172" s="844">
        <f t="shared" si="75"/>
        <v>71117</v>
      </c>
      <c r="F172" s="844">
        <f t="shared" si="75"/>
        <v>71339</v>
      </c>
      <c r="G172" s="844">
        <f t="shared" si="75"/>
        <v>71418</v>
      </c>
      <c r="H172" s="844">
        <f t="shared" si="75"/>
        <v>69961</v>
      </c>
      <c r="I172" s="844">
        <f t="shared" si="75"/>
        <v>69145</v>
      </c>
      <c r="J172" s="844">
        <f t="shared" si="75"/>
        <v>69319</v>
      </c>
      <c r="K172" s="844">
        <f>SUM(K147:K170)</f>
        <v>70336</v>
      </c>
      <c r="L172" s="844">
        <f>SUM(L147:L170)</f>
        <v>70209</v>
      </c>
      <c r="M172" s="844">
        <f>SUM(M147:M170)</f>
        <v>70241</v>
      </c>
      <c r="N172" s="844">
        <f>SUM(N147:N170)</f>
        <v>70883</v>
      </c>
      <c r="O172" s="844">
        <f>SUM(O147:O170)</f>
        <v>70806</v>
      </c>
    </row>
    <row r="173" spans="1:17">
      <c r="A173" s="842"/>
      <c r="D173" s="844"/>
      <c r="E173" s="844"/>
      <c r="F173" s="844"/>
      <c r="G173" s="844"/>
      <c r="H173" s="844"/>
      <c r="I173" s="844"/>
      <c r="J173" s="844"/>
      <c r="K173" s="844"/>
      <c r="L173" s="844"/>
      <c r="M173" s="844"/>
      <c r="N173" s="844"/>
      <c r="O173" s="844"/>
    </row>
    <row r="174" spans="1:17">
      <c r="A174" s="842" t="s">
        <v>10493</v>
      </c>
      <c r="D174" s="844"/>
      <c r="E174" s="844"/>
      <c r="F174" s="844"/>
      <c r="G174" s="844"/>
      <c r="H174" s="844"/>
      <c r="I174" s="844"/>
      <c r="J174" s="844"/>
      <c r="K174" s="844"/>
      <c r="L174" s="844"/>
      <c r="M174" s="844"/>
      <c r="N174" s="844"/>
      <c r="O174" s="844"/>
    </row>
    <row r="175" spans="1:17">
      <c r="A175" s="842"/>
      <c r="B175" s="842"/>
      <c r="D175" s="851"/>
      <c r="E175" s="851"/>
      <c r="F175" s="851"/>
      <c r="G175" s="851"/>
      <c r="H175" s="851"/>
      <c r="I175" s="851"/>
      <c r="J175" s="851"/>
      <c r="K175" s="851"/>
      <c r="L175" s="851"/>
      <c r="M175" s="851"/>
      <c r="N175" s="851"/>
      <c r="O175" s="851"/>
    </row>
    <row r="176" spans="1:17">
      <c r="A176" s="842"/>
      <c r="B176" s="842"/>
      <c r="D176" s="851"/>
      <c r="E176" s="851"/>
      <c r="F176" s="851"/>
      <c r="G176" s="851"/>
      <c r="H176" s="851"/>
      <c r="I176" s="851"/>
      <c r="J176" s="851"/>
      <c r="K176" s="851"/>
      <c r="L176" s="851"/>
      <c r="M176" s="851"/>
      <c r="N176" s="851"/>
      <c r="O176" s="851"/>
    </row>
    <row r="177" spans="1:17">
      <c r="E177" s="51" t="s">
        <v>1526</v>
      </c>
      <c r="F177" s="51"/>
      <c r="G177" s="51"/>
      <c r="H177" s="51"/>
      <c r="I177" s="51"/>
      <c r="J177" s="51"/>
      <c r="K177" s="51"/>
      <c r="L177" s="51"/>
      <c r="M177" s="51"/>
      <c r="N177" s="51"/>
      <c r="O177" s="51"/>
      <c r="P177" s="138"/>
      <c r="Q177" s="138" t="s">
        <v>9479</v>
      </c>
    </row>
    <row r="178" spans="1:17">
      <c r="D178" s="507">
        <v>2010</v>
      </c>
      <c r="E178" s="507">
        <v>2011</v>
      </c>
      <c r="F178" s="507">
        <v>2012</v>
      </c>
      <c r="G178" s="507">
        <v>2013</v>
      </c>
      <c r="H178" s="507">
        <v>2014</v>
      </c>
      <c r="I178" s="507">
        <v>2015</v>
      </c>
      <c r="J178" s="507">
        <v>2016</v>
      </c>
      <c r="K178" s="507">
        <v>2017</v>
      </c>
      <c r="L178" s="507">
        <v>2018</v>
      </c>
      <c r="M178" s="507">
        <v>2019</v>
      </c>
      <c r="N178" s="507">
        <v>2020</v>
      </c>
      <c r="O178" s="987" t="s">
        <v>14823</v>
      </c>
      <c r="Q178" s="506" t="s">
        <v>1527</v>
      </c>
    </row>
    <row r="179" spans="1:17">
      <c r="A179" s="842" t="s">
        <v>1951</v>
      </c>
      <c r="D179" s="844">
        <f t="shared" ref="D179:N179" si="76">SUM(D180:D181,D183:D189,D191:D192,D194:D198,D200:D202,D204:D215)</f>
        <v>123393</v>
      </c>
      <c r="E179" s="844">
        <f t="shared" si="76"/>
        <v>121827</v>
      </c>
      <c r="F179" s="844">
        <f t="shared" si="76"/>
        <v>121600</v>
      </c>
      <c r="G179" s="844">
        <f t="shared" si="76"/>
        <v>122579</v>
      </c>
      <c r="H179" s="844">
        <f t="shared" si="76"/>
        <v>126462</v>
      </c>
      <c r="I179" s="844">
        <f t="shared" si="76"/>
        <v>124746</v>
      </c>
      <c r="J179" s="844">
        <f t="shared" si="76"/>
        <v>124073</v>
      </c>
      <c r="K179" s="844">
        <f t="shared" si="76"/>
        <v>127242</v>
      </c>
      <c r="L179" s="844">
        <f t="shared" si="76"/>
        <v>127398</v>
      </c>
      <c r="M179" s="844">
        <f t="shared" si="76"/>
        <v>127178</v>
      </c>
      <c r="N179" s="844">
        <f t="shared" si="76"/>
        <v>129844</v>
      </c>
      <c r="O179" s="844">
        <f>SUM(O180:O181,O183:O189,O191:O192,O194:O198,O200:O202,O204:O215)</f>
        <v>129584</v>
      </c>
    </row>
    <row r="180" spans="1:17">
      <c r="A180" s="842" t="s">
        <v>5387</v>
      </c>
      <c r="B180" s="842" t="s">
        <v>11873</v>
      </c>
      <c r="C180" s="55" t="s">
        <v>11874</v>
      </c>
      <c r="D180" s="844">
        <v>0</v>
      </c>
      <c r="E180" s="844">
        <v>0</v>
      </c>
      <c r="F180" s="844">
        <v>0</v>
      </c>
      <c r="G180" s="844">
        <v>0</v>
      </c>
      <c r="H180" s="56">
        <v>0</v>
      </c>
      <c r="I180" s="56">
        <v>0</v>
      </c>
      <c r="J180" s="56">
        <v>0</v>
      </c>
      <c r="K180" s="56">
        <v>0</v>
      </c>
      <c r="L180" s="56">
        <v>1796</v>
      </c>
      <c r="M180" s="56">
        <v>1791</v>
      </c>
      <c r="N180" s="56">
        <v>1788</v>
      </c>
      <c r="O180" s="56">
        <v>1781</v>
      </c>
      <c r="Q180" s="842" t="s">
        <v>4888</v>
      </c>
    </row>
    <row r="181" spans="1:17" ht="15.75" thickBot="1">
      <c r="A181" s="842"/>
      <c r="B181" s="842"/>
      <c r="C181" s="55" t="s">
        <v>11874</v>
      </c>
      <c r="D181" s="844">
        <v>0</v>
      </c>
      <c r="E181" s="844">
        <v>0</v>
      </c>
      <c r="F181" s="844">
        <v>0</v>
      </c>
      <c r="G181" s="844">
        <v>0</v>
      </c>
      <c r="H181" s="56">
        <v>0</v>
      </c>
      <c r="I181" s="56">
        <v>0</v>
      </c>
      <c r="J181" s="56">
        <v>0</v>
      </c>
      <c r="K181" s="56">
        <v>0</v>
      </c>
      <c r="L181" s="56">
        <v>1120</v>
      </c>
      <c r="M181" s="56">
        <v>1112</v>
      </c>
      <c r="N181" s="56">
        <v>1121</v>
      </c>
      <c r="O181" s="56">
        <v>1118</v>
      </c>
      <c r="Q181" s="842" t="s">
        <v>4892</v>
      </c>
    </row>
    <row r="182" spans="1:17" ht="15.75" thickBot="1">
      <c r="A182" s="842"/>
      <c r="B182" s="842"/>
      <c r="C182" s="55" t="s">
        <v>11874</v>
      </c>
      <c r="D182" s="850">
        <f t="shared" ref="D182:L182" si="77">D180+D181</f>
        <v>0</v>
      </c>
      <c r="E182" s="850">
        <f t="shared" si="77"/>
        <v>0</v>
      </c>
      <c r="F182" s="850">
        <f t="shared" si="77"/>
        <v>0</v>
      </c>
      <c r="G182" s="850">
        <f t="shared" si="77"/>
        <v>0</v>
      </c>
      <c r="H182" s="850">
        <f t="shared" si="77"/>
        <v>0</v>
      </c>
      <c r="I182" s="850">
        <f t="shared" si="77"/>
        <v>0</v>
      </c>
      <c r="J182" s="850">
        <f t="shared" si="77"/>
        <v>0</v>
      </c>
      <c r="K182" s="850">
        <f t="shared" si="77"/>
        <v>0</v>
      </c>
      <c r="L182" s="850">
        <f t="shared" si="77"/>
        <v>2916</v>
      </c>
      <c r="M182" s="850">
        <f>M180+M181</f>
        <v>2903</v>
      </c>
      <c r="N182" s="850">
        <f>N180+N181</f>
        <v>2909</v>
      </c>
      <c r="O182" s="850">
        <f>O180+O181</f>
        <v>2899</v>
      </c>
      <c r="Q182" s="842"/>
    </row>
    <row r="183" spans="1:17">
      <c r="A183" s="842" t="s">
        <v>5389</v>
      </c>
      <c r="B183" s="842" t="s">
        <v>5409</v>
      </c>
      <c r="C183" s="55" t="s">
        <v>11876</v>
      </c>
      <c r="D183" s="844">
        <v>80273</v>
      </c>
      <c r="E183" s="844">
        <v>79134</v>
      </c>
      <c r="F183" s="844">
        <v>79193</v>
      </c>
      <c r="G183" s="844">
        <v>80044</v>
      </c>
      <c r="H183" s="56">
        <v>82892</v>
      </c>
      <c r="I183" s="56">
        <v>81475</v>
      </c>
      <c r="J183" s="56">
        <v>81303</v>
      </c>
      <c r="K183" s="56">
        <v>83209</v>
      </c>
      <c r="L183" s="56">
        <v>4883</v>
      </c>
      <c r="M183" s="56">
        <v>4928</v>
      </c>
      <c r="N183" s="56">
        <v>5433</v>
      </c>
      <c r="O183" s="56">
        <v>5486</v>
      </c>
      <c r="Q183" s="842" t="s">
        <v>4888</v>
      </c>
    </row>
    <row r="184" spans="1:17">
      <c r="A184" s="842" t="s">
        <v>5391</v>
      </c>
      <c r="B184" s="842" t="s">
        <v>1847</v>
      </c>
      <c r="C184" s="55" t="s">
        <v>11877</v>
      </c>
      <c r="D184" s="844">
        <v>0</v>
      </c>
      <c r="E184" s="844">
        <v>0</v>
      </c>
      <c r="F184" s="844">
        <v>0</v>
      </c>
      <c r="G184" s="844">
        <v>0</v>
      </c>
      <c r="H184" s="56">
        <v>0</v>
      </c>
      <c r="I184" s="56">
        <v>0</v>
      </c>
      <c r="J184" s="56">
        <v>0</v>
      </c>
      <c r="K184" s="56">
        <v>0</v>
      </c>
      <c r="L184" s="56">
        <v>2656</v>
      </c>
      <c r="M184" s="56">
        <v>2613</v>
      </c>
      <c r="N184" s="56">
        <v>2651</v>
      </c>
      <c r="O184" s="56">
        <v>2628</v>
      </c>
      <c r="Q184" s="842" t="s">
        <v>4888</v>
      </c>
    </row>
    <row r="185" spans="1:17">
      <c r="A185" s="842" t="s">
        <v>5393</v>
      </c>
      <c r="B185" s="842" t="s">
        <v>1848</v>
      </c>
      <c r="C185" s="55" t="s">
        <v>11878</v>
      </c>
      <c r="D185" s="848">
        <v>0</v>
      </c>
      <c r="E185" s="848">
        <v>0</v>
      </c>
      <c r="F185" s="848">
        <v>0</v>
      </c>
      <c r="G185" s="848">
        <v>0</v>
      </c>
      <c r="H185" s="58">
        <v>0</v>
      </c>
      <c r="I185" s="58">
        <v>0</v>
      </c>
      <c r="J185" s="58">
        <v>0</v>
      </c>
      <c r="K185" s="58">
        <v>0</v>
      </c>
      <c r="L185" s="58">
        <v>2894</v>
      </c>
      <c r="M185" s="58">
        <v>2856</v>
      </c>
      <c r="N185" s="58">
        <v>2959</v>
      </c>
      <c r="O185" s="58">
        <v>2970</v>
      </c>
      <c r="Q185" s="842" t="s">
        <v>4888</v>
      </c>
    </row>
    <row r="186" spans="1:17">
      <c r="A186" s="842" t="s">
        <v>5394</v>
      </c>
      <c r="B186" s="842" t="s">
        <v>11879</v>
      </c>
      <c r="C186" s="55" t="s">
        <v>11880</v>
      </c>
      <c r="D186" s="848">
        <v>0</v>
      </c>
      <c r="E186" s="848">
        <v>0</v>
      </c>
      <c r="F186" s="848">
        <v>0</v>
      </c>
      <c r="G186" s="848">
        <v>0</v>
      </c>
      <c r="H186" s="56">
        <v>0</v>
      </c>
      <c r="I186" s="56">
        <v>0</v>
      </c>
      <c r="J186" s="56">
        <v>0</v>
      </c>
      <c r="K186" s="56">
        <v>0</v>
      </c>
      <c r="L186" s="56">
        <v>6596</v>
      </c>
      <c r="M186" s="56">
        <v>6607</v>
      </c>
      <c r="N186" s="56">
        <v>6925</v>
      </c>
      <c r="O186" s="56">
        <v>6906</v>
      </c>
      <c r="Q186" s="842" t="s">
        <v>4888</v>
      </c>
    </row>
    <row r="187" spans="1:17">
      <c r="A187" s="842" t="s">
        <v>5416</v>
      </c>
      <c r="B187" s="842" t="s">
        <v>11881</v>
      </c>
      <c r="C187" s="55" t="s">
        <v>11882</v>
      </c>
      <c r="D187" s="844">
        <v>0</v>
      </c>
      <c r="E187" s="844">
        <v>0</v>
      </c>
      <c r="F187" s="844">
        <v>0</v>
      </c>
      <c r="G187" s="844">
        <v>0</v>
      </c>
      <c r="H187" s="58">
        <v>0</v>
      </c>
      <c r="I187" s="58">
        <v>0</v>
      </c>
      <c r="J187" s="58">
        <v>0</v>
      </c>
      <c r="K187" s="58">
        <v>0</v>
      </c>
      <c r="L187" s="58">
        <v>2551</v>
      </c>
      <c r="M187" s="58">
        <v>2528</v>
      </c>
      <c r="N187" s="58">
        <v>2586</v>
      </c>
      <c r="O187" s="58">
        <v>2571</v>
      </c>
      <c r="Q187" s="842" t="s">
        <v>4888</v>
      </c>
    </row>
    <row r="188" spans="1:17">
      <c r="A188" s="842" t="s">
        <v>5418</v>
      </c>
      <c r="B188" s="842" t="s">
        <v>11883</v>
      </c>
      <c r="C188" s="55" t="s">
        <v>11884</v>
      </c>
      <c r="D188" s="844">
        <v>0</v>
      </c>
      <c r="E188" s="844">
        <v>0</v>
      </c>
      <c r="F188" s="844">
        <v>0</v>
      </c>
      <c r="G188" s="844">
        <v>0</v>
      </c>
      <c r="H188" s="56">
        <v>0</v>
      </c>
      <c r="I188" s="56">
        <v>0</v>
      </c>
      <c r="J188" s="56">
        <v>0</v>
      </c>
      <c r="K188" s="56">
        <v>0</v>
      </c>
      <c r="L188" s="56">
        <v>2221</v>
      </c>
      <c r="M188" s="56">
        <v>2203</v>
      </c>
      <c r="N188" s="56">
        <v>2243</v>
      </c>
      <c r="O188" s="56">
        <v>2235</v>
      </c>
      <c r="Q188" s="842" t="s">
        <v>4888</v>
      </c>
    </row>
    <row r="189" spans="1:17" ht="15.75" thickBot="1">
      <c r="A189" s="842"/>
      <c r="B189" s="842"/>
      <c r="C189" s="55" t="s">
        <v>11884</v>
      </c>
      <c r="D189" s="844">
        <v>0</v>
      </c>
      <c r="E189" s="844">
        <v>0</v>
      </c>
      <c r="F189" s="844">
        <v>0</v>
      </c>
      <c r="G189" s="844">
        <v>0</v>
      </c>
      <c r="H189" s="56">
        <v>0</v>
      </c>
      <c r="I189" s="56">
        <v>0</v>
      </c>
      <c r="J189" s="56">
        <v>0</v>
      </c>
      <c r="K189" s="56">
        <v>0</v>
      </c>
      <c r="L189" s="56">
        <v>482</v>
      </c>
      <c r="M189" s="56">
        <v>467</v>
      </c>
      <c r="N189" s="56">
        <v>462</v>
      </c>
      <c r="O189" s="56">
        <v>459</v>
      </c>
      <c r="Q189" s="842" t="s">
        <v>4892</v>
      </c>
    </row>
    <row r="190" spans="1:17" ht="15.75" thickBot="1">
      <c r="A190" s="842"/>
      <c r="B190" s="842"/>
      <c r="C190" s="55" t="s">
        <v>11884</v>
      </c>
      <c r="D190" s="850">
        <f t="shared" ref="D190:L190" si="78">D188+D189</f>
        <v>0</v>
      </c>
      <c r="E190" s="850">
        <f t="shared" si="78"/>
        <v>0</v>
      </c>
      <c r="F190" s="850">
        <f t="shared" si="78"/>
        <v>0</v>
      </c>
      <c r="G190" s="850">
        <f t="shared" si="78"/>
        <v>0</v>
      </c>
      <c r="H190" s="850">
        <f t="shared" si="78"/>
        <v>0</v>
      </c>
      <c r="I190" s="850">
        <f t="shared" si="78"/>
        <v>0</v>
      </c>
      <c r="J190" s="850">
        <f t="shared" si="78"/>
        <v>0</v>
      </c>
      <c r="K190" s="850">
        <f t="shared" si="78"/>
        <v>0</v>
      </c>
      <c r="L190" s="850">
        <f t="shared" si="78"/>
        <v>2703</v>
      </c>
      <c r="M190" s="850">
        <f>M188+M189</f>
        <v>2670</v>
      </c>
      <c r="N190" s="850">
        <f>N188+N189</f>
        <v>2705</v>
      </c>
      <c r="O190" s="850">
        <f>O188+O189</f>
        <v>2694</v>
      </c>
      <c r="Q190" s="842"/>
    </row>
    <row r="191" spans="1:17">
      <c r="A191" s="842" t="s">
        <v>5420</v>
      </c>
      <c r="B191" s="842" t="s">
        <v>11885</v>
      </c>
      <c r="C191" s="55" t="s">
        <v>11886</v>
      </c>
      <c r="D191" s="844">
        <v>0</v>
      </c>
      <c r="E191" s="844">
        <v>0</v>
      </c>
      <c r="F191" s="844">
        <v>0</v>
      </c>
      <c r="G191" s="844">
        <v>0</v>
      </c>
      <c r="H191" s="56">
        <v>0</v>
      </c>
      <c r="I191" s="56">
        <v>0</v>
      </c>
      <c r="J191" s="56">
        <v>0</v>
      </c>
      <c r="K191" s="56">
        <v>0</v>
      </c>
      <c r="L191" s="56">
        <v>3713</v>
      </c>
      <c r="M191" s="56">
        <v>3741</v>
      </c>
      <c r="N191" s="56">
        <v>3797</v>
      </c>
      <c r="O191" s="56">
        <v>3775</v>
      </c>
      <c r="Q191" s="842" t="s">
        <v>4888</v>
      </c>
    </row>
    <row r="192" spans="1:17" ht="15.75" thickBot="1">
      <c r="A192" s="842"/>
      <c r="B192" s="842"/>
      <c r="C192" s="55" t="s">
        <v>11886</v>
      </c>
      <c r="D192" s="844">
        <v>0</v>
      </c>
      <c r="E192" s="844">
        <v>0</v>
      </c>
      <c r="F192" s="844">
        <v>0</v>
      </c>
      <c r="G192" s="844">
        <v>0</v>
      </c>
      <c r="H192" s="56">
        <v>0</v>
      </c>
      <c r="I192" s="56">
        <v>0</v>
      </c>
      <c r="J192" s="56">
        <v>0</v>
      </c>
      <c r="K192" s="56">
        <v>0</v>
      </c>
      <c r="L192" s="56">
        <v>1000</v>
      </c>
      <c r="M192" s="56">
        <v>936</v>
      </c>
      <c r="N192" s="56">
        <v>1015</v>
      </c>
      <c r="O192" s="56">
        <v>1017</v>
      </c>
      <c r="Q192" s="842" t="s">
        <v>4892</v>
      </c>
    </row>
    <row r="193" spans="1:17" ht="15.75" thickBot="1">
      <c r="A193" s="842"/>
      <c r="B193" s="842"/>
      <c r="C193" s="55" t="s">
        <v>11886</v>
      </c>
      <c r="D193" s="850">
        <f t="shared" ref="D193:L193" si="79">D191+D192</f>
        <v>0</v>
      </c>
      <c r="E193" s="850">
        <f t="shared" si="79"/>
        <v>0</v>
      </c>
      <c r="F193" s="850">
        <f t="shared" si="79"/>
        <v>0</v>
      </c>
      <c r="G193" s="850">
        <f t="shared" si="79"/>
        <v>0</v>
      </c>
      <c r="H193" s="850">
        <f t="shared" si="79"/>
        <v>0</v>
      </c>
      <c r="I193" s="850">
        <f t="shared" si="79"/>
        <v>0</v>
      </c>
      <c r="J193" s="850">
        <f t="shared" si="79"/>
        <v>0</v>
      </c>
      <c r="K193" s="850">
        <f t="shared" si="79"/>
        <v>0</v>
      </c>
      <c r="L193" s="850">
        <f t="shared" si="79"/>
        <v>4713</v>
      </c>
      <c r="M193" s="850">
        <f>M191+M192</f>
        <v>4677</v>
      </c>
      <c r="N193" s="850">
        <f>N191+N192</f>
        <v>4812</v>
      </c>
      <c r="O193" s="850">
        <f>O191+O192</f>
        <v>4792</v>
      </c>
      <c r="Q193" s="842"/>
    </row>
    <row r="194" spans="1:17">
      <c r="A194" s="842" t="s">
        <v>5422</v>
      </c>
      <c r="B194" s="842" t="s">
        <v>11887</v>
      </c>
      <c r="C194" s="55" t="s">
        <v>11888</v>
      </c>
      <c r="D194" s="844">
        <v>43120</v>
      </c>
      <c r="E194" s="844">
        <v>42693</v>
      </c>
      <c r="F194" s="844">
        <v>42407</v>
      </c>
      <c r="G194" s="844">
        <v>42535</v>
      </c>
      <c r="H194" s="56">
        <v>43570</v>
      </c>
      <c r="I194" s="56">
        <v>43271</v>
      </c>
      <c r="J194" s="56">
        <v>42770</v>
      </c>
      <c r="K194" s="56">
        <v>44033</v>
      </c>
      <c r="L194" s="56">
        <v>5518</v>
      </c>
      <c r="M194" s="56">
        <v>5467</v>
      </c>
      <c r="N194" s="56">
        <v>5519</v>
      </c>
      <c r="O194" s="56">
        <v>5500</v>
      </c>
      <c r="Q194" s="842" t="s">
        <v>4892</v>
      </c>
    </row>
    <row r="195" spans="1:17">
      <c r="A195" s="842" t="s">
        <v>5424</v>
      </c>
      <c r="B195" s="842" t="s">
        <v>1849</v>
      </c>
      <c r="C195" s="55" t="s">
        <v>11889</v>
      </c>
      <c r="D195" s="844">
        <v>0</v>
      </c>
      <c r="E195" s="844">
        <v>0</v>
      </c>
      <c r="F195" s="844">
        <v>0</v>
      </c>
      <c r="G195" s="844">
        <v>0</v>
      </c>
      <c r="H195" s="56">
        <v>0</v>
      </c>
      <c r="I195" s="56">
        <v>0</v>
      </c>
      <c r="J195" s="56">
        <v>0</v>
      </c>
      <c r="K195" s="56">
        <v>0</v>
      </c>
      <c r="L195" s="56">
        <v>4923</v>
      </c>
      <c r="M195" s="56">
        <v>4992</v>
      </c>
      <c r="N195" s="56">
        <v>4985</v>
      </c>
      <c r="O195" s="56">
        <v>4967</v>
      </c>
      <c r="Q195" s="842" t="s">
        <v>4888</v>
      </c>
    </row>
    <row r="196" spans="1:17">
      <c r="A196" s="842" t="s">
        <v>5426</v>
      </c>
      <c r="B196" s="842" t="s">
        <v>3221</v>
      </c>
      <c r="C196" s="55" t="s">
        <v>11890</v>
      </c>
      <c r="D196" s="844">
        <v>0</v>
      </c>
      <c r="E196" s="844">
        <v>0</v>
      </c>
      <c r="F196" s="844">
        <v>0</v>
      </c>
      <c r="G196" s="844">
        <v>0</v>
      </c>
      <c r="H196" s="56">
        <v>0</v>
      </c>
      <c r="I196" s="56">
        <v>0</v>
      </c>
      <c r="J196" s="56">
        <v>0</v>
      </c>
      <c r="K196" s="56">
        <v>0</v>
      </c>
      <c r="L196" s="56">
        <v>7033</v>
      </c>
      <c r="M196" s="56">
        <v>6969</v>
      </c>
      <c r="N196" s="56">
        <v>6994</v>
      </c>
      <c r="O196" s="56">
        <v>6962</v>
      </c>
      <c r="Q196" s="842" t="s">
        <v>4888</v>
      </c>
    </row>
    <row r="197" spans="1:17">
      <c r="A197" s="842" t="s">
        <v>5428</v>
      </c>
      <c r="B197" s="842" t="s">
        <v>11891</v>
      </c>
      <c r="C197" s="55" t="s">
        <v>11892</v>
      </c>
      <c r="D197" s="844">
        <v>0</v>
      </c>
      <c r="E197" s="844">
        <v>0</v>
      </c>
      <c r="F197" s="844">
        <v>0</v>
      </c>
      <c r="G197" s="844">
        <v>0</v>
      </c>
      <c r="H197" s="56">
        <v>0</v>
      </c>
      <c r="I197" s="56">
        <v>0</v>
      </c>
      <c r="J197" s="56">
        <v>0</v>
      </c>
      <c r="K197" s="56">
        <v>0</v>
      </c>
      <c r="L197" s="56">
        <v>1354</v>
      </c>
      <c r="M197" s="56">
        <v>1342</v>
      </c>
      <c r="N197" s="56">
        <v>1395</v>
      </c>
      <c r="O197" s="56">
        <v>1398</v>
      </c>
      <c r="Q197" s="842" t="s">
        <v>4888</v>
      </c>
    </row>
    <row r="198" spans="1:17" ht="15.75" thickBot="1">
      <c r="A198" s="842"/>
      <c r="B198" s="842"/>
      <c r="C198" s="55" t="s">
        <v>11892</v>
      </c>
      <c r="D198" s="844">
        <v>0</v>
      </c>
      <c r="E198" s="844">
        <v>0</v>
      </c>
      <c r="F198" s="844">
        <v>0</v>
      </c>
      <c r="G198" s="844">
        <v>0</v>
      </c>
      <c r="H198" s="56">
        <v>0</v>
      </c>
      <c r="I198" s="56">
        <v>0</v>
      </c>
      <c r="J198" s="56">
        <v>0</v>
      </c>
      <c r="K198" s="56">
        <v>0</v>
      </c>
      <c r="L198" s="56">
        <v>1273</v>
      </c>
      <c r="M198" s="56">
        <v>1295</v>
      </c>
      <c r="N198" s="56">
        <v>1328</v>
      </c>
      <c r="O198" s="56">
        <v>1327</v>
      </c>
      <c r="Q198" s="842" t="s">
        <v>4892</v>
      </c>
    </row>
    <row r="199" spans="1:17" ht="15.75" thickBot="1">
      <c r="A199" s="842"/>
      <c r="B199" s="842"/>
      <c r="C199" s="55" t="s">
        <v>11892</v>
      </c>
      <c r="D199" s="850">
        <f t="shared" ref="D199:L199" si="80">D197+D198</f>
        <v>0</v>
      </c>
      <c r="E199" s="850">
        <f t="shared" si="80"/>
        <v>0</v>
      </c>
      <c r="F199" s="850">
        <f t="shared" si="80"/>
        <v>0</v>
      </c>
      <c r="G199" s="850">
        <f t="shared" si="80"/>
        <v>0</v>
      </c>
      <c r="H199" s="850">
        <f t="shared" si="80"/>
        <v>0</v>
      </c>
      <c r="I199" s="850">
        <f t="shared" si="80"/>
        <v>0</v>
      </c>
      <c r="J199" s="850">
        <f t="shared" si="80"/>
        <v>0</v>
      </c>
      <c r="K199" s="850">
        <f t="shared" si="80"/>
        <v>0</v>
      </c>
      <c r="L199" s="850">
        <f t="shared" si="80"/>
        <v>2627</v>
      </c>
      <c r="M199" s="850">
        <f>M197+M198</f>
        <v>2637</v>
      </c>
      <c r="N199" s="850">
        <f>N197+N198</f>
        <v>2723</v>
      </c>
      <c r="O199" s="850">
        <f>O197+O198</f>
        <v>2725</v>
      </c>
      <c r="Q199" s="842"/>
    </row>
    <row r="200" spans="1:17">
      <c r="A200" s="842" t="s">
        <v>5429</v>
      </c>
      <c r="B200" s="842" t="s">
        <v>3222</v>
      </c>
      <c r="C200" s="55" t="s">
        <v>11893</v>
      </c>
      <c r="D200" s="844">
        <v>0</v>
      </c>
      <c r="E200" s="844">
        <v>0</v>
      </c>
      <c r="F200" s="844">
        <v>0</v>
      </c>
      <c r="G200" s="844">
        <v>0</v>
      </c>
      <c r="H200" s="56">
        <v>0</v>
      </c>
      <c r="I200" s="56">
        <v>0</v>
      </c>
      <c r="J200" s="56">
        <v>0</v>
      </c>
      <c r="K200" s="56">
        <v>0</v>
      </c>
      <c r="L200" s="56">
        <v>7836</v>
      </c>
      <c r="M200" s="56">
        <v>7785</v>
      </c>
      <c r="N200" s="56">
        <v>7886</v>
      </c>
      <c r="O200" s="56">
        <v>7876</v>
      </c>
      <c r="Q200" s="842" t="s">
        <v>4892</v>
      </c>
    </row>
    <row r="201" spans="1:17">
      <c r="A201" s="842" t="s">
        <v>5431</v>
      </c>
      <c r="B201" s="842" t="s">
        <v>3223</v>
      </c>
      <c r="C201" s="55" t="s">
        <v>11894</v>
      </c>
      <c r="D201" s="844">
        <v>0</v>
      </c>
      <c r="E201" s="844">
        <v>0</v>
      </c>
      <c r="F201" s="844">
        <v>0</v>
      </c>
      <c r="G201" s="844">
        <v>0</v>
      </c>
      <c r="H201" s="56">
        <v>0</v>
      </c>
      <c r="I201" s="56">
        <v>0</v>
      </c>
      <c r="J201" s="56">
        <v>0</v>
      </c>
      <c r="K201" s="56">
        <v>0</v>
      </c>
      <c r="L201" s="56">
        <v>4795</v>
      </c>
      <c r="M201" s="56">
        <v>4806</v>
      </c>
      <c r="N201" s="56">
        <v>4886</v>
      </c>
      <c r="O201" s="56">
        <v>4824</v>
      </c>
      <c r="Q201" s="842" t="s">
        <v>4888</v>
      </c>
    </row>
    <row r="202" spans="1:17" ht="15.75" thickBot="1">
      <c r="B202" s="842"/>
      <c r="C202" s="55" t="s">
        <v>11894</v>
      </c>
      <c r="D202" s="845">
        <v>0</v>
      </c>
      <c r="E202" s="845">
        <v>0</v>
      </c>
      <c r="F202" s="848">
        <v>0</v>
      </c>
      <c r="G202" s="848">
        <v>0</v>
      </c>
      <c r="H202" s="58">
        <v>0</v>
      </c>
      <c r="I202" s="58">
        <v>0</v>
      </c>
      <c r="J202" s="58">
        <v>0</v>
      </c>
      <c r="K202" s="58">
        <v>0</v>
      </c>
      <c r="L202" s="58">
        <v>11</v>
      </c>
      <c r="M202" s="58">
        <v>11</v>
      </c>
      <c r="N202" s="58">
        <v>11</v>
      </c>
      <c r="O202" s="58">
        <v>11</v>
      </c>
      <c r="Q202" s="842" t="s">
        <v>4892</v>
      </c>
    </row>
    <row r="203" spans="1:17" ht="15.75" thickBot="1">
      <c r="B203" s="842"/>
      <c r="C203" s="55" t="s">
        <v>11894</v>
      </c>
      <c r="D203" s="850">
        <f t="shared" ref="D203:L203" si="81">D201+D202</f>
        <v>0</v>
      </c>
      <c r="E203" s="850">
        <f t="shared" si="81"/>
        <v>0</v>
      </c>
      <c r="F203" s="850">
        <f t="shared" si="81"/>
        <v>0</v>
      </c>
      <c r="G203" s="850">
        <f t="shared" si="81"/>
        <v>0</v>
      </c>
      <c r="H203" s="850">
        <f t="shared" si="81"/>
        <v>0</v>
      </c>
      <c r="I203" s="850">
        <f t="shared" si="81"/>
        <v>0</v>
      </c>
      <c r="J203" s="850">
        <f t="shared" si="81"/>
        <v>0</v>
      </c>
      <c r="K203" s="850">
        <f t="shared" si="81"/>
        <v>0</v>
      </c>
      <c r="L203" s="850">
        <f t="shared" si="81"/>
        <v>4806</v>
      </c>
      <c r="M203" s="850">
        <f>M201+M202</f>
        <v>4817</v>
      </c>
      <c r="N203" s="850">
        <f>N201+N202</f>
        <v>4897</v>
      </c>
      <c r="O203" s="850">
        <f>O201+O202</f>
        <v>4835</v>
      </c>
      <c r="Q203" s="842"/>
    </row>
    <row r="204" spans="1:17">
      <c r="A204" s="842" t="s">
        <v>5433</v>
      </c>
      <c r="B204" s="842" t="s">
        <v>3224</v>
      </c>
      <c r="C204" s="55" t="s">
        <v>11898</v>
      </c>
      <c r="D204" s="844">
        <v>0</v>
      </c>
      <c r="E204" s="844">
        <v>0</v>
      </c>
      <c r="F204" s="844">
        <v>0</v>
      </c>
      <c r="G204" s="844">
        <v>0</v>
      </c>
      <c r="H204" s="56">
        <v>0</v>
      </c>
      <c r="I204" s="56">
        <v>0</v>
      </c>
      <c r="J204" s="56">
        <v>0</v>
      </c>
      <c r="K204" s="56">
        <v>0</v>
      </c>
      <c r="L204" s="56">
        <v>5553</v>
      </c>
      <c r="M204" s="56">
        <v>5656</v>
      </c>
      <c r="N204" s="56">
        <v>5848</v>
      </c>
      <c r="O204" s="56">
        <v>5837</v>
      </c>
      <c r="Q204" s="842" t="s">
        <v>4888</v>
      </c>
    </row>
    <row r="205" spans="1:17">
      <c r="A205" s="842" t="s">
        <v>5435</v>
      </c>
      <c r="B205" s="842" t="s">
        <v>3225</v>
      </c>
      <c r="C205" s="55" t="s">
        <v>11899</v>
      </c>
      <c r="D205" s="844">
        <v>0</v>
      </c>
      <c r="E205" s="844">
        <v>0</v>
      </c>
      <c r="F205" s="844">
        <v>0</v>
      </c>
      <c r="G205" s="844">
        <v>0</v>
      </c>
      <c r="H205" s="56">
        <v>0</v>
      </c>
      <c r="I205" s="56">
        <v>0</v>
      </c>
      <c r="J205" s="56">
        <v>0</v>
      </c>
      <c r="K205" s="56">
        <v>0</v>
      </c>
      <c r="L205" s="56">
        <v>2273</v>
      </c>
      <c r="M205" s="56">
        <v>2242</v>
      </c>
      <c r="N205" s="56">
        <v>2277</v>
      </c>
      <c r="O205" s="56">
        <v>2268</v>
      </c>
      <c r="Q205" s="842" t="s">
        <v>4888</v>
      </c>
    </row>
    <row r="206" spans="1:17">
      <c r="A206" s="842" t="s">
        <v>5436</v>
      </c>
      <c r="B206" s="842" t="s">
        <v>11900</v>
      </c>
      <c r="C206" s="55" t="s">
        <v>11901</v>
      </c>
      <c r="D206" s="844">
        <v>0</v>
      </c>
      <c r="E206" s="844">
        <v>0</v>
      </c>
      <c r="F206" s="844">
        <v>0</v>
      </c>
      <c r="G206" s="844">
        <v>0</v>
      </c>
      <c r="H206" s="844">
        <v>0</v>
      </c>
      <c r="I206" s="844">
        <v>0</v>
      </c>
      <c r="J206" s="844">
        <v>0</v>
      </c>
      <c r="K206" s="844">
        <v>0</v>
      </c>
      <c r="L206" s="58">
        <v>2238</v>
      </c>
      <c r="M206" s="58">
        <v>2216</v>
      </c>
      <c r="N206" s="58">
        <v>2264</v>
      </c>
      <c r="O206" s="58">
        <v>2261</v>
      </c>
      <c r="Q206" s="842" t="s">
        <v>4888</v>
      </c>
    </row>
    <row r="207" spans="1:17">
      <c r="A207" s="842" t="s">
        <v>5437</v>
      </c>
      <c r="B207" s="842" t="s">
        <v>11905</v>
      </c>
      <c r="C207" s="55" t="s">
        <v>11902</v>
      </c>
      <c r="D207" s="844">
        <v>0</v>
      </c>
      <c r="E207" s="844">
        <v>0</v>
      </c>
      <c r="F207" s="844">
        <v>0</v>
      </c>
      <c r="G207" s="844">
        <v>0</v>
      </c>
      <c r="H207" s="844">
        <v>0</v>
      </c>
      <c r="I207" s="844">
        <v>0</v>
      </c>
      <c r="J207" s="844">
        <v>0</v>
      </c>
      <c r="K207" s="844">
        <v>0</v>
      </c>
      <c r="L207" s="58">
        <v>8351</v>
      </c>
      <c r="M207" s="58">
        <v>8298</v>
      </c>
      <c r="N207" s="58">
        <v>8352</v>
      </c>
      <c r="O207" s="58">
        <v>8354</v>
      </c>
      <c r="Q207" s="842" t="s">
        <v>4888</v>
      </c>
    </row>
    <row r="208" spans="1:17">
      <c r="A208" s="842" t="s">
        <v>5439</v>
      </c>
      <c r="B208" s="842" t="s">
        <v>3226</v>
      </c>
      <c r="C208" s="55" t="s">
        <v>11903</v>
      </c>
      <c r="D208" s="844">
        <v>0</v>
      </c>
      <c r="E208" s="844">
        <v>0</v>
      </c>
      <c r="F208" s="844">
        <v>0</v>
      </c>
      <c r="G208" s="844">
        <v>0</v>
      </c>
      <c r="H208" s="844">
        <v>0</v>
      </c>
      <c r="I208" s="844">
        <v>0</v>
      </c>
      <c r="J208" s="844">
        <v>0</v>
      </c>
      <c r="K208" s="844">
        <v>0</v>
      </c>
      <c r="L208" s="58">
        <v>8739</v>
      </c>
      <c r="M208" s="58">
        <v>8612</v>
      </c>
      <c r="N208" s="58">
        <v>8664</v>
      </c>
      <c r="O208" s="58">
        <v>8658</v>
      </c>
      <c r="Q208" s="842" t="s">
        <v>4888</v>
      </c>
    </row>
    <row r="209" spans="1:17">
      <c r="A209" s="842" t="s">
        <v>5441</v>
      </c>
      <c r="B209" s="842" t="s">
        <v>11906</v>
      </c>
      <c r="C209" s="55" t="s">
        <v>11904</v>
      </c>
      <c r="D209" s="844">
        <v>0</v>
      </c>
      <c r="E209" s="844">
        <v>0</v>
      </c>
      <c r="F209" s="844">
        <v>0</v>
      </c>
      <c r="G209" s="844">
        <v>0</v>
      </c>
      <c r="H209" s="844">
        <v>0</v>
      </c>
      <c r="I209" s="844">
        <v>0</v>
      </c>
      <c r="J209" s="844">
        <v>0</v>
      </c>
      <c r="K209" s="844">
        <v>0</v>
      </c>
      <c r="L209" s="58">
        <v>7792</v>
      </c>
      <c r="M209" s="58">
        <v>7769</v>
      </c>
      <c r="N209" s="58">
        <v>7816</v>
      </c>
      <c r="O209" s="58">
        <v>7801</v>
      </c>
      <c r="Q209" s="842" t="s">
        <v>4888</v>
      </c>
    </row>
    <row r="210" spans="1:17">
      <c r="A210" s="842" t="s">
        <v>5886</v>
      </c>
      <c r="B210" s="842" t="s">
        <v>3227</v>
      </c>
      <c r="C210" s="55" t="s">
        <v>11895</v>
      </c>
      <c r="D210" s="844">
        <v>0</v>
      </c>
      <c r="E210" s="844">
        <v>0</v>
      </c>
      <c r="F210" s="844">
        <v>0</v>
      </c>
      <c r="G210" s="844">
        <v>0</v>
      </c>
      <c r="H210" s="56">
        <v>0</v>
      </c>
      <c r="I210" s="56">
        <v>0</v>
      </c>
      <c r="J210" s="56">
        <v>0</v>
      </c>
      <c r="K210" s="56">
        <v>0</v>
      </c>
      <c r="L210" s="56">
        <v>4863</v>
      </c>
      <c r="M210" s="56">
        <v>4889</v>
      </c>
      <c r="N210" s="56">
        <v>5043</v>
      </c>
      <c r="O210" s="56">
        <v>5032</v>
      </c>
      <c r="Q210" s="842" t="s">
        <v>4892</v>
      </c>
    </row>
    <row r="211" spans="1:17">
      <c r="A211" s="842" t="s">
        <v>5888</v>
      </c>
      <c r="B211" s="842" t="s">
        <v>3228</v>
      </c>
      <c r="C211" s="55" t="s">
        <v>11896</v>
      </c>
      <c r="D211" s="844">
        <v>0</v>
      </c>
      <c r="E211" s="844">
        <v>0</v>
      </c>
      <c r="F211" s="844">
        <v>0</v>
      </c>
      <c r="G211" s="844">
        <v>0</v>
      </c>
      <c r="H211" s="58">
        <v>0</v>
      </c>
      <c r="I211" s="58">
        <v>0</v>
      </c>
      <c r="J211" s="58">
        <v>0</v>
      </c>
      <c r="K211" s="58">
        <v>0</v>
      </c>
      <c r="L211" s="58">
        <v>2934</v>
      </c>
      <c r="M211" s="58">
        <v>2933</v>
      </c>
      <c r="N211" s="58">
        <v>2969</v>
      </c>
      <c r="O211" s="58">
        <v>2949</v>
      </c>
      <c r="Q211" s="842" t="s">
        <v>4892</v>
      </c>
    </row>
    <row r="212" spans="1:17">
      <c r="A212" s="842" t="s">
        <v>5889</v>
      </c>
      <c r="B212" s="842" t="s">
        <v>11907</v>
      </c>
      <c r="C212" s="55" t="s">
        <v>11897</v>
      </c>
      <c r="D212" s="848">
        <v>0</v>
      </c>
      <c r="E212" s="848">
        <v>0</v>
      </c>
      <c r="F212" s="848">
        <v>0</v>
      </c>
      <c r="G212" s="848">
        <v>0</v>
      </c>
      <c r="H212" s="58">
        <v>0</v>
      </c>
      <c r="I212" s="58">
        <v>0</v>
      </c>
      <c r="J212" s="58">
        <v>0</v>
      </c>
      <c r="K212" s="58">
        <v>0</v>
      </c>
      <c r="L212" s="58">
        <v>5223</v>
      </c>
      <c r="M212" s="58">
        <v>5155</v>
      </c>
      <c r="N212" s="58">
        <v>5234</v>
      </c>
      <c r="O212" s="58">
        <v>5224</v>
      </c>
      <c r="Q212" s="842" t="s">
        <v>4892</v>
      </c>
    </row>
    <row r="213" spans="1:17">
      <c r="A213" s="842" t="s">
        <v>4431</v>
      </c>
      <c r="B213" s="842" t="s">
        <v>11908</v>
      </c>
      <c r="C213" s="55" t="s">
        <v>11909</v>
      </c>
      <c r="D213" s="844">
        <v>0</v>
      </c>
      <c r="E213" s="844">
        <v>0</v>
      </c>
      <c r="F213" s="844">
        <v>0</v>
      </c>
      <c r="G213" s="844">
        <v>0</v>
      </c>
      <c r="H213" s="56">
        <v>0</v>
      </c>
      <c r="I213" s="56">
        <v>0</v>
      </c>
      <c r="J213" s="56">
        <v>0</v>
      </c>
      <c r="K213" s="56">
        <v>0</v>
      </c>
      <c r="L213" s="56">
        <v>3010</v>
      </c>
      <c r="M213" s="56">
        <v>3159</v>
      </c>
      <c r="N213" s="56">
        <v>3407</v>
      </c>
      <c r="O213" s="56">
        <v>3427</v>
      </c>
      <c r="Q213" s="842" t="s">
        <v>4888</v>
      </c>
    </row>
    <row r="214" spans="1:17">
      <c r="A214" s="842" t="s">
        <v>4432</v>
      </c>
      <c r="B214" s="842" t="s">
        <v>11910</v>
      </c>
      <c r="C214" s="55" t="s">
        <v>11911</v>
      </c>
      <c r="D214" s="844">
        <v>0</v>
      </c>
      <c r="E214" s="844">
        <v>0</v>
      </c>
      <c r="F214" s="844">
        <v>0</v>
      </c>
      <c r="G214" s="844">
        <v>0</v>
      </c>
      <c r="H214" s="58">
        <v>0</v>
      </c>
      <c r="I214" s="58">
        <v>0</v>
      </c>
      <c r="J214" s="58">
        <v>0</v>
      </c>
      <c r="K214" s="58">
        <v>0</v>
      </c>
      <c r="L214" s="58">
        <v>5524</v>
      </c>
      <c r="M214" s="58">
        <v>5616</v>
      </c>
      <c r="N214" s="58">
        <v>5704</v>
      </c>
      <c r="O214" s="58">
        <v>5683</v>
      </c>
      <c r="Q214" s="842" t="s">
        <v>4892</v>
      </c>
    </row>
    <row r="215" spans="1:17">
      <c r="A215" s="842" t="s">
        <v>4434</v>
      </c>
      <c r="B215" s="842" t="s">
        <v>11913</v>
      </c>
      <c r="C215" s="55" t="s">
        <v>11912</v>
      </c>
      <c r="D215" s="844">
        <v>0</v>
      </c>
      <c r="E215" s="844">
        <v>0</v>
      </c>
      <c r="F215" s="844">
        <v>0</v>
      </c>
      <c r="G215" s="844">
        <v>0</v>
      </c>
      <c r="H215" s="58">
        <v>0</v>
      </c>
      <c r="I215" s="58">
        <v>0</v>
      </c>
      <c r="J215" s="58">
        <v>0</v>
      </c>
      <c r="K215" s="58">
        <v>0</v>
      </c>
      <c r="L215" s="58">
        <v>8243</v>
      </c>
      <c r="M215" s="58">
        <v>8184</v>
      </c>
      <c r="N215" s="58">
        <v>8282</v>
      </c>
      <c r="O215" s="58">
        <v>8279</v>
      </c>
      <c r="Q215" s="842" t="s">
        <v>4892</v>
      </c>
    </row>
    <row r="216" spans="1:17">
      <c r="D216" s="847"/>
      <c r="E216" s="847"/>
      <c r="F216" s="847"/>
      <c r="G216" s="847"/>
      <c r="H216" s="847"/>
      <c r="I216" s="847"/>
      <c r="J216" s="847"/>
      <c r="K216" s="847"/>
      <c r="L216" s="847"/>
      <c r="M216" s="847"/>
      <c r="N216" s="847"/>
      <c r="O216" s="847"/>
    </row>
    <row r="217" spans="1:17">
      <c r="A217" s="842" t="s">
        <v>4888</v>
      </c>
      <c r="D217" s="844">
        <f t="shared" ref="D217:N217" si="82">SUM(D180,D183:D188,D191,D195:D197,D201,D204:D209,D213)</f>
        <v>80273</v>
      </c>
      <c r="E217" s="844">
        <f t="shared" si="82"/>
        <v>79134</v>
      </c>
      <c r="F217" s="844">
        <f t="shared" si="82"/>
        <v>79193</v>
      </c>
      <c r="G217" s="844">
        <f t="shared" si="82"/>
        <v>80044</v>
      </c>
      <c r="H217" s="844">
        <f t="shared" si="82"/>
        <v>82892</v>
      </c>
      <c r="I217" s="844">
        <f t="shared" si="82"/>
        <v>81475</v>
      </c>
      <c r="J217" s="844">
        <f t="shared" si="82"/>
        <v>81303</v>
      </c>
      <c r="K217" s="844">
        <f t="shared" si="82"/>
        <v>83209</v>
      </c>
      <c r="L217" s="844">
        <f t="shared" si="82"/>
        <v>83371</v>
      </c>
      <c r="M217" s="844">
        <f t="shared" si="82"/>
        <v>83328</v>
      </c>
      <c r="N217" s="844">
        <f t="shared" si="82"/>
        <v>85270</v>
      </c>
      <c r="O217" s="844">
        <f>SUM(O180,O183:O188,O191,O195:O197,O201,O204:O209,O213)</f>
        <v>85109</v>
      </c>
    </row>
    <row r="218" spans="1:17">
      <c r="A218" s="842" t="s">
        <v>6091</v>
      </c>
      <c r="D218" s="844">
        <f t="shared" ref="D218:N218" si="83">SUM(D181,D189,D192,D194,D198,D200,D202,D210:D212,D214:D215)</f>
        <v>43120</v>
      </c>
      <c r="E218" s="844">
        <f t="shared" si="83"/>
        <v>42693</v>
      </c>
      <c r="F218" s="844">
        <f t="shared" si="83"/>
        <v>42407</v>
      </c>
      <c r="G218" s="844">
        <f t="shared" si="83"/>
        <v>42535</v>
      </c>
      <c r="H218" s="844">
        <f t="shared" si="83"/>
        <v>43570</v>
      </c>
      <c r="I218" s="844">
        <f t="shared" si="83"/>
        <v>43271</v>
      </c>
      <c r="J218" s="844">
        <f t="shared" si="83"/>
        <v>42770</v>
      </c>
      <c r="K218" s="844">
        <f t="shared" si="83"/>
        <v>44033</v>
      </c>
      <c r="L218" s="844">
        <f t="shared" si="83"/>
        <v>44027</v>
      </c>
      <c r="M218" s="844">
        <f t="shared" si="83"/>
        <v>43850</v>
      </c>
      <c r="N218" s="844">
        <f t="shared" si="83"/>
        <v>44574</v>
      </c>
      <c r="O218" s="844">
        <f>SUM(O181,O189,O192,O194,O198,O200,O202,O210:O212,O214:O215)</f>
        <v>44475</v>
      </c>
    </row>
    <row r="219" spans="1:17">
      <c r="A219" s="842"/>
      <c r="B219" s="842"/>
      <c r="D219" s="851"/>
      <c r="E219" s="851"/>
      <c r="F219" s="851"/>
      <c r="G219" s="851"/>
      <c r="H219" s="851"/>
      <c r="I219" s="851"/>
      <c r="J219" s="851"/>
      <c r="K219" s="851"/>
      <c r="L219" s="851"/>
      <c r="M219" s="851"/>
      <c r="N219" s="851"/>
      <c r="O219" s="851"/>
    </row>
    <row r="220" spans="1:17">
      <c r="A220" s="168" t="s">
        <v>11875</v>
      </c>
      <c r="B220" s="842"/>
      <c r="D220" s="851"/>
      <c r="E220" s="851"/>
      <c r="F220" s="851"/>
      <c r="G220" s="851"/>
      <c r="H220" s="851"/>
      <c r="I220" s="851"/>
      <c r="J220" s="851"/>
      <c r="K220" s="851"/>
      <c r="L220" s="851"/>
      <c r="M220" s="851"/>
      <c r="N220" s="851"/>
      <c r="O220" s="851"/>
    </row>
    <row r="221" spans="1:17">
      <c r="A221" s="842"/>
      <c r="B221" s="842"/>
      <c r="D221" s="851"/>
      <c r="E221" s="851"/>
      <c r="F221" s="851"/>
      <c r="G221" s="851"/>
      <c r="H221" s="851"/>
      <c r="I221" s="851"/>
      <c r="J221" s="851"/>
      <c r="K221" s="851"/>
      <c r="L221" s="851"/>
      <c r="M221" s="851"/>
      <c r="N221" s="851"/>
      <c r="O221" s="851"/>
    </row>
    <row r="222" spans="1:17">
      <c r="A222" s="842"/>
      <c r="B222" s="842"/>
      <c r="D222" s="851"/>
      <c r="E222" s="851"/>
      <c r="F222" s="851"/>
      <c r="G222" s="851"/>
      <c r="H222" s="851"/>
      <c r="I222" s="851"/>
      <c r="J222" s="851"/>
      <c r="K222" s="851"/>
      <c r="L222" s="851"/>
      <c r="M222" s="851"/>
      <c r="N222" s="851"/>
      <c r="O222" s="851"/>
    </row>
    <row r="223" spans="1:17">
      <c r="E223" s="51" t="s">
        <v>1526</v>
      </c>
      <c r="F223" s="51"/>
      <c r="G223" s="51"/>
      <c r="H223" s="51"/>
      <c r="I223" s="51"/>
      <c r="J223" s="51"/>
      <c r="K223" s="51"/>
      <c r="L223" s="51"/>
      <c r="M223" s="51"/>
      <c r="N223" s="51"/>
      <c r="O223" s="51"/>
      <c r="P223" s="138"/>
      <c r="Q223" s="138" t="s">
        <v>9479</v>
      </c>
    </row>
    <row r="224" spans="1:17">
      <c r="D224" s="507">
        <v>2010</v>
      </c>
      <c r="E224" s="507">
        <v>2011</v>
      </c>
      <c r="F224" s="507">
        <v>2012</v>
      </c>
      <c r="G224" s="507">
        <v>2013</v>
      </c>
      <c r="H224" s="507">
        <v>2014</v>
      </c>
      <c r="I224" s="507">
        <v>2015</v>
      </c>
      <c r="J224" s="507">
        <v>2016</v>
      </c>
      <c r="K224" s="507">
        <v>2017</v>
      </c>
      <c r="L224" s="507">
        <v>2018</v>
      </c>
      <c r="M224" s="507">
        <v>2019</v>
      </c>
      <c r="N224" s="507">
        <v>2020</v>
      </c>
      <c r="O224" s="987" t="s">
        <v>14823</v>
      </c>
      <c r="Q224" s="506" t="s">
        <v>1527</v>
      </c>
    </row>
    <row r="225" spans="1:17">
      <c r="A225" s="842" t="s">
        <v>6141</v>
      </c>
      <c r="D225" s="844">
        <f t="shared" ref="D225:J225" si="84">SUM(D226:D243)+SUM(D245:D253)</f>
        <v>105655</v>
      </c>
      <c r="E225" s="844">
        <f t="shared" si="84"/>
        <v>107705</v>
      </c>
      <c r="F225" s="844">
        <f t="shared" si="84"/>
        <v>109091</v>
      </c>
      <c r="G225" s="844">
        <f t="shared" si="84"/>
        <v>109442</v>
      </c>
      <c r="H225" s="844">
        <f t="shared" si="84"/>
        <v>110714</v>
      </c>
      <c r="I225" s="844">
        <f t="shared" si="84"/>
        <v>110709</v>
      </c>
      <c r="J225" s="844">
        <f t="shared" si="84"/>
        <v>110289</v>
      </c>
      <c r="K225" s="844">
        <f>SUM(K226:K243)+SUM(K245:K253)</f>
        <v>113361</v>
      </c>
      <c r="L225" s="844">
        <f>SUM(L226:L243)+SUM(L245:L253)</f>
        <v>112913</v>
      </c>
      <c r="M225" s="844">
        <f>SUM(M226:M243)+SUM(M245:M253)</f>
        <v>111902</v>
      </c>
      <c r="N225" s="844">
        <f>SUM(N226:N243)+SUM(N245:N253)</f>
        <v>118480</v>
      </c>
      <c r="O225" s="844">
        <f>SUM(O226:O243)+SUM(O245:O253)</f>
        <v>117936</v>
      </c>
    </row>
    <row r="226" spans="1:17">
      <c r="A226" s="842" t="s">
        <v>5387</v>
      </c>
      <c r="B226" s="842" t="s">
        <v>6142</v>
      </c>
      <c r="C226" s="55" t="s">
        <v>11915</v>
      </c>
      <c r="D226" s="844">
        <v>33040</v>
      </c>
      <c r="E226" s="844">
        <v>33736</v>
      </c>
      <c r="F226" s="844">
        <v>34217</v>
      </c>
      <c r="G226" s="58">
        <v>34085</v>
      </c>
      <c r="H226" s="58">
        <v>34395</v>
      </c>
      <c r="I226" s="58">
        <v>34558</v>
      </c>
      <c r="J226" s="58">
        <v>34412</v>
      </c>
      <c r="K226" s="58">
        <v>35473</v>
      </c>
      <c r="L226" s="58">
        <v>2896</v>
      </c>
      <c r="M226" s="58">
        <v>2854</v>
      </c>
      <c r="N226" s="58">
        <v>2990</v>
      </c>
      <c r="O226" s="58">
        <v>2972</v>
      </c>
      <c r="Q226" s="842" t="s">
        <v>4897</v>
      </c>
    </row>
    <row r="227" spans="1:17">
      <c r="A227" s="842" t="s">
        <v>5389</v>
      </c>
      <c r="B227" s="842" t="s">
        <v>6143</v>
      </c>
      <c r="C227" s="55" t="s">
        <v>11916</v>
      </c>
      <c r="D227" s="844">
        <v>72615</v>
      </c>
      <c r="E227" s="844">
        <v>73969</v>
      </c>
      <c r="F227" s="844">
        <v>74874</v>
      </c>
      <c r="G227" s="56">
        <v>75357</v>
      </c>
      <c r="H227" s="56">
        <v>76319</v>
      </c>
      <c r="I227" s="56">
        <v>76151</v>
      </c>
      <c r="J227" s="56">
        <v>75877</v>
      </c>
      <c r="K227" s="56">
        <v>77888</v>
      </c>
      <c r="L227" s="56">
        <v>2834</v>
      </c>
      <c r="M227" s="56">
        <v>2741</v>
      </c>
      <c r="N227" s="56">
        <v>2803</v>
      </c>
      <c r="O227" s="56">
        <v>2789</v>
      </c>
      <c r="Q227" s="842" t="s">
        <v>4895</v>
      </c>
    </row>
    <row r="228" spans="1:17">
      <c r="A228" s="842" t="s">
        <v>5391</v>
      </c>
      <c r="B228" s="842" t="s">
        <v>11917</v>
      </c>
      <c r="C228" s="55" t="s">
        <v>11918</v>
      </c>
      <c r="D228" s="844">
        <v>0</v>
      </c>
      <c r="E228" s="844">
        <v>0</v>
      </c>
      <c r="F228" s="844">
        <v>0</v>
      </c>
      <c r="G228" s="56">
        <v>0</v>
      </c>
      <c r="H228" s="56">
        <v>0</v>
      </c>
      <c r="I228" s="56">
        <v>0</v>
      </c>
      <c r="J228" s="56">
        <v>0</v>
      </c>
      <c r="K228" s="56">
        <v>0</v>
      </c>
      <c r="L228" s="56">
        <v>2601</v>
      </c>
      <c r="M228" s="56">
        <v>2555</v>
      </c>
      <c r="N228" s="56">
        <v>2633</v>
      </c>
      <c r="O228" s="56">
        <v>2618</v>
      </c>
      <c r="Q228" s="842" t="s">
        <v>4895</v>
      </c>
    </row>
    <row r="229" spans="1:17">
      <c r="A229" s="842" t="s">
        <v>5393</v>
      </c>
      <c r="B229" s="842" t="s">
        <v>6144</v>
      </c>
      <c r="C229" s="55" t="s">
        <v>11919</v>
      </c>
      <c r="D229" s="844">
        <v>0</v>
      </c>
      <c r="E229" s="844">
        <v>0</v>
      </c>
      <c r="F229" s="844">
        <v>0</v>
      </c>
      <c r="G229" s="56">
        <v>0</v>
      </c>
      <c r="H229" s="56">
        <v>0</v>
      </c>
      <c r="I229" s="56">
        <v>0</v>
      </c>
      <c r="J229" s="56">
        <v>0</v>
      </c>
      <c r="K229" s="56">
        <v>0</v>
      </c>
      <c r="L229" s="56">
        <v>2865</v>
      </c>
      <c r="M229" s="56">
        <v>2831</v>
      </c>
      <c r="N229" s="56">
        <v>3002</v>
      </c>
      <c r="O229" s="56">
        <v>2992</v>
      </c>
      <c r="Q229" s="842" t="s">
        <v>4895</v>
      </c>
    </row>
    <row r="230" spans="1:17">
      <c r="A230" s="842" t="s">
        <v>5394</v>
      </c>
      <c r="B230" s="842" t="s">
        <v>6145</v>
      </c>
      <c r="C230" s="55" t="s">
        <v>11920</v>
      </c>
      <c r="D230" s="844">
        <v>0</v>
      </c>
      <c r="E230" s="844">
        <v>0</v>
      </c>
      <c r="F230" s="844">
        <v>0</v>
      </c>
      <c r="G230" s="56">
        <v>0</v>
      </c>
      <c r="H230" s="56">
        <v>0</v>
      </c>
      <c r="I230" s="56">
        <v>0</v>
      </c>
      <c r="J230" s="56">
        <v>0</v>
      </c>
      <c r="K230" s="56">
        <v>0</v>
      </c>
      <c r="L230" s="56">
        <v>2586</v>
      </c>
      <c r="M230" s="56">
        <v>2581</v>
      </c>
      <c r="N230" s="56">
        <v>2755</v>
      </c>
      <c r="O230" s="56">
        <v>2732</v>
      </c>
      <c r="Q230" s="842" t="s">
        <v>4895</v>
      </c>
    </row>
    <row r="231" spans="1:17">
      <c r="A231" s="842" t="s">
        <v>5416</v>
      </c>
      <c r="B231" s="842" t="s">
        <v>11921</v>
      </c>
      <c r="C231" s="55" t="s">
        <v>11922</v>
      </c>
      <c r="D231" s="844">
        <v>0</v>
      </c>
      <c r="E231" s="844">
        <v>0</v>
      </c>
      <c r="F231" s="844">
        <v>0</v>
      </c>
      <c r="G231" s="56">
        <v>0</v>
      </c>
      <c r="H231" s="56">
        <v>0</v>
      </c>
      <c r="I231" s="56">
        <v>0</v>
      </c>
      <c r="J231" s="56">
        <v>0</v>
      </c>
      <c r="K231" s="56">
        <v>0</v>
      </c>
      <c r="L231" s="56">
        <v>6354</v>
      </c>
      <c r="M231" s="56">
        <v>6422</v>
      </c>
      <c r="N231" s="56">
        <v>7044</v>
      </c>
      <c r="O231" s="56">
        <v>7029</v>
      </c>
      <c r="Q231" s="842" t="s">
        <v>4895</v>
      </c>
    </row>
    <row r="232" spans="1:17">
      <c r="A232" s="842" t="s">
        <v>5418</v>
      </c>
      <c r="B232" s="842" t="s">
        <v>11923</v>
      </c>
      <c r="C232" s="55" t="s">
        <v>11924</v>
      </c>
      <c r="D232" s="844">
        <v>0</v>
      </c>
      <c r="E232" s="844">
        <v>0</v>
      </c>
      <c r="F232" s="844">
        <v>0</v>
      </c>
      <c r="G232" s="56">
        <v>0</v>
      </c>
      <c r="H232" s="56">
        <v>0</v>
      </c>
      <c r="I232" s="56">
        <v>0</v>
      </c>
      <c r="J232" s="56">
        <v>0</v>
      </c>
      <c r="K232" s="56">
        <v>0</v>
      </c>
      <c r="L232" s="56">
        <v>4638</v>
      </c>
      <c r="M232" s="56">
        <v>4624</v>
      </c>
      <c r="N232" s="56">
        <v>4778</v>
      </c>
      <c r="O232" s="56">
        <v>4761</v>
      </c>
      <c r="Q232" s="842" t="s">
        <v>4895</v>
      </c>
    </row>
    <row r="233" spans="1:17">
      <c r="A233" s="842" t="s">
        <v>5420</v>
      </c>
      <c r="B233" s="842" t="s">
        <v>6146</v>
      </c>
      <c r="C233" s="55" t="s">
        <v>11925</v>
      </c>
      <c r="D233" s="848">
        <v>0</v>
      </c>
      <c r="E233" s="848">
        <v>0</v>
      </c>
      <c r="F233" s="848">
        <v>0</v>
      </c>
      <c r="G233" s="56">
        <v>0</v>
      </c>
      <c r="H233" s="56">
        <v>0</v>
      </c>
      <c r="I233" s="56">
        <v>0</v>
      </c>
      <c r="J233" s="56">
        <v>0</v>
      </c>
      <c r="K233" s="56">
        <v>0</v>
      </c>
      <c r="L233" s="56">
        <v>4916</v>
      </c>
      <c r="M233" s="56">
        <v>4845</v>
      </c>
      <c r="N233" s="56">
        <v>5023</v>
      </c>
      <c r="O233" s="56">
        <v>5012</v>
      </c>
      <c r="Q233" s="842" t="s">
        <v>4895</v>
      </c>
    </row>
    <row r="234" spans="1:17">
      <c r="A234" s="842" t="s">
        <v>5422</v>
      </c>
      <c r="B234" s="842" t="s">
        <v>6147</v>
      </c>
      <c r="C234" s="55" t="s">
        <v>11926</v>
      </c>
      <c r="D234" s="844">
        <v>0</v>
      </c>
      <c r="E234" s="844">
        <v>0</v>
      </c>
      <c r="F234" s="844">
        <v>0</v>
      </c>
      <c r="G234" s="56">
        <v>0</v>
      </c>
      <c r="H234" s="56">
        <v>0</v>
      </c>
      <c r="I234" s="56">
        <v>0</v>
      </c>
      <c r="J234" s="56">
        <v>0</v>
      </c>
      <c r="K234" s="56">
        <v>0</v>
      </c>
      <c r="L234" s="56">
        <v>2686</v>
      </c>
      <c r="M234" s="56">
        <v>2634</v>
      </c>
      <c r="N234" s="56">
        <v>2781</v>
      </c>
      <c r="O234" s="56">
        <v>2767</v>
      </c>
      <c r="Q234" s="842" t="s">
        <v>4895</v>
      </c>
    </row>
    <row r="235" spans="1:17">
      <c r="A235" s="842" t="s">
        <v>5424</v>
      </c>
      <c r="B235" s="842" t="s">
        <v>11927</v>
      </c>
      <c r="C235" s="55" t="s">
        <v>11928</v>
      </c>
      <c r="D235" s="844">
        <v>0</v>
      </c>
      <c r="E235" s="844">
        <v>0</v>
      </c>
      <c r="F235" s="844">
        <v>0</v>
      </c>
      <c r="G235" s="56">
        <v>0</v>
      </c>
      <c r="H235" s="56">
        <v>0</v>
      </c>
      <c r="I235" s="56">
        <v>0</v>
      </c>
      <c r="J235" s="56">
        <v>0</v>
      </c>
      <c r="K235" s="56">
        <v>0</v>
      </c>
      <c r="L235" s="56">
        <v>7434</v>
      </c>
      <c r="M235" s="56">
        <v>7282</v>
      </c>
      <c r="N235" s="56">
        <v>7702</v>
      </c>
      <c r="O235" s="56">
        <v>7685</v>
      </c>
      <c r="Q235" s="842" t="s">
        <v>4897</v>
      </c>
    </row>
    <row r="236" spans="1:17">
      <c r="A236" s="842" t="s">
        <v>5426</v>
      </c>
      <c r="B236" s="842" t="s">
        <v>11929</v>
      </c>
      <c r="C236" s="55" t="s">
        <v>11930</v>
      </c>
      <c r="D236" s="844">
        <v>0</v>
      </c>
      <c r="E236" s="844">
        <v>0</v>
      </c>
      <c r="F236" s="844">
        <v>0</v>
      </c>
      <c r="G236" s="58">
        <v>0</v>
      </c>
      <c r="H236" s="58">
        <v>0</v>
      </c>
      <c r="I236" s="58">
        <v>0</v>
      </c>
      <c r="J236" s="58">
        <v>0</v>
      </c>
      <c r="K236" s="58">
        <v>0</v>
      </c>
      <c r="L236" s="58">
        <v>2611</v>
      </c>
      <c r="M236" s="58">
        <v>2593</v>
      </c>
      <c r="N236" s="58">
        <v>2742</v>
      </c>
      <c r="O236" s="58">
        <v>2729</v>
      </c>
      <c r="Q236" s="842" t="s">
        <v>4895</v>
      </c>
    </row>
    <row r="237" spans="1:17">
      <c r="A237" s="842" t="s">
        <v>5428</v>
      </c>
      <c r="B237" s="842" t="s">
        <v>6148</v>
      </c>
      <c r="C237" s="55" t="s">
        <v>11931</v>
      </c>
      <c r="D237" s="844">
        <v>0</v>
      </c>
      <c r="E237" s="844">
        <v>0</v>
      </c>
      <c r="F237" s="844">
        <v>0</v>
      </c>
      <c r="G237" s="56">
        <v>0</v>
      </c>
      <c r="H237" s="56">
        <v>0</v>
      </c>
      <c r="I237" s="56">
        <v>0</v>
      </c>
      <c r="J237" s="56">
        <v>0</v>
      </c>
      <c r="K237" s="56">
        <v>0</v>
      </c>
      <c r="L237" s="56">
        <v>2915</v>
      </c>
      <c r="M237" s="56">
        <v>2878</v>
      </c>
      <c r="N237" s="56">
        <v>2975</v>
      </c>
      <c r="O237" s="56">
        <v>2969</v>
      </c>
      <c r="Q237" s="842" t="s">
        <v>4895</v>
      </c>
    </row>
    <row r="238" spans="1:17">
      <c r="A238" s="842" t="s">
        <v>5429</v>
      </c>
      <c r="B238" s="842" t="s">
        <v>6149</v>
      </c>
      <c r="C238" s="55" t="s">
        <v>11932</v>
      </c>
      <c r="D238" s="844">
        <v>0</v>
      </c>
      <c r="E238" s="844">
        <v>0</v>
      </c>
      <c r="F238" s="844">
        <v>0</v>
      </c>
      <c r="G238" s="56">
        <v>0</v>
      </c>
      <c r="H238" s="56">
        <v>0</v>
      </c>
      <c r="I238" s="56">
        <v>0</v>
      </c>
      <c r="J238" s="56">
        <v>0</v>
      </c>
      <c r="K238" s="56">
        <v>0</v>
      </c>
      <c r="L238" s="56">
        <v>3815</v>
      </c>
      <c r="M238" s="56">
        <v>3773</v>
      </c>
      <c r="N238" s="56">
        <v>4074</v>
      </c>
      <c r="O238" s="56">
        <v>4052</v>
      </c>
      <c r="Q238" s="842" t="s">
        <v>4895</v>
      </c>
    </row>
    <row r="239" spans="1:17">
      <c r="A239" s="842" t="s">
        <v>5431</v>
      </c>
      <c r="B239" s="842" t="s">
        <v>6150</v>
      </c>
      <c r="C239" s="55" t="s">
        <v>11933</v>
      </c>
      <c r="D239" s="844">
        <v>0</v>
      </c>
      <c r="E239" s="844">
        <v>0</v>
      </c>
      <c r="F239" s="844">
        <v>0</v>
      </c>
      <c r="G239" s="56">
        <v>0</v>
      </c>
      <c r="H239" s="56">
        <v>0</v>
      </c>
      <c r="I239" s="56">
        <v>0</v>
      </c>
      <c r="J239" s="56">
        <v>0</v>
      </c>
      <c r="K239" s="56">
        <v>0</v>
      </c>
      <c r="L239" s="56">
        <v>2415</v>
      </c>
      <c r="M239" s="56">
        <v>2414</v>
      </c>
      <c r="N239" s="56">
        <v>2479</v>
      </c>
      <c r="O239" s="56">
        <v>2474</v>
      </c>
      <c r="Q239" s="842" t="s">
        <v>4895</v>
      </c>
    </row>
    <row r="240" spans="1:17">
      <c r="A240" s="842" t="s">
        <v>5433</v>
      </c>
      <c r="B240" s="842" t="s">
        <v>11934</v>
      </c>
      <c r="C240" s="55" t="s">
        <v>11935</v>
      </c>
      <c r="D240" s="844">
        <v>0</v>
      </c>
      <c r="E240" s="844">
        <v>0</v>
      </c>
      <c r="F240" s="844">
        <v>0</v>
      </c>
      <c r="G240" s="56">
        <v>0</v>
      </c>
      <c r="H240" s="56">
        <v>0</v>
      </c>
      <c r="I240" s="56">
        <v>0</v>
      </c>
      <c r="J240" s="56">
        <v>0</v>
      </c>
      <c r="K240" s="56">
        <v>0</v>
      </c>
      <c r="L240" s="56">
        <v>7111</v>
      </c>
      <c r="M240" s="56">
        <v>7093</v>
      </c>
      <c r="N240" s="56">
        <v>7672</v>
      </c>
      <c r="O240" s="56">
        <v>7661</v>
      </c>
      <c r="Q240" s="842" t="s">
        <v>4895</v>
      </c>
    </row>
    <row r="241" spans="1:17">
      <c r="A241" s="842" t="s">
        <v>5435</v>
      </c>
      <c r="B241" s="842" t="s">
        <v>11936</v>
      </c>
      <c r="C241" s="55" t="s">
        <v>11937</v>
      </c>
      <c r="D241" s="844">
        <v>0</v>
      </c>
      <c r="E241" s="844">
        <v>0</v>
      </c>
      <c r="F241" s="844">
        <v>0</v>
      </c>
      <c r="G241" s="56">
        <v>0</v>
      </c>
      <c r="H241" s="56">
        <v>0</v>
      </c>
      <c r="I241" s="56">
        <v>0</v>
      </c>
      <c r="J241" s="56">
        <v>0</v>
      </c>
      <c r="K241" s="56">
        <v>0</v>
      </c>
      <c r="L241" s="56">
        <v>7859</v>
      </c>
      <c r="M241" s="56">
        <v>7804</v>
      </c>
      <c r="N241" s="56">
        <v>8292</v>
      </c>
      <c r="O241" s="56">
        <v>8212</v>
      </c>
      <c r="Q241" s="842" t="s">
        <v>4897</v>
      </c>
    </row>
    <row r="242" spans="1:17">
      <c r="A242" s="842" t="s">
        <v>5436</v>
      </c>
      <c r="B242" s="842" t="s">
        <v>6151</v>
      </c>
      <c r="C242" s="55" t="s">
        <v>11938</v>
      </c>
      <c r="D242" s="844">
        <v>0</v>
      </c>
      <c r="E242" s="844">
        <v>0</v>
      </c>
      <c r="F242" s="844">
        <v>0</v>
      </c>
      <c r="G242" s="844">
        <v>0</v>
      </c>
      <c r="H242" s="56">
        <v>0</v>
      </c>
      <c r="I242" s="56">
        <v>0</v>
      </c>
      <c r="J242" s="56">
        <v>0</v>
      </c>
      <c r="K242" s="56">
        <v>0</v>
      </c>
      <c r="L242" s="56">
        <v>1078</v>
      </c>
      <c r="M242" s="56">
        <v>1065</v>
      </c>
      <c r="N242" s="56">
        <v>1139</v>
      </c>
      <c r="O242" s="56">
        <v>1130</v>
      </c>
      <c r="Q242" s="842" t="s">
        <v>4895</v>
      </c>
    </row>
    <row r="243" spans="1:17" ht="15.75" thickBot="1">
      <c r="A243" s="842"/>
      <c r="B243" s="842"/>
      <c r="C243" s="55" t="s">
        <v>11938</v>
      </c>
      <c r="D243" s="845">
        <v>0</v>
      </c>
      <c r="E243" s="845">
        <v>0</v>
      </c>
      <c r="F243" s="848">
        <v>0</v>
      </c>
      <c r="G243" s="848">
        <v>0</v>
      </c>
      <c r="H243" s="58">
        <v>0</v>
      </c>
      <c r="I243" s="58">
        <v>0</v>
      </c>
      <c r="J243" s="58">
        <v>0</v>
      </c>
      <c r="K243" s="58">
        <v>0</v>
      </c>
      <c r="L243" s="58">
        <v>4472</v>
      </c>
      <c r="M243" s="58">
        <v>4401</v>
      </c>
      <c r="N243" s="58">
        <v>4574</v>
      </c>
      <c r="O243" s="58">
        <v>4546</v>
      </c>
      <c r="Q243" s="842" t="s">
        <v>4897</v>
      </c>
    </row>
    <row r="244" spans="1:17" ht="15.75" thickBot="1">
      <c r="A244" s="842"/>
      <c r="B244" s="842"/>
      <c r="C244" s="55" t="s">
        <v>11938</v>
      </c>
      <c r="D244" s="850">
        <f t="shared" ref="D244:L244" si="85">D242+D243</f>
        <v>0</v>
      </c>
      <c r="E244" s="850">
        <f t="shared" si="85"/>
        <v>0</v>
      </c>
      <c r="F244" s="850">
        <f t="shared" si="85"/>
        <v>0</v>
      </c>
      <c r="G244" s="850">
        <f t="shared" si="85"/>
        <v>0</v>
      </c>
      <c r="H244" s="850">
        <f t="shared" si="85"/>
        <v>0</v>
      </c>
      <c r="I244" s="850">
        <f t="shared" si="85"/>
        <v>0</v>
      </c>
      <c r="J244" s="850">
        <f t="shared" si="85"/>
        <v>0</v>
      </c>
      <c r="K244" s="850">
        <f t="shared" si="85"/>
        <v>0</v>
      </c>
      <c r="L244" s="850">
        <f t="shared" si="85"/>
        <v>5550</v>
      </c>
      <c r="M244" s="850">
        <f>M242+M243</f>
        <v>5466</v>
      </c>
      <c r="N244" s="850">
        <f>N242+N243</f>
        <v>5713</v>
      </c>
      <c r="O244" s="850">
        <f>O242+O243</f>
        <v>5676</v>
      </c>
      <c r="Q244" s="842"/>
    </row>
    <row r="245" spans="1:17">
      <c r="A245" s="842" t="s">
        <v>5437</v>
      </c>
      <c r="B245" s="842" t="s">
        <v>6152</v>
      </c>
      <c r="C245" s="55" t="s">
        <v>11939</v>
      </c>
      <c r="D245" s="844">
        <v>0</v>
      </c>
      <c r="E245" s="844">
        <v>0</v>
      </c>
      <c r="F245" s="844">
        <v>0</v>
      </c>
      <c r="G245" s="58">
        <v>0</v>
      </c>
      <c r="H245" s="58">
        <v>0</v>
      </c>
      <c r="I245" s="58">
        <v>0</v>
      </c>
      <c r="J245" s="58">
        <v>0</v>
      </c>
      <c r="K245" s="58">
        <v>0</v>
      </c>
      <c r="L245" s="58">
        <v>3502</v>
      </c>
      <c r="M245" s="58">
        <v>3649</v>
      </c>
      <c r="N245" s="58">
        <v>4275</v>
      </c>
      <c r="O245" s="58">
        <v>4272</v>
      </c>
      <c r="Q245" s="842" t="s">
        <v>4895</v>
      </c>
    </row>
    <row r="246" spans="1:17">
      <c r="A246" s="842" t="s">
        <v>5439</v>
      </c>
      <c r="B246" s="842" t="s">
        <v>6153</v>
      </c>
      <c r="C246" s="55" t="s">
        <v>11940</v>
      </c>
      <c r="D246" s="844">
        <v>0</v>
      </c>
      <c r="E246" s="844">
        <v>0</v>
      </c>
      <c r="F246" s="844">
        <v>0</v>
      </c>
      <c r="G246" s="56">
        <v>0</v>
      </c>
      <c r="H246" s="56">
        <v>0</v>
      </c>
      <c r="I246" s="56">
        <v>0</v>
      </c>
      <c r="J246" s="56">
        <v>0</v>
      </c>
      <c r="K246" s="56">
        <v>0</v>
      </c>
      <c r="L246" s="56">
        <v>6101</v>
      </c>
      <c r="M246" s="56">
        <v>6082</v>
      </c>
      <c r="N246" s="56">
        <v>6324</v>
      </c>
      <c r="O246" s="56">
        <v>6274</v>
      </c>
      <c r="Q246" s="842" t="s">
        <v>4895</v>
      </c>
    </row>
    <row r="247" spans="1:17">
      <c r="A247" s="842" t="s">
        <v>5441</v>
      </c>
      <c r="B247" s="842" t="s">
        <v>11941</v>
      </c>
      <c r="C247" s="55" t="s">
        <v>11942</v>
      </c>
      <c r="D247" s="844">
        <v>0</v>
      </c>
      <c r="E247" s="844">
        <v>0</v>
      </c>
      <c r="F247" s="844">
        <v>0</v>
      </c>
      <c r="G247" s="58">
        <v>0</v>
      </c>
      <c r="H247" s="58">
        <v>0</v>
      </c>
      <c r="I247" s="58">
        <v>0</v>
      </c>
      <c r="J247" s="58">
        <v>0</v>
      </c>
      <c r="K247" s="58">
        <v>0</v>
      </c>
      <c r="L247" s="58">
        <v>7172</v>
      </c>
      <c r="M247" s="58">
        <v>7183</v>
      </c>
      <c r="N247" s="58">
        <v>7773</v>
      </c>
      <c r="O247" s="58">
        <v>7751</v>
      </c>
      <c r="Q247" s="842" t="s">
        <v>4897</v>
      </c>
    </row>
    <row r="248" spans="1:17">
      <c r="A248" s="842" t="s">
        <v>5886</v>
      </c>
      <c r="B248" s="842" t="s">
        <v>11943</v>
      </c>
      <c r="C248" s="55" t="s">
        <v>11944</v>
      </c>
      <c r="D248" s="844">
        <v>0</v>
      </c>
      <c r="E248" s="844">
        <v>0</v>
      </c>
      <c r="F248" s="844">
        <v>0</v>
      </c>
      <c r="G248" s="58">
        <v>0</v>
      </c>
      <c r="H248" s="58">
        <v>0</v>
      </c>
      <c r="I248" s="58">
        <v>0</v>
      </c>
      <c r="J248" s="58">
        <v>0</v>
      </c>
      <c r="K248" s="58">
        <v>0</v>
      </c>
      <c r="L248" s="58">
        <v>5365</v>
      </c>
      <c r="M248" s="58">
        <v>5276</v>
      </c>
      <c r="N248" s="58">
        <v>5557</v>
      </c>
      <c r="O248" s="58">
        <v>5537</v>
      </c>
      <c r="Q248" s="842" t="s">
        <v>4897</v>
      </c>
    </row>
    <row r="249" spans="1:17">
      <c r="A249" s="842" t="s">
        <v>5888</v>
      </c>
      <c r="B249" s="842" t="s">
        <v>6155</v>
      </c>
      <c r="C249" s="55" t="s">
        <v>11945</v>
      </c>
      <c r="D249" s="844">
        <v>0</v>
      </c>
      <c r="E249" s="844">
        <v>0</v>
      </c>
      <c r="F249" s="844">
        <v>0</v>
      </c>
      <c r="G249" s="58">
        <v>0</v>
      </c>
      <c r="H249" s="58">
        <v>0</v>
      </c>
      <c r="I249" s="58">
        <v>0</v>
      </c>
      <c r="J249" s="58">
        <v>0</v>
      </c>
      <c r="K249" s="58">
        <v>0</v>
      </c>
      <c r="L249" s="58">
        <v>5349</v>
      </c>
      <c r="M249" s="58">
        <v>5213</v>
      </c>
      <c r="N249" s="58">
        <v>5363</v>
      </c>
      <c r="O249" s="58">
        <v>5331</v>
      </c>
      <c r="Q249" s="842" t="s">
        <v>4895</v>
      </c>
    </row>
    <row r="250" spans="1:17">
      <c r="A250" s="842" t="s">
        <v>5889</v>
      </c>
      <c r="B250" s="842" t="s">
        <v>11947</v>
      </c>
      <c r="C250" s="55" t="s">
        <v>11946</v>
      </c>
      <c r="D250" s="844">
        <v>0</v>
      </c>
      <c r="E250" s="844">
        <v>0</v>
      </c>
      <c r="F250" s="844">
        <v>0</v>
      </c>
      <c r="G250" s="58">
        <v>0</v>
      </c>
      <c r="H250" s="58">
        <v>0</v>
      </c>
      <c r="I250" s="58">
        <v>0</v>
      </c>
      <c r="J250" s="58">
        <v>0</v>
      </c>
      <c r="K250" s="58">
        <v>0</v>
      </c>
      <c r="L250" s="58">
        <v>5421</v>
      </c>
      <c r="M250" s="58">
        <v>5369</v>
      </c>
      <c r="N250" s="58">
        <v>5632</v>
      </c>
      <c r="O250" s="58">
        <v>5595</v>
      </c>
      <c r="Q250" s="842" t="s">
        <v>4895</v>
      </c>
    </row>
    <row r="251" spans="1:17">
      <c r="A251" s="842" t="s">
        <v>4431</v>
      </c>
      <c r="B251" s="842" t="s">
        <v>6156</v>
      </c>
      <c r="C251" s="55" t="s">
        <v>11948</v>
      </c>
      <c r="D251" s="844">
        <v>0</v>
      </c>
      <c r="E251" s="844">
        <v>0</v>
      </c>
      <c r="F251" s="844">
        <v>0</v>
      </c>
      <c r="G251" s="58">
        <v>0</v>
      </c>
      <c r="H251" s="58">
        <v>0</v>
      </c>
      <c r="I251" s="58">
        <v>0</v>
      </c>
      <c r="J251" s="58">
        <v>0</v>
      </c>
      <c r="K251" s="58">
        <v>0</v>
      </c>
      <c r="L251" s="58">
        <v>2613</v>
      </c>
      <c r="M251" s="58">
        <v>2581</v>
      </c>
      <c r="N251" s="58">
        <v>2705</v>
      </c>
      <c r="O251" s="58">
        <v>2700</v>
      </c>
      <c r="Q251" s="842" t="s">
        <v>4895</v>
      </c>
    </row>
    <row r="252" spans="1:17">
      <c r="A252" s="842" t="s">
        <v>4432</v>
      </c>
      <c r="B252" s="842" t="s">
        <v>6157</v>
      </c>
      <c r="C252" s="55" t="s">
        <v>11949</v>
      </c>
      <c r="D252" s="844">
        <v>0</v>
      </c>
      <c r="E252" s="844">
        <v>0</v>
      </c>
      <c r="F252" s="844">
        <v>0</v>
      </c>
      <c r="G252" s="58">
        <v>0</v>
      </c>
      <c r="H252" s="58">
        <v>0</v>
      </c>
      <c r="I252" s="58">
        <v>0</v>
      </c>
      <c r="J252" s="58">
        <v>0</v>
      </c>
      <c r="K252" s="58">
        <v>0</v>
      </c>
      <c r="L252" s="58">
        <v>2690</v>
      </c>
      <c r="M252" s="58">
        <v>2621</v>
      </c>
      <c r="N252" s="58">
        <v>2728</v>
      </c>
      <c r="O252" s="58">
        <v>2705</v>
      </c>
      <c r="Q252" s="842" t="s">
        <v>4895</v>
      </c>
    </row>
    <row r="253" spans="1:17">
      <c r="A253" s="842" t="s">
        <v>4434</v>
      </c>
      <c r="B253" s="842" t="s">
        <v>6161</v>
      </c>
      <c r="C253" s="55" t="s">
        <v>11950</v>
      </c>
      <c r="D253" s="844">
        <v>0</v>
      </c>
      <c r="E253" s="844">
        <v>0</v>
      </c>
      <c r="F253" s="844">
        <v>0</v>
      </c>
      <c r="G253" s="58">
        <v>0</v>
      </c>
      <c r="H253" s="58">
        <v>0</v>
      </c>
      <c r="I253" s="58">
        <v>0</v>
      </c>
      <c r="J253" s="58">
        <v>0</v>
      </c>
      <c r="K253" s="58">
        <v>0</v>
      </c>
      <c r="L253" s="58">
        <v>2614</v>
      </c>
      <c r="M253" s="58">
        <v>2538</v>
      </c>
      <c r="N253" s="58">
        <v>2665</v>
      </c>
      <c r="O253" s="58">
        <v>2641</v>
      </c>
      <c r="Q253" s="842" t="s">
        <v>4895</v>
      </c>
    </row>
    <row r="254" spans="1:17">
      <c r="D254" s="847"/>
      <c r="E254" s="847"/>
      <c r="F254" s="847"/>
      <c r="G254" s="847"/>
      <c r="H254" s="847"/>
      <c r="I254" s="847"/>
      <c r="J254" s="847"/>
      <c r="K254" s="847"/>
      <c r="L254" s="847"/>
      <c r="M254" s="847"/>
      <c r="N254" s="847"/>
      <c r="O254" s="847"/>
    </row>
    <row r="255" spans="1:17">
      <c r="A255" s="842" t="s">
        <v>6896</v>
      </c>
      <c r="D255" s="844">
        <f t="shared" ref="D255:J255" si="86">SUM(D227:D234)+SUM(D236:D242)+D245+D246+SUM(D248:D253)</f>
        <v>72615</v>
      </c>
      <c r="E255" s="844">
        <f t="shared" si="86"/>
        <v>73969</v>
      </c>
      <c r="F255" s="844">
        <f t="shared" si="86"/>
        <v>74874</v>
      </c>
      <c r="G255" s="844">
        <f t="shared" si="86"/>
        <v>75357</v>
      </c>
      <c r="H255" s="844">
        <f t="shared" si="86"/>
        <v>76319</v>
      </c>
      <c r="I255" s="844">
        <f t="shared" si="86"/>
        <v>76151</v>
      </c>
      <c r="J255" s="844">
        <f t="shared" si="86"/>
        <v>75877</v>
      </c>
      <c r="K255" s="844">
        <f>SUM(K227:K234)+SUM(K236:K242)+K245+K246+SUM(K248:K253)</f>
        <v>77888</v>
      </c>
      <c r="L255" s="844">
        <f>SUM(L227:L234)+SUM(L236:L240)+L242+L245+L246+SUM(L249:L253)</f>
        <v>77715</v>
      </c>
      <c r="M255" s="844">
        <f>SUM(M227:M234)+SUM(M236:M240)+M242+M245+M246+SUM(M249:M253)</f>
        <v>77102</v>
      </c>
      <c r="N255" s="844">
        <f>SUM(N227:N234)+SUM(N236:N240)+N242+N245+N246+SUM(N249:N253)</f>
        <v>81592</v>
      </c>
      <c r="O255" s="844">
        <f>SUM(O227:O234)+SUM(O236:O240)+O242+O245+O246+SUM(O249:O253)</f>
        <v>81233</v>
      </c>
    </row>
    <row r="256" spans="1:17">
      <c r="A256" s="842" t="s">
        <v>3177</v>
      </c>
      <c r="D256" s="844">
        <f t="shared" ref="D256:L256" si="87">SUM(D226,D235,D241,D243,D247:D248)</f>
        <v>33040</v>
      </c>
      <c r="E256" s="844">
        <f t="shared" si="87"/>
        <v>33736</v>
      </c>
      <c r="F256" s="844">
        <f t="shared" si="87"/>
        <v>34217</v>
      </c>
      <c r="G256" s="844">
        <f t="shared" si="87"/>
        <v>34085</v>
      </c>
      <c r="H256" s="844">
        <f t="shared" si="87"/>
        <v>34395</v>
      </c>
      <c r="I256" s="844">
        <f t="shared" si="87"/>
        <v>34558</v>
      </c>
      <c r="J256" s="844">
        <f t="shared" si="87"/>
        <v>34412</v>
      </c>
      <c r="K256" s="844">
        <f t="shared" si="87"/>
        <v>35473</v>
      </c>
      <c r="L256" s="844">
        <f t="shared" si="87"/>
        <v>35198</v>
      </c>
      <c r="M256" s="844">
        <f>SUM(M226,M235,M241,M243,M247:M248)</f>
        <v>34800</v>
      </c>
      <c r="N256" s="844">
        <f>SUM(N226,N235,N241,N243,N247:N248)</f>
        <v>36888</v>
      </c>
      <c r="O256" s="844">
        <f>SUM(O226,O235,O241,O243,O247:O248)</f>
        <v>36703</v>
      </c>
    </row>
    <row r="258" spans="1:1">
      <c r="A258" s="168" t="s">
        <v>11914</v>
      </c>
    </row>
  </sheetData>
  <sortState ref="R226:V252">
    <sortCondition ref="T226:T252"/>
  </sortState>
  <phoneticPr fontId="6" type="noConversion"/>
  <printOptions gridLinesSet="0"/>
  <pageMargins left="0.82677165354330717" right="0" top="0.51181102362204722" bottom="0.51181102362204722" header="0.51181102362204722" footer="0.51181102362204722"/>
  <pageSetup paperSize="9" scale="56" orientation="portrait" horizontalDpi="300" verticalDpi="300" r:id="rId1"/>
  <headerFooter alignWithMargins="0">
    <oddFooter>&amp;C&amp;"Times New Roman,Regular"&amp;8&amp;P of &amp;N</oddFooter>
  </headerFooter>
  <ignoredErrors>
    <ignoredError sqref="D172:E172 D146:E146 F108 F172:F178 G146:K146 G172:K172 F220:F224 D3:K43 F80:F85 D60:K60 D63:K63 D50:K50 D79:K79 D182:K182 D190:K190 D193:K193 D199:K199 D244:K244 D255:K255 D225:K225 L3:L52 L220:L255 L180:L200 K54:L54 L56:L77 L105 L79:L85 F113:F115 L108 L113:L115 F142:F146 L142:L178 L212:L21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57"/>
  <sheetViews>
    <sheetView showGridLines="0" topLeftCell="A22" zoomScale="90" zoomScaleNormal="90" workbookViewId="0">
      <selection activeCell="A57" sqref="A57"/>
    </sheetView>
  </sheetViews>
  <sheetFormatPr defaultColWidth="12.5703125" defaultRowHeight="15"/>
  <cols>
    <col min="1" max="1" width="4.85546875" style="167" customWidth="1"/>
    <col min="2" max="2" width="40.7109375" style="167" customWidth="1"/>
    <col min="3" max="3" width="11.5703125" style="167" customWidth="1"/>
    <col min="4" max="15" width="10" style="167" customWidth="1"/>
    <col min="16" max="16" width="2.28515625" style="167" customWidth="1"/>
    <col min="17" max="17" width="30.7109375" style="167" customWidth="1"/>
    <col min="18" max="16384" width="12.5703125" style="167"/>
  </cols>
  <sheetData>
    <row r="1" spans="1:17">
      <c r="A1" s="835" t="s">
        <v>5719</v>
      </c>
      <c r="D1" s="836">
        <v>2010</v>
      </c>
      <c r="E1" s="836">
        <v>2011</v>
      </c>
      <c r="F1" s="836">
        <v>2012</v>
      </c>
      <c r="G1" s="836">
        <v>2013</v>
      </c>
      <c r="H1" s="836">
        <v>2014</v>
      </c>
      <c r="I1" s="836">
        <v>2015</v>
      </c>
      <c r="J1" s="836">
        <v>2016</v>
      </c>
      <c r="K1" s="836">
        <v>2017</v>
      </c>
      <c r="L1" s="836">
        <v>2018</v>
      </c>
      <c r="M1" s="836">
        <v>2019</v>
      </c>
      <c r="N1" s="836">
        <v>2020</v>
      </c>
      <c r="O1" s="986" t="s">
        <v>14823</v>
      </c>
    </row>
    <row r="3" spans="1:17">
      <c r="A3" s="835" t="s">
        <v>4788</v>
      </c>
      <c r="D3" s="837">
        <f t="shared" ref="D3:N3" si="0">SUM(D23:D30,D32:D34,D36:D43,D45:D48)</f>
        <v>135551</v>
      </c>
      <c r="E3" s="837">
        <f t="shared" si="0"/>
        <v>137175</v>
      </c>
      <c r="F3" s="837">
        <f t="shared" si="0"/>
        <v>135678</v>
      </c>
      <c r="G3" s="837">
        <f t="shared" si="0"/>
        <v>136564</v>
      </c>
      <c r="H3" s="837">
        <f t="shared" si="0"/>
        <v>135821</v>
      </c>
      <c r="I3" s="837">
        <f t="shared" si="0"/>
        <v>128411</v>
      </c>
      <c r="J3" s="837">
        <f t="shared" si="0"/>
        <v>129978</v>
      </c>
      <c r="K3" s="837">
        <f t="shared" si="0"/>
        <v>138850</v>
      </c>
      <c r="L3" s="837">
        <f t="shared" si="0"/>
        <v>137753</v>
      </c>
      <c r="M3" s="837">
        <f t="shared" si="0"/>
        <v>128290</v>
      </c>
      <c r="N3" s="837">
        <f t="shared" si="0"/>
        <v>131830</v>
      </c>
      <c r="O3" s="837">
        <f>SUM(O23:O30,O32:O34,O36:O43,O45:O48)</f>
        <v>140298</v>
      </c>
    </row>
    <row r="5" spans="1:17">
      <c r="A5" s="835" t="s">
        <v>5720</v>
      </c>
      <c r="D5" s="837">
        <f t="shared" ref="D5:I5" si="1">D3/2</f>
        <v>67775.5</v>
      </c>
      <c r="E5" s="837">
        <f t="shared" si="1"/>
        <v>68587.5</v>
      </c>
      <c r="F5" s="837">
        <f t="shared" si="1"/>
        <v>67839</v>
      </c>
      <c r="G5" s="837">
        <f t="shared" si="1"/>
        <v>68282</v>
      </c>
      <c r="H5" s="837">
        <f t="shared" si="1"/>
        <v>67910.5</v>
      </c>
      <c r="I5" s="837">
        <f t="shared" si="1"/>
        <v>64205.5</v>
      </c>
      <c r="J5" s="837">
        <f t="shared" ref="J5:O5" si="2">J3/2</f>
        <v>64989</v>
      </c>
      <c r="K5" s="837">
        <f t="shared" si="2"/>
        <v>69425</v>
      </c>
      <c r="L5" s="837">
        <f t="shared" si="2"/>
        <v>68876.5</v>
      </c>
      <c r="M5" s="837">
        <f t="shared" si="2"/>
        <v>64145</v>
      </c>
      <c r="N5" s="837">
        <f t="shared" si="2"/>
        <v>65915</v>
      </c>
      <c r="O5" s="837">
        <f t="shared" si="2"/>
        <v>70149</v>
      </c>
    </row>
    <row r="6" spans="1:17">
      <c r="D6" s="838"/>
      <c r="E6" s="838"/>
      <c r="F6" s="838"/>
      <c r="G6" s="838"/>
      <c r="H6" s="838"/>
      <c r="I6" s="838"/>
      <c r="J6" s="838"/>
      <c r="K6" s="838"/>
      <c r="L6" s="838"/>
      <c r="M6" s="838"/>
      <c r="N6" s="838"/>
      <c r="O6" s="838"/>
    </row>
    <row r="7" spans="1:17">
      <c r="A7" s="835" t="s">
        <v>4751</v>
      </c>
      <c r="D7" s="838">
        <f>BRENT!D12</f>
        <v>25969</v>
      </c>
      <c r="E7" s="838">
        <f>BRENT!E12</f>
        <v>26620</v>
      </c>
      <c r="F7" s="838">
        <f>BRENT!F12</f>
        <v>26972</v>
      </c>
      <c r="G7" s="838">
        <f>BRENT!G12</f>
        <v>27295</v>
      </c>
      <c r="H7" s="838">
        <f>BRENT!H12</f>
        <v>26355</v>
      </c>
      <c r="I7" s="838">
        <f>BRENT!I12</f>
        <v>25832</v>
      </c>
      <c r="J7" s="838">
        <f>BRENT!J12</f>
        <v>25920</v>
      </c>
      <c r="K7" s="838">
        <f>BRENT!K12</f>
        <v>26461</v>
      </c>
      <c r="L7" s="838">
        <f>BRENT!L12</f>
        <v>26993</v>
      </c>
      <c r="M7" s="838">
        <f>BRENT!M12</f>
        <v>27568</v>
      </c>
      <c r="N7" s="838">
        <f>BRENT!N12</f>
        <v>27476</v>
      </c>
      <c r="O7" s="838">
        <f>BRENT!O12</f>
        <v>29051</v>
      </c>
      <c r="Q7" s="167" t="s">
        <v>4749</v>
      </c>
    </row>
    <row r="8" spans="1:17" ht="15.75" thickBot="1">
      <c r="A8" s="835"/>
      <c r="D8" s="839">
        <f t="shared" ref="D8:N8" si="3">SUM(D23,D27:D29,D32:D33,D40,D42,D47:D48)</f>
        <v>51285</v>
      </c>
      <c r="E8" s="839">
        <f t="shared" si="3"/>
        <v>51932</v>
      </c>
      <c r="F8" s="839">
        <f t="shared" si="3"/>
        <v>51272</v>
      </c>
      <c r="G8" s="839">
        <f t="shared" si="3"/>
        <v>51164</v>
      </c>
      <c r="H8" s="839">
        <f t="shared" si="3"/>
        <v>50642</v>
      </c>
      <c r="I8" s="839">
        <f t="shared" si="3"/>
        <v>48932</v>
      </c>
      <c r="J8" s="839">
        <f t="shared" si="3"/>
        <v>49057</v>
      </c>
      <c r="K8" s="839">
        <f t="shared" si="3"/>
        <v>53000</v>
      </c>
      <c r="L8" s="839">
        <f t="shared" si="3"/>
        <v>52696</v>
      </c>
      <c r="M8" s="839">
        <f t="shared" si="3"/>
        <v>49334</v>
      </c>
      <c r="N8" s="839">
        <f t="shared" si="3"/>
        <v>50707</v>
      </c>
      <c r="O8" s="839">
        <v>54000</v>
      </c>
      <c r="Q8" s="835" t="s">
        <v>4752</v>
      </c>
    </row>
    <row r="9" spans="1:17" ht="15.75" thickBot="1">
      <c r="A9" s="835"/>
      <c r="D9" s="840">
        <f t="shared" ref="D9:I9" si="4">D7+D8</f>
        <v>77254</v>
      </c>
      <c r="E9" s="840">
        <f t="shared" si="4"/>
        <v>78552</v>
      </c>
      <c r="F9" s="840">
        <f t="shared" si="4"/>
        <v>78244</v>
      </c>
      <c r="G9" s="840">
        <f t="shared" si="4"/>
        <v>78459</v>
      </c>
      <c r="H9" s="840">
        <f t="shared" si="4"/>
        <v>76997</v>
      </c>
      <c r="I9" s="840">
        <f t="shared" si="4"/>
        <v>74764</v>
      </c>
      <c r="J9" s="840">
        <f t="shared" ref="J9:N9" si="5">J7+J8</f>
        <v>74977</v>
      </c>
      <c r="K9" s="840">
        <f t="shared" si="5"/>
        <v>79461</v>
      </c>
      <c r="L9" s="840">
        <f t="shared" si="5"/>
        <v>79689</v>
      </c>
      <c r="M9" s="840">
        <f t="shared" si="5"/>
        <v>76902</v>
      </c>
      <c r="N9" s="840">
        <f t="shared" si="5"/>
        <v>78183</v>
      </c>
      <c r="O9" s="840">
        <f t="shared" ref="O9" si="6">O7+O8</f>
        <v>83051</v>
      </c>
      <c r="Q9" s="835"/>
    </row>
    <row r="10" spans="1:17">
      <c r="D10" s="838"/>
      <c r="E10" s="838"/>
      <c r="F10" s="838"/>
      <c r="G10" s="838"/>
      <c r="H10" s="838"/>
      <c r="I10" s="838"/>
      <c r="J10" s="838"/>
      <c r="K10" s="838"/>
      <c r="L10" s="838"/>
      <c r="M10" s="838"/>
      <c r="N10" s="838"/>
      <c r="O10" s="838"/>
    </row>
    <row r="11" spans="1:17">
      <c r="A11" s="835" t="s">
        <v>4753</v>
      </c>
      <c r="D11" s="837">
        <f t="shared" ref="D11:N11" si="7">SUM(D24:D26,D30,D34,D36:D39,D41,D43,D45:D46)</f>
        <v>84266</v>
      </c>
      <c r="E11" s="837">
        <f t="shared" si="7"/>
        <v>85243</v>
      </c>
      <c r="F11" s="837">
        <f t="shared" si="7"/>
        <v>84406</v>
      </c>
      <c r="G11" s="837">
        <f t="shared" si="7"/>
        <v>85400</v>
      </c>
      <c r="H11" s="837">
        <f t="shared" si="7"/>
        <v>85179</v>
      </c>
      <c r="I11" s="837">
        <f t="shared" si="7"/>
        <v>79479</v>
      </c>
      <c r="J11" s="837">
        <f t="shared" si="7"/>
        <v>80921</v>
      </c>
      <c r="K11" s="837">
        <f t="shared" si="7"/>
        <v>85850</v>
      </c>
      <c r="L11" s="837">
        <f t="shared" si="7"/>
        <v>85057</v>
      </c>
      <c r="M11" s="837">
        <f t="shared" si="7"/>
        <v>78956</v>
      </c>
      <c r="N11" s="837">
        <f t="shared" si="7"/>
        <v>81123</v>
      </c>
      <c r="O11" s="837">
        <v>86298</v>
      </c>
      <c r="Q11" s="835" t="s">
        <v>4752</v>
      </c>
    </row>
    <row r="12" spans="1:17">
      <c r="D12" s="838"/>
      <c r="E12" s="838"/>
      <c r="F12" s="838"/>
      <c r="G12" s="838"/>
      <c r="H12" s="838"/>
      <c r="I12" s="838"/>
      <c r="J12" s="838"/>
      <c r="K12" s="838"/>
      <c r="L12" s="838"/>
      <c r="M12" s="838"/>
      <c r="N12" s="838"/>
      <c r="O12" s="838"/>
    </row>
    <row r="13" spans="1:17">
      <c r="A13" s="167" t="s">
        <v>4748</v>
      </c>
      <c r="D13" s="838">
        <f>BRENT!D8</f>
        <v>72671</v>
      </c>
      <c r="E13" s="838">
        <f>BRENT!E8</f>
        <v>73385</v>
      </c>
      <c r="F13" s="838">
        <f>BRENT!F8</f>
        <v>74779</v>
      </c>
      <c r="G13" s="838">
        <f>BRENT!G8</f>
        <v>76586</v>
      </c>
      <c r="H13" s="838">
        <f>BRENT!H8</f>
        <v>75645</v>
      </c>
      <c r="I13" s="838">
        <f>BRENT!I8</f>
        <v>74187</v>
      </c>
      <c r="J13" s="838">
        <f>BRENT!J8</f>
        <v>74899</v>
      </c>
      <c r="K13" s="838">
        <f>BRENT!K8</f>
        <v>77078</v>
      </c>
      <c r="L13" s="838">
        <f>BRENT!L8</f>
        <v>78959</v>
      </c>
      <c r="M13" s="838">
        <f>BRENT!M8</f>
        <v>80101</v>
      </c>
      <c r="N13" s="838">
        <f>BRENT!N8</f>
        <v>79754</v>
      </c>
      <c r="O13" s="838">
        <f>BRENT!O8</f>
        <v>83605</v>
      </c>
      <c r="Q13" s="167" t="s">
        <v>4749</v>
      </c>
    </row>
    <row r="14" spans="1:17">
      <c r="D14" s="838"/>
      <c r="E14" s="838"/>
      <c r="F14" s="838"/>
      <c r="G14" s="838"/>
      <c r="H14" s="838"/>
      <c r="I14" s="838"/>
      <c r="J14" s="838"/>
      <c r="K14" s="838"/>
      <c r="L14" s="838"/>
      <c r="M14" s="838"/>
      <c r="N14" s="838"/>
      <c r="O14" s="838"/>
    </row>
    <row r="15" spans="1:17">
      <c r="A15" s="167" t="s">
        <v>4750</v>
      </c>
      <c r="D15" s="838">
        <f>BRENT!D10</f>
        <v>81811</v>
      </c>
      <c r="E15" s="838">
        <f>BRENT!E10</f>
        <v>82648</v>
      </c>
      <c r="F15" s="838">
        <f>BRENT!F10</f>
        <v>83112</v>
      </c>
      <c r="G15" s="838">
        <f>BRENT!G10</f>
        <v>83601</v>
      </c>
      <c r="H15" s="838">
        <f>BRENT!H10</f>
        <v>82482</v>
      </c>
      <c r="I15" s="838">
        <f>BRENT!I10</f>
        <v>80472</v>
      </c>
      <c r="J15" s="838">
        <f>BRENT!J10</f>
        <v>81364</v>
      </c>
      <c r="K15" s="838">
        <f>BRENT!K10</f>
        <v>80808</v>
      </c>
      <c r="L15" s="838">
        <f>BRENT!L10</f>
        <v>81100</v>
      </c>
      <c r="M15" s="838">
        <f>BRENT!M10</f>
        <v>81830</v>
      </c>
      <c r="N15" s="838">
        <f>BRENT!N10</f>
        <v>81228</v>
      </c>
      <c r="O15" s="838">
        <f>BRENT!O10</f>
        <v>83620</v>
      </c>
      <c r="Q15" s="167" t="s">
        <v>4749</v>
      </c>
    </row>
    <row r="16" spans="1:17">
      <c r="D16" s="838"/>
      <c r="E16" s="838"/>
      <c r="F16" s="838"/>
      <c r="G16" s="838"/>
      <c r="H16" s="838"/>
      <c r="I16" s="838"/>
      <c r="J16" s="838"/>
      <c r="K16" s="838"/>
      <c r="L16" s="838"/>
      <c r="M16" s="838"/>
      <c r="N16" s="838"/>
      <c r="O16" s="838"/>
    </row>
    <row r="17" spans="1:17">
      <c r="A17" s="835" t="s">
        <v>6796</v>
      </c>
      <c r="D17" s="837">
        <f t="shared" ref="D17:I17" si="8">D8+D11</f>
        <v>135551</v>
      </c>
      <c r="E17" s="837">
        <f t="shared" si="8"/>
        <v>137175</v>
      </c>
      <c r="F17" s="837">
        <f t="shared" si="8"/>
        <v>135678</v>
      </c>
      <c r="G17" s="837">
        <f t="shared" si="8"/>
        <v>136564</v>
      </c>
      <c r="H17" s="837">
        <f t="shared" si="8"/>
        <v>135821</v>
      </c>
      <c r="I17" s="837">
        <f t="shared" si="8"/>
        <v>128411</v>
      </c>
      <c r="J17" s="837">
        <f t="shared" ref="J17:O17" si="9">J8+J11</f>
        <v>129978</v>
      </c>
      <c r="K17" s="837">
        <f t="shared" si="9"/>
        <v>138850</v>
      </c>
      <c r="L17" s="837">
        <f t="shared" si="9"/>
        <v>137753</v>
      </c>
      <c r="M17" s="837">
        <f t="shared" si="9"/>
        <v>128290</v>
      </c>
      <c r="N17" s="837">
        <f t="shared" si="9"/>
        <v>131830</v>
      </c>
      <c r="O17" s="837">
        <f t="shared" si="9"/>
        <v>140298</v>
      </c>
    </row>
    <row r="18" spans="1:17">
      <c r="D18" s="838"/>
      <c r="E18" s="838"/>
      <c r="F18" s="838"/>
      <c r="G18" s="838"/>
      <c r="H18" s="838"/>
      <c r="I18" s="838"/>
      <c r="J18" s="838"/>
      <c r="K18" s="838"/>
      <c r="L18" s="838"/>
      <c r="M18" s="838"/>
      <c r="N18" s="838"/>
      <c r="O18" s="838"/>
    </row>
    <row r="19" spans="1:17">
      <c r="A19" s="835" t="s">
        <v>6797</v>
      </c>
      <c r="D19" s="837">
        <f t="shared" ref="D19:I19" si="10">MAX(D9,D11,D13,D15)-MIN(D9,D11,D13,D15)</f>
        <v>11595</v>
      </c>
      <c r="E19" s="837">
        <f t="shared" si="10"/>
        <v>11858</v>
      </c>
      <c r="F19" s="837">
        <f t="shared" si="10"/>
        <v>9627</v>
      </c>
      <c r="G19" s="837">
        <f t="shared" si="10"/>
        <v>8814</v>
      </c>
      <c r="H19" s="837">
        <f t="shared" si="10"/>
        <v>9534</v>
      </c>
      <c r="I19" s="837">
        <f t="shared" si="10"/>
        <v>6285</v>
      </c>
      <c r="J19" s="837">
        <f t="shared" ref="J19:O19" si="11">MAX(J9,J11,J13,J15)-MIN(J9,J11,J13,J15)</f>
        <v>6465</v>
      </c>
      <c r="K19" s="837">
        <f t="shared" si="11"/>
        <v>8772</v>
      </c>
      <c r="L19" s="837">
        <f t="shared" si="11"/>
        <v>6098</v>
      </c>
      <c r="M19" s="837">
        <f t="shared" si="11"/>
        <v>4928</v>
      </c>
      <c r="N19" s="837">
        <f t="shared" si="11"/>
        <v>3045</v>
      </c>
      <c r="O19" s="837">
        <f t="shared" si="11"/>
        <v>3247</v>
      </c>
    </row>
    <row r="20" spans="1:17">
      <c r="D20" s="838"/>
      <c r="E20" s="838"/>
      <c r="F20" s="838"/>
      <c r="G20" s="838"/>
      <c r="H20" s="838"/>
      <c r="I20" s="838"/>
      <c r="J20" s="838"/>
      <c r="K20" s="838"/>
      <c r="L20" s="838"/>
      <c r="M20" s="838"/>
      <c r="N20" s="838"/>
      <c r="O20" s="838"/>
    </row>
    <row r="21" spans="1:17">
      <c r="A21" s="841" t="s">
        <v>6800</v>
      </c>
      <c r="D21" s="837">
        <f t="shared" ref="D21:I21" si="12">STDEVP(D9,D11,D13,D15)</f>
        <v>4436.7001532670656</v>
      </c>
      <c r="E21" s="837">
        <f t="shared" si="12"/>
        <v>4481.8658502904791</v>
      </c>
      <c r="F21" s="837">
        <f t="shared" si="12"/>
        <v>3852.4857803112004</v>
      </c>
      <c r="G21" s="837">
        <f t="shared" si="12"/>
        <v>3607.7953448054673</v>
      </c>
      <c r="H21" s="837">
        <f t="shared" si="12"/>
        <v>3903.3141927725983</v>
      </c>
      <c r="I21" s="837">
        <f t="shared" si="12"/>
        <v>2779.815146731883</v>
      </c>
      <c r="J21" s="837">
        <f t="shared" ref="J21:O21" si="13">STDEVP(J9,J11,J13,J15)</f>
        <v>3106.3236610984372</v>
      </c>
      <c r="K21" s="837">
        <f t="shared" si="13"/>
        <v>3207.3652251497647</v>
      </c>
      <c r="L21" s="837">
        <f t="shared" si="13"/>
        <v>2355.4004303939491</v>
      </c>
      <c r="M21" s="837">
        <f t="shared" si="13"/>
        <v>1790.5663035754917</v>
      </c>
      <c r="N21" s="837">
        <f t="shared" si="13"/>
        <v>1235.9593439915409</v>
      </c>
      <c r="O21" s="837">
        <f t="shared" si="13"/>
        <v>1264.8577983314963</v>
      </c>
    </row>
    <row r="22" spans="1:17">
      <c r="D22" s="838"/>
      <c r="E22" s="838"/>
      <c r="F22" s="838"/>
      <c r="G22" s="838"/>
      <c r="H22" s="838"/>
      <c r="I22" s="838"/>
      <c r="J22" s="838"/>
      <c r="K22" s="838"/>
      <c r="L22" s="838"/>
    </row>
    <row r="23" spans="1:17">
      <c r="A23" s="167" t="s">
        <v>5387</v>
      </c>
      <c r="B23" s="167" t="s">
        <v>4789</v>
      </c>
      <c r="C23" s="167" t="s">
        <v>15792</v>
      </c>
      <c r="D23" s="56">
        <v>51285</v>
      </c>
      <c r="E23" s="56">
        <v>51932</v>
      </c>
      <c r="F23" s="56">
        <v>51272</v>
      </c>
      <c r="G23" s="56">
        <v>51164</v>
      </c>
      <c r="H23" s="56">
        <v>50642</v>
      </c>
      <c r="I23" s="56">
        <v>48932</v>
      </c>
      <c r="J23" s="56">
        <v>49057</v>
      </c>
      <c r="K23" s="56">
        <v>53000</v>
      </c>
      <c r="L23" s="56">
        <v>52696</v>
      </c>
      <c r="M23" s="56">
        <v>49334</v>
      </c>
      <c r="N23" s="56">
        <v>50707</v>
      </c>
      <c r="O23" s="56">
        <v>5855</v>
      </c>
      <c r="Q23" s="835" t="s">
        <v>4751</v>
      </c>
    </row>
    <row r="24" spans="1:17">
      <c r="A24" s="167" t="s">
        <v>5389</v>
      </c>
      <c r="B24" s="167" t="s">
        <v>4790</v>
      </c>
      <c r="C24" s="167" t="s">
        <v>15793</v>
      </c>
      <c r="D24" s="56">
        <v>84266</v>
      </c>
      <c r="E24" s="56">
        <v>85243</v>
      </c>
      <c r="F24" s="56">
        <v>84406</v>
      </c>
      <c r="G24" s="56">
        <v>85400</v>
      </c>
      <c r="H24" s="56">
        <v>85179</v>
      </c>
      <c r="I24" s="56">
        <v>79479</v>
      </c>
      <c r="J24" s="56">
        <v>80921</v>
      </c>
      <c r="K24" s="56">
        <v>85850</v>
      </c>
      <c r="L24" s="56">
        <v>85057</v>
      </c>
      <c r="M24" s="56">
        <v>78956</v>
      </c>
      <c r="N24" s="56">
        <v>81123</v>
      </c>
      <c r="O24" s="56">
        <v>6981</v>
      </c>
      <c r="Q24" s="835" t="s">
        <v>4753</v>
      </c>
    </row>
    <row r="25" spans="1:17">
      <c r="A25" s="167" t="s">
        <v>5391</v>
      </c>
      <c r="B25" s="167" t="s">
        <v>15795</v>
      </c>
      <c r="C25" s="167" t="s">
        <v>15794</v>
      </c>
      <c r="D25" s="56">
        <v>0</v>
      </c>
      <c r="E25" s="56">
        <v>0</v>
      </c>
      <c r="F25" s="56">
        <v>0</v>
      </c>
      <c r="G25" s="56">
        <v>0</v>
      </c>
      <c r="H25" s="56">
        <v>0</v>
      </c>
      <c r="I25" s="56">
        <v>0</v>
      </c>
      <c r="J25" s="56">
        <v>0</v>
      </c>
      <c r="K25" s="56">
        <v>0</v>
      </c>
      <c r="L25" s="56">
        <v>0</v>
      </c>
      <c r="M25" s="56">
        <v>0</v>
      </c>
      <c r="N25" s="56">
        <v>0</v>
      </c>
      <c r="O25" s="56">
        <v>7991</v>
      </c>
      <c r="Q25" s="835" t="s">
        <v>4753</v>
      </c>
    </row>
    <row r="26" spans="1:17">
      <c r="A26" s="167" t="s">
        <v>5393</v>
      </c>
      <c r="B26" s="167" t="s">
        <v>15797</v>
      </c>
      <c r="C26" s="167" t="s">
        <v>15796</v>
      </c>
      <c r="D26" s="56">
        <v>0</v>
      </c>
      <c r="E26" s="56">
        <v>0</v>
      </c>
      <c r="F26" s="56">
        <v>0</v>
      </c>
      <c r="G26" s="56">
        <v>0</v>
      </c>
      <c r="H26" s="56">
        <v>0</v>
      </c>
      <c r="I26" s="56">
        <v>0</v>
      </c>
      <c r="J26" s="56">
        <v>0</v>
      </c>
      <c r="K26" s="56">
        <v>0</v>
      </c>
      <c r="L26" s="56">
        <v>0</v>
      </c>
      <c r="M26" s="56">
        <v>0</v>
      </c>
      <c r="N26" s="56">
        <v>0</v>
      </c>
      <c r="O26" s="56">
        <v>4872</v>
      </c>
      <c r="Q26" s="835" t="s">
        <v>4753</v>
      </c>
    </row>
    <row r="27" spans="1:17">
      <c r="A27" s="167" t="s">
        <v>5394</v>
      </c>
      <c r="B27" s="167" t="s">
        <v>4762</v>
      </c>
      <c r="C27" s="167" t="s">
        <v>15798</v>
      </c>
      <c r="D27" s="56">
        <v>0</v>
      </c>
      <c r="E27" s="56">
        <v>0</v>
      </c>
      <c r="F27" s="56">
        <v>0</v>
      </c>
      <c r="G27" s="56">
        <v>0</v>
      </c>
      <c r="H27" s="56">
        <v>0</v>
      </c>
      <c r="I27" s="56">
        <v>0</v>
      </c>
      <c r="J27" s="56">
        <v>0</v>
      </c>
      <c r="K27" s="56">
        <v>0</v>
      </c>
      <c r="L27" s="56">
        <v>0</v>
      </c>
      <c r="M27" s="56">
        <v>0</v>
      </c>
      <c r="N27" s="56">
        <v>0</v>
      </c>
      <c r="O27" s="56">
        <v>6272</v>
      </c>
      <c r="Q27" s="835" t="s">
        <v>4751</v>
      </c>
    </row>
    <row r="28" spans="1:17">
      <c r="A28" s="167" t="s">
        <v>5416</v>
      </c>
      <c r="B28" s="167" t="s">
        <v>15800</v>
      </c>
      <c r="C28" s="167" t="s">
        <v>15799</v>
      </c>
      <c r="D28" s="56">
        <v>0</v>
      </c>
      <c r="E28" s="56">
        <v>0</v>
      </c>
      <c r="F28" s="56">
        <v>0</v>
      </c>
      <c r="G28" s="56">
        <v>0</v>
      </c>
      <c r="H28" s="56">
        <v>0</v>
      </c>
      <c r="I28" s="56">
        <v>0</v>
      </c>
      <c r="J28" s="56">
        <v>0</v>
      </c>
      <c r="K28" s="56">
        <v>0</v>
      </c>
      <c r="L28" s="56">
        <v>0</v>
      </c>
      <c r="M28" s="56">
        <v>0</v>
      </c>
      <c r="N28" s="56">
        <v>0</v>
      </c>
      <c r="O28" s="56">
        <v>4057</v>
      </c>
      <c r="Q28" s="835" t="s">
        <v>4751</v>
      </c>
    </row>
    <row r="29" spans="1:17">
      <c r="A29" s="167" t="s">
        <v>5418</v>
      </c>
      <c r="B29" s="167" t="s">
        <v>4763</v>
      </c>
      <c r="C29" s="167" t="s">
        <v>15801</v>
      </c>
      <c r="D29" s="56">
        <v>0</v>
      </c>
      <c r="E29" s="56">
        <v>0</v>
      </c>
      <c r="F29" s="56">
        <v>0</v>
      </c>
      <c r="G29" s="56">
        <v>0</v>
      </c>
      <c r="H29" s="56">
        <v>0</v>
      </c>
      <c r="I29" s="56">
        <v>0</v>
      </c>
      <c r="J29" s="56">
        <v>0</v>
      </c>
      <c r="K29" s="56">
        <v>0</v>
      </c>
      <c r="L29" s="56">
        <v>0</v>
      </c>
      <c r="M29" s="56">
        <v>0</v>
      </c>
      <c r="N29" s="56">
        <v>0</v>
      </c>
      <c r="O29" s="56">
        <v>0</v>
      </c>
      <c r="Q29" s="835" t="s">
        <v>4751</v>
      </c>
    </row>
    <row r="30" spans="1:17" ht="15.75" thickBot="1">
      <c r="C30" s="167" t="s">
        <v>15801</v>
      </c>
      <c r="D30" s="56">
        <v>0</v>
      </c>
      <c r="E30" s="56">
        <v>0</v>
      </c>
      <c r="F30" s="56">
        <v>0</v>
      </c>
      <c r="G30" s="56">
        <v>0</v>
      </c>
      <c r="H30" s="56">
        <v>0</v>
      </c>
      <c r="I30" s="56">
        <v>0</v>
      </c>
      <c r="J30" s="56">
        <v>0</v>
      </c>
      <c r="K30" s="56">
        <v>0</v>
      </c>
      <c r="L30" s="56">
        <v>0</v>
      </c>
      <c r="M30" s="56">
        <v>0</v>
      </c>
      <c r="N30" s="56">
        <v>0</v>
      </c>
      <c r="O30" s="56">
        <v>8313</v>
      </c>
      <c r="Q30" s="835" t="s">
        <v>4753</v>
      </c>
    </row>
    <row r="31" spans="1:17" ht="15.75" thickBot="1">
      <c r="C31" s="167" t="s">
        <v>15801</v>
      </c>
      <c r="D31" s="284">
        <f>D29+D30</f>
        <v>0</v>
      </c>
      <c r="E31" s="284">
        <f t="shared" ref="E31:O31" si="14">E29+E30</f>
        <v>0</v>
      </c>
      <c r="F31" s="284">
        <f t="shared" si="14"/>
        <v>0</v>
      </c>
      <c r="G31" s="284">
        <f t="shared" si="14"/>
        <v>0</v>
      </c>
      <c r="H31" s="284">
        <f t="shared" si="14"/>
        <v>0</v>
      </c>
      <c r="I31" s="284">
        <f t="shared" si="14"/>
        <v>0</v>
      </c>
      <c r="J31" s="284">
        <f t="shared" si="14"/>
        <v>0</v>
      </c>
      <c r="K31" s="284">
        <f t="shared" si="14"/>
        <v>0</v>
      </c>
      <c r="L31" s="284">
        <f t="shared" si="14"/>
        <v>0</v>
      </c>
      <c r="M31" s="284">
        <f t="shared" si="14"/>
        <v>0</v>
      </c>
      <c r="N31" s="284">
        <f t="shared" si="14"/>
        <v>0</v>
      </c>
      <c r="O31" s="284">
        <f t="shared" si="14"/>
        <v>8313</v>
      </c>
      <c r="Q31" s="835"/>
    </row>
    <row r="32" spans="1:17">
      <c r="A32" s="167" t="s">
        <v>5420</v>
      </c>
      <c r="B32" s="167" t="s">
        <v>4764</v>
      </c>
      <c r="C32" s="167" t="s">
        <v>15802</v>
      </c>
      <c r="D32" s="56">
        <v>0</v>
      </c>
      <c r="E32" s="56">
        <v>0</v>
      </c>
      <c r="F32" s="56">
        <v>0</v>
      </c>
      <c r="G32" s="56">
        <v>0</v>
      </c>
      <c r="H32" s="56">
        <v>0</v>
      </c>
      <c r="I32" s="56">
        <v>0</v>
      </c>
      <c r="J32" s="56">
        <v>0</v>
      </c>
      <c r="K32" s="56">
        <v>0</v>
      </c>
      <c r="L32" s="56">
        <v>0</v>
      </c>
      <c r="M32" s="56">
        <v>0</v>
      </c>
      <c r="N32" s="56">
        <v>0</v>
      </c>
      <c r="O32" s="56">
        <v>5932</v>
      </c>
      <c r="Q32" s="835" t="s">
        <v>4751</v>
      </c>
    </row>
    <row r="33" spans="1:17">
      <c r="A33" s="167" t="s">
        <v>5422</v>
      </c>
      <c r="B33" s="167" t="s">
        <v>4765</v>
      </c>
      <c r="C33" s="167" t="s">
        <v>15803</v>
      </c>
      <c r="D33" s="56">
        <v>0</v>
      </c>
      <c r="E33" s="56">
        <v>0</v>
      </c>
      <c r="F33" s="56">
        <v>0</v>
      </c>
      <c r="G33" s="56">
        <v>0</v>
      </c>
      <c r="H33" s="56">
        <v>0</v>
      </c>
      <c r="I33" s="56">
        <v>0</v>
      </c>
      <c r="J33" s="56">
        <v>0</v>
      </c>
      <c r="K33" s="56">
        <v>0</v>
      </c>
      <c r="L33" s="56">
        <v>0</v>
      </c>
      <c r="M33" s="56">
        <v>0</v>
      </c>
      <c r="N33" s="56">
        <v>0</v>
      </c>
      <c r="O33" s="56">
        <v>0</v>
      </c>
      <c r="Q33" s="835" t="s">
        <v>4751</v>
      </c>
    </row>
    <row r="34" spans="1:17" ht="15.75" thickBot="1">
      <c r="C34" s="167" t="s">
        <v>15803</v>
      </c>
      <c r="D34" s="56">
        <v>0</v>
      </c>
      <c r="E34" s="56">
        <v>0</v>
      </c>
      <c r="F34" s="56">
        <v>0</v>
      </c>
      <c r="G34" s="56">
        <v>0</v>
      </c>
      <c r="H34" s="56">
        <v>0</v>
      </c>
      <c r="I34" s="56">
        <v>0</v>
      </c>
      <c r="J34" s="56">
        <v>0</v>
      </c>
      <c r="K34" s="56">
        <v>0</v>
      </c>
      <c r="L34" s="56">
        <v>0</v>
      </c>
      <c r="M34" s="56">
        <v>0</v>
      </c>
      <c r="N34" s="56">
        <v>0</v>
      </c>
      <c r="O34" s="56">
        <v>8643</v>
      </c>
      <c r="Q34" s="835" t="s">
        <v>4753</v>
      </c>
    </row>
    <row r="35" spans="1:17" ht="15.75" thickBot="1">
      <c r="C35" s="167" t="s">
        <v>15803</v>
      </c>
      <c r="D35" s="284">
        <f>D33+D34</f>
        <v>0</v>
      </c>
      <c r="E35" s="284">
        <f t="shared" ref="E35:O35" si="15">E33+E34</f>
        <v>0</v>
      </c>
      <c r="F35" s="284">
        <f t="shared" si="15"/>
        <v>0</v>
      </c>
      <c r="G35" s="284">
        <f t="shared" si="15"/>
        <v>0</v>
      </c>
      <c r="H35" s="284">
        <f t="shared" si="15"/>
        <v>0</v>
      </c>
      <c r="I35" s="284">
        <f t="shared" si="15"/>
        <v>0</v>
      </c>
      <c r="J35" s="284">
        <f t="shared" si="15"/>
        <v>0</v>
      </c>
      <c r="K35" s="284">
        <f t="shared" si="15"/>
        <v>0</v>
      </c>
      <c r="L35" s="284">
        <f t="shared" si="15"/>
        <v>0</v>
      </c>
      <c r="M35" s="284">
        <f t="shared" si="15"/>
        <v>0</v>
      </c>
      <c r="N35" s="284">
        <f t="shared" si="15"/>
        <v>0</v>
      </c>
      <c r="O35" s="284">
        <f t="shared" si="15"/>
        <v>8643</v>
      </c>
      <c r="Q35" s="835"/>
    </row>
    <row r="36" spans="1:17">
      <c r="A36" s="167" t="s">
        <v>5424</v>
      </c>
      <c r="B36" s="167" t="s">
        <v>4766</v>
      </c>
      <c r="C36" s="167" t="s">
        <v>15804</v>
      </c>
      <c r="D36" s="56">
        <v>0</v>
      </c>
      <c r="E36" s="56">
        <v>0</v>
      </c>
      <c r="F36" s="56">
        <v>0</v>
      </c>
      <c r="G36" s="56">
        <v>0</v>
      </c>
      <c r="H36" s="56">
        <v>0</v>
      </c>
      <c r="I36" s="56">
        <v>0</v>
      </c>
      <c r="J36" s="56">
        <v>0</v>
      </c>
      <c r="K36" s="56">
        <v>0</v>
      </c>
      <c r="L36" s="56">
        <v>0</v>
      </c>
      <c r="M36" s="56">
        <v>0</v>
      </c>
      <c r="N36" s="56">
        <v>0</v>
      </c>
      <c r="O36" s="56">
        <v>7382</v>
      </c>
      <c r="Q36" s="835" t="s">
        <v>4753</v>
      </c>
    </row>
    <row r="37" spans="1:17">
      <c r="A37" s="167" t="s">
        <v>5426</v>
      </c>
      <c r="B37" s="167" t="s">
        <v>15806</v>
      </c>
      <c r="C37" s="167" t="s">
        <v>15805</v>
      </c>
      <c r="D37" s="56">
        <v>0</v>
      </c>
      <c r="E37" s="56">
        <v>0</v>
      </c>
      <c r="F37" s="56">
        <v>0</v>
      </c>
      <c r="G37" s="56">
        <v>0</v>
      </c>
      <c r="H37" s="56">
        <v>0</v>
      </c>
      <c r="I37" s="56">
        <v>0</v>
      </c>
      <c r="J37" s="56">
        <v>0</v>
      </c>
      <c r="K37" s="56">
        <v>0</v>
      </c>
      <c r="L37" s="56">
        <v>0</v>
      </c>
      <c r="M37" s="56">
        <v>0</v>
      </c>
      <c r="N37" s="56">
        <v>0</v>
      </c>
      <c r="O37" s="56">
        <v>7910</v>
      </c>
      <c r="Q37" s="835" t="s">
        <v>4753</v>
      </c>
    </row>
    <row r="38" spans="1:17">
      <c r="A38" s="167" t="s">
        <v>5428</v>
      </c>
      <c r="B38" s="167" t="s">
        <v>15808</v>
      </c>
      <c r="C38" s="167" t="s">
        <v>15807</v>
      </c>
      <c r="D38" s="56">
        <v>0</v>
      </c>
      <c r="E38" s="56">
        <v>0</v>
      </c>
      <c r="F38" s="56">
        <v>0</v>
      </c>
      <c r="G38" s="56">
        <v>0</v>
      </c>
      <c r="H38" s="56">
        <v>0</v>
      </c>
      <c r="I38" s="56">
        <v>0</v>
      </c>
      <c r="J38" s="56">
        <v>0</v>
      </c>
      <c r="K38" s="56">
        <v>0</v>
      </c>
      <c r="L38" s="56">
        <v>0</v>
      </c>
      <c r="M38" s="56">
        <v>0</v>
      </c>
      <c r="N38" s="56">
        <v>0</v>
      </c>
      <c r="O38" s="56">
        <v>5853</v>
      </c>
      <c r="Q38" s="835" t="s">
        <v>4753</v>
      </c>
    </row>
    <row r="39" spans="1:17">
      <c r="A39" s="167" t="s">
        <v>5429</v>
      </c>
      <c r="B39" s="167" t="s">
        <v>15810</v>
      </c>
      <c r="C39" s="167" t="s">
        <v>15809</v>
      </c>
      <c r="D39" s="56">
        <v>0</v>
      </c>
      <c r="E39" s="56">
        <v>0</v>
      </c>
      <c r="F39" s="56">
        <v>0</v>
      </c>
      <c r="G39" s="56">
        <v>0</v>
      </c>
      <c r="H39" s="56">
        <v>0</v>
      </c>
      <c r="I39" s="56">
        <v>0</v>
      </c>
      <c r="J39" s="56">
        <v>0</v>
      </c>
      <c r="K39" s="56">
        <v>0</v>
      </c>
      <c r="L39" s="56">
        <v>0</v>
      </c>
      <c r="M39" s="56">
        <v>0</v>
      </c>
      <c r="N39" s="56">
        <v>0</v>
      </c>
      <c r="O39" s="56">
        <v>6883</v>
      </c>
      <c r="Q39" s="835" t="s">
        <v>4753</v>
      </c>
    </row>
    <row r="40" spans="1:17">
      <c r="A40" s="167" t="s">
        <v>5431</v>
      </c>
      <c r="B40" s="167" t="s">
        <v>3993</v>
      </c>
      <c r="C40" s="167" t="s">
        <v>15811</v>
      </c>
      <c r="D40" s="56">
        <v>0</v>
      </c>
      <c r="E40" s="56">
        <v>0</v>
      </c>
      <c r="F40" s="56">
        <v>0</v>
      </c>
      <c r="G40" s="56">
        <v>0</v>
      </c>
      <c r="H40" s="56">
        <v>0</v>
      </c>
      <c r="I40" s="56">
        <v>0</v>
      </c>
      <c r="J40" s="56">
        <v>0</v>
      </c>
      <c r="K40" s="56">
        <v>0</v>
      </c>
      <c r="L40" s="56">
        <v>0</v>
      </c>
      <c r="M40" s="56">
        <v>0</v>
      </c>
      <c r="N40" s="56">
        <v>0</v>
      </c>
      <c r="O40" s="56">
        <v>6289</v>
      </c>
      <c r="Q40" s="835" t="s">
        <v>4751</v>
      </c>
    </row>
    <row r="41" spans="1:17">
      <c r="A41" s="167" t="s">
        <v>5433</v>
      </c>
      <c r="B41" s="167" t="s">
        <v>4767</v>
      </c>
      <c r="C41" s="167" t="s">
        <v>15812</v>
      </c>
      <c r="D41" s="56">
        <v>0</v>
      </c>
      <c r="E41" s="56">
        <v>0</v>
      </c>
      <c r="F41" s="56">
        <v>0</v>
      </c>
      <c r="G41" s="56">
        <v>0</v>
      </c>
      <c r="H41" s="56">
        <v>0</v>
      </c>
      <c r="I41" s="56">
        <v>0</v>
      </c>
      <c r="J41" s="56">
        <v>0</v>
      </c>
      <c r="K41" s="56">
        <v>0</v>
      </c>
      <c r="L41" s="56">
        <v>0</v>
      </c>
      <c r="M41" s="56">
        <v>0</v>
      </c>
      <c r="N41" s="56">
        <v>0</v>
      </c>
      <c r="O41" s="56">
        <v>8514</v>
      </c>
      <c r="Q41" s="835" t="s">
        <v>4753</v>
      </c>
    </row>
    <row r="42" spans="1:17">
      <c r="A42" s="167" t="s">
        <v>5435</v>
      </c>
      <c r="B42" s="167" t="s">
        <v>15814</v>
      </c>
      <c r="C42" s="167" t="s">
        <v>15813</v>
      </c>
      <c r="D42" s="56">
        <v>0</v>
      </c>
      <c r="E42" s="56">
        <v>0</v>
      </c>
      <c r="F42" s="56">
        <v>0</v>
      </c>
      <c r="G42" s="56">
        <v>0</v>
      </c>
      <c r="H42" s="56">
        <v>0</v>
      </c>
      <c r="I42" s="56">
        <v>0</v>
      </c>
      <c r="J42" s="56">
        <v>0</v>
      </c>
      <c r="K42" s="56">
        <v>0</v>
      </c>
      <c r="L42" s="56">
        <v>0</v>
      </c>
      <c r="M42" s="56">
        <v>0</v>
      </c>
      <c r="N42" s="56">
        <v>0</v>
      </c>
      <c r="O42" s="56">
        <v>7691</v>
      </c>
      <c r="Q42" s="835" t="s">
        <v>4751</v>
      </c>
    </row>
    <row r="43" spans="1:17" ht="15.75" thickBot="1">
      <c r="C43" s="167" t="s">
        <v>15813</v>
      </c>
      <c r="D43" s="56">
        <v>0</v>
      </c>
      <c r="E43" s="56">
        <v>0</v>
      </c>
      <c r="F43" s="56">
        <v>0</v>
      </c>
      <c r="G43" s="56">
        <v>0</v>
      </c>
      <c r="H43" s="56">
        <v>0</v>
      </c>
      <c r="I43" s="56">
        <v>0</v>
      </c>
      <c r="J43" s="56">
        <v>0</v>
      </c>
      <c r="K43" s="56">
        <v>0</v>
      </c>
      <c r="L43" s="56">
        <v>0</v>
      </c>
      <c r="M43" s="56">
        <v>0</v>
      </c>
      <c r="N43" s="56">
        <v>0</v>
      </c>
      <c r="O43" s="56">
        <v>0</v>
      </c>
      <c r="Q43" s="835" t="s">
        <v>4753</v>
      </c>
    </row>
    <row r="44" spans="1:17" ht="15.75" thickBot="1">
      <c r="C44" s="167" t="s">
        <v>15813</v>
      </c>
      <c r="D44" s="284">
        <f>D42+D43</f>
        <v>0</v>
      </c>
      <c r="E44" s="284">
        <f t="shared" ref="E44:O44" si="16">E42+E43</f>
        <v>0</v>
      </c>
      <c r="F44" s="284">
        <f t="shared" si="16"/>
        <v>0</v>
      </c>
      <c r="G44" s="284">
        <f t="shared" si="16"/>
        <v>0</v>
      </c>
      <c r="H44" s="284">
        <f t="shared" si="16"/>
        <v>0</v>
      </c>
      <c r="I44" s="284">
        <f t="shared" si="16"/>
        <v>0</v>
      </c>
      <c r="J44" s="284">
        <f t="shared" si="16"/>
        <v>0</v>
      </c>
      <c r="K44" s="284">
        <f t="shared" si="16"/>
        <v>0</v>
      </c>
      <c r="L44" s="284">
        <f t="shared" si="16"/>
        <v>0</v>
      </c>
      <c r="M44" s="284">
        <f t="shared" si="16"/>
        <v>0</v>
      </c>
      <c r="N44" s="284">
        <f t="shared" si="16"/>
        <v>0</v>
      </c>
      <c r="O44" s="284">
        <f t="shared" si="16"/>
        <v>7691</v>
      </c>
      <c r="Q44" s="835"/>
    </row>
    <row r="45" spans="1:17">
      <c r="A45" s="167" t="s">
        <v>5436</v>
      </c>
      <c r="B45" s="167" t="s">
        <v>583</v>
      </c>
      <c r="C45" s="167" t="s">
        <v>15815</v>
      </c>
      <c r="D45" s="56">
        <v>0</v>
      </c>
      <c r="E45" s="56">
        <v>0</v>
      </c>
      <c r="F45" s="56">
        <v>0</v>
      </c>
      <c r="G45" s="56">
        <v>0</v>
      </c>
      <c r="H45" s="56">
        <v>0</v>
      </c>
      <c r="I45" s="56">
        <v>0</v>
      </c>
      <c r="J45" s="56">
        <v>0</v>
      </c>
      <c r="K45" s="56">
        <v>0</v>
      </c>
      <c r="L45" s="56">
        <v>0</v>
      </c>
      <c r="M45" s="56">
        <v>0</v>
      </c>
      <c r="N45" s="56">
        <v>0</v>
      </c>
      <c r="O45" s="56">
        <v>7796</v>
      </c>
      <c r="Q45" s="835" t="s">
        <v>4753</v>
      </c>
    </row>
    <row r="46" spans="1:17">
      <c r="A46" s="167" t="s">
        <v>5437</v>
      </c>
      <c r="B46" s="167" t="s">
        <v>15817</v>
      </c>
      <c r="C46" s="167" t="s">
        <v>15816</v>
      </c>
      <c r="D46" s="56">
        <v>0</v>
      </c>
      <c r="E46" s="56">
        <v>0</v>
      </c>
      <c r="F46" s="56">
        <v>0</v>
      </c>
      <c r="G46" s="56">
        <v>0</v>
      </c>
      <c r="H46" s="56">
        <v>0</v>
      </c>
      <c r="I46" s="56">
        <v>0</v>
      </c>
      <c r="J46" s="56">
        <v>0</v>
      </c>
      <c r="K46" s="56">
        <v>0</v>
      </c>
      <c r="L46" s="56">
        <v>0</v>
      </c>
      <c r="M46" s="56">
        <v>0</v>
      </c>
      <c r="N46" s="56">
        <v>0</v>
      </c>
      <c r="O46" s="56">
        <v>7181</v>
      </c>
      <c r="Q46" s="835" t="s">
        <v>4753</v>
      </c>
    </row>
    <row r="47" spans="1:17">
      <c r="A47" s="1003" t="s">
        <v>5439</v>
      </c>
      <c r="B47" s="167" t="s">
        <v>15819</v>
      </c>
      <c r="C47" s="167" t="s">
        <v>15818</v>
      </c>
      <c r="D47" s="56">
        <v>0</v>
      </c>
      <c r="E47" s="56">
        <v>0</v>
      </c>
      <c r="F47" s="56">
        <v>0</v>
      </c>
      <c r="G47" s="56">
        <v>0</v>
      </c>
      <c r="H47" s="56">
        <v>0</v>
      </c>
      <c r="I47" s="56">
        <v>0</v>
      </c>
      <c r="J47" s="56">
        <v>0</v>
      </c>
      <c r="K47" s="56">
        <v>0</v>
      </c>
      <c r="L47" s="56">
        <v>0</v>
      </c>
      <c r="M47" s="56">
        <v>0</v>
      </c>
      <c r="N47" s="56">
        <v>0</v>
      </c>
      <c r="O47" s="56">
        <v>8154</v>
      </c>
      <c r="Q47" s="835" t="s">
        <v>4751</v>
      </c>
    </row>
    <row r="48" spans="1:17">
      <c r="A48" s="1003" t="s">
        <v>5441</v>
      </c>
      <c r="B48" s="167" t="s">
        <v>3299</v>
      </c>
      <c r="C48" s="167" t="s">
        <v>15820</v>
      </c>
      <c r="D48" s="56">
        <v>0</v>
      </c>
      <c r="E48" s="56">
        <v>0</v>
      </c>
      <c r="F48" s="56">
        <v>0</v>
      </c>
      <c r="G48" s="56">
        <v>0</v>
      </c>
      <c r="H48" s="56">
        <v>0</v>
      </c>
      <c r="I48" s="56">
        <v>0</v>
      </c>
      <c r="J48" s="56">
        <v>0</v>
      </c>
      <c r="K48" s="56">
        <v>0</v>
      </c>
      <c r="L48" s="56">
        <v>0</v>
      </c>
      <c r="M48" s="56">
        <v>0</v>
      </c>
      <c r="N48" s="56">
        <v>0</v>
      </c>
      <c r="O48" s="56">
        <v>7729</v>
      </c>
      <c r="Q48" s="835" t="s">
        <v>4751</v>
      </c>
    </row>
    <row r="50" spans="1:1">
      <c r="A50" s="167" t="s">
        <v>3300</v>
      </c>
    </row>
    <row r="51" spans="1:1">
      <c r="A51" s="167" t="s">
        <v>15821</v>
      </c>
    </row>
    <row r="52" spans="1:1">
      <c r="A52" s="167" t="s">
        <v>3301</v>
      </c>
    </row>
    <row r="54" spans="1:1">
      <c r="A54" s="1008" t="s">
        <v>16023</v>
      </c>
    </row>
    <row r="55" spans="1:1">
      <c r="A55" s="167" t="s">
        <v>16024</v>
      </c>
    </row>
    <row r="56" spans="1:1">
      <c r="A56" s="167" t="s">
        <v>16025</v>
      </c>
    </row>
    <row r="57" spans="1:1">
      <c r="A57" s="167" t="s">
        <v>16099</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4 E4 F4 G4 D5:D7 E5:E7 F5:F7 G5:G7 H4 H5:H7 I4:I7 J4:J7 K4:K7 L4:L7 D12:D21 E12:E21 F12:F21 G12:G21 H12:H21 I12:I21 J12:J21 K12:K21 L12:L21 D9:D10 E9:E10 F9:F10 G9:G10 H9:H10 I9:I10 J9:J10 K9:K10 L9:L1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dimension ref="A1:Q279"/>
  <sheetViews>
    <sheetView showGridLines="0" topLeftCell="A208" zoomScale="90" zoomScaleNormal="90" workbookViewId="0">
      <selection activeCell="A234" sqref="A234:A235"/>
    </sheetView>
  </sheetViews>
  <sheetFormatPr defaultColWidth="12.5703125" defaultRowHeight="15"/>
  <cols>
    <col min="1" max="1" width="4.7109375" style="115" customWidth="1"/>
    <col min="2" max="2" width="44.5703125" style="115" customWidth="1"/>
    <col min="3" max="3" width="11.5703125" style="115" customWidth="1"/>
    <col min="4" max="15" width="10" style="115" customWidth="1"/>
    <col min="16" max="16" width="2.28515625" style="115" customWidth="1"/>
    <col min="17" max="17" width="29.42578125" style="115" customWidth="1"/>
    <col min="18" max="16384" width="12.5703125" style="115"/>
  </cols>
  <sheetData>
    <row r="1" spans="1:17">
      <c r="A1" s="277" t="s">
        <v>6924</v>
      </c>
      <c r="D1" s="278">
        <v>2010</v>
      </c>
      <c r="E1" s="278">
        <v>2011</v>
      </c>
      <c r="F1" s="278">
        <v>2012</v>
      </c>
      <c r="G1" s="278">
        <v>2013</v>
      </c>
      <c r="H1" s="278">
        <v>2014</v>
      </c>
      <c r="I1" s="278">
        <v>2015</v>
      </c>
      <c r="J1" s="278">
        <v>2016</v>
      </c>
      <c r="K1" s="278">
        <v>2017</v>
      </c>
      <c r="L1" s="278">
        <v>2018</v>
      </c>
      <c r="M1" s="278">
        <v>2019</v>
      </c>
      <c r="N1" s="278">
        <v>2020</v>
      </c>
      <c r="O1" s="931" t="s">
        <v>14823</v>
      </c>
    </row>
    <row r="3" spans="1:17">
      <c r="A3" s="277" t="s">
        <v>1669</v>
      </c>
      <c r="C3" s="277"/>
      <c r="D3" s="280">
        <f t="shared" ref="D3:I3" si="0">D49</f>
        <v>288796</v>
      </c>
      <c r="E3" s="280">
        <f t="shared" si="0"/>
        <v>286944</v>
      </c>
      <c r="F3" s="280">
        <f t="shared" si="0"/>
        <v>287281</v>
      </c>
      <c r="G3" s="280">
        <f t="shared" si="0"/>
        <v>285686</v>
      </c>
      <c r="H3" s="280">
        <f t="shared" si="0"/>
        <v>285058</v>
      </c>
      <c r="I3" s="280">
        <f t="shared" si="0"/>
        <v>268206</v>
      </c>
      <c r="J3" s="280">
        <f t="shared" ref="J3:O3" si="1">J49</f>
        <v>270905</v>
      </c>
      <c r="K3" s="280">
        <f t="shared" si="1"/>
        <v>292068</v>
      </c>
      <c r="L3" s="280">
        <f t="shared" si="1"/>
        <v>293679</v>
      </c>
      <c r="M3" s="280">
        <f t="shared" si="1"/>
        <v>294937</v>
      </c>
      <c r="N3" s="280">
        <f t="shared" si="1"/>
        <v>304277</v>
      </c>
      <c r="O3" s="280">
        <f t="shared" si="1"/>
        <v>301677</v>
      </c>
    </row>
    <row r="4" spans="1:17">
      <c r="A4" s="277" t="s">
        <v>3140</v>
      </c>
      <c r="C4" s="277"/>
      <c r="D4" s="280">
        <f t="shared" ref="D4:I4" si="2">D118</f>
        <v>251933</v>
      </c>
      <c r="E4" s="280">
        <f t="shared" si="2"/>
        <v>249503</v>
      </c>
      <c r="F4" s="280">
        <f t="shared" si="2"/>
        <v>247681</v>
      </c>
      <c r="G4" s="280">
        <f t="shared" si="2"/>
        <v>251088</v>
      </c>
      <c r="H4" s="280">
        <f t="shared" si="2"/>
        <v>254379</v>
      </c>
      <c r="I4" s="280">
        <f t="shared" si="2"/>
        <v>256791</v>
      </c>
      <c r="J4" s="280">
        <f t="shared" ref="J4:O4" si="3">J118</f>
        <v>256498</v>
      </c>
      <c r="K4" s="280">
        <f t="shared" si="3"/>
        <v>261340</v>
      </c>
      <c r="L4" s="280">
        <f t="shared" si="3"/>
        <v>267743</v>
      </c>
      <c r="M4" s="280">
        <f t="shared" si="3"/>
        <v>267795</v>
      </c>
      <c r="N4" s="280">
        <f t="shared" si="3"/>
        <v>271419</v>
      </c>
      <c r="O4" s="280">
        <f t="shared" si="3"/>
        <v>271184</v>
      </c>
    </row>
    <row r="5" spans="1:17" ht="15.75" thickBot="1">
      <c r="A5" s="277" t="s">
        <v>4120</v>
      </c>
      <c r="C5" s="277"/>
      <c r="D5" s="283">
        <f t="shared" ref="D5:I5" si="4">D202</f>
        <v>91631</v>
      </c>
      <c r="E5" s="283">
        <f t="shared" si="4"/>
        <v>92550</v>
      </c>
      <c r="F5" s="283">
        <f t="shared" si="4"/>
        <v>94044</v>
      </c>
      <c r="G5" s="283">
        <f t="shared" si="4"/>
        <v>94403</v>
      </c>
      <c r="H5" s="283">
        <f t="shared" si="4"/>
        <v>94006</v>
      </c>
      <c r="I5" s="283">
        <f t="shared" si="4"/>
        <v>94619</v>
      </c>
      <c r="J5" s="283">
        <f t="shared" ref="J5:O5" si="5">J202</f>
        <v>92958</v>
      </c>
      <c r="K5" s="283">
        <f t="shared" si="5"/>
        <v>93870</v>
      </c>
      <c r="L5" s="283">
        <f t="shared" si="5"/>
        <v>95412</v>
      </c>
      <c r="M5" s="283">
        <f t="shared" si="5"/>
        <v>91918</v>
      </c>
      <c r="N5" s="283">
        <f t="shared" si="5"/>
        <v>95285</v>
      </c>
      <c r="O5" s="283">
        <f t="shared" si="5"/>
        <v>95616</v>
      </c>
    </row>
    <row r="6" spans="1:17" ht="15.75" thickBot="1">
      <c r="A6" s="76"/>
      <c r="B6" s="76"/>
      <c r="C6" s="76"/>
      <c r="D6" s="780">
        <f t="shared" ref="D6:I6" si="6">SUM(D3:D5)</f>
        <v>632360</v>
      </c>
      <c r="E6" s="780">
        <f t="shared" si="6"/>
        <v>628997</v>
      </c>
      <c r="F6" s="780">
        <f t="shared" si="6"/>
        <v>629006</v>
      </c>
      <c r="G6" s="780">
        <f t="shared" si="6"/>
        <v>631177</v>
      </c>
      <c r="H6" s="780">
        <f t="shared" si="6"/>
        <v>633443</v>
      </c>
      <c r="I6" s="780">
        <f t="shared" si="6"/>
        <v>619616</v>
      </c>
      <c r="J6" s="780">
        <f t="shared" ref="J6:O6" si="7">SUM(J3:J5)</f>
        <v>620361</v>
      </c>
      <c r="K6" s="780">
        <f t="shared" si="7"/>
        <v>647278</v>
      </c>
      <c r="L6" s="780">
        <f t="shared" si="7"/>
        <v>656834</v>
      </c>
      <c r="M6" s="780">
        <f t="shared" si="7"/>
        <v>654650</v>
      </c>
      <c r="N6" s="780">
        <f t="shared" si="7"/>
        <v>670981</v>
      </c>
      <c r="O6" s="780">
        <f t="shared" si="7"/>
        <v>668477</v>
      </c>
      <c r="P6" s="76"/>
    </row>
    <row r="7" spans="1:17">
      <c r="A7" s="76"/>
      <c r="B7" s="76"/>
      <c r="C7" s="76"/>
      <c r="D7" s="199"/>
      <c r="E7" s="199"/>
      <c r="F7" s="199"/>
      <c r="G7" s="199"/>
      <c r="H7" s="199"/>
      <c r="I7" s="199"/>
      <c r="J7" s="199"/>
      <c r="K7" s="199"/>
      <c r="L7" s="199"/>
      <c r="M7" s="199"/>
      <c r="N7" s="199"/>
      <c r="O7" s="199"/>
      <c r="P7" s="76"/>
      <c r="Q7" s="76"/>
    </row>
    <row r="8" spans="1:17">
      <c r="A8" s="277" t="s">
        <v>6622</v>
      </c>
      <c r="D8" s="280">
        <f t="shared" ref="D8:I8" si="8">D3/4</f>
        <v>72199</v>
      </c>
      <c r="E8" s="280">
        <f t="shared" si="8"/>
        <v>71736</v>
      </c>
      <c r="F8" s="280">
        <f t="shared" si="8"/>
        <v>71820.25</v>
      </c>
      <c r="G8" s="280">
        <f t="shared" si="8"/>
        <v>71421.5</v>
      </c>
      <c r="H8" s="280">
        <f t="shared" si="8"/>
        <v>71264.5</v>
      </c>
      <c r="I8" s="280">
        <f t="shared" si="8"/>
        <v>67051.5</v>
      </c>
      <c r="J8" s="280">
        <f t="shared" ref="J8:O8" si="9">J3/4</f>
        <v>67726.25</v>
      </c>
      <c r="K8" s="280">
        <f t="shared" si="9"/>
        <v>73017</v>
      </c>
      <c r="L8" s="280">
        <f t="shared" si="9"/>
        <v>73419.75</v>
      </c>
      <c r="M8" s="280">
        <f t="shared" si="9"/>
        <v>73734.25</v>
      </c>
      <c r="N8" s="280">
        <f t="shared" si="9"/>
        <v>76069.25</v>
      </c>
      <c r="O8" s="280">
        <f t="shared" si="9"/>
        <v>75419.25</v>
      </c>
    </row>
    <row r="9" spans="1:17">
      <c r="A9" s="277" t="s">
        <v>9503</v>
      </c>
      <c r="D9" s="280">
        <f t="shared" ref="D9:I9" si="10">D4/3</f>
        <v>83977.666666666672</v>
      </c>
      <c r="E9" s="280">
        <f t="shared" si="10"/>
        <v>83167.666666666672</v>
      </c>
      <c r="F9" s="280">
        <f t="shared" si="10"/>
        <v>82560.333333333328</v>
      </c>
      <c r="G9" s="280">
        <f t="shared" si="10"/>
        <v>83696</v>
      </c>
      <c r="H9" s="280">
        <f t="shared" si="10"/>
        <v>84793</v>
      </c>
      <c r="I9" s="280">
        <f t="shared" si="10"/>
        <v>85597</v>
      </c>
      <c r="J9" s="280">
        <f t="shared" ref="J9:O9" si="11">J4/3</f>
        <v>85499.333333333328</v>
      </c>
      <c r="K9" s="280">
        <f t="shared" si="11"/>
        <v>87113.333333333328</v>
      </c>
      <c r="L9" s="280">
        <f t="shared" si="11"/>
        <v>89247.666666666672</v>
      </c>
      <c r="M9" s="280">
        <f t="shared" si="11"/>
        <v>89265</v>
      </c>
      <c r="N9" s="280">
        <f t="shared" si="11"/>
        <v>90473</v>
      </c>
      <c r="O9" s="280">
        <f t="shared" si="11"/>
        <v>90394.666666666672</v>
      </c>
    </row>
    <row r="10" spans="1:17">
      <c r="A10" s="277" t="s">
        <v>3582</v>
      </c>
      <c r="D10" s="280">
        <f t="shared" ref="D10:I10" si="12">D5/1</f>
        <v>91631</v>
      </c>
      <c r="E10" s="280">
        <f t="shared" si="12"/>
        <v>92550</v>
      </c>
      <c r="F10" s="280">
        <f t="shared" si="12"/>
        <v>94044</v>
      </c>
      <c r="G10" s="280">
        <f t="shared" si="12"/>
        <v>94403</v>
      </c>
      <c r="H10" s="280">
        <f t="shared" si="12"/>
        <v>94006</v>
      </c>
      <c r="I10" s="280">
        <f t="shared" si="12"/>
        <v>94619</v>
      </c>
      <c r="J10" s="280">
        <f t="shared" ref="J10:O10" si="13">J5/1</f>
        <v>92958</v>
      </c>
      <c r="K10" s="280">
        <f t="shared" si="13"/>
        <v>93870</v>
      </c>
      <c r="L10" s="280">
        <f t="shared" si="13"/>
        <v>95412</v>
      </c>
      <c r="M10" s="280">
        <f t="shared" si="13"/>
        <v>91918</v>
      </c>
      <c r="N10" s="280">
        <f t="shared" si="13"/>
        <v>95285</v>
      </c>
      <c r="O10" s="280">
        <f t="shared" si="13"/>
        <v>95616</v>
      </c>
    </row>
    <row r="11" spans="1:17">
      <c r="A11" s="277" t="s">
        <v>5995</v>
      </c>
      <c r="D11" s="280">
        <f t="shared" ref="D11:I11" si="14">D6/8</f>
        <v>79045</v>
      </c>
      <c r="E11" s="280">
        <f t="shared" si="14"/>
        <v>78624.625</v>
      </c>
      <c r="F11" s="280">
        <f t="shared" si="14"/>
        <v>78625.75</v>
      </c>
      <c r="G11" s="280">
        <f t="shared" si="14"/>
        <v>78897.125</v>
      </c>
      <c r="H11" s="280">
        <f t="shared" si="14"/>
        <v>79180.375</v>
      </c>
      <c r="I11" s="280">
        <f t="shared" si="14"/>
        <v>77452</v>
      </c>
      <c r="J11" s="280">
        <f t="shared" ref="J11:O11" si="15">J6/8</f>
        <v>77545.125</v>
      </c>
      <c r="K11" s="280">
        <f t="shared" si="15"/>
        <v>80909.75</v>
      </c>
      <c r="L11" s="280">
        <f t="shared" si="15"/>
        <v>82104.25</v>
      </c>
      <c r="M11" s="280">
        <f t="shared" si="15"/>
        <v>81831.25</v>
      </c>
      <c r="N11" s="280">
        <f t="shared" si="15"/>
        <v>83872.625</v>
      </c>
      <c r="O11" s="280">
        <f t="shared" si="15"/>
        <v>83559.625</v>
      </c>
    </row>
    <row r="13" spans="1:17">
      <c r="A13" s="277" t="s">
        <v>3584</v>
      </c>
      <c r="D13" s="280">
        <f t="shared" ref="D13:I13" si="16">D191</f>
        <v>68899</v>
      </c>
      <c r="E13" s="280">
        <f t="shared" si="16"/>
        <v>68280</v>
      </c>
      <c r="F13" s="280">
        <f t="shared" si="16"/>
        <v>68057</v>
      </c>
      <c r="G13" s="280">
        <f t="shared" si="16"/>
        <v>68463</v>
      </c>
      <c r="H13" s="280">
        <f t="shared" si="16"/>
        <v>70641</v>
      </c>
      <c r="I13" s="280">
        <f t="shared" si="16"/>
        <v>70533</v>
      </c>
      <c r="J13" s="280">
        <f t="shared" ref="J13:O13" si="17">J191</f>
        <v>70857</v>
      </c>
      <c r="K13" s="280">
        <f t="shared" si="17"/>
        <v>72255</v>
      </c>
      <c r="L13" s="280">
        <f t="shared" si="17"/>
        <v>74397</v>
      </c>
      <c r="M13" s="280">
        <f t="shared" si="17"/>
        <v>74431</v>
      </c>
      <c r="N13" s="280">
        <f t="shared" si="17"/>
        <v>75196</v>
      </c>
      <c r="O13" s="280">
        <f t="shared" si="17"/>
        <v>75149</v>
      </c>
      <c r="Q13" s="277" t="s">
        <v>17</v>
      </c>
    </row>
    <row r="14" spans="1:17">
      <c r="D14" s="281"/>
      <c r="E14" s="281"/>
      <c r="F14" s="281"/>
      <c r="G14" s="281"/>
      <c r="H14" s="281"/>
      <c r="I14" s="281"/>
      <c r="J14" s="281"/>
      <c r="K14" s="281"/>
      <c r="L14" s="281"/>
      <c r="M14" s="281"/>
      <c r="N14" s="281"/>
      <c r="O14" s="281"/>
    </row>
    <row r="15" spans="1:17">
      <c r="A15" s="277" t="s">
        <v>3585</v>
      </c>
      <c r="D15" s="280">
        <f t="shared" ref="D15:I15" si="18">D107</f>
        <v>74806</v>
      </c>
      <c r="E15" s="280">
        <f t="shared" si="18"/>
        <v>73820</v>
      </c>
      <c r="F15" s="280">
        <f t="shared" si="18"/>
        <v>74083</v>
      </c>
      <c r="G15" s="280">
        <f t="shared" si="18"/>
        <v>74031</v>
      </c>
      <c r="H15" s="280">
        <f t="shared" si="18"/>
        <v>74371</v>
      </c>
      <c r="I15" s="280">
        <f t="shared" si="18"/>
        <v>69960</v>
      </c>
      <c r="J15" s="280">
        <f t="shared" ref="J15:O15" si="19">J107</f>
        <v>71102</v>
      </c>
      <c r="K15" s="280">
        <f t="shared" si="19"/>
        <v>76465</v>
      </c>
      <c r="L15" s="280">
        <f t="shared" si="19"/>
        <v>77258</v>
      </c>
      <c r="M15" s="280">
        <f t="shared" si="19"/>
        <v>78421</v>
      </c>
      <c r="N15" s="280">
        <f t="shared" si="19"/>
        <v>81388</v>
      </c>
      <c r="O15" s="280">
        <f t="shared" si="19"/>
        <v>80874</v>
      </c>
      <c r="Q15" s="277" t="s">
        <v>18</v>
      </c>
    </row>
    <row r="16" spans="1:17">
      <c r="D16" s="281"/>
      <c r="E16" s="281"/>
      <c r="F16" s="281"/>
      <c r="G16" s="281"/>
      <c r="H16" s="281"/>
      <c r="I16" s="281"/>
      <c r="J16" s="281"/>
      <c r="K16" s="281"/>
      <c r="L16" s="281"/>
      <c r="M16" s="281"/>
      <c r="N16" s="281"/>
      <c r="O16" s="281"/>
    </row>
    <row r="17" spans="1:17">
      <c r="A17" s="277" t="s">
        <v>3586</v>
      </c>
      <c r="D17" s="280">
        <f t="shared" ref="D17:I17" si="20">D108</f>
        <v>78469</v>
      </c>
      <c r="E17" s="280">
        <f t="shared" si="20"/>
        <v>78845</v>
      </c>
      <c r="F17" s="280">
        <f t="shared" si="20"/>
        <v>78781</v>
      </c>
      <c r="G17" s="280">
        <f t="shared" si="20"/>
        <v>77756</v>
      </c>
      <c r="H17" s="280">
        <f t="shared" si="20"/>
        <v>76892</v>
      </c>
      <c r="I17" s="280">
        <f t="shared" si="20"/>
        <v>71336</v>
      </c>
      <c r="J17" s="280">
        <f t="shared" ref="J17:O17" si="21">J108</f>
        <v>72239</v>
      </c>
      <c r="K17" s="280">
        <f t="shared" si="21"/>
        <v>78047</v>
      </c>
      <c r="L17" s="280">
        <f t="shared" si="21"/>
        <v>78544</v>
      </c>
      <c r="M17" s="280">
        <f t="shared" si="21"/>
        <v>78801</v>
      </c>
      <c r="N17" s="280">
        <f t="shared" si="21"/>
        <v>80813</v>
      </c>
      <c r="O17" s="280">
        <f t="shared" si="21"/>
        <v>80227</v>
      </c>
      <c r="Q17" s="277" t="s">
        <v>18</v>
      </c>
    </row>
    <row r="18" spans="1:17">
      <c r="D18" s="281"/>
      <c r="E18" s="281"/>
      <c r="F18" s="281"/>
      <c r="G18" s="281"/>
      <c r="H18" s="281"/>
      <c r="I18" s="281"/>
      <c r="J18" s="281"/>
      <c r="K18" s="281"/>
      <c r="L18" s="281"/>
      <c r="M18" s="281"/>
      <c r="N18" s="281"/>
      <c r="O18" s="281"/>
    </row>
    <row r="19" spans="1:17">
      <c r="A19" s="277" t="s">
        <v>3587</v>
      </c>
      <c r="D19" s="280">
        <f t="shared" ref="D19:I19" si="22">D109</f>
        <v>11329</v>
      </c>
      <c r="E19" s="280">
        <f t="shared" si="22"/>
        <v>11441</v>
      </c>
      <c r="F19" s="280">
        <f t="shared" si="22"/>
        <v>11388</v>
      </c>
      <c r="G19" s="280">
        <f t="shared" si="22"/>
        <v>11249</v>
      </c>
      <c r="H19" s="280">
        <f t="shared" si="22"/>
        <v>11344</v>
      </c>
      <c r="I19" s="280">
        <f t="shared" si="22"/>
        <v>11087</v>
      </c>
      <c r="J19" s="280">
        <f t="shared" ref="J19:O19" si="23">J109</f>
        <v>11151</v>
      </c>
      <c r="K19" s="280">
        <f t="shared" si="23"/>
        <v>12186</v>
      </c>
      <c r="L19" s="280">
        <f t="shared" si="23"/>
        <v>12417</v>
      </c>
      <c r="M19" s="280">
        <f t="shared" si="23"/>
        <v>12620</v>
      </c>
      <c r="N19" s="280">
        <f t="shared" si="23"/>
        <v>13657</v>
      </c>
      <c r="O19" s="280">
        <f t="shared" si="23"/>
        <v>13536</v>
      </c>
      <c r="Q19" s="277" t="s">
        <v>18</v>
      </c>
    </row>
    <row r="20" spans="1:17" ht="15.75" thickBot="1">
      <c r="D20" s="283">
        <f t="shared" ref="D20:I20" si="24">D192</f>
        <v>55967</v>
      </c>
      <c r="E20" s="283">
        <f t="shared" si="24"/>
        <v>54473</v>
      </c>
      <c r="F20" s="283">
        <f t="shared" si="24"/>
        <v>53972</v>
      </c>
      <c r="G20" s="283">
        <f t="shared" si="24"/>
        <v>55125</v>
      </c>
      <c r="H20" s="283">
        <f t="shared" si="24"/>
        <v>55387</v>
      </c>
      <c r="I20" s="283">
        <f t="shared" si="24"/>
        <v>56378</v>
      </c>
      <c r="J20" s="283">
        <f t="shared" ref="J20:O20" si="25">J192</f>
        <v>56484</v>
      </c>
      <c r="K20" s="283">
        <f t="shared" si="25"/>
        <v>57571</v>
      </c>
      <c r="L20" s="283">
        <f t="shared" si="25"/>
        <v>59051</v>
      </c>
      <c r="M20" s="283">
        <f t="shared" si="25"/>
        <v>59054</v>
      </c>
      <c r="N20" s="283">
        <f t="shared" si="25"/>
        <v>60700</v>
      </c>
      <c r="O20" s="283">
        <f t="shared" si="25"/>
        <v>60636</v>
      </c>
      <c r="Q20" s="277" t="s">
        <v>17</v>
      </c>
    </row>
    <row r="21" spans="1:17" ht="15.75" thickBot="1">
      <c r="D21" s="283">
        <f t="shared" ref="D21:I21" si="26">SUM(D19:D20)</f>
        <v>67296</v>
      </c>
      <c r="E21" s="283">
        <f t="shared" si="26"/>
        <v>65914</v>
      </c>
      <c r="F21" s="283">
        <f t="shared" si="26"/>
        <v>65360</v>
      </c>
      <c r="G21" s="283">
        <f t="shared" si="26"/>
        <v>66374</v>
      </c>
      <c r="H21" s="283">
        <f t="shared" si="26"/>
        <v>66731</v>
      </c>
      <c r="I21" s="283">
        <f t="shared" si="26"/>
        <v>67465</v>
      </c>
      <c r="J21" s="283">
        <f t="shared" ref="J21:O21" si="27">SUM(J19:J20)</f>
        <v>67635</v>
      </c>
      <c r="K21" s="283">
        <f t="shared" si="27"/>
        <v>69757</v>
      </c>
      <c r="L21" s="283">
        <f t="shared" si="27"/>
        <v>71468</v>
      </c>
      <c r="M21" s="283">
        <f t="shared" si="27"/>
        <v>71674</v>
      </c>
      <c r="N21" s="283">
        <f t="shared" si="27"/>
        <v>74357</v>
      </c>
      <c r="O21" s="283">
        <f t="shared" si="27"/>
        <v>74172</v>
      </c>
    </row>
    <row r="22" spans="1:17">
      <c r="D22" s="281"/>
      <c r="E22" s="281"/>
      <c r="F22" s="281"/>
      <c r="G22" s="281"/>
      <c r="H22" s="281"/>
      <c r="I22" s="281"/>
      <c r="J22" s="281"/>
      <c r="K22" s="281"/>
      <c r="L22" s="281"/>
      <c r="M22" s="281"/>
      <c r="N22" s="281"/>
      <c r="O22" s="281"/>
    </row>
    <row r="23" spans="1:17">
      <c r="A23" s="277" t="s">
        <v>3588</v>
      </c>
      <c r="D23" s="280">
        <f t="shared" ref="D23:I23" si="28">D193</f>
        <v>65739</v>
      </c>
      <c r="E23" s="280">
        <f t="shared" si="28"/>
        <v>66995</v>
      </c>
      <c r="F23" s="280">
        <f t="shared" si="28"/>
        <v>66692</v>
      </c>
      <c r="G23" s="280">
        <f t="shared" si="28"/>
        <v>67446</v>
      </c>
      <c r="H23" s="280">
        <f t="shared" si="28"/>
        <v>67706</v>
      </c>
      <c r="I23" s="280">
        <f t="shared" si="28"/>
        <v>68297</v>
      </c>
      <c r="J23" s="280">
        <f t="shared" ref="J23:O23" si="29">J193</f>
        <v>67586</v>
      </c>
      <c r="K23" s="280">
        <f t="shared" si="29"/>
        <v>68456</v>
      </c>
      <c r="L23" s="280">
        <f t="shared" si="29"/>
        <v>69522</v>
      </c>
      <c r="M23" s="280">
        <f t="shared" si="29"/>
        <v>69529</v>
      </c>
      <c r="N23" s="280">
        <f t="shared" si="29"/>
        <v>70052</v>
      </c>
      <c r="O23" s="280">
        <f t="shared" si="29"/>
        <v>69995</v>
      </c>
      <c r="Q23" s="277" t="s">
        <v>17</v>
      </c>
    </row>
    <row r="24" spans="1:17">
      <c r="D24" s="281"/>
      <c r="E24" s="281"/>
      <c r="F24" s="281"/>
      <c r="G24" s="281"/>
      <c r="H24" s="281"/>
      <c r="I24" s="281"/>
      <c r="J24" s="281"/>
      <c r="K24" s="281"/>
      <c r="L24" s="281"/>
      <c r="M24" s="281"/>
      <c r="N24" s="281"/>
      <c r="O24" s="281"/>
    </row>
    <row r="25" spans="1:17">
      <c r="A25" s="277" t="s">
        <v>3589</v>
      </c>
      <c r="D25" s="280">
        <f t="shared" ref="D25:I25" si="30">D228</f>
        <v>69461</v>
      </c>
      <c r="E25" s="280">
        <f t="shared" si="30"/>
        <v>70322</v>
      </c>
      <c r="F25" s="280">
        <f t="shared" si="30"/>
        <v>71509</v>
      </c>
      <c r="G25" s="280">
        <f t="shared" si="30"/>
        <v>71878</v>
      </c>
      <c r="H25" s="280">
        <f t="shared" si="30"/>
        <v>71655</v>
      </c>
      <c r="I25" s="280">
        <f t="shared" si="30"/>
        <v>72190</v>
      </c>
      <c r="J25" s="280">
        <f t="shared" ref="J25:O25" si="31">J228</f>
        <v>70868</v>
      </c>
      <c r="K25" s="280">
        <f t="shared" si="31"/>
        <v>71526</v>
      </c>
      <c r="L25" s="280">
        <f t="shared" si="31"/>
        <v>72668</v>
      </c>
      <c r="M25" s="280">
        <f t="shared" si="31"/>
        <v>69917</v>
      </c>
      <c r="N25" s="280">
        <f t="shared" si="31"/>
        <v>72332</v>
      </c>
      <c r="O25" s="280">
        <f t="shared" si="31"/>
        <v>72552</v>
      </c>
      <c r="Q25" s="277" t="s">
        <v>885</v>
      </c>
    </row>
    <row r="26" spans="1:17">
      <c r="D26" s="281"/>
      <c r="E26" s="281"/>
      <c r="F26" s="281"/>
      <c r="G26" s="281"/>
      <c r="H26" s="281"/>
      <c r="I26" s="281"/>
      <c r="J26" s="281"/>
      <c r="K26" s="281"/>
      <c r="L26" s="281"/>
      <c r="M26" s="281"/>
      <c r="N26" s="281"/>
      <c r="O26" s="281"/>
    </row>
    <row r="27" spans="1:17">
      <c r="A27" s="277" t="s">
        <v>2214</v>
      </c>
      <c r="D27" s="280">
        <f t="shared" ref="D27:I27" si="32">D110</f>
        <v>74595</v>
      </c>
      <c r="E27" s="280">
        <f t="shared" si="32"/>
        <v>73613</v>
      </c>
      <c r="F27" s="280">
        <f t="shared" si="32"/>
        <v>73713</v>
      </c>
      <c r="G27" s="280">
        <f t="shared" si="32"/>
        <v>73463</v>
      </c>
      <c r="H27" s="280">
        <f t="shared" si="32"/>
        <v>73250</v>
      </c>
      <c r="I27" s="280">
        <f t="shared" si="32"/>
        <v>69165</v>
      </c>
      <c r="J27" s="280">
        <f t="shared" ref="J27:O27" si="33">J110</f>
        <v>69582</v>
      </c>
      <c r="K27" s="280">
        <f t="shared" si="33"/>
        <v>74817</v>
      </c>
      <c r="L27" s="280">
        <f t="shared" si="33"/>
        <v>75098</v>
      </c>
      <c r="M27" s="280">
        <f t="shared" si="33"/>
        <v>75004</v>
      </c>
      <c r="N27" s="280">
        <f t="shared" si="33"/>
        <v>76626</v>
      </c>
      <c r="O27" s="280">
        <f t="shared" si="33"/>
        <v>75881</v>
      </c>
      <c r="Q27" s="277" t="s">
        <v>18</v>
      </c>
    </row>
    <row r="28" spans="1:17">
      <c r="D28" s="281"/>
      <c r="E28" s="281"/>
      <c r="F28" s="281"/>
      <c r="G28" s="281"/>
      <c r="H28" s="281"/>
      <c r="I28" s="281"/>
      <c r="J28" s="281"/>
      <c r="K28" s="281"/>
      <c r="L28" s="281"/>
      <c r="M28" s="281"/>
      <c r="N28" s="281"/>
      <c r="O28" s="281"/>
    </row>
    <row r="29" spans="1:17">
      <c r="A29" s="277" t="s">
        <v>2215</v>
      </c>
      <c r="D29" s="280">
        <f t="shared" ref="D29:I29" si="34">D111</f>
        <v>49597</v>
      </c>
      <c r="E29" s="280">
        <f t="shared" si="34"/>
        <v>49225</v>
      </c>
      <c r="F29" s="280">
        <f t="shared" si="34"/>
        <v>49316</v>
      </c>
      <c r="G29" s="280">
        <f t="shared" si="34"/>
        <v>49187</v>
      </c>
      <c r="H29" s="280">
        <f t="shared" si="34"/>
        <v>49201</v>
      </c>
      <c r="I29" s="280">
        <f t="shared" si="34"/>
        <v>46658</v>
      </c>
      <c r="J29" s="280">
        <f t="shared" ref="J29:O29" si="35">J111</f>
        <v>46831</v>
      </c>
      <c r="K29" s="280">
        <f t="shared" si="35"/>
        <v>50553</v>
      </c>
      <c r="L29" s="280">
        <f t="shared" si="35"/>
        <v>50362</v>
      </c>
      <c r="M29" s="280">
        <f t="shared" si="35"/>
        <v>50091</v>
      </c>
      <c r="N29" s="280">
        <f t="shared" si="35"/>
        <v>51793</v>
      </c>
      <c r="O29" s="280">
        <f t="shared" si="35"/>
        <v>51159</v>
      </c>
      <c r="Q29" s="277" t="s">
        <v>18</v>
      </c>
    </row>
    <row r="30" spans="1:17" ht="15.75" thickBot="1">
      <c r="D30" s="283">
        <f t="shared" ref="D30:I30" si="36">D194</f>
        <v>16639</v>
      </c>
      <c r="E30" s="283">
        <f t="shared" si="36"/>
        <v>15975</v>
      </c>
      <c r="F30" s="283">
        <f t="shared" si="36"/>
        <v>16040</v>
      </c>
      <c r="G30" s="283">
        <f t="shared" si="36"/>
        <v>16384</v>
      </c>
      <c r="H30" s="283">
        <f t="shared" si="36"/>
        <v>16330</v>
      </c>
      <c r="I30" s="283">
        <f t="shared" si="36"/>
        <v>16512</v>
      </c>
      <c r="J30" s="283">
        <f t="shared" ref="J30:O30" si="37">J194</f>
        <v>16527</v>
      </c>
      <c r="K30" s="283">
        <f t="shared" si="37"/>
        <v>17078</v>
      </c>
      <c r="L30" s="283">
        <f t="shared" si="37"/>
        <v>17388</v>
      </c>
      <c r="M30" s="283">
        <f t="shared" si="37"/>
        <v>17389</v>
      </c>
      <c r="N30" s="283">
        <f t="shared" si="37"/>
        <v>17341</v>
      </c>
      <c r="O30" s="283">
        <f t="shared" si="37"/>
        <v>17318</v>
      </c>
      <c r="Q30" s="277" t="s">
        <v>17</v>
      </c>
    </row>
    <row r="31" spans="1:17" ht="15.75" thickBot="1">
      <c r="D31" s="283">
        <f t="shared" ref="D31:I31" si="38">D29+D30</f>
        <v>66236</v>
      </c>
      <c r="E31" s="283">
        <f t="shared" si="38"/>
        <v>65200</v>
      </c>
      <c r="F31" s="283">
        <f t="shared" si="38"/>
        <v>65356</v>
      </c>
      <c r="G31" s="283">
        <f t="shared" si="38"/>
        <v>65571</v>
      </c>
      <c r="H31" s="283">
        <f t="shared" si="38"/>
        <v>65531</v>
      </c>
      <c r="I31" s="283">
        <f t="shared" si="38"/>
        <v>63170</v>
      </c>
      <c r="J31" s="283">
        <f t="shared" ref="J31:O31" si="39">J29+J30</f>
        <v>63358</v>
      </c>
      <c r="K31" s="283">
        <f t="shared" si="39"/>
        <v>67631</v>
      </c>
      <c r="L31" s="283">
        <f t="shared" si="39"/>
        <v>67750</v>
      </c>
      <c r="M31" s="283">
        <f t="shared" si="39"/>
        <v>67480</v>
      </c>
      <c r="N31" s="283">
        <f t="shared" si="39"/>
        <v>69134</v>
      </c>
      <c r="O31" s="283">
        <f t="shared" si="39"/>
        <v>68477</v>
      </c>
    </row>
    <row r="32" spans="1:17">
      <c r="D32" s="281"/>
      <c r="E32" s="281"/>
      <c r="F32" s="281"/>
      <c r="G32" s="281"/>
      <c r="H32" s="281"/>
      <c r="I32" s="281"/>
      <c r="J32" s="281"/>
      <c r="K32" s="281"/>
      <c r="L32" s="281"/>
      <c r="M32" s="281"/>
      <c r="N32" s="281"/>
      <c r="O32" s="281"/>
    </row>
    <row r="33" spans="1:17">
      <c r="A33" s="277" t="s">
        <v>2216</v>
      </c>
      <c r="D33" s="280">
        <f t="shared" ref="D33:I33" si="40">D229</f>
        <v>22170</v>
      </c>
      <c r="E33" s="280">
        <f t="shared" si="40"/>
        <v>22228</v>
      </c>
      <c r="F33" s="280">
        <f t="shared" si="40"/>
        <v>22535</v>
      </c>
      <c r="G33" s="280">
        <f t="shared" si="40"/>
        <v>22525</v>
      </c>
      <c r="H33" s="280">
        <f t="shared" si="40"/>
        <v>22351</v>
      </c>
      <c r="I33" s="280">
        <f t="shared" si="40"/>
        <v>22429</v>
      </c>
      <c r="J33" s="280">
        <f t="shared" ref="J33:O33" si="41">J229</f>
        <v>22090</v>
      </c>
      <c r="K33" s="280">
        <f t="shared" si="41"/>
        <v>22344</v>
      </c>
      <c r="L33" s="280">
        <f t="shared" si="41"/>
        <v>22744</v>
      </c>
      <c r="M33" s="280">
        <f t="shared" si="41"/>
        <v>22001</v>
      </c>
      <c r="N33" s="280">
        <f t="shared" si="41"/>
        <v>22953</v>
      </c>
      <c r="O33" s="280">
        <f t="shared" si="41"/>
        <v>23064</v>
      </c>
      <c r="Q33" s="277" t="s">
        <v>885</v>
      </c>
    </row>
    <row r="34" spans="1:17" ht="15.75" thickBot="1">
      <c r="D34" s="283">
        <f t="shared" ref="D34:I34" si="42">D195</f>
        <v>44689</v>
      </c>
      <c r="E34" s="283">
        <f t="shared" si="42"/>
        <v>43780</v>
      </c>
      <c r="F34" s="283">
        <f t="shared" si="42"/>
        <v>42920</v>
      </c>
      <c r="G34" s="283">
        <f t="shared" si="42"/>
        <v>43670</v>
      </c>
      <c r="H34" s="283">
        <f t="shared" si="42"/>
        <v>44315</v>
      </c>
      <c r="I34" s="283">
        <f t="shared" si="42"/>
        <v>45071</v>
      </c>
      <c r="J34" s="283">
        <f t="shared" ref="J34:O34" si="43">J195</f>
        <v>45044</v>
      </c>
      <c r="K34" s="283">
        <f t="shared" si="43"/>
        <v>45980</v>
      </c>
      <c r="L34" s="283">
        <f t="shared" si="43"/>
        <v>47385</v>
      </c>
      <c r="M34" s="283">
        <f t="shared" si="43"/>
        <v>47392</v>
      </c>
      <c r="N34" s="283">
        <f t="shared" si="43"/>
        <v>48130</v>
      </c>
      <c r="O34" s="283">
        <f t="shared" si="43"/>
        <v>48086</v>
      </c>
      <c r="Q34" s="277" t="s">
        <v>17</v>
      </c>
    </row>
    <row r="35" spans="1:17" ht="15.75" thickBot="1">
      <c r="D35" s="283">
        <f t="shared" ref="D35:I35" si="44">D33+D34</f>
        <v>66859</v>
      </c>
      <c r="E35" s="283">
        <f t="shared" si="44"/>
        <v>66008</v>
      </c>
      <c r="F35" s="283">
        <f t="shared" si="44"/>
        <v>65455</v>
      </c>
      <c r="G35" s="283">
        <f t="shared" si="44"/>
        <v>66195</v>
      </c>
      <c r="H35" s="283">
        <f t="shared" si="44"/>
        <v>66666</v>
      </c>
      <c r="I35" s="283">
        <f t="shared" si="44"/>
        <v>67500</v>
      </c>
      <c r="J35" s="283">
        <f t="shared" ref="J35:O35" si="45">J33+J34</f>
        <v>67134</v>
      </c>
      <c r="K35" s="283">
        <f t="shared" si="45"/>
        <v>68324</v>
      </c>
      <c r="L35" s="283">
        <f t="shared" si="45"/>
        <v>70129</v>
      </c>
      <c r="M35" s="283">
        <f t="shared" si="45"/>
        <v>69393</v>
      </c>
      <c r="N35" s="283">
        <f t="shared" si="45"/>
        <v>71083</v>
      </c>
      <c r="O35" s="283">
        <f t="shared" si="45"/>
        <v>71150</v>
      </c>
    </row>
    <row r="36" spans="1:17">
      <c r="D36" s="281"/>
      <c r="E36" s="281"/>
      <c r="F36" s="281"/>
      <c r="G36" s="281"/>
      <c r="H36" s="281"/>
      <c r="I36" s="281"/>
      <c r="J36" s="281"/>
      <c r="K36" s="281"/>
      <c r="L36" s="281"/>
      <c r="M36" s="281"/>
      <c r="N36" s="281"/>
      <c r="O36" s="281"/>
    </row>
    <row r="37" spans="1:17">
      <c r="A37" s="277" t="s">
        <v>6796</v>
      </c>
      <c r="D37" s="280">
        <f t="shared" ref="D37:I37" si="46">D13+D15+D17+D21+D23+D25+D27+D31+D35</f>
        <v>632360</v>
      </c>
      <c r="E37" s="280">
        <f t="shared" si="46"/>
        <v>628997</v>
      </c>
      <c r="F37" s="280">
        <f t="shared" si="46"/>
        <v>629006</v>
      </c>
      <c r="G37" s="280">
        <f t="shared" si="46"/>
        <v>631177</v>
      </c>
      <c r="H37" s="280">
        <f t="shared" si="46"/>
        <v>633443</v>
      </c>
      <c r="I37" s="280">
        <f t="shared" si="46"/>
        <v>619616</v>
      </c>
      <c r="J37" s="280">
        <f t="shared" ref="J37:O37" si="47">J13+J15+J17+J21+J23+J25+J27+J31+J35</f>
        <v>620361</v>
      </c>
      <c r="K37" s="280">
        <f t="shared" si="47"/>
        <v>647278</v>
      </c>
      <c r="L37" s="280">
        <f t="shared" si="47"/>
        <v>656834</v>
      </c>
      <c r="M37" s="280">
        <f t="shared" si="47"/>
        <v>654650</v>
      </c>
      <c r="N37" s="280">
        <f t="shared" si="47"/>
        <v>670981</v>
      </c>
      <c r="O37" s="280">
        <f t="shared" si="47"/>
        <v>668477</v>
      </c>
    </row>
    <row r="38" spans="1:17">
      <c r="D38" s="281"/>
      <c r="E38" s="281"/>
      <c r="F38" s="281"/>
      <c r="G38" s="281"/>
      <c r="H38" s="281"/>
      <c r="I38" s="281"/>
      <c r="J38" s="281"/>
      <c r="K38" s="281"/>
      <c r="L38" s="281"/>
      <c r="M38" s="281"/>
      <c r="N38" s="281"/>
      <c r="O38" s="281"/>
    </row>
    <row r="39" spans="1:17">
      <c r="A39" s="277" t="s">
        <v>6797</v>
      </c>
      <c r="D39" s="280">
        <f t="shared" ref="D39:I39" si="48">MAX(D13,D15,D17,D21,D23,D25,D27,D31,D35)-MIN(D13,D15,D17,D21,D23,D25,D27,D31,D35)</f>
        <v>12730</v>
      </c>
      <c r="E39" s="280">
        <f t="shared" si="48"/>
        <v>13645</v>
      </c>
      <c r="F39" s="280">
        <f t="shared" si="48"/>
        <v>13425</v>
      </c>
      <c r="G39" s="280">
        <f t="shared" si="48"/>
        <v>12185</v>
      </c>
      <c r="H39" s="280">
        <f t="shared" si="48"/>
        <v>11361</v>
      </c>
      <c r="I39" s="280">
        <f t="shared" si="48"/>
        <v>9020</v>
      </c>
      <c r="J39" s="280">
        <f t="shared" ref="J39:O39" si="49">MAX(J13,J15,J17,J21,J23,J25,J27,J31,J35)-MIN(J13,J15,J17,J21,J23,J25,J27,J31,J35)</f>
        <v>8881</v>
      </c>
      <c r="K39" s="280">
        <f t="shared" si="49"/>
        <v>10416</v>
      </c>
      <c r="L39" s="280">
        <f t="shared" si="49"/>
        <v>10794</v>
      </c>
      <c r="M39" s="280">
        <f t="shared" si="49"/>
        <v>11321</v>
      </c>
      <c r="N39" s="280">
        <f t="shared" si="49"/>
        <v>12254</v>
      </c>
      <c r="O39" s="280">
        <f t="shared" si="49"/>
        <v>12397</v>
      </c>
    </row>
    <row r="40" spans="1:17">
      <c r="D40" s="281"/>
      <c r="E40" s="281"/>
      <c r="F40" s="281"/>
      <c r="G40" s="281"/>
      <c r="H40" s="281"/>
      <c r="I40" s="281"/>
      <c r="J40" s="281"/>
      <c r="K40" s="281"/>
      <c r="L40" s="281"/>
      <c r="M40" s="281"/>
      <c r="N40" s="281"/>
      <c r="O40" s="281"/>
    </row>
    <row r="41" spans="1:17">
      <c r="A41" s="277" t="s">
        <v>6800</v>
      </c>
      <c r="D41" s="280">
        <f t="shared" ref="D41:I41" si="50">STDEVP(D13,D15,D21,D23,D25,D27,D31,D35)</f>
        <v>3364.3482257898036</v>
      </c>
      <c r="E41" s="280">
        <f t="shared" si="50"/>
        <v>3226.5858503997688</v>
      </c>
      <c r="F41" s="280">
        <f t="shared" si="50"/>
        <v>3522.4633581309258</v>
      </c>
      <c r="G41" s="280">
        <f t="shared" si="50"/>
        <v>3211.0168925707944</v>
      </c>
      <c r="H41" s="280">
        <f t="shared" si="50"/>
        <v>3129.8444624893104</v>
      </c>
      <c r="I41" s="280">
        <f t="shared" si="50"/>
        <v>2520.7773602601242</v>
      </c>
      <c r="J41" s="280">
        <f t="shared" ref="J41:O41" si="51">STDEVP(J13,J15,J21,J23,J25,J27,J31,J35)</f>
        <v>2474.6687025741444</v>
      </c>
      <c r="K41" s="280">
        <f t="shared" si="51"/>
        <v>3013.0158661007745</v>
      </c>
      <c r="L41" s="280">
        <f t="shared" si="51"/>
        <v>2974.2044629614825</v>
      </c>
      <c r="M41" s="280">
        <f t="shared" si="51"/>
        <v>3426.6970772706186</v>
      </c>
      <c r="N41" s="280">
        <f t="shared" si="51"/>
        <v>3761.1921314923543</v>
      </c>
      <c r="O41" s="280">
        <f t="shared" si="51"/>
        <v>3659.657898970886</v>
      </c>
    </row>
    <row r="42" spans="1:17">
      <c r="A42" s="277"/>
      <c r="D42" s="282"/>
      <c r="E42" s="282"/>
      <c r="F42" s="282"/>
      <c r="G42" s="282"/>
      <c r="H42" s="282"/>
      <c r="I42" s="282"/>
      <c r="J42" s="282"/>
      <c r="K42" s="282"/>
      <c r="L42" s="282"/>
      <c r="M42" s="282"/>
      <c r="N42" s="282"/>
      <c r="O42" s="282"/>
    </row>
    <row r="43" spans="1:17">
      <c r="A43" s="277" t="s">
        <v>3678</v>
      </c>
      <c r="D43" s="282"/>
      <c r="E43" s="282"/>
      <c r="F43" s="282"/>
      <c r="G43" s="282"/>
      <c r="H43" s="282"/>
      <c r="I43" s="282"/>
      <c r="J43" s="282"/>
      <c r="K43" s="282"/>
      <c r="L43" s="282"/>
      <c r="M43" s="282"/>
      <c r="N43" s="282"/>
      <c r="O43" s="282"/>
    </row>
    <row r="44" spans="1:17">
      <c r="A44" s="277" t="s">
        <v>3679</v>
      </c>
      <c r="D44" s="282"/>
      <c r="E44" s="282"/>
      <c r="F44" s="282"/>
      <c r="G44" s="282"/>
      <c r="H44" s="282"/>
      <c r="I44" s="282"/>
      <c r="J44" s="282"/>
      <c r="K44" s="282"/>
      <c r="L44" s="282"/>
      <c r="M44" s="282"/>
      <c r="N44" s="282"/>
      <c r="O44" s="282"/>
    </row>
    <row r="45" spans="1:17">
      <c r="A45" s="277"/>
      <c r="D45" s="282"/>
      <c r="E45" s="282"/>
      <c r="F45" s="282"/>
      <c r="G45" s="282"/>
      <c r="H45" s="282"/>
      <c r="I45" s="282"/>
      <c r="J45" s="282"/>
      <c r="K45" s="282"/>
      <c r="L45" s="282"/>
      <c r="M45" s="282"/>
      <c r="N45" s="282"/>
      <c r="O45" s="282"/>
    </row>
    <row r="46" spans="1:17">
      <c r="A46" s="277"/>
      <c r="D46" s="282"/>
      <c r="E46" s="282"/>
      <c r="F46" s="282"/>
      <c r="G46" s="282"/>
      <c r="H46" s="282"/>
      <c r="I46" s="282"/>
      <c r="J46" s="282"/>
      <c r="K46" s="282"/>
      <c r="L46" s="282"/>
      <c r="M46" s="282"/>
      <c r="N46" s="282"/>
      <c r="O46" s="282"/>
    </row>
    <row r="47" spans="1:17">
      <c r="E47" s="507" t="s">
        <v>1526</v>
      </c>
      <c r="F47" s="507"/>
      <c r="G47" s="507"/>
      <c r="H47" s="507"/>
      <c r="I47" s="507"/>
      <c r="J47" s="507"/>
      <c r="K47" s="507"/>
      <c r="L47" s="507"/>
      <c r="M47" s="507"/>
      <c r="N47" s="507"/>
      <c r="O47" s="507"/>
      <c r="P47" s="138"/>
      <c r="Q47" s="506" t="s">
        <v>9479</v>
      </c>
    </row>
    <row r="48" spans="1:17">
      <c r="D48" s="115">
        <v>2010</v>
      </c>
      <c r="E48" s="115">
        <v>2011</v>
      </c>
      <c r="F48" s="115">
        <v>2012</v>
      </c>
      <c r="G48" s="115">
        <v>2013</v>
      </c>
      <c r="H48" s="115">
        <v>2014</v>
      </c>
      <c r="I48" s="115">
        <v>2015</v>
      </c>
      <c r="J48" s="115">
        <v>2016</v>
      </c>
      <c r="K48" s="115">
        <v>2017</v>
      </c>
      <c r="L48" s="115">
        <v>2018</v>
      </c>
      <c r="M48" s="115">
        <v>2019</v>
      </c>
      <c r="N48" s="115">
        <v>2020</v>
      </c>
      <c r="O48" s="931" t="s">
        <v>14823</v>
      </c>
      <c r="Q48" s="506" t="s">
        <v>1527</v>
      </c>
    </row>
    <row r="49" spans="1:17">
      <c r="A49" s="277" t="s">
        <v>5922</v>
      </c>
      <c r="C49" s="277"/>
      <c r="D49" s="280">
        <f t="shared" ref="D49:O49" si="52">SUM(D50:D55)+SUM(D57:D76)+SUM(D78:D105)</f>
        <v>288796</v>
      </c>
      <c r="E49" s="280">
        <f t="shared" si="52"/>
        <v>286944</v>
      </c>
      <c r="F49" s="280">
        <f t="shared" si="52"/>
        <v>287281</v>
      </c>
      <c r="G49" s="280">
        <f t="shared" si="52"/>
        <v>285686</v>
      </c>
      <c r="H49" s="280">
        <f t="shared" si="52"/>
        <v>285058</v>
      </c>
      <c r="I49" s="280">
        <f t="shared" si="52"/>
        <v>268206</v>
      </c>
      <c r="J49" s="280">
        <f t="shared" si="52"/>
        <v>270905</v>
      </c>
      <c r="K49" s="280">
        <f t="shared" si="52"/>
        <v>292068</v>
      </c>
      <c r="L49" s="280">
        <f t="shared" si="52"/>
        <v>293679</v>
      </c>
      <c r="M49" s="280">
        <f t="shared" si="52"/>
        <v>294937</v>
      </c>
      <c r="N49" s="280">
        <f t="shared" si="52"/>
        <v>304277</v>
      </c>
      <c r="O49" s="280">
        <f t="shared" si="52"/>
        <v>301677</v>
      </c>
    </row>
    <row r="50" spans="1:17">
      <c r="A50" s="833">
        <v>1</v>
      </c>
      <c r="B50" s="277" t="s">
        <v>8926</v>
      </c>
      <c r="C50" s="484" t="s">
        <v>9019</v>
      </c>
      <c r="D50" s="280">
        <v>49597</v>
      </c>
      <c r="E50" s="280">
        <v>49225</v>
      </c>
      <c r="F50" s="280">
        <v>3688</v>
      </c>
      <c r="G50" s="280">
        <v>3648</v>
      </c>
      <c r="H50" s="63">
        <v>3610</v>
      </c>
      <c r="I50" s="63">
        <v>3561</v>
      </c>
      <c r="J50" s="63">
        <v>3425</v>
      </c>
      <c r="K50" s="281">
        <v>3784</v>
      </c>
      <c r="L50" s="281">
        <v>3779</v>
      </c>
      <c r="M50" s="281">
        <v>3651</v>
      </c>
      <c r="N50" s="281">
        <v>3765</v>
      </c>
      <c r="O50" s="281">
        <v>3743</v>
      </c>
      <c r="Q50" s="277" t="s">
        <v>2215</v>
      </c>
    </row>
    <row r="51" spans="1:17">
      <c r="A51" s="833">
        <v>2</v>
      </c>
      <c r="B51" s="277" t="s">
        <v>3687</v>
      </c>
      <c r="C51" s="484" t="s">
        <v>9020</v>
      </c>
      <c r="D51" s="280">
        <v>74806</v>
      </c>
      <c r="E51" s="280">
        <v>73820</v>
      </c>
      <c r="F51" s="280">
        <v>9508</v>
      </c>
      <c r="G51" s="280">
        <v>9459</v>
      </c>
      <c r="H51" s="63">
        <v>9439</v>
      </c>
      <c r="I51" s="63">
        <v>8917</v>
      </c>
      <c r="J51" s="63">
        <v>8998</v>
      </c>
      <c r="K51" s="63">
        <v>9622</v>
      </c>
      <c r="L51" s="63">
        <v>9644</v>
      </c>
      <c r="M51" s="63">
        <v>9730</v>
      </c>
      <c r="N51" s="63">
        <v>10196</v>
      </c>
      <c r="O51" s="63">
        <v>10146</v>
      </c>
      <c r="Q51" s="277" t="s">
        <v>3585</v>
      </c>
    </row>
    <row r="52" spans="1:17">
      <c r="A52" s="833">
        <v>3</v>
      </c>
      <c r="B52" s="277" t="s">
        <v>8967</v>
      </c>
      <c r="C52" s="484" t="s">
        <v>9021</v>
      </c>
      <c r="D52" s="280">
        <v>11329</v>
      </c>
      <c r="E52" s="280">
        <v>11441</v>
      </c>
      <c r="F52" s="280">
        <v>3792</v>
      </c>
      <c r="G52" s="280">
        <v>3786</v>
      </c>
      <c r="H52" s="63">
        <v>3772</v>
      </c>
      <c r="I52" s="63">
        <v>3679</v>
      </c>
      <c r="J52" s="63">
        <v>3715</v>
      </c>
      <c r="K52" s="63">
        <v>3990</v>
      </c>
      <c r="L52" s="63">
        <v>3958</v>
      </c>
      <c r="M52" s="63">
        <v>3977</v>
      </c>
      <c r="N52" s="63">
        <v>4198</v>
      </c>
      <c r="O52" s="63">
        <v>4165</v>
      </c>
      <c r="Q52" s="277" t="s">
        <v>3587</v>
      </c>
    </row>
    <row r="53" spans="1:17">
      <c r="A53" s="833">
        <v>4</v>
      </c>
      <c r="B53" s="277" t="s">
        <v>8966</v>
      </c>
      <c r="C53" s="484" t="s">
        <v>9022</v>
      </c>
      <c r="D53" s="280">
        <v>74595</v>
      </c>
      <c r="E53" s="280">
        <v>73613</v>
      </c>
      <c r="F53" s="280">
        <v>6657</v>
      </c>
      <c r="G53" s="280">
        <v>6641</v>
      </c>
      <c r="H53" s="63">
        <v>6653</v>
      </c>
      <c r="I53" s="63">
        <v>6259</v>
      </c>
      <c r="J53" s="63">
        <v>6298</v>
      </c>
      <c r="K53" s="63">
        <v>6798</v>
      </c>
      <c r="L53" s="63">
        <v>6855</v>
      </c>
      <c r="M53" s="63">
        <v>6899</v>
      </c>
      <c r="N53" s="63">
        <v>7080</v>
      </c>
      <c r="O53" s="63">
        <v>7012</v>
      </c>
      <c r="Q53" s="277" t="s">
        <v>2214</v>
      </c>
    </row>
    <row r="54" spans="1:17">
      <c r="A54" s="833">
        <v>5</v>
      </c>
      <c r="B54" s="277" t="s">
        <v>8965</v>
      </c>
      <c r="C54" s="484" t="s">
        <v>9023</v>
      </c>
      <c r="D54" s="280">
        <v>0</v>
      </c>
      <c r="E54" s="280">
        <v>0</v>
      </c>
      <c r="F54" s="280">
        <v>3691</v>
      </c>
      <c r="G54" s="280">
        <v>3659</v>
      </c>
      <c r="H54" s="63">
        <v>3664</v>
      </c>
      <c r="I54" s="63">
        <v>3561</v>
      </c>
      <c r="J54" s="63">
        <v>3612</v>
      </c>
      <c r="K54" s="63">
        <v>4043</v>
      </c>
      <c r="L54" s="63">
        <v>4216</v>
      </c>
      <c r="M54" s="63">
        <v>4454</v>
      </c>
      <c r="N54" s="63">
        <v>5017</v>
      </c>
      <c r="O54" s="63">
        <v>5023</v>
      </c>
      <c r="Q54" s="277" t="s">
        <v>3585</v>
      </c>
    </row>
    <row r="55" spans="1:17" ht="15.75" thickBot="1">
      <c r="A55" s="833"/>
      <c r="B55" s="277"/>
      <c r="C55" s="484" t="s">
        <v>9023</v>
      </c>
      <c r="D55" s="283">
        <v>0</v>
      </c>
      <c r="E55" s="283">
        <v>0</v>
      </c>
      <c r="F55" s="283">
        <v>188</v>
      </c>
      <c r="G55" s="279">
        <v>184</v>
      </c>
      <c r="H55" s="63">
        <v>198</v>
      </c>
      <c r="I55" s="63">
        <v>189</v>
      </c>
      <c r="J55" s="63">
        <v>185</v>
      </c>
      <c r="K55" s="63">
        <v>197</v>
      </c>
      <c r="L55" s="63">
        <v>198</v>
      </c>
      <c r="M55" s="63">
        <v>188</v>
      </c>
      <c r="N55" s="63">
        <v>193</v>
      </c>
      <c r="O55" s="63">
        <v>192</v>
      </c>
      <c r="Q55" s="277" t="s">
        <v>3587</v>
      </c>
    </row>
    <row r="56" spans="1:17" ht="15.75" thickBot="1">
      <c r="A56" s="833"/>
      <c r="B56" s="277"/>
      <c r="C56" s="484" t="s">
        <v>9023</v>
      </c>
      <c r="D56" s="284">
        <f>D54+D55</f>
        <v>0</v>
      </c>
      <c r="E56" s="284">
        <f t="shared" ref="E56:L56" si="53">E54+E55</f>
        <v>0</v>
      </c>
      <c r="F56" s="284">
        <f t="shared" si="53"/>
        <v>3879</v>
      </c>
      <c r="G56" s="284">
        <f t="shared" si="53"/>
        <v>3843</v>
      </c>
      <c r="H56" s="284">
        <f t="shared" si="53"/>
        <v>3862</v>
      </c>
      <c r="I56" s="284">
        <f t="shared" si="53"/>
        <v>3750</v>
      </c>
      <c r="J56" s="284">
        <f t="shared" si="53"/>
        <v>3797</v>
      </c>
      <c r="K56" s="284">
        <f t="shared" si="53"/>
        <v>4240</v>
      </c>
      <c r="L56" s="284">
        <f t="shared" si="53"/>
        <v>4414</v>
      </c>
      <c r="M56" s="284">
        <f>M54+M55</f>
        <v>4642</v>
      </c>
      <c r="N56" s="284">
        <f>N54+N55</f>
        <v>5210</v>
      </c>
      <c r="O56" s="284">
        <f>O54+O55</f>
        <v>5215</v>
      </c>
      <c r="Q56" s="277"/>
    </row>
    <row r="57" spans="1:17">
      <c r="A57" s="833">
        <v>6</v>
      </c>
      <c r="B57" s="277" t="s">
        <v>8964</v>
      </c>
      <c r="C57" s="484" t="s">
        <v>9024</v>
      </c>
      <c r="D57" s="280">
        <v>0</v>
      </c>
      <c r="E57" s="280">
        <v>0</v>
      </c>
      <c r="F57" s="280">
        <v>6549</v>
      </c>
      <c r="G57" s="280">
        <v>6627</v>
      </c>
      <c r="H57" s="63">
        <v>6770</v>
      </c>
      <c r="I57" s="63">
        <v>6376</v>
      </c>
      <c r="J57" s="63">
        <v>6408</v>
      </c>
      <c r="K57" s="63">
        <v>6831</v>
      </c>
      <c r="L57" s="63">
        <v>6793</v>
      </c>
      <c r="M57" s="63">
        <v>6739</v>
      </c>
      <c r="N57" s="63">
        <v>6828</v>
      </c>
      <c r="O57" s="63">
        <v>6792</v>
      </c>
      <c r="Q57" s="277" t="s">
        <v>2214</v>
      </c>
    </row>
    <row r="58" spans="1:17">
      <c r="A58" s="833">
        <v>7</v>
      </c>
      <c r="B58" s="277" t="s">
        <v>8963</v>
      </c>
      <c r="C58" s="484" t="s">
        <v>9025</v>
      </c>
      <c r="D58" s="280">
        <v>0</v>
      </c>
      <c r="E58" s="280">
        <v>0</v>
      </c>
      <c r="F58" s="280">
        <v>3579</v>
      </c>
      <c r="G58" s="280">
        <v>3543</v>
      </c>
      <c r="H58" s="63">
        <v>3589</v>
      </c>
      <c r="I58" s="63">
        <v>3511</v>
      </c>
      <c r="J58" s="63">
        <v>3530</v>
      </c>
      <c r="K58" s="63">
        <v>3805</v>
      </c>
      <c r="L58" s="63">
        <v>3810</v>
      </c>
      <c r="M58" s="63">
        <v>3766</v>
      </c>
      <c r="N58" s="63">
        <v>4185</v>
      </c>
      <c r="O58" s="63">
        <v>4157</v>
      </c>
      <c r="Q58" s="277" t="s">
        <v>3587</v>
      </c>
    </row>
    <row r="59" spans="1:17">
      <c r="A59" s="833">
        <v>8</v>
      </c>
      <c r="B59" s="277" t="s">
        <v>8962</v>
      </c>
      <c r="C59" s="484" t="s">
        <v>9026</v>
      </c>
      <c r="D59" s="280">
        <v>0</v>
      </c>
      <c r="E59" s="280">
        <v>0</v>
      </c>
      <c r="F59" s="280">
        <v>3254</v>
      </c>
      <c r="G59" s="280">
        <v>3206</v>
      </c>
      <c r="H59" s="63">
        <v>3206</v>
      </c>
      <c r="I59" s="63">
        <v>3127</v>
      </c>
      <c r="J59" s="63">
        <v>3169</v>
      </c>
      <c r="K59" s="63">
        <v>3435</v>
      </c>
      <c r="L59" s="63">
        <v>3432</v>
      </c>
      <c r="M59" s="63">
        <v>3443</v>
      </c>
      <c r="N59" s="63">
        <v>3697</v>
      </c>
      <c r="O59" s="63">
        <v>3660</v>
      </c>
      <c r="Q59" s="277" t="s">
        <v>2215</v>
      </c>
    </row>
    <row r="60" spans="1:17">
      <c r="A60" s="833">
        <v>9</v>
      </c>
      <c r="B60" s="277" t="s">
        <v>8960</v>
      </c>
      <c r="C60" s="484" t="s">
        <v>9027</v>
      </c>
      <c r="D60" s="280">
        <v>0</v>
      </c>
      <c r="E60" s="280">
        <v>0</v>
      </c>
      <c r="F60" s="280">
        <v>10603</v>
      </c>
      <c r="G60" s="280">
        <v>10600</v>
      </c>
      <c r="H60" s="63">
        <v>10677</v>
      </c>
      <c r="I60" s="63">
        <v>10028</v>
      </c>
      <c r="J60" s="63">
        <v>10104</v>
      </c>
      <c r="K60" s="63">
        <v>10703</v>
      </c>
      <c r="L60" s="63">
        <v>10786</v>
      </c>
      <c r="M60" s="63">
        <v>10838</v>
      </c>
      <c r="N60" s="63">
        <v>10977</v>
      </c>
      <c r="O60" s="63">
        <v>10880</v>
      </c>
      <c r="Q60" s="277" t="s">
        <v>3585</v>
      </c>
    </row>
    <row r="61" spans="1:17">
      <c r="A61" s="833">
        <v>10</v>
      </c>
      <c r="B61" s="277" t="s">
        <v>8961</v>
      </c>
      <c r="C61" s="484" t="s">
        <v>9028</v>
      </c>
      <c r="D61" s="280">
        <v>0</v>
      </c>
      <c r="E61" s="280">
        <v>0</v>
      </c>
      <c r="F61" s="280">
        <v>10755</v>
      </c>
      <c r="G61" s="280">
        <v>10744</v>
      </c>
      <c r="H61" s="63">
        <v>10767</v>
      </c>
      <c r="I61" s="63">
        <v>9999</v>
      </c>
      <c r="J61" s="63">
        <v>10053</v>
      </c>
      <c r="K61" s="63">
        <v>10676</v>
      </c>
      <c r="L61" s="63">
        <v>10653</v>
      </c>
      <c r="M61" s="63">
        <v>10736</v>
      </c>
      <c r="N61" s="63">
        <v>11214</v>
      </c>
      <c r="O61" s="63">
        <v>11157</v>
      </c>
      <c r="Q61" s="277" t="s">
        <v>3585</v>
      </c>
    </row>
    <row r="62" spans="1:17">
      <c r="A62" s="833">
        <v>11</v>
      </c>
      <c r="B62" s="277" t="s">
        <v>8958</v>
      </c>
      <c r="C62" s="484" t="s">
        <v>9029</v>
      </c>
      <c r="D62" s="280">
        <v>78469</v>
      </c>
      <c r="E62" s="280">
        <v>78845</v>
      </c>
      <c r="F62" s="280">
        <v>3419</v>
      </c>
      <c r="G62" s="280">
        <v>3143</v>
      </c>
      <c r="H62" s="63">
        <v>2953</v>
      </c>
      <c r="I62" s="63">
        <v>2693</v>
      </c>
      <c r="J62" s="63">
        <v>2863</v>
      </c>
      <c r="K62" s="63">
        <v>3288</v>
      </c>
      <c r="L62" s="63">
        <v>3381</v>
      </c>
      <c r="M62" s="63">
        <v>3410</v>
      </c>
      <c r="N62" s="63">
        <v>3479</v>
      </c>
      <c r="O62" s="63">
        <v>3421</v>
      </c>
      <c r="Q62" s="277" t="s">
        <v>3586</v>
      </c>
    </row>
    <row r="63" spans="1:17">
      <c r="A63" s="833">
        <v>12</v>
      </c>
      <c r="B63" s="277" t="s">
        <v>2275</v>
      </c>
      <c r="C63" s="484" t="s">
        <v>9030</v>
      </c>
      <c r="D63" s="280">
        <v>0</v>
      </c>
      <c r="E63" s="280">
        <v>0</v>
      </c>
      <c r="F63" s="280">
        <v>10634</v>
      </c>
      <c r="G63" s="280">
        <v>10439</v>
      </c>
      <c r="H63" s="63">
        <v>10228</v>
      </c>
      <c r="I63" s="63">
        <v>9291</v>
      </c>
      <c r="J63" s="63">
        <v>9429</v>
      </c>
      <c r="K63" s="63">
        <v>10218</v>
      </c>
      <c r="L63" s="63">
        <v>10350</v>
      </c>
      <c r="M63" s="63">
        <v>10424</v>
      </c>
      <c r="N63" s="63">
        <v>10735</v>
      </c>
      <c r="O63" s="63">
        <v>10658</v>
      </c>
      <c r="Q63" s="277" t="s">
        <v>3586</v>
      </c>
    </row>
    <row r="64" spans="1:17">
      <c r="A64" s="833">
        <v>13</v>
      </c>
      <c r="B64" s="277" t="s">
        <v>2276</v>
      </c>
      <c r="C64" s="484" t="s">
        <v>9031</v>
      </c>
      <c r="D64" s="280">
        <v>0</v>
      </c>
      <c r="E64" s="280">
        <v>0</v>
      </c>
      <c r="F64" s="280">
        <v>3556</v>
      </c>
      <c r="G64" s="280">
        <v>3455</v>
      </c>
      <c r="H64" s="63">
        <v>3495</v>
      </c>
      <c r="I64" s="63">
        <v>3134</v>
      </c>
      <c r="J64" s="63">
        <v>3202</v>
      </c>
      <c r="K64" s="63">
        <v>3437</v>
      </c>
      <c r="L64" s="63">
        <v>3446</v>
      </c>
      <c r="M64" s="63">
        <v>3405</v>
      </c>
      <c r="N64" s="63">
        <v>3421</v>
      </c>
      <c r="O64" s="63">
        <v>3411</v>
      </c>
      <c r="Q64" s="277" t="s">
        <v>3586</v>
      </c>
    </row>
    <row r="65" spans="1:17">
      <c r="A65" s="833">
        <v>14</v>
      </c>
      <c r="B65" s="277" t="s">
        <v>8959</v>
      </c>
      <c r="C65" s="484" t="s">
        <v>9032</v>
      </c>
      <c r="D65" s="280">
        <v>0</v>
      </c>
      <c r="E65" s="280">
        <v>0</v>
      </c>
      <c r="F65" s="280">
        <v>3582</v>
      </c>
      <c r="G65" s="280">
        <v>3504</v>
      </c>
      <c r="H65" s="63">
        <v>3362</v>
      </c>
      <c r="I65" s="63">
        <v>3083</v>
      </c>
      <c r="J65" s="63">
        <v>2963</v>
      </c>
      <c r="K65" s="63">
        <v>3227</v>
      </c>
      <c r="L65" s="63">
        <v>3203</v>
      </c>
      <c r="M65" s="63">
        <v>3187</v>
      </c>
      <c r="N65" s="63">
        <v>3120</v>
      </c>
      <c r="O65" s="63">
        <v>3079</v>
      </c>
      <c r="Q65" s="277" t="s">
        <v>3586</v>
      </c>
    </row>
    <row r="66" spans="1:17">
      <c r="A66" s="833">
        <v>15</v>
      </c>
      <c r="B66" s="277" t="s">
        <v>2277</v>
      </c>
      <c r="C66" s="484" t="s">
        <v>9033</v>
      </c>
      <c r="D66" s="280">
        <v>0</v>
      </c>
      <c r="E66" s="280">
        <v>0</v>
      </c>
      <c r="F66" s="280">
        <v>7286</v>
      </c>
      <c r="G66" s="280">
        <v>7009</v>
      </c>
      <c r="H66" s="63">
        <v>6788</v>
      </c>
      <c r="I66" s="63">
        <v>6284</v>
      </c>
      <c r="J66" s="63">
        <v>6307</v>
      </c>
      <c r="K66" s="63">
        <v>6839</v>
      </c>
      <c r="L66" s="63">
        <v>6762</v>
      </c>
      <c r="M66" s="63">
        <v>6614</v>
      </c>
      <c r="N66" s="63">
        <v>6739</v>
      </c>
      <c r="O66" s="63">
        <v>6682</v>
      </c>
      <c r="Q66" s="277" t="s">
        <v>3586</v>
      </c>
    </row>
    <row r="67" spans="1:17">
      <c r="A67" s="833">
        <v>16</v>
      </c>
      <c r="B67" s="277" t="s">
        <v>2278</v>
      </c>
      <c r="C67" s="484" t="s">
        <v>9034</v>
      </c>
      <c r="D67" s="280">
        <v>0</v>
      </c>
      <c r="E67" s="280">
        <v>0</v>
      </c>
      <c r="F67" s="280">
        <v>7345</v>
      </c>
      <c r="G67" s="280">
        <v>7255</v>
      </c>
      <c r="H67" s="63">
        <v>7203</v>
      </c>
      <c r="I67" s="63">
        <v>6417</v>
      </c>
      <c r="J67" s="63">
        <v>6527</v>
      </c>
      <c r="K67" s="63">
        <v>7086</v>
      </c>
      <c r="L67" s="63">
        <v>7151</v>
      </c>
      <c r="M67" s="63">
        <v>7070</v>
      </c>
      <c r="N67" s="63">
        <v>7043</v>
      </c>
      <c r="O67" s="63">
        <v>7024</v>
      </c>
      <c r="Q67" s="277" t="s">
        <v>3586</v>
      </c>
    </row>
    <row r="68" spans="1:17">
      <c r="A68" s="833">
        <v>17</v>
      </c>
      <c r="B68" s="277" t="s">
        <v>2375</v>
      </c>
      <c r="C68" s="484" t="s">
        <v>9035</v>
      </c>
      <c r="D68" s="280">
        <v>0</v>
      </c>
      <c r="E68" s="280">
        <v>0</v>
      </c>
      <c r="F68" s="280">
        <v>7539</v>
      </c>
      <c r="G68" s="280">
        <v>7552</v>
      </c>
      <c r="H68" s="63">
        <v>7560</v>
      </c>
      <c r="I68" s="63">
        <v>7325</v>
      </c>
      <c r="J68" s="63">
        <v>7416</v>
      </c>
      <c r="K68" s="63">
        <v>7912</v>
      </c>
      <c r="L68" s="63">
        <v>7918</v>
      </c>
      <c r="M68" s="63">
        <v>8081</v>
      </c>
      <c r="N68" s="63">
        <v>8350</v>
      </c>
      <c r="O68" s="63">
        <v>8296</v>
      </c>
      <c r="Q68" s="277" t="s">
        <v>3585</v>
      </c>
    </row>
    <row r="69" spans="1:17">
      <c r="A69" s="833">
        <v>18</v>
      </c>
      <c r="B69" s="277" t="s">
        <v>8957</v>
      </c>
      <c r="C69" s="484" t="s">
        <v>9036</v>
      </c>
      <c r="D69" s="280">
        <v>0</v>
      </c>
      <c r="E69" s="280">
        <v>0</v>
      </c>
      <c r="F69" s="280">
        <v>3616</v>
      </c>
      <c r="G69" s="280">
        <v>3602</v>
      </c>
      <c r="H69" s="63">
        <v>3586</v>
      </c>
      <c r="I69" s="63">
        <v>3310</v>
      </c>
      <c r="J69" s="63">
        <v>3485</v>
      </c>
      <c r="K69" s="63">
        <v>3850</v>
      </c>
      <c r="L69" s="63">
        <v>3864</v>
      </c>
      <c r="M69" s="63">
        <v>3970</v>
      </c>
      <c r="N69" s="63">
        <v>4058</v>
      </c>
      <c r="O69" s="63">
        <v>3994</v>
      </c>
      <c r="Q69" s="277" t="s">
        <v>2214</v>
      </c>
    </row>
    <row r="70" spans="1:17">
      <c r="A70" s="833">
        <v>19</v>
      </c>
      <c r="B70" s="277" t="s">
        <v>8956</v>
      </c>
      <c r="C70" s="484" t="s">
        <v>9037</v>
      </c>
      <c r="D70" s="280">
        <v>0</v>
      </c>
      <c r="E70" s="280">
        <v>0</v>
      </c>
      <c r="F70" s="280">
        <v>3196</v>
      </c>
      <c r="G70" s="280">
        <v>3168</v>
      </c>
      <c r="H70" s="63">
        <v>3217</v>
      </c>
      <c r="I70" s="63">
        <v>3127</v>
      </c>
      <c r="J70" s="63">
        <v>3079</v>
      </c>
      <c r="K70" s="63">
        <v>3263</v>
      </c>
      <c r="L70" s="63">
        <v>3271</v>
      </c>
      <c r="M70" s="63">
        <v>3311</v>
      </c>
      <c r="N70" s="63">
        <v>3480</v>
      </c>
      <c r="O70" s="63">
        <v>3446</v>
      </c>
      <c r="Q70" s="277" t="s">
        <v>2214</v>
      </c>
    </row>
    <row r="71" spans="1:17">
      <c r="A71" s="833">
        <v>20</v>
      </c>
      <c r="B71" s="277" t="s">
        <v>8955</v>
      </c>
      <c r="C71" s="484" t="s">
        <v>9038</v>
      </c>
      <c r="D71" s="280">
        <v>0</v>
      </c>
      <c r="E71" s="280">
        <v>0</v>
      </c>
      <c r="F71" s="280">
        <v>7008</v>
      </c>
      <c r="G71" s="280">
        <v>7053</v>
      </c>
      <c r="H71" s="63">
        <v>7035</v>
      </c>
      <c r="I71" s="63">
        <v>6536</v>
      </c>
      <c r="J71" s="63">
        <v>6709</v>
      </c>
      <c r="K71" s="63">
        <v>7232</v>
      </c>
      <c r="L71" s="63">
        <v>7256</v>
      </c>
      <c r="M71" s="63">
        <v>7204</v>
      </c>
      <c r="N71" s="63">
        <v>7342</v>
      </c>
      <c r="O71" s="63">
        <v>7250</v>
      </c>
      <c r="Q71" s="277" t="s">
        <v>2215</v>
      </c>
    </row>
    <row r="72" spans="1:17">
      <c r="A72" s="833">
        <v>21</v>
      </c>
      <c r="B72" s="277" t="s">
        <v>8954</v>
      </c>
      <c r="C72" s="484" t="s">
        <v>9039</v>
      </c>
      <c r="D72" s="279">
        <v>0</v>
      </c>
      <c r="E72" s="279">
        <v>0</v>
      </c>
      <c r="F72" s="279">
        <v>6676</v>
      </c>
      <c r="G72" s="279">
        <v>6694</v>
      </c>
      <c r="H72" s="63">
        <v>6660</v>
      </c>
      <c r="I72" s="63">
        <v>6250</v>
      </c>
      <c r="J72" s="63">
        <v>6240</v>
      </c>
      <c r="K72" s="63">
        <v>6766</v>
      </c>
      <c r="L72" s="63">
        <v>6814</v>
      </c>
      <c r="M72" s="63">
        <v>6945</v>
      </c>
      <c r="N72" s="63">
        <v>7234</v>
      </c>
      <c r="O72" s="63">
        <v>7182</v>
      </c>
      <c r="Q72" s="277" t="s">
        <v>3586</v>
      </c>
    </row>
    <row r="73" spans="1:17">
      <c r="A73" s="833">
        <v>22</v>
      </c>
      <c r="B73" s="277" t="s">
        <v>8953</v>
      </c>
      <c r="C73" s="484" t="s">
        <v>9040</v>
      </c>
      <c r="D73" s="280">
        <v>0</v>
      </c>
      <c r="E73" s="280">
        <v>0</v>
      </c>
      <c r="F73" s="280">
        <v>3532</v>
      </c>
      <c r="G73" s="280">
        <v>3526</v>
      </c>
      <c r="H73" s="63">
        <v>3499</v>
      </c>
      <c r="I73" s="63">
        <v>3464</v>
      </c>
      <c r="J73" s="63">
        <v>3349</v>
      </c>
      <c r="K73" s="63">
        <v>3638</v>
      </c>
      <c r="L73" s="63">
        <v>3635</v>
      </c>
      <c r="M73" s="63">
        <v>3617</v>
      </c>
      <c r="N73" s="63">
        <v>3726</v>
      </c>
      <c r="O73" s="63">
        <v>3674</v>
      </c>
      <c r="Q73" s="277" t="s">
        <v>2215</v>
      </c>
    </row>
    <row r="74" spans="1:17">
      <c r="A74" s="833">
        <v>23</v>
      </c>
      <c r="B74" s="277" t="s">
        <v>2279</v>
      </c>
      <c r="C74" s="484" t="s">
        <v>9041</v>
      </c>
      <c r="D74" s="279">
        <v>0</v>
      </c>
      <c r="E74" s="279">
        <v>0</v>
      </c>
      <c r="F74" s="279">
        <v>10371</v>
      </c>
      <c r="G74" s="279">
        <v>10330</v>
      </c>
      <c r="H74" s="63">
        <v>10337</v>
      </c>
      <c r="I74" s="63">
        <v>9762</v>
      </c>
      <c r="J74" s="63">
        <v>9902</v>
      </c>
      <c r="K74" s="63">
        <v>10513</v>
      </c>
      <c r="L74" s="63">
        <v>10412</v>
      </c>
      <c r="M74" s="63">
        <v>10363</v>
      </c>
      <c r="N74" s="63">
        <v>10547</v>
      </c>
      <c r="O74" s="63">
        <v>10420</v>
      </c>
      <c r="Q74" s="277" t="s">
        <v>2215</v>
      </c>
    </row>
    <row r="75" spans="1:17">
      <c r="A75" s="833">
        <v>24</v>
      </c>
      <c r="B75" s="277" t="s">
        <v>8952</v>
      </c>
      <c r="C75" s="484" t="s">
        <v>9042</v>
      </c>
      <c r="D75" s="280">
        <v>0</v>
      </c>
      <c r="E75" s="280">
        <v>0</v>
      </c>
      <c r="F75" s="280">
        <v>3971</v>
      </c>
      <c r="G75" s="280">
        <v>3950</v>
      </c>
      <c r="H75" s="63">
        <v>3837</v>
      </c>
      <c r="I75" s="63">
        <v>3804</v>
      </c>
      <c r="J75" s="63">
        <v>3802</v>
      </c>
      <c r="K75" s="63">
        <v>4003</v>
      </c>
      <c r="L75" s="63">
        <v>3943</v>
      </c>
      <c r="M75" s="63">
        <v>3907</v>
      </c>
      <c r="N75" s="63">
        <v>3964</v>
      </c>
      <c r="O75" s="63">
        <v>3932</v>
      </c>
      <c r="Q75" s="277" t="s">
        <v>3586</v>
      </c>
    </row>
    <row r="76" spans="1:17" ht="15.75" thickBot="1">
      <c r="A76" s="833"/>
      <c r="B76" s="277"/>
      <c r="C76" s="484" t="s">
        <v>9042</v>
      </c>
      <c r="D76" s="283">
        <v>0</v>
      </c>
      <c r="E76" s="283">
        <v>0</v>
      </c>
      <c r="F76" s="283">
        <v>77</v>
      </c>
      <c r="G76" s="279">
        <v>68</v>
      </c>
      <c r="H76" s="63">
        <v>65</v>
      </c>
      <c r="I76" s="63">
        <v>63</v>
      </c>
      <c r="J76" s="63">
        <v>87</v>
      </c>
      <c r="K76" s="63">
        <v>179</v>
      </c>
      <c r="L76" s="63">
        <v>283</v>
      </c>
      <c r="M76" s="63">
        <v>372</v>
      </c>
      <c r="N76" s="63">
        <v>493</v>
      </c>
      <c r="O76" s="63">
        <v>497</v>
      </c>
      <c r="Q76" s="277" t="s">
        <v>3587</v>
      </c>
    </row>
    <row r="77" spans="1:17" ht="15.75" thickBot="1">
      <c r="A77" s="833"/>
      <c r="B77" s="277"/>
      <c r="C77" s="484" t="s">
        <v>9042</v>
      </c>
      <c r="D77" s="284">
        <f>D75+D76</f>
        <v>0</v>
      </c>
      <c r="E77" s="284">
        <f t="shared" ref="E77:L77" si="54">E75+E76</f>
        <v>0</v>
      </c>
      <c r="F77" s="284">
        <f t="shared" si="54"/>
        <v>4048</v>
      </c>
      <c r="G77" s="284">
        <f t="shared" si="54"/>
        <v>4018</v>
      </c>
      <c r="H77" s="284">
        <f t="shared" si="54"/>
        <v>3902</v>
      </c>
      <c r="I77" s="284">
        <f t="shared" si="54"/>
        <v>3867</v>
      </c>
      <c r="J77" s="284">
        <f t="shared" si="54"/>
        <v>3889</v>
      </c>
      <c r="K77" s="284">
        <f t="shared" si="54"/>
        <v>4182</v>
      </c>
      <c r="L77" s="284">
        <f t="shared" si="54"/>
        <v>4226</v>
      </c>
      <c r="M77" s="284">
        <f>M75+M76</f>
        <v>4279</v>
      </c>
      <c r="N77" s="284">
        <f>N75+N76</f>
        <v>4457</v>
      </c>
      <c r="O77" s="284">
        <f>O75+O76</f>
        <v>4429</v>
      </c>
      <c r="Q77" s="277"/>
    </row>
    <row r="78" spans="1:17">
      <c r="A78" s="833">
        <v>25</v>
      </c>
      <c r="B78" s="277" t="s">
        <v>8946</v>
      </c>
      <c r="C78" s="484" t="s">
        <v>9043</v>
      </c>
      <c r="D78" s="280">
        <v>0</v>
      </c>
      <c r="E78" s="280">
        <v>0</v>
      </c>
      <c r="F78" s="280">
        <v>6620</v>
      </c>
      <c r="G78" s="280">
        <v>6588</v>
      </c>
      <c r="H78" s="63">
        <v>6333</v>
      </c>
      <c r="I78" s="63">
        <v>5961</v>
      </c>
      <c r="J78" s="63">
        <v>6102</v>
      </c>
      <c r="K78" s="63">
        <v>6834</v>
      </c>
      <c r="L78" s="63">
        <v>7009</v>
      </c>
      <c r="M78" s="63">
        <v>6880</v>
      </c>
      <c r="N78" s="63">
        <v>7140</v>
      </c>
      <c r="O78" s="63">
        <v>7048</v>
      </c>
      <c r="Q78" s="277" t="s">
        <v>2214</v>
      </c>
    </row>
    <row r="79" spans="1:17">
      <c r="A79" s="833">
        <v>26</v>
      </c>
      <c r="B79" s="277" t="s">
        <v>8947</v>
      </c>
      <c r="C79" s="484" t="s">
        <v>9044</v>
      </c>
      <c r="D79" s="280">
        <v>0</v>
      </c>
      <c r="E79" s="280">
        <v>0</v>
      </c>
      <c r="F79" s="280">
        <v>3475</v>
      </c>
      <c r="G79" s="280">
        <v>3494</v>
      </c>
      <c r="H79" s="63">
        <v>3485</v>
      </c>
      <c r="I79" s="63">
        <v>3195</v>
      </c>
      <c r="J79" s="63">
        <v>3249</v>
      </c>
      <c r="K79" s="63">
        <v>3531</v>
      </c>
      <c r="L79" s="63">
        <v>3539</v>
      </c>
      <c r="M79" s="63">
        <v>3530</v>
      </c>
      <c r="N79" s="63">
        <v>3618</v>
      </c>
      <c r="O79" s="63">
        <v>3595</v>
      </c>
      <c r="Q79" s="277" t="s">
        <v>2214</v>
      </c>
    </row>
    <row r="80" spans="1:17">
      <c r="A80" s="833">
        <v>27</v>
      </c>
      <c r="B80" s="277" t="s">
        <v>8948</v>
      </c>
      <c r="C80" s="484" t="s">
        <v>9045</v>
      </c>
      <c r="D80" s="280">
        <v>0</v>
      </c>
      <c r="E80" s="280">
        <v>0</v>
      </c>
      <c r="F80" s="280">
        <v>3414</v>
      </c>
      <c r="G80" s="280">
        <v>3450</v>
      </c>
      <c r="H80" s="63">
        <v>3399</v>
      </c>
      <c r="I80" s="63">
        <v>3130</v>
      </c>
      <c r="J80" s="63">
        <v>3188</v>
      </c>
      <c r="K80" s="63">
        <v>3422</v>
      </c>
      <c r="L80" s="63">
        <v>3473</v>
      </c>
      <c r="M80" s="63">
        <v>3411</v>
      </c>
      <c r="N80" s="63">
        <v>3451</v>
      </c>
      <c r="O80" s="63">
        <v>3423</v>
      </c>
      <c r="Q80" s="277" t="s">
        <v>2214</v>
      </c>
    </row>
    <row r="81" spans="1:17">
      <c r="A81" s="655">
        <v>28</v>
      </c>
      <c r="B81" s="277" t="s">
        <v>8949</v>
      </c>
      <c r="C81" s="484" t="s">
        <v>9046</v>
      </c>
      <c r="D81" s="280">
        <v>0</v>
      </c>
      <c r="E81" s="280">
        <v>0</v>
      </c>
      <c r="F81" s="280">
        <v>6420</v>
      </c>
      <c r="G81" s="280">
        <v>6334</v>
      </c>
      <c r="H81" s="63">
        <v>6235</v>
      </c>
      <c r="I81" s="63">
        <v>5902</v>
      </c>
      <c r="J81" s="63">
        <v>5898</v>
      </c>
      <c r="K81" s="63">
        <v>6306</v>
      </c>
      <c r="L81" s="63">
        <v>6349</v>
      </c>
      <c r="M81" s="63">
        <v>6324</v>
      </c>
      <c r="N81" s="63">
        <v>6473</v>
      </c>
      <c r="O81" s="63">
        <v>6449</v>
      </c>
      <c r="Q81" s="277" t="s">
        <v>2214</v>
      </c>
    </row>
    <row r="82" spans="1:17">
      <c r="A82" s="655">
        <v>29</v>
      </c>
      <c r="B82" s="277" t="s">
        <v>8950</v>
      </c>
      <c r="C82" s="484" t="s">
        <v>9047</v>
      </c>
      <c r="D82" s="280">
        <v>0</v>
      </c>
      <c r="E82" s="280">
        <v>0</v>
      </c>
      <c r="F82" s="280">
        <v>7112</v>
      </c>
      <c r="G82" s="280">
        <v>6997</v>
      </c>
      <c r="H82" s="63">
        <v>7002</v>
      </c>
      <c r="I82" s="63">
        <v>6766</v>
      </c>
      <c r="J82" s="63">
        <v>6690</v>
      </c>
      <c r="K82" s="63">
        <v>7225</v>
      </c>
      <c r="L82" s="63">
        <v>7277</v>
      </c>
      <c r="M82" s="63">
        <v>7292</v>
      </c>
      <c r="N82" s="63">
        <v>7384</v>
      </c>
      <c r="O82" s="63">
        <v>7310</v>
      </c>
      <c r="Q82" s="277" t="s">
        <v>2214</v>
      </c>
    </row>
    <row r="83" spans="1:17">
      <c r="A83" s="655">
        <v>30</v>
      </c>
      <c r="B83" s="277" t="s">
        <v>8951</v>
      </c>
      <c r="C83" s="484" t="s">
        <v>9048</v>
      </c>
      <c r="D83" s="280">
        <v>0</v>
      </c>
      <c r="E83" s="280">
        <v>0</v>
      </c>
      <c r="F83" s="280">
        <v>6359</v>
      </c>
      <c r="G83" s="280">
        <v>6303</v>
      </c>
      <c r="H83" s="63">
        <v>6246</v>
      </c>
      <c r="I83" s="63">
        <v>5769</v>
      </c>
      <c r="J83" s="63">
        <v>5814</v>
      </c>
      <c r="K83" s="63">
        <v>6239</v>
      </c>
      <c r="L83" s="63">
        <v>6242</v>
      </c>
      <c r="M83" s="63">
        <v>6261</v>
      </c>
      <c r="N83" s="63">
        <v>6364</v>
      </c>
      <c r="O83" s="63">
        <v>6306</v>
      </c>
      <c r="Q83" s="277" t="s">
        <v>2214</v>
      </c>
    </row>
    <row r="84" spans="1:17">
      <c r="A84" s="655">
        <v>31</v>
      </c>
      <c r="B84" s="277" t="s">
        <v>3688</v>
      </c>
      <c r="C84" s="484" t="s">
        <v>9049</v>
      </c>
      <c r="D84" s="280">
        <v>0</v>
      </c>
      <c r="E84" s="280">
        <v>0</v>
      </c>
      <c r="F84" s="280">
        <v>10488</v>
      </c>
      <c r="G84" s="280">
        <v>10460</v>
      </c>
      <c r="H84" s="63">
        <v>10552</v>
      </c>
      <c r="I84" s="63">
        <v>9669</v>
      </c>
      <c r="J84" s="63">
        <v>10089</v>
      </c>
      <c r="K84" s="63">
        <v>10968</v>
      </c>
      <c r="L84" s="63">
        <v>11099</v>
      </c>
      <c r="M84" s="63">
        <v>11169</v>
      </c>
      <c r="N84" s="63">
        <v>11319</v>
      </c>
      <c r="O84" s="63">
        <v>11230</v>
      </c>
      <c r="Q84" s="277" t="s">
        <v>3585</v>
      </c>
    </row>
    <row r="85" spans="1:17">
      <c r="A85" s="655">
        <v>32</v>
      </c>
      <c r="B85" s="277" t="s">
        <v>8945</v>
      </c>
      <c r="C85" s="484" t="s">
        <v>9050</v>
      </c>
      <c r="D85" s="280">
        <v>0</v>
      </c>
      <c r="E85" s="280">
        <v>0</v>
      </c>
      <c r="F85" s="280">
        <v>3690</v>
      </c>
      <c r="G85" s="280">
        <v>3639</v>
      </c>
      <c r="H85" s="63">
        <v>3577</v>
      </c>
      <c r="I85" s="63">
        <v>3416</v>
      </c>
      <c r="J85" s="63">
        <v>3357</v>
      </c>
      <c r="K85" s="63">
        <v>3663</v>
      </c>
      <c r="L85" s="63">
        <v>3629</v>
      </c>
      <c r="M85" s="63">
        <v>3554</v>
      </c>
      <c r="N85" s="63">
        <v>3626</v>
      </c>
      <c r="O85" s="63">
        <v>3589</v>
      </c>
      <c r="Q85" s="277" t="s">
        <v>2215</v>
      </c>
    </row>
    <row r="86" spans="1:17">
      <c r="A86" s="655">
        <v>33</v>
      </c>
      <c r="B86" s="277" t="s">
        <v>8943</v>
      </c>
      <c r="C86" s="484" t="s">
        <v>9051</v>
      </c>
      <c r="D86" s="280">
        <v>0</v>
      </c>
      <c r="E86" s="280">
        <v>0</v>
      </c>
      <c r="F86" s="280">
        <v>7091</v>
      </c>
      <c r="G86" s="280">
        <v>7091</v>
      </c>
      <c r="H86" s="63">
        <v>7082</v>
      </c>
      <c r="I86" s="63">
        <v>6457</v>
      </c>
      <c r="J86" s="63">
        <v>6550</v>
      </c>
      <c r="K86" s="63">
        <v>7098</v>
      </c>
      <c r="L86" s="63">
        <v>7032</v>
      </c>
      <c r="M86" s="63">
        <v>7023</v>
      </c>
      <c r="N86" s="63">
        <v>7233</v>
      </c>
      <c r="O86" s="63">
        <v>7146</v>
      </c>
      <c r="Q86" s="277" t="s">
        <v>3586</v>
      </c>
    </row>
    <row r="87" spans="1:17">
      <c r="A87" s="655">
        <v>34</v>
      </c>
      <c r="B87" s="277" t="s">
        <v>8944</v>
      </c>
      <c r="C87" s="484" t="s">
        <v>9052</v>
      </c>
      <c r="D87" s="280">
        <v>0</v>
      </c>
      <c r="E87" s="280">
        <v>0</v>
      </c>
      <c r="F87" s="280">
        <v>6527</v>
      </c>
      <c r="G87" s="280">
        <v>6513</v>
      </c>
      <c r="H87" s="63">
        <v>6600</v>
      </c>
      <c r="I87" s="63">
        <v>6099</v>
      </c>
      <c r="J87" s="63">
        <v>6320</v>
      </c>
      <c r="K87" s="63">
        <v>6901</v>
      </c>
      <c r="L87" s="63">
        <v>7025</v>
      </c>
      <c r="M87" s="63">
        <v>7163</v>
      </c>
      <c r="N87" s="63">
        <v>7431</v>
      </c>
      <c r="O87" s="63">
        <v>7360</v>
      </c>
      <c r="Q87" s="277" t="s">
        <v>3586</v>
      </c>
    </row>
    <row r="88" spans="1:17">
      <c r="A88" s="655">
        <v>35</v>
      </c>
      <c r="B88" s="277" t="s">
        <v>8942</v>
      </c>
      <c r="C88" s="484" t="s">
        <v>9053</v>
      </c>
      <c r="D88" s="280">
        <v>0</v>
      </c>
      <c r="E88" s="280">
        <v>0</v>
      </c>
      <c r="F88" s="280">
        <v>6995</v>
      </c>
      <c r="G88" s="280">
        <v>6987</v>
      </c>
      <c r="H88" s="63">
        <v>7024</v>
      </c>
      <c r="I88" s="63">
        <v>6663</v>
      </c>
      <c r="J88" s="63">
        <v>6619</v>
      </c>
      <c r="K88" s="63">
        <v>7056</v>
      </c>
      <c r="L88" s="63">
        <v>7026</v>
      </c>
      <c r="M88" s="63">
        <v>6938</v>
      </c>
      <c r="N88" s="63">
        <v>7080</v>
      </c>
      <c r="O88" s="63">
        <v>7034</v>
      </c>
      <c r="Q88" s="277" t="s">
        <v>3585</v>
      </c>
    </row>
    <row r="89" spans="1:17">
      <c r="A89" s="655">
        <v>36</v>
      </c>
      <c r="B89" s="277" t="s">
        <v>8940</v>
      </c>
      <c r="C89" s="484" t="s">
        <v>9054</v>
      </c>
      <c r="D89" s="280">
        <v>0</v>
      </c>
      <c r="E89" s="280">
        <v>0</v>
      </c>
      <c r="F89" s="280">
        <v>6336</v>
      </c>
      <c r="G89" s="280">
        <v>6365</v>
      </c>
      <c r="H89" s="63">
        <v>6335</v>
      </c>
      <c r="I89" s="63">
        <v>6028</v>
      </c>
      <c r="J89" s="63">
        <v>6037</v>
      </c>
      <c r="K89" s="63">
        <v>6320</v>
      </c>
      <c r="L89" s="63">
        <v>6316</v>
      </c>
      <c r="M89" s="63">
        <v>6312</v>
      </c>
      <c r="N89" s="63">
        <v>6375</v>
      </c>
      <c r="O89" s="63">
        <v>6286</v>
      </c>
      <c r="Q89" s="277" t="s">
        <v>2214</v>
      </c>
    </row>
    <row r="90" spans="1:17">
      <c r="A90" s="655">
        <v>37</v>
      </c>
      <c r="B90" s="277" t="s">
        <v>8941</v>
      </c>
      <c r="C90" s="484" t="s">
        <v>9055</v>
      </c>
      <c r="D90" s="280">
        <v>0</v>
      </c>
      <c r="E90" s="280">
        <v>0</v>
      </c>
      <c r="F90" s="280">
        <v>6884</v>
      </c>
      <c r="G90" s="280">
        <v>6859</v>
      </c>
      <c r="H90" s="63">
        <v>6883</v>
      </c>
      <c r="I90" s="63">
        <v>6575</v>
      </c>
      <c r="J90" s="63">
        <v>6584</v>
      </c>
      <c r="K90" s="63">
        <v>6942</v>
      </c>
      <c r="L90" s="63">
        <v>6895</v>
      </c>
      <c r="M90" s="63">
        <v>6896</v>
      </c>
      <c r="N90" s="63">
        <v>7003</v>
      </c>
      <c r="O90" s="63">
        <v>6926</v>
      </c>
      <c r="Q90" s="277" t="s">
        <v>2214</v>
      </c>
    </row>
    <row r="91" spans="1:17">
      <c r="A91" s="655">
        <v>38</v>
      </c>
      <c r="B91" s="277" t="s">
        <v>6725</v>
      </c>
      <c r="C91" s="484" t="s">
        <v>9056</v>
      </c>
      <c r="D91" s="280">
        <v>0</v>
      </c>
      <c r="E91" s="280">
        <v>0</v>
      </c>
      <c r="F91" s="280">
        <v>3545</v>
      </c>
      <c r="G91" s="280">
        <v>3521</v>
      </c>
      <c r="H91" s="63">
        <v>3541</v>
      </c>
      <c r="I91" s="63">
        <v>3368</v>
      </c>
      <c r="J91" s="63">
        <v>3321</v>
      </c>
      <c r="K91" s="63">
        <v>3594</v>
      </c>
      <c r="L91" s="63">
        <v>3581</v>
      </c>
      <c r="M91" s="63">
        <v>3609</v>
      </c>
      <c r="N91" s="63">
        <v>3756</v>
      </c>
      <c r="O91" s="63">
        <v>3707</v>
      </c>
      <c r="Q91" s="277" t="s">
        <v>2214</v>
      </c>
    </row>
    <row r="92" spans="1:17">
      <c r="A92" s="655">
        <v>39</v>
      </c>
      <c r="B92" s="277" t="s">
        <v>8936</v>
      </c>
      <c r="C92" s="484" t="s">
        <v>9057</v>
      </c>
      <c r="D92" s="280">
        <v>0</v>
      </c>
      <c r="E92" s="280">
        <v>0</v>
      </c>
      <c r="F92" s="280">
        <v>3580</v>
      </c>
      <c r="G92" s="280">
        <v>3544</v>
      </c>
      <c r="H92" s="63">
        <v>3624</v>
      </c>
      <c r="I92" s="63">
        <v>3455</v>
      </c>
      <c r="J92" s="63">
        <v>3614</v>
      </c>
      <c r="K92" s="63">
        <v>3966</v>
      </c>
      <c r="L92" s="63">
        <v>4114</v>
      </c>
      <c r="M92" s="63">
        <v>4367</v>
      </c>
      <c r="N92" s="63">
        <v>4632</v>
      </c>
      <c r="O92" s="63">
        <v>4587</v>
      </c>
      <c r="Q92" s="277" t="s">
        <v>3585</v>
      </c>
    </row>
    <row r="93" spans="1:17">
      <c r="A93" s="655">
        <v>40</v>
      </c>
      <c r="B93" s="277" t="s">
        <v>8937</v>
      </c>
      <c r="C93" s="484" t="s">
        <v>9058</v>
      </c>
      <c r="D93" s="280">
        <v>0</v>
      </c>
      <c r="E93" s="280">
        <v>0</v>
      </c>
      <c r="F93" s="280">
        <v>3534</v>
      </c>
      <c r="G93" s="280">
        <v>3584</v>
      </c>
      <c r="H93" s="63">
        <v>3609</v>
      </c>
      <c r="I93" s="63">
        <v>3335</v>
      </c>
      <c r="J93" s="63">
        <v>3580</v>
      </c>
      <c r="K93" s="63">
        <v>4010</v>
      </c>
      <c r="L93" s="63">
        <v>4164</v>
      </c>
      <c r="M93" s="63">
        <v>4308</v>
      </c>
      <c r="N93" s="63">
        <v>4505</v>
      </c>
      <c r="O93" s="63">
        <v>4479</v>
      </c>
      <c r="Q93" s="277" t="s">
        <v>3585</v>
      </c>
    </row>
    <row r="94" spans="1:17">
      <c r="A94" s="829">
        <v>41</v>
      </c>
      <c r="B94" s="277" t="s">
        <v>8938</v>
      </c>
      <c r="C94" s="484" t="s">
        <v>9059</v>
      </c>
      <c r="D94" s="280">
        <v>0</v>
      </c>
      <c r="E94" s="280">
        <v>0</v>
      </c>
      <c r="F94" s="280">
        <v>3440</v>
      </c>
      <c r="G94" s="280">
        <v>3475</v>
      </c>
      <c r="H94" s="63">
        <v>3491</v>
      </c>
      <c r="I94" s="63">
        <v>3302</v>
      </c>
      <c r="J94" s="63">
        <v>3318</v>
      </c>
      <c r="K94" s="63">
        <v>3548</v>
      </c>
      <c r="L94" s="63">
        <v>3545</v>
      </c>
      <c r="M94" s="63">
        <v>3593</v>
      </c>
      <c r="N94" s="63">
        <v>3764</v>
      </c>
      <c r="O94" s="63">
        <v>3744</v>
      </c>
      <c r="Q94" s="277" t="s">
        <v>3585</v>
      </c>
    </row>
    <row r="95" spans="1:17">
      <c r="A95" s="829">
        <v>42</v>
      </c>
      <c r="B95" s="277" t="s">
        <v>8939</v>
      </c>
      <c r="C95" s="484" t="s">
        <v>9060</v>
      </c>
      <c r="D95" s="280">
        <v>0</v>
      </c>
      <c r="E95" s="280">
        <v>0</v>
      </c>
      <c r="F95" s="280">
        <v>3950</v>
      </c>
      <c r="G95" s="280">
        <v>3967</v>
      </c>
      <c r="H95" s="63">
        <v>3964</v>
      </c>
      <c r="I95" s="63">
        <v>3706</v>
      </c>
      <c r="J95" s="63">
        <v>3699</v>
      </c>
      <c r="K95" s="63">
        <v>3961</v>
      </c>
      <c r="L95" s="63">
        <v>4093</v>
      </c>
      <c r="M95" s="63">
        <v>4207</v>
      </c>
      <c r="N95" s="63">
        <v>4334</v>
      </c>
      <c r="O95" s="63">
        <v>4298</v>
      </c>
      <c r="Q95" s="277" t="s">
        <v>3585</v>
      </c>
    </row>
    <row r="96" spans="1:17">
      <c r="A96" s="829">
        <v>43</v>
      </c>
      <c r="B96" s="277" t="s">
        <v>8935</v>
      </c>
      <c r="C96" s="484" t="s">
        <v>9061</v>
      </c>
      <c r="D96" s="280">
        <v>0</v>
      </c>
      <c r="E96" s="280">
        <v>0</v>
      </c>
      <c r="F96" s="280">
        <v>3212</v>
      </c>
      <c r="G96" s="280">
        <v>3212</v>
      </c>
      <c r="H96" s="63">
        <v>3229</v>
      </c>
      <c r="I96" s="63">
        <v>3032</v>
      </c>
      <c r="J96" s="63">
        <v>3091</v>
      </c>
      <c r="K96" s="63">
        <v>3373</v>
      </c>
      <c r="L96" s="63">
        <v>3587</v>
      </c>
      <c r="M96" s="63">
        <v>3759</v>
      </c>
      <c r="N96" s="63">
        <v>4058</v>
      </c>
      <c r="O96" s="63">
        <v>4053</v>
      </c>
      <c r="Q96" s="277" t="s">
        <v>3586</v>
      </c>
    </row>
    <row r="97" spans="1:17">
      <c r="A97" s="829">
        <v>44</v>
      </c>
      <c r="B97" s="277" t="s">
        <v>6890</v>
      </c>
      <c r="C97" s="484" t="s">
        <v>9062</v>
      </c>
      <c r="D97" s="280">
        <v>0</v>
      </c>
      <c r="E97" s="280">
        <v>0</v>
      </c>
      <c r="F97" s="280">
        <v>3530</v>
      </c>
      <c r="G97" s="280">
        <v>3514</v>
      </c>
      <c r="H97" s="63">
        <v>3565</v>
      </c>
      <c r="I97" s="63">
        <v>3399</v>
      </c>
      <c r="J97" s="63">
        <v>3429</v>
      </c>
      <c r="K97" s="63">
        <v>3662</v>
      </c>
      <c r="L97" s="63">
        <v>3634</v>
      </c>
      <c r="M97" s="63">
        <v>3570</v>
      </c>
      <c r="N97" s="63">
        <v>3616</v>
      </c>
      <c r="O97" s="63">
        <v>3587</v>
      </c>
      <c r="Q97" s="277" t="s">
        <v>2214</v>
      </c>
    </row>
    <row r="98" spans="1:17">
      <c r="A98" s="829">
        <v>45</v>
      </c>
      <c r="B98" s="277" t="s">
        <v>8934</v>
      </c>
      <c r="C98" s="484" t="s">
        <v>9063</v>
      </c>
      <c r="D98" s="280">
        <v>0</v>
      </c>
      <c r="E98" s="280">
        <v>0</v>
      </c>
      <c r="F98" s="280">
        <v>3862</v>
      </c>
      <c r="G98" s="280">
        <v>3860</v>
      </c>
      <c r="H98" s="63">
        <v>3825</v>
      </c>
      <c r="I98" s="63">
        <v>3592</v>
      </c>
      <c r="J98" s="63">
        <v>3670</v>
      </c>
      <c r="K98" s="63">
        <v>3893</v>
      </c>
      <c r="L98" s="63">
        <v>3944</v>
      </c>
      <c r="M98" s="63">
        <v>3982</v>
      </c>
      <c r="N98" s="63">
        <v>4130</v>
      </c>
      <c r="O98" s="63">
        <v>4122</v>
      </c>
      <c r="Q98" s="277" t="s">
        <v>3586</v>
      </c>
    </row>
    <row r="99" spans="1:17">
      <c r="A99" s="829">
        <v>46</v>
      </c>
      <c r="B99" s="277" t="s">
        <v>8930</v>
      </c>
      <c r="C99" s="484" t="s">
        <v>9064</v>
      </c>
      <c r="D99" s="280">
        <v>0</v>
      </c>
      <c r="E99" s="280">
        <v>0</v>
      </c>
      <c r="F99" s="280">
        <v>3407</v>
      </c>
      <c r="G99" s="280">
        <v>3398</v>
      </c>
      <c r="H99" s="63">
        <v>3444</v>
      </c>
      <c r="I99" s="63">
        <v>3246</v>
      </c>
      <c r="J99" s="63">
        <v>3294</v>
      </c>
      <c r="K99" s="63">
        <v>3568</v>
      </c>
      <c r="L99" s="63">
        <v>3632</v>
      </c>
      <c r="M99" s="63">
        <v>3697</v>
      </c>
      <c r="N99" s="63">
        <v>3877</v>
      </c>
      <c r="O99" s="63">
        <v>3807</v>
      </c>
      <c r="Q99" s="277" t="s">
        <v>2215</v>
      </c>
    </row>
    <row r="100" spans="1:17">
      <c r="A100" s="829">
        <v>47</v>
      </c>
      <c r="B100" s="277" t="s">
        <v>8931</v>
      </c>
      <c r="C100" s="484" t="s">
        <v>9065</v>
      </c>
      <c r="D100" s="280">
        <v>0</v>
      </c>
      <c r="E100" s="280">
        <v>0</v>
      </c>
      <c r="F100" s="280">
        <v>3101</v>
      </c>
      <c r="G100" s="280">
        <v>3108</v>
      </c>
      <c r="H100" s="63">
        <v>3108</v>
      </c>
      <c r="I100" s="63">
        <v>2873</v>
      </c>
      <c r="J100" s="63">
        <v>2880</v>
      </c>
      <c r="K100" s="63">
        <v>3136</v>
      </c>
      <c r="L100" s="63">
        <v>3166</v>
      </c>
      <c r="M100" s="63">
        <v>3168</v>
      </c>
      <c r="N100" s="63">
        <v>3328</v>
      </c>
      <c r="O100" s="63">
        <v>3294</v>
      </c>
      <c r="Q100" s="277" t="s">
        <v>2215</v>
      </c>
    </row>
    <row r="101" spans="1:17">
      <c r="A101" s="829">
        <v>48</v>
      </c>
      <c r="B101" s="277" t="s">
        <v>8932</v>
      </c>
      <c r="C101" s="484" t="s">
        <v>9066</v>
      </c>
      <c r="D101" s="280">
        <v>0</v>
      </c>
      <c r="E101" s="280">
        <v>0</v>
      </c>
      <c r="F101" s="280">
        <v>3559</v>
      </c>
      <c r="G101" s="280">
        <v>3499</v>
      </c>
      <c r="H101" s="63">
        <v>3527</v>
      </c>
      <c r="I101" s="63">
        <v>3325</v>
      </c>
      <c r="J101" s="63">
        <v>3304</v>
      </c>
      <c r="K101" s="63">
        <v>3620</v>
      </c>
      <c r="L101" s="63">
        <v>3536</v>
      </c>
      <c r="M101" s="63">
        <v>3513</v>
      </c>
      <c r="N101" s="63">
        <v>3673</v>
      </c>
      <c r="O101" s="63">
        <v>3631</v>
      </c>
      <c r="Q101" s="277" t="s">
        <v>2215</v>
      </c>
    </row>
    <row r="102" spans="1:17">
      <c r="A102" s="829">
        <v>49</v>
      </c>
      <c r="B102" s="277" t="s">
        <v>8933</v>
      </c>
      <c r="C102" s="484" t="s">
        <v>9067</v>
      </c>
      <c r="D102" s="280">
        <v>0</v>
      </c>
      <c r="E102" s="280">
        <v>0</v>
      </c>
      <c r="F102" s="280">
        <v>7706</v>
      </c>
      <c r="G102" s="280">
        <v>7780</v>
      </c>
      <c r="H102" s="63">
        <v>7858</v>
      </c>
      <c r="I102" s="63">
        <v>7348</v>
      </c>
      <c r="J102" s="63">
        <v>7442</v>
      </c>
      <c r="K102" s="63">
        <v>7964</v>
      </c>
      <c r="L102" s="63">
        <v>7885</v>
      </c>
      <c r="M102" s="63">
        <v>7881</v>
      </c>
      <c r="N102" s="63">
        <v>8212</v>
      </c>
      <c r="O102" s="63">
        <v>8091</v>
      </c>
      <c r="Q102" s="277" t="s">
        <v>2215</v>
      </c>
    </row>
    <row r="103" spans="1:17">
      <c r="A103" s="829">
        <v>50</v>
      </c>
      <c r="B103" s="277" t="s">
        <v>8929</v>
      </c>
      <c r="C103" s="484" t="s">
        <v>9068</v>
      </c>
      <c r="D103" s="280">
        <v>0</v>
      </c>
      <c r="E103" s="280">
        <v>0</v>
      </c>
      <c r="F103" s="280">
        <v>7589</v>
      </c>
      <c r="G103" s="280">
        <v>7574</v>
      </c>
      <c r="H103" s="63">
        <v>7471</v>
      </c>
      <c r="I103" s="63">
        <v>7198</v>
      </c>
      <c r="J103" s="63">
        <v>7200</v>
      </c>
      <c r="K103" s="63">
        <v>7605</v>
      </c>
      <c r="L103" s="63">
        <v>7556</v>
      </c>
      <c r="M103" s="63">
        <v>7547</v>
      </c>
      <c r="N103" s="63">
        <v>7713</v>
      </c>
      <c r="O103" s="63">
        <v>7669</v>
      </c>
      <c r="Q103" s="277" t="s">
        <v>3586</v>
      </c>
    </row>
    <row r="104" spans="1:17">
      <c r="A104" s="829">
        <v>51</v>
      </c>
      <c r="B104" s="277" t="s">
        <v>8928</v>
      </c>
      <c r="C104" s="484" t="s">
        <v>9069</v>
      </c>
      <c r="D104" s="280">
        <v>0</v>
      </c>
      <c r="E104" s="280">
        <v>0</v>
      </c>
      <c r="F104" s="280">
        <v>3752</v>
      </c>
      <c r="G104" s="280">
        <v>3668</v>
      </c>
      <c r="H104" s="63">
        <v>3720</v>
      </c>
      <c r="I104" s="63">
        <v>3645</v>
      </c>
      <c r="J104" s="63">
        <v>3634</v>
      </c>
      <c r="K104" s="63">
        <v>4015</v>
      </c>
      <c r="L104" s="63">
        <v>4168</v>
      </c>
      <c r="M104" s="63">
        <v>4317</v>
      </c>
      <c r="N104" s="63">
        <v>4588</v>
      </c>
      <c r="O104" s="63">
        <v>4525</v>
      </c>
      <c r="Q104" s="277" t="s">
        <v>3587</v>
      </c>
    </row>
    <row r="105" spans="1:17">
      <c r="A105" s="829">
        <v>52</v>
      </c>
      <c r="B105" s="277" t="s">
        <v>8927</v>
      </c>
      <c r="C105" s="484" t="s">
        <v>9070</v>
      </c>
      <c r="D105" s="280">
        <v>0</v>
      </c>
      <c r="E105" s="280">
        <v>0</v>
      </c>
      <c r="F105" s="280">
        <v>4031</v>
      </c>
      <c r="G105" s="280">
        <v>4057</v>
      </c>
      <c r="H105" s="63">
        <v>4159</v>
      </c>
      <c r="I105" s="63">
        <v>4002</v>
      </c>
      <c r="J105" s="63">
        <v>4075</v>
      </c>
      <c r="K105" s="63">
        <v>4313</v>
      </c>
      <c r="L105" s="63">
        <v>4350</v>
      </c>
      <c r="M105" s="63">
        <v>4365</v>
      </c>
      <c r="N105" s="63">
        <v>4513</v>
      </c>
      <c r="O105" s="63">
        <v>4488</v>
      </c>
      <c r="Q105" s="277" t="s">
        <v>3586</v>
      </c>
    </row>
    <row r="106" spans="1:17">
      <c r="A106" s="277"/>
      <c r="D106" s="282"/>
      <c r="E106" s="282"/>
      <c r="F106" s="282"/>
      <c r="G106" s="282"/>
      <c r="H106" s="282"/>
      <c r="I106" s="282"/>
      <c r="J106" s="282"/>
      <c r="K106" s="282"/>
      <c r="L106" s="282"/>
      <c r="M106" s="282"/>
      <c r="N106" s="282"/>
      <c r="O106" s="282"/>
    </row>
    <row r="107" spans="1:17">
      <c r="A107" s="277" t="s">
        <v>3585</v>
      </c>
      <c r="D107" s="280">
        <f t="shared" ref="D107:O107" si="55">D51+D54+D60+D61+D68+D84+D88+SUM(D92:D95)</f>
        <v>74806</v>
      </c>
      <c r="E107" s="280">
        <f t="shared" si="55"/>
        <v>73820</v>
      </c>
      <c r="F107" s="280">
        <f t="shared" si="55"/>
        <v>74083</v>
      </c>
      <c r="G107" s="280">
        <f t="shared" si="55"/>
        <v>74031</v>
      </c>
      <c r="H107" s="280">
        <f t="shared" si="55"/>
        <v>74371</v>
      </c>
      <c r="I107" s="280">
        <f t="shared" si="55"/>
        <v>69960</v>
      </c>
      <c r="J107" s="280">
        <f t="shared" si="55"/>
        <v>71102</v>
      </c>
      <c r="K107" s="280">
        <f t="shared" si="55"/>
        <v>76465</v>
      </c>
      <c r="L107" s="280">
        <f t="shared" si="55"/>
        <v>77258</v>
      </c>
      <c r="M107" s="280">
        <f t="shared" si="55"/>
        <v>78421</v>
      </c>
      <c r="N107" s="280">
        <f t="shared" si="55"/>
        <v>81388</v>
      </c>
      <c r="O107" s="280">
        <f t="shared" si="55"/>
        <v>80874</v>
      </c>
    </row>
    <row r="108" spans="1:17">
      <c r="A108" s="277" t="s">
        <v>3586</v>
      </c>
      <c r="D108" s="280">
        <f t="shared" ref="D108:O108" si="56">SUM(D62:D67)+D72+D75+D86+D87+D96+D98+D103+D105</f>
        <v>78469</v>
      </c>
      <c r="E108" s="280">
        <f t="shared" si="56"/>
        <v>78845</v>
      </c>
      <c r="F108" s="280">
        <f t="shared" si="56"/>
        <v>78781</v>
      </c>
      <c r="G108" s="280">
        <f t="shared" si="56"/>
        <v>77756</v>
      </c>
      <c r="H108" s="280">
        <f t="shared" si="56"/>
        <v>76892</v>
      </c>
      <c r="I108" s="280">
        <f t="shared" si="56"/>
        <v>71336</v>
      </c>
      <c r="J108" s="280">
        <f t="shared" si="56"/>
        <v>72239</v>
      </c>
      <c r="K108" s="280">
        <f t="shared" si="56"/>
        <v>78047</v>
      </c>
      <c r="L108" s="280">
        <f t="shared" si="56"/>
        <v>78544</v>
      </c>
      <c r="M108" s="280">
        <f t="shared" si="56"/>
        <v>78801</v>
      </c>
      <c r="N108" s="280">
        <f t="shared" si="56"/>
        <v>80813</v>
      </c>
      <c r="O108" s="280">
        <f t="shared" si="56"/>
        <v>80227</v>
      </c>
    </row>
    <row r="109" spans="1:17">
      <c r="A109" s="277" t="s">
        <v>2286</v>
      </c>
      <c r="D109" s="280">
        <f t="shared" ref="D109:O109" si="57">D52+D55+D58+D76+D104</f>
        <v>11329</v>
      </c>
      <c r="E109" s="280">
        <f t="shared" si="57"/>
        <v>11441</v>
      </c>
      <c r="F109" s="280">
        <f t="shared" si="57"/>
        <v>11388</v>
      </c>
      <c r="G109" s="280">
        <f t="shared" si="57"/>
        <v>11249</v>
      </c>
      <c r="H109" s="280">
        <f t="shared" si="57"/>
        <v>11344</v>
      </c>
      <c r="I109" s="280">
        <f t="shared" si="57"/>
        <v>11087</v>
      </c>
      <c r="J109" s="280">
        <f t="shared" si="57"/>
        <v>11151</v>
      </c>
      <c r="K109" s="280">
        <f t="shared" si="57"/>
        <v>12186</v>
      </c>
      <c r="L109" s="280">
        <f t="shared" si="57"/>
        <v>12417</v>
      </c>
      <c r="M109" s="280">
        <f t="shared" si="57"/>
        <v>12620</v>
      </c>
      <c r="N109" s="280">
        <f t="shared" si="57"/>
        <v>13657</v>
      </c>
      <c r="O109" s="280">
        <f t="shared" si="57"/>
        <v>13536</v>
      </c>
    </row>
    <row r="110" spans="1:17">
      <c r="A110" s="277" t="s">
        <v>2214</v>
      </c>
      <c r="D110" s="280">
        <f t="shared" ref="D110:O110" si="58">D53+D57+D69+D70+SUM(D78:D83)+SUM(D89:D91)+D97</f>
        <v>74595</v>
      </c>
      <c r="E110" s="280">
        <f t="shared" si="58"/>
        <v>73613</v>
      </c>
      <c r="F110" s="280">
        <f t="shared" si="58"/>
        <v>73713</v>
      </c>
      <c r="G110" s="280">
        <f t="shared" si="58"/>
        <v>73463</v>
      </c>
      <c r="H110" s="280">
        <f t="shared" si="58"/>
        <v>73250</v>
      </c>
      <c r="I110" s="280">
        <f t="shared" si="58"/>
        <v>69165</v>
      </c>
      <c r="J110" s="280">
        <f t="shared" si="58"/>
        <v>69582</v>
      </c>
      <c r="K110" s="280">
        <f t="shared" si="58"/>
        <v>74817</v>
      </c>
      <c r="L110" s="280">
        <f t="shared" si="58"/>
        <v>75098</v>
      </c>
      <c r="M110" s="280">
        <f t="shared" si="58"/>
        <v>75004</v>
      </c>
      <c r="N110" s="280">
        <f t="shared" si="58"/>
        <v>76626</v>
      </c>
      <c r="O110" s="280">
        <f t="shared" si="58"/>
        <v>75881</v>
      </c>
    </row>
    <row r="111" spans="1:17">
      <c r="A111" s="277" t="s">
        <v>2287</v>
      </c>
      <c r="D111" s="280">
        <f t="shared" ref="D111:O111" si="59">D50+D59+D71+D73+D74+D85+SUM(D99:D102)</f>
        <v>49597</v>
      </c>
      <c r="E111" s="280">
        <f t="shared" si="59"/>
        <v>49225</v>
      </c>
      <c r="F111" s="280">
        <f t="shared" si="59"/>
        <v>49316</v>
      </c>
      <c r="G111" s="280">
        <f t="shared" si="59"/>
        <v>49187</v>
      </c>
      <c r="H111" s="280">
        <f t="shared" si="59"/>
        <v>49201</v>
      </c>
      <c r="I111" s="280">
        <f t="shared" si="59"/>
        <v>46658</v>
      </c>
      <c r="J111" s="280">
        <f t="shared" si="59"/>
        <v>46831</v>
      </c>
      <c r="K111" s="280">
        <f t="shared" si="59"/>
        <v>50553</v>
      </c>
      <c r="L111" s="280">
        <f t="shared" si="59"/>
        <v>50362</v>
      </c>
      <c r="M111" s="280">
        <f t="shared" si="59"/>
        <v>50091</v>
      </c>
      <c r="N111" s="280">
        <f t="shared" si="59"/>
        <v>51793</v>
      </c>
      <c r="O111" s="280">
        <f t="shared" si="59"/>
        <v>51159</v>
      </c>
    </row>
    <row r="112" spans="1:17">
      <c r="A112" s="277"/>
      <c r="D112" s="282"/>
      <c r="E112" s="282"/>
      <c r="F112" s="282"/>
      <c r="G112" s="282"/>
      <c r="H112" s="282"/>
      <c r="I112" s="282"/>
      <c r="J112" s="282"/>
      <c r="K112" s="282"/>
      <c r="L112" s="282"/>
      <c r="M112" s="282"/>
      <c r="N112" s="282"/>
      <c r="O112" s="282"/>
    </row>
    <row r="113" spans="1:17">
      <c r="A113" s="115" t="s">
        <v>8925</v>
      </c>
      <c r="D113" s="282"/>
      <c r="E113" s="282"/>
      <c r="F113" s="282"/>
      <c r="G113" s="282"/>
      <c r="H113" s="282"/>
      <c r="I113" s="282"/>
      <c r="J113" s="282"/>
      <c r="K113" s="282"/>
      <c r="L113" s="282"/>
      <c r="M113" s="282"/>
      <c r="N113" s="282"/>
      <c r="O113" s="282"/>
    </row>
    <row r="114" spans="1:17">
      <c r="A114" s="277"/>
      <c r="D114" s="282"/>
      <c r="E114" s="282"/>
      <c r="F114" s="282"/>
      <c r="G114" s="282"/>
      <c r="H114" s="282"/>
      <c r="I114" s="282"/>
      <c r="J114" s="282"/>
      <c r="K114" s="282"/>
      <c r="L114" s="282"/>
      <c r="M114" s="282"/>
      <c r="N114" s="282"/>
      <c r="O114" s="282"/>
    </row>
    <row r="115" spans="1:17">
      <c r="A115" s="277"/>
      <c r="D115" s="282"/>
      <c r="E115" s="282"/>
      <c r="F115" s="282"/>
      <c r="G115" s="282"/>
      <c r="H115" s="282"/>
      <c r="I115" s="282"/>
      <c r="J115" s="282"/>
      <c r="K115" s="282"/>
      <c r="L115" s="282"/>
      <c r="M115" s="282"/>
      <c r="N115" s="282"/>
      <c r="O115" s="282"/>
    </row>
    <row r="116" spans="1:17">
      <c r="E116" s="507" t="s">
        <v>1526</v>
      </c>
      <c r="F116" s="507"/>
      <c r="G116" s="507"/>
      <c r="H116" s="507"/>
      <c r="I116" s="507"/>
      <c r="J116" s="507"/>
      <c r="K116" s="507"/>
      <c r="L116" s="507"/>
      <c r="M116" s="507"/>
      <c r="N116" s="507"/>
      <c r="O116" s="507"/>
      <c r="P116" s="138"/>
      <c r="Q116" s="506" t="s">
        <v>9479</v>
      </c>
    </row>
    <row r="117" spans="1:17">
      <c r="D117" s="115">
        <v>2010</v>
      </c>
      <c r="E117" s="115">
        <v>2011</v>
      </c>
      <c r="F117" s="115">
        <v>2012</v>
      </c>
      <c r="G117" s="115">
        <v>2013</v>
      </c>
      <c r="H117" s="115">
        <v>2014</v>
      </c>
      <c r="I117" s="115">
        <v>2015</v>
      </c>
      <c r="J117" s="115">
        <v>2016</v>
      </c>
      <c r="K117" s="115">
        <v>2017</v>
      </c>
      <c r="L117" s="115">
        <v>2018</v>
      </c>
      <c r="M117" s="115">
        <v>2019</v>
      </c>
      <c r="N117" s="115">
        <v>2020</v>
      </c>
      <c r="O117" s="931" t="s">
        <v>14823</v>
      </c>
      <c r="Q117" s="506" t="s">
        <v>1527</v>
      </c>
    </row>
    <row r="118" spans="1:17">
      <c r="A118" s="277" t="s">
        <v>5923</v>
      </c>
      <c r="D118" s="280">
        <f t="shared" ref="D118:M118" si="60">SUM(D119:D123,D125:D127,D129:D130,D132:D135,D137:D146,D148:D156,D158:D160,D162:D163,D165:D170,D172:D176,D178:D185,D187:D189)</f>
        <v>251933</v>
      </c>
      <c r="E118" s="280">
        <f t="shared" si="60"/>
        <v>249503</v>
      </c>
      <c r="F118" s="280">
        <f t="shared" si="60"/>
        <v>247681</v>
      </c>
      <c r="G118" s="280">
        <f t="shared" si="60"/>
        <v>251088</v>
      </c>
      <c r="H118" s="280">
        <f t="shared" si="60"/>
        <v>254379</v>
      </c>
      <c r="I118" s="280">
        <f t="shared" si="60"/>
        <v>256791</v>
      </c>
      <c r="J118" s="280">
        <f t="shared" si="60"/>
        <v>256498</v>
      </c>
      <c r="K118" s="280">
        <f t="shared" si="60"/>
        <v>261340</v>
      </c>
      <c r="L118" s="280">
        <f t="shared" si="60"/>
        <v>267743</v>
      </c>
      <c r="M118" s="280">
        <f t="shared" si="60"/>
        <v>267795</v>
      </c>
      <c r="N118" s="280">
        <f>SUM(N119:N123,N125:N127,N129:N130,N132:N135,N137:N146,N148:N156,N158:N160,N162:N163,N165:N170,N172:N176,N178:N185,N187:N189)</f>
        <v>271419</v>
      </c>
      <c r="O118" s="280">
        <f>SUM(O119:O123,O125:O127,O129:O130,O132:O135,O137:O146,O148:O156,O158:O160,O162:O163,O165:O170,O172:O176,O178:O185,O187:O189)</f>
        <v>271184</v>
      </c>
    </row>
    <row r="119" spans="1:17">
      <c r="A119" s="833">
        <v>1</v>
      </c>
      <c r="B119" s="277" t="s">
        <v>15693</v>
      </c>
      <c r="C119" s="115" t="s">
        <v>13802</v>
      </c>
      <c r="D119" s="280">
        <v>68899</v>
      </c>
      <c r="E119" s="280">
        <v>68280</v>
      </c>
      <c r="F119" s="280">
        <v>68057</v>
      </c>
      <c r="G119" s="280">
        <v>68463</v>
      </c>
      <c r="H119" s="280">
        <v>70641</v>
      </c>
      <c r="I119" s="280">
        <v>70533</v>
      </c>
      <c r="J119" s="280">
        <v>70857</v>
      </c>
      <c r="K119" s="280">
        <v>72255</v>
      </c>
      <c r="L119" s="280">
        <v>74397</v>
      </c>
      <c r="M119" s="280">
        <v>74431</v>
      </c>
      <c r="N119" s="63">
        <v>10000</v>
      </c>
      <c r="O119" s="63">
        <v>9998</v>
      </c>
      <c r="Q119" s="277" t="s">
        <v>3584</v>
      </c>
    </row>
    <row r="120" spans="1:17">
      <c r="A120" s="833">
        <v>2</v>
      </c>
      <c r="B120" s="277" t="s">
        <v>15715</v>
      </c>
      <c r="C120" s="115" t="s">
        <v>13803</v>
      </c>
      <c r="D120" s="280">
        <v>65739</v>
      </c>
      <c r="E120" s="280">
        <v>66995</v>
      </c>
      <c r="F120" s="280">
        <v>66692</v>
      </c>
      <c r="G120" s="280">
        <v>67446</v>
      </c>
      <c r="H120" s="280">
        <v>67706</v>
      </c>
      <c r="I120" s="280">
        <v>68297</v>
      </c>
      <c r="J120" s="280">
        <v>67586</v>
      </c>
      <c r="K120" s="280">
        <v>68456</v>
      </c>
      <c r="L120" s="280">
        <v>69522</v>
      </c>
      <c r="M120" s="280">
        <v>69529</v>
      </c>
      <c r="N120" s="63">
        <v>8136</v>
      </c>
      <c r="O120" s="63">
        <v>8129</v>
      </c>
      <c r="Q120" s="277" t="s">
        <v>3588</v>
      </c>
    </row>
    <row r="121" spans="1:17">
      <c r="A121" s="834">
        <v>3</v>
      </c>
      <c r="B121" s="277" t="s">
        <v>15694</v>
      </c>
      <c r="C121" s="115" t="s">
        <v>13804</v>
      </c>
      <c r="D121" s="280">
        <v>0</v>
      </c>
      <c r="E121" s="280">
        <v>0</v>
      </c>
      <c r="F121" s="280">
        <v>0</v>
      </c>
      <c r="G121" s="280">
        <v>0</v>
      </c>
      <c r="H121" s="280">
        <v>0</v>
      </c>
      <c r="I121" s="280">
        <v>0</v>
      </c>
      <c r="J121" s="280">
        <v>0</v>
      </c>
      <c r="K121" s="280">
        <v>0</v>
      </c>
      <c r="L121" s="280">
        <v>0</v>
      </c>
      <c r="M121" s="280">
        <v>0</v>
      </c>
      <c r="N121" s="63">
        <v>13375</v>
      </c>
      <c r="O121" s="63">
        <v>13371</v>
      </c>
      <c r="Q121" s="277" t="s">
        <v>3584</v>
      </c>
    </row>
    <row r="122" spans="1:17">
      <c r="A122" s="833">
        <v>4</v>
      </c>
      <c r="B122" s="277" t="s">
        <v>15695</v>
      </c>
      <c r="C122" s="115" t="s">
        <v>13805</v>
      </c>
      <c r="D122" s="280">
        <v>0</v>
      </c>
      <c r="E122" s="280">
        <v>0</v>
      </c>
      <c r="F122" s="280">
        <v>0</v>
      </c>
      <c r="G122" s="280">
        <v>0</v>
      </c>
      <c r="H122" s="280">
        <v>0</v>
      </c>
      <c r="I122" s="280">
        <v>0</v>
      </c>
      <c r="J122" s="280">
        <v>0</v>
      </c>
      <c r="K122" s="280">
        <v>0</v>
      </c>
      <c r="L122" s="280">
        <v>0</v>
      </c>
      <c r="M122" s="280">
        <v>0</v>
      </c>
      <c r="N122" s="63">
        <v>6890</v>
      </c>
      <c r="O122" s="63">
        <v>6888</v>
      </c>
      <c r="Q122" s="277" t="s">
        <v>3584</v>
      </c>
    </row>
    <row r="123" spans="1:17" ht="15.75" thickBot="1">
      <c r="A123" s="833"/>
      <c r="B123" s="277"/>
      <c r="C123" s="115" t="s">
        <v>13805</v>
      </c>
      <c r="D123" s="283">
        <v>0</v>
      </c>
      <c r="E123" s="283">
        <v>0</v>
      </c>
      <c r="F123" s="283">
        <v>0</v>
      </c>
      <c r="G123" s="283">
        <v>0</v>
      </c>
      <c r="H123" s="283">
        <v>0</v>
      </c>
      <c r="I123" s="283">
        <v>0</v>
      </c>
      <c r="J123" s="283">
        <v>0</v>
      </c>
      <c r="K123" s="283">
        <v>0</v>
      </c>
      <c r="L123" s="283">
        <v>0</v>
      </c>
      <c r="M123" s="283">
        <v>0</v>
      </c>
      <c r="N123" s="283">
        <v>1634</v>
      </c>
      <c r="O123" s="283">
        <v>1632</v>
      </c>
      <c r="Q123" s="277" t="s">
        <v>3587</v>
      </c>
    </row>
    <row r="124" spans="1:17" ht="15.75" thickBot="1">
      <c r="A124" s="833"/>
      <c r="B124" s="277"/>
      <c r="C124" s="115" t="s">
        <v>13805</v>
      </c>
      <c r="D124" s="284">
        <f>D122+D123</f>
        <v>0</v>
      </c>
      <c r="E124" s="284">
        <f t="shared" ref="E124:N124" si="61">E122+E123</f>
        <v>0</v>
      </c>
      <c r="F124" s="284">
        <f t="shared" si="61"/>
        <v>0</v>
      </c>
      <c r="G124" s="284">
        <f t="shared" si="61"/>
        <v>0</v>
      </c>
      <c r="H124" s="284">
        <f t="shared" si="61"/>
        <v>0</v>
      </c>
      <c r="I124" s="284">
        <f t="shared" si="61"/>
        <v>0</v>
      </c>
      <c r="J124" s="284">
        <f t="shared" si="61"/>
        <v>0</v>
      </c>
      <c r="K124" s="284">
        <f t="shared" si="61"/>
        <v>0</v>
      </c>
      <c r="L124" s="284">
        <f t="shared" si="61"/>
        <v>0</v>
      </c>
      <c r="M124" s="284">
        <f t="shared" si="61"/>
        <v>0</v>
      </c>
      <c r="N124" s="284">
        <f t="shared" si="61"/>
        <v>8524</v>
      </c>
      <c r="O124" s="284">
        <f>O122+O123</f>
        <v>8520</v>
      </c>
      <c r="Q124" s="277"/>
    </row>
    <row r="125" spans="1:17">
      <c r="A125" s="833">
        <v>5</v>
      </c>
      <c r="B125" s="277" t="s">
        <v>15703</v>
      </c>
      <c r="C125" s="115" t="s">
        <v>13806</v>
      </c>
      <c r="D125" s="280">
        <v>0</v>
      </c>
      <c r="E125" s="280">
        <v>0</v>
      </c>
      <c r="F125" s="280">
        <v>0</v>
      </c>
      <c r="G125" s="280">
        <v>0</v>
      </c>
      <c r="H125" s="280">
        <v>0</v>
      </c>
      <c r="I125" s="280">
        <v>0</v>
      </c>
      <c r="J125" s="280">
        <v>0</v>
      </c>
      <c r="K125" s="280">
        <v>0</v>
      </c>
      <c r="L125" s="280">
        <v>0</v>
      </c>
      <c r="M125" s="280">
        <v>0</v>
      </c>
      <c r="N125" s="63">
        <v>4769</v>
      </c>
      <c r="O125" s="63">
        <v>4768</v>
      </c>
      <c r="Q125" s="277" t="s">
        <v>3587</v>
      </c>
    </row>
    <row r="126" spans="1:17">
      <c r="A126" s="833"/>
      <c r="B126" s="277"/>
      <c r="C126" s="115" t="s">
        <v>13806</v>
      </c>
      <c r="D126" s="280">
        <v>0</v>
      </c>
      <c r="E126" s="280">
        <v>0</v>
      </c>
      <c r="F126" s="280">
        <v>0</v>
      </c>
      <c r="G126" s="280">
        <v>0</v>
      </c>
      <c r="H126" s="280">
        <v>0</v>
      </c>
      <c r="I126" s="280">
        <v>0</v>
      </c>
      <c r="J126" s="280">
        <v>0</v>
      </c>
      <c r="K126" s="280">
        <v>0</v>
      </c>
      <c r="L126" s="280">
        <v>0</v>
      </c>
      <c r="M126" s="280">
        <v>0</v>
      </c>
      <c r="N126" s="280">
        <v>33</v>
      </c>
      <c r="O126" s="280">
        <v>33</v>
      </c>
      <c r="Q126" s="277" t="s">
        <v>2215</v>
      </c>
    </row>
    <row r="127" spans="1:17" ht="15.75" thickBot="1">
      <c r="B127" s="277"/>
      <c r="C127" s="115" t="s">
        <v>13806</v>
      </c>
      <c r="D127" s="283">
        <v>0</v>
      </c>
      <c r="E127" s="283">
        <v>0</v>
      </c>
      <c r="F127" s="283">
        <v>0</v>
      </c>
      <c r="G127" s="283">
        <v>0</v>
      </c>
      <c r="H127" s="283">
        <v>0</v>
      </c>
      <c r="I127" s="283">
        <v>0</v>
      </c>
      <c r="J127" s="283">
        <v>0</v>
      </c>
      <c r="K127" s="283">
        <v>0</v>
      </c>
      <c r="L127" s="283">
        <v>0</v>
      </c>
      <c r="M127" s="283">
        <v>0</v>
      </c>
      <c r="N127" s="283">
        <v>3666</v>
      </c>
      <c r="O127" s="283">
        <v>3664</v>
      </c>
      <c r="Q127" s="277" t="s">
        <v>2216</v>
      </c>
    </row>
    <row r="128" spans="1:17" ht="15.75" thickBot="1">
      <c r="A128" s="833"/>
      <c r="B128" s="277"/>
      <c r="C128" s="115" t="s">
        <v>13806</v>
      </c>
      <c r="D128" s="284">
        <f>SUM(D125:D127)</f>
        <v>0</v>
      </c>
      <c r="E128" s="284">
        <f t="shared" ref="E128:N128" si="62">SUM(E125:E127)</f>
        <v>0</v>
      </c>
      <c r="F128" s="284">
        <f t="shared" si="62"/>
        <v>0</v>
      </c>
      <c r="G128" s="284">
        <f t="shared" si="62"/>
        <v>0</v>
      </c>
      <c r="H128" s="284">
        <f t="shared" si="62"/>
        <v>0</v>
      </c>
      <c r="I128" s="284">
        <f t="shared" si="62"/>
        <v>0</v>
      </c>
      <c r="J128" s="284">
        <f t="shared" si="62"/>
        <v>0</v>
      </c>
      <c r="K128" s="284">
        <f t="shared" si="62"/>
        <v>0</v>
      </c>
      <c r="L128" s="284">
        <f t="shared" si="62"/>
        <v>0</v>
      </c>
      <c r="M128" s="284">
        <f t="shared" si="62"/>
        <v>0</v>
      </c>
      <c r="N128" s="284">
        <f t="shared" si="62"/>
        <v>8468</v>
      </c>
      <c r="O128" s="284">
        <f>SUM(O125:O127)</f>
        <v>8465</v>
      </c>
      <c r="Q128" s="277"/>
    </row>
    <row r="129" spans="1:17">
      <c r="A129" s="833">
        <v>6</v>
      </c>
      <c r="B129" s="277" t="s">
        <v>15696</v>
      </c>
      <c r="C129" s="115" t="s">
        <v>13807</v>
      </c>
      <c r="D129" s="280">
        <v>0</v>
      </c>
      <c r="E129" s="280">
        <v>0</v>
      </c>
      <c r="F129" s="280">
        <v>0</v>
      </c>
      <c r="G129" s="280">
        <v>0</v>
      </c>
      <c r="H129" s="280">
        <v>0</v>
      </c>
      <c r="I129" s="280">
        <v>0</v>
      </c>
      <c r="J129" s="280">
        <v>0</v>
      </c>
      <c r="K129" s="280">
        <v>0</v>
      </c>
      <c r="L129" s="280">
        <v>0</v>
      </c>
      <c r="M129" s="280">
        <v>0</v>
      </c>
      <c r="N129" s="280">
        <v>214</v>
      </c>
      <c r="O129" s="280">
        <v>214</v>
      </c>
      <c r="Q129" s="277" t="s">
        <v>3584</v>
      </c>
    </row>
    <row r="130" spans="1:17" ht="15.75" thickBot="1">
      <c r="A130" s="833"/>
      <c r="B130" s="277"/>
      <c r="C130" s="115" t="s">
        <v>13807</v>
      </c>
      <c r="D130" s="283">
        <v>0</v>
      </c>
      <c r="E130" s="283">
        <v>0</v>
      </c>
      <c r="F130" s="283">
        <v>0</v>
      </c>
      <c r="G130" s="283">
        <v>0</v>
      </c>
      <c r="H130" s="283">
        <v>0</v>
      </c>
      <c r="I130" s="283">
        <v>0</v>
      </c>
      <c r="J130" s="283">
        <v>0</v>
      </c>
      <c r="K130" s="283">
        <v>0</v>
      </c>
      <c r="L130" s="283">
        <v>0</v>
      </c>
      <c r="M130" s="283">
        <v>0</v>
      </c>
      <c r="N130" s="283">
        <v>3544</v>
      </c>
      <c r="O130" s="283">
        <v>3541</v>
      </c>
      <c r="Q130" s="277" t="s">
        <v>3587</v>
      </c>
    </row>
    <row r="131" spans="1:17" ht="15.75" thickBot="1">
      <c r="A131" s="833"/>
      <c r="B131" s="277"/>
      <c r="C131" s="115" t="s">
        <v>13807</v>
      </c>
      <c r="D131" s="284">
        <f t="shared" ref="D131:O131" si="63">D129+D130</f>
        <v>0</v>
      </c>
      <c r="E131" s="284">
        <f t="shared" si="63"/>
        <v>0</v>
      </c>
      <c r="F131" s="284">
        <f t="shared" si="63"/>
        <v>0</v>
      </c>
      <c r="G131" s="284">
        <f t="shared" si="63"/>
        <v>0</v>
      </c>
      <c r="H131" s="284">
        <f t="shared" si="63"/>
        <v>0</v>
      </c>
      <c r="I131" s="284">
        <f t="shared" si="63"/>
        <v>0</v>
      </c>
      <c r="J131" s="284">
        <f t="shared" si="63"/>
        <v>0</v>
      </c>
      <c r="K131" s="284">
        <f t="shared" si="63"/>
        <v>0</v>
      </c>
      <c r="L131" s="284">
        <f t="shared" si="63"/>
        <v>0</v>
      </c>
      <c r="M131" s="284">
        <f t="shared" si="63"/>
        <v>0</v>
      </c>
      <c r="N131" s="284">
        <f t="shared" si="63"/>
        <v>3758</v>
      </c>
      <c r="O131" s="284">
        <f t="shared" si="63"/>
        <v>3755</v>
      </c>
      <c r="Q131" s="277"/>
    </row>
    <row r="132" spans="1:17">
      <c r="A132" s="833">
        <v>7</v>
      </c>
      <c r="B132" s="277" t="s">
        <v>15730</v>
      </c>
      <c r="C132" s="115" t="s">
        <v>13808</v>
      </c>
      <c r="D132" s="280">
        <v>44689</v>
      </c>
      <c r="E132" s="280">
        <v>43780</v>
      </c>
      <c r="F132" s="280">
        <v>42920</v>
      </c>
      <c r="G132" s="280">
        <v>43670</v>
      </c>
      <c r="H132" s="280">
        <v>44315</v>
      </c>
      <c r="I132" s="280">
        <v>45071</v>
      </c>
      <c r="J132" s="280">
        <v>45044</v>
      </c>
      <c r="K132" s="280">
        <v>45980</v>
      </c>
      <c r="L132" s="280">
        <v>47385</v>
      </c>
      <c r="M132" s="280">
        <v>47392</v>
      </c>
      <c r="N132" s="280">
        <v>7644</v>
      </c>
      <c r="O132" s="280">
        <v>7631</v>
      </c>
      <c r="Q132" s="277" t="s">
        <v>2216</v>
      </c>
    </row>
    <row r="133" spans="1:17">
      <c r="A133" s="833">
        <v>8</v>
      </c>
      <c r="B133" s="115" t="s">
        <v>15697</v>
      </c>
      <c r="C133" s="115" t="s">
        <v>13809</v>
      </c>
      <c r="D133" s="280">
        <v>0</v>
      </c>
      <c r="E133" s="280">
        <v>0</v>
      </c>
      <c r="F133" s="280">
        <v>0</v>
      </c>
      <c r="G133" s="280">
        <v>0</v>
      </c>
      <c r="H133" s="280">
        <v>0</v>
      </c>
      <c r="I133" s="280">
        <v>0</v>
      </c>
      <c r="J133" s="280">
        <v>0</v>
      </c>
      <c r="K133" s="280">
        <v>0</v>
      </c>
      <c r="L133" s="280">
        <v>0</v>
      </c>
      <c r="M133" s="280">
        <v>0</v>
      </c>
      <c r="N133" s="280">
        <v>1292</v>
      </c>
      <c r="O133" s="280">
        <v>1294</v>
      </c>
      <c r="Q133" s="277" t="s">
        <v>3584</v>
      </c>
    </row>
    <row r="134" spans="1:17">
      <c r="B134" s="277"/>
      <c r="C134" s="115" t="s">
        <v>13809</v>
      </c>
      <c r="D134" s="280">
        <v>0</v>
      </c>
      <c r="E134" s="280">
        <v>0</v>
      </c>
      <c r="F134" s="280">
        <v>0</v>
      </c>
      <c r="G134" s="280">
        <v>0</v>
      </c>
      <c r="H134" s="280">
        <v>0</v>
      </c>
      <c r="I134" s="280">
        <v>0</v>
      </c>
      <c r="J134" s="280">
        <v>0</v>
      </c>
      <c r="K134" s="280">
        <v>0</v>
      </c>
      <c r="L134" s="280">
        <v>0</v>
      </c>
      <c r="M134" s="280">
        <v>0</v>
      </c>
      <c r="N134" s="280">
        <v>817</v>
      </c>
      <c r="O134" s="280">
        <v>813</v>
      </c>
      <c r="Q134" s="277" t="s">
        <v>3587</v>
      </c>
    </row>
    <row r="135" spans="1:17" ht="15.75" thickBot="1">
      <c r="B135" s="277"/>
      <c r="C135" s="115" t="s">
        <v>13809</v>
      </c>
      <c r="D135" s="283">
        <v>0</v>
      </c>
      <c r="E135" s="283">
        <v>0</v>
      </c>
      <c r="F135" s="283">
        <v>0</v>
      </c>
      <c r="G135" s="283">
        <v>0</v>
      </c>
      <c r="H135" s="283">
        <v>0</v>
      </c>
      <c r="I135" s="283">
        <v>0</v>
      </c>
      <c r="J135" s="283">
        <v>0</v>
      </c>
      <c r="K135" s="283">
        <v>0</v>
      </c>
      <c r="L135" s="283">
        <v>0</v>
      </c>
      <c r="M135" s="283">
        <v>0</v>
      </c>
      <c r="N135" s="283">
        <v>5301</v>
      </c>
      <c r="O135" s="283">
        <v>5300</v>
      </c>
      <c r="Q135" s="277" t="s">
        <v>3588</v>
      </c>
    </row>
    <row r="136" spans="1:17" ht="15.75" thickBot="1">
      <c r="A136" s="833"/>
      <c r="B136" s="277"/>
      <c r="C136" s="115" t="s">
        <v>13809</v>
      </c>
      <c r="D136" s="284">
        <f t="shared" ref="D136:O136" si="64">SUM(D133:D135)</f>
        <v>0</v>
      </c>
      <c r="E136" s="284">
        <f t="shared" si="64"/>
        <v>0</v>
      </c>
      <c r="F136" s="284">
        <f t="shared" si="64"/>
        <v>0</v>
      </c>
      <c r="G136" s="284">
        <f t="shared" si="64"/>
        <v>0</v>
      </c>
      <c r="H136" s="284">
        <f t="shared" si="64"/>
        <v>0</v>
      </c>
      <c r="I136" s="284">
        <f t="shared" si="64"/>
        <v>0</v>
      </c>
      <c r="J136" s="284">
        <f t="shared" si="64"/>
        <v>0</v>
      </c>
      <c r="K136" s="284">
        <f t="shared" si="64"/>
        <v>0</v>
      </c>
      <c r="L136" s="284">
        <f t="shared" si="64"/>
        <v>0</v>
      </c>
      <c r="M136" s="284">
        <f t="shared" si="64"/>
        <v>0</v>
      </c>
      <c r="N136" s="284">
        <f t="shared" si="64"/>
        <v>7410</v>
      </c>
      <c r="O136" s="284">
        <f t="shared" si="64"/>
        <v>7407</v>
      </c>
      <c r="Q136" s="277"/>
    </row>
    <row r="137" spans="1:17">
      <c r="A137" s="833">
        <v>9</v>
      </c>
      <c r="B137" s="277" t="s">
        <v>15698</v>
      </c>
      <c r="C137" s="115" t="s">
        <v>13810</v>
      </c>
      <c r="D137" s="280">
        <v>0</v>
      </c>
      <c r="E137" s="280">
        <v>0</v>
      </c>
      <c r="F137" s="280">
        <v>0</v>
      </c>
      <c r="G137" s="280">
        <v>0</v>
      </c>
      <c r="H137" s="280">
        <v>0</v>
      </c>
      <c r="I137" s="280">
        <v>0</v>
      </c>
      <c r="J137" s="280">
        <v>0</v>
      </c>
      <c r="K137" s="280">
        <v>0</v>
      </c>
      <c r="L137" s="280">
        <v>0</v>
      </c>
      <c r="M137" s="280">
        <v>0</v>
      </c>
      <c r="N137" s="280">
        <v>8734</v>
      </c>
      <c r="O137" s="280">
        <v>8720</v>
      </c>
      <c r="Q137" s="277" t="s">
        <v>3584</v>
      </c>
    </row>
    <row r="138" spans="1:17">
      <c r="A138" s="833">
        <v>10</v>
      </c>
      <c r="B138" s="277" t="s">
        <v>15699</v>
      </c>
      <c r="C138" s="115" t="s">
        <v>13811</v>
      </c>
      <c r="D138" s="280">
        <v>0</v>
      </c>
      <c r="E138" s="280">
        <v>0</v>
      </c>
      <c r="F138" s="280">
        <v>0</v>
      </c>
      <c r="G138" s="280">
        <v>0</v>
      </c>
      <c r="H138" s="280">
        <v>0</v>
      </c>
      <c r="I138" s="280">
        <v>0</v>
      </c>
      <c r="J138" s="280">
        <v>0</v>
      </c>
      <c r="K138" s="280">
        <v>0</v>
      </c>
      <c r="L138" s="280">
        <v>0</v>
      </c>
      <c r="M138" s="280">
        <v>0</v>
      </c>
      <c r="N138" s="280">
        <v>7407</v>
      </c>
      <c r="O138" s="280">
        <v>7402</v>
      </c>
      <c r="Q138" s="277" t="s">
        <v>3584</v>
      </c>
    </row>
    <row r="139" spans="1:17">
      <c r="A139" s="833">
        <v>11</v>
      </c>
      <c r="B139" s="277" t="s">
        <v>15731</v>
      </c>
      <c r="C139" s="115" t="s">
        <v>13812</v>
      </c>
      <c r="D139" s="280">
        <v>0</v>
      </c>
      <c r="E139" s="280">
        <v>0</v>
      </c>
      <c r="F139" s="280">
        <v>0</v>
      </c>
      <c r="G139" s="280">
        <v>0</v>
      </c>
      <c r="H139" s="280">
        <v>0</v>
      </c>
      <c r="I139" s="280">
        <v>0</v>
      </c>
      <c r="J139" s="280">
        <v>0</v>
      </c>
      <c r="K139" s="280">
        <v>0</v>
      </c>
      <c r="L139" s="280">
        <v>0</v>
      </c>
      <c r="M139" s="280">
        <v>0</v>
      </c>
      <c r="N139" s="280">
        <v>6792</v>
      </c>
      <c r="O139" s="280">
        <v>6784</v>
      </c>
      <c r="Q139" s="277" t="s">
        <v>2216</v>
      </c>
    </row>
    <row r="140" spans="1:17">
      <c r="A140" s="833">
        <v>12</v>
      </c>
      <c r="B140" s="277" t="s">
        <v>15732</v>
      </c>
      <c r="C140" s="115" t="s">
        <v>13813</v>
      </c>
      <c r="D140" s="280">
        <v>0</v>
      </c>
      <c r="E140" s="280">
        <v>0</v>
      </c>
      <c r="F140" s="280">
        <v>0</v>
      </c>
      <c r="G140" s="280">
        <v>0</v>
      </c>
      <c r="H140" s="280">
        <v>0</v>
      </c>
      <c r="I140" s="280">
        <v>0</v>
      </c>
      <c r="J140" s="280">
        <v>0</v>
      </c>
      <c r="K140" s="280">
        <v>0</v>
      </c>
      <c r="L140" s="280">
        <v>0</v>
      </c>
      <c r="M140" s="280">
        <v>0</v>
      </c>
      <c r="N140" s="280">
        <v>4251</v>
      </c>
      <c r="O140" s="280">
        <v>4246</v>
      </c>
      <c r="Q140" s="277" t="s">
        <v>2216</v>
      </c>
    </row>
    <row r="141" spans="1:17">
      <c r="A141" s="833">
        <v>13</v>
      </c>
      <c r="B141" s="277" t="s">
        <v>15700</v>
      </c>
      <c r="C141" s="115" t="s">
        <v>13814</v>
      </c>
      <c r="D141" s="280">
        <v>0</v>
      </c>
      <c r="E141" s="280">
        <v>0</v>
      </c>
      <c r="F141" s="280">
        <v>0</v>
      </c>
      <c r="G141" s="280">
        <v>0</v>
      </c>
      <c r="H141" s="280">
        <v>0</v>
      </c>
      <c r="I141" s="280">
        <v>0</v>
      </c>
      <c r="J141" s="280">
        <v>0</v>
      </c>
      <c r="K141" s="280">
        <v>0</v>
      </c>
      <c r="L141" s="280">
        <v>0</v>
      </c>
      <c r="M141" s="280">
        <v>0</v>
      </c>
      <c r="N141" s="280">
        <v>3913</v>
      </c>
      <c r="O141" s="280">
        <v>3911</v>
      </c>
      <c r="Q141" s="277" t="s">
        <v>3584</v>
      </c>
    </row>
    <row r="142" spans="1:17">
      <c r="A142" s="833">
        <v>14</v>
      </c>
      <c r="B142" s="277" t="s">
        <v>15716</v>
      </c>
      <c r="C142" s="115" t="s">
        <v>13815</v>
      </c>
      <c r="D142" s="280">
        <v>0</v>
      </c>
      <c r="E142" s="280">
        <v>0</v>
      </c>
      <c r="F142" s="280">
        <v>0</v>
      </c>
      <c r="G142" s="280">
        <v>0</v>
      </c>
      <c r="H142" s="280">
        <v>0</v>
      </c>
      <c r="I142" s="280">
        <v>0</v>
      </c>
      <c r="J142" s="280">
        <v>0</v>
      </c>
      <c r="K142" s="280">
        <v>0</v>
      </c>
      <c r="L142" s="280">
        <v>0</v>
      </c>
      <c r="M142" s="280">
        <v>0</v>
      </c>
      <c r="N142" s="280">
        <v>7759</v>
      </c>
      <c r="O142" s="280">
        <v>7758</v>
      </c>
      <c r="Q142" s="277" t="s">
        <v>3588</v>
      </c>
    </row>
    <row r="143" spans="1:17">
      <c r="A143" s="833">
        <v>15</v>
      </c>
      <c r="B143" s="277" t="s">
        <v>15717</v>
      </c>
      <c r="C143" s="115" t="s">
        <v>13816</v>
      </c>
      <c r="D143" s="280">
        <v>0</v>
      </c>
      <c r="E143" s="280">
        <v>0</v>
      </c>
      <c r="F143" s="280">
        <v>0</v>
      </c>
      <c r="G143" s="280">
        <v>0</v>
      </c>
      <c r="H143" s="280">
        <v>0</v>
      </c>
      <c r="I143" s="280">
        <v>0</v>
      </c>
      <c r="J143" s="280">
        <v>0</v>
      </c>
      <c r="K143" s="280">
        <v>0</v>
      </c>
      <c r="L143" s="280">
        <v>0</v>
      </c>
      <c r="M143" s="280">
        <v>0</v>
      </c>
      <c r="N143" s="280">
        <v>4256</v>
      </c>
      <c r="O143" s="280">
        <v>4251</v>
      </c>
      <c r="Q143" s="277" t="s">
        <v>3588</v>
      </c>
    </row>
    <row r="144" spans="1:17">
      <c r="A144" s="833">
        <v>16</v>
      </c>
      <c r="B144" s="115" t="s">
        <v>15704</v>
      </c>
      <c r="C144" s="115" t="s">
        <v>13817</v>
      </c>
      <c r="D144" s="280">
        <v>55967</v>
      </c>
      <c r="E144" s="280">
        <v>54473</v>
      </c>
      <c r="F144" s="280">
        <v>53972</v>
      </c>
      <c r="G144" s="280">
        <v>55125</v>
      </c>
      <c r="H144" s="280">
        <v>55387</v>
      </c>
      <c r="I144" s="280">
        <v>56378</v>
      </c>
      <c r="J144" s="280">
        <v>56484</v>
      </c>
      <c r="K144" s="280">
        <v>57571</v>
      </c>
      <c r="L144" s="280">
        <v>59051</v>
      </c>
      <c r="M144" s="280">
        <v>59054</v>
      </c>
      <c r="N144" s="280">
        <v>3762</v>
      </c>
      <c r="O144" s="280">
        <v>3755</v>
      </c>
      <c r="Q144" s="277" t="s">
        <v>3587</v>
      </c>
    </row>
    <row r="145" spans="1:17">
      <c r="A145" s="833">
        <v>17</v>
      </c>
      <c r="B145" s="277" t="s">
        <v>15727</v>
      </c>
      <c r="C145" s="115" t="s">
        <v>13818</v>
      </c>
      <c r="D145" s="280">
        <v>0</v>
      </c>
      <c r="E145" s="280">
        <v>0</v>
      </c>
      <c r="F145" s="280">
        <v>0</v>
      </c>
      <c r="G145" s="280">
        <v>0</v>
      </c>
      <c r="H145" s="280">
        <v>0</v>
      </c>
      <c r="I145" s="280">
        <v>0</v>
      </c>
      <c r="J145" s="280">
        <v>0</v>
      </c>
      <c r="K145" s="280">
        <v>0</v>
      </c>
      <c r="L145" s="280">
        <v>0</v>
      </c>
      <c r="M145" s="280">
        <v>0</v>
      </c>
      <c r="N145" s="280">
        <v>9549</v>
      </c>
      <c r="O145" s="280">
        <v>9545</v>
      </c>
      <c r="Q145" s="277" t="s">
        <v>2215</v>
      </c>
    </row>
    <row r="146" spans="1:17" ht="15.75" thickBot="1">
      <c r="B146" s="277"/>
      <c r="C146" s="115" t="s">
        <v>13818</v>
      </c>
      <c r="D146" s="283">
        <v>0</v>
      </c>
      <c r="E146" s="283">
        <v>0</v>
      </c>
      <c r="F146" s="283">
        <v>0</v>
      </c>
      <c r="G146" s="283">
        <v>0</v>
      </c>
      <c r="H146" s="283">
        <v>0</v>
      </c>
      <c r="I146" s="283">
        <v>0</v>
      </c>
      <c r="J146" s="283">
        <v>0</v>
      </c>
      <c r="K146" s="283">
        <v>0</v>
      </c>
      <c r="L146" s="283">
        <v>0</v>
      </c>
      <c r="M146" s="283">
        <v>0</v>
      </c>
      <c r="N146" s="283">
        <v>843</v>
      </c>
      <c r="O146" s="283">
        <v>842</v>
      </c>
      <c r="Q146" s="277" t="s">
        <v>2216</v>
      </c>
    </row>
    <row r="147" spans="1:17" ht="15.75" thickBot="1">
      <c r="A147" s="833"/>
      <c r="B147" s="277"/>
      <c r="C147" s="115" t="s">
        <v>13818</v>
      </c>
      <c r="D147" s="284">
        <f t="shared" ref="D147:O147" si="65">D145+D146</f>
        <v>0</v>
      </c>
      <c r="E147" s="284">
        <f t="shared" si="65"/>
        <v>0</v>
      </c>
      <c r="F147" s="284">
        <f t="shared" si="65"/>
        <v>0</v>
      </c>
      <c r="G147" s="284">
        <f t="shared" si="65"/>
        <v>0</v>
      </c>
      <c r="H147" s="284">
        <f t="shared" si="65"/>
        <v>0</v>
      </c>
      <c r="I147" s="284">
        <f t="shared" si="65"/>
        <v>0</v>
      </c>
      <c r="J147" s="284">
        <f t="shared" si="65"/>
        <v>0</v>
      </c>
      <c r="K147" s="284">
        <f t="shared" si="65"/>
        <v>0</v>
      </c>
      <c r="L147" s="284">
        <f t="shared" si="65"/>
        <v>0</v>
      </c>
      <c r="M147" s="284">
        <f t="shared" si="65"/>
        <v>0</v>
      </c>
      <c r="N147" s="284">
        <f t="shared" si="65"/>
        <v>10392</v>
      </c>
      <c r="O147" s="284">
        <f t="shared" si="65"/>
        <v>10387</v>
      </c>
      <c r="Q147" s="277"/>
    </row>
    <row r="148" spans="1:17">
      <c r="A148" s="833">
        <v>18</v>
      </c>
      <c r="B148" s="115" t="s">
        <v>15718</v>
      </c>
      <c r="C148" s="115" t="s">
        <v>13819</v>
      </c>
      <c r="D148" s="280">
        <v>0</v>
      </c>
      <c r="E148" s="280">
        <v>0</v>
      </c>
      <c r="F148" s="280">
        <v>0</v>
      </c>
      <c r="G148" s="280">
        <v>0</v>
      </c>
      <c r="H148" s="280">
        <v>0</v>
      </c>
      <c r="I148" s="280">
        <v>0</v>
      </c>
      <c r="J148" s="280">
        <v>0</v>
      </c>
      <c r="K148" s="280">
        <v>0</v>
      </c>
      <c r="L148" s="280">
        <v>0</v>
      </c>
      <c r="M148" s="280">
        <v>0</v>
      </c>
      <c r="N148" s="280">
        <v>4276</v>
      </c>
      <c r="O148" s="280">
        <v>4279</v>
      </c>
      <c r="Q148" s="277" t="s">
        <v>3588</v>
      </c>
    </row>
    <row r="149" spans="1:17">
      <c r="A149" s="833">
        <v>19</v>
      </c>
      <c r="B149" s="115" t="s">
        <v>15719</v>
      </c>
      <c r="C149" s="115" t="s">
        <v>13820</v>
      </c>
      <c r="D149" s="280">
        <v>0</v>
      </c>
      <c r="E149" s="280">
        <v>0</v>
      </c>
      <c r="F149" s="280">
        <v>0</v>
      </c>
      <c r="G149" s="280">
        <v>0</v>
      </c>
      <c r="H149" s="280">
        <v>0</v>
      </c>
      <c r="I149" s="280">
        <v>0</v>
      </c>
      <c r="J149" s="280">
        <v>0</v>
      </c>
      <c r="K149" s="280">
        <v>0</v>
      </c>
      <c r="L149" s="280">
        <v>0</v>
      </c>
      <c r="M149" s="280">
        <v>0</v>
      </c>
      <c r="N149" s="280">
        <v>4222</v>
      </c>
      <c r="O149" s="280">
        <v>4214</v>
      </c>
      <c r="Q149" s="277" t="s">
        <v>3588</v>
      </c>
    </row>
    <row r="150" spans="1:17">
      <c r="A150" s="833">
        <v>20</v>
      </c>
      <c r="B150" s="115" t="s">
        <v>15701</v>
      </c>
      <c r="C150" s="115" t="s">
        <v>13821</v>
      </c>
      <c r="D150" s="280">
        <v>0</v>
      </c>
      <c r="E150" s="280">
        <v>0</v>
      </c>
      <c r="F150" s="280">
        <v>0</v>
      </c>
      <c r="G150" s="280">
        <v>0</v>
      </c>
      <c r="H150" s="280">
        <v>0</v>
      </c>
      <c r="I150" s="280">
        <v>0</v>
      </c>
      <c r="J150" s="280">
        <v>0</v>
      </c>
      <c r="K150" s="280">
        <v>0</v>
      </c>
      <c r="L150" s="280">
        <v>0</v>
      </c>
      <c r="M150" s="280">
        <v>0</v>
      </c>
      <c r="N150" s="280">
        <v>11482</v>
      </c>
      <c r="O150" s="280">
        <v>11478</v>
      </c>
      <c r="Q150" s="277" t="s">
        <v>3584</v>
      </c>
    </row>
    <row r="151" spans="1:17">
      <c r="A151" s="833">
        <v>21</v>
      </c>
      <c r="B151" s="277" t="s">
        <v>15733</v>
      </c>
      <c r="C151" s="115" t="s">
        <v>13822</v>
      </c>
      <c r="D151" s="280">
        <v>0</v>
      </c>
      <c r="E151" s="280">
        <v>0</v>
      </c>
      <c r="F151" s="280">
        <v>0</v>
      </c>
      <c r="G151" s="280">
        <v>0</v>
      </c>
      <c r="H151" s="280">
        <v>0</v>
      </c>
      <c r="I151" s="280">
        <v>0</v>
      </c>
      <c r="J151" s="280">
        <v>0</v>
      </c>
      <c r="K151" s="280">
        <v>0</v>
      </c>
      <c r="L151" s="280">
        <v>0</v>
      </c>
      <c r="M151" s="280">
        <v>0</v>
      </c>
      <c r="N151" s="280">
        <v>3690</v>
      </c>
      <c r="O151" s="280">
        <v>3686</v>
      </c>
      <c r="Q151" s="277" t="s">
        <v>2216</v>
      </c>
    </row>
    <row r="152" spans="1:17">
      <c r="A152" s="833">
        <v>22</v>
      </c>
      <c r="B152" s="115" t="s">
        <v>15734</v>
      </c>
      <c r="C152" s="115" t="s">
        <v>13823</v>
      </c>
      <c r="D152" s="280">
        <v>0</v>
      </c>
      <c r="E152" s="280">
        <v>0</v>
      </c>
      <c r="F152" s="280">
        <v>0</v>
      </c>
      <c r="G152" s="280">
        <v>0</v>
      </c>
      <c r="H152" s="280">
        <v>0</v>
      </c>
      <c r="I152" s="280">
        <v>0</v>
      </c>
      <c r="J152" s="280">
        <v>0</v>
      </c>
      <c r="K152" s="280">
        <v>0</v>
      </c>
      <c r="L152" s="280">
        <v>0</v>
      </c>
      <c r="M152" s="280">
        <v>0</v>
      </c>
      <c r="N152" s="280">
        <v>6678</v>
      </c>
      <c r="O152" s="280">
        <v>6679</v>
      </c>
      <c r="Q152" s="277" t="s">
        <v>2216</v>
      </c>
    </row>
    <row r="153" spans="1:17">
      <c r="A153" s="833">
        <v>23</v>
      </c>
      <c r="B153" s="277" t="s">
        <v>15735</v>
      </c>
      <c r="C153" s="115" t="s">
        <v>13824</v>
      </c>
      <c r="D153" s="280">
        <v>0</v>
      </c>
      <c r="E153" s="280">
        <v>0</v>
      </c>
      <c r="F153" s="280">
        <v>0</v>
      </c>
      <c r="G153" s="280">
        <v>0</v>
      </c>
      <c r="H153" s="280">
        <v>0</v>
      </c>
      <c r="I153" s="280">
        <v>0</v>
      </c>
      <c r="J153" s="280">
        <v>0</v>
      </c>
      <c r="K153" s="280">
        <v>0</v>
      </c>
      <c r="L153" s="280">
        <v>0</v>
      </c>
      <c r="M153" s="280">
        <v>0</v>
      </c>
      <c r="N153" s="280">
        <v>3742</v>
      </c>
      <c r="O153" s="280">
        <v>3741</v>
      </c>
      <c r="Q153" s="277" t="s">
        <v>2216</v>
      </c>
    </row>
    <row r="154" spans="1:17">
      <c r="A154" s="833">
        <v>24</v>
      </c>
      <c r="B154" s="277" t="s">
        <v>15720</v>
      </c>
      <c r="C154" s="115" t="s">
        <v>13825</v>
      </c>
      <c r="D154" s="280">
        <v>0</v>
      </c>
      <c r="E154" s="280">
        <v>0</v>
      </c>
      <c r="F154" s="280">
        <v>0</v>
      </c>
      <c r="G154" s="280">
        <v>0</v>
      </c>
      <c r="H154" s="280">
        <v>0</v>
      </c>
      <c r="I154" s="280">
        <v>0</v>
      </c>
      <c r="J154" s="280">
        <v>0</v>
      </c>
      <c r="K154" s="280">
        <v>0</v>
      </c>
      <c r="L154" s="280">
        <v>0</v>
      </c>
      <c r="M154" s="280">
        <v>0</v>
      </c>
      <c r="N154" s="280">
        <v>4130</v>
      </c>
      <c r="O154" s="280">
        <v>4124</v>
      </c>
      <c r="Q154" s="277" t="s">
        <v>3588</v>
      </c>
    </row>
    <row r="155" spans="1:17">
      <c r="A155" s="833">
        <v>25</v>
      </c>
      <c r="B155" s="277" t="s">
        <v>15728</v>
      </c>
      <c r="C155" s="115" t="s">
        <v>13826</v>
      </c>
      <c r="D155" s="280">
        <v>0</v>
      </c>
      <c r="E155" s="280">
        <v>0</v>
      </c>
      <c r="F155" s="280">
        <v>0</v>
      </c>
      <c r="G155" s="280">
        <v>0</v>
      </c>
      <c r="H155" s="280">
        <v>0</v>
      </c>
      <c r="I155" s="280">
        <v>0</v>
      </c>
      <c r="J155" s="280">
        <v>0</v>
      </c>
      <c r="K155" s="280">
        <v>0</v>
      </c>
      <c r="L155" s="280">
        <v>0</v>
      </c>
      <c r="M155" s="280">
        <v>0</v>
      </c>
      <c r="N155" s="280">
        <v>3703</v>
      </c>
      <c r="O155" s="280">
        <v>3696</v>
      </c>
      <c r="Q155" s="277" t="s">
        <v>2215</v>
      </c>
    </row>
    <row r="156" spans="1:17" ht="15.75" thickBot="1">
      <c r="A156" s="833"/>
      <c r="B156" s="277"/>
      <c r="C156" s="115" t="s">
        <v>13826</v>
      </c>
      <c r="D156" s="283">
        <v>0</v>
      </c>
      <c r="E156" s="283">
        <v>0</v>
      </c>
      <c r="F156" s="283">
        <v>0</v>
      </c>
      <c r="G156" s="283">
        <v>0</v>
      </c>
      <c r="H156" s="283">
        <v>0</v>
      </c>
      <c r="I156" s="283">
        <v>0</v>
      </c>
      <c r="J156" s="283">
        <v>0</v>
      </c>
      <c r="K156" s="283">
        <v>0</v>
      </c>
      <c r="L156" s="283">
        <v>0</v>
      </c>
      <c r="M156" s="283">
        <v>0</v>
      </c>
      <c r="N156" s="283">
        <v>385</v>
      </c>
      <c r="O156" s="283">
        <v>382</v>
      </c>
      <c r="Q156" s="277" t="s">
        <v>2216</v>
      </c>
    </row>
    <row r="157" spans="1:17" ht="15.75" thickBot="1">
      <c r="A157" s="833"/>
      <c r="B157" s="277"/>
      <c r="C157" s="115" t="s">
        <v>13826</v>
      </c>
      <c r="D157" s="284">
        <f t="shared" ref="D157:O157" si="66">D155+D156</f>
        <v>0</v>
      </c>
      <c r="E157" s="284">
        <f t="shared" si="66"/>
        <v>0</v>
      </c>
      <c r="F157" s="284">
        <f t="shared" si="66"/>
        <v>0</v>
      </c>
      <c r="G157" s="284">
        <f t="shared" si="66"/>
        <v>0</v>
      </c>
      <c r="H157" s="284">
        <f t="shared" si="66"/>
        <v>0</v>
      </c>
      <c r="I157" s="284">
        <f t="shared" si="66"/>
        <v>0</v>
      </c>
      <c r="J157" s="284">
        <f t="shared" si="66"/>
        <v>0</v>
      </c>
      <c r="K157" s="284">
        <f t="shared" si="66"/>
        <v>0</v>
      </c>
      <c r="L157" s="284">
        <f t="shared" si="66"/>
        <v>0</v>
      </c>
      <c r="M157" s="284">
        <f t="shared" si="66"/>
        <v>0</v>
      </c>
      <c r="N157" s="284">
        <f t="shared" si="66"/>
        <v>4088</v>
      </c>
      <c r="O157" s="284">
        <f t="shared" si="66"/>
        <v>4078</v>
      </c>
      <c r="Q157" s="277"/>
    </row>
    <row r="158" spans="1:17">
      <c r="A158" s="833">
        <v>26</v>
      </c>
      <c r="B158" s="277" t="s">
        <v>15705</v>
      </c>
      <c r="C158" s="115" t="s">
        <v>13827</v>
      </c>
      <c r="D158" s="280">
        <v>0</v>
      </c>
      <c r="E158" s="280">
        <v>0</v>
      </c>
      <c r="F158" s="280">
        <v>0</v>
      </c>
      <c r="G158" s="280">
        <v>0</v>
      </c>
      <c r="H158" s="280">
        <v>0</v>
      </c>
      <c r="I158" s="280">
        <v>0</v>
      </c>
      <c r="J158" s="280">
        <v>0</v>
      </c>
      <c r="K158" s="280">
        <v>0</v>
      </c>
      <c r="L158" s="280">
        <v>0</v>
      </c>
      <c r="M158" s="280">
        <v>0</v>
      </c>
      <c r="N158" s="280">
        <v>1643</v>
      </c>
      <c r="O158" s="280">
        <v>1643</v>
      </c>
      <c r="Q158" s="277" t="s">
        <v>3587</v>
      </c>
    </row>
    <row r="159" spans="1:17">
      <c r="B159" s="277"/>
      <c r="C159" s="115" t="s">
        <v>13827</v>
      </c>
      <c r="D159" s="280">
        <v>0</v>
      </c>
      <c r="E159" s="280">
        <v>0</v>
      </c>
      <c r="F159" s="280">
        <v>0</v>
      </c>
      <c r="G159" s="280">
        <v>0</v>
      </c>
      <c r="H159" s="280">
        <v>0</v>
      </c>
      <c r="I159" s="280">
        <v>0</v>
      </c>
      <c r="J159" s="280">
        <v>0</v>
      </c>
      <c r="K159" s="280">
        <v>0</v>
      </c>
      <c r="L159" s="280">
        <v>0</v>
      </c>
      <c r="M159" s="280">
        <v>0</v>
      </c>
      <c r="N159" s="280">
        <v>10</v>
      </c>
      <c r="O159" s="280">
        <v>10</v>
      </c>
      <c r="Q159" s="277" t="s">
        <v>3588</v>
      </c>
    </row>
    <row r="160" spans="1:17" ht="15.75" thickBot="1">
      <c r="B160" s="277"/>
      <c r="C160" s="115" t="s">
        <v>13827</v>
      </c>
      <c r="D160" s="283">
        <v>0</v>
      </c>
      <c r="E160" s="283">
        <v>0</v>
      </c>
      <c r="F160" s="283">
        <v>0</v>
      </c>
      <c r="G160" s="283">
        <v>0</v>
      </c>
      <c r="H160" s="283">
        <v>0</v>
      </c>
      <c r="I160" s="283">
        <v>0</v>
      </c>
      <c r="J160" s="283">
        <v>0</v>
      </c>
      <c r="K160" s="283">
        <v>0</v>
      </c>
      <c r="L160" s="283">
        <v>0</v>
      </c>
      <c r="M160" s="283">
        <v>0</v>
      </c>
      <c r="N160" s="283">
        <v>2510</v>
      </c>
      <c r="O160" s="283">
        <v>2506</v>
      </c>
      <c r="Q160" s="277" t="s">
        <v>2216</v>
      </c>
    </row>
    <row r="161" spans="1:17" ht="15.75" thickBot="1">
      <c r="A161" s="833"/>
      <c r="B161" s="277"/>
      <c r="C161" s="115" t="s">
        <v>13827</v>
      </c>
      <c r="D161" s="284">
        <f t="shared" ref="D161:O161" si="67">SUM(D158:D160)</f>
        <v>0</v>
      </c>
      <c r="E161" s="284">
        <f t="shared" si="67"/>
        <v>0</v>
      </c>
      <c r="F161" s="284">
        <f t="shared" si="67"/>
        <v>0</v>
      </c>
      <c r="G161" s="284">
        <f t="shared" si="67"/>
        <v>0</v>
      </c>
      <c r="H161" s="284">
        <f t="shared" si="67"/>
        <v>0</v>
      </c>
      <c r="I161" s="284">
        <f t="shared" si="67"/>
        <v>0</v>
      </c>
      <c r="J161" s="284">
        <f t="shared" si="67"/>
        <v>0</v>
      </c>
      <c r="K161" s="284">
        <f t="shared" si="67"/>
        <v>0</v>
      </c>
      <c r="L161" s="284">
        <f t="shared" si="67"/>
        <v>0</v>
      </c>
      <c r="M161" s="284">
        <f t="shared" si="67"/>
        <v>0</v>
      </c>
      <c r="N161" s="284">
        <f t="shared" si="67"/>
        <v>4163</v>
      </c>
      <c r="O161" s="284">
        <f t="shared" si="67"/>
        <v>4159</v>
      </c>
      <c r="Q161" s="277"/>
    </row>
    <row r="162" spans="1:17">
      <c r="A162" s="833">
        <v>27</v>
      </c>
      <c r="B162" s="277" t="s">
        <v>15702</v>
      </c>
      <c r="C162" s="115" t="s">
        <v>13828</v>
      </c>
      <c r="D162" s="280">
        <v>0</v>
      </c>
      <c r="E162" s="280">
        <v>0</v>
      </c>
      <c r="F162" s="280">
        <v>0</v>
      </c>
      <c r="G162" s="280">
        <v>0</v>
      </c>
      <c r="H162" s="280">
        <v>0</v>
      </c>
      <c r="I162" s="280">
        <v>0</v>
      </c>
      <c r="J162" s="280">
        <v>0</v>
      </c>
      <c r="K162" s="280">
        <v>0</v>
      </c>
      <c r="L162" s="280">
        <v>0</v>
      </c>
      <c r="M162" s="280">
        <v>0</v>
      </c>
      <c r="N162" s="280">
        <v>4283</v>
      </c>
      <c r="O162" s="280">
        <v>4281</v>
      </c>
      <c r="Q162" s="277" t="s">
        <v>3584</v>
      </c>
    </row>
    <row r="163" spans="1:17" ht="15.75" thickBot="1">
      <c r="B163" s="277"/>
      <c r="C163" s="115" t="s">
        <v>13828</v>
      </c>
      <c r="D163" s="283">
        <v>0</v>
      </c>
      <c r="E163" s="283">
        <v>0</v>
      </c>
      <c r="F163" s="283">
        <v>0</v>
      </c>
      <c r="G163" s="283">
        <v>0</v>
      </c>
      <c r="H163" s="283">
        <v>0</v>
      </c>
      <c r="I163" s="283">
        <v>0</v>
      </c>
      <c r="J163" s="283">
        <v>0</v>
      </c>
      <c r="K163" s="283">
        <v>0</v>
      </c>
      <c r="L163" s="283">
        <v>0</v>
      </c>
      <c r="M163" s="283">
        <v>0</v>
      </c>
      <c r="N163" s="283">
        <v>0</v>
      </c>
      <c r="O163" s="283">
        <v>0</v>
      </c>
      <c r="Q163" s="277" t="s">
        <v>3588</v>
      </c>
    </row>
    <row r="164" spans="1:17" ht="15.75" thickBot="1">
      <c r="A164" s="833"/>
      <c r="B164" s="277"/>
      <c r="C164" s="115" t="s">
        <v>13828</v>
      </c>
      <c r="D164" s="284">
        <f t="shared" ref="D164:O164" si="68">D162+D163</f>
        <v>0</v>
      </c>
      <c r="E164" s="284">
        <f t="shared" si="68"/>
        <v>0</v>
      </c>
      <c r="F164" s="284">
        <f t="shared" si="68"/>
        <v>0</v>
      </c>
      <c r="G164" s="284">
        <f t="shared" si="68"/>
        <v>0</v>
      </c>
      <c r="H164" s="284">
        <f t="shared" si="68"/>
        <v>0</v>
      </c>
      <c r="I164" s="284">
        <f t="shared" si="68"/>
        <v>0</v>
      </c>
      <c r="J164" s="284">
        <f t="shared" si="68"/>
        <v>0</v>
      </c>
      <c r="K164" s="284">
        <f t="shared" si="68"/>
        <v>0</v>
      </c>
      <c r="L164" s="284">
        <f t="shared" si="68"/>
        <v>0</v>
      </c>
      <c r="M164" s="284">
        <f t="shared" si="68"/>
        <v>0</v>
      </c>
      <c r="N164" s="284">
        <f t="shared" si="68"/>
        <v>4283</v>
      </c>
      <c r="O164" s="284">
        <f t="shared" si="68"/>
        <v>4281</v>
      </c>
      <c r="Q164" s="277"/>
    </row>
    <row r="165" spans="1:17">
      <c r="A165" s="655">
        <v>28</v>
      </c>
      <c r="B165" s="277" t="s">
        <v>15729</v>
      </c>
      <c r="C165" s="115" t="s">
        <v>13829</v>
      </c>
      <c r="D165" s="280">
        <v>16639</v>
      </c>
      <c r="E165" s="280">
        <v>15975</v>
      </c>
      <c r="F165" s="280">
        <v>16040</v>
      </c>
      <c r="G165" s="280">
        <v>16384</v>
      </c>
      <c r="H165" s="280">
        <v>16330</v>
      </c>
      <c r="I165" s="280">
        <v>16512</v>
      </c>
      <c r="J165" s="280">
        <v>16527</v>
      </c>
      <c r="K165" s="280">
        <v>17078</v>
      </c>
      <c r="L165" s="280">
        <v>17388</v>
      </c>
      <c r="M165" s="280">
        <v>17389</v>
      </c>
      <c r="N165" s="280">
        <v>4056</v>
      </c>
      <c r="O165" s="280">
        <v>4044</v>
      </c>
      <c r="Q165" s="277" t="s">
        <v>2215</v>
      </c>
    </row>
    <row r="166" spans="1:17">
      <c r="A166" s="655">
        <v>29</v>
      </c>
      <c r="B166" s="277" t="s">
        <v>15721</v>
      </c>
      <c r="C166" s="115" t="s">
        <v>13830</v>
      </c>
      <c r="D166" s="280">
        <v>0</v>
      </c>
      <c r="E166" s="280">
        <v>0</v>
      </c>
      <c r="F166" s="280">
        <v>0</v>
      </c>
      <c r="G166" s="280">
        <v>0</v>
      </c>
      <c r="H166" s="280">
        <v>0</v>
      </c>
      <c r="I166" s="280">
        <v>0</v>
      </c>
      <c r="J166" s="280">
        <v>0</v>
      </c>
      <c r="K166" s="280">
        <v>0</v>
      </c>
      <c r="L166" s="280">
        <v>0</v>
      </c>
      <c r="M166" s="280">
        <v>0</v>
      </c>
      <c r="N166" s="280">
        <v>4288</v>
      </c>
      <c r="O166" s="280">
        <v>4284</v>
      </c>
      <c r="Q166" s="277" t="s">
        <v>3588</v>
      </c>
    </row>
    <row r="167" spans="1:17">
      <c r="A167" s="655">
        <v>30</v>
      </c>
      <c r="B167" s="277" t="s">
        <v>15722</v>
      </c>
      <c r="C167" s="115" t="s">
        <v>13831</v>
      </c>
      <c r="D167" s="280">
        <v>0</v>
      </c>
      <c r="E167" s="280">
        <v>0</v>
      </c>
      <c r="F167" s="280">
        <v>0</v>
      </c>
      <c r="G167" s="280">
        <v>0</v>
      </c>
      <c r="H167" s="280">
        <v>0</v>
      </c>
      <c r="I167" s="280">
        <v>0</v>
      </c>
      <c r="J167" s="280">
        <v>0</v>
      </c>
      <c r="K167" s="280">
        <v>0</v>
      </c>
      <c r="L167" s="280">
        <v>0</v>
      </c>
      <c r="M167" s="280">
        <v>0</v>
      </c>
      <c r="N167" s="280">
        <v>8278</v>
      </c>
      <c r="O167" s="280">
        <v>8257</v>
      </c>
      <c r="Q167" s="277" t="s">
        <v>3588</v>
      </c>
    </row>
    <row r="168" spans="1:17">
      <c r="A168" s="655">
        <v>31</v>
      </c>
      <c r="B168" s="277" t="s">
        <v>15706</v>
      </c>
      <c r="C168" s="115" t="s">
        <v>13832</v>
      </c>
      <c r="D168" s="280">
        <v>0</v>
      </c>
      <c r="E168" s="280">
        <v>0</v>
      </c>
      <c r="F168" s="280">
        <v>0</v>
      </c>
      <c r="G168" s="280">
        <v>0</v>
      </c>
      <c r="H168" s="280">
        <v>0</v>
      </c>
      <c r="I168" s="280">
        <v>0</v>
      </c>
      <c r="J168" s="280">
        <v>0</v>
      </c>
      <c r="K168" s="280">
        <v>0</v>
      </c>
      <c r="L168" s="280">
        <v>0</v>
      </c>
      <c r="M168" s="280">
        <v>0</v>
      </c>
      <c r="N168" s="280">
        <v>4129</v>
      </c>
      <c r="O168" s="280">
        <v>4122</v>
      </c>
      <c r="Q168" s="277" t="s">
        <v>3587</v>
      </c>
    </row>
    <row r="169" spans="1:17">
      <c r="A169" s="655">
        <v>32</v>
      </c>
      <c r="B169" s="277" t="s">
        <v>15707</v>
      </c>
      <c r="C169" s="115" t="s">
        <v>13833</v>
      </c>
      <c r="D169" s="280">
        <v>0</v>
      </c>
      <c r="E169" s="280">
        <v>0</v>
      </c>
      <c r="F169" s="280">
        <v>0</v>
      </c>
      <c r="G169" s="280">
        <v>0</v>
      </c>
      <c r="H169" s="280">
        <v>0</v>
      </c>
      <c r="I169" s="280">
        <v>0</v>
      </c>
      <c r="J169" s="280">
        <v>0</v>
      </c>
      <c r="K169" s="280">
        <v>0</v>
      </c>
      <c r="L169" s="280">
        <v>0</v>
      </c>
      <c r="M169" s="280">
        <v>0</v>
      </c>
      <c r="N169" s="280">
        <v>7424</v>
      </c>
      <c r="O169" s="280">
        <v>7415</v>
      </c>
      <c r="Q169" s="277" t="s">
        <v>3587</v>
      </c>
    </row>
    <row r="170" spans="1:17" ht="15.75" thickBot="1">
      <c r="B170" s="277"/>
      <c r="C170" s="115" t="s">
        <v>13833</v>
      </c>
      <c r="D170" s="283">
        <v>0</v>
      </c>
      <c r="E170" s="283">
        <v>0</v>
      </c>
      <c r="F170" s="283">
        <v>0</v>
      </c>
      <c r="G170" s="283">
        <v>0</v>
      </c>
      <c r="H170" s="283">
        <v>0</v>
      </c>
      <c r="I170" s="283">
        <v>0</v>
      </c>
      <c r="J170" s="283">
        <v>0</v>
      </c>
      <c r="K170" s="283">
        <v>0</v>
      </c>
      <c r="L170" s="283">
        <v>0</v>
      </c>
      <c r="M170" s="283">
        <v>0</v>
      </c>
      <c r="N170" s="283">
        <v>0</v>
      </c>
      <c r="O170" s="283">
        <v>0</v>
      </c>
      <c r="Q170" s="277" t="s">
        <v>2216</v>
      </c>
    </row>
    <row r="171" spans="1:17" ht="15.75" thickBot="1">
      <c r="A171" s="655"/>
      <c r="B171" s="277"/>
      <c r="C171" s="115" t="s">
        <v>13833</v>
      </c>
      <c r="D171" s="284">
        <f t="shared" ref="D171:O171" si="69">D169+D170</f>
        <v>0</v>
      </c>
      <c r="E171" s="284">
        <f t="shared" si="69"/>
        <v>0</v>
      </c>
      <c r="F171" s="284">
        <f t="shared" si="69"/>
        <v>0</v>
      </c>
      <c r="G171" s="284">
        <f t="shared" si="69"/>
        <v>0</v>
      </c>
      <c r="H171" s="284">
        <f t="shared" si="69"/>
        <v>0</v>
      </c>
      <c r="I171" s="284">
        <f t="shared" si="69"/>
        <v>0</v>
      </c>
      <c r="J171" s="284">
        <f t="shared" si="69"/>
        <v>0</v>
      </c>
      <c r="K171" s="284">
        <f t="shared" si="69"/>
        <v>0</v>
      </c>
      <c r="L171" s="284">
        <f t="shared" si="69"/>
        <v>0</v>
      </c>
      <c r="M171" s="284">
        <f t="shared" si="69"/>
        <v>0</v>
      </c>
      <c r="N171" s="284">
        <f t="shared" si="69"/>
        <v>7424</v>
      </c>
      <c r="O171" s="284">
        <f t="shared" si="69"/>
        <v>7415</v>
      </c>
      <c r="Q171" s="277"/>
    </row>
    <row r="172" spans="1:17">
      <c r="A172" s="655">
        <v>33</v>
      </c>
      <c r="B172" s="277" t="s">
        <v>15708</v>
      </c>
      <c r="C172" s="115" t="s">
        <v>13834</v>
      </c>
      <c r="D172" s="280">
        <v>0</v>
      </c>
      <c r="E172" s="280">
        <v>0</v>
      </c>
      <c r="F172" s="280">
        <v>0</v>
      </c>
      <c r="G172" s="280">
        <v>0</v>
      </c>
      <c r="H172" s="280">
        <v>0</v>
      </c>
      <c r="I172" s="280">
        <v>0</v>
      </c>
      <c r="J172" s="280">
        <v>0</v>
      </c>
      <c r="K172" s="280">
        <v>0</v>
      </c>
      <c r="L172" s="280">
        <v>0</v>
      </c>
      <c r="M172" s="280">
        <v>0</v>
      </c>
      <c r="N172" s="280">
        <v>3893</v>
      </c>
      <c r="O172" s="280">
        <v>3890</v>
      </c>
      <c r="Q172" s="277" t="s">
        <v>3587</v>
      </c>
    </row>
    <row r="173" spans="1:17">
      <c r="A173" s="655">
        <v>34</v>
      </c>
      <c r="B173" s="277" t="s">
        <v>4464</v>
      </c>
      <c r="C173" s="115" t="s">
        <v>13835</v>
      </c>
      <c r="D173" s="280">
        <v>0</v>
      </c>
      <c r="E173" s="280">
        <v>0</v>
      </c>
      <c r="F173" s="280">
        <v>0</v>
      </c>
      <c r="G173" s="280">
        <v>0</v>
      </c>
      <c r="H173" s="280">
        <v>0</v>
      </c>
      <c r="I173" s="280">
        <v>0</v>
      </c>
      <c r="J173" s="280">
        <v>0</v>
      </c>
      <c r="K173" s="280">
        <v>0</v>
      </c>
      <c r="L173" s="280">
        <v>0</v>
      </c>
      <c r="M173" s="280">
        <v>0</v>
      </c>
      <c r="N173" s="280">
        <v>7606</v>
      </c>
      <c r="O173" s="280">
        <v>7592</v>
      </c>
      <c r="Q173" s="277" t="s">
        <v>3584</v>
      </c>
    </row>
    <row r="174" spans="1:17">
      <c r="A174" s="655">
        <v>35</v>
      </c>
      <c r="B174" s="277" t="s">
        <v>15709</v>
      </c>
      <c r="C174" s="115" t="s">
        <v>13836</v>
      </c>
      <c r="D174" s="280">
        <v>0</v>
      </c>
      <c r="E174" s="280">
        <v>0</v>
      </c>
      <c r="F174" s="280">
        <v>0</v>
      </c>
      <c r="G174" s="280">
        <v>0</v>
      </c>
      <c r="H174" s="280">
        <v>0</v>
      </c>
      <c r="I174" s="280">
        <v>0</v>
      </c>
      <c r="J174" s="280">
        <v>0</v>
      </c>
      <c r="K174" s="280">
        <v>0</v>
      </c>
      <c r="L174" s="280">
        <v>0</v>
      </c>
      <c r="M174" s="280">
        <v>0</v>
      </c>
      <c r="N174" s="280">
        <v>4892</v>
      </c>
      <c r="O174" s="280">
        <v>4880</v>
      </c>
      <c r="Q174" s="277" t="s">
        <v>3587</v>
      </c>
    </row>
    <row r="175" spans="1:17">
      <c r="B175" s="277"/>
      <c r="C175" s="115" t="s">
        <v>13836</v>
      </c>
      <c r="D175" s="280">
        <v>0</v>
      </c>
      <c r="E175" s="280">
        <v>0</v>
      </c>
      <c r="F175" s="280">
        <v>0</v>
      </c>
      <c r="G175" s="280">
        <v>0</v>
      </c>
      <c r="H175" s="280">
        <v>0</v>
      </c>
      <c r="I175" s="280">
        <v>0</v>
      </c>
      <c r="J175" s="280">
        <v>0</v>
      </c>
      <c r="K175" s="280">
        <v>0</v>
      </c>
      <c r="L175" s="280">
        <v>0</v>
      </c>
      <c r="M175" s="280">
        <v>0</v>
      </c>
      <c r="N175" s="280">
        <v>0</v>
      </c>
      <c r="O175" s="280">
        <v>0</v>
      </c>
      <c r="Q175" s="277" t="s">
        <v>2215</v>
      </c>
    </row>
    <row r="176" spans="1:17" ht="15.75" thickBot="1">
      <c r="B176" s="277"/>
      <c r="C176" s="115" t="s">
        <v>13836</v>
      </c>
      <c r="D176" s="283">
        <v>0</v>
      </c>
      <c r="E176" s="283">
        <v>0</v>
      </c>
      <c r="F176" s="283">
        <v>0</v>
      </c>
      <c r="G176" s="283">
        <v>0</v>
      </c>
      <c r="H176" s="283">
        <v>0</v>
      </c>
      <c r="I176" s="283">
        <v>0</v>
      </c>
      <c r="J176" s="283">
        <v>0</v>
      </c>
      <c r="K176" s="283">
        <v>0</v>
      </c>
      <c r="L176" s="283">
        <v>0</v>
      </c>
      <c r="M176" s="283">
        <v>0</v>
      </c>
      <c r="N176" s="283">
        <v>6991</v>
      </c>
      <c r="O176" s="283">
        <v>6990</v>
      </c>
      <c r="Q176" s="277" t="s">
        <v>2216</v>
      </c>
    </row>
    <row r="177" spans="1:17" ht="15.75" thickBot="1">
      <c r="B177" s="277"/>
      <c r="C177" s="115" t="s">
        <v>13836</v>
      </c>
      <c r="D177" s="284">
        <f t="shared" ref="D177:O177" si="70">SUM(D174:D176)</f>
        <v>0</v>
      </c>
      <c r="E177" s="284">
        <f t="shared" si="70"/>
        <v>0</v>
      </c>
      <c r="F177" s="284">
        <f t="shared" si="70"/>
        <v>0</v>
      </c>
      <c r="G177" s="284">
        <f t="shared" si="70"/>
        <v>0</v>
      </c>
      <c r="H177" s="284">
        <f t="shared" si="70"/>
        <v>0</v>
      </c>
      <c r="I177" s="284">
        <f t="shared" si="70"/>
        <v>0</v>
      </c>
      <c r="J177" s="284">
        <f t="shared" si="70"/>
        <v>0</v>
      </c>
      <c r="K177" s="284">
        <f t="shared" si="70"/>
        <v>0</v>
      </c>
      <c r="L177" s="284">
        <f t="shared" si="70"/>
        <v>0</v>
      </c>
      <c r="M177" s="284">
        <f t="shared" si="70"/>
        <v>0</v>
      </c>
      <c r="N177" s="284">
        <f t="shared" si="70"/>
        <v>11883</v>
      </c>
      <c r="O177" s="284">
        <f t="shared" si="70"/>
        <v>11870</v>
      </c>
      <c r="Q177" s="277"/>
    </row>
    <row r="178" spans="1:17">
      <c r="A178" s="655">
        <v>36</v>
      </c>
      <c r="B178" s="277" t="s">
        <v>6894</v>
      </c>
      <c r="C178" s="115" t="s">
        <v>13837</v>
      </c>
      <c r="D178" s="280">
        <v>0</v>
      </c>
      <c r="E178" s="280">
        <v>0</v>
      </c>
      <c r="F178" s="280">
        <v>0</v>
      </c>
      <c r="G178" s="280">
        <v>0</v>
      </c>
      <c r="H178" s="280">
        <v>0</v>
      </c>
      <c r="I178" s="280">
        <v>0</v>
      </c>
      <c r="J178" s="280">
        <v>0</v>
      </c>
      <c r="K178" s="280">
        <v>0</v>
      </c>
      <c r="L178" s="280">
        <v>0</v>
      </c>
      <c r="M178" s="280">
        <v>0</v>
      </c>
      <c r="N178" s="280">
        <v>3453</v>
      </c>
      <c r="O178" s="280">
        <v>3457</v>
      </c>
      <c r="Q178" s="277" t="s">
        <v>3588</v>
      </c>
    </row>
    <row r="179" spans="1:17">
      <c r="A179" s="655">
        <v>37</v>
      </c>
      <c r="B179" s="277" t="s">
        <v>15723</v>
      </c>
      <c r="C179" s="115" t="s">
        <v>13838</v>
      </c>
      <c r="D179" s="280">
        <v>0</v>
      </c>
      <c r="E179" s="280">
        <v>0</v>
      </c>
      <c r="F179" s="280">
        <v>0</v>
      </c>
      <c r="G179" s="280">
        <v>0</v>
      </c>
      <c r="H179" s="280">
        <v>0</v>
      </c>
      <c r="I179" s="280">
        <v>0</v>
      </c>
      <c r="J179" s="280">
        <v>0</v>
      </c>
      <c r="K179" s="280">
        <v>0</v>
      </c>
      <c r="L179" s="280">
        <v>0</v>
      </c>
      <c r="M179" s="280">
        <v>0</v>
      </c>
      <c r="N179" s="280">
        <v>3775</v>
      </c>
      <c r="O179" s="280">
        <v>3778</v>
      </c>
      <c r="Q179" s="277" t="s">
        <v>3588</v>
      </c>
    </row>
    <row r="180" spans="1:17">
      <c r="A180" s="655">
        <v>38</v>
      </c>
      <c r="B180" s="277" t="s">
        <v>15724</v>
      </c>
      <c r="C180" s="115" t="s">
        <v>13839</v>
      </c>
      <c r="D180" s="280">
        <v>0</v>
      </c>
      <c r="E180" s="280">
        <v>0</v>
      </c>
      <c r="F180" s="280">
        <v>0</v>
      </c>
      <c r="G180" s="280">
        <v>0</v>
      </c>
      <c r="H180" s="280">
        <v>0</v>
      </c>
      <c r="I180" s="280">
        <v>0</v>
      </c>
      <c r="J180" s="280">
        <v>0</v>
      </c>
      <c r="K180" s="280">
        <v>0</v>
      </c>
      <c r="L180" s="280">
        <v>0</v>
      </c>
      <c r="M180" s="280">
        <v>0</v>
      </c>
      <c r="N180" s="280">
        <v>4142</v>
      </c>
      <c r="O180" s="280">
        <v>4139</v>
      </c>
      <c r="Q180" s="277" t="s">
        <v>3588</v>
      </c>
    </row>
    <row r="181" spans="1:17">
      <c r="A181" s="655">
        <v>39</v>
      </c>
      <c r="B181" s="277" t="s">
        <v>15725</v>
      </c>
      <c r="C181" s="115" t="s">
        <v>13840</v>
      </c>
      <c r="D181" s="280">
        <v>0</v>
      </c>
      <c r="E181" s="280">
        <v>0</v>
      </c>
      <c r="F181" s="280">
        <v>0</v>
      </c>
      <c r="G181" s="280">
        <v>0</v>
      </c>
      <c r="H181" s="280">
        <v>0</v>
      </c>
      <c r="I181" s="280">
        <v>0</v>
      </c>
      <c r="J181" s="280">
        <v>0</v>
      </c>
      <c r="K181" s="280">
        <v>0</v>
      </c>
      <c r="L181" s="280">
        <v>0</v>
      </c>
      <c r="M181" s="280">
        <v>0</v>
      </c>
      <c r="N181" s="280">
        <v>4237</v>
      </c>
      <c r="O181" s="280">
        <v>4233</v>
      </c>
      <c r="Q181" s="277" t="s">
        <v>3588</v>
      </c>
    </row>
    <row r="182" spans="1:17">
      <c r="A182" s="655">
        <v>40</v>
      </c>
      <c r="B182" s="277" t="s">
        <v>15710</v>
      </c>
      <c r="C182" s="115" t="s">
        <v>13841</v>
      </c>
      <c r="D182" s="280">
        <v>0</v>
      </c>
      <c r="E182" s="280">
        <v>0</v>
      </c>
      <c r="F182" s="280">
        <v>0</v>
      </c>
      <c r="G182" s="280">
        <v>0</v>
      </c>
      <c r="H182" s="280">
        <v>0</v>
      </c>
      <c r="I182" s="280">
        <v>0</v>
      </c>
      <c r="J182" s="280">
        <v>0</v>
      </c>
      <c r="K182" s="280">
        <v>0</v>
      </c>
      <c r="L182" s="280">
        <v>0</v>
      </c>
      <c r="M182" s="280">
        <v>0</v>
      </c>
      <c r="N182" s="280">
        <v>3792</v>
      </c>
      <c r="O182" s="280">
        <v>3785</v>
      </c>
      <c r="Q182" s="277" t="s">
        <v>3587</v>
      </c>
    </row>
    <row r="183" spans="1:17">
      <c r="A183" s="829">
        <v>41</v>
      </c>
      <c r="B183" s="277" t="s">
        <v>15711</v>
      </c>
      <c r="C183" s="115" t="s">
        <v>13842</v>
      </c>
      <c r="D183" s="280">
        <v>0</v>
      </c>
      <c r="E183" s="280">
        <v>0</v>
      </c>
      <c r="F183" s="280">
        <v>0</v>
      </c>
      <c r="G183" s="280">
        <v>0</v>
      </c>
      <c r="H183" s="280">
        <v>0</v>
      </c>
      <c r="I183" s="280">
        <v>0</v>
      </c>
      <c r="J183" s="280">
        <v>0</v>
      </c>
      <c r="K183" s="280">
        <v>0</v>
      </c>
      <c r="L183" s="280">
        <v>0</v>
      </c>
      <c r="M183" s="280">
        <v>0</v>
      </c>
      <c r="N183" s="280">
        <v>3292</v>
      </c>
      <c r="O183" s="280">
        <v>3290</v>
      </c>
      <c r="Q183" s="277" t="s">
        <v>3587</v>
      </c>
    </row>
    <row r="184" spans="1:17">
      <c r="A184" s="829">
        <v>42</v>
      </c>
      <c r="B184" s="277" t="s">
        <v>15712</v>
      </c>
      <c r="C184" s="115" t="s">
        <v>13843</v>
      </c>
      <c r="D184" s="280">
        <v>0</v>
      </c>
      <c r="E184" s="280">
        <v>0</v>
      </c>
      <c r="F184" s="280">
        <v>0</v>
      </c>
      <c r="G184" s="280">
        <v>0</v>
      </c>
      <c r="H184" s="280">
        <v>0</v>
      </c>
      <c r="I184" s="280">
        <v>0</v>
      </c>
      <c r="J184" s="280">
        <v>0</v>
      </c>
      <c r="K184" s="280">
        <v>0</v>
      </c>
      <c r="L184" s="280">
        <v>0</v>
      </c>
      <c r="M184" s="280">
        <v>0</v>
      </c>
      <c r="N184" s="280">
        <v>9766</v>
      </c>
      <c r="O184" s="280">
        <v>9764</v>
      </c>
      <c r="Q184" s="277" t="s">
        <v>3587</v>
      </c>
    </row>
    <row r="185" spans="1:17" ht="15.75" thickBot="1">
      <c r="B185" s="277" t="s">
        <v>15712</v>
      </c>
      <c r="C185" s="115" t="s">
        <v>13843</v>
      </c>
      <c r="D185" s="283">
        <v>0</v>
      </c>
      <c r="E185" s="283">
        <v>0</v>
      </c>
      <c r="F185" s="283">
        <v>0</v>
      </c>
      <c r="G185" s="283">
        <v>0</v>
      </c>
      <c r="H185" s="283">
        <v>0</v>
      </c>
      <c r="I185" s="283">
        <v>0</v>
      </c>
      <c r="J185" s="283">
        <v>0</v>
      </c>
      <c r="K185" s="283">
        <v>0</v>
      </c>
      <c r="L185" s="283">
        <v>0</v>
      </c>
      <c r="M185" s="283">
        <v>0</v>
      </c>
      <c r="N185" s="283">
        <v>938</v>
      </c>
      <c r="O185" s="283">
        <v>935</v>
      </c>
      <c r="Q185" s="277" t="s">
        <v>2216</v>
      </c>
    </row>
    <row r="186" spans="1:17" ht="15.75" thickBot="1">
      <c r="B186" s="277"/>
      <c r="C186" s="115" t="s">
        <v>13843</v>
      </c>
      <c r="D186" s="284">
        <f t="shared" ref="D186:O186" si="71">D184+D185</f>
        <v>0</v>
      </c>
      <c r="E186" s="284">
        <f t="shared" si="71"/>
        <v>0</v>
      </c>
      <c r="F186" s="284">
        <f t="shared" si="71"/>
        <v>0</v>
      </c>
      <c r="G186" s="284">
        <f t="shared" si="71"/>
        <v>0</v>
      </c>
      <c r="H186" s="284">
        <f t="shared" si="71"/>
        <v>0</v>
      </c>
      <c r="I186" s="284">
        <f t="shared" si="71"/>
        <v>0</v>
      </c>
      <c r="J186" s="284">
        <f t="shared" si="71"/>
        <v>0</v>
      </c>
      <c r="K186" s="284">
        <f t="shared" si="71"/>
        <v>0</v>
      </c>
      <c r="L186" s="284">
        <f t="shared" si="71"/>
        <v>0</v>
      </c>
      <c r="M186" s="284">
        <f t="shared" si="71"/>
        <v>0</v>
      </c>
      <c r="N186" s="284">
        <f t="shared" si="71"/>
        <v>10704</v>
      </c>
      <c r="O186" s="284">
        <f t="shared" si="71"/>
        <v>10699</v>
      </c>
      <c r="Q186" s="277"/>
    </row>
    <row r="187" spans="1:17">
      <c r="A187" s="829">
        <v>43</v>
      </c>
      <c r="B187" s="277" t="s">
        <v>15713</v>
      </c>
      <c r="C187" s="115" t="s">
        <v>13844</v>
      </c>
      <c r="D187" s="280">
        <v>0</v>
      </c>
      <c r="E187" s="280">
        <v>0</v>
      </c>
      <c r="F187" s="280">
        <v>0</v>
      </c>
      <c r="G187" s="280">
        <v>0</v>
      </c>
      <c r="H187" s="280">
        <v>0</v>
      </c>
      <c r="I187" s="280">
        <v>0</v>
      </c>
      <c r="J187" s="280">
        <v>0</v>
      </c>
      <c r="K187" s="280">
        <v>0</v>
      </c>
      <c r="L187" s="280">
        <v>0</v>
      </c>
      <c r="M187" s="280">
        <v>0</v>
      </c>
      <c r="N187" s="280">
        <v>3649</v>
      </c>
      <c r="O187" s="280">
        <v>3643</v>
      </c>
      <c r="Q187" s="277" t="s">
        <v>3587</v>
      </c>
    </row>
    <row r="188" spans="1:17">
      <c r="A188" s="829">
        <v>44</v>
      </c>
      <c r="B188" s="277" t="s">
        <v>15714</v>
      </c>
      <c r="C188" s="115" t="s">
        <v>13845</v>
      </c>
      <c r="D188" s="280">
        <v>0</v>
      </c>
      <c r="E188" s="280">
        <v>0</v>
      </c>
      <c r="F188" s="280">
        <v>0</v>
      </c>
      <c r="G188" s="280">
        <v>0</v>
      </c>
      <c r="H188" s="280">
        <v>0</v>
      </c>
      <c r="I188" s="280">
        <v>0</v>
      </c>
      <c r="J188" s="280">
        <v>0</v>
      </c>
      <c r="K188" s="280">
        <v>0</v>
      </c>
      <c r="L188" s="280">
        <v>0</v>
      </c>
      <c r="M188" s="280">
        <v>0</v>
      </c>
      <c r="N188" s="280">
        <v>3694</v>
      </c>
      <c r="O188" s="280">
        <v>3695</v>
      </c>
      <c r="Q188" s="277" t="s">
        <v>3587</v>
      </c>
    </row>
    <row r="189" spans="1:17">
      <c r="A189" s="829">
        <v>45</v>
      </c>
      <c r="B189" s="277" t="s">
        <v>15726</v>
      </c>
      <c r="C189" s="115" t="s">
        <v>13846</v>
      </c>
      <c r="D189" s="280">
        <v>0</v>
      </c>
      <c r="E189" s="280">
        <v>0</v>
      </c>
      <c r="F189" s="280">
        <v>0</v>
      </c>
      <c r="G189" s="280">
        <v>0</v>
      </c>
      <c r="H189" s="280">
        <v>0</v>
      </c>
      <c r="I189" s="280">
        <v>0</v>
      </c>
      <c r="J189" s="280">
        <v>0</v>
      </c>
      <c r="K189" s="280">
        <v>0</v>
      </c>
      <c r="L189" s="280">
        <v>0</v>
      </c>
      <c r="M189" s="280">
        <v>0</v>
      </c>
      <c r="N189" s="280">
        <v>3789</v>
      </c>
      <c r="O189" s="280">
        <v>3782</v>
      </c>
      <c r="Q189" s="277" t="s">
        <v>3588</v>
      </c>
    </row>
    <row r="190" spans="1:17">
      <c r="A190" s="833"/>
      <c r="B190" s="277"/>
      <c r="C190" s="55"/>
      <c r="D190" s="280"/>
      <c r="E190" s="280"/>
      <c r="F190" s="280"/>
      <c r="G190" s="280"/>
      <c r="H190" s="280"/>
      <c r="I190" s="280"/>
      <c r="J190" s="280"/>
      <c r="K190" s="280"/>
      <c r="L190" s="280"/>
      <c r="M190" s="280"/>
      <c r="N190" s="280"/>
      <c r="O190" s="280"/>
      <c r="Q190" s="277"/>
    </row>
    <row r="191" spans="1:17">
      <c r="A191" s="277" t="s">
        <v>3584</v>
      </c>
      <c r="D191" s="280">
        <f t="shared" ref="D191:M191" si="72">D119+D121+D122+D129+D133+D137+D138+D141+D150+D162+D173</f>
        <v>68899</v>
      </c>
      <c r="E191" s="280">
        <f t="shared" si="72"/>
        <v>68280</v>
      </c>
      <c r="F191" s="280">
        <f t="shared" si="72"/>
        <v>68057</v>
      </c>
      <c r="G191" s="280">
        <f t="shared" si="72"/>
        <v>68463</v>
      </c>
      <c r="H191" s="280">
        <f t="shared" si="72"/>
        <v>70641</v>
      </c>
      <c r="I191" s="280">
        <f t="shared" si="72"/>
        <v>70533</v>
      </c>
      <c r="J191" s="280">
        <f t="shared" si="72"/>
        <v>70857</v>
      </c>
      <c r="K191" s="280">
        <f t="shared" si="72"/>
        <v>72255</v>
      </c>
      <c r="L191" s="280">
        <f t="shared" si="72"/>
        <v>74397</v>
      </c>
      <c r="M191" s="280">
        <f t="shared" si="72"/>
        <v>74431</v>
      </c>
      <c r="N191" s="280">
        <f>N119+N121+N122+N129+N133+N137+N138+N141+N150+N162+N173</f>
        <v>75196</v>
      </c>
      <c r="O191" s="280">
        <f>O119+O121+O122+O129+O133+O137+O138+O141+O150+O162+O173</f>
        <v>75149</v>
      </c>
    </row>
    <row r="192" spans="1:17">
      <c r="A192" s="277" t="s">
        <v>2286</v>
      </c>
      <c r="D192" s="280">
        <f t="shared" ref="D192:M192" si="73">D123+D125+D130+D134+D144+D158+D168+D169+D172+D174+D182+D183+D184+D187+D188</f>
        <v>55967</v>
      </c>
      <c r="E192" s="280">
        <f t="shared" si="73"/>
        <v>54473</v>
      </c>
      <c r="F192" s="280">
        <f t="shared" si="73"/>
        <v>53972</v>
      </c>
      <c r="G192" s="280">
        <f t="shared" si="73"/>
        <v>55125</v>
      </c>
      <c r="H192" s="280">
        <f t="shared" si="73"/>
        <v>55387</v>
      </c>
      <c r="I192" s="280">
        <f t="shared" si="73"/>
        <v>56378</v>
      </c>
      <c r="J192" s="280">
        <f t="shared" si="73"/>
        <v>56484</v>
      </c>
      <c r="K192" s="280">
        <f t="shared" si="73"/>
        <v>57571</v>
      </c>
      <c r="L192" s="280">
        <f t="shared" si="73"/>
        <v>59051</v>
      </c>
      <c r="M192" s="280">
        <f t="shared" si="73"/>
        <v>59054</v>
      </c>
      <c r="N192" s="280">
        <f>N123+N125+N130+N134+N144+N158+N168+N169+N172+N174+N182+N183+N184+N187+N188</f>
        <v>60700</v>
      </c>
      <c r="O192" s="280">
        <f>O123+O125+O130+O134+O144+O158+O168+O169+O172+O174+O182+O183+O184+O187+O188</f>
        <v>60636</v>
      </c>
    </row>
    <row r="193" spans="1:17">
      <c r="A193" s="277" t="s">
        <v>3588</v>
      </c>
      <c r="D193" s="280">
        <f t="shared" ref="D193:M193" si="74">D120+D135+D142+D143+D148+D149+D154+D159+D163+D166+D167+D178+D179+D180+D181+D189</f>
        <v>65739</v>
      </c>
      <c r="E193" s="280">
        <f t="shared" si="74"/>
        <v>66995</v>
      </c>
      <c r="F193" s="280">
        <f t="shared" si="74"/>
        <v>66692</v>
      </c>
      <c r="G193" s="280">
        <f t="shared" si="74"/>
        <v>67446</v>
      </c>
      <c r="H193" s="280">
        <f t="shared" si="74"/>
        <v>67706</v>
      </c>
      <c r="I193" s="280">
        <f t="shared" si="74"/>
        <v>68297</v>
      </c>
      <c r="J193" s="280">
        <f t="shared" si="74"/>
        <v>67586</v>
      </c>
      <c r="K193" s="280">
        <f t="shared" si="74"/>
        <v>68456</v>
      </c>
      <c r="L193" s="280">
        <f t="shared" si="74"/>
        <v>69522</v>
      </c>
      <c r="M193" s="280">
        <f t="shared" si="74"/>
        <v>69529</v>
      </c>
      <c r="N193" s="280">
        <f>N120+N135+N142+N143+N148+N149+N154+N159+N163+N166+N167+N178+N179+N180+N181+N189</f>
        <v>70052</v>
      </c>
      <c r="O193" s="280">
        <f>O120+O135+O142+O143+O148+O149+O154+O159+O163+O166+O167+O178+O179+O180+O181+O189</f>
        <v>69995</v>
      </c>
    </row>
    <row r="194" spans="1:17">
      <c r="A194" s="277" t="s">
        <v>2287</v>
      </c>
      <c r="C194" s="277"/>
      <c r="D194" s="280">
        <f t="shared" ref="D194:M194" si="75">D126+D145+D155+D165+D175</f>
        <v>16639</v>
      </c>
      <c r="E194" s="280">
        <f t="shared" si="75"/>
        <v>15975</v>
      </c>
      <c r="F194" s="280">
        <f t="shared" si="75"/>
        <v>16040</v>
      </c>
      <c r="G194" s="280">
        <f t="shared" si="75"/>
        <v>16384</v>
      </c>
      <c r="H194" s="280">
        <f t="shared" si="75"/>
        <v>16330</v>
      </c>
      <c r="I194" s="280">
        <f t="shared" si="75"/>
        <v>16512</v>
      </c>
      <c r="J194" s="280">
        <f t="shared" si="75"/>
        <v>16527</v>
      </c>
      <c r="K194" s="280">
        <f t="shared" si="75"/>
        <v>17078</v>
      </c>
      <c r="L194" s="280">
        <f t="shared" si="75"/>
        <v>17388</v>
      </c>
      <c r="M194" s="280">
        <f t="shared" si="75"/>
        <v>17389</v>
      </c>
      <c r="N194" s="280">
        <f>N126+N145+N155+N165+N175</f>
        <v>17341</v>
      </c>
      <c r="O194" s="280">
        <f>O126+O145+O155+O165+O175</f>
        <v>17318</v>
      </c>
    </row>
    <row r="195" spans="1:17">
      <c r="A195" s="277" t="s">
        <v>6681</v>
      </c>
      <c r="D195" s="280">
        <f t="shared" ref="D195:M195" si="76">D127+D132+D139+D140+D146+D151+D152+D153+D156+D160+D170+D176+D185</f>
        <v>44689</v>
      </c>
      <c r="E195" s="280">
        <f t="shared" si="76"/>
        <v>43780</v>
      </c>
      <c r="F195" s="280">
        <f t="shared" si="76"/>
        <v>42920</v>
      </c>
      <c r="G195" s="280">
        <f t="shared" si="76"/>
        <v>43670</v>
      </c>
      <c r="H195" s="280">
        <f t="shared" si="76"/>
        <v>44315</v>
      </c>
      <c r="I195" s="280">
        <f t="shared" si="76"/>
        <v>45071</v>
      </c>
      <c r="J195" s="280">
        <f t="shared" si="76"/>
        <v>45044</v>
      </c>
      <c r="K195" s="280">
        <f t="shared" si="76"/>
        <v>45980</v>
      </c>
      <c r="L195" s="280">
        <f t="shared" si="76"/>
        <v>47385</v>
      </c>
      <c r="M195" s="280">
        <f t="shared" si="76"/>
        <v>47392</v>
      </c>
      <c r="N195" s="280">
        <f>N127+N132+N139+N140+N146+N151+N152+N153+N156+N160+N170+N176+N185</f>
        <v>48130</v>
      </c>
      <c r="O195" s="280">
        <f>O127+O132+O139+O140+O146+O151+O152+O153+O156+O160+O170+O176+O185</f>
        <v>48086</v>
      </c>
    </row>
    <row r="196" spans="1:17">
      <c r="A196" s="277"/>
      <c r="B196" s="277"/>
      <c r="D196" s="280"/>
      <c r="E196" s="280"/>
      <c r="F196" s="280"/>
      <c r="G196" s="280"/>
      <c r="H196" s="280"/>
      <c r="I196" s="280"/>
      <c r="J196" s="280"/>
      <c r="K196" s="280"/>
      <c r="L196" s="280"/>
      <c r="M196" s="280"/>
      <c r="N196" s="280"/>
      <c r="O196" s="280"/>
    </row>
    <row r="197" spans="1:17">
      <c r="A197" s="115" t="s">
        <v>13847</v>
      </c>
      <c r="D197" s="280"/>
      <c r="E197" s="280"/>
      <c r="F197" s="280"/>
      <c r="G197" s="280"/>
      <c r="H197" s="280"/>
      <c r="I197" s="280"/>
      <c r="J197" s="280"/>
      <c r="K197" s="280"/>
      <c r="L197" s="280"/>
      <c r="M197" s="280"/>
      <c r="N197" s="280"/>
      <c r="O197" s="280"/>
    </row>
    <row r="198" spans="1:17">
      <c r="A198" s="277"/>
      <c r="D198" s="282"/>
      <c r="E198" s="282"/>
      <c r="F198" s="282"/>
      <c r="G198" s="282"/>
      <c r="H198" s="282"/>
      <c r="I198" s="282"/>
      <c r="J198" s="282"/>
      <c r="K198" s="282"/>
      <c r="L198" s="282"/>
      <c r="M198" s="282"/>
      <c r="N198" s="282"/>
      <c r="O198" s="282"/>
    </row>
    <row r="199" spans="1:17">
      <c r="A199" s="277"/>
      <c r="D199" s="282"/>
      <c r="E199" s="282"/>
      <c r="F199" s="282"/>
      <c r="G199" s="282"/>
      <c r="H199" s="282"/>
      <c r="I199" s="282"/>
      <c r="J199" s="282"/>
      <c r="K199" s="282"/>
      <c r="L199" s="282"/>
      <c r="M199" s="282"/>
      <c r="N199" s="282"/>
      <c r="O199" s="282"/>
    </row>
    <row r="200" spans="1:17">
      <c r="E200" s="507" t="s">
        <v>1526</v>
      </c>
      <c r="F200" s="507"/>
      <c r="G200" s="507"/>
      <c r="H200" s="507"/>
      <c r="I200" s="507"/>
      <c r="J200" s="507"/>
      <c r="K200" s="507"/>
      <c r="L200" s="507"/>
      <c r="M200" s="507"/>
      <c r="N200" s="507"/>
      <c r="O200" s="507"/>
      <c r="P200" s="138"/>
      <c r="Q200" s="506" t="s">
        <v>9479</v>
      </c>
    </row>
    <row r="201" spans="1:17">
      <c r="D201" s="115">
        <v>2010</v>
      </c>
      <c r="E201" s="115">
        <v>2011</v>
      </c>
      <c r="F201" s="115">
        <v>2012</v>
      </c>
      <c r="G201" s="115">
        <v>2013</v>
      </c>
      <c r="H201" s="115">
        <v>2014</v>
      </c>
      <c r="I201" s="115">
        <v>2015</v>
      </c>
      <c r="J201" s="115">
        <v>2016</v>
      </c>
      <c r="K201" s="115">
        <v>2017</v>
      </c>
      <c r="L201" s="115">
        <v>2018</v>
      </c>
      <c r="M201" s="115">
        <v>2019</v>
      </c>
      <c r="N201" s="115">
        <v>2020</v>
      </c>
      <c r="O201" s="931" t="s">
        <v>14823</v>
      </c>
      <c r="Q201" s="506" t="s">
        <v>1527</v>
      </c>
    </row>
    <row r="202" spans="1:17">
      <c r="A202" s="277" t="s">
        <v>4120</v>
      </c>
      <c r="D202" s="280">
        <f t="shared" ref="D202:N202" si="77">SUM(D203:D206,D208:D215,D217:D218,D220:D226)</f>
        <v>91631</v>
      </c>
      <c r="E202" s="280">
        <f t="shared" si="77"/>
        <v>92550</v>
      </c>
      <c r="F202" s="280">
        <f t="shared" si="77"/>
        <v>94044</v>
      </c>
      <c r="G202" s="280">
        <f t="shared" si="77"/>
        <v>94403</v>
      </c>
      <c r="H202" s="280">
        <f t="shared" si="77"/>
        <v>94006</v>
      </c>
      <c r="I202" s="280">
        <f t="shared" si="77"/>
        <v>94619</v>
      </c>
      <c r="J202" s="280">
        <f t="shared" si="77"/>
        <v>92958</v>
      </c>
      <c r="K202" s="280">
        <f t="shared" si="77"/>
        <v>93870</v>
      </c>
      <c r="L202" s="280">
        <f t="shared" si="77"/>
        <v>95412</v>
      </c>
      <c r="M202" s="280">
        <f t="shared" si="77"/>
        <v>91918</v>
      </c>
      <c r="N202" s="280">
        <f t="shared" si="77"/>
        <v>95285</v>
      </c>
      <c r="O202" s="280">
        <f>SUM(O203:O206,O208:O215,O217:O218,O220:O226)</f>
        <v>95616</v>
      </c>
    </row>
    <row r="203" spans="1:17">
      <c r="A203" s="277" t="s">
        <v>5387</v>
      </c>
      <c r="B203" s="115" t="s">
        <v>6682</v>
      </c>
      <c r="C203" s="115" t="s">
        <v>15029</v>
      </c>
      <c r="D203" s="280">
        <v>69461</v>
      </c>
      <c r="E203" s="280">
        <v>70322</v>
      </c>
      <c r="F203" s="280">
        <v>71509</v>
      </c>
      <c r="G203" s="280">
        <v>71878</v>
      </c>
      <c r="H203" s="280">
        <v>71655</v>
      </c>
      <c r="I203" s="280">
        <v>72190</v>
      </c>
      <c r="J203" s="280">
        <v>70868</v>
      </c>
      <c r="K203" s="280">
        <v>71526</v>
      </c>
      <c r="L203" s="280">
        <v>72668</v>
      </c>
      <c r="M203" s="280">
        <v>69917</v>
      </c>
      <c r="N203" s="280">
        <v>72332</v>
      </c>
      <c r="O203" s="63">
        <v>4852</v>
      </c>
      <c r="Q203" s="277" t="s">
        <v>3589</v>
      </c>
    </row>
    <row r="204" spans="1:17">
      <c r="A204" s="277" t="s">
        <v>5389</v>
      </c>
      <c r="B204" s="115" t="s">
        <v>15031</v>
      </c>
      <c r="C204" s="115" t="s">
        <v>15030</v>
      </c>
      <c r="D204" s="280">
        <v>0</v>
      </c>
      <c r="E204" s="280">
        <v>0</v>
      </c>
      <c r="F204" s="280">
        <v>0</v>
      </c>
      <c r="G204" s="280">
        <v>0</v>
      </c>
      <c r="H204" s="280">
        <v>0</v>
      </c>
      <c r="I204" s="280">
        <v>0</v>
      </c>
      <c r="J204" s="280">
        <v>0</v>
      </c>
      <c r="K204" s="280">
        <v>0</v>
      </c>
      <c r="L204" s="280">
        <v>0</v>
      </c>
      <c r="M204" s="280">
        <v>0</v>
      </c>
      <c r="N204" s="280">
        <v>0</v>
      </c>
      <c r="O204" s="63">
        <v>5241</v>
      </c>
      <c r="Q204" s="277" t="s">
        <v>3589</v>
      </c>
    </row>
    <row r="205" spans="1:17">
      <c r="A205" s="277" t="s">
        <v>5391</v>
      </c>
      <c r="B205" s="115" t="s">
        <v>15033</v>
      </c>
      <c r="C205" s="115" t="s">
        <v>15032</v>
      </c>
      <c r="D205" s="280">
        <v>0</v>
      </c>
      <c r="E205" s="280">
        <v>0</v>
      </c>
      <c r="F205" s="280">
        <v>0</v>
      </c>
      <c r="G205" s="280">
        <v>0</v>
      </c>
      <c r="H205" s="280">
        <v>0</v>
      </c>
      <c r="I205" s="280">
        <v>0</v>
      </c>
      <c r="J205" s="280">
        <v>0</v>
      </c>
      <c r="K205" s="280">
        <v>0</v>
      </c>
      <c r="L205" s="280">
        <v>0</v>
      </c>
      <c r="M205" s="280">
        <v>0</v>
      </c>
      <c r="N205" s="280">
        <v>0</v>
      </c>
      <c r="O205" s="63">
        <v>3181</v>
      </c>
      <c r="Q205" s="277" t="s">
        <v>3589</v>
      </c>
    </row>
    <row r="206" spans="1:17" ht="15.75" thickBot="1">
      <c r="A206" s="277"/>
      <c r="C206" s="115" t="s">
        <v>15032</v>
      </c>
      <c r="D206" s="280">
        <v>0</v>
      </c>
      <c r="E206" s="280">
        <v>0</v>
      </c>
      <c r="F206" s="280">
        <v>0</v>
      </c>
      <c r="G206" s="280">
        <v>0</v>
      </c>
      <c r="H206" s="280">
        <v>0</v>
      </c>
      <c r="I206" s="280">
        <v>0</v>
      </c>
      <c r="J206" s="280">
        <v>0</v>
      </c>
      <c r="K206" s="280">
        <v>0</v>
      </c>
      <c r="L206" s="280">
        <v>0</v>
      </c>
      <c r="M206" s="280">
        <v>0</v>
      </c>
      <c r="N206" s="280">
        <v>0</v>
      </c>
      <c r="O206" s="63">
        <v>2955</v>
      </c>
      <c r="Q206" s="277" t="s">
        <v>2216</v>
      </c>
    </row>
    <row r="207" spans="1:17" ht="15.75" thickBot="1">
      <c r="A207" s="277"/>
      <c r="C207" s="115" t="s">
        <v>15032</v>
      </c>
      <c r="D207" s="284">
        <f>D205+D206</f>
        <v>0</v>
      </c>
      <c r="E207" s="284">
        <f t="shared" ref="E207:O207" si="78">E205+E206</f>
        <v>0</v>
      </c>
      <c r="F207" s="284">
        <f t="shared" si="78"/>
        <v>0</v>
      </c>
      <c r="G207" s="284">
        <f t="shared" si="78"/>
        <v>0</v>
      </c>
      <c r="H207" s="284">
        <f t="shared" si="78"/>
        <v>0</v>
      </c>
      <c r="I207" s="284">
        <f t="shared" si="78"/>
        <v>0</v>
      </c>
      <c r="J207" s="284">
        <f t="shared" si="78"/>
        <v>0</v>
      </c>
      <c r="K207" s="284">
        <f t="shared" si="78"/>
        <v>0</v>
      </c>
      <c r="L207" s="284">
        <f t="shared" si="78"/>
        <v>0</v>
      </c>
      <c r="M207" s="284">
        <f t="shared" si="78"/>
        <v>0</v>
      </c>
      <c r="N207" s="284">
        <f t="shared" si="78"/>
        <v>0</v>
      </c>
      <c r="O207" s="284">
        <f t="shared" si="78"/>
        <v>6136</v>
      </c>
      <c r="Q207" s="277"/>
    </row>
    <row r="208" spans="1:17">
      <c r="A208" s="277" t="s">
        <v>5393</v>
      </c>
      <c r="B208" s="115" t="s">
        <v>6683</v>
      </c>
      <c r="C208" s="115" t="s">
        <v>15034</v>
      </c>
      <c r="D208" s="280">
        <v>0</v>
      </c>
      <c r="E208" s="280">
        <v>0</v>
      </c>
      <c r="F208" s="280">
        <v>0</v>
      </c>
      <c r="G208" s="280">
        <v>0</v>
      </c>
      <c r="H208" s="280">
        <v>0</v>
      </c>
      <c r="I208" s="280">
        <v>0</v>
      </c>
      <c r="J208" s="280">
        <v>0</v>
      </c>
      <c r="K208" s="280">
        <v>0</v>
      </c>
      <c r="L208" s="280">
        <v>0</v>
      </c>
      <c r="M208" s="280">
        <v>0</v>
      </c>
      <c r="N208" s="280">
        <v>0</v>
      </c>
      <c r="O208" s="63">
        <v>6134</v>
      </c>
      <c r="Q208" s="277" t="s">
        <v>3589</v>
      </c>
    </row>
    <row r="209" spans="1:17">
      <c r="A209" s="277" t="s">
        <v>5394</v>
      </c>
      <c r="B209" s="115" t="s">
        <v>15036</v>
      </c>
      <c r="C209" s="115" t="s">
        <v>15035</v>
      </c>
      <c r="D209" s="280">
        <v>0</v>
      </c>
      <c r="E209" s="280">
        <v>0</v>
      </c>
      <c r="F209" s="280">
        <v>0</v>
      </c>
      <c r="G209" s="280">
        <v>0</v>
      </c>
      <c r="H209" s="280">
        <v>0</v>
      </c>
      <c r="I209" s="280">
        <v>0</v>
      </c>
      <c r="J209" s="280">
        <v>0</v>
      </c>
      <c r="K209" s="280">
        <v>0</v>
      </c>
      <c r="L209" s="280">
        <v>0</v>
      </c>
      <c r="M209" s="280">
        <v>0</v>
      </c>
      <c r="N209" s="280">
        <v>0</v>
      </c>
      <c r="O209" s="63">
        <v>5569</v>
      </c>
      <c r="Q209" s="277" t="s">
        <v>3589</v>
      </c>
    </row>
    <row r="210" spans="1:17">
      <c r="A210" s="277" t="s">
        <v>5416</v>
      </c>
      <c r="B210" s="115" t="s">
        <v>15038</v>
      </c>
      <c r="C210" s="115" t="s">
        <v>15037</v>
      </c>
      <c r="D210" s="280">
        <v>0</v>
      </c>
      <c r="E210" s="280">
        <v>0</v>
      </c>
      <c r="F210" s="280">
        <v>0</v>
      </c>
      <c r="G210" s="280">
        <v>0</v>
      </c>
      <c r="H210" s="280">
        <v>0</v>
      </c>
      <c r="I210" s="280">
        <v>0</v>
      </c>
      <c r="J210" s="280">
        <v>0</v>
      </c>
      <c r="K210" s="280">
        <v>0</v>
      </c>
      <c r="L210" s="280">
        <v>0</v>
      </c>
      <c r="M210" s="280">
        <v>0</v>
      </c>
      <c r="N210" s="280">
        <v>0</v>
      </c>
      <c r="O210" s="63">
        <v>4616</v>
      </c>
      <c r="Q210" s="277" t="s">
        <v>3589</v>
      </c>
    </row>
    <row r="211" spans="1:17">
      <c r="A211" s="277" t="s">
        <v>5418</v>
      </c>
      <c r="B211" s="115" t="s">
        <v>15040</v>
      </c>
      <c r="C211" s="115" t="s">
        <v>15039</v>
      </c>
      <c r="D211" s="280">
        <v>22170</v>
      </c>
      <c r="E211" s="280">
        <v>22228</v>
      </c>
      <c r="F211" s="280">
        <v>22535</v>
      </c>
      <c r="G211" s="280">
        <v>22525</v>
      </c>
      <c r="H211" s="280">
        <v>22351</v>
      </c>
      <c r="I211" s="280">
        <v>22429</v>
      </c>
      <c r="J211" s="280">
        <v>22090</v>
      </c>
      <c r="K211" s="280">
        <v>22344</v>
      </c>
      <c r="L211" s="280">
        <v>22744</v>
      </c>
      <c r="M211" s="280">
        <v>22001</v>
      </c>
      <c r="N211" s="280">
        <v>22953</v>
      </c>
      <c r="O211" s="63">
        <v>3525</v>
      </c>
      <c r="Q211" s="277" t="s">
        <v>2216</v>
      </c>
    </row>
    <row r="212" spans="1:17">
      <c r="A212" s="277" t="s">
        <v>5420</v>
      </c>
      <c r="B212" s="115" t="s">
        <v>15042</v>
      </c>
      <c r="C212" s="115" t="s">
        <v>15041</v>
      </c>
      <c r="D212" s="280">
        <v>0</v>
      </c>
      <c r="E212" s="280">
        <v>0</v>
      </c>
      <c r="F212" s="280">
        <v>0</v>
      </c>
      <c r="G212" s="280">
        <v>0</v>
      </c>
      <c r="H212" s="280">
        <v>0</v>
      </c>
      <c r="I212" s="280">
        <v>0</v>
      </c>
      <c r="J212" s="280">
        <v>0</v>
      </c>
      <c r="K212" s="280">
        <v>0</v>
      </c>
      <c r="L212" s="280">
        <v>0</v>
      </c>
      <c r="M212" s="280">
        <v>0</v>
      </c>
      <c r="N212" s="280">
        <v>0</v>
      </c>
      <c r="O212" s="63">
        <v>5232</v>
      </c>
      <c r="Q212" s="277" t="s">
        <v>3589</v>
      </c>
    </row>
    <row r="213" spans="1:17">
      <c r="A213" s="277" t="s">
        <v>5422</v>
      </c>
      <c r="B213" s="115" t="s">
        <v>6687</v>
      </c>
      <c r="C213" s="115" t="s">
        <v>15043</v>
      </c>
      <c r="D213" s="280">
        <v>0</v>
      </c>
      <c r="E213" s="280">
        <v>0</v>
      </c>
      <c r="F213" s="280">
        <v>0</v>
      </c>
      <c r="G213" s="280">
        <v>0</v>
      </c>
      <c r="H213" s="280">
        <v>0</v>
      </c>
      <c r="I213" s="280">
        <v>0</v>
      </c>
      <c r="J213" s="280">
        <v>0</v>
      </c>
      <c r="K213" s="280">
        <v>0</v>
      </c>
      <c r="L213" s="280">
        <v>0</v>
      </c>
      <c r="M213" s="280">
        <v>0</v>
      </c>
      <c r="N213" s="280">
        <v>0</v>
      </c>
      <c r="O213" s="63">
        <v>6001</v>
      </c>
      <c r="Q213" s="277" t="s">
        <v>3589</v>
      </c>
    </row>
    <row r="214" spans="1:17">
      <c r="A214" s="277" t="s">
        <v>5424</v>
      </c>
      <c r="B214" s="115" t="s">
        <v>6688</v>
      </c>
      <c r="C214" s="115" t="s">
        <v>15044</v>
      </c>
      <c r="D214" s="280">
        <v>0</v>
      </c>
      <c r="E214" s="280">
        <v>0</v>
      </c>
      <c r="F214" s="280">
        <v>0</v>
      </c>
      <c r="G214" s="280">
        <v>0</v>
      </c>
      <c r="H214" s="280">
        <v>0</v>
      </c>
      <c r="I214" s="280">
        <v>0</v>
      </c>
      <c r="J214" s="280">
        <v>0</v>
      </c>
      <c r="K214" s="280">
        <v>0</v>
      </c>
      <c r="L214" s="280">
        <v>0</v>
      </c>
      <c r="M214" s="280">
        <v>0</v>
      </c>
      <c r="N214" s="280">
        <v>0</v>
      </c>
      <c r="O214" s="63">
        <v>5263</v>
      </c>
      <c r="Q214" s="277" t="s">
        <v>3589</v>
      </c>
    </row>
    <row r="215" spans="1:17" ht="15.75" thickBot="1">
      <c r="A215" s="277"/>
      <c r="C215" s="115" t="s">
        <v>15044</v>
      </c>
      <c r="D215" s="280">
        <v>0</v>
      </c>
      <c r="E215" s="280">
        <v>0</v>
      </c>
      <c r="F215" s="280">
        <v>0</v>
      </c>
      <c r="G215" s="280">
        <v>0</v>
      </c>
      <c r="H215" s="280">
        <v>0</v>
      </c>
      <c r="I215" s="280">
        <v>0</v>
      </c>
      <c r="J215" s="280">
        <v>0</v>
      </c>
      <c r="K215" s="280">
        <v>0</v>
      </c>
      <c r="L215" s="280">
        <v>0</v>
      </c>
      <c r="M215" s="280">
        <v>0</v>
      </c>
      <c r="N215" s="280">
        <v>0</v>
      </c>
      <c r="O215" s="63">
        <v>534</v>
      </c>
      <c r="Q215" s="277" t="s">
        <v>2216</v>
      </c>
    </row>
    <row r="216" spans="1:17" ht="15.75" thickBot="1">
      <c r="A216" s="277"/>
      <c r="C216" s="115" t="s">
        <v>15044</v>
      </c>
      <c r="D216" s="284">
        <f>D214+D215</f>
        <v>0</v>
      </c>
      <c r="E216" s="284">
        <f t="shared" ref="E216:O216" si="79">E214+E215</f>
        <v>0</v>
      </c>
      <c r="F216" s="284">
        <f t="shared" si="79"/>
        <v>0</v>
      </c>
      <c r="G216" s="284">
        <f t="shared" si="79"/>
        <v>0</v>
      </c>
      <c r="H216" s="284">
        <f t="shared" si="79"/>
        <v>0</v>
      </c>
      <c r="I216" s="284">
        <f t="shared" si="79"/>
        <v>0</v>
      </c>
      <c r="J216" s="284">
        <f t="shared" si="79"/>
        <v>0</v>
      </c>
      <c r="K216" s="284">
        <f t="shared" si="79"/>
        <v>0</v>
      </c>
      <c r="L216" s="284">
        <f t="shared" si="79"/>
        <v>0</v>
      </c>
      <c r="M216" s="284">
        <f t="shared" si="79"/>
        <v>0</v>
      </c>
      <c r="N216" s="284">
        <f t="shared" si="79"/>
        <v>0</v>
      </c>
      <c r="O216" s="284">
        <f t="shared" si="79"/>
        <v>5797</v>
      </c>
      <c r="Q216" s="277"/>
    </row>
    <row r="217" spans="1:17">
      <c r="A217" s="277" t="s">
        <v>5426</v>
      </c>
      <c r="B217" s="115" t="s">
        <v>6685</v>
      </c>
      <c r="C217" s="115" t="s">
        <v>15045</v>
      </c>
      <c r="D217" s="280">
        <v>0</v>
      </c>
      <c r="E217" s="280">
        <v>0</v>
      </c>
      <c r="F217" s="280">
        <v>0</v>
      </c>
      <c r="G217" s="280">
        <v>0</v>
      </c>
      <c r="H217" s="280">
        <v>0</v>
      </c>
      <c r="I217" s="280">
        <v>0</v>
      </c>
      <c r="J217" s="280">
        <v>0</v>
      </c>
      <c r="K217" s="280">
        <v>0</v>
      </c>
      <c r="L217" s="280">
        <v>0</v>
      </c>
      <c r="M217" s="280">
        <v>0</v>
      </c>
      <c r="N217" s="280">
        <v>0</v>
      </c>
      <c r="O217" s="63">
        <v>4731</v>
      </c>
      <c r="Q217" s="277" t="s">
        <v>3589</v>
      </c>
    </row>
    <row r="218" spans="1:17" ht="15.75" thickBot="1">
      <c r="A218" s="277"/>
      <c r="C218" s="115" t="s">
        <v>15045</v>
      </c>
      <c r="D218" s="280">
        <v>0</v>
      </c>
      <c r="E218" s="280">
        <v>0</v>
      </c>
      <c r="F218" s="280">
        <v>0</v>
      </c>
      <c r="G218" s="280">
        <v>0</v>
      </c>
      <c r="H218" s="280">
        <v>0</v>
      </c>
      <c r="I218" s="280">
        <v>0</v>
      </c>
      <c r="J218" s="280">
        <v>0</v>
      </c>
      <c r="K218" s="280">
        <v>0</v>
      </c>
      <c r="L218" s="280">
        <v>0</v>
      </c>
      <c r="M218" s="280">
        <v>0</v>
      </c>
      <c r="N218" s="280">
        <v>0</v>
      </c>
      <c r="O218" s="63">
        <v>208</v>
      </c>
      <c r="Q218" s="277" t="s">
        <v>2216</v>
      </c>
    </row>
    <row r="219" spans="1:17" ht="15.75" thickBot="1">
      <c r="A219" s="277"/>
      <c r="C219" s="115" t="s">
        <v>15045</v>
      </c>
      <c r="D219" s="284">
        <f>D217+D218</f>
        <v>0</v>
      </c>
      <c r="E219" s="284">
        <f t="shared" ref="E219:O219" si="80">E217+E218</f>
        <v>0</v>
      </c>
      <c r="F219" s="284">
        <f t="shared" si="80"/>
        <v>0</v>
      </c>
      <c r="G219" s="284">
        <f t="shared" si="80"/>
        <v>0</v>
      </c>
      <c r="H219" s="284">
        <f t="shared" si="80"/>
        <v>0</v>
      </c>
      <c r="I219" s="284">
        <f t="shared" si="80"/>
        <v>0</v>
      </c>
      <c r="J219" s="284">
        <f t="shared" si="80"/>
        <v>0</v>
      </c>
      <c r="K219" s="284">
        <f t="shared" si="80"/>
        <v>0</v>
      </c>
      <c r="L219" s="284">
        <f t="shared" si="80"/>
        <v>0</v>
      </c>
      <c r="M219" s="284">
        <f t="shared" si="80"/>
        <v>0</v>
      </c>
      <c r="N219" s="284">
        <f t="shared" si="80"/>
        <v>0</v>
      </c>
      <c r="O219" s="284">
        <f t="shared" si="80"/>
        <v>4939</v>
      </c>
      <c r="Q219" s="277"/>
    </row>
    <row r="220" spans="1:17">
      <c r="A220" s="277" t="s">
        <v>5428</v>
      </c>
      <c r="B220" s="115" t="s">
        <v>6689</v>
      </c>
      <c r="C220" s="115" t="s">
        <v>15046</v>
      </c>
      <c r="D220" s="280">
        <v>0</v>
      </c>
      <c r="E220" s="280">
        <v>0</v>
      </c>
      <c r="F220" s="280">
        <v>0</v>
      </c>
      <c r="G220" s="280">
        <v>0</v>
      </c>
      <c r="H220" s="280">
        <v>0</v>
      </c>
      <c r="I220" s="280">
        <v>0</v>
      </c>
      <c r="J220" s="280">
        <v>0</v>
      </c>
      <c r="K220" s="280">
        <v>0</v>
      </c>
      <c r="L220" s="280">
        <v>0</v>
      </c>
      <c r="M220" s="280">
        <v>0</v>
      </c>
      <c r="N220" s="280">
        <v>0</v>
      </c>
      <c r="O220" s="63">
        <v>5081</v>
      </c>
      <c r="Q220" s="277" t="s">
        <v>2216</v>
      </c>
    </row>
    <row r="221" spans="1:17">
      <c r="A221" s="277" t="s">
        <v>5429</v>
      </c>
      <c r="B221" s="115" t="s">
        <v>6690</v>
      </c>
      <c r="C221" s="115" t="s">
        <v>15047</v>
      </c>
      <c r="D221" s="280">
        <v>0</v>
      </c>
      <c r="E221" s="280">
        <v>0</v>
      </c>
      <c r="F221" s="280">
        <v>0</v>
      </c>
      <c r="G221" s="280">
        <v>0</v>
      </c>
      <c r="H221" s="280">
        <v>0</v>
      </c>
      <c r="I221" s="280">
        <v>0</v>
      </c>
      <c r="J221" s="280">
        <v>0</v>
      </c>
      <c r="K221" s="280">
        <v>0</v>
      </c>
      <c r="L221" s="280">
        <v>0</v>
      </c>
      <c r="M221" s="280">
        <v>0</v>
      </c>
      <c r="N221" s="280">
        <v>0</v>
      </c>
      <c r="O221" s="63">
        <v>5328</v>
      </c>
      <c r="Q221" s="277" t="s">
        <v>3589</v>
      </c>
    </row>
    <row r="222" spans="1:17">
      <c r="A222" s="277" t="s">
        <v>5431</v>
      </c>
      <c r="B222" s="115" t="s">
        <v>735</v>
      </c>
      <c r="C222" s="115" t="s">
        <v>15048</v>
      </c>
      <c r="D222" s="280">
        <v>0</v>
      </c>
      <c r="E222" s="280">
        <v>0</v>
      </c>
      <c r="F222" s="280">
        <v>0</v>
      </c>
      <c r="G222" s="280">
        <v>0</v>
      </c>
      <c r="H222" s="280">
        <v>0</v>
      </c>
      <c r="I222" s="280">
        <v>0</v>
      </c>
      <c r="J222" s="280">
        <v>0</v>
      </c>
      <c r="K222" s="280">
        <v>0</v>
      </c>
      <c r="L222" s="280">
        <v>0</v>
      </c>
      <c r="M222" s="280">
        <v>0</v>
      </c>
      <c r="N222" s="280">
        <v>0</v>
      </c>
      <c r="O222" s="63">
        <v>5241</v>
      </c>
      <c r="Q222" s="277" t="s">
        <v>3589</v>
      </c>
    </row>
    <row r="223" spans="1:17">
      <c r="A223" s="277" t="s">
        <v>5433</v>
      </c>
      <c r="B223" s="115" t="s">
        <v>6691</v>
      </c>
      <c r="C223" s="115" t="s">
        <v>15049</v>
      </c>
      <c r="D223" s="280">
        <v>0</v>
      </c>
      <c r="E223" s="280">
        <v>0</v>
      </c>
      <c r="F223" s="280">
        <v>0</v>
      </c>
      <c r="G223" s="280">
        <v>0</v>
      </c>
      <c r="H223" s="280">
        <v>0</v>
      </c>
      <c r="I223" s="280">
        <v>0</v>
      </c>
      <c r="J223" s="280">
        <v>0</v>
      </c>
      <c r="K223" s="280">
        <v>0</v>
      </c>
      <c r="L223" s="280">
        <v>0</v>
      </c>
      <c r="M223" s="280">
        <v>0</v>
      </c>
      <c r="N223" s="280">
        <v>0</v>
      </c>
      <c r="O223" s="63">
        <v>5464</v>
      </c>
      <c r="Q223" s="277" t="s">
        <v>3589</v>
      </c>
    </row>
    <row r="224" spans="1:17">
      <c r="A224" s="277" t="s">
        <v>5435</v>
      </c>
      <c r="B224" s="115" t="s">
        <v>15051</v>
      </c>
      <c r="C224" s="115" t="s">
        <v>15050</v>
      </c>
      <c r="D224" s="280">
        <v>0</v>
      </c>
      <c r="E224" s="280">
        <v>0</v>
      </c>
      <c r="F224" s="280">
        <v>0</v>
      </c>
      <c r="G224" s="280">
        <v>0</v>
      </c>
      <c r="H224" s="280">
        <v>0</v>
      </c>
      <c r="I224" s="280">
        <v>0</v>
      </c>
      <c r="J224" s="280">
        <v>0</v>
      </c>
      <c r="K224" s="280">
        <v>0</v>
      </c>
      <c r="L224" s="280">
        <v>0</v>
      </c>
      <c r="M224" s="280">
        <v>0</v>
      </c>
      <c r="N224" s="280">
        <v>0</v>
      </c>
      <c r="O224" s="63">
        <v>5699</v>
      </c>
      <c r="Q224" s="277" t="s">
        <v>3589</v>
      </c>
    </row>
    <row r="225" spans="1:17">
      <c r="A225" s="277" t="s">
        <v>5436</v>
      </c>
      <c r="B225" s="115" t="s">
        <v>6693</v>
      </c>
      <c r="C225" s="115" t="s">
        <v>15052</v>
      </c>
      <c r="D225" s="280">
        <v>0</v>
      </c>
      <c r="E225" s="280">
        <v>0</v>
      </c>
      <c r="F225" s="280">
        <v>0</v>
      </c>
      <c r="G225" s="280">
        <v>0</v>
      </c>
      <c r="H225" s="280">
        <v>0</v>
      </c>
      <c r="I225" s="280">
        <v>0</v>
      </c>
      <c r="J225" s="280">
        <v>0</v>
      </c>
      <c r="K225" s="280">
        <v>0</v>
      </c>
      <c r="L225" s="280">
        <v>0</v>
      </c>
      <c r="M225" s="280">
        <v>0</v>
      </c>
      <c r="N225" s="280">
        <v>0</v>
      </c>
      <c r="O225" s="63">
        <v>5714</v>
      </c>
      <c r="Q225" s="277" t="s">
        <v>2216</v>
      </c>
    </row>
    <row r="226" spans="1:17">
      <c r="A226" s="277" t="s">
        <v>5437</v>
      </c>
      <c r="B226" s="115" t="s">
        <v>15054</v>
      </c>
      <c r="C226" s="115" t="s">
        <v>15053</v>
      </c>
      <c r="D226" s="280">
        <v>0</v>
      </c>
      <c r="E226" s="280">
        <v>0</v>
      </c>
      <c r="F226" s="280">
        <v>0</v>
      </c>
      <c r="G226" s="280">
        <v>0</v>
      </c>
      <c r="H226" s="280">
        <v>0</v>
      </c>
      <c r="I226" s="280">
        <v>0</v>
      </c>
      <c r="J226" s="280">
        <v>0</v>
      </c>
      <c r="K226" s="280">
        <v>0</v>
      </c>
      <c r="L226" s="280">
        <v>0</v>
      </c>
      <c r="M226" s="280">
        <v>0</v>
      </c>
      <c r="N226" s="280">
        <v>0</v>
      </c>
      <c r="O226" s="63">
        <v>5047</v>
      </c>
      <c r="Q226" s="277" t="s">
        <v>2216</v>
      </c>
    </row>
    <row r="227" spans="1:17">
      <c r="D227" s="281"/>
      <c r="E227" s="281"/>
      <c r="F227" s="281"/>
      <c r="G227" s="281"/>
      <c r="H227" s="281"/>
      <c r="I227" s="281"/>
      <c r="J227" s="281"/>
      <c r="K227" s="281"/>
      <c r="L227" s="281"/>
      <c r="M227" s="281"/>
      <c r="N227" s="281"/>
      <c r="O227" s="281"/>
    </row>
    <row r="228" spans="1:17">
      <c r="A228" s="277" t="s">
        <v>3589</v>
      </c>
      <c r="D228" s="280">
        <f t="shared" ref="D228:N228" si="81">SUM(D203:D205,D208:D210,D212:D214,D217,D221:D224)</f>
        <v>69461</v>
      </c>
      <c r="E228" s="280">
        <f t="shared" si="81"/>
        <v>70322</v>
      </c>
      <c r="F228" s="280">
        <f t="shared" si="81"/>
        <v>71509</v>
      </c>
      <c r="G228" s="280">
        <f t="shared" si="81"/>
        <v>71878</v>
      </c>
      <c r="H228" s="280">
        <f t="shared" si="81"/>
        <v>71655</v>
      </c>
      <c r="I228" s="280">
        <f t="shared" si="81"/>
        <v>72190</v>
      </c>
      <c r="J228" s="280">
        <f t="shared" si="81"/>
        <v>70868</v>
      </c>
      <c r="K228" s="280">
        <f t="shared" si="81"/>
        <v>71526</v>
      </c>
      <c r="L228" s="280">
        <f t="shared" si="81"/>
        <v>72668</v>
      </c>
      <c r="M228" s="280">
        <f t="shared" si="81"/>
        <v>69917</v>
      </c>
      <c r="N228" s="280">
        <f t="shared" si="81"/>
        <v>72332</v>
      </c>
      <c r="O228" s="280">
        <f>SUM(O203:O205,O208:O210,O212:O214,O217,O221:O224)</f>
        <v>72552</v>
      </c>
    </row>
    <row r="229" spans="1:17">
      <c r="A229" s="277" t="s">
        <v>6681</v>
      </c>
      <c r="D229" s="280">
        <f t="shared" ref="D229:N229" si="82">SUM(D206,D211,D215,D218,D220,D225:D226)</f>
        <v>22170</v>
      </c>
      <c r="E229" s="280">
        <f t="shared" si="82"/>
        <v>22228</v>
      </c>
      <c r="F229" s="280">
        <f t="shared" si="82"/>
        <v>22535</v>
      </c>
      <c r="G229" s="280">
        <f t="shared" si="82"/>
        <v>22525</v>
      </c>
      <c r="H229" s="280">
        <f t="shared" si="82"/>
        <v>22351</v>
      </c>
      <c r="I229" s="280">
        <f t="shared" si="82"/>
        <v>22429</v>
      </c>
      <c r="J229" s="280">
        <f t="shared" si="82"/>
        <v>22090</v>
      </c>
      <c r="K229" s="280">
        <f t="shared" si="82"/>
        <v>22344</v>
      </c>
      <c r="L229" s="280">
        <f t="shared" si="82"/>
        <v>22744</v>
      </c>
      <c r="M229" s="280">
        <f t="shared" si="82"/>
        <v>22001</v>
      </c>
      <c r="N229" s="280">
        <f t="shared" si="82"/>
        <v>22953</v>
      </c>
      <c r="O229" s="280">
        <f>SUM(O206,O211,O215,O218,O220,O225:O226)</f>
        <v>23064</v>
      </c>
    </row>
    <row r="231" spans="1:17">
      <c r="A231" s="277" t="s">
        <v>6696</v>
      </c>
    </row>
    <row r="232" spans="1:17">
      <c r="A232" s="277" t="s">
        <v>15055</v>
      </c>
    </row>
    <row r="233" spans="1:17">
      <c r="A233" s="277"/>
    </row>
    <row r="234" spans="1:17">
      <c r="A234" s="1012" t="s">
        <v>16023</v>
      </c>
    </row>
    <row r="235" spans="1:17">
      <c r="A235" s="167" t="s">
        <v>16099</v>
      </c>
    </row>
    <row r="278" spans="1:12">
      <c r="A278" s="277"/>
      <c r="B278" s="277"/>
      <c r="C278" s="277"/>
      <c r="D278" s="285"/>
      <c r="E278" s="285"/>
      <c r="F278" s="285"/>
      <c r="G278" s="285"/>
      <c r="H278" s="285"/>
      <c r="I278" s="285"/>
      <c r="J278" s="285"/>
      <c r="K278" s="285"/>
      <c r="L278" s="285"/>
    </row>
    <row r="279" spans="1:12">
      <c r="A279" s="277"/>
      <c r="B279" s="277"/>
      <c r="C279" s="277"/>
      <c r="D279" s="285"/>
      <c r="E279" s="285"/>
      <c r="F279" s="285"/>
      <c r="G279" s="285"/>
      <c r="H279" s="285"/>
      <c r="I279" s="285"/>
      <c r="J279" s="285"/>
      <c r="K279" s="285"/>
      <c r="L279" s="285"/>
    </row>
  </sheetData>
  <sortState ref="R203:U224">
    <sortCondition ref="S203:S224"/>
    <sortCondition ref="R203:R224"/>
  </sortState>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rowBreaks count="3" manualBreakCount="3">
    <brk id="45" max="5" man="1"/>
    <brk id="114" max="5" man="1"/>
    <brk id="198" max="5" man="1"/>
  </rowBreaks>
  <ignoredErrors>
    <ignoredError sqref="D49:F111 G56:K56 G49:K49 G77:K77 D3:K41 I190:J190 G107:K111 L3:L117 L190 L227 L20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U79"/>
  <sheetViews>
    <sheetView showGridLines="0" topLeftCell="A31" zoomScale="90" zoomScaleNormal="90" workbookViewId="0">
      <selection activeCell="O3" sqref="O3"/>
    </sheetView>
  </sheetViews>
  <sheetFormatPr defaultColWidth="12.5703125" defaultRowHeight="15"/>
  <cols>
    <col min="1" max="1" width="4.85546875" style="113" customWidth="1"/>
    <col min="2" max="2" width="31.140625" style="113" customWidth="1"/>
    <col min="3" max="3" width="11.5703125" style="113" customWidth="1"/>
    <col min="4" max="15" width="10" style="113" customWidth="1"/>
    <col min="16" max="16" width="2.140625" style="113" customWidth="1"/>
    <col min="17" max="17" width="35.85546875" style="113" customWidth="1"/>
    <col min="18" max="16384" width="12.5703125" style="113"/>
  </cols>
  <sheetData>
    <row r="1" spans="1:21">
      <c r="A1" s="250" t="s">
        <v>5719</v>
      </c>
      <c r="D1" s="251">
        <v>2010</v>
      </c>
      <c r="E1" s="251">
        <v>2011</v>
      </c>
      <c r="F1" s="251">
        <v>2012</v>
      </c>
      <c r="G1" s="251">
        <v>2013</v>
      </c>
      <c r="H1" s="251">
        <v>2014</v>
      </c>
      <c r="I1" s="251">
        <v>2015</v>
      </c>
      <c r="J1" s="251">
        <v>2016</v>
      </c>
      <c r="K1" s="251">
        <v>2017</v>
      </c>
      <c r="L1" s="251">
        <v>2018</v>
      </c>
      <c r="M1" s="251">
        <v>2019</v>
      </c>
      <c r="N1" s="251">
        <v>2020</v>
      </c>
      <c r="O1" s="929" t="s">
        <v>14823</v>
      </c>
    </row>
    <row r="3" spans="1:21">
      <c r="A3" s="250" t="s">
        <v>6327</v>
      </c>
      <c r="D3" s="255">
        <f t="shared" ref="D3:I3" si="0">SUM(D9:D33)</f>
        <v>5947</v>
      </c>
      <c r="E3" s="255">
        <f t="shared" si="0"/>
        <v>5933</v>
      </c>
      <c r="F3" s="255">
        <f t="shared" si="0"/>
        <v>5992</v>
      </c>
      <c r="G3" s="255">
        <f t="shared" si="0"/>
        <v>5898</v>
      </c>
      <c r="H3" s="255">
        <f t="shared" si="0"/>
        <v>5921</v>
      </c>
      <c r="I3" s="255">
        <f t="shared" si="0"/>
        <v>5853</v>
      </c>
      <c r="J3" s="255">
        <f t="shared" ref="J3:O3" si="1">SUM(J9:J33)</f>
        <v>6158</v>
      </c>
      <c r="K3" s="255">
        <f t="shared" si="1"/>
        <v>6055</v>
      </c>
      <c r="L3" s="255">
        <f t="shared" si="1"/>
        <v>6034</v>
      </c>
      <c r="M3" s="255">
        <f t="shared" si="1"/>
        <v>5903</v>
      </c>
      <c r="N3" s="255">
        <f t="shared" si="1"/>
        <v>5804</v>
      </c>
      <c r="O3" s="255">
        <f t="shared" si="1"/>
        <v>6304</v>
      </c>
    </row>
    <row r="5" spans="1:21">
      <c r="A5" s="250" t="s">
        <v>6328</v>
      </c>
      <c r="D5" s="255">
        <f t="shared" ref="D5:I5" si="2">SUM(D9:D33)</f>
        <v>5947</v>
      </c>
      <c r="E5" s="255">
        <f t="shared" si="2"/>
        <v>5933</v>
      </c>
      <c r="F5" s="255">
        <f t="shared" si="2"/>
        <v>5992</v>
      </c>
      <c r="G5" s="255">
        <f t="shared" si="2"/>
        <v>5898</v>
      </c>
      <c r="H5" s="255">
        <f t="shared" si="2"/>
        <v>5921</v>
      </c>
      <c r="I5" s="255">
        <f t="shared" si="2"/>
        <v>5853</v>
      </c>
      <c r="J5" s="255">
        <f t="shared" ref="J5:O5" si="3">SUM(J9:J33)</f>
        <v>6158</v>
      </c>
      <c r="K5" s="255">
        <f t="shared" si="3"/>
        <v>6055</v>
      </c>
      <c r="L5" s="255">
        <f t="shared" si="3"/>
        <v>6034</v>
      </c>
      <c r="M5" s="255">
        <f t="shared" si="3"/>
        <v>5903</v>
      </c>
      <c r="N5" s="255">
        <f t="shared" si="3"/>
        <v>5804</v>
      </c>
      <c r="O5" s="255">
        <f t="shared" si="3"/>
        <v>6304</v>
      </c>
      <c r="Q5" s="250" t="s">
        <v>6895</v>
      </c>
    </row>
    <row r="6" spans="1:21" ht="15.75" thickBot="1">
      <c r="A6" s="831"/>
      <c r="D6" s="257">
        <f>WESTMINSTER!D8</f>
        <v>58097</v>
      </c>
      <c r="E6" s="257">
        <f>WESTMINSTER!E8</f>
        <v>59207</v>
      </c>
      <c r="F6" s="257">
        <f>WESTMINSTER!F8</f>
        <v>57502</v>
      </c>
      <c r="G6" s="257">
        <f>WESTMINSTER!G8</f>
        <v>56495</v>
      </c>
      <c r="H6" s="257">
        <f>WESTMINSTER!H8</f>
        <v>54936</v>
      </c>
      <c r="I6" s="257">
        <f>WESTMINSTER!I8</f>
        <v>50068</v>
      </c>
      <c r="J6" s="257">
        <f>WESTMINSTER!J8</f>
        <v>51913</v>
      </c>
      <c r="K6" s="257">
        <f>WESTMINSTER!K8</f>
        <v>55167</v>
      </c>
      <c r="L6" s="257">
        <f>WESTMINSTER!L8</f>
        <v>54542</v>
      </c>
      <c r="M6" s="257">
        <f>WESTMINSTER!M8</f>
        <v>52736</v>
      </c>
      <c r="N6" s="257">
        <f>WESTMINSTER!N8</f>
        <v>56244</v>
      </c>
      <c r="O6" s="257">
        <f>WESTMINSTER!O8</f>
        <v>56266</v>
      </c>
      <c r="P6" s="252"/>
      <c r="Q6" s="250" t="s">
        <v>6329</v>
      </c>
    </row>
    <row r="7" spans="1:21" ht="15.75" thickBot="1">
      <c r="A7" s="831"/>
      <c r="D7" s="257">
        <f t="shared" ref="D7:I7" si="4">D5+D6</f>
        <v>64044</v>
      </c>
      <c r="E7" s="257">
        <f t="shared" si="4"/>
        <v>65140</v>
      </c>
      <c r="F7" s="257">
        <f t="shared" si="4"/>
        <v>63494</v>
      </c>
      <c r="G7" s="257">
        <f t="shared" si="4"/>
        <v>62393</v>
      </c>
      <c r="H7" s="257">
        <f t="shared" si="4"/>
        <v>60857</v>
      </c>
      <c r="I7" s="257">
        <f t="shared" si="4"/>
        <v>55921</v>
      </c>
      <c r="J7" s="257">
        <f t="shared" ref="J7:O7" si="5">J5+J6</f>
        <v>58071</v>
      </c>
      <c r="K7" s="257">
        <f t="shared" si="5"/>
        <v>61222</v>
      </c>
      <c r="L7" s="257">
        <f t="shared" si="5"/>
        <v>60576</v>
      </c>
      <c r="M7" s="257">
        <f t="shared" si="5"/>
        <v>58639</v>
      </c>
      <c r="N7" s="257">
        <f t="shared" si="5"/>
        <v>62048</v>
      </c>
      <c r="O7" s="257">
        <f t="shared" si="5"/>
        <v>62570</v>
      </c>
    </row>
    <row r="8" spans="1:21">
      <c r="Q8" s="250"/>
    </row>
    <row r="9" spans="1:21">
      <c r="A9" s="250" t="s">
        <v>5387</v>
      </c>
      <c r="B9" s="250" t="s">
        <v>1941</v>
      </c>
      <c r="C9" s="62" t="s">
        <v>10435</v>
      </c>
      <c r="D9" s="255">
        <v>5947</v>
      </c>
      <c r="E9" s="255">
        <v>5933</v>
      </c>
      <c r="F9" s="255">
        <v>5992</v>
      </c>
      <c r="G9" s="255">
        <v>5898</v>
      </c>
      <c r="H9" s="63">
        <v>5921</v>
      </c>
      <c r="I9" s="63">
        <v>5853</v>
      </c>
      <c r="J9" s="63">
        <v>6158</v>
      </c>
      <c r="K9" s="63">
        <v>6055</v>
      </c>
      <c r="L9" s="63">
        <v>6034</v>
      </c>
      <c r="M9" s="63">
        <v>5903</v>
      </c>
      <c r="N9" s="63">
        <v>5804</v>
      </c>
      <c r="O9" s="63">
        <v>6304</v>
      </c>
      <c r="Q9" s="250" t="s">
        <v>6328</v>
      </c>
      <c r="S9" s="55"/>
      <c r="U9" s="55"/>
    </row>
    <row r="10" spans="1:21">
      <c r="A10" s="250" t="s">
        <v>5389</v>
      </c>
      <c r="B10" s="250" t="s">
        <v>1942</v>
      </c>
      <c r="C10" s="62" t="s">
        <v>10436</v>
      </c>
      <c r="D10" s="255">
        <v>0</v>
      </c>
      <c r="E10" s="255">
        <v>0</v>
      </c>
      <c r="F10" s="255">
        <v>0</v>
      </c>
      <c r="G10" s="255">
        <v>0</v>
      </c>
      <c r="H10" s="255">
        <v>0</v>
      </c>
      <c r="I10" s="255">
        <v>0</v>
      </c>
      <c r="J10" s="255">
        <v>0</v>
      </c>
      <c r="K10" s="255">
        <v>0</v>
      </c>
      <c r="L10" s="255">
        <v>0</v>
      </c>
      <c r="M10" s="255">
        <v>0</v>
      </c>
      <c r="N10" s="255">
        <v>0</v>
      </c>
      <c r="O10" s="255">
        <v>0</v>
      </c>
      <c r="Q10" s="250" t="s">
        <v>6328</v>
      </c>
      <c r="S10" s="55"/>
      <c r="U10" s="55"/>
    </row>
    <row r="11" spans="1:21">
      <c r="A11" s="250" t="s">
        <v>5391</v>
      </c>
      <c r="B11" s="250" t="s">
        <v>1943</v>
      </c>
      <c r="C11" s="62" t="s">
        <v>10437</v>
      </c>
      <c r="D11" s="255">
        <v>0</v>
      </c>
      <c r="E11" s="255">
        <v>0</v>
      </c>
      <c r="F11" s="255">
        <v>0</v>
      </c>
      <c r="G11" s="255">
        <v>0</v>
      </c>
      <c r="H11" s="255">
        <v>0</v>
      </c>
      <c r="I11" s="255">
        <v>0</v>
      </c>
      <c r="J11" s="255">
        <v>0</v>
      </c>
      <c r="K11" s="255">
        <v>0</v>
      </c>
      <c r="L11" s="255">
        <v>0</v>
      </c>
      <c r="M11" s="255">
        <v>0</v>
      </c>
      <c r="N11" s="255">
        <v>0</v>
      </c>
      <c r="O11" s="255">
        <v>0</v>
      </c>
      <c r="Q11" s="250" t="s">
        <v>6328</v>
      </c>
      <c r="S11" s="55"/>
      <c r="U11" s="55"/>
    </row>
    <row r="12" spans="1:21">
      <c r="A12" s="250">
        <v>4</v>
      </c>
      <c r="B12" s="250" t="s">
        <v>1971</v>
      </c>
      <c r="C12" s="62" t="s">
        <v>10438</v>
      </c>
      <c r="D12" s="255">
        <v>0</v>
      </c>
      <c r="E12" s="255">
        <v>0</v>
      </c>
      <c r="F12" s="255">
        <v>0</v>
      </c>
      <c r="G12" s="255">
        <v>0</v>
      </c>
      <c r="H12" s="255">
        <v>0</v>
      </c>
      <c r="I12" s="255">
        <v>0</v>
      </c>
      <c r="J12" s="255">
        <v>0</v>
      </c>
      <c r="K12" s="255">
        <v>0</v>
      </c>
      <c r="L12" s="255">
        <v>0</v>
      </c>
      <c r="M12" s="255">
        <v>0</v>
      </c>
      <c r="N12" s="255">
        <v>0</v>
      </c>
      <c r="O12" s="255">
        <v>0</v>
      </c>
      <c r="Q12" s="250" t="s">
        <v>6328</v>
      </c>
      <c r="S12" s="55"/>
      <c r="U12" s="55"/>
    </row>
    <row r="13" spans="1:21">
      <c r="A13" s="250" t="s">
        <v>5394</v>
      </c>
      <c r="B13" s="250" t="s">
        <v>1972</v>
      </c>
      <c r="C13" s="62" t="s">
        <v>10439</v>
      </c>
      <c r="D13" s="255">
        <v>0</v>
      </c>
      <c r="E13" s="255">
        <v>0</v>
      </c>
      <c r="F13" s="255">
        <v>0</v>
      </c>
      <c r="G13" s="255">
        <v>0</v>
      </c>
      <c r="H13" s="255">
        <v>0</v>
      </c>
      <c r="I13" s="255">
        <v>0</v>
      </c>
      <c r="J13" s="255">
        <v>0</v>
      </c>
      <c r="K13" s="255">
        <v>0</v>
      </c>
      <c r="L13" s="255">
        <v>0</v>
      </c>
      <c r="M13" s="255">
        <v>0</v>
      </c>
      <c r="N13" s="255">
        <v>0</v>
      </c>
      <c r="O13" s="255">
        <v>0</v>
      </c>
      <c r="Q13" s="250" t="s">
        <v>6328</v>
      </c>
      <c r="S13" s="55"/>
      <c r="U13" s="55"/>
    </row>
    <row r="14" spans="1:21">
      <c r="A14" s="250" t="s">
        <v>5416</v>
      </c>
      <c r="B14" s="250" t="s">
        <v>1973</v>
      </c>
      <c r="C14" s="62" t="s">
        <v>10440</v>
      </c>
      <c r="D14" s="255">
        <v>0</v>
      </c>
      <c r="E14" s="255">
        <v>0</v>
      </c>
      <c r="F14" s="255">
        <v>0</v>
      </c>
      <c r="G14" s="255">
        <v>0</v>
      </c>
      <c r="H14" s="255">
        <v>0</v>
      </c>
      <c r="I14" s="255">
        <v>0</v>
      </c>
      <c r="J14" s="255">
        <v>0</v>
      </c>
      <c r="K14" s="255">
        <v>0</v>
      </c>
      <c r="L14" s="255">
        <v>0</v>
      </c>
      <c r="M14" s="255">
        <v>0</v>
      </c>
      <c r="N14" s="255">
        <v>0</v>
      </c>
      <c r="O14" s="255">
        <v>0</v>
      </c>
      <c r="Q14" s="250" t="s">
        <v>6328</v>
      </c>
      <c r="S14" s="55"/>
      <c r="U14" s="55"/>
    </row>
    <row r="15" spans="1:21">
      <c r="A15" s="250" t="s">
        <v>5418</v>
      </c>
      <c r="B15" s="250" t="s">
        <v>1974</v>
      </c>
      <c r="C15" s="62" t="s">
        <v>10441</v>
      </c>
      <c r="D15" s="255">
        <v>0</v>
      </c>
      <c r="E15" s="255">
        <v>0</v>
      </c>
      <c r="F15" s="255">
        <v>0</v>
      </c>
      <c r="G15" s="255">
        <v>0</v>
      </c>
      <c r="H15" s="255">
        <v>0</v>
      </c>
      <c r="I15" s="255">
        <v>0</v>
      </c>
      <c r="J15" s="255">
        <v>0</v>
      </c>
      <c r="K15" s="255">
        <v>0</v>
      </c>
      <c r="L15" s="255">
        <v>0</v>
      </c>
      <c r="M15" s="255">
        <v>0</v>
      </c>
      <c r="N15" s="255">
        <v>0</v>
      </c>
      <c r="O15" s="255">
        <v>0</v>
      </c>
      <c r="Q15" s="250" t="s">
        <v>6328</v>
      </c>
      <c r="S15" s="55"/>
      <c r="U15" s="55"/>
    </row>
    <row r="16" spans="1:21">
      <c r="A16" s="250" t="s">
        <v>5420</v>
      </c>
      <c r="B16" s="250" t="s">
        <v>1975</v>
      </c>
      <c r="C16" s="62" t="s">
        <v>10442</v>
      </c>
      <c r="D16" s="255">
        <v>0</v>
      </c>
      <c r="E16" s="255">
        <v>0</v>
      </c>
      <c r="F16" s="255">
        <v>0</v>
      </c>
      <c r="G16" s="255">
        <v>0</v>
      </c>
      <c r="H16" s="255">
        <v>0</v>
      </c>
      <c r="I16" s="255">
        <v>0</v>
      </c>
      <c r="J16" s="255">
        <v>0</v>
      </c>
      <c r="K16" s="255">
        <v>0</v>
      </c>
      <c r="L16" s="255">
        <v>0</v>
      </c>
      <c r="M16" s="255">
        <v>0</v>
      </c>
      <c r="N16" s="255">
        <v>0</v>
      </c>
      <c r="O16" s="255">
        <v>0</v>
      </c>
      <c r="Q16" s="250" t="s">
        <v>6328</v>
      </c>
      <c r="S16" s="55"/>
      <c r="U16" s="55"/>
    </row>
    <row r="17" spans="1:21">
      <c r="A17" s="250" t="s">
        <v>5422</v>
      </c>
      <c r="B17" s="250" t="s">
        <v>1976</v>
      </c>
      <c r="C17" s="62" t="s">
        <v>10443</v>
      </c>
      <c r="D17" s="255">
        <v>0</v>
      </c>
      <c r="E17" s="255">
        <v>0</v>
      </c>
      <c r="F17" s="255">
        <v>0</v>
      </c>
      <c r="G17" s="255">
        <v>0</v>
      </c>
      <c r="H17" s="255">
        <v>0</v>
      </c>
      <c r="I17" s="255">
        <v>0</v>
      </c>
      <c r="J17" s="255">
        <v>0</v>
      </c>
      <c r="K17" s="255">
        <v>0</v>
      </c>
      <c r="L17" s="255">
        <v>0</v>
      </c>
      <c r="M17" s="255">
        <v>0</v>
      </c>
      <c r="N17" s="255">
        <v>0</v>
      </c>
      <c r="O17" s="255">
        <v>0</v>
      </c>
      <c r="Q17" s="250" t="s">
        <v>6328</v>
      </c>
      <c r="S17" s="55"/>
      <c r="U17" s="55"/>
    </row>
    <row r="18" spans="1:21">
      <c r="A18" s="250" t="s">
        <v>5424</v>
      </c>
      <c r="B18" s="250" t="s">
        <v>1977</v>
      </c>
      <c r="C18" s="62" t="s">
        <v>10444</v>
      </c>
      <c r="D18" s="255">
        <v>0</v>
      </c>
      <c r="E18" s="255">
        <v>0</v>
      </c>
      <c r="F18" s="255">
        <v>0</v>
      </c>
      <c r="G18" s="255">
        <v>0</v>
      </c>
      <c r="H18" s="255">
        <v>0</v>
      </c>
      <c r="I18" s="255">
        <v>0</v>
      </c>
      <c r="J18" s="255">
        <v>0</v>
      </c>
      <c r="K18" s="255">
        <v>0</v>
      </c>
      <c r="L18" s="255">
        <v>0</v>
      </c>
      <c r="M18" s="255">
        <v>0</v>
      </c>
      <c r="N18" s="255">
        <v>0</v>
      </c>
      <c r="O18" s="255">
        <v>0</v>
      </c>
      <c r="Q18" s="250" t="s">
        <v>6328</v>
      </c>
      <c r="S18" s="55"/>
      <c r="U18" s="55"/>
    </row>
    <row r="19" spans="1:21">
      <c r="A19" s="250" t="s">
        <v>5426</v>
      </c>
      <c r="B19" s="250" t="s">
        <v>1978</v>
      </c>
      <c r="C19" s="62" t="s">
        <v>10445</v>
      </c>
      <c r="D19" s="255">
        <v>0</v>
      </c>
      <c r="E19" s="255">
        <v>0</v>
      </c>
      <c r="F19" s="255">
        <v>0</v>
      </c>
      <c r="G19" s="255">
        <v>0</v>
      </c>
      <c r="H19" s="255">
        <v>0</v>
      </c>
      <c r="I19" s="255">
        <v>0</v>
      </c>
      <c r="J19" s="255">
        <v>0</v>
      </c>
      <c r="K19" s="255">
        <v>0</v>
      </c>
      <c r="L19" s="255">
        <v>0</v>
      </c>
      <c r="M19" s="255">
        <v>0</v>
      </c>
      <c r="N19" s="255">
        <v>0</v>
      </c>
      <c r="O19" s="255">
        <v>0</v>
      </c>
      <c r="Q19" s="250" t="s">
        <v>6328</v>
      </c>
      <c r="S19" s="55"/>
      <c r="U19" s="55"/>
    </row>
    <row r="20" spans="1:21">
      <c r="A20" s="250" t="s">
        <v>5428</v>
      </c>
      <c r="B20" s="250" t="s">
        <v>1979</v>
      </c>
      <c r="C20" s="62" t="s">
        <v>10446</v>
      </c>
      <c r="D20" s="255">
        <v>0</v>
      </c>
      <c r="E20" s="255">
        <v>0</v>
      </c>
      <c r="F20" s="255">
        <v>0</v>
      </c>
      <c r="G20" s="255">
        <v>0</v>
      </c>
      <c r="H20" s="255">
        <v>0</v>
      </c>
      <c r="I20" s="255">
        <v>0</v>
      </c>
      <c r="J20" s="255">
        <v>0</v>
      </c>
      <c r="K20" s="255">
        <v>0</v>
      </c>
      <c r="L20" s="255">
        <v>0</v>
      </c>
      <c r="M20" s="255">
        <v>0</v>
      </c>
      <c r="N20" s="255">
        <v>0</v>
      </c>
      <c r="O20" s="255">
        <v>0</v>
      </c>
      <c r="Q20" s="250" t="s">
        <v>6328</v>
      </c>
      <c r="S20" s="55"/>
      <c r="U20" s="55"/>
    </row>
    <row r="21" spans="1:21">
      <c r="A21" s="250" t="s">
        <v>5429</v>
      </c>
      <c r="B21" s="250" t="s">
        <v>1980</v>
      </c>
      <c r="C21" s="62" t="s">
        <v>10447</v>
      </c>
      <c r="D21" s="255">
        <v>0</v>
      </c>
      <c r="E21" s="255">
        <v>0</v>
      </c>
      <c r="F21" s="255">
        <v>0</v>
      </c>
      <c r="G21" s="255">
        <v>0</v>
      </c>
      <c r="H21" s="255">
        <v>0</v>
      </c>
      <c r="I21" s="255">
        <v>0</v>
      </c>
      <c r="J21" s="255">
        <v>0</v>
      </c>
      <c r="K21" s="255">
        <v>0</v>
      </c>
      <c r="L21" s="255">
        <v>0</v>
      </c>
      <c r="M21" s="255">
        <v>0</v>
      </c>
      <c r="N21" s="255">
        <v>0</v>
      </c>
      <c r="O21" s="255">
        <v>0</v>
      </c>
      <c r="Q21" s="250" t="s">
        <v>6328</v>
      </c>
      <c r="S21" s="55"/>
      <c r="U21" s="55"/>
    </row>
    <row r="22" spans="1:21">
      <c r="A22" s="250" t="s">
        <v>5431</v>
      </c>
      <c r="B22" s="250" t="s">
        <v>1981</v>
      </c>
      <c r="C22" s="62" t="s">
        <v>10448</v>
      </c>
      <c r="D22" s="255">
        <v>0</v>
      </c>
      <c r="E22" s="255">
        <v>0</v>
      </c>
      <c r="F22" s="255">
        <v>0</v>
      </c>
      <c r="G22" s="255">
        <v>0</v>
      </c>
      <c r="H22" s="255">
        <v>0</v>
      </c>
      <c r="I22" s="255">
        <v>0</v>
      </c>
      <c r="J22" s="255">
        <v>0</v>
      </c>
      <c r="K22" s="255">
        <v>0</v>
      </c>
      <c r="L22" s="255">
        <v>0</v>
      </c>
      <c r="M22" s="255">
        <v>0</v>
      </c>
      <c r="N22" s="255">
        <v>0</v>
      </c>
      <c r="O22" s="255">
        <v>0</v>
      </c>
      <c r="Q22" s="250" t="s">
        <v>6328</v>
      </c>
      <c r="S22" s="55"/>
      <c r="U22" s="55"/>
    </row>
    <row r="23" spans="1:21">
      <c r="A23" s="250" t="s">
        <v>5433</v>
      </c>
      <c r="B23" s="250" t="s">
        <v>1982</v>
      </c>
      <c r="C23" s="62" t="s">
        <v>10449</v>
      </c>
      <c r="D23" s="255">
        <v>0</v>
      </c>
      <c r="E23" s="255">
        <v>0</v>
      </c>
      <c r="F23" s="255">
        <v>0</v>
      </c>
      <c r="G23" s="255">
        <v>0</v>
      </c>
      <c r="H23" s="255">
        <v>0</v>
      </c>
      <c r="I23" s="255">
        <v>0</v>
      </c>
      <c r="J23" s="255">
        <v>0</v>
      </c>
      <c r="K23" s="255">
        <v>0</v>
      </c>
      <c r="L23" s="255">
        <v>0</v>
      </c>
      <c r="M23" s="255">
        <v>0</v>
      </c>
      <c r="N23" s="255">
        <v>0</v>
      </c>
      <c r="O23" s="255">
        <v>0</v>
      </c>
      <c r="Q23" s="250" t="s">
        <v>6328</v>
      </c>
      <c r="S23" s="55"/>
      <c r="U23" s="55"/>
    </row>
    <row r="24" spans="1:21">
      <c r="A24" s="250" t="s">
        <v>5435</v>
      </c>
      <c r="B24" s="250" t="s">
        <v>1983</v>
      </c>
      <c r="C24" s="62" t="s">
        <v>10450</v>
      </c>
      <c r="D24" s="255">
        <v>0</v>
      </c>
      <c r="E24" s="255">
        <v>0</v>
      </c>
      <c r="F24" s="255">
        <v>0</v>
      </c>
      <c r="G24" s="255">
        <v>0</v>
      </c>
      <c r="H24" s="255">
        <v>0</v>
      </c>
      <c r="I24" s="255">
        <v>0</v>
      </c>
      <c r="J24" s="255">
        <v>0</v>
      </c>
      <c r="K24" s="255">
        <v>0</v>
      </c>
      <c r="L24" s="255">
        <v>0</v>
      </c>
      <c r="M24" s="255">
        <v>0</v>
      </c>
      <c r="N24" s="255">
        <v>0</v>
      </c>
      <c r="O24" s="255">
        <v>0</v>
      </c>
      <c r="Q24" s="250" t="s">
        <v>6328</v>
      </c>
      <c r="S24" s="55"/>
      <c r="U24" s="55"/>
    </row>
    <row r="25" spans="1:21">
      <c r="A25" s="250" t="s">
        <v>5436</v>
      </c>
      <c r="B25" s="250" t="s">
        <v>1984</v>
      </c>
      <c r="C25" s="62" t="s">
        <v>10451</v>
      </c>
      <c r="D25" s="255">
        <v>0</v>
      </c>
      <c r="E25" s="255">
        <v>0</v>
      </c>
      <c r="F25" s="255">
        <v>0</v>
      </c>
      <c r="G25" s="255">
        <v>0</v>
      </c>
      <c r="H25" s="255">
        <v>0</v>
      </c>
      <c r="I25" s="255">
        <v>0</v>
      </c>
      <c r="J25" s="255">
        <v>0</v>
      </c>
      <c r="K25" s="255">
        <v>0</v>
      </c>
      <c r="L25" s="255">
        <v>0</v>
      </c>
      <c r="M25" s="255">
        <v>0</v>
      </c>
      <c r="N25" s="255">
        <v>0</v>
      </c>
      <c r="O25" s="255">
        <v>0</v>
      </c>
      <c r="Q25" s="250" t="s">
        <v>6328</v>
      </c>
      <c r="S25" s="55"/>
      <c r="U25" s="55"/>
    </row>
    <row r="26" spans="1:21">
      <c r="A26" s="250" t="s">
        <v>5437</v>
      </c>
      <c r="B26" s="250" t="s">
        <v>1985</v>
      </c>
      <c r="C26" s="62" t="s">
        <v>10452</v>
      </c>
      <c r="D26" s="255">
        <v>0</v>
      </c>
      <c r="E26" s="255">
        <v>0</v>
      </c>
      <c r="F26" s="255">
        <v>0</v>
      </c>
      <c r="G26" s="255">
        <v>0</v>
      </c>
      <c r="H26" s="255">
        <v>0</v>
      </c>
      <c r="I26" s="255">
        <v>0</v>
      </c>
      <c r="J26" s="255">
        <v>0</v>
      </c>
      <c r="K26" s="255">
        <v>0</v>
      </c>
      <c r="L26" s="255">
        <v>0</v>
      </c>
      <c r="M26" s="255">
        <v>0</v>
      </c>
      <c r="N26" s="255">
        <v>0</v>
      </c>
      <c r="O26" s="255">
        <v>0</v>
      </c>
      <c r="Q26" s="250" t="s">
        <v>6328</v>
      </c>
      <c r="S26" s="55"/>
      <c r="U26" s="55"/>
    </row>
    <row r="27" spans="1:21">
      <c r="A27" s="250" t="s">
        <v>5439</v>
      </c>
      <c r="B27" s="250" t="s">
        <v>673</v>
      </c>
      <c r="C27" s="62" t="s">
        <v>10453</v>
      </c>
      <c r="D27" s="255">
        <v>0</v>
      </c>
      <c r="E27" s="255">
        <v>0</v>
      </c>
      <c r="F27" s="255">
        <v>0</v>
      </c>
      <c r="G27" s="255">
        <v>0</v>
      </c>
      <c r="H27" s="255">
        <v>0</v>
      </c>
      <c r="I27" s="255">
        <v>0</v>
      </c>
      <c r="J27" s="255">
        <v>0</v>
      </c>
      <c r="K27" s="255">
        <v>0</v>
      </c>
      <c r="L27" s="255">
        <v>0</v>
      </c>
      <c r="M27" s="255">
        <v>0</v>
      </c>
      <c r="N27" s="255">
        <v>0</v>
      </c>
      <c r="O27" s="255">
        <v>0</v>
      </c>
      <c r="Q27" s="250" t="s">
        <v>6328</v>
      </c>
      <c r="S27" s="55"/>
      <c r="U27" s="55"/>
    </row>
    <row r="28" spans="1:21">
      <c r="A28" s="250" t="s">
        <v>5441</v>
      </c>
      <c r="B28" s="250" t="s">
        <v>674</v>
      </c>
      <c r="C28" s="62" t="s">
        <v>10454</v>
      </c>
      <c r="D28" s="255">
        <v>0</v>
      </c>
      <c r="E28" s="255">
        <v>0</v>
      </c>
      <c r="F28" s="255">
        <v>0</v>
      </c>
      <c r="G28" s="255">
        <v>0</v>
      </c>
      <c r="H28" s="255">
        <v>0</v>
      </c>
      <c r="I28" s="255">
        <v>0</v>
      </c>
      <c r="J28" s="255">
        <v>0</v>
      </c>
      <c r="K28" s="255">
        <v>0</v>
      </c>
      <c r="L28" s="255">
        <v>0</v>
      </c>
      <c r="M28" s="255">
        <v>0</v>
      </c>
      <c r="N28" s="255">
        <v>0</v>
      </c>
      <c r="O28" s="255">
        <v>0</v>
      </c>
      <c r="Q28" s="250" t="s">
        <v>6328</v>
      </c>
      <c r="S28" s="55"/>
      <c r="U28" s="55"/>
    </row>
    <row r="29" spans="1:21">
      <c r="A29" s="250" t="s">
        <v>5886</v>
      </c>
      <c r="B29" s="250" t="s">
        <v>675</v>
      </c>
      <c r="C29" s="62" t="s">
        <v>10455</v>
      </c>
      <c r="D29" s="255">
        <v>0</v>
      </c>
      <c r="E29" s="255">
        <v>0</v>
      </c>
      <c r="F29" s="255">
        <v>0</v>
      </c>
      <c r="G29" s="255">
        <v>0</v>
      </c>
      <c r="H29" s="255">
        <v>0</v>
      </c>
      <c r="I29" s="255">
        <v>0</v>
      </c>
      <c r="J29" s="255">
        <v>0</v>
      </c>
      <c r="K29" s="255">
        <v>0</v>
      </c>
      <c r="L29" s="255">
        <v>0</v>
      </c>
      <c r="M29" s="255">
        <v>0</v>
      </c>
      <c r="N29" s="255">
        <v>0</v>
      </c>
      <c r="O29" s="255">
        <v>0</v>
      </c>
      <c r="Q29" s="250" t="s">
        <v>6328</v>
      </c>
      <c r="S29" s="55"/>
      <c r="U29" s="55"/>
    </row>
    <row r="30" spans="1:21">
      <c r="A30" s="250" t="s">
        <v>5888</v>
      </c>
      <c r="B30" s="250" t="s">
        <v>676</v>
      </c>
      <c r="C30" s="62" t="s">
        <v>10456</v>
      </c>
      <c r="D30" s="255">
        <v>0</v>
      </c>
      <c r="E30" s="255">
        <v>0</v>
      </c>
      <c r="F30" s="255">
        <v>0</v>
      </c>
      <c r="G30" s="255">
        <v>0</v>
      </c>
      <c r="H30" s="255">
        <v>0</v>
      </c>
      <c r="I30" s="255">
        <v>0</v>
      </c>
      <c r="J30" s="255">
        <v>0</v>
      </c>
      <c r="K30" s="255">
        <v>0</v>
      </c>
      <c r="L30" s="255">
        <v>0</v>
      </c>
      <c r="M30" s="255">
        <v>0</v>
      </c>
      <c r="N30" s="255">
        <v>0</v>
      </c>
      <c r="O30" s="255">
        <v>0</v>
      </c>
      <c r="Q30" s="250" t="s">
        <v>6328</v>
      </c>
      <c r="S30" s="55"/>
      <c r="U30" s="55"/>
    </row>
    <row r="31" spans="1:21">
      <c r="A31" s="250" t="s">
        <v>5889</v>
      </c>
      <c r="B31" s="250" t="s">
        <v>677</v>
      </c>
      <c r="C31" s="62" t="s">
        <v>10457</v>
      </c>
      <c r="D31" s="255">
        <v>0</v>
      </c>
      <c r="E31" s="255">
        <v>0</v>
      </c>
      <c r="F31" s="255">
        <v>0</v>
      </c>
      <c r="G31" s="255">
        <v>0</v>
      </c>
      <c r="H31" s="255">
        <v>0</v>
      </c>
      <c r="I31" s="255">
        <v>0</v>
      </c>
      <c r="J31" s="255">
        <v>0</v>
      </c>
      <c r="K31" s="255">
        <v>0</v>
      </c>
      <c r="L31" s="255">
        <v>0</v>
      </c>
      <c r="M31" s="255">
        <v>0</v>
      </c>
      <c r="N31" s="255">
        <v>0</v>
      </c>
      <c r="O31" s="255">
        <v>0</v>
      </c>
      <c r="Q31" s="250" t="s">
        <v>6328</v>
      </c>
      <c r="S31" s="55"/>
      <c r="U31" s="55"/>
    </row>
    <row r="32" spans="1:21">
      <c r="A32" s="832">
        <v>24</v>
      </c>
      <c r="B32" s="250" t="s">
        <v>4915</v>
      </c>
      <c r="C32" s="62" t="s">
        <v>10458</v>
      </c>
      <c r="D32" s="255">
        <v>0</v>
      </c>
      <c r="E32" s="255">
        <v>0</v>
      </c>
      <c r="F32" s="255">
        <v>0</v>
      </c>
      <c r="G32" s="255">
        <v>0</v>
      </c>
      <c r="H32" s="255">
        <v>0</v>
      </c>
      <c r="I32" s="255">
        <v>0</v>
      </c>
      <c r="J32" s="255">
        <v>0</v>
      </c>
      <c r="K32" s="255">
        <v>0</v>
      </c>
      <c r="L32" s="255">
        <v>0</v>
      </c>
      <c r="M32" s="255">
        <v>0</v>
      </c>
      <c r="N32" s="255">
        <v>0</v>
      </c>
      <c r="O32" s="255">
        <v>0</v>
      </c>
      <c r="Q32" s="250" t="s">
        <v>6328</v>
      </c>
      <c r="S32" s="55"/>
      <c r="U32" s="55"/>
    </row>
    <row r="33" spans="1:21">
      <c r="A33" s="832">
        <v>25</v>
      </c>
      <c r="B33" s="250" t="s">
        <v>4916</v>
      </c>
      <c r="C33" s="62" t="s">
        <v>10459</v>
      </c>
      <c r="D33" s="255">
        <v>0</v>
      </c>
      <c r="E33" s="255">
        <v>0</v>
      </c>
      <c r="F33" s="255">
        <v>0</v>
      </c>
      <c r="G33" s="255">
        <v>0</v>
      </c>
      <c r="H33" s="255">
        <v>0</v>
      </c>
      <c r="I33" s="255">
        <v>0</v>
      </c>
      <c r="J33" s="255">
        <v>0</v>
      </c>
      <c r="K33" s="255">
        <v>0</v>
      </c>
      <c r="L33" s="255">
        <v>0</v>
      </c>
      <c r="M33" s="255">
        <v>0</v>
      </c>
      <c r="N33" s="255">
        <v>0</v>
      </c>
      <c r="O33" s="255">
        <v>0</v>
      </c>
      <c r="Q33" s="250" t="s">
        <v>6328</v>
      </c>
      <c r="S33" s="55"/>
      <c r="U33" s="55"/>
    </row>
    <row r="35" spans="1:21">
      <c r="A35" s="113" t="s">
        <v>4917</v>
      </c>
    </row>
    <row r="36" spans="1:21">
      <c r="A36" s="250"/>
      <c r="B36" s="250"/>
      <c r="C36" s="250"/>
      <c r="D36" s="251"/>
      <c r="E36" s="251"/>
      <c r="F36" s="251"/>
      <c r="G36" s="251"/>
      <c r="H36" s="251"/>
      <c r="I36" s="251"/>
      <c r="J36" s="251"/>
      <c r="K36" s="251"/>
      <c r="L36" s="251"/>
      <c r="Q36" s="250"/>
    </row>
    <row r="37" spans="1:21">
      <c r="A37" s="250"/>
      <c r="B37" s="250"/>
      <c r="C37" s="250"/>
      <c r="D37" s="251"/>
      <c r="E37" s="251"/>
      <c r="F37" s="251"/>
      <c r="G37" s="251"/>
      <c r="H37" s="251"/>
      <c r="I37" s="251"/>
      <c r="J37" s="251"/>
      <c r="K37" s="251"/>
      <c r="L37" s="251"/>
      <c r="Q37" s="250"/>
    </row>
    <row r="38" spans="1:21">
      <c r="D38" s="251"/>
      <c r="E38" s="251"/>
      <c r="F38" s="251"/>
      <c r="G38" s="251"/>
      <c r="H38" s="251"/>
      <c r="I38" s="251"/>
      <c r="J38" s="251"/>
      <c r="K38" s="251"/>
      <c r="L38" s="251"/>
      <c r="Q38" s="250"/>
    </row>
    <row r="39" spans="1:21">
      <c r="D39" s="259"/>
      <c r="E39" s="259"/>
      <c r="F39" s="259"/>
      <c r="G39" s="259"/>
      <c r="H39" s="259"/>
      <c r="I39" s="259"/>
      <c r="J39" s="259"/>
      <c r="K39" s="259"/>
      <c r="L39" s="259"/>
    </row>
    <row r="40" spans="1:21">
      <c r="D40" s="251"/>
      <c r="E40" s="251"/>
      <c r="F40" s="251"/>
      <c r="G40" s="251"/>
      <c r="H40" s="251"/>
      <c r="I40" s="251"/>
      <c r="J40" s="251"/>
      <c r="K40" s="251"/>
      <c r="L40" s="251"/>
    </row>
    <row r="41" spans="1:21">
      <c r="D41" s="259"/>
      <c r="E41" s="259"/>
      <c r="F41" s="259"/>
      <c r="G41" s="259"/>
      <c r="H41" s="259"/>
      <c r="I41" s="259"/>
      <c r="J41" s="259"/>
      <c r="K41" s="259"/>
      <c r="L41" s="259"/>
    </row>
    <row r="42" spans="1:21">
      <c r="A42" s="250"/>
      <c r="B42" s="250"/>
      <c r="C42" s="250"/>
      <c r="D42" s="251"/>
      <c r="E42" s="251"/>
      <c r="F42" s="251"/>
      <c r="G42" s="251"/>
      <c r="H42" s="251"/>
      <c r="I42" s="251"/>
      <c r="J42" s="251"/>
      <c r="K42" s="251"/>
      <c r="L42" s="251"/>
      <c r="Q42" s="250"/>
    </row>
    <row r="43" spans="1:21">
      <c r="A43" s="250"/>
      <c r="B43" s="250"/>
      <c r="C43" s="250"/>
      <c r="D43" s="251"/>
      <c r="E43" s="251"/>
      <c r="F43" s="251"/>
      <c r="G43" s="251"/>
      <c r="H43" s="251"/>
      <c r="I43" s="251"/>
      <c r="J43" s="251"/>
      <c r="K43" s="251"/>
      <c r="L43" s="251"/>
      <c r="Q43" s="250"/>
    </row>
    <row r="44" spans="1:21">
      <c r="A44" s="250"/>
      <c r="B44" s="250"/>
      <c r="C44" s="250"/>
      <c r="D44" s="251"/>
      <c r="E44" s="251"/>
      <c r="F44" s="251"/>
      <c r="G44" s="251"/>
      <c r="H44" s="251"/>
      <c r="I44" s="251"/>
      <c r="J44" s="251"/>
      <c r="K44" s="251"/>
      <c r="L44" s="251"/>
      <c r="Q44" s="250"/>
    </row>
    <row r="45" spans="1:21">
      <c r="A45" s="250"/>
      <c r="B45" s="250"/>
      <c r="C45" s="250"/>
      <c r="D45" s="251"/>
      <c r="E45" s="251"/>
      <c r="F45" s="251"/>
      <c r="G45" s="251"/>
      <c r="H45" s="251"/>
      <c r="I45" s="251"/>
      <c r="J45" s="251"/>
      <c r="K45" s="251"/>
      <c r="L45" s="251"/>
      <c r="Q45" s="250"/>
    </row>
    <row r="46" spans="1:21">
      <c r="A46" s="250"/>
      <c r="B46" s="250"/>
      <c r="C46" s="250"/>
      <c r="D46" s="251"/>
      <c r="E46" s="251"/>
      <c r="F46" s="251"/>
      <c r="G46" s="251"/>
      <c r="H46" s="251"/>
      <c r="I46" s="251"/>
      <c r="J46" s="251"/>
      <c r="K46" s="251"/>
      <c r="L46" s="251"/>
      <c r="Q46" s="250"/>
    </row>
    <row r="47" spans="1:21">
      <c r="A47" s="250"/>
      <c r="B47" s="250"/>
      <c r="C47" s="250"/>
      <c r="D47" s="251"/>
      <c r="E47" s="251"/>
      <c r="F47" s="251"/>
      <c r="G47" s="251"/>
      <c r="H47" s="251"/>
      <c r="I47" s="251"/>
      <c r="J47" s="251"/>
      <c r="K47" s="251"/>
      <c r="L47" s="251"/>
      <c r="Q47" s="250"/>
    </row>
    <row r="48" spans="1:21">
      <c r="A48" s="250"/>
      <c r="B48" s="250"/>
      <c r="C48" s="250"/>
      <c r="D48" s="251"/>
      <c r="E48" s="251"/>
      <c r="F48" s="251"/>
      <c r="G48" s="251"/>
      <c r="H48" s="251"/>
      <c r="I48" s="251"/>
      <c r="J48" s="251"/>
      <c r="K48" s="251"/>
      <c r="L48" s="251"/>
      <c r="Q48" s="250"/>
    </row>
    <row r="49" spans="1:17">
      <c r="A49" s="250"/>
      <c r="B49" s="250"/>
      <c r="C49" s="250"/>
      <c r="D49" s="251"/>
      <c r="E49" s="251"/>
      <c r="F49" s="251"/>
      <c r="G49" s="251"/>
      <c r="H49" s="251"/>
      <c r="I49" s="251"/>
      <c r="J49" s="251"/>
      <c r="K49" s="251"/>
      <c r="L49" s="251"/>
      <c r="Q49" s="250"/>
    </row>
    <row r="50" spans="1:17">
      <c r="A50" s="250"/>
      <c r="B50" s="250"/>
      <c r="C50" s="250"/>
      <c r="D50" s="251"/>
      <c r="E50" s="251"/>
      <c r="F50" s="251"/>
      <c r="G50" s="251"/>
      <c r="H50" s="251"/>
      <c r="I50" s="251"/>
      <c r="J50" s="251"/>
      <c r="K50" s="251"/>
      <c r="L50" s="251"/>
      <c r="Q50" s="250"/>
    </row>
    <row r="51" spans="1:17">
      <c r="A51" s="250"/>
      <c r="B51" s="250"/>
      <c r="C51" s="250"/>
      <c r="D51" s="251"/>
      <c r="E51" s="251"/>
      <c r="F51" s="251"/>
      <c r="G51" s="251"/>
      <c r="H51" s="251"/>
      <c r="I51" s="251"/>
      <c r="J51" s="251"/>
      <c r="K51" s="251"/>
      <c r="L51" s="251"/>
      <c r="Q51" s="250"/>
    </row>
    <row r="52" spans="1:17">
      <c r="A52" s="250"/>
      <c r="B52" s="250"/>
      <c r="C52" s="250"/>
      <c r="D52" s="251"/>
      <c r="E52" s="251"/>
      <c r="F52" s="251"/>
      <c r="G52" s="251"/>
      <c r="H52" s="251"/>
      <c r="I52" s="251"/>
      <c r="J52" s="251"/>
      <c r="K52" s="251"/>
      <c r="L52" s="251"/>
      <c r="Q52" s="250"/>
    </row>
    <row r="53" spans="1:17">
      <c r="D53" s="251"/>
      <c r="E53" s="251"/>
      <c r="F53" s="251"/>
      <c r="G53" s="251"/>
      <c r="H53" s="251"/>
      <c r="I53" s="251"/>
      <c r="J53" s="251"/>
      <c r="K53" s="251"/>
      <c r="L53" s="251"/>
      <c r="Q53" s="250"/>
    </row>
    <row r="54" spans="1:17">
      <c r="D54" s="259"/>
      <c r="E54" s="259"/>
      <c r="F54" s="259"/>
      <c r="G54" s="259"/>
      <c r="H54" s="259"/>
      <c r="I54" s="259"/>
      <c r="J54" s="259"/>
      <c r="K54" s="259"/>
      <c r="L54" s="259"/>
    </row>
    <row r="55" spans="1:17">
      <c r="D55" s="251"/>
      <c r="E55" s="251"/>
      <c r="F55" s="251"/>
      <c r="G55" s="251"/>
      <c r="H55" s="251"/>
      <c r="I55" s="251"/>
      <c r="J55" s="251"/>
      <c r="K55" s="251"/>
      <c r="L55" s="251"/>
    </row>
    <row r="56" spans="1:17">
      <c r="D56" s="259"/>
      <c r="E56" s="259"/>
      <c r="F56" s="259"/>
      <c r="G56" s="259"/>
      <c r="H56" s="259"/>
      <c r="I56" s="259"/>
      <c r="J56" s="259"/>
      <c r="K56" s="259"/>
      <c r="L56" s="259"/>
    </row>
    <row r="57" spans="1:17">
      <c r="A57" s="250"/>
      <c r="B57" s="250"/>
      <c r="C57" s="250"/>
      <c r="D57" s="251"/>
      <c r="E57" s="251"/>
      <c r="F57" s="251"/>
      <c r="G57" s="251"/>
      <c r="H57" s="251"/>
      <c r="I57" s="251"/>
      <c r="J57" s="251"/>
      <c r="K57" s="251"/>
      <c r="L57" s="251"/>
      <c r="Q57" s="250"/>
    </row>
    <row r="58" spans="1:17">
      <c r="D58" s="251"/>
      <c r="E58" s="251"/>
      <c r="F58" s="251"/>
      <c r="G58" s="251"/>
      <c r="H58" s="251"/>
      <c r="I58" s="251"/>
      <c r="J58" s="251"/>
      <c r="K58" s="251"/>
      <c r="L58" s="251"/>
      <c r="Q58" s="250"/>
    </row>
    <row r="59" spans="1:17">
      <c r="D59" s="259"/>
      <c r="E59" s="259"/>
      <c r="F59" s="259"/>
      <c r="G59" s="259"/>
      <c r="H59" s="259"/>
      <c r="I59" s="259"/>
      <c r="J59" s="259"/>
      <c r="K59" s="259"/>
      <c r="L59" s="259"/>
    </row>
    <row r="60" spans="1:17">
      <c r="D60" s="251"/>
      <c r="E60" s="251"/>
      <c r="F60" s="251"/>
      <c r="G60" s="251"/>
      <c r="H60" s="251"/>
      <c r="I60" s="251"/>
      <c r="J60" s="251"/>
      <c r="K60" s="251"/>
      <c r="L60" s="251"/>
    </row>
    <row r="61" spans="1:17">
      <c r="D61" s="259"/>
      <c r="E61" s="259"/>
      <c r="F61" s="259"/>
      <c r="G61" s="259"/>
      <c r="H61" s="259"/>
      <c r="I61" s="259"/>
      <c r="J61" s="259"/>
      <c r="K61" s="259"/>
      <c r="L61" s="259"/>
    </row>
    <row r="62" spans="1:17">
      <c r="A62" s="250"/>
      <c r="B62" s="250"/>
      <c r="C62" s="250"/>
      <c r="D62" s="251"/>
      <c r="E62" s="251"/>
      <c r="F62" s="251"/>
      <c r="G62" s="251"/>
      <c r="H62" s="251"/>
      <c r="I62" s="251"/>
      <c r="J62" s="251"/>
      <c r="K62" s="251"/>
      <c r="L62" s="251"/>
      <c r="Q62" s="250"/>
    </row>
    <row r="63" spans="1:17">
      <c r="A63" s="250"/>
      <c r="B63" s="250"/>
      <c r="C63" s="250"/>
      <c r="D63" s="251"/>
      <c r="E63" s="251"/>
      <c r="F63" s="251"/>
      <c r="G63" s="251"/>
      <c r="H63" s="251"/>
      <c r="I63" s="251"/>
      <c r="J63" s="251"/>
      <c r="K63" s="251"/>
      <c r="L63" s="251"/>
      <c r="Q63" s="250"/>
    </row>
    <row r="64" spans="1:17">
      <c r="A64" s="250"/>
      <c r="B64" s="250"/>
      <c r="C64" s="250"/>
      <c r="D64" s="251"/>
      <c r="E64" s="251"/>
      <c r="F64" s="251"/>
      <c r="G64" s="251"/>
      <c r="H64" s="251"/>
      <c r="I64" s="251"/>
      <c r="J64" s="251"/>
      <c r="K64" s="251"/>
      <c r="L64" s="251"/>
      <c r="Q64" s="250"/>
    </row>
    <row r="65" spans="1:17">
      <c r="A65" s="250"/>
      <c r="B65" s="250"/>
      <c r="C65" s="250"/>
      <c r="D65" s="251"/>
      <c r="E65" s="251"/>
      <c r="F65" s="251"/>
      <c r="G65" s="251"/>
      <c r="H65" s="251"/>
      <c r="I65" s="251"/>
      <c r="J65" s="251"/>
      <c r="K65" s="251"/>
      <c r="L65" s="251"/>
      <c r="Q65" s="250"/>
    </row>
    <row r="66" spans="1:17">
      <c r="A66" s="250"/>
      <c r="B66" s="250"/>
      <c r="C66" s="250"/>
      <c r="D66" s="251"/>
      <c r="E66" s="251"/>
      <c r="F66" s="251"/>
      <c r="G66" s="251"/>
      <c r="H66" s="251"/>
      <c r="I66" s="251"/>
      <c r="J66" s="251"/>
      <c r="K66" s="251"/>
      <c r="L66" s="251"/>
      <c r="Q66" s="250"/>
    </row>
    <row r="67" spans="1:17">
      <c r="A67" s="250"/>
      <c r="B67" s="250"/>
      <c r="C67" s="250"/>
      <c r="D67" s="251"/>
      <c r="E67" s="251"/>
      <c r="F67" s="251"/>
      <c r="G67" s="251"/>
      <c r="H67" s="251"/>
      <c r="I67" s="251"/>
      <c r="J67" s="251"/>
      <c r="K67" s="251"/>
      <c r="L67" s="251"/>
      <c r="Q67" s="250"/>
    </row>
    <row r="68" spans="1:17">
      <c r="D68" s="251"/>
      <c r="E68" s="251"/>
      <c r="F68" s="251"/>
      <c r="G68" s="251"/>
      <c r="H68" s="251"/>
      <c r="I68" s="251"/>
      <c r="J68" s="251"/>
      <c r="K68" s="251"/>
      <c r="L68" s="251"/>
      <c r="Q68" s="250"/>
    </row>
    <row r="69" spans="1:17">
      <c r="D69" s="259"/>
      <c r="E69" s="259"/>
      <c r="F69" s="259"/>
      <c r="G69" s="259"/>
      <c r="H69" s="259"/>
      <c r="I69" s="259"/>
      <c r="J69" s="259"/>
      <c r="K69" s="259"/>
      <c r="L69" s="259"/>
    </row>
    <row r="70" spans="1:17">
      <c r="D70" s="251"/>
      <c r="E70" s="251"/>
      <c r="F70" s="251"/>
      <c r="G70" s="251"/>
      <c r="H70" s="251"/>
      <c r="I70" s="251"/>
      <c r="J70" s="251"/>
      <c r="K70" s="251"/>
      <c r="L70" s="251"/>
    </row>
    <row r="71" spans="1:17">
      <c r="D71" s="259"/>
      <c r="E71" s="259"/>
      <c r="F71" s="259"/>
      <c r="G71" s="259"/>
      <c r="H71" s="259"/>
      <c r="I71" s="259"/>
      <c r="J71" s="259"/>
      <c r="K71" s="259"/>
      <c r="L71" s="259"/>
    </row>
    <row r="72" spans="1:17">
      <c r="A72" s="250"/>
      <c r="B72" s="250"/>
      <c r="C72" s="250"/>
      <c r="D72" s="251"/>
      <c r="E72" s="251"/>
      <c r="F72" s="251"/>
      <c r="G72" s="251"/>
      <c r="H72" s="251"/>
      <c r="I72" s="251"/>
      <c r="J72" s="251"/>
      <c r="K72" s="251"/>
      <c r="L72" s="251"/>
      <c r="Q72" s="250"/>
    </row>
    <row r="75" spans="1:17">
      <c r="A75" s="250"/>
      <c r="D75" s="251"/>
      <c r="E75" s="251"/>
      <c r="F75" s="251"/>
      <c r="G75" s="251"/>
      <c r="H75" s="251"/>
      <c r="I75" s="251"/>
      <c r="J75" s="251"/>
      <c r="K75" s="251"/>
      <c r="L75" s="251"/>
    </row>
    <row r="76" spans="1:17">
      <c r="A76" s="250"/>
      <c r="D76" s="251"/>
      <c r="E76" s="251"/>
      <c r="F76" s="251"/>
      <c r="G76" s="251"/>
      <c r="H76" s="251"/>
      <c r="I76" s="251"/>
      <c r="J76" s="251"/>
      <c r="K76" s="251"/>
      <c r="L76" s="251"/>
    </row>
    <row r="77" spans="1:17">
      <c r="A77" s="250"/>
      <c r="D77" s="251"/>
      <c r="E77" s="251"/>
      <c r="F77" s="251"/>
      <c r="G77" s="251"/>
      <c r="H77" s="251"/>
      <c r="I77" s="251"/>
      <c r="J77" s="251"/>
      <c r="K77" s="251"/>
      <c r="L77" s="251"/>
    </row>
    <row r="79" spans="1:17">
      <c r="A79" s="250"/>
    </row>
  </sheetData>
  <phoneticPr fontId="6" type="noConversion"/>
  <printOptions gridLinesSet="0"/>
  <pageMargins left="0.78740157480314965" right="0" top="0.51181102362204722" bottom="0.51181102362204722" header="0.51181102362204722" footer="0.51181102362204722"/>
  <pageSetup paperSize="9" scale="77" orientation="portrait" horizontalDpi="300" verticalDpi="300" r:id="rId1"/>
  <headerFooter alignWithMargins="0">
    <oddFooter>&amp;C&amp;"Times New Roman,Regular"&amp;8&amp;P of &amp;N</oddFooter>
  </headerFooter>
  <ignoredErrors>
    <ignoredError sqref="D3:E4 F3:G4 D5:E7 F5:G7 H3:H4 H5:H7 I3:I7 J3:J7 K3:K7 L3:L7"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Q168"/>
  <sheetViews>
    <sheetView showGridLines="0" topLeftCell="A121" zoomScale="90" zoomScaleNormal="90" workbookViewId="0">
      <selection activeCell="A154" sqref="A154:A155"/>
    </sheetView>
  </sheetViews>
  <sheetFormatPr defaultColWidth="12.5703125" defaultRowHeight="15"/>
  <cols>
    <col min="1" max="1" width="4.85546875" style="166" customWidth="1"/>
    <col min="2" max="2" width="40.85546875" style="166" customWidth="1"/>
    <col min="3" max="3" width="11.42578125" style="166" customWidth="1"/>
    <col min="4" max="15" width="10" style="166" customWidth="1"/>
    <col min="16" max="16" width="2.28515625" style="166" customWidth="1"/>
    <col min="17" max="17" width="26.5703125" style="166" customWidth="1"/>
    <col min="18" max="16384" width="12.5703125" style="166"/>
  </cols>
  <sheetData>
    <row r="1" spans="1:17">
      <c r="A1" s="1" t="s">
        <v>6924</v>
      </c>
      <c r="D1" s="822">
        <v>2010</v>
      </c>
      <c r="E1" s="822">
        <v>2011</v>
      </c>
      <c r="F1" s="822">
        <v>2012</v>
      </c>
      <c r="G1" s="822">
        <v>2013</v>
      </c>
      <c r="H1" s="822">
        <v>2014</v>
      </c>
      <c r="I1" s="822">
        <v>2015</v>
      </c>
      <c r="J1" s="822">
        <v>2016</v>
      </c>
      <c r="K1" s="822">
        <v>2017</v>
      </c>
      <c r="L1" s="822">
        <v>2018</v>
      </c>
      <c r="M1" s="822">
        <v>2019</v>
      </c>
      <c r="N1" s="822">
        <v>2020</v>
      </c>
      <c r="O1" s="985" t="s">
        <v>14823</v>
      </c>
    </row>
    <row r="3" spans="1:17">
      <c r="A3" s="1" t="s">
        <v>3397</v>
      </c>
      <c r="C3" s="1"/>
      <c r="D3" s="823">
        <f t="shared" ref="D3:O3" si="0">D35</f>
        <v>414414</v>
      </c>
      <c r="E3" s="823">
        <f t="shared" si="0"/>
        <v>417102</v>
      </c>
      <c r="F3" s="823">
        <f t="shared" si="0"/>
        <v>415406</v>
      </c>
      <c r="G3" s="823">
        <f t="shared" si="0"/>
        <v>418506</v>
      </c>
      <c r="H3" s="823">
        <f t="shared" si="0"/>
        <v>405256</v>
      </c>
      <c r="I3" s="823">
        <f t="shared" si="0"/>
        <v>411674</v>
      </c>
      <c r="J3" s="823">
        <f t="shared" si="0"/>
        <v>392223</v>
      </c>
      <c r="K3" s="823">
        <f t="shared" si="0"/>
        <v>406123</v>
      </c>
      <c r="L3" s="823">
        <f t="shared" si="0"/>
        <v>418223</v>
      </c>
      <c r="M3" s="823">
        <f t="shared" si="0"/>
        <v>417535</v>
      </c>
      <c r="N3" s="823">
        <f t="shared" si="0"/>
        <v>437129</v>
      </c>
      <c r="O3" s="823">
        <f t="shared" si="0"/>
        <v>436726</v>
      </c>
    </row>
    <row r="4" spans="1:17" ht="15.75" thickBot="1">
      <c r="A4" s="1" t="s">
        <v>638</v>
      </c>
      <c r="C4" s="1"/>
      <c r="D4" s="824">
        <f t="shared" ref="D4:I4" si="1">D159</f>
        <v>1752</v>
      </c>
      <c r="E4" s="824">
        <f t="shared" si="1"/>
        <v>1763</v>
      </c>
      <c r="F4" s="824">
        <f t="shared" si="1"/>
        <v>1721</v>
      </c>
      <c r="G4" s="824">
        <f t="shared" si="1"/>
        <v>1750</v>
      </c>
      <c r="H4" s="824">
        <f t="shared" si="1"/>
        <v>1631</v>
      </c>
      <c r="I4" s="824">
        <f t="shared" si="1"/>
        <v>1637</v>
      </c>
      <c r="J4" s="824">
        <f t="shared" ref="J4:O4" si="2">J159</f>
        <v>1651</v>
      </c>
      <c r="K4" s="824">
        <f t="shared" si="2"/>
        <v>1742</v>
      </c>
      <c r="L4" s="824">
        <f t="shared" si="2"/>
        <v>1696</v>
      </c>
      <c r="M4" s="824">
        <f t="shared" si="2"/>
        <v>1586</v>
      </c>
      <c r="N4" s="824">
        <f t="shared" si="2"/>
        <v>1551</v>
      </c>
      <c r="O4" s="824">
        <f t="shared" si="2"/>
        <v>1628</v>
      </c>
      <c r="Q4" s="825"/>
    </row>
    <row r="5" spans="1:17" ht="15.75" thickBot="1">
      <c r="B5" s="1"/>
      <c r="C5" s="1"/>
      <c r="D5" s="821">
        <f t="shared" ref="D5:I5" si="3">D3+D4</f>
        <v>416166</v>
      </c>
      <c r="E5" s="821">
        <f t="shared" si="3"/>
        <v>418865</v>
      </c>
      <c r="F5" s="821">
        <f t="shared" si="3"/>
        <v>417127</v>
      </c>
      <c r="G5" s="821">
        <f t="shared" si="3"/>
        <v>420256</v>
      </c>
      <c r="H5" s="821">
        <f t="shared" si="3"/>
        <v>406887</v>
      </c>
      <c r="I5" s="821">
        <f t="shared" si="3"/>
        <v>413311</v>
      </c>
      <c r="J5" s="821">
        <f t="shared" ref="J5:O5" si="4">J3+J4</f>
        <v>393874</v>
      </c>
      <c r="K5" s="821">
        <f t="shared" si="4"/>
        <v>407865</v>
      </c>
      <c r="L5" s="821">
        <f t="shared" si="4"/>
        <v>419919</v>
      </c>
      <c r="M5" s="821">
        <f t="shared" si="4"/>
        <v>419121</v>
      </c>
      <c r="N5" s="821">
        <f t="shared" si="4"/>
        <v>438680</v>
      </c>
      <c r="O5" s="821">
        <f t="shared" si="4"/>
        <v>438354</v>
      </c>
      <c r="Q5" s="825"/>
    </row>
    <row r="7" spans="1:17">
      <c r="A7" s="1" t="s">
        <v>5522</v>
      </c>
      <c r="D7" s="823">
        <f t="shared" ref="D7:I7" si="5">D5/5</f>
        <v>83233.2</v>
      </c>
      <c r="E7" s="823">
        <f t="shared" si="5"/>
        <v>83773</v>
      </c>
      <c r="F7" s="823">
        <f t="shared" si="5"/>
        <v>83425.399999999994</v>
      </c>
      <c r="G7" s="823">
        <f t="shared" si="5"/>
        <v>84051.199999999997</v>
      </c>
      <c r="H7" s="823">
        <f t="shared" si="5"/>
        <v>81377.399999999994</v>
      </c>
      <c r="I7" s="823">
        <f t="shared" si="5"/>
        <v>82662.2</v>
      </c>
      <c r="J7" s="823">
        <f t="shared" ref="J7:O7" si="6">J5/5</f>
        <v>78774.8</v>
      </c>
      <c r="K7" s="823">
        <f t="shared" si="6"/>
        <v>81573</v>
      </c>
      <c r="L7" s="823">
        <f t="shared" si="6"/>
        <v>83983.8</v>
      </c>
      <c r="M7" s="823">
        <f t="shared" si="6"/>
        <v>83824.2</v>
      </c>
      <c r="N7" s="823">
        <f t="shared" si="6"/>
        <v>87736</v>
      </c>
      <c r="O7" s="823">
        <f t="shared" si="6"/>
        <v>87670.8</v>
      </c>
    </row>
    <row r="8" spans="1:17">
      <c r="A8" s="1" t="s">
        <v>639</v>
      </c>
      <c r="D8" s="823">
        <f t="shared" ref="D8:I8" si="7">D5/6</f>
        <v>69361</v>
      </c>
      <c r="E8" s="823">
        <f t="shared" si="7"/>
        <v>69810.833333333328</v>
      </c>
      <c r="F8" s="823">
        <f t="shared" si="7"/>
        <v>69521.166666666672</v>
      </c>
      <c r="G8" s="823">
        <f t="shared" si="7"/>
        <v>70042.666666666672</v>
      </c>
      <c r="H8" s="823">
        <f t="shared" si="7"/>
        <v>67814.5</v>
      </c>
      <c r="I8" s="823">
        <f t="shared" si="7"/>
        <v>68885.166666666672</v>
      </c>
      <c r="J8" s="823">
        <f t="shared" ref="J8:O8" si="8">J5/6</f>
        <v>65645.666666666672</v>
      </c>
      <c r="K8" s="823">
        <f t="shared" si="8"/>
        <v>67977.5</v>
      </c>
      <c r="L8" s="823">
        <f t="shared" si="8"/>
        <v>69986.5</v>
      </c>
      <c r="M8" s="823">
        <f t="shared" si="8"/>
        <v>69853.5</v>
      </c>
      <c r="N8" s="823">
        <f t="shared" si="8"/>
        <v>73113.333333333328</v>
      </c>
      <c r="O8" s="823">
        <f t="shared" si="8"/>
        <v>73059</v>
      </c>
    </row>
    <row r="9" spans="1:17">
      <c r="D9" s="826"/>
      <c r="E9" s="826"/>
      <c r="F9" s="826"/>
      <c r="G9" s="826"/>
      <c r="H9" s="826"/>
      <c r="I9" s="826"/>
      <c r="J9" s="826"/>
      <c r="K9" s="826"/>
      <c r="L9" s="826"/>
      <c r="M9" s="826"/>
      <c r="N9" s="826"/>
      <c r="O9" s="826"/>
    </row>
    <row r="10" spans="1:17">
      <c r="A10" s="1" t="s">
        <v>640</v>
      </c>
      <c r="D10" s="823">
        <f t="shared" ref="D10:M10" si="9">D144</f>
        <v>63694</v>
      </c>
      <c r="E10" s="823">
        <f t="shared" si="9"/>
        <v>64798</v>
      </c>
      <c r="F10" s="823">
        <f t="shared" si="9"/>
        <v>65324</v>
      </c>
      <c r="G10" s="823">
        <f t="shared" si="9"/>
        <v>66038</v>
      </c>
      <c r="H10" s="823">
        <f t="shared" si="9"/>
        <v>64769</v>
      </c>
      <c r="I10" s="823">
        <f t="shared" si="9"/>
        <v>65157</v>
      </c>
      <c r="J10" s="823">
        <f t="shared" si="9"/>
        <v>62034</v>
      </c>
      <c r="K10" s="823">
        <f t="shared" si="9"/>
        <v>64267</v>
      </c>
      <c r="L10" s="823">
        <f t="shared" si="9"/>
        <v>66534</v>
      </c>
      <c r="M10" s="823">
        <f t="shared" si="9"/>
        <v>66928</v>
      </c>
      <c r="N10" s="823">
        <f>N144</f>
        <v>70705</v>
      </c>
      <c r="O10" s="823">
        <f>O144</f>
        <v>70661</v>
      </c>
      <c r="Q10" s="1" t="s">
        <v>3396</v>
      </c>
    </row>
    <row r="11" spans="1:17">
      <c r="D11" s="826"/>
      <c r="E11" s="826"/>
      <c r="F11" s="826"/>
      <c r="G11" s="826"/>
      <c r="H11" s="826"/>
      <c r="I11" s="826"/>
      <c r="J11" s="826"/>
      <c r="K11" s="826"/>
      <c r="L11" s="826"/>
      <c r="M11" s="826"/>
      <c r="N11" s="826"/>
      <c r="O11" s="826"/>
    </row>
    <row r="12" spans="1:17">
      <c r="A12" s="1" t="s">
        <v>6384</v>
      </c>
      <c r="D12" s="823">
        <f t="shared" ref="D12:M12" si="10">D145</f>
        <v>68055</v>
      </c>
      <c r="E12" s="823">
        <f t="shared" si="10"/>
        <v>68206</v>
      </c>
      <c r="F12" s="823">
        <f t="shared" si="10"/>
        <v>66983</v>
      </c>
      <c r="G12" s="823">
        <f t="shared" si="10"/>
        <v>67593</v>
      </c>
      <c r="H12" s="823">
        <f t="shared" si="10"/>
        <v>63718</v>
      </c>
      <c r="I12" s="823">
        <f t="shared" si="10"/>
        <v>65464</v>
      </c>
      <c r="J12" s="823">
        <f t="shared" si="10"/>
        <v>63501</v>
      </c>
      <c r="K12" s="823">
        <f t="shared" si="10"/>
        <v>65863</v>
      </c>
      <c r="L12" s="823">
        <f t="shared" si="10"/>
        <v>67505</v>
      </c>
      <c r="M12" s="823">
        <f t="shared" si="10"/>
        <v>67603</v>
      </c>
      <c r="N12" s="823">
        <f>N145</f>
        <v>70378</v>
      </c>
      <c r="O12" s="823">
        <f>O145</f>
        <v>70327</v>
      </c>
      <c r="Q12" s="1" t="s">
        <v>3396</v>
      </c>
    </row>
    <row r="13" spans="1:17">
      <c r="D13" s="826"/>
      <c r="E13" s="826"/>
      <c r="F13" s="826"/>
      <c r="G13" s="826"/>
      <c r="H13" s="826"/>
      <c r="I13" s="826"/>
      <c r="J13" s="826"/>
      <c r="K13" s="826"/>
      <c r="L13" s="826"/>
      <c r="M13" s="826"/>
      <c r="N13" s="826"/>
      <c r="O13" s="826"/>
    </row>
    <row r="14" spans="1:17">
      <c r="A14" s="1" t="s">
        <v>2009</v>
      </c>
      <c r="D14" s="823">
        <f t="shared" ref="D14:M14" si="11">D146</f>
        <v>71900</v>
      </c>
      <c r="E14" s="823">
        <f t="shared" si="11"/>
        <v>71851</v>
      </c>
      <c r="F14" s="823">
        <f t="shared" si="11"/>
        <v>70847</v>
      </c>
      <c r="G14" s="823">
        <f t="shared" si="11"/>
        <v>71466</v>
      </c>
      <c r="H14" s="823">
        <f t="shared" si="11"/>
        <v>68570</v>
      </c>
      <c r="I14" s="823">
        <f t="shared" si="11"/>
        <v>69873</v>
      </c>
      <c r="J14" s="823">
        <f t="shared" si="11"/>
        <v>66757</v>
      </c>
      <c r="K14" s="823">
        <f t="shared" si="11"/>
        <v>69069</v>
      </c>
      <c r="L14" s="823">
        <f t="shared" si="11"/>
        <v>70599</v>
      </c>
      <c r="M14" s="823">
        <f t="shared" si="11"/>
        <v>70302</v>
      </c>
      <c r="N14" s="823">
        <f>N146</f>
        <v>72258</v>
      </c>
      <c r="O14" s="823">
        <f>O146</f>
        <v>72204</v>
      </c>
      <c r="Q14" s="1" t="s">
        <v>3396</v>
      </c>
    </row>
    <row r="15" spans="1:17">
      <c r="D15" s="826"/>
      <c r="E15" s="826"/>
      <c r="F15" s="826"/>
      <c r="G15" s="826"/>
      <c r="H15" s="826"/>
      <c r="I15" s="826"/>
      <c r="J15" s="826"/>
      <c r="K15" s="826"/>
      <c r="L15" s="826"/>
      <c r="M15" s="826"/>
      <c r="N15" s="826"/>
      <c r="O15" s="826"/>
    </row>
    <row r="16" spans="1:17">
      <c r="A16" s="1" t="s">
        <v>2010</v>
      </c>
      <c r="D16" s="826">
        <f t="shared" ref="D16:M16" si="12">D147</f>
        <v>75721</v>
      </c>
      <c r="E16" s="826">
        <f t="shared" si="12"/>
        <v>75974</v>
      </c>
      <c r="F16" s="826">
        <f t="shared" si="12"/>
        <v>75311</v>
      </c>
      <c r="G16" s="826">
        <f t="shared" si="12"/>
        <v>75905</v>
      </c>
      <c r="H16" s="826">
        <f t="shared" si="12"/>
        <v>73808</v>
      </c>
      <c r="I16" s="826">
        <f t="shared" si="12"/>
        <v>75117</v>
      </c>
      <c r="J16" s="826">
        <f t="shared" si="12"/>
        <v>71674</v>
      </c>
      <c r="K16" s="826">
        <f t="shared" si="12"/>
        <v>74673</v>
      </c>
      <c r="L16" s="826">
        <f t="shared" si="12"/>
        <v>77338</v>
      </c>
      <c r="M16" s="826">
        <f t="shared" si="12"/>
        <v>77451</v>
      </c>
      <c r="N16" s="826">
        <f>N147</f>
        <v>80561</v>
      </c>
      <c r="O16" s="826">
        <f>O147</f>
        <v>80488</v>
      </c>
      <c r="Q16" s="1" t="s">
        <v>3396</v>
      </c>
    </row>
    <row r="17" spans="1:17">
      <c r="D17" s="826"/>
      <c r="E17" s="826"/>
      <c r="F17" s="826"/>
      <c r="G17" s="826"/>
      <c r="H17" s="826"/>
      <c r="I17" s="826"/>
      <c r="J17" s="826"/>
      <c r="K17" s="826"/>
      <c r="L17" s="826"/>
      <c r="M17" s="826"/>
      <c r="N17" s="826"/>
      <c r="O17" s="826"/>
    </row>
    <row r="18" spans="1:17">
      <c r="A18" s="1" t="s">
        <v>2011</v>
      </c>
      <c r="D18" s="826">
        <f t="shared" ref="D18:M18" si="13">D148</f>
        <v>64678</v>
      </c>
      <c r="E18" s="826">
        <f t="shared" si="13"/>
        <v>64933</v>
      </c>
      <c r="F18" s="826">
        <f t="shared" si="13"/>
        <v>65122</v>
      </c>
      <c r="G18" s="826">
        <f t="shared" si="13"/>
        <v>65784</v>
      </c>
      <c r="H18" s="826">
        <f t="shared" si="13"/>
        <v>64105</v>
      </c>
      <c r="I18" s="826">
        <f t="shared" si="13"/>
        <v>64693</v>
      </c>
      <c r="J18" s="826">
        <f t="shared" si="13"/>
        <v>61060</v>
      </c>
      <c r="K18" s="826">
        <f t="shared" si="13"/>
        <v>62693</v>
      </c>
      <c r="L18" s="826">
        <f t="shared" si="13"/>
        <v>64270</v>
      </c>
      <c r="M18" s="826">
        <f t="shared" si="13"/>
        <v>63705</v>
      </c>
      <c r="N18" s="826">
        <f>N148</f>
        <v>66014</v>
      </c>
      <c r="O18" s="826">
        <f>O148</f>
        <v>65917</v>
      </c>
      <c r="Q18" s="1" t="s">
        <v>3396</v>
      </c>
    </row>
    <row r="19" spans="1:17" ht="15.75" thickBot="1">
      <c r="D19" s="824">
        <f t="shared" ref="D19:M19" si="14">D166</f>
        <v>1752</v>
      </c>
      <c r="E19" s="824">
        <f t="shared" si="14"/>
        <v>1763</v>
      </c>
      <c r="F19" s="824">
        <f t="shared" si="14"/>
        <v>1721</v>
      </c>
      <c r="G19" s="824">
        <f t="shared" si="14"/>
        <v>1750</v>
      </c>
      <c r="H19" s="824">
        <f t="shared" si="14"/>
        <v>1631</v>
      </c>
      <c r="I19" s="824">
        <f t="shared" si="14"/>
        <v>1637</v>
      </c>
      <c r="J19" s="824">
        <f t="shared" si="14"/>
        <v>1651</v>
      </c>
      <c r="K19" s="824">
        <f t="shared" si="14"/>
        <v>1742</v>
      </c>
      <c r="L19" s="824">
        <f t="shared" si="14"/>
        <v>1696</v>
      </c>
      <c r="M19" s="824">
        <f t="shared" si="14"/>
        <v>1586</v>
      </c>
      <c r="N19" s="824">
        <f>N166</f>
        <v>1551</v>
      </c>
      <c r="O19" s="824">
        <f>O166</f>
        <v>1628</v>
      </c>
      <c r="Q19" s="1" t="s">
        <v>3736</v>
      </c>
    </row>
    <row r="20" spans="1:17" ht="15.75" thickBot="1">
      <c r="D20" s="824">
        <f t="shared" ref="D20:M20" si="15">D18+D19</f>
        <v>66430</v>
      </c>
      <c r="E20" s="824">
        <f t="shared" si="15"/>
        <v>66696</v>
      </c>
      <c r="F20" s="824">
        <f t="shared" si="15"/>
        <v>66843</v>
      </c>
      <c r="G20" s="824">
        <f t="shared" si="15"/>
        <v>67534</v>
      </c>
      <c r="H20" s="824">
        <f t="shared" si="15"/>
        <v>65736</v>
      </c>
      <c r="I20" s="824">
        <f t="shared" si="15"/>
        <v>66330</v>
      </c>
      <c r="J20" s="824">
        <f t="shared" si="15"/>
        <v>62711</v>
      </c>
      <c r="K20" s="824">
        <f t="shared" si="15"/>
        <v>64435</v>
      </c>
      <c r="L20" s="824">
        <f t="shared" si="15"/>
        <v>65966</v>
      </c>
      <c r="M20" s="824">
        <f t="shared" si="15"/>
        <v>65291</v>
      </c>
      <c r="N20" s="824">
        <f>N18+N19</f>
        <v>67565</v>
      </c>
      <c r="O20" s="824">
        <f>O18+O19</f>
        <v>67545</v>
      </c>
    </row>
    <row r="21" spans="1:17">
      <c r="D21" s="826"/>
      <c r="E21" s="826"/>
      <c r="F21" s="826"/>
      <c r="G21" s="826"/>
      <c r="H21" s="826"/>
      <c r="I21" s="826"/>
      <c r="J21" s="826"/>
      <c r="K21" s="826"/>
      <c r="L21" s="826"/>
      <c r="M21" s="826"/>
      <c r="N21" s="826"/>
      <c r="O21" s="826"/>
    </row>
    <row r="22" spans="1:17">
      <c r="A22" s="1" t="s">
        <v>2012</v>
      </c>
      <c r="D22" s="823">
        <f t="shared" ref="D22:M22" si="16">D149</f>
        <v>70366</v>
      </c>
      <c r="E22" s="823">
        <f t="shared" si="16"/>
        <v>71340</v>
      </c>
      <c r="F22" s="823">
        <f t="shared" si="16"/>
        <v>71819</v>
      </c>
      <c r="G22" s="823">
        <f t="shared" si="16"/>
        <v>71720</v>
      </c>
      <c r="H22" s="823">
        <f t="shared" si="16"/>
        <v>70286</v>
      </c>
      <c r="I22" s="823">
        <f t="shared" si="16"/>
        <v>71370</v>
      </c>
      <c r="J22" s="823">
        <f t="shared" si="16"/>
        <v>67197</v>
      </c>
      <c r="K22" s="823">
        <f t="shared" si="16"/>
        <v>69558</v>
      </c>
      <c r="L22" s="823">
        <f t="shared" si="16"/>
        <v>71977</v>
      </c>
      <c r="M22" s="823">
        <f t="shared" si="16"/>
        <v>71546</v>
      </c>
      <c r="N22" s="823">
        <f>N149</f>
        <v>77213</v>
      </c>
      <c r="O22" s="823">
        <f>O149</f>
        <v>77129</v>
      </c>
      <c r="Q22" s="1" t="s">
        <v>3396</v>
      </c>
    </row>
    <row r="23" spans="1:17">
      <c r="D23" s="826"/>
      <c r="E23" s="826"/>
      <c r="F23" s="826"/>
      <c r="G23" s="826"/>
      <c r="H23" s="826"/>
      <c r="I23" s="826"/>
      <c r="J23" s="826"/>
      <c r="K23" s="826"/>
      <c r="L23" s="826"/>
      <c r="M23" s="826"/>
      <c r="N23" s="826"/>
      <c r="O23" s="826"/>
    </row>
    <row r="24" spans="1:17">
      <c r="A24" s="1" t="s">
        <v>6796</v>
      </c>
      <c r="D24" s="823">
        <f t="shared" ref="D24:I24" si="17">D10+D12+D14+D16+D20+D22</f>
        <v>416166</v>
      </c>
      <c r="E24" s="823">
        <f t="shared" si="17"/>
        <v>418865</v>
      </c>
      <c r="F24" s="823">
        <f t="shared" si="17"/>
        <v>417127</v>
      </c>
      <c r="G24" s="823">
        <f t="shared" si="17"/>
        <v>420256</v>
      </c>
      <c r="H24" s="823">
        <f t="shared" si="17"/>
        <v>406887</v>
      </c>
      <c r="I24" s="823">
        <f t="shared" si="17"/>
        <v>413311</v>
      </c>
      <c r="J24" s="823">
        <f t="shared" ref="J24:O24" si="18">J10+J12+J14+J16+J20+J22</f>
        <v>393874</v>
      </c>
      <c r="K24" s="823">
        <f t="shared" si="18"/>
        <v>407865</v>
      </c>
      <c r="L24" s="823">
        <f t="shared" si="18"/>
        <v>419919</v>
      </c>
      <c r="M24" s="823">
        <f t="shared" si="18"/>
        <v>419121</v>
      </c>
      <c r="N24" s="823">
        <f t="shared" si="18"/>
        <v>438680</v>
      </c>
      <c r="O24" s="823">
        <f t="shared" si="18"/>
        <v>438354</v>
      </c>
    </row>
    <row r="25" spans="1:17">
      <c r="D25" s="826"/>
      <c r="E25" s="826"/>
      <c r="F25" s="826"/>
      <c r="G25" s="826"/>
      <c r="H25" s="826"/>
      <c r="I25" s="826"/>
      <c r="J25" s="826"/>
      <c r="K25" s="826"/>
      <c r="L25" s="826"/>
      <c r="M25" s="826"/>
      <c r="N25" s="826"/>
      <c r="O25" s="826"/>
    </row>
    <row r="26" spans="1:17">
      <c r="A26" s="1" t="s">
        <v>6797</v>
      </c>
      <c r="D26" s="823">
        <f t="shared" ref="D26:I26" si="19">MAX(D10,D12,D14,D16,D20,D22)-MIN(D10,D12,D14,D16,D20,D22)</f>
        <v>12027</v>
      </c>
      <c r="E26" s="823">
        <f t="shared" si="19"/>
        <v>11176</v>
      </c>
      <c r="F26" s="823">
        <f t="shared" si="19"/>
        <v>9987</v>
      </c>
      <c r="G26" s="823">
        <f t="shared" si="19"/>
        <v>9867</v>
      </c>
      <c r="H26" s="823">
        <f t="shared" si="19"/>
        <v>10090</v>
      </c>
      <c r="I26" s="823">
        <f t="shared" si="19"/>
        <v>9960</v>
      </c>
      <c r="J26" s="823">
        <f t="shared" ref="J26:O26" si="20">MAX(J10,J12,J14,J16,J20,J22)-MIN(J10,J12,J14,J16,J20,J22)</f>
        <v>9640</v>
      </c>
      <c r="K26" s="823">
        <f t="shared" si="20"/>
        <v>10406</v>
      </c>
      <c r="L26" s="823">
        <f t="shared" si="20"/>
        <v>11372</v>
      </c>
      <c r="M26" s="823">
        <f t="shared" si="20"/>
        <v>12160</v>
      </c>
      <c r="N26" s="823">
        <f t="shared" si="20"/>
        <v>12996</v>
      </c>
      <c r="O26" s="823">
        <f t="shared" si="20"/>
        <v>12943</v>
      </c>
    </row>
    <row r="27" spans="1:17">
      <c r="D27" s="826"/>
      <c r="E27" s="826"/>
      <c r="F27" s="826"/>
      <c r="G27" s="826"/>
      <c r="H27" s="826"/>
      <c r="I27" s="826"/>
      <c r="J27" s="826"/>
      <c r="K27" s="826"/>
      <c r="L27" s="826"/>
      <c r="M27" s="826"/>
      <c r="N27" s="826"/>
      <c r="O27" s="826"/>
    </row>
    <row r="28" spans="1:17">
      <c r="A28" s="1" t="s">
        <v>6800</v>
      </c>
      <c r="D28" s="823">
        <f t="shared" ref="D28:I28" si="21">STDEVP(D10,D12,D14,D16,D20,D22)</f>
        <v>3879.8073835350815</v>
      </c>
      <c r="E28" s="823">
        <f t="shared" si="21"/>
        <v>3694.3973083876922</v>
      </c>
      <c r="F28" s="823">
        <f t="shared" si="21"/>
        <v>3459.0730172820709</v>
      </c>
      <c r="G28" s="823">
        <f t="shared" si="21"/>
        <v>3355.0436493269185</v>
      </c>
      <c r="H28" s="823">
        <f t="shared" si="21"/>
        <v>3487.5416246022546</v>
      </c>
      <c r="I28" s="823">
        <f t="shared" si="21"/>
        <v>3608.2877479799504</v>
      </c>
      <c r="J28" s="823">
        <f t="shared" ref="J28:O28" si="22">STDEVP(J10,J12,J14,J16,J20,J22)</f>
        <v>3322.6119076547129</v>
      </c>
      <c r="K28" s="823">
        <f t="shared" si="22"/>
        <v>3635.6406931928791</v>
      </c>
      <c r="L28" s="823">
        <f t="shared" si="22"/>
        <v>3929.033331070973</v>
      </c>
      <c r="M28" s="823">
        <f t="shared" si="22"/>
        <v>3983.8721009423316</v>
      </c>
      <c r="N28" s="823">
        <f t="shared" si="22"/>
        <v>4417.2525649120662</v>
      </c>
      <c r="O28" s="823">
        <f t="shared" si="22"/>
        <v>4398.9466542192422</v>
      </c>
    </row>
    <row r="29" spans="1:17">
      <c r="A29" s="1"/>
      <c r="D29" s="827"/>
      <c r="E29" s="827"/>
      <c r="F29" s="827"/>
      <c r="G29" s="827"/>
      <c r="H29" s="827"/>
      <c r="I29" s="827"/>
      <c r="J29" s="827"/>
      <c r="K29" s="827"/>
      <c r="L29" s="827"/>
      <c r="M29" s="827"/>
      <c r="N29" s="827"/>
      <c r="O29" s="827"/>
    </row>
    <row r="30" spans="1:17">
      <c r="A30" s="1" t="s">
        <v>4942</v>
      </c>
      <c r="D30" s="827"/>
      <c r="E30" s="827"/>
      <c r="F30" s="827"/>
      <c r="G30" s="827"/>
      <c r="H30" s="827"/>
      <c r="I30" s="827"/>
      <c r="J30" s="827"/>
      <c r="K30" s="827"/>
      <c r="L30" s="827"/>
      <c r="M30" s="827"/>
      <c r="N30" s="827"/>
      <c r="O30" s="827"/>
    </row>
    <row r="31" spans="1:17">
      <c r="A31" s="1"/>
      <c r="D31" s="827"/>
      <c r="E31" s="827"/>
      <c r="F31" s="827"/>
      <c r="G31" s="827"/>
      <c r="H31" s="827"/>
      <c r="I31" s="827"/>
      <c r="J31" s="827"/>
      <c r="K31" s="827"/>
      <c r="L31" s="827"/>
      <c r="M31" s="827"/>
      <c r="N31" s="827"/>
      <c r="O31" s="827"/>
    </row>
    <row r="32" spans="1:17">
      <c r="A32" s="1"/>
      <c r="D32" s="827"/>
      <c r="E32" s="827"/>
      <c r="F32" s="827"/>
      <c r="G32" s="827"/>
      <c r="H32" s="827"/>
      <c r="I32" s="827"/>
      <c r="J32" s="827"/>
      <c r="K32" s="827"/>
      <c r="L32" s="827"/>
      <c r="M32" s="827"/>
      <c r="N32" s="827"/>
      <c r="O32" s="827"/>
    </row>
    <row r="33" spans="1:17">
      <c r="E33" s="51" t="s">
        <v>1526</v>
      </c>
      <c r="F33" s="51"/>
      <c r="G33" s="51"/>
      <c r="H33" s="51"/>
      <c r="I33" s="51"/>
      <c r="J33" s="51"/>
      <c r="K33" s="51"/>
      <c r="L33" s="51"/>
      <c r="M33" s="51"/>
      <c r="N33" s="51"/>
      <c r="O33" s="51"/>
      <c r="P33" s="138"/>
      <c r="Q33" s="138" t="s">
        <v>9479</v>
      </c>
    </row>
    <row r="34" spans="1:17">
      <c r="D34" s="507">
        <v>2010</v>
      </c>
      <c r="E34" s="507">
        <v>2011</v>
      </c>
      <c r="F34" s="507">
        <v>2012</v>
      </c>
      <c r="G34" s="507">
        <v>2013</v>
      </c>
      <c r="H34" s="507">
        <v>2014</v>
      </c>
      <c r="I34" s="507">
        <v>2015</v>
      </c>
      <c r="J34" s="507">
        <v>2016</v>
      </c>
      <c r="K34" s="507">
        <v>2017</v>
      </c>
      <c r="L34" s="507">
        <v>2018</v>
      </c>
      <c r="M34" s="507">
        <v>2019</v>
      </c>
      <c r="N34" s="507">
        <v>2020</v>
      </c>
      <c r="O34" s="985" t="s">
        <v>14823</v>
      </c>
      <c r="Q34" s="506" t="s">
        <v>1527</v>
      </c>
    </row>
    <row r="35" spans="1:17">
      <c r="A35" s="1" t="s">
        <v>3397</v>
      </c>
      <c r="C35" s="1"/>
      <c r="D35" s="823">
        <f t="shared" ref="D35:N35" si="23">SUM(D36:D48,D50:D54,D56:D64,D66:D70,D72:D86,D88:D97,D99:D108,D110:D111,D113:D122,D124:D128,D130:D142)</f>
        <v>414414</v>
      </c>
      <c r="E35" s="823">
        <f t="shared" si="23"/>
        <v>417102</v>
      </c>
      <c r="F35" s="823">
        <f t="shared" si="23"/>
        <v>415406</v>
      </c>
      <c r="G35" s="823">
        <f t="shared" si="23"/>
        <v>418506</v>
      </c>
      <c r="H35" s="823">
        <f t="shared" si="23"/>
        <v>405256</v>
      </c>
      <c r="I35" s="823">
        <f t="shared" si="23"/>
        <v>411674</v>
      </c>
      <c r="J35" s="823">
        <f t="shared" si="23"/>
        <v>392223</v>
      </c>
      <c r="K35" s="823">
        <f t="shared" si="23"/>
        <v>406123</v>
      </c>
      <c r="L35" s="823">
        <f t="shared" si="23"/>
        <v>418223</v>
      </c>
      <c r="M35" s="823">
        <f t="shared" si="23"/>
        <v>417535</v>
      </c>
      <c r="N35" s="823">
        <f t="shared" si="23"/>
        <v>437129</v>
      </c>
      <c r="O35" s="823">
        <f>SUM(O36:O48,O50:O54,O56:O64,O66:O70,O72:O86,O88:O97,O99:O108,O110:O111,O113:O122,O124:O128,O130:O142)</f>
        <v>436726</v>
      </c>
    </row>
    <row r="36" spans="1:17">
      <c r="A36" s="1" t="s">
        <v>5387</v>
      </c>
      <c r="B36" s="166" t="s">
        <v>15202</v>
      </c>
      <c r="C36" s="166" t="s">
        <v>15201</v>
      </c>
      <c r="D36" s="826">
        <v>68055</v>
      </c>
      <c r="E36" s="826">
        <v>68206</v>
      </c>
      <c r="F36" s="826">
        <v>66983</v>
      </c>
      <c r="G36" s="826">
        <v>67593</v>
      </c>
      <c r="H36" s="826">
        <v>63718</v>
      </c>
      <c r="I36" s="826">
        <v>65464</v>
      </c>
      <c r="J36" s="826">
        <v>63501</v>
      </c>
      <c r="K36" s="826">
        <v>65863</v>
      </c>
      <c r="L36" s="826">
        <v>67505</v>
      </c>
      <c r="M36" s="826">
        <v>67603</v>
      </c>
      <c r="N36" s="826">
        <v>70378</v>
      </c>
      <c r="O36" s="826">
        <v>5598</v>
      </c>
      <c r="Q36" s="1" t="s">
        <v>6384</v>
      </c>
    </row>
    <row r="37" spans="1:17">
      <c r="A37" s="1" t="s">
        <v>5389</v>
      </c>
      <c r="B37" s="166" t="s">
        <v>15204</v>
      </c>
      <c r="C37" s="166" t="s">
        <v>15203</v>
      </c>
      <c r="D37" s="826">
        <v>0</v>
      </c>
      <c r="E37" s="826">
        <v>0</v>
      </c>
      <c r="F37" s="826">
        <v>0</v>
      </c>
      <c r="G37" s="826">
        <v>0</v>
      </c>
      <c r="H37" s="826">
        <v>0</v>
      </c>
      <c r="I37" s="826">
        <v>0</v>
      </c>
      <c r="J37" s="826">
        <v>0</v>
      </c>
      <c r="K37" s="826">
        <v>0</v>
      </c>
      <c r="L37" s="826">
        <v>0</v>
      </c>
      <c r="M37" s="826">
        <v>0</v>
      </c>
      <c r="N37" s="826">
        <v>0</v>
      </c>
      <c r="O37" s="826">
        <v>5127</v>
      </c>
      <c r="Q37" s="1" t="s">
        <v>6384</v>
      </c>
    </row>
    <row r="38" spans="1:17">
      <c r="A38" s="1" t="s">
        <v>5391</v>
      </c>
      <c r="B38" s="166" t="s">
        <v>15206</v>
      </c>
      <c r="C38" s="166" t="s">
        <v>15205</v>
      </c>
      <c r="D38" s="826">
        <v>0</v>
      </c>
      <c r="E38" s="826">
        <v>0</v>
      </c>
      <c r="F38" s="826">
        <v>0</v>
      </c>
      <c r="G38" s="826">
        <v>0</v>
      </c>
      <c r="H38" s="826">
        <v>0</v>
      </c>
      <c r="I38" s="826">
        <v>0</v>
      </c>
      <c r="J38" s="826">
        <v>0</v>
      </c>
      <c r="K38" s="826">
        <v>0</v>
      </c>
      <c r="L38" s="826">
        <v>0</v>
      </c>
      <c r="M38" s="826">
        <v>0</v>
      </c>
      <c r="N38" s="826">
        <v>0</v>
      </c>
      <c r="O38" s="826">
        <v>4755</v>
      </c>
      <c r="Q38" s="1" t="s">
        <v>6384</v>
      </c>
    </row>
    <row r="39" spans="1:17">
      <c r="A39" s="1" t="s">
        <v>5393</v>
      </c>
      <c r="B39" s="166" t="s">
        <v>9499</v>
      </c>
      <c r="C39" s="166" t="s">
        <v>15207</v>
      </c>
      <c r="D39" s="826">
        <v>0</v>
      </c>
      <c r="E39" s="826">
        <v>0</v>
      </c>
      <c r="F39" s="826">
        <v>0</v>
      </c>
      <c r="G39" s="826">
        <v>0</v>
      </c>
      <c r="H39" s="826">
        <v>0</v>
      </c>
      <c r="I39" s="826">
        <v>0</v>
      </c>
      <c r="J39" s="826">
        <v>0</v>
      </c>
      <c r="K39" s="826">
        <v>0</v>
      </c>
      <c r="L39" s="826">
        <v>0</v>
      </c>
      <c r="M39" s="826">
        <v>0</v>
      </c>
      <c r="N39" s="826">
        <v>0</v>
      </c>
      <c r="O39" s="826">
        <v>4798</v>
      </c>
      <c r="Q39" s="1" t="s">
        <v>6384</v>
      </c>
    </row>
    <row r="40" spans="1:17">
      <c r="A40" s="1" t="s">
        <v>5394</v>
      </c>
      <c r="B40" s="166" t="s">
        <v>15209</v>
      </c>
      <c r="C40" s="166" t="s">
        <v>15208</v>
      </c>
      <c r="D40" s="826">
        <v>71900</v>
      </c>
      <c r="E40" s="826">
        <v>71851</v>
      </c>
      <c r="F40" s="826">
        <v>70847</v>
      </c>
      <c r="G40" s="826">
        <v>71466</v>
      </c>
      <c r="H40" s="826">
        <v>68570</v>
      </c>
      <c r="I40" s="826">
        <v>69873</v>
      </c>
      <c r="J40" s="826">
        <v>66757</v>
      </c>
      <c r="K40" s="826">
        <v>69069</v>
      </c>
      <c r="L40" s="826">
        <v>70599</v>
      </c>
      <c r="M40" s="826">
        <v>70302</v>
      </c>
      <c r="N40" s="826">
        <v>72258</v>
      </c>
      <c r="O40" s="826">
        <v>5188</v>
      </c>
      <c r="Q40" s="1" t="s">
        <v>2009</v>
      </c>
    </row>
    <row r="41" spans="1:17">
      <c r="A41" s="1" t="s">
        <v>5416</v>
      </c>
      <c r="B41" s="166" t="s">
        <v>15211</v>
      </c>
      <c r="C41" s="166" t="s">
        <v>15210</v>
      </c>
      <c r="D41" s="826">
        <v>0</v>
      </c>
      <c r="E41" s="826">
        <v>0</v>
      </c>
      <c r="F41" s="826">
        <v>0</v>
      </c>
      <c r="G41" s="826">
        <v>0</v>
      </c>
      <c r="H41" s="826">
        <v>0</v>
      </c>
      <c r="I41" s="826">
        <v>0</v>
      </c>
      <c r="J41" s="826">
        <v>0</v>
      </c>
      <c r="K41" s="826">
        <v>0</v>
      </c>
      <c r="L41" s="826">
        <v>0</v>
      </c>
      <c r="M41" s="826">
        <v>0</v>
      </c>
      <c r="N41" s="826">
        <v>0</v>
      </c>
      <c r="O41" s="826">
        <v>5355</v>
      </c>
      <c r="Q41" s="1" t="s">
        <v>2009</v>
      </c>
    </row>
    <row r="42" spans="1:17">
      <c r="A42" s="1" t="s">
        <v>5418</v>
      </c>
      <c r="B42" s="166" t="s">
        <v>15213</v>
      </c>
      <c r="C42" s="166" t="s">
        <v>15212</v>
      </c>
      <c r="D42" s="826">
        <v>63694</v>
      </c>
      <c r="E42" s="826">
        <v>64798</v>
      </c>
      <c r="F42" s="826">
        <v>65324</v>
      </c>
      <c r="G42" s="826">
        <v>66038</v>
      </c>
      <c r="H42" s="826">
        <v>64769</v>
      </c>
      <c r="I42" s="826">
        <v>65157</v>
      </c>
      <c r="J42" s="826">
        <v>62034</v>
      </c>
      <c r="K42" s="826">
        <v>64267</v>
      </c>
      <c r="L42" s="826">
        <v>66534</v>
      </c>
      <c r="M42" s="826">
        <v>66928</v>
      </c>
      <c r="N42" s="826">
        <v>70705</v>
      </c>
      <c r="O42" s="826">
        <v>4506</v>
      </c>
      <c r="Q42" s="1" t="s">
        <v>640</v>
      </c>
    </row>
    <row r="43" spans="1:17">
      <c r="A43" s="1" t="s">
        <v>5420</v>
      </c>
      <c r="B43" s="166" t="s">
        <v>9500</v>
      </c>
      <c r="C43" s="166" t="s">
        <v>15214</v>
      </c>
      <c r="D43" s="826">
        <v>0</v>
      </c>
      <c r="E43" s="826">
        <v>0</v>
      </c>
      <c r="F43" s="826">
        <v>0</v>
      </c>
      <c r="G43" s="826">
        <v>0</v>
      </c>
      <c r="H43" s="826">
        <v>0</v>
      </c>
      <c r="I43" s="826">
        <v>0</v>
      </c>
      <c r="J43" s="826">
        <v>0</v>
      </c>
      <c r="K43" s="826">
        <v>0</v>
      </c>
      <c r="L43" s="826">
        <v>0</v>
      </c>
      <c r="M43" s="826">
        <v>0</v>
      </c>
      <c r="N43" s="826">
        <v>0</v>
      </c>
      <c r="O43" s="826">
        <v>4681</v>
      </c>
      <c r="Q43" s="1" t="s">
        <v>640</v>
      </c>
    </row>
    <row r="44" spans="1:17">
      <c r="A44" s="1" t="s">
        <v>5422</v>
      </c>
      <c r="B44" s="166" t="s">
        <v>15216</v>
      </c>
      <c r="C44" s="166" t="s">
        <v>15215</v>
      </c>
      <c r="D44" s="826">
        <v>0</v>
      </c>
      <c r="E44" s="826">
        <v>0</v>
      </c>
      <c r="F44" s="826">
        <v>0</v>
      </c>
      <c r="G44" s="826">
        <v>0</v>
      </c>
      <c r="H44" s="826">
        <v>0</v>
      </c>
      <c r="I44" s="826">
        <v>0</v>
      </c>
      <c r="J44" s="826">
        <v>0</v>
      </c>
      <c r="K44" s="826">
        <v>0</v>
      </c>
      <c r="L44" s="826">
        <v>0</v>
      </c>
      <c r="M44" s="826">
        <v>0</v>
      </c>
      <c r="N44" s="826">
        <v>0</v>
      </c>
      <c r="O44" s="826">
        <v>4961</v>
      </c>
      <c r="Q44" s="1" t="s">
        <v>640</v>
      </c>
    </row>
    <row r="45" spans="1:17">
      <c r="A45" s="1" t="s">
        <v>5424</v>
      </c>
      <c r="B45" s="166" t="s">
        <v>15218</v>
      </c>
      <c r="C45" s="166" t="s">
        <v>15217</v>
      </c>
      <c r="D45" s="826">
        <v>0</v>
      </c>
      <c r="E45" s="826">
        <v>0</v>
      </c>
      <c r="F45" s="826">
        <v>0</v>
      </c>
      <c r="G45" s="826">
        <v>0</v>
      </c>
      <c r="H45" s="826">
        <v>0</v>
      </c>
      <c r="I45" s="826">
        <v>0</v>
      </c>
      <c r="J45" s="826">
        <v>0</v>
      </c>
      <c r="K45" s="826">
        <v>0</v>
      </c>
      <c r="L45" s="826">
        <v>0</v>
      </c>
      <c r="M45" s="826">
        <v>0</v>
      </c>
      <c r="N45" s="826">
        <v>0</v>
      </c>
      <c r="O45" s="826">
        <v>5314</v>
      </c>
      <c r="Q45" s="1" t="s">
        <v>6384</v>
      </c>
    </row>
    <row r="46" spans="1:17">
      <c r="A46" s="1" t="s">
        <v>5426</v>
      </c>
      <c r="B46" s="166" t="s">
        <v>15220</v>
      </c>
      <c r="C46" s="166" t="s">
        <v>15219</v>
      </c>
      <c r="D46" s="826">
        <v>0</v>
      </c>
      <c r="E46" s="826">
        <v>0</v>
      </c>
      <c r="F46" s="826">
        <v>0</v>
      </c>
      <c r="G46" s="826">
        <v>0</v>
      </c>
      <c r="H46" s="826">
        <v>0</v>
      </c>
      <c r="I46" s="826">
        <v>0</v>
      </c>
      <c r="J46" s="826">
        <v>0</v>
      </c>
      <c r="K46" s="826">
        <v>0</v>
      </c>
      <c r="L46" s="826">
        <v>0</v>
      </c>
      <c r="M46" s="826">
        <v>0</v>
      </c>
      <c r="N46" s="826">
        <v>0</v>
      </c>
      <c r="O46" s="826">
        <v>4937</v>
      </c>
      <c r="Q46" s="1" t="s">
        <v>640</v>
      </c>
    </row>
    <row r="47" spans="1:17">
      <c r="A47" s="1" t="s">
        <v>5428</v>
      </c>
      <c r="B47" s="166" t="s">
        <v>15222</v>
      </c>
      <c r="C47" s="166" t="s">
        <v>15221</v>
      </c>
      <c r="D47" s="826">
        <v>0</v>
      </c>
      <c r="E47" s="826">
        <v>0</v>
      </c>
      <c r="F47" s="826">
        <v>0</v>
      </c>
      <c r="G47" s="826">
        <v>0</v>
      </c>
      <c r="H47" s="826">
        <v>0</v>
      </c>
      <c r="I47" s="826">
        <v>0</v>
      </c>
      <c r="J47" s="826">
        <v>0</v>
      </c>
      <c r="K47" s="826">
        <v>0</v>
      </c>
      <c r="L47" s="826">
        <v>0</v>
      </c>
      <c r="M47" s="826">
        <v>0</v>
      </c>
      <c r="N47" s="826">
        <v>0</v>
      </c>
      <c r="O47" s="826">
        <v>2033</v>
      </c>
      <c r="Q47" s="1" t="s">
        <v>640</v>
      </c>
    </row>
    <row r="48" spans="1:17" ht="15.75" thickBot="1">
      <c r="A48" s="1"/>
      <c r="C48" s="166" t="s">
        <v>15221</v>
      </c>
      <c r="D48" s="826">
        <v>0</v>
      </c>
      <c r="E48" s="826">
        <v>0</v>
      </c>
      <c r="F48" s="826">
        <v>0</v>
      </c>
      <c r="G48" s="826">
        <v>0</v>
      </c>
      <c r="H48" s="826">
        <v>0</v>
      </c>
      <c r="I48" s="826">
        <v>0</v>
      </c>
      <c r="J48" s="826">
        <v>0</v>
      </c>
      <c r="K48" s="826">
        <v>0</v>
      </c>
      <c r="L48" s="826">
        <v>0</v>
      </c>
      <c r="M48" s="826">
        <v>0</v>
      </c>
      <c r="N48" s="826">
        <v>0</v>
      </c>
      <c r="O48" s="826">
        <v>3240</v>
      </c>
      <c r="Q48" s="1" t="s">
        <v>2011</v>
      </c>
    </row>
    <row r="49" spans="1:17" ht="15.75" thickBot="1">
      <c r="A49" s="1"/>
      <c r="C49" s="166" t="s">
        <v>15221</v>
      </c>
      <c r="D49" s="828">
        <f t="shared" ref="D49:O49" si="24">D47+D48</f>
        <v>0</v>
      </c>
      <c r="E49" s="828">
        <f t="shared" si="24"/>
        <v>0</v>
      </c>
      <c r="F49" s="828">
        <f t="shared" si="24"/>
        <v>0</v>
      </c>
      <c r="G49" s="828">
        <f t="shared" si="24"/>
        <v>0</v>
      </c>
      <c r="H49" s="828">
        <f t="shared" si="24"/>
        <v>0</v>
      </c>
      <c r="I49" s="828">
        <f t="shared" si="24"/>
        <v>0</v>
      </c>
      <c r="J49" s="828">
        <f t="shared" si="24"/>
        <v>0</v>
      </c>
      <c r="K49" s="828">
        <f t="shared" si="24"/>
        <v>0</v>
      </c>
      <c r="L49" s="828">
        <f t="shared" si="24"/>
        <v>0</v>
      </c>
      <c r="M49" s="828">
        <f t="shared" si="24"/>
        <v>0</v>
      </c>
      <c r="N49" s="828">
        <f t="shared" si="24"/>
        <v>0</v>
      </c>
      <c r="O49" s="828">
        <f t="shared" si="24"/>
        <v>5273</v>
      </c>
      <c r="Q49" s="1"/>
    </row>
    <row r="50" spans="1:17">
      <c r="A50" s="1" t="s">
        <v>5429</v>
      </c>
      <c r="B50" s="166" t="s">
        <v>923</v>
      </c>
      <c r="C50" s="166" t="s">
        <v>15223</v>
      </c>
      <c r="D50" s="826">
        <v>70366</v>
      </c>
      <c r="E50" s="826">
        <v>71340</v>
      </c>
      <c r="F50" s="826">
        <v>71819</v>
      </c>
      <c r="G50" s="826">
        <v>71720</v>
      </c>
      <c r="H50" s="826">
        <v>70286</v>
      </c>
      <c r="I50" s="826">
        <v>71370</v>
      </c>
      <c r="J50" s="826">
        <v>67197</v>
      </c>
      <c r="K50" s="826">
        <v>69558</v>
      </c>
      <c r="L50" s="826">
        <v>71977</v>
      </c>
      <c r="M50" s="826">
        <v>71546</v>
      </c>
      <c r="N50" s="826">
        <v>77213</v>
      </c>
      <c r="O50" s="826">
        <v>5012</v>
      </c>
      <c r="Q50" s="1" t="s">
        <v>2012</v>
      </c>
    </row>
    <row r="51" spans="1:17">
      <c r="A51" s="1" t="s">
        <v>5431</v>
      </c>
      <c r="B51" s="166" t="s">
        <v>924</v>
      </c>
      <c r="C51" s="166" t="s">
        <v>15224</v>
      </c>
      <c r="D51" s="826">
        <v>0</v>
      </c>
      <c r="E51" s="826">
        <v>0</v>
      </c>
      <c r="F51" s="826">
        <v>0</v>
      </c>
      <c r="G51" s="826">
        <v>0</v>
      </c>
      <c r="H51" s="826">
        <v>0</v>
      </c>
      <c r="I51" s="826">
        <v>0</v>
      </c>
      <c r="J51" s="826">
        <v>0</v>
      </c>
      <c r="K51" s="826">
        <v>0</v>
      </c>
      <c r="L51" s="826">
        <v>0</v>
      </c>
      <c r="M51" s="826">
        <v>0</v>
      </c>
      <c r="N51" s="826">
        <v>0</v>
      </c>
      <c r="O51" s="826">
        <v>4732</v>
      </c>
      <c r="Q51" s="1" t="s">
        <v>2012</v>
      </c>
    </row>
    <row r="52" spans="1:17">
      <c r="A52" s="1" t="s">
        <v>5433</v>
      </c>
      <c r="B52" s="166" t="s">
        <v>925</v>
      </c>
      <c r="C52" s="166" t="s">
        <v>15225</v>
      </c>
      <c r="D52" s="826">
        <v>0</v>
      </c>
      <c r="E52" s="826">
        <v>0</v>
      </c>
      <c r="F52" s="826">
        <v>0</v>
      </c>
      <c r="G52" s="826">
        <v>0</v>
      </c>
      <c r="H52" s="826">
        <v>0</v>
      </c>
      <c r="I52" s="826">
        <v>0</v>
      </c>
      <c r="J52" s="826">
        <v>0</v>
      </c>
      <c r="K52" s="826">
        <v>0</v>
      </c>
      <c r="L52" s="826">
        <v>0</v>
      </c>
      <c r="M52" s="826">
        <v>0</v>
      </c>
      <c r="N52" s="826">
        <v>0</v>
      </c>
      <c r="O52" s="826">
        <v>5657</v>
      </c>
      <c r="Q52" s="1" t="s">
        <v>2012</v>
      </c>
    </row>
    <row r="53" spans="1:17">
      <c r="A53" s="1" t="s">
        <v>5435</v>
      </c>
      <c r="B53" s="166" t="s">
        <v>15227</v>
      </c>
      <c r="C53" s="166" t="s">
        <v>15226</v>
      </c>
      <c r="D53" s="826">
        <v>0</v>
      </c>
      <c r="E53" s="826">
        <v>0</v>
      </c>
      <c r="F53" s="826">
        <v>0</v>
      </c>
      <c r="G53" s="826">
        <v>0</v>
      </c>
      <c r="H53" s="826">
        <v>0</v>
      </c>
      <c r="I53" s="826">
        <v>0</v>
      </c>
      <c r="J53" s="826">
        <v>0</v>
      </c>
      <c r="K53" s="826">
        <v>0</v>
      </c>
      <c r="L53" s="826">
        <v>0</v>
      </c>
      <c r="M53" s="826">
        <v>0</v>
      </c>
      <c r="N53" s="826">
        <v>0</v>
      </c>
      <c r="O53" s="826">
        <v>1649</v>
      </c>
      <c r="Q53" s="1" t="s">
        <v>640</v>
      </c>
    </row>
    <row r="54" spans="1:17" ht="15.75" thickBot="1">
      <c r="A54" s="1"/>
      <c r="C54" s="166" t="s">
        <v>15226</v>
      </c>
      <c r="D54" s="826">
        <v>0</v>
      </c>
      <c r="E54" s="826">
        <v>0</v>
      </c>
      <c r="F54" s="826">
        <v>0</v>
      </c>
      <c r="G54" s="826">
        <v>0</v>
      </c>
      <c r="H54" s="826">
        <v>0</v>
      </c>
      <c r="I54" s="826">
        <v>0</v>
      </c>
      <c r="J54" s="826">
        <v>0</v>
      </c>
      <c r="K54" s="826">
        <v>0</v>
      </c>
      <c r="L54" s="826">
        <v>0</v>
      </c>
      <c r="M54" s="826">
        <v>0</v>
      </c>
      <c r="N54" s="826">
        <v>0</v>
      </c>
      <c r="O54" s="826">
        <v>2953</v>
      </c>
      <c r="Q54" s="1" t="s">
        <v>2012</v>
      </c>
    </row>
    <row r="55" spans="1:17" ht="15.75" thickBot="1">
      <c r="A55" s="1"/>
      <c r="C55" s="166" t="s">
        <v>15226</v>
      </c>
      <c r="D55" s="828">
        <f t="shared" ref="D55:O55" si="25">D53+D54</f>
        <v>0</v>
      </c>
      <c r="E55" s="828">
        <f t="shared" si="25"/>
        <v>0</v>
      </c>
      <c r="F55" s="828">
        <f t="shared" si="25"/>
        <v>0</v>
      </c>
      <c r="G55" s="828">
        <f t="shared" si="25"/>
        <v>0</v>
      </c>
      <c r="H55" s="828">
        <f t="shared" si="25"/>
        <v>0</v>
      </c>
      <c r="I55" s="828">
        <f t="shared" si="25"/>
        <v>0</v>
      </c>
      <c r="J55" s="828">
        <f t="shared" si="25"/>
        <v>0</v>
      </c>
      <c r="K55" s="828">
        <f t="shared" si="25"/>
        <v>0</v>
      </c>
      <c r="L55" s="828">
        <f t="shared" si="25"/>
        <v>0</v>
      </c>
      <c r="M55" s="828">
        <f t="shared" si="25"/>
        <v>0</v>
      </c>
      <c r="N55" s="828">
        <f t="shared" si="25"/>
        <v>0</v>
      </c>
      <c r="O55" s="828">
        <f t="shared" si="25"/>
        <v>4602</v>
      </c>
      <c r="Q55" s="1"/>
    </row>
    <row r="56" spans="1:17">
      <c r="A56" s="1" t="s">
        <v>5436</v>
      </c>
      <c r="B56" s="166" t="s">
        <v>15229</v>
      </c>
      <c r="C56" s="166" t="s">
        <v>15228</v>
      </c>
      <c r="D56" s="826">
        <v>0</v>
      </c>
      <c r="E56" s="826">
        <v>0</v>
      </c>
      <c r="F56" s="826">
        <v>0</v>
      </c>
      <c r="G56" s="826">
        <v>0</v>
      </c>
      <c r="H56" s="826">
        <v>0</v>
      </c>
      <c r="I56" s="826">
        <v>0</v>
      </c>
      <c r="J56" s="826">
        <v>0</v>
      </c>
      <c r="K56" s="826">
        <v>0</v>
      </c>
      <c r="L56" s="826">
        <v>0</v>
      </c>
      <c r="M56" s="826">
        <v>0</v>
      </c>
      <c r="N56" s="826">
        <v>0</v>
      </c>
      <c r="O56" s="826">
        <v>4439</v>
      </c>
      <c r="Q56" s="1" t="s">
        <v>2012</v>
      </c>
    </row>
    <row r="57" spans="1:17">
      <c r="A57" s="1" t="s">
        <v>5437</v>
      </c>
      <c r="B57" s="166" t="s">
        <v>15231</v>
      </c>
      <c r="C57" s="166" t="s">
        <v>15230</v>
      </c>
      <c r="D57" s="826">
        <v>0</v>
      </c>
      <c r="E57" s="826">
        <v>0</v>
      </c>
      <c r="F57" s="826">
        <v>0</v>
      </c>
      <c r="G57" s="826">
        <v>0</v>
      </c>
      <c r="H57" s="826">
        <v>0</v>
      </c>
      <c r="I57" s="826">
        <v>0</v>
      </c>
      <c r="J57" s="826">
        <v>0</v>
      </c>
      <c r="K57" s="826">
        <v>0</v>
      </c>
      <c r="L57" s="826">
        <v>0</v>
      </c>
      <c r="M57" s="826">
        <v>0</v>
      </c>
      <c r="N57" s="826">
        <v>0</v>
      </c>
      <c r="O57" s="826">
        <v>5154</v>
      </c>
      <c r="Q57" s="1" t="s">
        <v>640</v>
      </c>
    </row>
    <row r="58" spans="1:17">
      <c r="A58" s="1" t="s">
        <v>5439</v>
      </c>
      <c r="B58" s="166" t="s">
        <v>15233</v>
      </c>
      <c r="C58" s="166" t="s">
        <v>15232</v>
      </c>
      <c r="D58" s="826">
        <v>75721</v>
      </c>
      <c r="E58" s="826">
        <v>75974</v>
      </c>
      <c r="F58" s="826">
        <v>75311</v>
      </c>
      <c r="G58" s="826">
        <v>75905</v>
      </c>
      <c r="H58" s="826">
        <v>73808</v>
      </c>
      <c r="I58" s="826">
        <v>75117</v>
      </c>
      <c r="J58" s="826">
        <v>71674</v>
      </c>
      <c r="K58" s="826">
        <v>74673</v>
      </c>
      <c r="L58" s="826">
        <v>77338</v>
      </c>
      <c r="M58" s="826">
        <v>77451</v>
      </c>
      <c r="N58" s="826">
        <v>80561</v>
      </c>
      <c r="O58" s="826">
        <v>4709</v>
      </c>
      <c r="Q58" s="1" t="s">
        <v>2010</v>
      </c>
    </row>
    <row r="59" spans="1:17">
      <c r="A59" s="1" t="s">
        <v>5441</v>
      </c>
      <c r="B59" s="166" t="s">
        <v>15235</v>
      </c>
      <c r="C59" s="166" t="s">
        <v>15234</v>
      </c>
      <c r="D59" s="826">
        <v>0</v>
      </c>
      <c r="E59" s="826">
        <v>0</v>
      </c>
      <c r="F59" s="826">
        <v>0</v>
      </c>
      <c r="G59" s="826">
        <v>0</v>
      </c>
      <c r="H59" s="826">
        <v>0</v>
      </c>
      <c r="I59" s="826">
        <v>0</v>
      </c>
      <c r="J59" s="826">
        <v>0</v>
      </c>
      <c r="K59" s="826">
        <v>0</v>
      </c>
      <c r="L59" s="826">
        <v>0</v>
      </c>
      <c r="M59" s="826">
        <v>0</v>
      </c>
      <c r="N59" s="826">
        <v>0</v>
      </c>
      <c r="O59" s="826">
        <v>4261</v>
      </c>
      <c r="Q59" s="1" t="s">
        <v>2012</v>
      </c>
    </row>
    <row r="60" spans="1:17">
      <c r="A60" s="829">
        <v>21</v>
      </c>
      <c r="B60" s="166" t="s">
        <v>15237</v>
      </c>
      <c r="C60" s="166" t="s">
        <v>15236</v>
      </c>
      <c r="D60" s="826">
        <v>0</v>
      </c>
      <c r="E60" s="826">
        <v>0</v>
      </c>
      <c r="F60" s="826">
        <v>0</v>
      </c>
      <c r="G60" s="826">
        <v>0</v>
      </c>
      <c r="H60" s="826">
        <v>0</v>
      </c>
      <c r="I60" s="826">
        <v>0</v>
      </c>
      <c r="J60" s="826">
        <v>0</v>
      </c>
      <c r="K60" s="826">
        <v>0</v>
      </c>
      <c r="L60" s="826">
        <v>0</v>
      </c>
      <c r="M60" s="826">
        <v>0</v>
      </c>
      <c r="N60" s="826">
        <v>0</v>
      </c>
      <c r="O60" s="826">
        <v>5039</v>
      </c>
      <c r="Q60" s="1" t="s">
        <v>640</v>
      </c>
    </row>
    <row r="61" spans="1:17">
      <c r="A61" s="655">
        <v>22</v>
      </c>
      <c r="B61" s="166" t="s">
        <v>15239</v>
      </c>
      <c r="C61" s="166" t="s">
        <v>15238</v>
      </c>
      <c r="D61" s="826">
        <v>0</v>
      </c>
      <c r="E61" s="826">
        <v>0</v>
      </c>
      <c r="F61" s="826">
        <v>0</v>
      </c>
      <c r="G61" s="826">
        <v>0</v>
      </c>
      <c r="H61" s="826">
        <v>0</v>
      </c>
      <c r="I61" s="826">
        <v>0</v>
      </c>
      <c r="J61" s="826">
        <v>0</v>
      </c>
      <c r="K61" s="826">
        <v>0</v>
      </c>
      <c r="L61" s="826">
        <v>0</v>
      </c>
      <c r="M61" s="826">
        <v>0</v>
      </c>
      <c r="N61" s="826">
        <v>0</v>
      </c>
      <c r="O61" s="826">
        <v>4948</v>
      </c>
      <c r="Q61" s="1" t="s">
        <v>640</v>
      </c>
    </row>
    <row r="62" spans="1:17">
      <c r="A62" s="655">
        <v>23</v>
      </c>
      <c r="B62" s="166" t="s">
        <v>6163</v>
      </c>
      <c r="C62" s="166" t="s">
        <v>15240</v>
      </c>
      <c r="D62" s="826">
        <v>64678</v>
      </c>
      <c r="E62" s="826">
        <v>64933</v>
      </c>
      <c r="F62" s="826">
        <v>65122</v>
      </c>
      <c r="G62" s="826">
        <v>65784</v>
      </c>
      <c r="H62" s="826">
        <v>64105</v>
      </c>
      <c r="I62" s="826">
        <v>64693</v>
      </c>
      <c r="J62" s="826">
        <v>61060</v>
      </c>
      <c r="K62" s="826">
        <v>62693</v>
      </c>
      <c r="L62" s="826">
        <v>64270</v>
      </c>
      <c r="M62" s="826">
        <v>63705</v>
      </c>
      <c r="N62" s="826">
        <v>66014</v>
      </c>
      <c r="O62" s="826">
        <v>5273</v>
      </c>
      <c r="Q62" s="1" t="s">
        <v>2011</v>
      </c>
    </row>
    <row r="63" spans="1:17">
      <c r="A63" s="655">
        <v>24</v>
      </c>
      <c r="B63" s="166" t="s">
        <v>15242</v>
      </c>
      <c r="C63" s="166" t="s">
        <v>15241</v>
      </c>
      <c r="D63" s="826">
        <v>0</v>
      </c>
      <c r="E63" s="826">
        <v>0</v>
      </c>
      <c r="F63" s="826">
        <v>0</v>
      </c>
      <c r="G63" s="826">
        <v>0</v>
      </c>
      <c r="H63" s="826">
        <v>0</v>
      </c>
      <c r="I63" s="826">
        <v>0</v>
      </c>
      <c r="J63" s="826">
        <v>0</v>
      </c>
      <c r="K63" s="826">
        <v>0</v>
      </c>
      <c r="L63" s="826">
        <v>0</v>
      </c>
      <c r="M63" s="826">
        <v>0</v>
      </c>
      <c r="N63" s="826">
        <v>0</v>
      </c>
      <c r="O63" s="826">
        <v>529</v>
      </c>
      <c r="Q63" s="1" t="s">
        <v>640</v>
      </c>
    </row>
    <row r="64" spans="1:17" ht="15.75" thickBot="1">
      <c r="A64" s="655"/>
      <c r="C64" s="166" t="s">
        <v>15241</v>
      </c>
      <c r="D64" s="826">
        <v>0</v>
      </c>
      <c r="E64" s="826">
        <v>0</v>
      </c>
      <c r="F64" s="826">
        <v>0</v>
      </c>
      <c r="G64" s="826">
        <v>0</v>
      </c>
      <c r="H64" s="826">
        <v>0</v>
      </c>
      <c r="I64" s="826">
        <v>0</v>
      </c>
      <c r="J64" s="826">
        <v>0</v>
      </c>
      <c r="K64" s="826">
        <v>0</v>
      </c>
      <c r="L64" s="826">
        <v>0</v>
      </c>
      <c r="M64" s="826">
        <v>0</v>
      </c>
      <c r="N64" s="826">
        <v>0</v>
      </c>
      <c r="O64" s="826">
        <v>4772</v>
      </c>
      <c r="Q64" s="1" t="s">
        <v>2011</v>
      </c>
    </row>
    <row r="65" spans="1:17" ht="15.75" thickBot="1">
      <c r="A65" s="655"/>
      <c r="C65" s="166" t="s">
        <v>15241</v>
      </c>
      <c r="D65" s="828">
        <f t="shared" ref="D65:O65" si="26">D63+D64</f>
        <v>0</v>
      </c>
      <c r="E65" s="828">
        <f t="shared" si="26"/>
        <v>0</v>
      </c>
      <c r="F65" s="828">
        <f t="shared" si="26"/>
        <v>0</v>
      </c>
      <c r="G65" s="828">
        <f t="shared" si="26"/>
        <v>0</v>
      </c>
      <c r="H65" s="828">
        <f t="shared" si="26"/>
        <v>0</v>
      </c>
      <c r="I65" s="828">
        <f t="shared" si="26"/>
        <v>0</v>
      </c>
      <c r="J65" s="828">
        <f t="shared" si="26"/>
        <v>0</v>
      </c>
      <c r="K65" s="828">
        <f t="shared" si="26"/>
        <v>0</v>
      </c>
      <c r="L65" s="828">
        <f t="shared" si="26"/>
        <v>0</v>
      </c>
      <c r="M65" s="828">
        <f t="shared" si="26"/>
        <v>0</v>
      </c>
      <c r="N65" s="828">
        <f t="shared" si="26"/>
        <v>0</v>
      </c>
      <c r="O65" s="828">
        <f t="shared" si="26"/>
        <v>5301</v>
      </c>
      <c r="Q65" s="1"/>
    </row>
    <row r="66" spans="1:17">
      <c r="A66" s="655">
        <v>25</v>
      </c>
      <c r="B66" s="166" t="s">
        <v>15244</v>
      </c>
      <c r="C66" s="166" t="s">
        <v>15243</v>
      </c>
      <c r="D66" s="826">
        <v>0</v>
      </c>
      <c r="E66" s="826">
        <v>0</v>
      </c>
      <c r="F66" s="826">
        <v>0</v>
      </c>
      <c r="G66" s="826">
        <v>0</v>
      </c>
      <c r="H66" s="826">
        <v>0</v>
      </c>
      <c r="I66" s="826">
        <v>0</v>
      </c>
      <c r="J66" s="826">
        <v>0</v>
      </c>
      <c r="K66" s="826">
        <v>0</v>
      </c>
      <c r="L66" s="826">
        <v>0</v>
      </c>
      <c r="M66" s="826">
        <v>0</v>
      </c>
      <c r="N66" s="826">
        <v>0</v>
      </c>
      <c r="O66" s="826">
        <v>5151</v>
      </c>
      <c r="Q66" s="1" t="s">
        <v>640</v>
      </c>
    </row>
    <row r="67" spans="1:17">
      <c r="A67" s="655">
        <v>26</v>
      </c>
      <c r="B67" s="166" t="s">
        <v>15246</v>
      </c>
      <c r="C67" s="166" t="s">
        <v>15245</v>
      </c>
      <c r="D67" s="826">
        <v>0</v>
      </c>
      <c r="E67" s="826">
        <v>0</v>
      </c>
      <c r="F67" s="826">
        <v>0</v>
      </c>
      <c r="G67" s="826">
        <v>0</v>
      </c>
      <c r="H67" s="826">
        <v>0</v>
      </c>
      <c r="I67" s="826">
        <v>0</v>
      </c>
      <c r="J67" s="826">
        <v>0</v>
      </c>
      <c r="K67" s="826">
        <v>0</v>
      </c>
      <c r="L67" s="826">
        <v>0</v>
      </c>
      <c r="M67" s="826">
        <v>0</v>
      </c>
      <c r="N67" s="826">
        <v>0</v>
      </c>
      <c r="O67" s="826">
        <v>5445</v>
      </c>
      <c r="Q67" s="1" t="s">
        <v>2011</v>
      </c>
    </row>
    <row r="68" spans="1:17">
      <c r="A68" s="655">
        <v>27</v>
      </c>
      <c r="B68" s="166" t="s">
        <v>15248</v>
      </c>
      <c r="C68" s="166" t="s">
        <v>15247</v>
      </c>
      <c r="D68" s="826">
        <v>0</v>
      </c>
      <c r="E68" s="826">
        <v>0</v>
      </c>
      <c r="F68" s="826">
        <v>0</v>
      </c>
      <c r="G68" s="826">
        <v>0</v>
      </c>
      <c r="H68" s="826">
        <v>0</v>
      </c>
      <c r="I68" s="826">
        <v>0</v>
      </c>
      <c r="J68" s="826">
        <v>0</v>
      </c>
      <c r="K68" s="826">
        <v>0</v>
      </c>
      <c r="L68" s="826">
        <v>0</v>
      </c>
      <c r="M68" s="826">
        <v>0</v>
      </c>
      <c r="N68" s="826">
        <v>0</v>
      </c>
      <c r="O68" s="826">
        <v>4617</v>
      </c>
      <c r="Q68" s="1" t="s">
        <v>6384</v>
      </c>
    </row>
    <row r="69" spans="1:17">
      <c r="A69" s="655">
        <v>28</v>
      </c>
      <c r="B69" s="166" t="s">
        <v>15250</v>
      </c>
      <c r="C69" s="166" t="s">
        <v>15249</v>
      </c>
      <c r="D69" s="826">
        <v>0</v>
      </c>
      <c r="E69" s="826">
        <v>0</v>
      </c>
      <c r="F69" s="826">
        <v>0</v>
      </c>
      <c r="G69" s="826">
        <v>0</v>
      </c>
      <c r="H69" s="826">
        <v>0</v>
      </c>
      <c r="I69" s="826">
        <v>0</v>
      </c>
      <c r="J69" s="826">
        <v>0</v>
      </c>
      <c r="K69" s="826">
        <v>0</v>
      </c>
      <c r="L69" s="826">
        <v>0</v>
      </c>
      <c r="M69" s="826">
        <v>0</v>
      </c>
      <c r="N69" s="826">
        <v>0</v>
      </c>
      <c r="O69" s="826">
        <v>3908</v>
      </c>
      <c r="Q69" s="1" t="s">
        <v>640</v>
      </c>
    </row>
    <row r="70" spans="1:17" ht="15.75" thickBot="1">
      <c r="A70" s="655"/>
      <c r="C70" s="166" t="s">
        <v>15249</v>
      </c>
      <c r="D70" s="826">
        <v>0</v>
      </c>
      <c r="E70" s="826">
        <v>0</v>
      </c>
      <c r="F70" s="826">
        <v>0</v>
      </c>
      <c r="G70" s="826">
        <v>0</v>
      </c>
      <c r="H70" s="826">
        <v>0</v>
      </c>
      <c r="I70" s="826">
        <v>0</v>
      </c>
      <c r="J70" s="826">
        <v>0</v>
      </c>
      <c r="K70" s="826">
        <v>0</v>
      </c>
      <c r="L70" s="826">
        <v>0</v>
      </c>
      <c r="M70" s="826">
        <v>0</v>
      </c>
      <c r="N70" s="826">
        <v>0</v>
      </c>
      <c r="O70" s="826">
        <v>1294</v>
      </c>
      <c r="Q70" s="1" t="s">
        <v>2012</v>
      </c>
    </row>
    <row r="71" spans="1:17" ht="15.75" thickBot="1">
      <c r="A71" s="655"/>
      <c r="C71" s="166" t="s">
        <v>15249</v>
      </c>
      <c r="D71" s="828">
        <f t="shared" ref="D71:O71" si="27">D69+D70</f>
        <v>0</v>
      </c>
      <c r="E71" s="828">
        <f t="shared" si="27"/>
        <v>0</v>
      </c>
      <c r="F71" s="828">
        <f t="shared" si="27"/>
        <v>0</v>
      </c>
      <c r="G71" s="828">
        <f t="shared" si="27"/>
        <v>0</v>
      </c>
      <c r="H71" s="828">
        <f t="shared" si="27"/>
        <v>0</v>
      </c>
      <c r="I71" s="828">
        <f t="shared" si="27"/>
        <v>0</v>
      </c>
      <c r="J71" s="828">
        <f t="shared" si="27"/>
        <v>0</v>
      </c>
      <c r="K71" s="828">
        <f t="shared" si="27"/>
        <v>0</v>
      </c>
      <c r="L71" s="828">
        <f t="shared" si="27"/>
        <v>0</v>
      </c>
      <c r="M71" s="828">
        <f t="shared" si="27"/>
        <v>0</v>
      </c>
      <c r="N71" s="828">
        <f t="shared" si="27"/>
        <v>0</v>
      </c>
      <c r="O71" s="828">
        <f t="shared" si="27"/>
        <v>5202</v>
      </c>
      <c r="Q71" s="1"/>
    </row>
    <row r="72" spans="1:17">
      <c r="A72" s="655">
        <v>29</v>
      </c>
      <c r="B72" s="166" t="s">
        <v>15252</v>
      </c>
      <c r="C72" s="166" t="s">
        <v>15251</v>
      </c>
      <c r="D72" s="826">
        <v>0</v>
      </c>
      <c r="E72" s="826">
        <v>0</v>
      </c>
      <c r="F72" s="826">
        <v>0</v>
      </c>
      <c r="G72" s="826">
        <v>0</v>
      </c>
      <c r="H72" s="826">
        <v>0</v>
      </c>
      <c r="I72" s="826">
        <v>0</v>
      </c>
      <c r="J72" s="826">
        <v>0</v>
      </c>
      <c r="K72" s="826">
        <v>0</v>
      </c>
      <c r="L72" s="826">
        <v>0</v>
      </c>
      <c r="M72" s="826">
        <v>0</v>
      </c>
      <c r="N72" s="826">
        <v>0</v>
      </c>
      <c r="O72" s="826">
        <v>5122</v>
      </c>
      <c r="Q72" s="1" t="s">
        <v>6384</v>
      </c>
    </row>
    <row r="73" spans="1:17">
      <c r="A73" s="655">
        <v>30</v>
      </c>
      <c r="B73" s="166" t="s">
        <v>6164</v>
      </c>
      <c r="C73" s="166" t="s">
        <v>15253</v>
      </c>
      <c r="D73" s="826">
        <v>0</v>
      </c>
      <c r="E73" s="826">
        <v>0</v>
      </c>
      <c r="F73" s="826">
        <v>0</v>
      </c>
      <c r="G73" s="826">
        <v>0</v>
      </c>
      <c r="H73" s="826">
        <v>0</v>
      </c>
      <c r="I73" s="826">
        <v>0</v>
      </c>
      <c r="J73" s="826">
        <v>0</v>
      </c>
      <c r="K73" s="826">
        <v>0</v>
      </c>
      <c r="L73" s="826">
        <v>0</v>
      </c>
      <c r="M73" s="826">
        <v>0</v>
      </c>
      <c r="N73" s="826">
        <v>0</v>
      </c>
      <c r="O73" s="826">
        <v>5013</v>
      </c>
      <c r="Q73" s="1" t="s">
        <v>6384</v>
      </c>
    </row>
    <row r="74" spans="1:17">
      <c r="A74" s="655">
        <v>31</v>
      </c>
      <c r="B74" s="166" t="s">
        <v>15255</v>
      </c>
      <c r="C74" s="166" t="s">
        <v>15254</v>
      </c>
      <c r="D74" s="826">
        <v>0</v>
      </c>
      <c r="E74" s="826">
        <v>0</v>
      </c>
      <c r="F74" s="826">
        <v>0</v>
      </c>
      <c r="G74" s="826">
        <v>0</v>
      </c>
      <c r="H74" s="826">
        <v>0</v>
      </c>
      <c r="I74" s="826">
        <v>0</v>
      </c>
      <c r="J74" s="826">
        <v>0</v>
      </c>
      <c r="K74" s="826">
        <v>0</v>
      </c>
      <c r="L74" s="826">
        <v>0</v>
      </c>
      <c r="M74" s="826">
        <v>0</v>
      </c>
      <c r="N74" s="826">
        <v>0</v>
      </c>
      <c r="O74" s="826">
        <v>5194</v>
      </c>
      <c r="Q74" s="1" t="s">
        <v>2009</v>
      </c>
    </row>
    <row r="75" spans="1:17">
      <c r="A75" s="655">
        <v>32</v>
      </c>
      <c r="B75" s="166" t="s">
        <v>15257</v>
      </c>
      <c r="C75" s="166" t="s">
        <v>15256</v>
      </c>
      <c r="D75" s="826">
        <v>0</v>
      </c>
      <c r="E75" s="826">
        <v>0</v>
      </c>
      <c r="F75" s="826">
        <v>0</v>
      </c>
      <c r="G75" s="826">
        <v>0</v>
      </c>
      <c r="H75" s="826">
        <v>0</v>
      </c>
      <c r="I75" s="826">
        <v>0</v>
      </c>
      <c r="J75" s="826">
        <v>0</v>
      </c>
      <c r="K75" s="826">
        <v>0</v>
      </c>
      <c r="L75" s="826">
        <v>0</v>
      </c>
      <c r="M75" s="826">
        <v>0</v>
      </c>
      <c r="N75" s="826">
        <v>0</v>
      </c>
      <c r="O75" s="826">
        <v>5786</v>
      </c>
      <c r="Q75" s="1" t="s">
        <v>2009</v>
      </c>
    </row>
    <row r="76" spans="1:17">
      <c r="A76" s="655">
        <v>33</v>
      </c>
      <c r="B76" s="166" t="s">
        <v>15259</v>
      </c>
      <c r="C76" s="166" t="s">
        <v>15258</v>
      </c>
      <c r="D76" s="826">
        <v>0</v>
      </c>
      <c r="E76" s="826">
        <v>0</v>
      </c>
      <c r="F76" s="826">
        <v>0</v>
      </c>
      <c r="G76" s="826">
        <v>0</v>
      </c>
      <c r="H76" s="826">
        <v>0</v>
      </c>
      <c r="I76" s="826">
        <v>0</v>
      </c>
      <c r="J76" s="826">
        <v>0</v>
      </c>
      <c r="K76" s="826">
        <v>0</v>
      </c>
      <c r="L76" s="826">
        <v>0</v>
      </c>
      <c r="M76" s="826">
        <v>0</v>
      </c>
      <c r="N76" s="826">
        <v>0</v>
      </c>
      <c r="O76" s="826">
        <v>5544</v>
      </c>
      <c r="Q76" s="1" t="s">
        <v>2011</v>
      </c>
    </row>
    <row r="77" spans="1:17">
      <c r="A77" s="655">
        <v>34</v>
      </c>
      <c r="B77" s="166" t="s">
        <v>15261</v>
      </c>
      <c r="C77" s="166" t="s">
        <v>15260</v>
      </c>
      <c r="D77" s="826">
        <v>0</v>
      </c>
      <c r="E77" s="826">
        <v>0</v>
      </c>
      <c r="F77" s="826">
        <v>0</v>
      </c>
      <c r="G77" s="826">
        <v>0</v>
      </c>
      <c r="H77" s="826">
        <v>0</v>
      </c>
      <c r="I77" s="826">
        <v>0</v>
      </c>
      <c r="J77" s="826">
        <v>0</v>
      </c>
      <c r="K77" s="826">
        <v>0</v>
      </c>
      <c r="L77" s="826">
        <v>0</v>
      </c>
      <c r="M77" s="826">
        <v>0</v>
      </c>
      <c r="N77" s="826">
        <v>0</v>
      </c>
      <c r="O77" s="826">
        <v>4891</v>
      </c>
      <c r="Q77" s="1" t="s">
        <v>2009</v>
      </c>
    </row>
    <row r="78" spans="1:17">
      <c r="A78" s="655">
        <v>35</v>
      </c>
      <c r="B78" s="166" t="s">
        <v>15263</v>
      </c>
      <c r="C78" s="166" t="s">
        <v>15262</v>
      </c>
      <c r="D78" s="826">
        <v>0</v>
      </c>
      <c r="E78" s="826">
        <v>0</v>
      </c>
      <c r="F78" s="826">
        <v>0</v>
      </c>
      <c r="G78" s="826">
        <v>0</v>
      </c>
      <c r="H78" s="826">
        <v>0</v>
      </c>
      <c r="I78" s="826">
        <v>0</v>
      </c>
      <c r="J78" s="826">
        <v>0</v>
      </c>
      <c r="K78" s="826">
        <v>0</v>
      </c>
      <c r="L78" s="826">
        <v>0</v>
      </c>
      <c r="M78" s="826">
        <v>0</v>
      </c>
      <c r="N78" s="826">
        <v>0</v>
      </c>
      <c r="O78" s="826">
        <v>4851</v>
      </c>
      <c r="Q78" s="1" t="s">
        <v>2009</v>
      </c>
    </row>
    <row r="79" spans="1:17">
      <c r="A79" s="655">
        <v>36</v>
      </c>
      <c r="B79" s="166" t="s">
        <v>15265</v>
      </c>
      <c r="C79" s="166" t="s">
        <v>15264</v>
      </c>
      <c r="D79" s="826">
        <v>0</v>
      </c>
      <c r="E79" s="826">
        <v>0</v>
      </c>
      <c r="F79" s="826">
        <v>0</v>
      </c>
      <c r="G79" s="826">
        <v>0</v>
      </c>
      <c r="H79" s="826">
        <v>0</v>
      </c>
      <c r="I79" s="826">
        <v>0</v>
      </c>
      <c r="J79" s="826">
        <v>0</v>
      </c>
      <c r="K79" s="826">
        <v>0</v>
      </c>
      <c r="L79" s="826">
        <v>0</v>
      </c>
      <c r="M79" s="826">
        <v>0</v>
      </c>
      <c r="N79" s="826">
        <v>0</v>
      </c>
      <c r="O79" s="826">
        <v>4844</v>
      </c>
      <c r="Q79" s="1" t="s">
        <v>2009</v>
      </c>
    </row>
    <row r="80" spans="1:17">
      <c r="A80" s="655">
        <v>37</v>
      </c>
      <c r="B80" s="166" t="s">
        <v>15267</v>
      </c>
      <c r="C80" s="166" t="s">
        <v>15266</v>
      </c>
      <c r="D80" s="826">
        <v>0</v>
      </c>
      <c r="E80" s="826">
        <v>0</v>
      </c>
      <c r="F80" s="826">
        <v>0</v>
      </c>
      <c r="G80" s="826">
        <v>0</v>
      </c>
      <c r="H80" s="826">
        <v>0</v>
      </c>
      <c r="I80" s="826">
        <v>0</v>
      </c>
      <c r="J80" s="826">
        <v>0</v>
      </c>
      <c r="K80" s="826">
        <v>0</v>
      </c>
      <c r="L80" s="826">
        <v>0</v>
      </c>
      <c r="M80" s="826">
        <v>0</v>
      </c>
      <c r="N80" s="826">
        <v>0</v>
      </c>
      <c r="O80" s="826">
        <v>5545</v>
      </c>
      <c r="Q80" s="1" t="s">
        <v>2011</v>
      </c>
    </row>
    <row r="81" spans="1:17">
      <c r="A81" s="655">
        <v>38</v>
      </c>
      <c r="B81" s="166" t="s">
        <v>9501</v>
      </c>
      <c r="C81" s="166" t="s">
        <v>15268</v>
      </c>
      <c r="D81" s="826">
        <v>0</v>
      </c>
      <c r="E81" s="826">
        <v>0</v>
      </c>
      <c r="F81" s="826">
        <v>0</v>
      </c>
      <c r="G81" s="826">
        <v>0</v>
      </c>
      <c r="H81" s="826">
        <v>0</v>
      </c>
      <c r="I81" s="826">
        <v>0</v>
      </c>
      <c r="J81" s="826">
        <v>0</v>
      </c>
      <c r="K81" s="826">
        <v>0</v>
      </c>
      <c r="L81" s="826">
        <v>0</v>
      </c>
      <c r="M81" s="826">
        <v>0</v>
      </c>
      <c r="N81" s="826">
        <v>0</v>
      </c>
      <c r="O81" s="826">
        <v>4726</v>
      </c>
      <c r="Q81" s="1" t="s">
        <v>2009</v>
      </c>
    </row>
    <row r="82" spans="1:17">
      <c r="A82" s="655">
        <v>39</v>
      </c>
      <c r="B82" s="166" t="s">
        <v>15270</v>
      </c>
      <c r="C82" s="166" t="s">
        <v>15269</v>
      </c>
      <c r="D82" s="826">
        <v>0</v>
      </c>
      <c r="E82" s="826">
        <v>0</v>
      </c>
      <c r="F82" s="826">
        <v>0</v>
      </c>
      <c r="G82" s="826">
        <v>0</v>
      </c>
      <c r="H82" s="826">
        <v>0</v>
      </c>
      <c r="I82" s="826">
        <v>0</v>
      </c>
      <c r="J82" s="826">
        <v>0</v>
      </c>
      <c r="K82" s="826">
        <v>0</v>
      </c>
      <c r="L82" s="826">
        <v>0</v>
      </c>
      <c r="M82" s="826">
        <v>0</v>
      </c>
      <c r="N82" s="826">
        <v>0</v>
      </c>
      <c r="O82" s="826">
        <v>4394</v>
      </c>
      <c r="Q82" s="1" t="s">
        <v>2010</v>
      </c>
    </row>
    <row r="83" spans="1:17">
      <c r="A83" s="655">
        <v>40</v>
      </c>
      <c r="B83" s="166" t="s">
        <v>15272</v>
      </c>
      <c r="C83" s="166" t="s">
        <v>15271</v>
      </c>
      <c r="D83" s="826">
        <v>0</v>
      </c>
      <c r="E83" s="826">
        <v>0</v>
      </c>
      <c r="F83" s="826">
        <v>0</v>
      </c>
      <c r="G83" s="826">
        <v>0</v>
      </c>
      <c r="H83" s="826">
        <v>0</v>
      </c>
      <c r="I83" s="826">
        <v>0</v>
      </c>
      <c r="J83" s="826">
        <v>0</v>
      </c>
      <c r="K83" s="826">
        <v>0</v>
      </c>
      <c r="L83" s="826">
        <v>0</v>
      </c>
      <c r="M83" s="826">
        <v>0</v>
      </c>
      <c r="N83" s="826">
        <v>0</v>
      </c>
      <c r="O83" s="826">
        <v>4982</v>
      </c>
      <c r="Q83" s="1" t="s">
        <v>2011</v>
      </c>
    </row>
    <row r="84" spans="1:17">
      <c r="A84" s="829">
        <v>41</v>
      </c>
      <c r="B84" s="166" t="s">
        <v>15274</v>
      </c>
      <c r="C84" s="166" t="s">
        <v>15273</v>
      </c>
      <c r="D84" s="826">
        <v>0</v>
      </c>
      <c r="E84" s="826">
        <v>0</v>
      </c>
      <c r="F84" s="826">
        <v>0</v>
      </c>
      <c r="G84" s="826">
        <v>0</v>
      </c>
      <c r="H84" s="826">
        <v>0</v>
      </c>
      <c r="I84" s="826">
        <v>0</v>
      </c>
      <c r="J84" s="826">
        <v>0</v>
      </c>
      <c r="K84" s="826">
        <v>0</v>
      </c>
      <c r="L84" s="826">
        <v>0</v>
      </c>
      <c r="M84" s="826">
        <v>0</v>
      </c>
      <c r="N84" s="826">
        <v>0</v>
      </c>
      <c r="O84" s="826">
        <v>5710</v>
      </c>
      <c r="Q84" s="1" t="s">
        <v>2011</v>
      </c>
    </row>
    <row r="85" spans="1:17">
      <c r="A85" s="829">
        <v>42</v>
      </c>
      <c r="B85" s="166" t="s">
        <v>15276</v>
      </c>
      <c r="C85" s="166" t="s">
        <v>15275</v>
      </c>
      <c r="D85" s="826">
        <v>0</v>
      </c>
      <c r="E85" s="826">
        <v>0</v>
      </c>
      <c r="F85" s="826">
        <v>0</v>
      </c>
      <c r="G85" s="826">
        <v>0</v>
      </c>
      <c r="H85" s="826">
        <v>0</v>
      </c>
      <c r="I85" s="826">
        <v>0</v>
      </c>
      <c r="J85" s="826">
        <v>0</v>
      </c>
      <c r="K85" s="826">
        <v>0</v>
      </c>
      <c r="L85" s="826">
        <v>0</v>
      </c>
      <c r="M85" s="826">
        <v>0</v>
      </c>
      <c r="N85" s="826">
        <v>0</v>
      </c>
      <c r="O85" s="826">
        <v>1273</v>
      </c>
      <c r="Q85" s="1" t="s">
        <v>640</v>
      </c>
    </row>
    <row r="86" spans="1:17" ht="15.75" thickBot="1">
      <c r="A86" s="829"/>
      <c r="C86" s="166" t="s">
        <v>15275</v>
      </c>
      <c r="D86" s="826">
        <v>0</v>
      </c>
      <c r="E86" s="826">
        <v>0</v>
      </c>
      <c r="F86" s="826">
        <v>0</v>
      </c>
      <c r="G86" s="826">
        <v>0</v>
      </c>
      <c r="H86" s="826">
        <v>0</v>
      </c>
      <c r="I86" s="826">
        <v>0</v>
      </c>
      <c r="J86" s="826">
        <v>0</v>
      </c>
      <c r="K86" s="826">
        <v>0</v>
      </c>
      <c r="L86" s="826">
        <v>0</v>
      </c>
      <c r="M86" s="826">
        <v>0</v>
      </c>
      <c r="N86" s="826">
        <v>0</v>
      </c>
      <c r="O86" s="826">
        <v>4059</v>
      </c>
      <c r="Q86" s="1" t="s">
        <v>2012</v>
      </c>
    </row>
    <row r="87" spans="1:17" ht="15.75" thickBot="1">
      <c r="A87" s="829"/>
      <c r="C87" s="166" t="s">
        <v>15275</v>
      </c>
      <c r="D87" s="828">
        <f t="shared" ref="D87:O87" si="28">D85+D86</f>
        <v>0</v>
      </c>
      <c r="E87" s="828">
        <f t="shared" si="28"/>
        <v>0</v>
      </c>
      <c r="F87" s="828">
        <f t="shared" si="28"/>
        <v>0</v>
      </c>
      <c r="G87" s="828">
        <f t="shared" si="28"/>
        <v>0</v>
      </c>
      <c r="H87" s="828">
        <f t="shared" si="28"/>
        <v>0</v>
      </c>
      <c r="I87" s="828">
        <f t="shared" si="28"/>
        <v>0</v>
      </c>
      <c r="J87" s="828">
        <f t="shared" si="28"/>
        <v>0</v>
      </c>
      <c r="K87" s="828">
        <f t="shared" si="28"/>
        <v>0</v>
      </c>
      <c r="L87" s="828">
        <f t="shared" si="28"/>
        <v>0</v>
      </c>
      <c r="M87" s="828">
        <f t="shared" si="28"/>
        <v>0</v>
      </c>
      <c r="N87" s="828">
        <f t="shared" si="28"/>
        <v>0</v>
      </c>
      <c r="O87" s="828">
        <f t="shared" si="28"/>
        <v>5332</v>
      </c>
      <c r="Q87" s="1"/>
    </row>
    <row r="88" spans="1:17">
      <c r="A88" s="829">
        <v>43</v>
      </c>
      <c r="B88" s="166" t="s">
        <v>15278</v>
      </c>
      <c r="C88" s="166" t="s">
        <v>15277</v>
      </c>
      <c r="D88" s="826">
        <v>0</v>
      </c>
      <c r="E88" s="826">
        <v>0</v>
      </c>
      <c r="F88" s="826">
        <v>0</v>
      </c>
      <c r="G88" s="826">
        <v>0</v>
      </c>
      <c r="H88" s="826">
        <v>0</v>
      </c>
      <c r="I88" s="826">
        <v>0</v>
      </c>
      <c r="J88" s="826">
        <v>0</v>
      </c>
      <c r="K88" s="826">
        <v>0</v>
      </c>
      <c r="L88" s="826">
        <v>0</v>
      </c>
      <c r="M88" s="826">
        <v>0</v>
      </c>
      <c r="N88" s="826">
        <v>0</v>
      </c>
      <c r="O88" s="826">
        <v>5126</v>
      </c>
      <c r="Q88" s="1" t="s">
        <v>2010</v>
      </c>
    </row>
    <row r="89" spans="1:17">
      <c r="A89" s="829">
        <v>44</v>
      </c>
      <c r="B89" s="166" t="s">
        <v>15280</v>
      </c>
      <c r="C89" s="166" t="s">
        <v>15279</v>
      </c>
      <c r="D89" s="826">
        <v>0</v>
      </c>
      <c r="E89" s="826">
        <v>0</v>
      </c>
      <c r="F89" s="826">
        <v>0</v>
      </c>
      <c r="G89" s="826">
        <v>0</v>
      </c>
      <c r="H89" s="826">
        <v>0</v>
      </c>
      <c r="I89" s="826">
        <v>0</v>
      </c>
      <c r="J89" s="826">
        <v>0</v>
      </c>
      <c r="K89" s="826">
        <v>0</v>
      </c>
      <c r="L89" s="826">
        <v>0</v>
      </c>
      <c r="M89" s="826">
        <v>0</v>
      </c>
      <c r="N89" s="826">
        <v>0</v>
      </c>
      <c r="O89" s="826">
        <v>4869</v>
      </c>
      <c r="Q89" s="1" t="s">
        <v>2010</v>
      </c>
    </row>
    <row r="90" spans="1:17">
      <c r="A90" s="829">
        <v>45</v>
      </c>
      <c r="B90" s="166" t="s">
        <v>15282</v>
      </c>
      <c r="C90" s="166" t="s">
        <v>15281</v>
      </c>
      <c r="D90" s="826">
        <v>0</v>
      </c>
      <c r="E90" s="826">
        <v>0</v>
      </c>
      <c r="F90" s="826">
        <v>0</v>
      </c>
      <c r="G90" s="826">
        <v>0</v>
      </c>
      <c r="H90" s="826">
        <v>0</v>
      </c>
      <c r="I90" s="826">
        <v>0</v>
      </c>
      <c r="J90" s="826">
        <v>0</v>
      </c>
      <c r="K90" s="826">
        <v>0</v>
      </c>
      <c r="L90" s="826">
        <v>0</v>
      </c>
      <c r="M90" s="826">
        <v>0</v>
      </c>
      <c r="N90" s="826">
        <v>0</v>
      </c>
      <c r="O90" s="826">
        <v>5284</v>
      </c>
      <c r="Q90" s="1" t="s">
        <v>2010</v>
      </c>
    </row>
    <row r="91" spans="1:17">
      <c r="A91" s="829">
        <v>46</v>
      </c>
      <c r="B91" s="166" t="s">
        <v>6816</v>
      </c>
      <c r="C91" s="166" t="s">
        <v>15283</v>
      </c>
      <c r="D91" s="826">
        <v>0</v>
      </c>
      <c r="E91" s="826">
        <v>0</v>
      </c>
      <c r="F91" s="826">
        <v>0</v>
      </c>
      <c r="G91" s="826">
        <v>0</v>
      </c>
      <c r="H91" s="826">
        <v>0</v>
      </c>
      <c r="I91" s="826">
        <v>0</v>
      </c>
      <c r="J91" s="826">
        <v>0</v>
      </c>
      <c r="K91" s="826">
        <v>0</v>
      </c>
      <c r="L91" s="826">
        <v>0</v>
      </c>
      <c r="M91" s="826">
        <v>0</v>
      </c>
      <c r="N91" s="826">
        <v>0</v>
      </c>
      <c r="O91" s="826">
        <v>5066</v>
      </c>
      <c r="Q91" s="1" t="s">
        <v>6384</v>
      </c>
    </row>
    <row r="92" spans="1:17">
      <c r="A92" s="829">
        <v>47</v>
      </c>
      <c r="B92" s="166" t="s">
        <v>15285</v>
      </c>
      <c r="C92" s="166" t="s">
        <v>15284</v>
      </c>
      <c r="D92" s="826">
        <v>0</v>
      </c>
      <c r="E92" s="826">
        <v>0</v>
      </c>
      <c r="F92" s="826">
        <v>0</v>
      </c>
      <c r="G92" s="826">
        <v>0</v>
      </c>
      <c r="H92" s="826">
        <v>0</v>
      </c>
      <c r="I92" s="826">
        <v>0</v>
      </c>
      <c r="J92" s="826">
        <v>0</v>
      </c>
      <c r="K92" s="826">
        <v>0</v>
      </c>
      <c r="L92" s="826">
        <v>0</v>
      </c>
      <c r="M92" s="826">
        <v>0</v>
      </c>
      <c r="N92" s="826">
        <v>0</v>
      </c>
      <c r="O92" s="826">
        <v>5950</v>
      </c>
      <c r="Q92" s="1" t="s">
        <v>2012</v>
      </c>
    </row>
    <row r="93" spans="1:17">
      <c r="A93" s="829">
        <v>48</v>
      </c>
      <c r="B93" s="166" t="s">
        <v>15287</v>
      </c>
      <c r="C93" s="166" t="s">
        <v>15286</v>
      </c>
      <c r="D93" s="826">
        <v>0</v>
      </c>
      <c r="E93" s="826">
        <v>0</v>
      </c>
      <c r="F93" s="826">
        <v>0</v>
      </c>
      <c r="G93" s="826">
        <v>0</v>
      </c>
      <c r="H93" s="826">
        <v>0</v>
      </c>
      <c r="I93" s="826">
        <v>0</v>
      </c>
      <c r="J93" s="826">
        <v>0</v>
      </c>
      <c r="K93" s="826">
        <v>0</v>
      </c>
      <c r="L93" s="826">
        <v>0</v>
      </c>
      <c r="M93" s="826">
        <v>0</v>
      </c>
      <c r="N93" s="826">
        <v>0</v>
      </c>
      <c r="O93" s="826">
        <v>4808</v>
      </c>
      <c r="Q93" s="1" t="s">
        <v>2010</v>
      </c>
    </row>
    <row r="94" spans="1:17">
      <c r="A94" s="829">
        <v>49</v>
      </c>
      <c r="B94" s="166" t="s">
        <v>6824</v>
      </c>
      <c r="C94" s="166" t="s">
        <v>15288</v>
      </c>
      <c r="D94" s="826">
        <v>0</v>
      </c>
      <c r="E94" s="826">
        <v>0</v>
      </c>
      <c r="F94" s="826">
        <v>0</v>
      </c>
      <c r="G94" s="826">
        <v>0</v>
      </c>
      <c r="H94" s="826">
        <v>0</v>
      </c>
      <c r="I94" s="826">
        <v>0</v>
      </c>
      <c r="J94" s="826">
        <v>0</v>
      </c>
      <c r="K94" s="826">
        <v>0</v>
      </c>
      <c r="L94" s="826">
        <v>0</v>
      </c>
      <c r="M94" s="826">
        <v>0</v>
      </c>
      <c r="N94" s="826">
        <v>0</v>
      </c>
      <c r="O94" s="826">
        <v>5092</v>
      </c>
      <c r="Q94" s="1" t="s">
        <v>2011</v>
      </c>
    </row>
    <row r="95" spans="1:17">
      <c r="A95" s="829">
        <v>50</v>
      </c>
      <c r="B95" s="166" t="s">
        <v>6825</v>
      </c>
      <c r="C95" s="166" t="s">
        <v>15289</v>
      </c>
      <c r="D95" s="826">
        <v>0</v>
      </c>
      <c r="E95" s="826">
        <v>0</v>
      </c>
      <c r="F95" s="826">
        <v>0</v>
      </c>
      <c r="G95" s="826">
        <v>0</v>
      </c>
      <c r="H95" s="826">
        <v>0</v>
      </c>
      <c r="I95" s="826">
        <v>0</v>
      </c>
      <c r="J95" s="826">
        <v>0</v>
      </c>
      <c r="K95" s="826">
        <v>0</v>
      </c>
      <c r="L95" s="826">
        <v>0</v>
      </c>
      <c r="M95" s="826">
        <v>0</v>
      </c>
      <c r="N95" s="826">
        <v>0</v>
      </c>
      <c r="O95" s="826">
        <v>4732</v>
      </c>
      <c r="Q95" s="1" t="s">
        <v>2011</v>
      </c>
    </row>
    <row r="96" spans="1:17">
      <c r="A96" s="829">
        <v>51</v>
      </c>
      <c r="B96" s="166" t="s">
        <v>6826</v>
      </c>
      <c r="C96" s="166" t="s">
        <v>15290</v>
      </c>
      <c r="D96" s="826">
        <v>0</v>
      </c>
      <c r="E96" s="826">
        <v>0</v>
      </c>
      <c r="F96" s="826">
        <v>0</v>
      </c>
      <c r="G96" s="826">
        <v>0</v>
      </c>
      <c r="H96" s="826">
        <v>0</v>
      </c>
      <c r="I96" s="826">
        <v>0</v>
      </c>
      <c r="J96" s="826">
        <v>0</v>
      </c>
      <c r="K96" s="826">
        <v>0</v>
      </c>
      <c r="L96" s="826">
        <v>0</v>
      </c>
      <c r="M96" s="826">
        <v>0</v>
      </c>
      <c r="N96" s="826">
        <v>0</v>
      </c>
      <c r="O96" s="826">
        <v>899</v>
      </c>
      <c r="Q96" s="1" t="s">
        <v>640</v>
      </c>
    </row>
    <row r="97" spans="1:17" ht="15.75" thickBot="1">
      <c r="A97" s="829"/>
      <c r="C97" s="166" t="s">
        <v>15290</v>
      </c>
      <c r="D97" s="826">
        <v>0</v>
      </c>
      <c r="E97" s="826">
        <v>0</v>
      </c>
      <c r="F97" s="826">
        <v>0</v>
      </c>
      <c r="G97" s="826">
        <v>0</v>
      </c>
      <c r="H97" s="826">
        <v>0</v>
      </c>
      <c r="I97" s="826">
        <v>0</v>
      </c>
      <c r="J97" s="826">
        <v>0</v>
      </c>
      <c r="K97" s="826">
        <v>0</v>
      </c>
      <c r="L97" s="826">
        <v>0</v>
      </c>
      <c r="M97" s="826">
        <v>0</v>
      </c>
      <c r="N97" s="826">
        <v>0</v>
      </c>
      <c r="O97" s="826">
        <v>4218</v>
      </c>
      <c r="Q97" s="1" t="s">
        <v>2012</v>
      </c>
    </row>
    <row r="98" spans="1:17" ht="15.75" thickBot="1">
      <c r="A98" s="829"/>
      <c r="C98" s="166" t="s">
        <v>15290</v>
      </c>
      <c r="D98" s="828">
        <f t="shared" ref="D98:O98" si="29">D96+D97</f>
        <v>0</v>
      </c>
      <c r="E98" s="828">
        <f t="shared" si="29"/>
        <v>0</v>
      </c>
      <c r="F98" s="828">
        <f t="shared" si="29"/>
        <v>0</v>
      </c>
      <c r="G98" s="828">
        <f t="shared" si="29"/>
        <v>0</v>
      </c>
      <c r="H98" s="828">
        <f t="shared" si="29"/>
        <v>0</v>
      </c>
      <c r="I98" s="828">
        <f t="shared" si="29"/>
        <v>0</v>
      </c>
      <c r="J98" s="828">
        <f t="shared" si="29"/>
        <v>0</v>
      </c>
      <c r="K98" s="828">
        <f t="shared" si="29"/>
        <v>0</v>
      </c>
      <c r="L98" s="828">
        <f t="shared" si="29"/>
        <v>0</v>
      </c>
      <c r="M98" s="828">
        <f t="shared" si="29"/>
        <v>0</v>
      </c>
      <c r="N98" s="828">
        <f t="shared" si="29"/>
        <v>0</v>
      </c>
      <c r="O98" s="828">
        <f t="shared" si="29"/>
        <v>5117</v>
      </c>
      <c r="Q98" s="1"/>
    </row>
    <row r="99" spans="1:17">
      <c r="A99" s="829">
        <v>52</v>
      </c>
      <c r="B99" s="166" t="s">
        <v>15292</v>
      </c>
      <c r="C99" s="166" t="s">
        <v>15291</v>
      </c>
      <c r="D99" s="826">
        <v>0</v>
      </c>
      <c r="E99" s="826">
        <v>0</v>
      </c>
      <c r="F99" s="826">
        <v>0</v>
      </c>
      <c r="G99" s="826">
        <v>0</v>
      </c>
      <c r="H99" s="826">
        <v>0</v>
      </c>
      <c r="I99" s="826">
        <v>0</v>
      </c>
      <c r="J99" s="826">
        <v>0</v>
      </c>
      <c r="K99" s="826">
        <v>0</v>
      </c>
      <c r="L99" s="826">
        <v>0</v>
      </c>
      <c r="M99" s="826">
        <v>0</v>
      </c>
      <c r="N99" s="826">
        <v>0</v>
      </c>
      <c r="O99" s="826">
        <v>4927</v>
      </c>
      <c r="Q99" s="1" t="s">
        <v>640</v>
      </c>
    </row>
    <row r="100" spans="1:17">
      <c r="A100" s="829">
        <v>53</v>
      </c>
      <c r="B100" s="166" t="s">
        <v>15294</v>
      </c>
      <c r="C100" s="166" t="s">
        <v>15293</v>
      </c>
      <c r="D100" s="826">
        <v>0</v>
      </c>
      <c r="E100" s="826">
        <v>0</v>
      </c>
      <c r="F100" s="826">
        <v>0</v>
      </c>
      <c r="G100" s="826">
        <v>0</v>
      </c>
      <c r="H100" s="826">
        <v>0</v>
      </c>
      <c r="I100" s="826">
        <v>0</v>
      </c>
      <c r="J100" s="826">
        <v>0</v>
      </c>
      <c r="K100" s="826">
        <v>0</v>
      </c>
      <c r="L100" s="826">
        <v>0</v>
      </c>
      <c r="M100" s="826">
        <v>0</v>
      </c>
      <c r="N100" s="826">
        <v>0</v>
      </c>
      <c r="O100" s="826">
        <v>5617</v>
      </c>
      <c r="Q100" s="1" t="s">
        <v>2011</v>
      </c>
    </row>
    <row r="101" spans="1:17">
      <c r="A101" s="829">
        <v>54</v>
      </c>
      <c r="B101" s="166" t="s">
        <v>6827</v>
      </c>
      <c r="C101" s="166" t="s">
        <v>15295</v>
      </c>
      <c r="D101" s="826">
        <v>0</v>
      </c>
      <c r="E101" s="826">
        <v>0</v>
      </c>
      <c r="F101" s="826">
        <v>0</v>
      </c>
      <c r="G101" s="826">
        <v>0</v>
      </c>
      <c r="H101" s="826">
        <v>0</v>
      </c>
      <c r="I101" s="826">
        <v>0</v>
      </c>
      <c r="J101" s="826">
        <v>0</v>
      </c>
      <c r="K101" s="826">
        <v>0</v>
      </c>
      <c r="L101" s="826">
        <v>0</v>
      </c>
      <c r="M101" s="826">
        <v>0</v>
      </c>
      <c r="N101" s="826">
        <v>0</v>
      </c>
      <c r="O101" s="826">
        <v>4460</v>
      </c>
      <c r="Q101" s="1" t="s">
        <v>6384</v>
      </c>
    </row>
    <row r="102" spans="1:17">
      <c r="A102" s="829">
        <v>55</v>
      </c>
      <c r="B102" s="166" t="s">
        <v>15297</v>
      </c>
      <c r="C102" s="166" t="s">
        <v>15296</v>
      </c>
      <c r="D102" s="826">
        <v>0</v>
      </c>
      <c r="E102" s="826">
        <v>0</v>
      </c>
      <c r="F102" s="826">
        <v>0</v>
      </c>
      <c r="G102" s="826">
        <v>0</v>
      </c>
      <c r="H102" s="826">
        <v>0</v>
      </c>
      <c r="I102" s="826">
        <v>0</v>
      </c>
      <c r="J102" s="826">
        <v>0</v>
      </c>
      <c r="K102" s="826">
        <v>0</v>
      </c>
      <c r="L102" s="826">
        <v>0</v>
      </c>
      <c r="M102" s="826">
        <v>0</v>
      </c>
      <c r="N102" s="826">
        <v>0</v>
      </c>
      <c r="O102" s="826">
        <v>5106</v>
      </c>
      <c r="Q102" s="1" t="s">
        <v>2012</v>
      </c>
    </row>
    <row r="103" spans="1:17">
      <c r="A103" s="829">
        <v>56</v>
      </c>
      <c r="B103" s="166" t="s">
        <v>15299</v>
      </c>
      <c r="C103" s="166" t="s">
        <v>15298</v>
      </c>
      <c r="D103" s="826">
        <v>0</v>
      </c>
      <c r="E103" s="826">
        <v>0</v>
      </c>
      <c r="F103" s="826">
        <v>0</v>
      </c>
      <c r="G103" s="826">
        <v>0</v>
      </c>
      <c r="H103" s="826">
        <v>0</v>
      </c>
      <c r="I103" s="826">
        <v>0</v>
      </c>
      <c r="J103" s="826">
        <v>0</v>
      </c>
      <c r="K103" s="826">
        <v>0</v>
      </c>
      <c r="L103" s="826">
        <v>0</v>
      </c>
      <c r="M103" s="826">
        <v>0</v>
      </c>
      <c r="N103" s="826">
        <v>0</v>
      </c>
      <c r="O103" s="826">
        <v>5748</v>
      </c>
      <c r="Q103" s="1" t="s">
        <v>2009</v>
      </c>
    </row>
    <row r="104" spans="1:17">
      <c r="A104" s="829">
        <v>57</v>
      </c>
      <c r="B104" s="166" t="s">
        <v>15301</v>
      </c>
      <c r="C104" s="166" t="s">
        <v>15300</v>
      </c>
      <c r="D104" s="826">
        <v>0</v>
      </c>
      <c r="E104" s="826">
        <v>0</v>
      </c>
      <c r="F104" s="826">
        <v>0</v>
      </c>
      <c r="G104" s="826">
        <v>0</v>
      </c>
      <c r="H104" s="826">
        <v>0</v>
      </c>
      <c r="I104" s="826">
        <v>0</v>
      </c>
      <c r="J104" s="826">
        <v>0</v>
      </c>
      <c r="K104" s="826">
        <v>0</v>
      </c>
      <c r="L104" s="826">
        <v>0</v>
      </c>
      <c r="M104" s="826">
        <v>0</v>
      </c>
      <c r="N104" s="826">
        <v>0</v>
      </c>
      <c r="O104" s="826">
        <v>4805</v>
      </c>
      <c r="Q104" s="1" t="s">
        <v>640</v>
      </c>
    </row>
    <row r="105" spans="1:17">
      <c r="A105" s="829">
        <v>58</v>
      </c>
      <c r="B105" s="166" t="s">
        <v>6926</v>
      </c>
      <c r="C105" s="166" t="s">
        <v>15302</v>
      </c>
      <c r="D105" s="826">
        <v>0</v>
      </c>
      <c r="E105" s="826">
        <v>0</v>
      </c>
      <c r="F105" s="826">
        <v>0</v>
      </c>
      <c r="G105" s="826">
        <v>0</v>
      </c>
      <c r="H105" s="826">
        <v>0</v>
      </c>
      <c r="I105" s="826">
        <v>0</v>
      </c>
      <c r="J105" s="826">
        <v>0</v>
      </c>
      <c r="K105" s="826">
        <v>0</v>
      </c>
      <c r="L105" s="826">
        <v>0</v>
      </c>
      <c r="M105" s="826">
        <v>0</v>
      </c>
      <c r="N105" s="826">
        <v>0</v>
      </c>
      <c r="O105" s="826">
        <v>4333</v>
      </c>
      <c r="Q105" s="1" t="s">
        <v>640</v>
      </c>
    </row>
    <row r="106" spans="1:17">
      <c r="A106" s="829">
        <v>59</v>
      </c>
      <c r="B106" s="166" t="s">
        <v>16026</v>
      </c>
      <c r="C106" s="166" t="s">
        <v>15303</v>
      </c>
      <c r="D106" s="826">
        <v>0</v>
      </c>
      <c r="E106" s="826">
        <v>0</v>
      </c>
      <c r="F106" s="826">
        <v>0</v>
      </c>
      <c r="G106" s="826">
        <v>0</v>
      </c>
      <c r="H106" s="826">
        <v>0</v>
      </c>
      <c r="I106" s="826">
        <v>0</v>
      </c>
      <c r="J106" s="826">
        <v>0</v>
      </c>
      <c r="K106" s="826">
        <v>0</v>
      </c>
      <c r="L106" s="826">
        <v>0</v>
      </c>
      <c r="M106" s="826">
        <v>0</v>
      </c>
      <c r="N106" s="826">
        <v>0</v>
      </c>
      <c r="O106" s="826">
        <v>4961</v>
      </c>
      <c r="Q106" s="1" t="s">
        <v>640</v>
      </c>
    </row>
    <row r="107" spans="1:17">
      <c r="A107" s="829">
        <v>60</v>
      </c>
      <c r="B107" s="166" t="s">
        <v>15305</v>
      </c>
      <c r="C107" s="166" t="s">
        <v>15304</v>
      </c>
      <c r="D107" s="826">
        <v>0</v>
      </c>
      <c r="E107" s="826">
        <v>0</v>
      </c>
      <c r="F107" s="826">
        <v>0</v>
      </c>
      <c r="G107" s="826">
        <v>0</v>
      </c>
      <c r="H107" s="826">
        <v>0</v>
      </c>
      <c r="I107" s="826">
        <v>0</v>
      </c>
      <c r="J107" s="826">
        <v>0</v>
      </c>
      <c r="K107" s="826">
        <v>0</v>
      </c>
      <c r="L107" s="826">
        <v>0</v>
      </c>
      <c r="M107" s="826">
        <v>0</v>
      </c>
      <c r="N107" s="826">
        <v>0</v>
      </c>
      <c r="O107" s="826">
        <v>470</v>
      </c>
      <c r="Q107" s="1" t="s">
        <v>2009</v>
      </c>
    </row>
    <row r="108" spans="1:17" ht="15.75" thickBot="1">
      <c r="A108" s="829"/>
      <c r="C108" s="166" t="s">
        <v>15304</v>
      </c>
      <c r="D108" s="826">
        <v>0</v>
      </c>
      <c r="E108" s="826">
        <v>0</v>
      </c>
      <c r="F108" s="826">
        <v>0</v>
      </c>
      <c r="G108" s="826">
        <v>0</v>
      </c>
      <c r="H108" s="826">
        <v>0</v>
      </c>
      <c r="I108" s="826">
        <v>0</v>
      </c>
      <c r="J108" s="826">
        <v>0</v>
      </c>
      <c r="K108" s="826">
        <v>0</v>
      </c>
      <c r="L108" s="826">
        <v>0</v>
      </c>
      <c r="M108" s="826">
        <v>0</v>
      </c>
      <c r="N108" s="826">
        <v>0</v>
      </c>
      <c r="O108" s="826">
        <v>4643</v>
      </c>
      <c r="Q108" s="1" t="s">
        <v>2010</v>
      </c>
    </row>
    <row r="109" spans="1:17" ht="15.75" thickBot="1">
      <c r="A109" s="829"/>
      <c r="C109" s="166" t="s">
        <v>15304</v>
      </c>
      <c r="D109" s="828">
        <f t="shared" ref="D109:O109" si="30">D107+D108</f>
        <v>0</v>
      </c>
      <c r="E109" s="828">
        <f t="shared" si="30"/>
        <v>0</v>
      </c>
      <c r="F109" s="828">
        <f t="shared" si="30"/>
        <v>0</v>
      </c>
      <c r="G109" s="828">
        <f t="shared" si="30"/>
        <v>0</v>
      </c>
      <c r="H109" s="828">
        <f t="shared" si="30"/>
        <v>0</v>
      </c>
      <c r="I109" s="828">
        <f t="shared" si="30"/>
        <v>0</v>
      </c>
      <c r="J109" s="828">
        <f t="shared" si="30"/>
        <v>0</v>
      </c>
      <c r="K109" s="828">
        <f t="shared" si="30"/>
        <v>0</v>
      </c>
      <c r="L109" s="828">
        <f t="shared" si="30"/>
        <v>0</v>
      </c>
      <c r="M109" s="828">
        <f t="shared" si="30"/>
        <v>0</v>
      </c>
      <c r="N109" s="828">
        <f t="shared" si="30"/>
        <v>0</v>
      </c>
      <c r="O109" s="828">
        <f t="shared" si="30"/>
        <v>5113</v>
      </c>
      <c r="Q109" s="1"/>
    </row>
    <row r="110" spans="1:17">
      <c r="A110" s="829">
        <v>61</v>
      </c>
      <c r="B110" s="166" t="s">
        <v>6927</v>
      </c>
      <c r="C110" s="166" t="s">
        <v>15306</v>
      </c>
      <c r="D110" s="826">
        <v>0</v>
      </c>
      <c r="E110" s="826">
        <v>0</v>
      </c>
      <c r="F110" s="826">
        <v>0</v>
      </c>
      <c r="G110" s="826">
        <v>0</v>
      </c>
      <c r="H110" s="826">
        <v>0</v>
      </c>
      <c r="I110" s="826">
        <v>0</v>
      </c>
      <c r="J110" s="826">
        <v>0</v>
      </c>
      <c r="K110" s="826">
        <v>0</v>
      </c>
      <c r="L110" s="826">
        <v>0</v>
      </c>
      <c r="M110" s="826">
        <v>0</v>
      </c>
      <c r="N110" s="826">
        <v>0</v>
      </c>
      <c r="O110" s="826">
        <v>1967</v>
      </c>
      <c r="Q110" s="1" t="s">
        <v>640</v>
      </c>
    </row>
    <row r="111" spans="1:17" ht="15.75" thickBot="1">
      <c r="A111" s="829"/>
      <c r="C111" s="166" t="s">
        <v>15306</v>
      </c>
      <c r="D111" s="826">
        <v>0</v>
      </c>
      <c r="E111" s="826">
        <v>0</v>
      </c>
      <c r="F111" s="826">
        <v>0</v>
      </c>
      <c r="G111" s="826">
        <v>0</v>
      </c>
      <c r="H111" s="826">
        <v>0</v>
      </c>
      <c r="I111" s="826">
        <v>0</v>
      </c>
      <c r="J111" s="826">
        <v>0</v>
      </c>
      <c r="K111" s="826">
        <v>0</v>
      </c>
      <c r="L111" s="826">
        <v>0</v>
      </c>
      <c r="M111" s="826">
        <v>0</v>
      </c>
      <c r="N111" s="826">
        <v>0</v>
      </c>
      <c r="O111" s="826">
        <v>2879</v>
      </c>
      <c r="Q111" s="1" t="s">
        <v>2012</v>
      </c>
    </row>
    <row r="112" spans="1:17" ht="15.75" thickBot="1">
      <c r="A112" s="829"/>
      <c r="C112" s="166" t="s">
        <v>15306</v>
      </c>
      <c r="D112" s="828">
        <f t="shared" ref="D112:O112" si="31">D110+D111</f>
        <v>0</v>
      </c>
      <c r="E112" s="828">
        <f t="shared" si="31"/>
        <v>0</v>
      </c>
      <c r="F112" s="828">
        <f t="shared" si="31"/>
        <v>0</v>
      </c>
      <c r="G112" s="828">
        <f t="shared" si="31"/>
        <v>0</v>
      </c>
      <c r="H112" s="828">
        <f t="shared" si="31"/>
        <v>0</v>
      </c>
      <c r="I112" s="828">
        <f t="shared" si="31"/>
        <v>0</v>
      </c>
      <c r="J112" s="828">
        <f t="shared" si="31"/>
        <v>0</v>
      </c>
      <c r="K112" s="828">
        <f t="shared" si="31"/>
        <v>0</v>
      </c>
      <c r="L112" s="828">
        <f t="shared" si="31"/>
        <v>0</v>
      </c>
      <c r="M112" s="828">
        <f t="shared" si="31"/>
        <v>0</v>
      </c>
      <c r="N112" s="828">
        <f t="shared" si="31"/>
        <v>0</v>
      </c>
      <c r="O112" s="828">
        <f t="shared" si="31"/>
        <v>4846</v>
      </c>
      <c r="Q112" s="1"/>
    </row>
    <row r="113" spans="1:17">
      <c r="A113" s="829">
        <v>62</v>
      </c>
      <c r="B113" s="166" t="s">
        <v>15308</v>
      </c>
      <c r="C113" s="166" t="s">
        <v>15307</v>
      </c>
      <c r="D113" s="826">
        <v>0</v>
      </c>
      <c r="E113" s="826">
        <v>0</v>
      </c>
      <c r="F113" s="826">
        <v>0</v>
      </c>
      <c r="G113" s="826">
        <v>0</v>
      </c>
      <c r="H113" s="826">
        <v>0</v>
      </c>
      <c r="I113" s="826">
        <v>0</v>
      </c>
      <c r="J113" s="826">
        <v>0</v>
      </c>
      <c r="K113" s="826">
        <v>0</v>
      </c>
      <c r="L113" s="826">
        <v>0</v>
      </c>
      <c r="M113" s="826">
        <v>0</v>
      </c>
      <c r="N113" s="826">
        <v>0</v>
      </c>
      <c r="O113" s="826">
        <v>5409</v>
      </c>
      <c r="Q113" s="1" t="s">
        <v>2010</v>
      </c>
    </row>
    <row r="114" spans="1:17">
      <c r="A114" s="829">
        <v>63</v>
      </c>
      <c r="B114" s="166" t="s">
        <v>15310</v>
      </c>
      <c r="C114" s="166" t="s">
        <v>15309</v>
      </c>
      <c r="D114" s="826">
        <v>0</v>
      </c>
      <c r="E114" s="826">
        <v>0</v>
      </c>
      <c r="F114" s="826">
        <v>0</v>
      </c>
      <c r="G114" s="826">
        <v>0</v>
      </c>
      <c r="H114" s="826">
        <v>0</v>
      </c>
      <c r="I114" s="826">
        <v>0</v>
      </c>
      <c r="J114" s="826">
        <v>0</v>
      </c>
      <c r="K114" s="826">
        <v>0</v>
      </c>
      <c r="L114" s="826">
        <v>0</v>
      </c>
      <c r="M114" s="826">
        <v>0</v>
      </c>
      <c r="N114" s="826">
        <v>0</v>
      </c>
      <c r="O114" s="826">
        <v>5232</v>
      </c>
      <c r="Q114" s="1" t="s">
        <v>2010</v>
      </c>
    </row>
    <row r="115" spans="1:17">
      <c r="A115" s="829">
        <v>64</v>
      </c>
      <c r="B115" s="166" t="s">
        <v>15312</v>
      </c>
      <c r="C115" s="166" t="s">
        <v>15311</v>
      </c>
      <c r="D115" s="826">
        <v>0</v>
      </c>
      <c r="E115" s="826">
        <v>0</v>
      </c>
      <c r="F115" s="826">
        <v>0</v>
      </c>
      <c r="G115" s="826">
        <v>0</v>
      </c>
      <c r="H115" s="826">
        <v>0</v>
      </c>
      <c r="I115" s="826">
        <v>0</v>
      </c>
      <c r="J115" s="826">
        <v>0</v>
      </c>
      <c r="K115" s="826">
        <v>0</v>
      </c>
      <c r="L115" s="826">
        <v>0</v>
      </c>
      <c r="M115" s="826">
        <v>0</v>
      </c>
      <c r="N115" s="826">
        <v>0</v>
      </c>
      <c r="O115" s="826">
        <v>5069</v>
      </c>
      <c r="Q115" s="1" t="s">
        <v>2010</v>
      </c>
    </row>
    <row r="116" spans="1:17">
      <c r="A116" s="829">
        <v>65</v>
      </c>
      <c r="B116" s="166" t="s">
        <v>9502</v>
      </c>
      <c r="C116" s="166" t="s">
        <v>15313</v>
      </c>
      <c r="D116" s="826">
        <v>0</v>
      </c>
      <c r="E116" s="826">
        <v>0</v>
      </c>
      <c r="F116" s="826">
        <v>0</v>
      </c>
      <c r="G116" s="826">
        <v>0</v>
      </c>
      <c r="H116" s="826">
        <v>0</v>
      </c>
      <c r="I116" s="826">
        <v>0</v>
      </c>
      <c r="J116" s="826">
        <v>0</v>
      </c>
      <c r="K116" s="826">
        <v>0</v>
      </c>
      <c r="L116" s="826">
        <v>0</v>
      </c>
      <c r="M116" s="826">
        <v>0</v>
      </c>
      <c r="N116" s="826">
        <v>0</v>
      </c>
      <c r="O116" s="826">
        <v>5209</v>
      </c>
      <c r="Q116" s="1" t="s">
        <v>2010</v>
      </c>
    </row>
    <row r="117" spans="1:17">
      <c r="A117" s="829">
        <v>66</v>
      </c>
      <c r="B117" s="166" t="s">
        <v>15315</v>
      </c>
      <c r="C117" s="166" t="s">
        <v>15314</v>
      </c>
      <c r="D117" s="826">
        <v>0</v>
      </c>
      <c r="E117" s="826">
        <v>0</v>
      </c>
      <c r="F117" s="826">
        <v>0</v>
      </c>
      <c r="G117" s="826">
        <v>0</v>
      </c>
      <c r="H117" s="826">
        <v>0</v>
      </c>
      <c r="I117" s="826">
        <v>0</v>
      </c>
      <c r="J117" s="826">
        <v>0</v>
      </c>
      <c r="K117" s="826">
        <v>0</v>
      </c>
      <c r="L117" s="826">
        <v>0</v>
      </c>
      <c r="M117" s="826">
        <v>0</v>
      </c>
      <c r="N117" s="826">
        <v>0</v>
      </c>
      <c r="O117" s="826">
        <v>5132</v>
      </c>
      <c r="Q117" s="1" t="s">
        <v>2009</v>
      </c>
    </row>
    <row r="118" spans="1:17">
      <c r="A118" s="829">
        <v>67</v>
      </c>
      <c r="B118" s="166" t="s">
        <v>15317</v>
      </c>
      <c r="C118" s="166" t="s">
        <v>15316</v>
      </c>
      <c r="D118" s="826">
        <v>0</v>
      </c>
      <c r="E118" s="826">
        <v>0</v>
      </c>
      <c r="F118" s="826">
        <v>0</v>
      </c>
      <c r="G118" s="826">
        <v>0</v>
      </c>
      <c r="H118" s="826">
        <v>0</v>
      </c>
      <c r="I118" s="826">
        <v>0</v>
      </c>
      <c r="J118" s="826">
        <v>0</v>
      </c>
      <c r="K118" s="826">
        <v>0</v>
      </c>
      <c r="L118" s="826">
        <v>0</v>
      </c>
      <c r="M118" s="826">
        <v>0</v>
      </c>
      <c r="N118" s="826">
        <v>0</v>
      </c>
      <c r="O118" s="826">
        <v>4707</v>
      </c>
      <c r="Q118" s="1" t="s">
        <v>2010</v>
      </c>
    </row>
    <row r="119" spans="1:17">
      <c r="A119" s="829">
        <v>68</v>
      </c>
      <c r="B119" s="166" t="s">
        <v>15319</v>
      </c>
      <c r="C119" s="166" t="s">
        <v>15318</v>
      </c>
      <c r="D119" s="826">
        <v>0</v>
      </c>
      <c r="E119" s="826">
        <v>0</v>
      </c>
      <c r="F119" s="826">
        <v>0</v>
      </c>
      <c r="G119" s="826">
        <v>0</v>
      </c>
      <c r="H119" s="826">
        <v>0</v>
      </c>
      <c r="I119" s="826">
        <v>0</v>
      </c>
      <c r="J119" s="826">
        <v>0</v>
      </c>
      <c r="K119" s="826">
        <v>0</v>
      </c>
      <c r="L119" s="826">
        <v>0</v>
      </c>
      <c r="M119" s="826">
        <v>0</v>
      </c>
      <c r="N119" s="826">
        <v>0</v>
      </c>
      <c r="O119" s="826">
        <v>4071</v>
      </c>
      <c r="Q119" s="1" t="s">
        <v>2010</v>
      </c>
    </row>
    <row r="120" spans="1:17">
      <c r="A120" s="829">
        <v>69</v>
      </c>
      <c r="B120" s="166" t="s">
        <v>15321</v>
      </c>
      <c r="C120" s="166" t="s">
        <v>15320</v>
      </c>
      <c r="D120" s="826">
        <v>0</v>
      </c>
      <c r="E120" s="826">
        <v>0</v>
      </c>
      <c r="F120" s="826">
        <v>0</v>
      </c>
      <c r="G120" s="826">
        <v>0</v>
      </c>
      <c r="H120" s="826">
        <v>0</v>
      </c>
      <c r="I120" s="826">
        <v>0</v>
      </c>
      <c r="J120" s="826">
        <v>0</v>
      </c>
      <c r="K120" s="826">
        <v>0</v>
      </c>
      <c r="L120" s="826">
        <v>0</v>
      </c>
      <c r="M120" s="826">
        <v>0</v>
      </c>
      <c r="N120" s="826">
        <v>0</v>
      </c>
      <c r="O120" s="826">
        <v>5864</v>
      </c>
      <c r="Q120" s="1" t="s">
        <v>2010</v>
      </c>
    </row>
    <row r="121" spans="1:17">
      <c r="A121" s="829">
        <v>70</v>
      </c>
      <c r="B121" s="166" t="s">
        <v>15323</v>
      </c>
      <c r="C121" s="166" t="s">
        <v>15322</v>
      </c>
      <c r="D121" s="826">
        <v>0</v>
      </c>
      <c r="E121" s="826">
        <v>0</v>
      </c>
      <c r="F121" s="826">
        <v>0</v>
      </c>
      <c r="G121" s="826">
        <v>0</v>
      </c>
      <c r="H121" s="826">
        <v>0</v>
      </c>
      <c r="I121" s="826">
        <v>0</v>
      </c>
      <c r="J121" s="826">
        <v>0</v>
      </c>
      <c r="K121" s="826">
        <v>0</v>
      </c>
      <c r="L121" s="826">
        <v>0</v>
      </c>
      <c r="M121" s="826">
        <v>0</v>
      </c>
      <c r="N121" s="826">
        <v>0</v>
      </c>
      <c r="O121" s="826">
        <v>1100</v>
      </c>
      <c r="Q121" s="1" t="s">
        <v>2010</v>
      </c>
    </row>
    <row r="122" spans="1:17" ht="15.75" thickBot="1">
      <c r="A122" s="829"/>
      <c r="C122" s="166" t="s">
        <v>15322</v>
      </c>
      <c r="D122" s="826">
        <v>0</v>
      </c>
      <c r="E122" s="826">
        <v>0</v>
      </c>
      <c r="F122" s="826">
        <v>0</v>
      </c>
      <c r="G122" s="826">
        <v>0</v>
      </c>
      <c r="H122" s="826">
        <v>0</v>
      </c>
      <c r="I122" s="826">
        <v>0</v>
      </c>
      <c r="J122" s="826">
        <v>0</v>
      </c>
      <c r="K122" s="826">
        <v>0</v>
      </c>
      <c r="L122" s="826">
        <v>0</v>
      </c>
      <c r="M122" s="826">
        <v>0</v>
      </c>
      <c r="N122" s="826">
        <v>0</v>
      </c>
      <c r="O122" s="826">
        <v>3703</v>
      </c>
      <c r="Q122" s="1" t="s">
        <v>2012</v>
      </c>
    </row>
    <row r="123" spans="1:17" ht="15.75" thickBot="1">
      <c r="A123" s="829"/>
      <c r="C123" s="166" t="s">
        <v>15322</v>
      </c>
      <c r="D123" s="828">
        <f t="shared" ref="D123:O123" si="32">D121+D122</f>
        <v>0</v>
      </c>
      <c r="E123" s="828">
        <f t="shared" si="32"/>
        <v>0</v>
      </c>
      <c r="F123" s="828">
        <f t="shared" si="32"/>
        <v>0</v>
      </c>
      <c r="G123" s="828">
        <f t="shared" si="32"/>
        <v>0</v>
      </c>
      <c r="H123" s="828">
        <f t="shared" si="32"/>
        <v>0</v>
      </c>
      <c r="I123" s="828">
        <f t="shared" si="32"/>
        <v>0</v>
      </c>
      <c r="J123" s="828">
        <f t="shared" si="32"/>
        <v>0</v>
      </c>
      <c r="K123" s="828">
        <f t="shared" si="32"/>
        <v>0</v>
      </c>
      <c r="L123" s="828">
        <f t="shared" si="32"/>
        <v>0</v>
      </c>
      <c r="M123" s="828">
        <f t="shared" si="32"/>
        <v>0</v>
      </c>
      <c r="N123" s="828">
        <f t="shared" si="32"/>
        <v>0</v>
      </c>
      <c r="O123" s="828">
        <f t="shared" si="32"/>
        <v>4803</v>
      </c>
      <c r="Q123" s="1"/>
    </row>
    <row r="124" spans="1:17">
      <c r="A124" s="829">
        <v>71</v>
      </c>
      <c r="B124" s="166" t="s">
        <v>15325</v>
      </c>
      <c r="C124" s="166" t="s">
        <v>15324</v>
      </c>
      <c r="D124" s="826">
        <v>0</v>
      </c>
      <c r="E124" s="826">
        <v>0</v>
      </c>
      <c r="F124" s="826">
        <v>0</v>
      </c>
      <c r="G124" s="826">
        <v>0</v>
      </c>
      <c r="H124" s="826">
        <v>0</v>
      </c>
      <c r="I124" s="826">
        <v>0</v>
      </c>
      <c r="J124" s="826">
        <v>0</v>
      </c>
      <c r="K124" s="826">
        <v>0</v>
      </c>
      <c r="L124" s="826">
        <v>0</v>
      </c>
      <c r="M124" s="826">
        <v>0</v>
      </c>
      <c r="N124" s="826">
        <v>0</v>
      </c>
      <c r="O124" s="826">
        <v>4996</v>
      </c>
      <c r="Q124" s="1" t="s">
        <v>2011</v>
      </c>
    </row>
    <row r="125" spans="1:17">
      <c r="A125" s="829">
        <v>72</v>
      </c>
      <c r="B125" s="166" t="s">
        <v>15327</v>
      </c>
      <c r="C125" s="166" t="s">
        <v>15326</v>
      </c>
      <c r="D125" s="826">
        <v>0</v>
      </c>
      <c r="E125" s="826">
        <v>0</v>
      </c>
      <c r="F125" s="826">
        <v>0</v>
      </c>
      <c r="G125" s="826">
        <v>0</v>
      </c>
      <c r="H125" s="826">
        <v>0</v>
      </c>
      <c r="I125" s="826">
        <v>0</v>
      </c>
      <c r="J125" s="826">
        <v>0</v>
      </c>
      <c r="K125" s="826">
        <v>0</v>
      </c>
      <c r="L125" s="826">
        <v>0</v>
      </c>
      <c r="M125" s="826">
        <v>0</v>
      </c>
      <c r="N125" s="826">
        <v>0</v>
      </c>
      <c r="O125" s="826">
        <v>4969</v>
      </c>
      <c r="Q125" s="1" t="s">
        <v>2011</v>
      </c>
    </row>
    <row r="126" spans="1:17">
      <c r="A126" s="829">
        <v>73</v>
      </c>
      <c r="B126" s="166" t="s">
        <v>15329</v>
      </c>
      <c r="C126" s="166" t="s">
        <v>15328</v>
      </c>
      <c r="D126" s="826">
        <v>0</v>
      </c>
      <c r="E126" s="826">
        <v>0</v>
      </c>
      <c r="F126" s="826">
        <v>0</v>
      </c>
      <c r="G126" s="826">
        <v>0</v>
      </c>
      <c r="H126" s="826">
        <v>0</v>
      </c>
      <c r="I126" s="826">
        <v>0</v>
      </c>
      <c r="J126" s="826">
        <v>0</v>
      </c>
      <c r="K126" s="826">
        <v>0</v>
      </c>
      <c r="L126" s="826">
        <v>0</v>
      </c>
      <c r="M126" s="826">
        <v>0</v>
      </c>
      <c r="N126" s="826">
        <v>0</v>
      </c>
      <c r="O126" s="826">
        <v>4296</v>
      </c>
      <c r="Q126" s="1" t="s">
        <v>2010</v>
      </c>
    </row>
    <row r="127" spans="1:17">
      <c r="A127" s="829">
        <v>74</v>
      </c>
      <c r="B127" s="166" t="s">
        <v>15331</v>
      </c>
      <c r="C127" s="166" t="s">
        <v>15330</v>
      </c>
      <c r="D127" s="826">
        <v>0</v>
      </c>
      <c r="E127" s="826">
        <v>0</v>
      </c>
      <c r="F127" s="826">
        <v>0</v>
      </c>
      <c r="G127" s="826">
        <v>0</v>
      </c>
      <c r="H127" s="826">
        <v>0</v>
      </c>
      <c r="I127" s="826">
        <v>0</v>
      </c>
      <c r="J127" s="826">
        <v>0</v>
      </c>
      <c r="K127" s="826">
        <v>0</v>
      </c>
      <c r="L127" s="826">
        <v>0</v>
      </c>
      <c r="M127" s="826">
        <v>0</v>
      </c>
      <c r="N127" s="826">
        <v>0</v>
      </c>
      <c r="O127" s="826">
        <v>566</v>
      </c>
      <c r="Q127" s="1" t="s">
        <v>2010</v>
      </c>
    </row>
    <row r="128" spans="1:17" ht="15.75" thickBot="1">
      <c r="A128" s="829"/>
      <c r="C128" s="166" t="s">
        <v>15330</v>
      </c>
      <c r="D128" s="826">
        <v>0</v>
      </c>
      <c r="E128" s="826">
        <v>0</v>
      </c>
      <c r="F128" s="826">
        <v>0</v>
      </c>
      <c r="G128" s="826">
        <v>0</v>
      </c>
      <c r="H128" s="826">
        <v>0</v>
      </c>
      <c r="I128" s="826">
        <v>0</v>
      </c>
      <c r="J128" s="826">
        <v>0</v>
      </c>
      <c r="K128" s="826">
        <v>0</v>
      </c>
      <c r="L128" s="826">
        <v>0</v>
      </c>
      <c r="M128" s="826">
        <v>0</v>
      </c>
      <c r="N128" s="826">
        <v>0</v>
      </c>
      <c r="O128" s="826">
        <v>4390</v>
      </c>
      <c r="Q128" s="1" t="s">
        <v>2012</v>
      </c>
    </row>
    <row r="129" spans="1:17" ht="15.75" thickBot="1">
      <c r="A129" s="829"/>
      <c r="C129" s="166" t="s">
        <v>15330</v>
      </c>
      <c r="D129" s="828">
        <f t="shared" ref="D129:O129" si="33">D127+D128</f>
        <v>0</v>
      </c>
      <c r="E129" s="828">
        <f t="shared" si="33"/>
        <v>0</v>
      </c>
      <c r="F129" s="828">
        <f t="shared" si="33"/>
        <v>0</v>
      </c>
      <c r="G129" s="828">
        <f t="shared" si="33"/>
        <v>0</v>
      </c>
      <c r="H129" s="828">
        <f t="shared" si="33"/>
        <v>0</v>
      </c>
      <c r="I129" s="828">
        <f t="shared" si="33"/>
        <v>0</v>
      </c>
      <c r="J129" s="828">
        <f t="shared" si="33"/>
        <v>0</v>
      </c>
      <c r="K129" s="828">
        <f t="shared" si="33"/>
        <v>0</v>
      </c>
      <c r="L129" s="828">
        <f t="shared" si="33"/>
        <v>0</v>
      </c>
      <c r="M129" s="828">
        <f t="shared" si="33"/>
        <v>0</v>
      </c>
      <c r="N129" s="828">
        <f t="shared" si="33"/>
        <v>0</v>
      </c>
      <c r="O129" s="828">
        <f t="shared" si="33"/>
        <v>4956</v>
      </c>
      <c r="Q129" s="1"/>
    </row>
    <row r="130" spans="1:17">
      <c r="A130" s="829">
        <v>75</v>
      </c>
      <c r="B130" s="166" t="s">
        <v>15333</v>
      </c>
      <c r="C130" s="166" t="s">
        <v>15332</v>
      </c>
      <c r="D130" s="826">
        <v>0</v>
      </c>
      <c r="E130" s="826">
        <v>0</v>
      </c>
      <c r="F130" s="826">
        <v>0</v>
      </c>
      <c r="G130" s="826">
        <v>0</v>
      </c>
      <c r="H130" s="826">
        <v>0</v>
      </c>
      <c r="I130" s="826">
        <v>0</v>
      </c>
      <c r="J130" s="826">
        <v>0</v>
      </c>
      <c r="K130" s="826">
        <v>0</v>
      </c>
      <c r="L130" s="826">
        <v>0</v>
      </c>
      <c r="M130" s="826">
        <v>0</v>
      </c>
      <c r="N130" s="826">
        <v>0</v>
      </c>
      <c r="O130" s="826">
        <v>5132</v>
      </c>
      <c r="Q130" s="1" t="s">
        <v>2010</v>
      </c>
    </row>
    <row r="131" spans="1:17">
      <c r="A131" s="829">
        <v>76</v>
      </c>
      <c r="B131" s="166" t="s">
        <v>15335</v>
      </c>
      <c r="C131" s="166" t="s">
        <v>15334</v>
      </c>
      <c r="D131" s="826">
        <v>0</v>
      </c>
      <c r="E131" s="826">
        <v>0</v>
      </c>
      <c r="F131" s="826">
        <v>0</v>
      </c>
      <c r="G131" s="826">
        <v>0</v>
      </c>
      <c r="H131" s="826">
        <v>0</v>
      </c>
      <c r="I131" s="826">
        <v>0</v>
      </c>
      <c r="J131" s="826">
        <v>0</v>
      </c>
      <c r="K131" s="826">
        <v>0</v>
      </c>
      <c r="L131" s="826">
        <v>0</v>
      </c>
      <c r="M131" s="826">
        <v>0</v>
      </c>
      <c r="N131" s="826">
        <v>0</v>
      </c>
      <c r="O131" s="826">
        <v>5174</v>
      </c>
      <c r="Q131" s="1" t="s">
        <v>6384</v>
      </c>
    </row>
    <row r="132" spans="1:17">
      <c r="A132" s="829">
        <v>77</v>
      </c>
      <c r="B132" s="166" t="s">
        <v>15337</v>
      </c>
      <c r="C132" s="166" t="s">
        <v>15336</v>
      </c>
      <c r="D132" s="826">
        <v>0</v>
      </c>
      <c r="E132" s="826">
        <v>0</v>
      </c>
      <c r="F132" s="826">
        <v>0</v>
      </c>
      <c r="G132" s="826">
        <v>0</v>
      </c>
      <c r="H132" s="826">
        <v>0</v>
      </c>
      <c r="I132" s="826">
        <v>0</v>
      </c>
      <c r="J132" s="826">
        <v>0</v>
      </c>
      <c r="K132" s="826">
        <v>0</v>
      </c>
      <c r="L132" s="826">
        <v>0</v>
      </c>
      <c r="M132" s="826">
        <v>0</v>
      </c>
      <c r="N132" s="826">
        <v>0</v>
      </c>
      <c r="O132" s="826">
        <v>5391</v>
      </c>
      <c r="Q132" s="1" t="s">
        <v>2009</v>
      </c>
    </row>
    <row r="133" spans="1:17">
      <c r="A133" s="829">
        <v>78</v>
      </c>
      <c r="B133" s="166" t="s">
        <v>15339</v>
      </c>
      <c r="C133" s="166" t="s">
        <v>15338</v>
      </c>
      <c r="D133" s="826">
        <v>0</v>
      </c>
      <c r="E133" s="826">
        <v>0</v>
      </c>
      <c r="F133" s="826">
        <v>0</v>
      </c>
      <c r="G133" s="826">
        <v>0</v>
      </c>
      <c r="H133" s="826">
        <v>0</v>
      </c>
      <c r="I133" s="826">
        <v>0</v>
      </c>
      <c r="J133" s="826">
        <v>0</v>
      </c>
      <c r="K133" s="826">
        <v>0</v>
      </c>
      <c r="L133" s="826">
        <v>0</v>
      </c>
      <c r="M133" s="826">
        <v>0</v>
      </c>
      <c r="N133" s="826">
        <v>0</v>
      </c>
      <c r="O133" s="826">
        <v>5118</v>
      </c>
      <c r="Q133" s="1" t="s">
        <v>2009</v>
      </c>
    </row>
    <row r="134" spans="1:17">
      <c r="A134" s="829">
        <v>79</v>
      </c>
      <c r="B134" s="166" t="s">
        <v>15341</v>
      </c>
      <c r="C134" s="166" t="s">
        <v>15340</v>
      </c>
      <c r="D134" s="826">
        <v>0</v>
      </c>
      <c r="E134" s="826">
        <v>0</v>
      </c>
      <c r="F134" s="826">
        <v>0</v>
      </c>
      <c r="G134" s="826">
        <v>0</v>
      </c>
      <c r="H134" s="826">
        <v>0</v>
      </c>
      <c r="I134" s="826">
        <v>0</v>
      </c>
      <c r="J134" s="826">
        <v>0</v>
      </c>
      <c r="K134" s="826">
        <v>0</v>
      </c>
      <c r="L134" s="826">
        <v>0</v>
      </c>
      <c r="M134" s="826">
        <v>0</v>
      </c>
      <c r="N134" s="826">
        <v>0</v>
      </c>
      <c r="O134" s="826">
        <v>4377</v>
      </c>
      <c r="Q134" s="1" t="s">
        <v>2009</v>
      </c>
    </row>
    <row r="135" spans="1:17">
      <c r="A135" s="829">
        <v>80</v>
      </c>
      <c r="B135" s="166" t="s">
        <v>15343</v>
      </c>
      <c r="C135" s="166" t="s">
        <v>15342</v>
      </c>
      <c r="D135" s="826">
        <v>0</v>
      </c>
      <c r="E135" s="826">
        <v>0</v>
      </c>
      <c r="F135" s="826">
        <v>0</v>
      </c>
      <c r="G135" s="826">
        <v>0</v>
      </c>
      <c r="H135" s="826">
        <v>0</v>
      </c>
      <c r="I135" s="826">
        <v>0</v>
      </c>
      <c r="J135" s="826">
        <v>0</v>
      </c>
      <c r="K135" s="826">
        <v>0</v>
      </c>
      <c r="L135" s="826">
        <v>0</v>
      </c>
      <c r="M135" s="826">
        <v>0</v>
      </c>
      <c r="N135" s="826">
        <v>0</v>
      </c>
      <c r="O135" s="826">
        <v>4917</v>
      </c>
      <c r="Q135" s="1" t="s">
        <v>6384</v>
      </c>
    </row>
    <row r="136" spans="1:17">
      <c r="A136" s="829">
        <v>81</v>
      </c>
      <c r="B136" s="166" t="s">
        <v>15345</v>
      </c>
      <c r="C136" s="166" t="s">
        <v>15344</v>
      </c>
      <c r="D136" s="826">
        <v>0</v>
      </c>
      <c r="E136" s="826">
        <v>0</v>
      </c>
      <c r="F136" s="826">
        <v>0</v>
      </c>
      <c r="G136" s="826">
        <v>0</v>
      </c>
      <c r="H136" s="826">
        <v>0</v>
      </c>
      <c r="I136" s="826">
        <v>0</v>
      </c>
      <c r="J136" s="826">
        <v>0</v>
      </c>
      <c r="K136" s="826">
        <v>0</v>
      </c>
      <c r="L136" s="826">
        <v>0</v>
      </c>
      <c r="M136" s="826">
        <v>0</v>
      </c>
      <c r="N136" s="826">
        <v>0</v>
      </c>
      <c r="O136" s="826">
        <v>3921</v>
      </c>
      <c r="Q136" s="1" t="s">
        <v>2012</v>
      </c>
    </row>
    <row r="137" spans="1:17">
      <c r="A137" s="829">
        <v>82</v>
      </c>
      <c r="B137" s="166" t="s">
        <v>15347</v>
      </c>
      <c r="C137" s="166" t="s">
        <v>15346</v>
      </c>
      <c r="D137" s="826">
        <v>0</v>
      </c>
      <c r="E137" s="826">
        <v>0</v>
      </c>
      <c r="F137" s="826">
        <v>0</v>
      </c>
      <c r="G137" s="826">
        <v>0</v>
      </c>
      <c r="H137" s="826">
        <v>0</v>
      </c>
      <c r="I137" s="826">
        <v>0</v>
      </c>
      <c r="J137" s="826">
        <v>0</v>
      </c>
      <c r="K137" s="826">
        <v>0</v>
      </c>
      <c r="L137" s="826">
        <v>0</v>
      </c>
      <c r="M137" s="826">
        <v>0</v>
      </c>
      <c r="N137" s="826">
        <v>0</v>
      </c>
      <c r="O137" s="826">
        <v>5133</v>
      </c>
      <c r="Q137" s="1" t="s">
        <v>2009</v>
      </c>
    </row>
    <row r="138" spans="1:17">
      <c r="A138" s="829">
        <v>83</v>
      </c>
      <c r="B138" s="166" t="s">
        <v>15349</v>
      </c>
      <c r="C138" s="166" t="s">
        <v>15348</v>
      </c>
      <c r="D138" s="826">
        <v>0</v>
      </c>
      <c r="E138" s="826">
        <v>0</v>
      </c>
      <c r="F138" s="826">
        <v>0</v>
      </c>
      <c r="G138" s="826">
        <v>0</v>
      </c>
      <c r="H138" s="826">
        <v>0</v>
      </c>
      <c r="I138" s="826">
        <v>0</v>
      </c>
      <c r="J138" s="826">
        <v>0</v>
      </c>
      <c r="K138" s="826">
        <v>0</v>
      </c>
      <c r="L138" s="826">
        <v>0</v>
      </c>
      <c r="M138" s="826">
        <v>0</v>
      </c>
      <c r="N138" s="826">
        <v>0</v>
      </c>
      <c r="O138" s="826">
        <v>4443</v>
      </c>
      <c r="Q138" s="1" t="s">
        <v>2012</v>
      </c>
    </row>
    <row r="139" spans="1:17">
      <c r="A139" s="829">
        <v>84</v>
      </c>
      <c r="B139" s="166" t="s">
        <v>15351</v>
      </c>
      <c r="C139" s="166" t="s">
        <v>15350</v>
      </c>
      <c r="D139" s="826">
        <v>0</v>
      </c>
      <c r="E139" s="826">
        <v>0</v>
      </c>
      <c r="F139" s="826">
        <v>0</v>
      </c>
      <c r="G139" s="826">
        <v>0</v>
      </c>
      <c r="H139" s="826">
        <v>0</v>
      </c>
      <c r="I139" s="826">
        <v>0</v>
      </c>
      <c r="J139" s="826">
        <v>0</v>
      </c>
      <c r="K139" s="826">
        <v>0</v>
      </c>
      <c r="L139" s="826">
        <v>0</v>
      </c>
      <c r="M139" s="826">
        <v>0</v>
      </c>
      <c r="N139" s="826">
        <v>0</v>
      </c>
      <c r="O139" s="826">
        <v>5223</v>
      </c>
      <c r="Q139" s="1" t="s">
        <v>2012</v>
      </c>
    </row>
    <row r="140" spans="1:17">
      <c r="A140" s="829">
        <v>85</v>
      </c>
      <c r="B140" s="166" t="s">
        <v>916</v>
      </c>
      <c r="C140" s="166" t="s">
        <v>15352</v>
      </c>
      <c r="D140" s="826">
        <v>0</v>
      </c>
      <c r="E140" s="826">
        <v>0</v>
      </c>
      <c r="F140" s="826">
        <v>0</v>
      </c>
      <c r="G140" s="826">
        <v>0</v>
      </c>
      <c r="H140" s="826">
        <v>0</v>
      </c>
      <c r="I140" s="826">
        <v>0</v>
      </c>
      <c r="J140" s="826">
        <v>0</v>
      </c>
      <c r="K140" s="826">
        <v>0</v>
      </c>
      <c r="L140" s="826">
        <v>0</v>
      </c>
      <c r="M140" s="826">
        <v>0</v>
      </c>
      <c r="N140" s="826">
        <v>0</v>
      </c>
      <c r="O140" s="826">
        <v>4889</v>
      </c>
      <c r="Q140" s="1" t="s">
        <v>2012</v>
      </c>
    </row>
    <row r="141" spans="1:17">
      <c r="A141" s="829">
        <v>86</v>
      </c>
      <c r="B141" s="166" t="s">
        <v>15354</v>
      </c>
      <c r="C141" s="166" t="s">
        <v>15353</v>
      </c>
      <c r="D141" s="826">
        <v>0</v>
      </c>
      <c r="E141" s="826">
        <v>0</v>
      </c>
      <c r="F141" s="826">
        <v>0</v>
      </c>
      <c r="G141" s="826">
        <v>0</v>
      </c>
      <c r="H141" s="826">
        <v>0</v>
      </c>
      <c r="I141" s="826">
        <v>0</v>
      </c>
      <c r="J141" s="826">
        <v>0</v>
      </c>
      <c r="K141" s="826">
        <v>0</v>
      </c>
      <c r="L141" s="826">
        <v>0</v>
      </c>
      <c r="M141" s="826">
        <v>0</v>
      </c>
      <c r="N141" s="826">
        <v>0</v>
      </c>
      <c r="O141" s="826">
        <v>4998</v>
      </c>
      <c r="Q141" s="1" t="s">
        <v>6384</v>
      </c>
    </row>
    <row r="142" spans="1:17">
      <c r="A142" s="829">
        <v>87</v>
      </c>
      <c r="B142" s="166" t="s">
        <v>15356</v>
      </c>
      <c r="C142" s="166" t="s">
        <v>15355</v>
      </c>
      <c r="D142" s="826">
        <v>0</v>
      </c>
      <c r="E142" s="826">
        <v>0</v>
      </c>
      <c r="F142" s="826">
        <v>0</v>
      </c>
      <c r="G142" s="826">
        <v>0</v>
      </c>
      <c r="H142" s="826">
        <v>0</v>
      </c>
      <c r="I142" s="826">
        <v>0</v>
      </c>
      <c r="J142" s="826">
        <v>0</v>
      </c>
      <c r="K142" s="826">
        <v>0</v>
      </c>
      <c r="L142" s="826">
        <v>0</v>
      </c>
      <c r="M142" s="826">
        <v>0</v>
      </c>
      <c r="N142" s="826">
        <v>0</v>
      </c>
      <c r="O142" s="826">
        <v>5368</v>
      </c>
      <c r="Q142" s="1" t="s">
        <v>6384</v>
      </c>
    </row>
    <row r="143" spans="1:17">
      <c r="A143" s="829"/>
      <c r="B143" s="1"/>
      <c r="C143" s="1"/>
      <c r="E143" s="55"/>
      <c r="G143" s="55"/>
    </row>
    <row r="144" spans="1:17">
      <c r="A144" s="1" t="s">
        <v>640</v>
      </c>
      <c r="C144" s="1"/>
      <c r="D144" s="826">
        <f t="shared" ref="D144:N144" si="34">SUM(D42:D44,D46:D47,D53,D57,D60:D61,D63,D66,D69,D85,D96,D99,D104:D106,D110)</f>
        <v>63694</v>
      </c>
      <c r="E144" s="826">
        <f t="shared" si="34"/>
        <v>64798</v>
      </c>
      <c r="F144" s="826">
        <f t="shared" si="34"/>
        <v>65324</v>
      </c>
      <c r="G144" s="826">
        <f t="shared" si="34"/>
        <v>66038</v>
      </c>
      <c r="H144" s="826">
        <f t="shared" si="34"/>
        <v>64769</v>
      </c>
      <c r="I144" s="826">
        <f t="shared" si="34"/>
        <v>65157</v>
      </c>
      <c r="J144" s="826">
        <f t="shared" si="34"/>
        <v>62034</v>
      </c>
      <c r="K144" s="826">
        <f t="shared" si="34"/>
        <v>64267</v>
      </c>
      <c r="L144" s="826">
        <f t="shared" si="34"/>
        <v>66534</v>
      </c>
      <c r="M144" s="826">
        <f t="shared" si="34"/>
        <v>66928</v>
      </c>
      <c r="N144" s="826">
        <f t="shared" si="34"/>
        <v>70705</v>
      </c>
      <c r="O144" s="826">
        <f>SUM(O42:O44,O46:O47,O53,O57,O60:O61,O63,O66,O69,O85,O96,O99,O104:O106,O110)</f>
        <v>70661</v>
      </c>
      <c r="Q144" s="1"/>
    </row>
    <row r="145" spans="1:17">
      <c r="A145" s="1" t="s">
        <v>6384</v>
      </c>
      <c r="B145" s="1"/>
      <c r="C145" s="1"/>
      <c r="D145" s="826">
        <f t="shared" ref="D145:N145" si="35">SUM(D36:D39,D45,D68,D72:D73,D91,D101,D131,D135,D141:D142)</f>
        <v>68055</v>
      </c>
      <c r="E145" s="826">
        <f t="shared" si="35"/>
        <v>68206</v>
      </c>
      <c r="F145" s="826">
        <f t="shared" si="35"/>
        <v>66983</v>
      </c>
      <c r="G145" s="826">
        <f t="shared" si="35"/>
        <v>67593</v>
      </c>
      <c r="H145" s="826">
        <f t="shared" si="35"/>
        <v>63718</v>
      </c>
      <c r="I145" s="826">
        <f t="shared" si="35"/>
        <v>65464</v>
      </c>
      <c r="J145" s="826">
        <f t="shared" si="35"/>
        <v>63501</v>
      </c>
      <c r="K145" s="826">
        <f t="shared" si="35"/>
        <v>65863</v>
      </c>
      <c r="L145" s="826">
        <f t="shared" si="35"/>
        <v>67505</v>
      </c>
      <c r="M145" s="826">
        <f t="shared" si="35"/>
        <v>67603</v>
      </c>
      <c r="N145" s="826">
        <f t="shared" si="35"/>
        <v>70378</v>
      </c>
      <c r="O145" s="826">
        <f>SUM(O36:O39,O45,O68,O72:O73,O91,O101,O131,O135,O141:O142)</f>
        <v>70327</v>
      </c>
      <c r="Q145" s="1"/>
    </row>
    <row r="146" spans="1:17">
      <c r="A146" s="1" t="s">
        <v>2009</v>
      </c>
      <c r="B146" s="1"/>
      <c r="C146" s="1"/>
      <c r="D146" s="826">
        <f t="shared" ref="D146:N146" si="36">SUM(D40:D41,D74:D75,D77:D79,D81,D103,D107,D117,D132:D134,D137)</f>
        <v>71900</v>
      </c>
      <c r="E146" s="826">
        <f t="shared" si="36"/>
        <v>71851</v>
      </c>
      <c r="F146" s="826">
        <f t="shared" si="36"/>
        <v>70847</v>
      </c>
      <c r="G146" s="826">
        <f t="shared" si="36"/>
        <v>71466</v>
      </c>
      <c r="H146" s="826">
        <f t="shared" si="36"/>
        <v>68570</v>
      </c>
      <c r="I146" s="826">
        <f t="shared" si="36"/>
        <v>69873</v>
      </c>
      <c r="J146" s="826">
        <f t="shared" si="36"/>
        <v>66757</v>
      </c>
      <c r="K146" s="826">
        <f t="shared" si="36"/>
        <v>69069</v>
      </c>
      <c r="L146" s="826">
        <f t="shared" si="36"/>
        <v>70599</v>
      </c>
      <c r="M146" s="826">
        <f t="shared" si="36"/>
        <v>70302</v>
      </c>
      <c r="N146" s="826">
        <f t="shared" si="36"/>
        <v>72258</v>
      </c>
      <c r="O146" s="826">
        <f>SUM(O40:O41,O74:O75,O77:O79,O81,O103,O107,O117,O132:O134,O137)</f>
        <v>72204</v>
      </c>
      <c r="Q146" s="1"/>
    </row>
    <row r="147" spans="1:17">
      <c r="A147" s="1" t="s">
        <v>2010</v>
      </c>
      <c r="B147" s="1"/>
      <c r="C147" s="1"/>
      <c r="D147" s="826">
        <f t="shared" ref="D147:N147" si="37">SUM(D58,D82,D88:D90,D93,D108,D113:D116,D118:D121,D126:D127,D130)</f>
        <v>75721</v>
      </c>
      <c r="E147" s="826">
        <f t="shared" si="37"/>
        <v>75974</v>
      </c>
      <c r="F147" s="826">
        <f t="shared" si="37"/>
        <v>75311</v>
      </c>
      <c r="G147" s="826">
        <f t="shared" si="37"/>
        <v>75905</v>
      </c>
      <c r="H147" s="826">
        <f t="shared" si="37"/>
        <v>73808</v>
      </c>
      <c r="I147" s="826">
        <f t="shared" si="37"/>
        <v>75117</v>
      </c>
      <c r="J147" s="826">
        <f t="shared" si="37"/>
        <v>71674</v>
      </c>
      <c r="K147" s="826">
        <f t="shared" si="37"/>
        <v>74673</v>
      </c>
      <c r="L147" s="826">
        <f t="shared" si="37"/>
        <v>77338</v>
      </c>
      <c r="M147" s="826">
        <f t="shared" si="37"/>
        <v>77451</v>
      </c>
      <c r="N147" s="826">
        <f t="shared" si="37"/>
        <v>80561</v>
      </c>
      <c r="O147" s="826">
        <f>SUM(O58,O82,O88:O90,O93,O108,O113:O116,O118:O121,O126:O127,O130)</f>
        <v>80488</v>
      </c>
      <c r="Q147" s="1"/>
    </row>
    <row r="148" spans="1:17">
      <c r="A148" s="1" t="s">
        <v>3395</v>
      </c>
      <c r="D148" s="826">
        <f t="shared" ref="D148:N148" si="38">SUM(D48,D62,D64,D67,D76,D80,D83:D84,D94:D95,D100,D124:D125)</f>
        <v>64678</v>
      </c>
      <c r="E148" s="826">
        <f t="shared" si="38"/>
        <v>64933</v>
      </c>
      <c r="F148" s="826">
        <f t="shared" si="38"/>
        <v>65122</v>
      </c>
      <c r="G148" s="826">
        <f t="shared" si="38"/>
        <v>65784</v>
      </c>
      <c r="H148" s="826">
        <f t="shared" si="38"/>
        <v>64105</v>
      </c>
      <c r="I148" s="826">
        <f t="shared" si="38"/>
        <v>64693</v>
      </c>
      <c r="J148" s="826">
        <f t="shared" si="38"/>
        <v>61060</v>
      </c>
      <c r="K148" s="826">
        <f t="shared" si="38"/>
        <v>62693</v>
      </c>
      <c r="L148" s="826">
        <f t="shared" si="38"/>
        <v>64270</v>
      </c>
      <c r="M148" s="826">
        <f t="shared" si="38"/>
        <v>63705</v>
      </c>
      <c r="N148" s="826">
        <f t="shared" si="38"/>
        <v>66014</v>
      </c>
      <c r="O148" s="826">
        <f>SUM(O48,O62,O64,O67,O76,O80,O83:O84,O94:O95,O100,O124:O125)</f>
        <v>65917</v>
      </c>
      <c r="Q148" s="1"/>
    </row>
    <row r="149" spans="1:17">
      <c r="A149" s="1" t="s">
        <v>2012</v>
      </c>
      <c r="D149" s="823">
        <f t="shared" ref="D149:N149" si="39">SUM(D50:D52,D54,D56,D59,D70,D86,D92,D97,D102,D111,D122,D128,D136,D138:D140)</f>
        <v>70366</v>
      </c>
      <c r="E149" s="823">
        <f t="shared" si="39"/>
        <v>71340</v>
      </c>
      <c r="F149" s="823">
        <f t="shared" si="39"/>
        <v>71819</v>
      </c>
      <c r="G149" s="823">
        <f t="shared" si="39"/>
        <v>71720</v>
      </c>
      <c r="H149" s="823">
        <f t="shared" si="39"/>
        <v>70286</v>
      </c>
      <c r="I149" s="823">
        <f t="shared" si="39"/>
        <v>71370</v>
      </c>
      <c r="J149" s="823">
        <f t="shared" si="39"/>
        <v>67197</v>
      </c>
      <c r="K149" s="823">
        <f t="shared" si="39"/>
        <v>69558</v>
      </c>
      <c r="L149" s="823">
        <f t="shared" si="39"/>
        <v>71977</v>
      </c>
      <c r="M149" s="823">
        <f t="shared" si="39"/>
        <v>71546</v>
      </c>
      <c r="N149" s="823">
        <f t="shared" si="39"/>
        <v>77213</v>
      </c>
      <c r="O149" s="823">
        <f>SUM(O50:O52,O54,O56,O59,O70,O86,O92,O97,O102,O111,O122,O128,O136,O138:O140)</f>
        <v>77129</v>
      </c>
      <c r="Q149" s="1"/>
    </row>
    <row r="151" spans="1:17">
      <c r="A151" s="1" t="s">
        <v>14215</v>
      </c>
      <c r="B151" s="1"/>
      <c r="C151" s="1"/>
    </row>
    <row r="152" spans="1:17">
      <c r="A152" s="166" t="s">
        <v>15357</v>
      </c>
      <c r="B152" s="1"/>
      <c r="C152" s="1"/>
    </row>
    <row r="153" spans="1:17">
      <c r="B153" s="1"/>
      <c r="C153" s="1"/>
    </row>
    <row r="154" spans="1:17">
      <c r="A154" s="1008" t="s">
        <v>16023</v>
      </c>
      <c r="B154" s="1"/>
      <c r="C154" s="1"/>
    </row>
    <row r="155" spans="1:17">
      <c r="A155" s="167" t="s">
        <v>16099</v>
      </c>
      <c r="B155" s="1"/>
      <c r="C155" s="1"/>
    </row>
    <row r="156" spans="1:17">
      <c r="A156" s="167"/>
      <c r="B156" s="1"/>
      <c r="C156" s="1"/>
    </row>
    <row r="157" spans="1:17">
      <c r="E157" s="51" t="s">
        <v>1526</v>
      </c>
      <c r="F157" s="51"/>
      <c r="G157" s="51"/>
      <c r="H157" s="51"/>
      <c r="I157" s="51"/>
      <c r="J157" s="51"/>
      <c r="K157" s="51"/>
      <c r="L157" s="51"/>
      <c r="M157" s="51"/>
      <c r="N157" s="51"/>
      <c r="O157" s="51"/>
      <c r="P157" s="138"/>
      <c r="Q157" s="138" t="s">
        <v>9479</v>
      </c>
    </row>
    <row r="158" spans="1:17">
      <c r="D158" s="507">
        <v>2010</v>
      </c>
      <c r="E158" s="507">
        <v>2011</v>
      </c>
      <c r="F158" s="507">
        <v>2012</v>
      </c>
      <c r="G158" s="507">
        <v>2013</v>
      </c>
      <c r="H158" s="507">
        <v>2014</v>
      </c>
      <c r="I158" s="507">
        <v>2015</v>
      </c>
      <c r="J158" s="507">
        <v>2016</v>
      </c>
      <c r="K158" s="507">
        <v>2017</v>
      </c>
      <c r="L158" s="507">
        <v>2018</v>
      </c>
      <c r="M158" s="507">
        <v>2019</v>
      </c>
      <c r="N158" s="507">
        <v>2020</v>
      </c>
      <c r="O158" s="985" t="s">
        <v>14823</v>
      </c>
      <c r="Q158" s="506" t="s">
        <v>1527</v>
      </c>
    </row>
    <row r="159" spans="1:17">
      <c r="A159" s="1" t="s">
        <v>638</v>
      </c>
      <c r="C159" s="1"/>
      <c r="D159" s="823">
        <f t="shared" ref="D159:I159" si="40">SUM(D160:D164)</f>
        <v>1752</v>
      </c>
      <c r="E159" s="823">
        <f t="shared" si="40"/>
        <v>1763</v>
      </c>
      <c r="F159" s="823">
        <f t="shared" si="40"/>
        <v>1721</v>
      </c>
      <c r="G159" s="823">
        <f t="shared" si="40"/>
        <v>1750</v>
      </c>
      <c r="H159" s="823">
        <f t="shared" si="40"/>
        <v>1631</v>
      </c>
      <c r="I159" s="823">
        <f t="shared" si="40"/>
        <v>1637</v>
      </c>
      <c r="J159" s="823">
        <f t="shared" ref="J159:O159" si="41">SUM(J160:J164)</f>
        <v>1651</v>
      </c>
      <c r="K159" s="823">
        <f t="shared" si="41"/>
        <v>1742</v>
      </c>
      <c r="L159" s="823">
        <f t="shared" si="41"/>
        <v>1696</v>
      </c>
      <c r="M159" s="823">
        <f t="shared" si="41"/>
        <v>1586</v>
      </c>
      <c r="N159" s="823">
        <f t="shared" si="41"/>
        <v>1551</v>
      </c>
      <c r="O159" s="823">
        <f t="shared" si="41"/>
        <v>1628</v>
      </c>
    </row>
    <row r="160" spans="1:17">
      <c r="A160" s="1" t="s">
        <v>5387</v>
      </c>
      <c r="B160" s="1" t="s">
        <v>3390</v>
      </c>
      <c r="C160" s="55" t="s">
        <v>11951</v>
      </c>
      <c r="D160" s="826">
        <v>1752</v>
      </c>
      <c r="E160" s="826">
        <v>1763</v>
      </c>
      <c r="F160" s="826">
        <v>1721</v>
      </c>
      <c r="G160" s="63">
        <v>1750</v>
      </c>
      <c r="H160" s="63">
        <v>1631</v>
      </c>
      <c r="I160" s="63">
        <v>1637</v>
      </c>
      <c r="J160" s="63">
        <v>1651</v>
      </c>
      <c r="K160" s="56">
        <v>1742</v>
      </c>
      <c r="L160" s="56">
        <v>76</v>
      </c>
      <c r="M160" s="56">
        <v>78</v>
      </c>
      <c r="N160" s="56">
        <v>72</v>
      </c>
      <c r="O160" s="56">
        <v>73</v>
      </c>
      <c r="Q160" s="1" t="s">
        <v>2011</v>
      </c>
    </row>
    <row r="161" spans="1:17">
      <c r="A161" s="1" t="s">
        <v>5389</v>
      </c>
      <c r="B161" s="1" t="s">
        <v>3391</v>
      </c>
      <c r="C161" s="55" t="s">
        <v>11952</v>
      </c>
      <c r="D161" s="56">
        <v>0</v>
      </c>
      <c r="E161" s="56">
        <v>0</v>
      </c>
      <c r="F161" s="56">
        <v>0</v>
      </c>
      <c r="G161" s="56">
        <v>0</v>
      </c>
      <c r="H161" s="56">
        <v>0</v>
      </c>
      <c r="I161" s="56">
        <v>0</v>
      </c>
      <c r="J161" s="56">
        <v>0</v>
      </c>
      <c r="K161" s="56">
        <v>0</v>
      </c>
      <c r="L161" s="56">
        <v>66</v>
      </c>
      <c r="M161" s="56">
        <v>64</v>
      </c>
      <c r="N161" s="56">
        <v>66</v>
      </c>
      <c r="O161" s="56">
        <v>66</v>
      </c>
      <c r="Q161" s="1" t="s">
        <v>2011</v>
      </c>
    </row>
    <row r="162" spans="1:17">
      <c r="A162" s="1" t="s">
        <v>5391</v>
      </c>
      <c r="B162" s="1" t="s">
        <v>3392</v>
      </c>
      <c r="C162" s="55" t="s">
        <v>11953</v>
      </c>
      <c r="D162" s="56">
        <v>0</v>
      </c>
      <c r="E162" s="56">
        <v>0</v>
      </c>
      <c r="F162" s="56">
        <v>0</v>
      </c>
      <c r="G162" s="56">
        <v>0</v>
      </c>
      <c r="H162" s="56">
        <v>0</v>
      </c>
      <c r="I162" s="56">
        <v>0</v>
      </c>
      <c r="J162" s="56">
        <v>0</v>
      </c>
      <c r="K162" s="56">
        <v>0</v>
      </c>
      <c r="L162" s="56">
        <v>114</v>
      </c>
      <c r="M162" s="56">
        <v>107</v>
      </c>
      <c r="N162" s="56">
        <v>106</v>
      </c>
      <c r="O162" s="56">
        <v>112</v>
      </c>
      <c r="Q162" s="1" t="s">
        <v>2011</v>
      </c>
    </row>
    <row r="163" spans="1:17">
      <c r="A163" s="1" t="s">
        <v>5393</v>
      </c>
      <c r="B163" s="1" t="s">
        <v>3393</v>
      </c>
      <c r="C163" s="55" t="s">
        <v>11954</v>
      </c>
      <c r="D163" s="56">
        <v>0</v>
      </c>
      <c r="E163" s="56">
        <v>0</v>
      </c>
      <c r="F163" s="56">
        <v>0</v>
      </c>
      <c r="G163" s="56">
        <v>0</v>
      </c>
      <c r="H163" s="56">
        <v>0</v>
      </c>
      <c r="I163" s="56">
        <v>0</v>
      </c>
      <c r="J163" s="56">
        <v>0</v>
      </c>
      <c r="K163" s="56">
        <v>0</v>
      </c>
      <c r="L163" s="56">
        <v>1338</v>
      </c>
      <c r="M163" s="56">
        <v>1251</v>
      </c>
      <c r="N163" s="56">
        <v>1230</v>
      </c>
      <c r="O163" s="56">
        <v>1290</v>
      </c>
      <c r="Q163" s="1" t="s">
        <v>2011</v>
      </c>
    </row>
    <row r="164" spans="1:17">
      <c r="A164" s="1" t="s">
        <v>5394</v>
      </c>
      <c r="B164" s="1" t="s">
        <v>3394</v>
      </c>
      <c r="C164" s="55" t="s">
        <v>11955</v>
      </c>
      <c r="D164" s="56">
        <v>0</v>
      </c>
      <c r="E164" s="56">
        <v>0</v>
      </c>
      <c r="F164" s="56">
        <v>0</v>
      </c>
      <c r="G164" s="56">
        <v>0</v>
      </c>
      <c r="H164" s="56">
        <v>0</v>
      </c>
      <c r="I164" s="56">
        <v>0</v>
      </c>
      <c r="J164" s="56">
        <v>0</v>
      </c>
      <c r="K164" s="56">
        <v>0</v>
      </c>
      <c r="L164" s="56">
        <v>102</v>
      </c>
      <c r="M164" s="56">
        <v>86</v>
      </c>
      <c r="N164" s="56">
        <v>77</v>
      </c>
      <c r="O164" s="56">
        <v>87</v>
      </c>
      <c r="Q164" s="1" t="s">
        <v>2011</v>
      </c>
    </row>
    <row r="165" spans="1:17">
      <c r="D165" s="826"/>
      <c r="E165" s="826"/>
      <c r="F165" s="826"/>
      <c r="G165" s="826"/>
      <c r="H165" s="826"/>
      <c r="I165" s="826"/>
      <c r="J165" s="826"/>
      <c r="K165" s="826"/>
      <c r="L165" s="826"/>
      <c r="M165" s="826"/>
      <c r="N165" s="826"/>
      <c r="O165" s="826"/>
    </row>
    <row r="166" spans="1:17">
      <c r="A166" s="1" t="s">
        <v>3395</v>
      </c>
      <c r="D166" s="823">
        <f t="shared" ref="D166:L166" si="42">SUM(D160:D164)</f>
        <v>1752</v>
      </c>
      <c r="E166" s="823">
        <f t="shared" si="42"/>
        <v>1763</v>
      </c>
      <c r="F166" s="823">
        <f t="shared" si="42"/>
        <v>1721</v>
      </c>
      <c r="G166" s="823">
        <f t="shared" si="42"/>
        <v>1750</v>
      </c>
      <c r="H166" s="823">
        <f t="shared" si="42"/>
        <v>1631</v>
      </c>
      <c r="I166" s="823">
        <f t="shared" si="42"/>
        <v>1637</v>
      </c>
      <c r="J166" s="823">
        <f t="shared" si="42"/>
        <v>1651</v>
      </c>
      <c r="K166" s="823">
        <f t="shared" si="42"/>
        <v>1742</v>
      </c>
      <c r="L166" s="823">
        <f t="shared" si="42"/>
        <v>1696</v>
      </c>
      <c r="M166" s="823">
        <f>SUM(M160:M164)</f>
        <v>1586</v>
      </c>
      <c r="N166" s="823">
        <f>SUM(N160:N164)</f>
        <v>1551</v>
      </c>
      <c r="O166" s="823">
        <f>SUM(O160:O164)</f>
        <v>1628</v>
      </c>
    </row>
    <row r="167" spans="1:17">
      <c r="A167" s="1"/>
      <c r="B167" s="1"/>
      <c r="C167" s="1"/>
      <c r="D167" s="830"/>
      <c r="E167" s="830"/>
      <c r="F167" s="830"/>
      <c r="G167" s="830"/>
      <c r="H167" s="830"/>
      <c r="I167" s="830"/>
      <c r="J167" s="830"/>
      <c r="K167" s="830"/>
      <c r="L167" s="830"/>
    </row>
    <row r="168" spans="1:17">
      <c r="A168" s="1" t="s">
        <v>11956</v>
      </c>
      <c r="B168" s="1"/>
      <c r="C168" s="1"/>
      <c r="D168" s="830"/>
      <c r="E168" s="830"/>
      <c r="F168" s="830"/>
      <c r="G168" s="830"/>
      <c r="H168" s="830"/>
      <c r="I168" s="830"/>
      <c r="J168" s="830"/>
      <c r="K168" s="830"/>
      <c r="L168" s="830"/>
    </row>
  </sheetData>
  <phoneticPr fontId="6" type="noConversion"/>
  <printOptions gridLinesSet="0"/>
  <pageMargins left="0.78740157480314965" right="0" top="0.51181102362204722" bottom="0.51181102362204722" header="0.51181102362204722" footer="0.51181102362204722"/>
  <pageSetup paperSize="9" scale="64" orientation="portrait" r:id="rId1"/>
  <headerFooter alignWithMargins="0">
    <oddFooter>&amp;C&amp;"Times New Roman,Regular"&amp;8&amp;P of &amp;N</oddFooter>
  </headerFooter>
  <rowBreaks count="1" manualBreakCount="1">
    <brk id="31" max="16383" man="1"/>
  </rowBreaks>
  <ignoredErrors>
    <ignoredError sqref="D166:E166 D159:E159 D4:D6 E4:E6 F4:F6 F159 G4:G6 G166:K166 G159:K159 D9 E9 F9 G9 D3:G3 D7:G8 H3:H6 H7:H9 I3:I9 J3:J9 K3:K9 F165:F166 L3:L9 L158:L166 D23:D28 E23:E28 F23:F28 G23:G28 H23:H28 I23:I28 J23:J28 K23:K28 L23:L34"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Q58"/>
  <sheetViews>
    <sheetView showGridLines="0" topLeftCell="A43" zoomScale="90" zoomScaleNormal="90" workbookViewId="0">
      <selection activeCell="S49" sqref="S49"/>
    </sheetView>
  </sheetViews>
  <sheetFormatPr defaultColWidth="12.5703125" defaultRowHeight="15"/>
  <cols>
    <col min="1" max="1" width="4.85546875" style="817" customWidth="1"/>
    <col min="2" max="2" width="35.7109375" style="165" customWidth="1"/>
    <col min="3" max="3" width="11.5703125" style="165" customWidth="1"/>
    <col min="4" max="12" width="10" style="165" customWidth="1"/>
    <col min="13" max="15" width="10.140625" style="165" customWidth="1"/>
    <col min="16" max="16" width="2.28515625" style="165" customWidth="1"/>
    <col min="17" max="17" width="21.85546875" style="165" customWidth="1"/>
    <col min="18" max="16384" width="12.5703125" style="165"/>
  </cols>
  <sheetData>
    <row r="1" spans="1:17">
      <c r="A1" s="814" t="s">
        <v>5719</v>
      </c>
      <c r="D1" s="815">
        <v>2010</v>
      </c>
      <c r="E1" s="815">
        <v>2011</v>
      </c>
      <c r="F1" s="815">
        <v>2012</v>
      </c>
      <c r="G1" s="815">
        <v>2013</v>
      </c>
      <c r="H1" s="815">
        <v>2014</v>
      </c>
      <c r="I1" s="815">
        <v>2015</v>
      </c>
      <c r="J1" s="815">
        <v>2016</v>
      </c>
      <c r="K1" s="815">
        <v>2017</v>
      </c>
      <c r="L1" s="815">
        <v>2018</v>
      </c>
      <c r="M1" s="815">
        <v>2019</v>
      </c>
      <c r="N1" s="815">
        <v>2020</v>
      </c>
      <c r="O1" s="984" t="s">
        <v>14823</v>
      </c>
    </row>
    <row r="3" spans="1:17">
      <c r="A3" s="814" t="s">
        <v>4943</v>
      </c>
      <c r="D3" s="816">
        <f t="shared" ref="D3:L3" si="0">SUM(D19:D26,D28:D40,D42:D43,D45:D48,D50:D53,D55:D56)</f>
        <v>239547</v>
      </c>
      <c r="E3" s="816">
        <f t="shared" si="0"/>
        <v>243641</v>
      </c>
      <c r="F3" s="816">
        <f t="shared" si="0"/>
        <v>246245</v>
      </c>
      <c r="G3" s="816">
        <f t="shared" si="0"/>
        <v>247402</v>
      </c>
      <c r="H3" s="816">
        <f t="shared" si="0"/>
        <v>244767</v>
      </c>
      <c r="I3" s="816">
        <f t="shared" si="0"/>
        <v>239487</v>
      </c>
      <c r="J3" s="816">
        <f t="shared" si="0"/>
        <v>234188</v>
      </c>
      <c r="K3" s="816">
        <f t="shared" si="0"/>
        <v>251183</v>
      </c>
      <c r="L3" s="816">
        <f t="shared" si="0"/>
        <v>246784</v>
      </c>
      <c r="M3" s="816">
        <f>SUM(M19:M26,M28:M40,M42:M43,M45:M48,M50:M53,M55:M56)</f>
        <v>245402</v>
      </c>
      <c r="N3" s="816">
        <f>SUM(N19:N26,N28:N40,N42:N43,N45:N48,N50:N53,N55:N56)</f>
        <v>247747</v>
      </c>
      <c r="O3" s="816">
        <f>SUM(O19:O26,O28:O40,O42:O43,O45:O48,O50:O53,O55:O56)</f>
        <v>254285</v>
      </c>
    </row>
    <row r="4" spans="1:17">
      <c r="D4" s="816"/>
      <c r="E4" s="816"/>
      <c r="F4" s="816"/>
      <c r="G4" s="816"/>
      <c r="H4" s="816"/>
      <c r="I4" s="816"/>
      <c r="J4" s="816"/>
      <c r="K4" s="816"/>
      <c r="L4" s="816"/>
    </row>
    <row r="5" spans="1:17">
      <c r="A5" s="814" t="s">
        <v>4944</v>
      </c>
      <c r="D5" s="816">
        <f t="shared" ref="D5:I5" si="1">D3/3</f>
        <v>79849</v>
      </c>
      <c r="E5" s="816">
        <f t="shared" si="1"/>
        <v>81213.666666666672</v>
      </c>
      <c r="F5" s="816">
        <f t="shared" si="1"/>
        <v>82081.666666666672</v>
      </c>
      <c r="G5" s="816">
        <f t="shared" si="1"/>
        <v>82467.333333333328</v>
      </c>
      <c r="H5" s="816">
        <f t="shared" si="1"/>
        <v>81589</v>
      </c>
      <c r="I5" s="816">
        <f t="shared" si="1"/>
        <v>79829</v>
      </c>
      <c r="J5" s="816">
        <f t="shared" ref="J5:O5" si="2">J3/3</f>
        <v>78062.666666666672</v>
      </c>
      <c r="K5" s="816">
        <f t="shared" si="2"/>
        <v>83727.666666666672</v>
      </c>
      <c r="L5" s="816">
        <f t="shared" si="2"/>
        <v>82261.333333333328</v>
      </c>
      <c r="M5" s="816">
        <f t="shared" si="2"/>
        <v>81800.666666666672</v>
      </c>
      <c r="N5" s="816">
        <f t="shared" si="2"/>
        <v>82582.333333333328</v>
      </c>
      <c r="O5" s="816">
        <f t="shared" si="2"/>
        <v>84761.666666666672</v>
      </c>
    </row>
    <row r="6" spans="1:17">
      <c r="D6" s="818"/>
      <c r="E6" s="818"/>
      <c r="F6" s="818"/>
      <c r="G6" s="818"/>
      <c r="H6" s="818"/>
      <c r="I6" s="818"/>
      <c r="J6" s="818"/>
      <c r="K6" s="818"/>
      <c r="L6" s="818"/>
      <c r="M6" s="818"/>
      <c r="N6" s="818"/>
      <c r="O6" s="818"/>
    </row>
    <row r="7" spans="1:17">
      <c r="A7" s="814" t="s">
        <v>4945</v>
      </c>
      <c r="D7" s="816">
        <f t="shared" ref="D7:L7" si="3">SUM(D19:D20,D25,D29:D30,D34,D39,D42,D45:D47,D56)</f>
        <v>75646</v>
      </c>
      <c r="E7" s="816">
        <f t="shared" si="3"/>
        <v>76980</v>
      </c>
      <c r="F7" s="816">
        <f t="shared" si="3"/>
        <v>77801</v>
      </c>
      <c r="G7" s="816">
        <f t="shared" si="3"/>
        <v>78232</v>
      </c>
      <c r="H7" s="816">
        <f t="shared" si="3"/>
        <v>77651</v>
      </c>
      <c r="I7" s="816">
        <f t="shared" si="3"/>
        <v>76249</v>
      </c>
      <c r="J7" s="816">
        <f t="shared" si="3"/>
        <v>74571</v>
      </c>
      <c r="K7" s="816">
        <f t="shared" si="3"/>
        <v>79802</v>
      </c>
      <c r="L7" s="816">
        <f t="shared" si="3"/>
        <v>78797</v>
      </c>
      <c r="M7" s="816">
        <f>SUM(M19:M20,M25,M29:M30,M34,M39,M42,M45:M47,M56)</f>
        <v>78554</v>
      </c>
      <c r="N7" s="816">
        <f>SUM(N19:N20,N25,N29:N30,N34,N39,N42,N45:N47,N56)</f>
        <v>79376</v>
      </c>
      <c r="O7" s="816">
        <f>SUM(O19:O20,O25,O29:O30,O34,O39,O42,O45:O47,O56)</f>
        <v>81481</v>
      </c>
      <c r="Q7" s="819" t="s">
        <v>2035</v>
      </c>
    </row>
    <row r="8" spans="1:17">
      <c r="D8" s="818"/>
      <c r="E8" s="818"/>
      <c r="F8" s="818"/>
      <c r="G8" s="818"/>
      <c r="H8" s="818"/>
      <c r="I8" s="818"/>
      <c r="J8" s="818"/>
      <c r="K8" s="818"/>
      <c r="L8" s="818"/>
      <c r="M8" s="818"/>
      <c r="N8" s="818"/>
      <c r="O8" s="818"/>
    </row>
    <row r="9" spans="1:17">
      <c r="A9" s="814" t="s">
        <v>2036</v>
      </c>
      <c r="D9" s="816">
        <f t="shared" ref="D9:L9" si="4">SUM(D21:D22,D24,D26,D31:D32,D38,D50:D52,D55)</f>
        <v>83121</v>
      </c>
      <c r="E9" s="816">
        <f t="shared" si="4"/>
        <v>85107</v>
      </c>
      <c r="F9" s="816">
        <f t="shared" si="4"/>
        <v>86459</v>
      </c>
      <c r="G9" s="816">
        <f t="shared" si="4"/>
        <v>86991</v>
      </c>
      <c r="H9" s="816">
        <f t="shared" si="4"/>
        <v>85454</v>
      </c>
      <c r="I9" s="816">
        <f t="shared" si="4"/>
        <v>82575</v>
      </c>
      <c r="J9" s="816">
        <f t="shared" si="4"/>
        <v>80523</v>
      </c>
      <c r="K9" s="816">
        <f t="shared" si="4"/>
        <v>87301</v>
      </c>
      <c r="L9" s="816">
        <f t="shared" si="4"/>
        <v>85565</v>
      </c>
      <c r="M9" s="816">
        <f>SUM(M21:M22,M24,M26,M31:M32,M38,M50:M52,M55)</f>
        <v>85196</v>
      </c>
      <c r="N9" s="816">
        <f>SUM(N21:N22,N24,N26,N31:N32,N38,N50:N52,N55)</f>
        <v>85890</v>
      </c>
      <c r="O9" s="816">
        <f>SUM(O21:O22,O24,O26,O31:O32,O38,O50:O52,O55)</f>
        <v>88530</v>
      </c>
      <c r="Q9" s="819" t="s">
        <v>2035</v>
      </c>
    </row>
    <row r="10" spans="1:17">
      <c r="D10" s="818"/>
      <c r="E10" s="818"/>
      <c r="F10" s="818"/>
      <c r="G10" s="818"/>
      <c r="H10" s="818"/>
      <c r="I10" s="818"/>
      <c r="J10" s="818"/>
      <c r="K10" s="818"/>
      <c r="L10" s="818"/>
      <c r="M10" s="818"/>
      <c r="N10" s="818"/>
      <c r="O10" s="818"/>
    </row>
    <row r="11" spans="1:17">
      <c r="A11" s="814" t="s">
        <v>2037</v>
      </c>
      <c r="D11" s="816">
        <f t="shared" ref="D11:L11" si="5">SUM(D23,D28,D33,D35:D37,D40,D43,D48,D53)</f>
        <v>80780</v>
      </c>
      <c r="E11" s="816">
        <f t="shared" si="5"/>
        <v>81554</v>
      </c>
      <c r="F11" s="816">
        <f t="shared" si="5"/>
        <v>81985</v>
      </c>
      <c r="G11" s="816">
        <f t="shared" si="5"/>
        <v>82179</v>
      </c>
      <c r="H11" s="816">
        <f t="shared" si="5"/>
        <v>81662</v>
      </c>
      <c r="I11" s="816">
        <f t="shared" si="5"/>
        <v>80663</v>
      </c>
      <c r="J11" s="816">
        <f t="shared" si="5"/>
        <v>79094</v>
      </c>
      <c r="K11" s="816">
        <f t="shared" si="5"/>
        <v>84080</v>
      </c>
      <c r="L11" s="816">
        <f t="shared" si="5"/>
        <v>82422</v>
      </c>
      <c r="M11" s="816">
        <f>SUM(M23,M28,M33,M35:M37,M40,M43,M48,M53)</f>
        <v>81652</v>
      </c>
      <c r="N11" s="816">
        <f>SUM(N23,N28,N33,N35:N37,N40,N43,N48,N53)</f>
        <v>82481</v>
      </c>
      <c r="O11" s="816">
        <f>SUM(O23,O28,O33,O35:O37,O40,O43,O48,O53)</f>
        <v>84274</v>
      </c>
      <c r="Q11" s="819" t="s">
        <v>2035</v>
      </c>
    </row>
    <row r="12" spans="1:17">
      <c r="D12" s="818"/>
      <c r="E12" s="818"/>
      <c r="F12" s="818"/>
      <c r="G12" s="818"/>
      <c r="H12" s="818"/>
      <c r="I12" s="818"/>
      <c r="J12" s="818"/>
      <c r="K12" s="818"/>
      <c r="L12" s="818"/>
      <c r="M12" s="818"/>
      <c r="N12" s="818"/>
      <c r="O12" s="818"/>
    </row>
    <row r="13" spans="1:17">
      <c r="A13" s="814" t="s">
        <v>6796</v>
      </c>
      <c r="D13" s="816">
        <f t="shared" ref="D13:I13" si="6">D7+D9+D11</f>
        <v>239547</v>
      </c>
      <c r="E13" s="816">
        <f t="shared" si="6"/>
        <v>243641</v>
      </c>
      <c r="F13" s="816">
        <f t="shared" si="6"/>
        <v>246245</v>
      </c>
      <c r="G13" s="816">
        <f t="shared" si="6"/>
        <v>247402</v>
      </c>
      <c r="H13" s="816">
        <f t="shared" si="6"/>
        <v>244767</v>
      </c>
      <c r="I13" s="816">
        <f t="shared" si="6"/>
        <v>239487</v>
      </c>
      <c r="J13" s="816">
        <f t="shared" ref="J13:O13" si="7">J7+J9+J11</f>
        <v>234188</v>
      </c>
      <c r="K13" s="816">
        <f t="shared" si="7"/>
        <v>251183</v>
      </c>
      <c r="L13" s="816">
        <f t="shared" si="7"/>
        <v>246784</v>
      </c>
      <c r="M13" s="816">
        <f t="shared" si="7"/>
        <v>245402</v>
      </c>
      <c r="N13" s="816">
        <f t="shared" si="7"/>
        <v>247747</v>
      </c>
      <c r="O13" s="816">
        <f t="shared" si="7"/>
        <v>254285</v>
      </c>
    </row>
    <row r="14" spans="1:17">
      <c r="D14" s="818"/>
      <c r="E14" s="818"/>
      <c r="F14" s="818"/>
      <c r="G14" s="818"/>
      <c r="H14" s="818"/>
      <c r="I14" s="818"/>
      <c r="J14" s="818"/>
      <c r="K14" s="818"/>
      <c r="L14" s="818"/>
      <c r="M14" s="818"/>
      <c r="N14" s="818"/>
      <c r="O14" s="818"/>
    </row>
    <row r="15" spans="1:17">
      <c r="A15" s="814" t="s">
        <v>6797</v>
      </c>
      <c r="D15" s="816">
        <f t="shared" ref="D15:I15" si="8">MAX(D7,D9,D11)-MIN(D7,D9,D11)</f>
        <v>7475</v>
      </c>
      <c r="E15" s="816">
        <f t="shared" si="8"/>
        <v>8127</v>
      </c>
      <c r="F15" s="816">
        <f t="shared" si="8"/>
        <v>8658</v>
      </c>
      <c r="G15" s="816">
        <f t="shared" si="8"/>
        <v>8759</v>
      </c>
      <c r="H15" s="816">
        <f t="shared" si="8"/>
        <v>7803</v>
      </c>
      <c r="I15" s="816">
        <f t="shared" si="8"/>
        <v>6326</v>
      </c>
      <c r="J15" s="816">
        <f t="shared" ref="J15:O15" si="9">MAX(J7,J9,J11)-MIN(J7,J9,J11)</f>
        <v>5952</v>
      </c>
      <c r="K15" s="816">
        <f t="shared" si="9"/>
        <v>7499</v>
      </c>
      <c r="L15" s="816">
        <f t="shared" si="9"/>
        <v>6768</v>
      </c>
      <c r="M15" s="816">
        <f t="shared" si="9"/>
        <v>6642</v>
      </c>
      <c r="N15" s="816">
        <f t="shared" si="9"/>
        <v>6514</v>
      </c>
      <c r="O15" s="816">
        <f t="shared" si="9"/>
        <v>7049</v>
      </c>
    </row>
    <row r="16" spans="1:17">
      <c r="D16" s="818"/>
      <c r="E16" s="818"/>
      <c r="F16" s="818"/>
      <c r="G16" s="818"/>
      <c r="H16" s="818"/>
      <c r="I16" s="818"/>
      <c r="J16" s="818"/>
      <c r="K16" s="818"/>
      <c r="L16" s="818"/>
      <c r="M16" s="818"/>
      <c r="N16" s="818"/>
      <c r="O16" s="818"/>
    </row>
    <row r="17" spans="1:17">
      <c r="A17" s="814" t="s">
        <v>6800</v>
      </c>
      <c r="D17" s="816">
        <f t="shared" ref="D17:I17" si="10">STDEVP(D7,D9,D11)</f>
        <v>3121.8559650737679</v>
      </c>
      <c r="E17" s="816">
        <f t="shared" si="10"/>
        <v>3326.5499979541701</v>
      </c>
      <c r="F17" s="816">
        <f t="shared" si="10"/>
        <v>3535.2745610804013</v>
      </c>
      <c r="G17" s="816">
        <f t="shared" si="10"/>
        <v>3581.6543973731223</v>
      </c>
      <c r="H17" s="816">
        <f t="shared" si="10"/>
        <v>3185.9795981769876</v>
      </c>
      <c r="I17" s="816">
        <f t="shared" si="10"/>
        <v>2649.0546741557955</v>
      </c>
      <c r="J17" s="816">
        <f t="shared" ref="J17:O17" si="11">STDEVP(J7,J9,J11)</f>
        <v>2536.9683132081532</v>
      </c>
      <c r="K17" s="816">
        <f t="shared" si="11"/>
        <v>3071.5744424570858</v>
      </c>
      <c r="L17" s="816">
        <f t="shared" si="11"/>
        <v>2765.3590885975168</v>
      </c>
      <c r="M17" s="816">
        <f t="shared" si="11"/>
        <v>2713.6220976563573</v>
      </c>
      <c r="N17" s="816">
        <f t="shared" si="11"/>
        <v>2660.2945116826613</v>
      </c>
      <c r="O17" s="816">
        <f t="shared" si="11"/>
        <v>2898.3287521527914</v>
      </c>
    </row>
    <row r="18" spans="1:17">
      <c r="D18" s="818"/>
      <c r="E18" s="818"/>
      <c r="F18" s="818"/>
      <c r="G18" s="818"/>
      <c r="H18" s="818"/>
      <c r="I18" s="818"/>
      <c r="J18" s="818"/>
      <c r="K18" s="818"/>
      <c r="L18" s="818"/>
      <c r="M18" s="818"/>
      <c r="N18" s="818"/>
      <c r="O18" s="818"/>
    </row>
    <row r="19" spans="1:17">
      <c r="A19" s="814" t="s">
        <v>5387</v>
      </c>
      <c r="B19" s="55" t="s">
        <v>12276</v>
      </c>
      <c r="C19" s="165" t="s">
        <v>12295</v>
      </c>
      <c r="D19" s="820">
        <v>75646</v>
      </c>
      <c r="E19" s="820">
        <v>76980</v>
      </c>
      <c r="F19" s="820">
        <v>77801</v>
      </c>
      <c r="G19" s="820">
        <v>78232</v>
      </c>
      <c r="H19" s="56">
        <v>77651</v>
      </c>
      <c r="I19" s="56">
        <v>76249</v>
      </c>
      <c r="J19" s="56">
        <v>74571</v>
      </c>
      <c r="K19" s="56">
        <v>79802</v>
      </c>
      <c r="L19" s="56">
        <v>78797</v>
      </c>
      <c r="M19" s="56">
        <v>8041</v>
      </c>
      <c r="N19" s="56">
        <v>8005</v>
      </c>
      <c r="O19" s="56">
        <v>8190</v>
      </c>
      <c r="Q19" s="165" t="s">
        <v>12275</v>
      </c>
    </row>
    <row r="20" spans="1:17">
      <c r="A20" s="814" t="s">
        <v>5389</v>
      </c>
      <c r="B20" s="55" t="s">
        <v>12277</v>
      </c>
      <c r="C20" s="165" t="s">
        <v>12296</v>
      </c>
      <c r="D20" s="820">
        <v>0</v>
      </c>
      <c r="E20" s="820">
        <v>0</v>
      </c>
      <c r="F20" s="820">
        <v>0</v>
      </c>
      <c r="G20" s="820">
        <v>0</v>
      </c>
      <c r="H20" s="820">
        <v>0</v>
      </c>
      <c r="I20" s="820">
        <v>0</v>
      </c>
      <c r="J20" s="820">
        <v>0</v>
      </c>
      <c r="K20" s="820">
        <v>0</v>
      </c>
      <c r="L20" s="820">
        <v>0</v>
      </c>
      <c r="M20" s="56">
        <v>8869</v>
      </c>
      <c r="N20" s="56">
        <v>9086</v>
      </c>
      <c r="O20" s="56">
        <v>9351</v>
      </c>
      <c r="Q20" s="165" t="s">
        <v>12275</v>
      </c>
    </row>
    <row r="21" spans="1:17">
      <c r="A21" s="814" t="s">
        <v>5391</v>
      </c>
      <c r="B21" s="55" t="s">
        <v>2038</v>
      </c>
      <c r="C21" s="165" t="s">
        <v>12297</v>
      </c>
      <c r="D21" s="820">
        <v>83121</v>
      </c>
      <c r="E21" s="820">
        <v>85107</v>
      </c>
      <c r="F21" s="820">
        <v>86459</v>
      </c>
      <c r="G21" s="820">
        <v>86991</v>
      </c>
      <c r="H21" s="820">
        <v>85454</v>
      </c>
      <c r="I21" s="820">
        <v>82575</v>
      </c>
      <c r="J21" s="820">
        <v>80523</v>
      </c>
      <c r="K21" s="820">
        <v>87301</v>
      </c>
      <c r="L21" s="820">
        <v>85565</v>
      </c>
      <c r="M21" s="56">
        <v>9735</v>
      </c>
      <c r="N21" s="56">
        <v>9800</v>
      </c>
      <c r="O21" s="56">
        <v>10058</v>
      </c>
      <c r="Q21" s="165" t="s">
        <v>12285</v>
      </c>
    </row>
    <row r="22" spans="1:17">
      <c r="A22" s="814" t="s">
        <v>5393</v>
      </c>
      <c r="B22" s="55" t="s">
        <v>2039</v>
      </c>
      <c r="C22" s="165" t="s">
        <v>12298</v>
      </c>
      <c r="D22" s="820">
        <v>0</v>
      </c>
      <c r="E22" s="820">
        <v>0</v>
      </c>
      <c r="F22" s="820">
        <v>0</v>
      </c>
      <c r="G22" s="820">
        <v>0</v>
      </c>
      <c r="H22" s="820">
        <v>0</v>
      </c>
      <c r="I22" s="820">
        <v>0</v>
      </c>
      <c r="J22" s="820">
        <v>0</v>
      </c>
      <c r="K22" s="820">
        <v>0</v>
      </c>
      <c r="L22" s="820">
        <v>0</v>
      </c>
      <c r="M22" s="56">
        <v>11033</v>
      </c>
      <c r="N22" s="56">
        <v>11051</v>
      </c>
      <c r="O22" s="56">
        <v>11420</v>
      </c>
      <c r="Q22" s="165" t="s">
        <v>12285</v>
      </c>
    </row>
    <row r="23" spans="1:17">
      <c r="A23" s="814" t="s">
        <v>5394</v>
      </c>
      <c r="B23" s="55" t="s">
        <v>12290</v>
      </c>
      <c r="C23" s="165" t="s">
        <v>12299</v>
      </c>
      <c r="D23" s="820">
        <v>80780</v>
      </c>
      <c r="E23" s="820">
        <v>81554</v>
      </c>
      <c r="F23" s="820">
        <v>81985</v>
      </c>
      <c r="G23" s="820">
        <v>82179</v>
      </c>
      <c r="H23" s="820">
        <v>81662</v>
      </c>
      <c r="I23" s="820">
        <v>80663</v>
      </c>
      <c r="J23" s="820">
        <v>79094</v>
      </c>
      <c r="K23" s="820">
        <v>84080</v>
      </c>
      <c r="L23" s="820">
        <v>82422</v>
      </c>
      <c r="M23" s="56">
        <v>9837</v>
      </c>
      <c r="N23" s="56">
        <v>10152</v>
      </c>
      <c r="O23" s="56">
        <v>10429</v>
      </c>
      <c r="Q23" s="165" t="s">
        <v>12289</v>
      </c>
    </row>
    <row r="24" spans="1:17">
      <c r="A24" s="814" t="s">
        <v>5416</v>
      </c>
      <c r="B24" s="55" t="s">
        <v>12286</v>
      </c>
      <c r="C24" s="165" t="s">
        <v>12300</v>
      </c>
      <c r="D24" s="820">
        <v>0</v>
      </c>
      <c r="E24" s="820">
        <v>0</v>
      </c>
      <c r="F24" s="820">
        <v>0</v>
      </c>
      <c r="G24" s="820">
        <v>0</v>
      </c>
      <c r="H24" s="820">
        <v>0</v>
      </c>
      <c r="I24" s="820">
        <v>0</v>
      </c>
      <c r="J24" s="820">
        <v>0</v>
      </c>
      <c r="K24" s="820">
        <v>0</v>
      </c>
      <c r="L24" s="820">
        <v>0</v>
      </c>
      <c r="M24" s="56">
        <v>10382</v>
      </c>
      <c r="N24" s="56">
        <v>10649</v>
      </c>
      <c r="O24" s="56">
        <v>10964</v>
      </c>
      <c r="Q24" s="165" t="s">
        <v>12285</v>
      </c>
    </row>
    <row r="25" spans="1:17">
      <c r="A25" s="814" t="s">
        <v>5418</v>
      </c>
      <c r="B25" s="55" t="s">
        <v>2040</v>
      </c>
      <c r="C25" s="165" t="s">
        <v>12301</v>
      </c>
      <c r="D25" s="820">
        <v>0</v>
      </c>
      <c r="E25" s="820">
        <v>0</v>
      </c>
      <c r="F25" s="820">
        <v>0</v>
      </c>
      <c r="G25" s="820">
        <v>0</v>
      </c>
      <c r="H25" s="820">
        <v>0</v>
      </c>
      <c r="I25" s="820">
        <v>0</v>
      </c>
      <c r="J25" s="820">
        <v>0</v>
      </c>
      <c r="K25" s="820">
        <v>0</v>
      </c>
      <c r="L25" s="820">
        <v>0</v>
      </c>
      <c r="M25" s="56">
        <v>5929</v>
      </c>
      <c r="N25" s="56">
        <v>6411</v>
      </c>
      <c r="O25" s="56">
        <v>6796</v>
      </c>
      <c r="Q25" s="165" t="s">
        <v>12275</v>
      </c>
    </row>
    <row r="26" spans="1:17" ht="15.75" thickBot="1">
      <c r="A26" s="814"/>
      <c r="B26" s="55"/>
      <c r="C26" s="165" t="s">
        <v>12301</v>
      </c>
      <c r="D26" s="820">
        <v>0</v>
      </c>
      <c r="E26" s="820">
        <v>0</v>
      </c>
      <c r="F26" s="820">
        <v>0</v>
      </c>
      <c r="G26" s="820">
        <v>0</v>
      </c>
      <c r="H26" s="820">
        <v>0</v>
      </c>
      <c r="I26" s="820">
        <v>0</v>
      </c>
      <c r="J26" s="820">
        <v>0</v>
      </c>
      <c r="K26" s="820">
        <v>0</v>
      </c>
      <c r="L26" s="820">
        <v>0</v>
      </c>
      <c r="M26" s="56">
        <v>857</v>
      </c>
      <c r="N26" s="56">
        <v>849</v>
      </c>
      <c r="O26" s="56">
        <v>834</v>
      </c>
      <c r="Q26" s="165" t="s">
        <v>12285</v>
      </c>
    </row>
    <row r="27" spans="1:17" ht="15.75" thickBot="1">
      <c r="C27" s="165" t="s">
        <v>12301</v>
      </c>
      <c r="D27" s="821">
        <f>SUM(D25:D26)</f>
        <v>0</v>
      </c>
      <c r="E27" s="821">
        <f t="shared" ref="E27:M27" si="12">SUM(E25:E26)</f>
        <v>0</v>
      </c>
      <c r="F27" s="821">
        <f t="shared" si="12"/>
        <v>0</v>
      </c>
      <c r="G27" s="821">
        <f t="shared" si="12"/>
        <v>0</v>
      </c>
      <c r="H27" s="821">
        <f t="shared" si="12"/>
        <v>0</v>
      </c>
      <c r="I27" s="821">
        <f t="shared" si="12"/>
        <v>0</v>
      </c>
      <c r="J27" s="821">
        <f t="shared" si="12"/>
        <v>0</v>
      </c>
      <c r="K27" s="821">
        <f t="shared" si="12"/>
        <v>0</v>
      </c>
      <c r="L27" s="821">
        <f t="shared" si="12"/>
        <v>0</v>
      </c>
      <c r="M27" s="821">
        <f t="shared" si="12"/>
        <v>6786</v>
      </c>
      <c r="N27" s="821">
        <f>SUM(N25:N26)</f>
        <v>7260</v>
      </c>
      <c r="O27" s="821">
        <f>SUM(O25:O26)</f>
        <v>7630</v>
      </c>
    </row>
    <row r="28" spans="1:17">
      <c r="A28" s="814" t="s">
        <v>5420</v>
      </c>
      <c r="B28" s="165" t="s">
        <v>6395</v>
      </c>
      <c r="C28" s="165" t="s">
        <v>12302</v>
      </c>
      <c r="D28" s="820">
        <v>0</v>
      </c>
      <c r="E28" s="820">
        <v>0</v>
      </c>
      <c r="F28" s="820">
        <v>0</v>
      </c>
      <c r="G28" s="820">
        <v>0</v>
      </c>
      <c r="H28" s="820">
        <v>0</v>
      </c>
      <c r="I28" s="820">
        <v>0</v>
      </c>
      <c r="J28" s="820">
        <v>0</v>
      </c>
      <c r="K28" s="820">
        <v>0</v>
      </c>
      <c r="L28" s="820">
        <v>0</v>
      </c>
      <c r="M28" s="56">
        <v>7596</v>
      </c>
      <c r="N28" s="56">
        <v>7621</v>
      </c>
      <c r="O28" s="56">
        <v>7766</v>
      </c>
      <c r="Q28" s="165" t="s">
        <v>12289</v>
      </c>
    </row>
    <row r="29" spans="1:17">
      <c r="A29" s="814" t="s">
        <v>5422</v>
      </c>
      <c r="B29" s="55" t="s">
        <v>12278</v>
      </c>
      <c r="C29" s="165" t="s">
        <v>12303</v>
      </c>
      <c r="D29" s="820">
        <v>0</v>
      </c>
      <c r="E29" s="820">
        <v>0</v>
      </c>
      <c r="F29" s="820">
        <v>0</v>
      </c>
      <c r="G29" s="820">
        <v>0</v>
      </c>
      <c r="H29" s="820">
        <v>0</v>
      </c>
      <c r="I29" s="820">
        <v>0</v>
      </c>
      <c r="J29" s="820">
        <v>0</v>
      </c>
      <c r="K29" s="820">
        <v>0</v>
      </c>
      <c r="L29" s="820">
        <v>0</v>
      </c>
      <c r="M29" s="56">
        <v>6641</v>
      </c>
      <c r="N29" s="56">
        <v>6707</v>
      </c>
      <c r="O29" s="56">
        <v>6870</v>
      </c>
      <c r="Q29" s="165" t="s">
        <v>12275</v>
      </c>
    </row>
    <row r="30" spans="1:17">
      <c r="A30" s="814" t="s">
        <v>5424</v>
      </c>
      <c r="B30" s="55" t="s">
        <v>12279</v>
      </c>
      <c r="C30" s="165" t="s">
        <v>12304</v>
      </c>
      <c r="D30" s="820">
        <v>0</v>
      </c>
      <c r="E30" s="820">
        <v>0</v>
      </c>
      <c r="F30" s="820">
        <v>0</v>
      </c>
      <c r="G30" s="820">
        <v>0</v>
      </c>
      <c r="H30" s="820">
        <v>0</v>
      </c>
      <c r="I30" s="820">
        <v>0</v>
      </c>
      <c r="J30" s="820">
        <v>0</v>
      </c>
      <c r="K30" s="820">
        <v>0</v>
      </c>
      <c r="L30" s="820">
        <v>0</v>
      </c>
      <c r="M30" s="56">
        <v>7569</v>
      </c>
      <c r="N30" s="56">
        <v>7548</v>
      </c>
      <c r="O30" s="56">
        <v>7663</v>
      </c>
      <c r="Q30" s="165" t="s">
        <v>12275</v>
      </c>
    </row>
    <row r="31" spans="1:17">
      <c r="A31" s="814" t="s">
        <v>5426</v>
      </c>
      <c r="B31" s="55" t="s">
        <v>12287</v>
      </c>
      <c r="C31" s="165" t="s">
        <v>12305</v>
      </c>
      <c r="D31" s="820">
        <v>0</v>
      </c>
      <c r="E31" s="820">
        <v>0</v>
      </c>
      <c r="F31" s="820">
        <v>0</v>
      </c>
      <c r="G31" s="820">
        <v>0</v>
      </c>
      <c r="H31" s="820">
        <v>0</v>
      </c>
      <c r="I31" s="820">
        <v>0</v>
      </c>
      <c r="J31" s="820">
        <v>0</v>
      </c>
      <c r="K31" s="820">
        <v>0</v>
      </c>
      <c r="L31" s="820">
        <v>0</v>
      </c>
      <c r="M31" s="56">
        <v>7197</v>
      </c>
      <c r="N31" s="56">
        <v>7261</v>
      </c>
      <c r="O31" s="56">
        <v>7556</v>
      </c>
      <c r="Q31" s="165" t="s">
        <v>12285</v>
      </c>
    </row>
    <row r="32" spans="1:17">
      <c r="A32" s="814" t="s">
        <v>5428</v>
      </c>
      <c r="B32" s="55" t="s">
        <v>12288</v>
      </c>
      <c r="C32" s="165" t="s">
        <v>12306</v>
      </c>
      <c r="D32" s="820">
        <v>0</v>
      </c>
      <c r="E32" s="820">
        <v>0</v>
      </c>
      <c r="F32" s="820">
        <v>0</v>
      </c>
      <c r="G32" s="820">
        <v>0</v>
      </c>
      <c r="H32" s="820">
        <v>0</v>
      </c>
      <c r="I32" s="820">
        <v>0</v>
      </c>
      <c r="J32" s="820">
        <v>0</v>
      </c>
      <c r="K32" s="820">
        <v>0</v>
      </c>
      <c r="L32" s="820">
        <v>0</v>
      </c>
      <c r="M32" s="56">
        <v>6999</v>
      </c>
      <c r="N32" s="56">
        <v>7032</v>
      </c>
      <c r="O32" s="56">
        <v>7260</v>
      </c>
      <c r="Q32" s="165" t="s">
        <v>12285</v>
      </c>
    </row>
    <row r="33" spans="1:17">
      <c r="A33" s="814" t="s">
        <v>5429</v>
      </c>
      <c r="B33" s="165" t="s">
        <v>12291</v>
      </c>
      <c r="C33" s="165" t="s">
        <v>12307</v>
      </c>
      <c r="D33" s="820">
        <v>0</v>
      </c>
      <c r="E33" s="820">
        <v>0</v>
      </c>
      <c r="F33" s="820">
        <v>0</v>
      </c>
      <c r="G33" s="820">
        <v>0</v>
      </c>
      <c r="H33" s="820">
        <v>0</v>
      </c>
      <c r="I33" s="820">
        <v>0</v>
      </c>
      <c r="J33" s="820">
        <v>0</v>
      </c>
      <c r="K33" s="820">
        <v>0</v>
      </c>
      <c r="L33" s="820">
        <v>0</v>
      </c>
      <c r="M33" s="56">
        <v>7396</v>
      </c>
      <c r="N33" s="56">
        <v>7329</v>
      </c>
      <c r="O33" s="56">
        <v>7444</v>
      </c>
      <c r="Q33" s="165" t="s">
        <v>12289</v>
      </c>
    </row>
    <row r="34" spans="1:17">
      <c r="A34" s="814" t="s">
        <v>5431</v>
      </c>
      <c r="B34" s="55" t="s">
        <v>12280</v>
      </c>
      <c r="C34" s="165" t="s">
        <v>12308</v>
      </c>
      <c r="D34" s="820">
        <v>0</v>
      </c>
      <c r="E34" s="820">
        <v>0</v>
      </c>
      <c r="F34" s="820">
        <v>0</v>
      </c>
      <c r="G34" s="820">
        <v>0</v>
      </c>
      <c r="H34" s="820">
        <v>0</v>
      </c>
      <c r="I34" s="820">
        <v>0</v>
      </c>
      <c r="J34" s="820">
        <v>0</v>
      </c>
      <c r="K34" s="820">
        <v>0</v>
      </c>
      <c r="L34" s="820">
        <v>0</v>
      </c>
      <c r="M34" s="56">
        <v>3846</v>
      </c>
      <c r="N34" s="56">
        <v>3862</v>
      </c>
      <c r="O34" s="56">
        <v>3957</v>
      </c>
      <c r="Q34" s="165" t="s">
        <v>12275</v>
      </c>
    </row>
    <row r="35" spans="1:17">
      <c r="A35" s="814" t="s">
        <v>5433</v>
      </c>
      <c r="B35" s="165" t="s">
        <v>12292</v>
      </c>
      <c r="C35" s="165" t="s">
        <v>12309</v>
      </c>
      <c r="D35" s="820">
        <v>0</v>
      </c>
      <c r="E35" s="820">
        <v>0</v>
      </c>
      <c r="F35" s="820">
        <v>0</v>
      </c>
      <c r="G35" s="820">
        <v>0</v>
      </c>
      <c r="H35" s="820">
        <v>0</v>
      </c>
      <c r="I35" s="820">
        <v>0</v>
      </c>
      <c r="J35" s="820">
        <v>0</v>
      </c>
      <c r="K35" s="820">
        <v>0</v>
      </c>
      <c r="L35" s="820">
        <v>0</v>
      </c>
      <c r="M35" s="56">
        <v>11494</v>
      </c>
      <c r="N35" s="56">
        <v>11586</v>
      </c>
      <c r="O35" s="56">
        <v>11816</v>
      </c>
      <c r="Q35" s="165" t="s">
        <v>12289</v>
      </c>
    </row>
    <row r="36" spans="1:17">
      <c r="A36" s="814" t="s">
        <v>5435</v>
      </c>
      <c r="B36" s="165" t="s">
        <v>12293</v>
      </c>
      <c r="C36" s="165" t="s">
        <v>12310</v>
      </c>
      <c r="D36" s="820">
        <v>0</v>
      </c>
      <c r="E36" s="820">
        <v>0</v>
      </c>
      <c r="F36" s="820">
        <v>0</v>
      </c>
      <c r="G36" s="820">
        <v>0</v>
      </c>
      <c r="H36" s="820">
        <v>0</v>
      </c>
      <c r="I36" s="820">
        <v>0</v>
      </c>
      <c r="J36" s="820">
        <v>0</v>
      </c>
      <c r="K36" s="820">
        <v>0</v>
      </c>
      <c r="L36" s="820">
        <v>0</v>
      </c>
      <c r="M36" s="56">
        <v>7322</v>
      </c>
      <c r="N36" s="56">
        <v>7328</v>
      </c>
      <c r="O36" s="56">
        <v>7541</v>
      </c>
      <c r="Q36" s="165" t="s">
        <v>12289</v>
      </c>
    </row>
    <row r="37" spans="1:17">
      <c r="A37" s="814" t="s">
        <v>5436</v>
      </c>
      <c r="B37" s="165" t="s">
        <v>6397</v>
      </c>
      <c r="C37" s="165" t="s">
        <v>12311</v>
      </c>
      <c r="D37" s="820">
        <v>0</v>
      </c>
      <c r="E37" s="820">
        <v>0</v>
      </c>
      <c r="F37" s="820">
        <v>0</v>
      </c>
      <c r="G37" s="820">
        <v>0</v>
      </c>
      <c r="H37" s="820">
        <v>0</v>
      </c>
      <c r="I37" s="820">
        <v>0</v>
      </c>
      <c r="J37" s="820">
        <v>0</v>
      </c>
      <c r="K37" s="820">
        <v>0</v>
      </c>
      <c r="L37" s="820">
        <v>0</v>
      </c>
      <c r="M37" s="56">
        <v>11541</v>
      </c>
      <c r="N37" s="56">
        <v>11533</v>
      </c>
      <c r="O37" s="56">
        <v>11704</v>
      </c>
      <c r="Q37" s="165" t="s">
        <v>12289</v>
      </c>
    </row>
    <row r="38" spans="1:17">
      <c r="A38" s="814" t="s">
        <v>5437</v>
      </c>
      <c r="B38" s="55" t="s">
        <v>6398</v>
      </c>
      <c r="C38" s="165" t="s">
        <v>12312</v>
      </c>
      <c r="D38" s="820">
        <v>0</v>
      </c>
      <c r="E38" s="820">
        <v>0</v>
      </c>
      <c r="F38" s="820">
        <v>0</v>
      </c>
      <c r="G38" s="820">
        <v>0</v>
      </c>
      <c r="H38" s="820">
        <v>0</v>
      </c>
      <c r="I38" s="820">
        <v>0</v>
      </c>
      <c r="J38" s="820">
        <v>0</v>
      </c>
      <c r="K38" s="820">
        <v>0</v>
      </c>
      <c r="L38" s="820">
        <v>0</v>
      </c>
      <c r="M38" s="56">
        <v>6878</v>
      </c>
      <c r="N38" s="56">
        <v>6998</v>
      </c>
      <c r="O38" s="56">
        <v>7210</v>
      </c>
      <c r="Q38" s="165" t="s">
        <v>12285</v>
      </c>
    </row>
    <row r="39" spans="1:17">
      <c r="A39" s="814" t="s">
        <v>5439</v>
      </c>
      <c r="B39" s="55" t="s">
        <v>12281</v>
      </c>
      <c r="C39" s="165" t="s">
        <v>12313</v>
      </c>
      <c r="D39" s="820">
        <v>0</v>
      </c>
      <c r="E39" s="820">
        <v>0</v>
      </c>
      <c r="F39" s="820">
        <v>0</v>
      </c>
      <c r="G39" s="820">
        <v>0</v>
      </c>
      <c r="H39" s="820">
        <v>0</v>
      </c>
      <c r="I39" s="820">
        <v>0</v>
      </c>
      <c r="J39" s="820">
        <v>0</v>
      </c>
      <c r="K39" s="820">
        <v>0</v>
      </c>
      <c r="L39" s="820">
        <v>0</v>
      </c>
      <c r="M39" s="56">
        <v>3146</v>
      </c>
      <c r="N39" s="56">
        <v>3157</v>
      </c>
      <c r="O39" s="56">
        <v>3231</v>
      </c>
      <c r="Q39" s="165" t="s">
        <v>12275</v>
      </c>
    </row>
    <row r="40" spans="1:17" ht="15.75" thickBot="1">
      <c r="A40" s="814"/>
      <c r="C40" s="165" t="s">
        <v>12313</v>
      </c>
      <c r="D40" s="820">
        <v>0</v>
      </c>
      <c r="E40" s="820">
        <v>0</v>
      </c>
      <c r="F40" s="820">
        <v>0</v>
      </c>
      <c r="G40" s="820">
        <v>0</v>
      </c>
      <c r="H40" s="820">
        <v>0</v>
      </c>
      <c r="I40" s="820">
        <v>0</v>
      </c>
      <c r="J40" s="820">
        <v>0</v>
      </c>
      <c r="K40" s="820">
        <v>0</v>
      </c>
      <c r="L40" s="820">
        <v>0</v>
      </c>
      <c r="M40" s="56">
        <v>4448</v>
      </c>
      <c r="N40" s="56">
        <v>4498</v>
      </c>
      <c r="O40" s="56">
        <v>4563</v>
      </c>
      <c r="Q40" s="165" t="s">
        <v>12289</v>
      </c>
    </row>
    <row r="41" spans="1:17" ht="15.75" thickBot="1">
      <c r="C41" s="165" t="s">
        <v>12313</v>
      </c>
      <c r="D41" s="821">
        <f t="shared" ref="D41:O41" si="13">SUM(D39:D40)</f>
        <v>0</v>
      </c>
      <c r="E41" s="821">
        <f t="shared" si="13"/>
        <v>0</v>
      </c>
      <c r="F41" s="821">
        <f t="shared" si="13"/>
        <v>0</v>
      </c>
      <c r="G41" s="821">
        <f t="shared" si="13"/>
        <v>0</v>
      </c>
      <c r="H41" s="821">
        <f t="shared" si="13"/>
        <v>0</v>
      </c>
      <c r="I41" s="821">
        <f t="shared" si="13"/>
        <v>0</v>
      </c>
      <c r="J41" s="821">
        <f t="shared" si="13"/>
        <v>0</v>
      </c>
      <c r="K41" s="821">
        <f t="shared" si="13"/>
        <v>0</v>
      </c>
      <c r="L41" s="821">
        <f t="shared" si="13"/>
        <v>0</v>
      </c>
      <c r="M41" s="821">
        <f t="shared" si="13"/>
        <v>7594</v>
      </c>
      <c r="N41" s="821">
        <f t="shared" si="13"/>
        <v>7655</v>
      </c>
      <c r="O41" s="821">
        <f t="shared" si="13"/>
        <v>7794</v>
      </c>
    </row>
    <row r="42" spans="1:17">
      <c r="A42" s="814" t="s">
        <v>5441</v>
      </c>
      <c r="B42" s="55" t="s">
        <v>12282</v>
      </c>
      <c r="C42" s="165" t="s">
        <v>12314</v>
      </c>
      <c r="D42" s="820">
        <v>0</v>
      </c>
      <c r="E42" s="820">
        <v>0</v>
      </c>
      <c r="F42" s="820">
        <v>0</v>
      </c>
      <c r="G42" s="820">
        <v>0</v>
      </c>
      <c r="H42" s="820">
        <v>0</v>
      </c>
      <c r="I42" s="820">
        <v>0</v>
      </c>
      <c r="J42" s="820">
        <v>0</v>
      </c>
      <c r="K42" s="820">
        <v>0</v>
      </c>
      <c r="L42" s="820">
        <v>0</v>
      </c>
      <c r="M42" s="56">
        <v>3827</v>
      </c>
      <c r="N42" s="56">
        <v>3801</v>
      </c>
      <c r="O42" s="56">
        <v>3860</v>
      </c>
      <c r="Q42" s="165" t="s">
        <v>12275</v>
      </c>
    </row>
    <row r="43" spans="1:17" ht="15.75" thickBot="1">
      <c r="A43" s="814"/>
      <c r="C43" s="165" t="s">
        <v>12314</v>
      </c>
      <c r="D43" s="820">
        <v>0</v>
      </c>
      <c r="E43" s="820">
        <v>0</v>
      </c>
      <c r="F43" s="820">
        <v>0</v>
      </c>
      <c r="G43" s="820">
        <v>0</v>
      </c>
      <c r="H43" s="820">
        <v>0</v>
      </c>
      <c r="I43" s="820">
        <v>0</v>
      </c>
      <c r="J43" s="820">
        <v>0</v>
      </c>
      <c r="K43" s="820">
        <v>0</v>
      </c>
      <c r="L43" s="820">
        <v>0</v>
      </c>
      <c r="M43" s="56">
        <v>3215</v>
      </c>
      <c r="N43" s="56">
        <v>3238</v>
      </c>
      <c r="O43" s="56">
        <v>3274</v>
      </c>
      <c r="Q43" s="165" t="s">
        <v>12289</v>
      </c>
    </row>
    <row r="44" spans="1:17" ht="15.75" thickBot="1">
      <c r="C44" s="165" t="s">
        <v>12314</v>
      </c>
      <c r="D44" s="821">
        <f t="shared" ref="D44:O44" si="14">SUM(D42:D43)</f>
        <v>0</v>
      </c>
      <c r="E44" s="821">
        <f t="shared" si="14"/>
        <v>0</v>
      </c>
      <c r="F44" s="821">
        <f t="shared" si="14"/>
        <v>0</v>
      </c>
      <c r="G44" s="821">
        <f t="shared" si="14"/>
        <v>0</v>
      </c>
      <c r="H44" s="821">
        <f t="shared" si="14"/>
        <v>0</v>
      </c>
      <c r="I44" s="821">
        <f t="shared" si="14"/>
        <v>0</v>
      </c>
      <c r="J44" s="821">
        <f t="shared" si="14"/>
        <v>0</v>
      </c>
      <c r="K44" s="821">
        <f t="shared" si="14"/>
        <v>0</v>
      </c>
      <c r="L44" s="821">
        <f t="shared" si="14"/>
        <v>0</v>
      </c>
      <c r="M44" s="821">
        <f t="shared" si="14"/>
        <v>7042</v>
      </c>
      <c r="N44" s="821">
        <f t="shared" si="14"/>
        <v>7039</v>
      </c>
      <c r="O44" s="821">
        <f t="shared" si="14"/>
        <v>7134</v>
      </c>
    </row>
    <row r="45" spans="1:17">
      <c r="A45" s="814" t="s">
        <v>5886</v>
      </c>
      <c r="B45" s="55" t="s">
        <v>12283</v>
      </c>
      <c r="C45" s="165" t="s">
        <v>12315</v>
      </c>
      <c r="D45" s="820">
        <v>0</v>
      </c>
      <c r="E45" s="820">
        <v>0</v>
      </c>
      <c r="F45" s="820">
        <v>0</v>
      </c>
      <c r="G45" s="820">
        <v>0</v>
      </c>
      <c r="H45" s="820">
        <v>0</v>
      </c>
      <c r="I45" s="820">
        <v>0</v>
      </c>
      <c r="J45" s="820">
        <v>0</v>
      </c>
      <c r="K45" s="820">
        <v>0</v>
      </c>
      <c r="L45" s="820">
        <v>0</v>
      </c>
      <c r="M45" s="56">
        <v>10972</v>
      </c>
      <c r="N45" s="56">
        <v>11011</v>
      </c>
      <c r="O45" s="56">
        <v>11248</v>
      </c>
      <c r="Q45" s="165" t="s">
        <v>12275</v>
      </c>
    </row>
    <row r="46" spans="1:17">
      <c r="A46" s="817" t="s">
        <v>5888</v>
      </c>
      <c r="B46" s="55" t="s">
        <v>4275</v>
      </c>
      <c r="C46" s="165" t="s">
        <v>12316</v>
      </c>
      <c r="D46" s="820">
        <v>0</v>
      </c>
      <c r="E46" s="820">
        <v>0</v>
      </c>
      <c r="F46" s="820">
        <v>0</v>
      </c>
      <c r="G46" s="820">
        <v>0</v>
      </c>
      <c r="H46" s="820">
        <v>0</v>
      </c>
      <c r="I46" s="820">
        <v>0</v>
      </c>
      <c r="J46" s="820">
        <v>0</v>
      </c>
      <c r="K46" s="820">
        <v>0</v>
      </c>
      <c r="L46" s="820">
        <v>0</v>
      </c>
      <c r="M46" s="56">
        <v>7893</v>
      </c>
      <c r="N46" s="56">
        <v>7850</v>
      </c>
      <c r="O46" s="56">
        <v>7994</v>
      </c>
      <c r="Q46" s="165" t="s">
        <v>12275</v>
      </c>
    </row>
    <row r="47" spans="1:17">
      <c r="A47" s="817" t="s">
        <v>5889</v>
      </c>
      <c r="B47" s="55" t="s">
        <v>12284</v>
      </c>
      <c r="C47" s="165" t="s">
        <v>12317</v>
      </c>
      <c r="D47" s="820">
        <v>0</v>
      </c>
      <c r="E47" s="820">
        <v>0</v>
      </c>
      <c r="F47" s="820">
        <v>0</v>
      </c>
      <c r="G47" s="820">
        <v>0</v>
      </c>
      <c r="H47" s="820">
        <v>0</v>
      </c>
      <c r="I47" s="820">
        <v>0</v>
      </c>
      <c r="J47" s="820">
        <v>0</v>
      </c>
      <c r="K47" s="820">
        <v>0</v>
      </c>
      <c r="L47" s="820">
        <v>0</v>
      </c>
      <c r="M47" s="56">
        <v>1077</v>
      </c>
      <c r="N47" s="56">
        <v>1094</v>
      </c>
      <c r="O47" s="56">
        <v>1138</v>
      </c>
      <c r="Q47" s="165" t="s">
        <v>12275</v>
      </c>
    </row>
    <row r="48" spans="1:17" ht="15.75" thickBot="1">
      <c r="C48" s="165" t="s">
        <v>12317</v>
      </c>
      <c r="D48" s="820">
        <v>0</v>
      </c>
      <c r="E48" s="820">
        <v>0</v>
      </c>
      <c r="F48" s="820">
        <v>0</v>
      </c>
      <c r="G48" s="820">
        <v>0</v>
      </c>
      <c r="H48" s="820">
        <v>0</v>
      </c>
      <c r="I48" s="820">
        <v>0</v>
      </c>
      <c r="J48" s="820">
        <v>0</v>
      </c>
      <c r="K48" s="820">
        <v>0</v>
      </c>
      <c r="L48" s="820">
        <v>0</v>
      </c>
      <c r="M48" s="56">
        <v>9304</v>
      </c>
      <c r="N48" s="56">
        <v>9482</v>
      </c>
      <c r="O48" s="56">
        <v>9746</v>
      </c>
      <c r="Q48" s="165" t="s">
        <v>12289</v>
      </c>
    </row>
    <row r="49" spans="1:17" ht="15.75" thickBot="1">
      <c r="C49" s="165" t="s">
        <v>12317</v>
      </c>
      <c r="D49" s="821">
        <f t="shared" ref="D49:O49" si="15">SUM(D47:D48)</f>
        <v>0</v>
      </c>
      <c r="E49" s="821">
        <f t="shared" si="15"/>
        <v>0</v>
      </c>
      <c r="F49" s="821">
        <f t="shared" si="15"/>
        <v>0</v>
      </c>
      <c r="G49" s="821">
        <f t="shared" si="15"/>
        <v>0</v>
      </c>
      <c r="H49" s="821">
        <f t="shared" si="15"/>
        <v>0</v>
      </c>
      <c r="I49" s="821">
        <f t="shared" si="15"/>
        <v>0</v>
      </c>
      <c r="J49" s="821">
        <f t="shared" si="15"/>
        <v>0</v>
      </c>
      <c r="K49" s="821">
        <f t="shared" si="15"/>
        <v>0</v>
      </c>
      <c r="L49" s="821">
        <f t="shared" si="15"/>
        <v>0</v>
      </c>
      <c r="M49" s="821">
        <f t="shared" si="15"/>
        <v>10381</v>
      </c>
      <c r="N49" s="821">
        <f t="shared" si="15"/>
        <v>10576</v>
      </c>
      <c r="O49" s="821">
        <f t="shared" si="15"/>
        <v>10884</v>
      </c>
    </row>
    <row r="50" spans="1:17">
      <c r="A50" s="817" t="s">
        <v>4431</v>
      </c>
      <c r="B50" s="55" t="s">
        <v>4961</v>
      </c>
      <c r="C50" s="165" t="s">
        <v>12318</v>
      </c>
      <c r="D50" s="820">
        <v>0</v>
      </c>
      <c r="E50" s="820">
        <v>0</v>
      </c>
      <c r="F50" s="820">
        <v>0</v>
      </c>
      <c r="G50" s="820">
        <v>0</v>
      </c>
      <c r="H50" s="820">
        <v>0</v>
      </c>
      <c r="I50" s="820">
        <v>0</v>
      </c>
      <c r="J50" s="820">
        <v>0</v>
      </c>
      <c r="K50" s="820">
        <v>0</v>
      </c>
      <c r="L50" s="820">
        <v>0</v>
      </c>
      <c r="M50" s="56">
        <v>9761</v>
      </c>
      <c r="N50" s="56">
        <v>9904</v>
      </c>
      <c r="O50" s="56">
        <v>10224</v>
      </c>
      <c r="Q50" s="165" t="s">
        <v>12285</v>
      </c>
    </row>
    <row r="51" spans="1:17">
      <c r="A51" s="817" t="s">
        <v>4432</v>
      </c>
      <c r="B51" s="55" t="s">
        <v>4962</v>
      </c>
      <c r="C51" s="165" t="s">
        <v>12319</v>
      </c>
      <c r="D51" s="820">
        <v>0</v>
      </c>
      <c r="E51" s="820">
        <v>0</v>
      </c>
      <c r="F51" s="820">
        <v>0</v>
      </c>
      <c r="G51" s="820">
        <v>0</v>
      </c>
      <c r="H51" s="820">
        <v>0</v>
      </c>
      <c r="I51" s="820">
        <v>0</v>
      </c>
      <c r="J51" s="820">
        <v>0</v>
      </c>
      <c r="K51" s="820">
        <v>0</v>
      </c>
      <c r="L51" s="820">
        <v>0</v>
      </c>
      <c r="M51" s="56">
        <v>10491</v>
      </c>
      <c r="N51" s="56">
        <v>10537</v>
      </c>
      <c r="O51" s="56">
        <v>10806</v>
      </c>
      <c r="Q51" s="165" t="s">
        <v>12285</v>
      </c>
    </row>
    <row r="52" spans="1:17">
      <c r="A52" s="817" t="s">
        <v>4434</v>
      </c>
      <c r="B52" s="55" t="s">
        <v>4963</v>
      </c>
      <c r="C52" s="165" t="s">
        <v>12320</v>
      </c>
      <c r="D52" s="820">
        <v>0</v>
      </c>
      <c r="E52" s="820">
        <v>0</v>
      </c>
      <c r="F52" s="820">
        <v>0</v>
      </c>
      <c r="G52" s="820">
        <v>0</v>
      </c>
      <c r="H52" s="820">
        <v>0</v>
      </c>
      <c r="I52" s="820">
        <v>0</v>
      </c>
      <c r="J52" s="820">
        <v>0</v>
      </c>
      <c r="K52" s="820">
        <v>0</v>
      </c>
      <c r="L52" s="820">
        <v>0</v>
      </c>
      <c r="M52" s="56">
        <v>1275</v>
      </c>
      <c r="N52" s="56">
        <v>1204</v>
      </c>
      <c r="O52" s="56">
        <v>1260</v>
      </c>
      <c r="Q52" s="165" t="s">
        <v>12285</v>
      </c>
    </row>
    <row r="53" spans="1:17" ht="15.75" thickBot="1">
      <c r="C53" s="165" t="s">
        <v>12320</v>
      </c>
      <c r="D53" s="820">
        <v>0</v>
      </c>
      <c r="E53" s="820">
        <v>0</v>
      </c>
      <c r="F53" s="820">
        <v>0</v>
      </c>
      <c r="G53" s="820">
        <v>0</v>
      </c>
      <c r="H53" s="820">
        <v>0</v>
      </c>
      <c r="I53" s="820">
        <v>0</v>
      </c>
      <c r="J53" s="820">
        <v>0</v>
      </c>
      <c r="K53" s="820">
        <v>0</v>
      </c>
      <c r="L53" s="820">
        <v>0</v>
      </c>
      <c r="M53" s="56">
        <v>9499</v>
      </c>
      <c r="N53" s="56">
        <v>9714</v>
      </c>
      <c r="O53" s="56">
        <v>9991</v>
      </c>
      <c r="Q53" s="165" t="s">
        <v>12289</v>
      </c>
    </row>
    <row r="54" spans="1:17" ht="15.75" thickBot="1">
      <c r="C54" s="165" t="s">
        <v>12320</v>
      </c>
      <c r="D54" s="821">
        <f t="shared" ref="D54:O54" si="16">SUM(D52:D53)</f>
        <v>0</v>
      </c>
      <c r="E54" s="821">
        <f t="shared" si="16"/>
        <v>0</v>
      </c>
      <c r="F54" s="821">
        <f t="shared" si="16"/>
        <v>0</v>
      </c>
      <c r="G54" s="821">
        <f t="shared" si="16"/>
        <v>0</v>
      </c>
      <c r="H54" s="821">
        <f t="shared" si="16"/>
        <v>0</v>
      </c>
      <c r="I54" s="821">
        <f t="shared" si="16"/>
        <v>0</v>
      </c>
      <c r="J54" s="821">
        <f t="shared" si="16"/>
        <v>0</v>
      </c>
      <c r="K54" s="821">
        <f t="shared" si="16"/>
        <v>0</v>
      </c>
      <c r="L54" s="821">
        <f t="shared" si="16"/>
        <v>0</v>
      </c>
      <c r="M54" s="821">
        <f t="shared" si="16"/>
        <v>10774</v>
      </c>
      <c r="N54" s="821">
        <f t="shared" si="16"/>
        <v>10918</v>
      </c>
      <c r="O54" s="821">
        <f t="shared" si="16"/>
        <v>11251</v>
      </c>
    </row>
    <row r="55" spans="1:17">
      <c r="A55" s="817" t="s">
        <v>4533</v>
      </c>
      <c r="B55" s="55" t="s">
        <v>4955</v>
      </c>
      <c r="C55" s="165" t="s">
        <v>12321</v>
      </c>
      <c r="D55" s="820">
        <v>0</v>
      </c>
      <c r="E55" s="820">
        <v>0</v>
      </c>
      <c r="F55" s="820">
        <v>0</v>
      </c>
      <c r="G55" s="820">
        <v>0</v>
      </c>
      <c r="H55" s="820">
        <v>0</v>
      </c>
      <c r="I55" s="820">
        <v>0</v>
      </c>
      <c r="J55" s="820">
        <v>0</v>
      </c>
      <c r="K55" s="820">
        <v>0</v>
      </c>
      <c r="L55" s="820">
        <v>0</v>
      </c>
      <c r="M55" s="56">
        <v>10588</v>
      </c>
      <c r="N55" s="56">
        <v>10605</v>
      </c>
      <c r="O55" s="56">
        <v>10938</v>
      </c>
      <c r="Q55" s="165" t="s">
        <v>12285</v>
      </c>
    </row>
    <row r="56" spans="1:17">
      <c r="A56" s="817" t="s">
        <v>4535</v>
      </c>
      <c r="B56" s="55" t="s">
        <v>4956</v>
      </c>
      <c r="C56" s="165" t="s">
        <v>12322</v>
      </c>
      <c r="D56" s="820">
        <v>0</v>
      </c>
      <c r="E56" s="820">
        <v>0</v>
      </c>
      <c r="F56" s="820">
        <v>0</v>
      </c>
      <c r="G56" s="820">
        <v>0</v>
      </c>
      <c r="H56" s="820">
        <v>0</v>
      </c>
      <c r="I56" s="820">
        <v>0</v>
      </c>
      <c r="J56" s="820">
        <v>0</v>
      </c>
      <c r="K56" s="820">
        <v>0</v>
      </c>
      <c r="L56" s="820">
        <v>0</v>
      </c>
      <c r="M56" s="56">
        <v>10744</v>
      </c>
      <c r="N56" s="56">
        <v>10844</v>
      </c>
      <c r="O56" s="56">
        <v>11183</v>
      </c>
      <c r="Q56" s="165" t="s">
        <v>12275</v>
      </c>
    </row>
    <row r="58" spans="1:17">
      <c r="A58" s="814" t="s">
        <v>12294</v>
      </c>
    </row>
  </sheetData>
  <sortState ref="R19:U51">
    <sortCondition ref="S19:S51"/>
    <sortCondition ref="R19:R51"/>
  </sortState>
  <phoneticPr fontId="6" type="noConversion"/>
  <printOptions gridLinesSet="0"/>
  <pageMargins left="0.78740157480314965" right="0" top="0.51181102362204722" bottom="0.51181102362204722" header="0.51181102362204722" footer="0.51181102362204722"/>
  <pageSetup paperSize="9" scale="75" orientation="portrait" horizontalDpi="300" verticalDpi="300" r:id="rId1"/>
  <headerFooter alignWithMargins="0">
    <oddFooter>&amp;C&amp;"Times New Roman,Regular"&amp;8&amp;P of &amp;N</oddFooter>
  </headerFooter>
  <ignoredErrors>
    <ignoredError sqref="D5 E5 F5 G5 D6 E6 F6 G6 H5:H6 I5:I6 J5:J6 K5:K6 L5:L6 D12:D17 E12:E17 F12:F17 G12:G17 H12:H17 I12:I17 J12:J17 K12:K17 L12:L17"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dimension ref="A1:Q236"/>
  <sheetViews>
    <sheetView showGridLines="0" zoomScale="90" zoomScaleNormal="90" workbookViewId="0">
      <selection activeCell="R121" sqref="R121"/>
    </sheetView>
  </sheetViews>
  <sheetFormatPr defaultColWidth="12.5703125" defaultRowHeight="15"/>
  <cols>
    <col min="1" max="1" width="4.85546875" style="164" customWidth="1"/>
    <col min="2" max="2" width="40.7109375" style="164" customWidth="1"/>
    <col min="3" max="3" width="11.7109375" style="164" customWidth="1"/>
    <col min="4" max="12" width="10" style="164" customWidth="1"/>
    <col min="13" max="15" width="10.140625" style="164" customWidth="1"/>
    <col min="16" max="16" width="2.28515625" style="164" customWidth="1"/>
    <col min="17" max="17" width="29.140625" style="164" customWidth="1"/>
    <col min="18" max="16384" width="12.5703125" style="164"/>
  </cols>
  <sheetData>
    <row r="1" spans="1:17">
      <c r="A1" s="802" t="s">
        <v>6924</v>
      </c>
      <c r="D1" s="803">
        <v>2010</v>
      </c>
      <c r="E1" s="803">
        <v>2011</v>
      </c>
      <c r="F1" s="803">
        <v>2012</v>
      </c>
      <c r="G1" s="803">
        <v>2013</v>
      </c>
      <c r="H1" s="803">
        <v>2014</v>
      </c>
      <c r="I1" s="803">
        <v>2015</v>
      </c>
      <c r="J1" s="803">
        <v>2016</v>
      </c>
      <c r="K1" s="803">
        <v>2017</v>
      </c>
      <c r="L1" s="803">
        <v>2018</v>
      </c>
      <c r="M1" s="803">
        <v>2019</v>
      </c>
      <c r="N1" s="803">
        <v>2020</v>
      </c>
      <c r="O1" s="983" t="s">
        <v>14823</v>
      </c>
    </row>
    <row r="3" spans="1:17">
      <c r="A3" s="802" t="s">
        <v>2339</v>
      </c>
      <c r="D3" s="804">
        <f t="shared" ref="D3:I3" si="0">SUM(D5:D10)</f>
        <v>390360</v>
      </c>
      <c r="E3" s="804">
        <f t="shared" si="0"/>
        <v>390370</v>
      </c>
      <c r="F3" s="804">
        <f t="shared" si="0"/>
        <v>390998</v>
      </c>
      <c r="G3" s="804">
        <f t="shared" si="0"/>
        <v>392012</v>
      </c>
      <c r="H3" s="804">
        <f t="shared" si="0"/>
        <v>379590</v>
      </c>
      <c r="I3" s="804">
        <f t="shared" si="0"/>
        <v>379431</v>
      </c>
      <c r="J3" s="804">
        <f t="shared" ref="J3:O3" si="1">SUM(J5:J10)</f>
        <v>373997</v>
      </c>
      <c r="K3" s="804">
        <f t="shared" si="1"/>
        <v>376963</v>
      </c>
      <c r="L3" s="804">
        <f t="shared" si="1"/>
        <v>385663</v>
      </c>
      <c r="M3" s="804">
        <f t="shared" si="1"/>
        <v>385426</v>
      </c>
      <c r="N3" s="804">
        <f t="shared" si="1"/>
        <v>387535</v>
      </c>
      <c r="O3" s="804">
        <f t="shared" si="1"/>
        <v>389717</v>
      </c>
    </row>
    <row r="4" spans="1:17">
      <c r="D4" s="805"/>
      <c r="E4" s="805"/>
      <c r="F4" s="805"/>
      <c r="G4" s="805"/>
      <c r="H4" s="805"/>
      <c r="I4" s="805"/>
      <c r="J4" s="805"/>
      <c r="K4" s="805"/>
      <c r="L4" s="805"/>
      <c r="M4" s="805"/>
      <c r="N4" s="805"/>
      <c r="O4" s="805"/>
    </row>
    <row r="5" spans="1:17">
      <c r="A5" s="802" t="s">
        <v>4957</v>
      </c>
      <c r="C5" s="802"/>
      <c r="D5" s="804">
        <f t="shared" ref="D5:I5" si="2">D42</f>
        <v>73780</v>
      </c>
      <c r="E5" s="804">
        <f t="shared" si="2"/>
        <v>73411</v>
      </c>
      <c r="F5" s="804">
        <f t="shared" si="2"/>
        <v>74117</v>
      </c>
      <c r="G5" s="804">
        <f t="shared" si="2"/>
        <v>74503</v>
      </c>
      <c r="H5" s="804">
        <f t="shared" si="2"/>
        <v>68633</v>
      </c>
      <c r="I5" s="804">
        <f t="shared" si="2"/>
        <v>70353</v>
      </c>
      <c r="J5" s="804">
        <f t="shared" ref="J5:O5" si="3">J42</f>
        <v>72052</v>
      </c>
      <c r="K5" s="804">
        <f t="shared" si="3"/>
        <v>72480</v>
      </c>
      <c r="L5" s="804">
        <f t="shared" si="3"/>
        <v>73713</v>
      </c>
      <c r="M5" s="804">
        <f t="shared" si="3"/>
        <v>73373</v>
      </c>
      <c r="N5" s="804">
        <f t="shared" si="3"/>
        <v>74293</v>
      </c>
      <c r="O5" s="804">
        <f t="shared" si="3"/>
        <v>75625</v>
      </c>
      <c r="Q5" s="806"/>
    </row>
    <row r="6" spans="1:17">
      <c r="A6" s="802" t="s">
        <v>4958</v>
      </c>
      <c r="C6" s="802"/>
      <c r="D6" s="804">
        <f t="shared" ref="D6:I6" si="4">D82</f>
        <v>53283</v>
      </c>
      <c r="E6" s="804">
        <f t="shared" si="4"/>
        <v>53225</v>
      </c>
      <c r="F6" s="804">
        <f t="shared" si="4"/>
        <v>53014</v>
      </c>
      <c r="G6" s="804">
        <f t="shared" si="4"/>
        <v>53708</v>
      </c>
      <c r="H6" s="804">
        <f t="shared" si="4"/>
        <v>52505</v>
      </c>
      <c r="I6" s="804">
        <f t="shared" si="4"/>
        <v>52222</v>
      </c>
      <c r="J6" s="804">
        <f t="shared" ref="J6:O6" si="5">J82</f>
        <v>52499</v>
      </c>
      <c r="K6" s="804">
        <f t="shared" si="5"/>
        <v>53349</v>
      </c>
      <c r="L6" s="804">
        <f t="shared" si="5"/>
        <v>53078</v>
      </c>
      <c r="M6" s="804">
        <f t="shared" si="5"/>
        <v>52671</v>
      </c>
      <c r="N6" s="804">
        <f t="shared" si="5"/>
        <v>53135</v>
      </c>
      <c r="O6" s="804">
        <f t="shared" si="5"/>
        <v>52815</v>
      </c>
      <c r="Q6" s="806"/>
    </row>
    <row r="7" spans="1:17">
      <c r="A7" s="802" t="s">
        <v>4959</v>
      </c>
      <c r="C7" s="802"/>
      <c r="D7" s="804">
        <f t="shared" ref="D7:I7" si="6">D104</f>
        <v>83014</v>
      </c>
      <c r="E7" s="804">
        <f t="shared" si="6"/>
        <v>83854</v>
      </c>
      <c r="F7" s="804">
        <f t="shared" si="6"/>
        <v>84098</v>
      </c>
      <c r="G7" s="804">
        <f t="shared" si="6"/>
        <v>83932</v>
      </c>
      <c r="H7" s="804">
        <f t="shared" si="6"/>
        <v>83519</v>
      </c>
      <c r="I7" s="804">
        <f t="shared" si="6"/>
        <v>81765</v>
      </c>
      <c r="J7" s="804">
        <f t="shared" ref="J7:O7" si="7">J104</f>
        <v>76825</v>
      </c>
      <c r="K7" s="804">
        <f t="shared" si="7"/>
        <v>76334</v>
      </c>
      <c r="L7" s="804">
        <f t="shared" si="7"/>
        <v>81821</v>
      </c>
      <c r="M7" s="804">
        <f t="shared" si="7"/>
        <v>83175</v>
      </c>
      <c r="N7" s="804">
        <f t="shared" si="7"/>
        <v>81393</v>
      </c>
      <c r="O7" s="804">
        <f t="shared" si="7"/>
        <v>81904</v>
      </c>
      <c r="Q7" s="806"/>
    </row>
    <row r="8" spans="1:17">
      <c r="A8" s="802" t="s">
        <v>4960</v>
      </c>
      <c r="C8" s="802"/>
      <c r="D8" s="804">
        <f t="shared" ref="D8:I8" si="8">D133</f>
        <v>55619</v>
      </c>
      <c r="E8" s="804">
        <f t="shared" si="8"/>
        <v>55710</v>
      </c>
      <c r="F8" s="804">
        <f t="shared" si="8"/>
        <v>55736</v>
      </c>
      <c r="G8" s="804">
        <f t="shared" si="8"/>
        <v>55510</v>
      </c>
      <c r="H8" s="804">
        <f t="shared" si="8"/>
        <v>54095</v>
      </c>
      <c r="I8" s="804">
        <f t="shared" si="8"/>
        <v>53730</v>
      </c>
      <c r="J8" s="804">
        <f t="shared" ref="J8:O8" si="9">J133</f>
        <v>53024</v>
      </c>
      <c r="K8" s="804">
        <f t="shared" si="9"/>
        <v>52665</v>
      </c>
      <c r="L8" s="804">
        <f t="shared" si="9"/>
        <v>53035</v>
      </c>
      <c r="M8" s="804">
        <f t="shared" si="9"/>
        <v>53062</v>
      </c>
      <c r="N8" s="804">
        <f t="shared" si="9"/>
        <v>53480</v>
      </c>
      <c r="O8" s="804">
        <f t="shared" si="9"/>
        <v>53742</v>
      </c>
      <c r="Q8" s="806"/>
    </row>
    <row r="9" spans="1:17">
      <c r="A9" s="802" t="s">
        <v>3414</v>
      </c>
      <c r="C9" s="802"/>
      <c r="D9" s="804">
        <f t="shared" ref="D9:I9" si="10">D159</f>
        <v>41639</v>
      </c>
      <c r="E9" s="804">
        <f t="shared" si="10"/>
        <v>41638</v>
      </c>
      <c r="F9" s="804">
        <f t="shared" si="10"/>
        <v>41610</v>
      </c>
      <c r="G9" s="804">
        <f t="shared" si="10"/>
        <v>41576</v>
      </c>
      <c r="H9" s="804">
        <f t="shared" si="10"/>
        <v>41109</v>
      </c>
      <c r="I9" s="804">
        <f t="shared" si="10"/>
        <v>41083</v>
      </c>
      <c r="J9" s="804">
        <f t="shared" ref="J9:O9" si="11">J159</f>
        <v>40434</v>
      </c>
      <c r="K9" s="804">
        <f t="shared" si="11"/>
        <v>41203</v>
      </c>
      <c r="L9" s="804">
        <f t="shared" si="11"/>
        <v>42005</v>
      </c>
      <c r="M9" s="804">
        <f t="shared" si="11"/>
        <v>41525</v>
      </c>
      <c r="N9" s="804">
        <f t="shared" si="11"/>
        <v>42482</v>
      </c>
      <c r="O9" s="804">
        <f t="shared" si="11"/>
        <v>42739</v>
      </c>
      <c r="Q9" s="806"/>
    </row>
    <row r="10" spans="1:17">
      <c r="A10" s="802" t="s">
        <v>3415</v>
      </c>
      <c r="C10" s="802"/>
      <c r="D10" s="804">
        <f t="shared" ref="D10:K10" si="12">D198</f>
        <v>83025</v>
      </c>
      <c r="E10" s="804">
        <f t="shared" si="12"/>
        <v>82532</v>
      </c>
      <c r="F10" s="804">
        <f t="shared" si="12"/>
        <v>82423</v>
      </c>
      <c r="G10" s="804">
        <f t="shared" si="12"/>
        <v>82783</v>
      </c>
      <c r="H10" s="804">
        <f t="shared" si="12"/>
        <v>79729</v>
      </c>
      <c r="I10" s="804">
        <f t="shared" si="12"/>
        <v>80278</v>
      </c>
      <c r="J10" s="804">
        <f t="shared" si="12"/>
        <v>79163</v>
      </c>
      <c r="K10" s="804">
        <f t="shared" si="12"/>
        <v>80932</v>
      </c>
      <c r="L10" s="804">
        <f>L198</f>
        <v>82011</v>
      </c>
      <c r="M10" s="804">
        <f>M198</f>
        <v>81620</v>
      </c>
      <c r="N10" s="804">
        <f>N198</f>
        <v>82752</v>
      </c>
      <c r="O10" s="804">
        <f>O198</f>
        <v>82892</v>
      </c>
      <c r="Q10" s="806"/>
    </row>
    <row r="12" spans="1:17">
      <c r="A12" s="802" t="s">
        <v>5522</v>
      </c>
      <c r="D12" s="804">
        <f t="shared" ref="D12:I12" si="13">D3/5</f>
        <v>78072</v>
      </c>
      <c r="E12" s="804">
        <f t="shared" si="13"/>
        <v>78074</v>
      </c>
      <c r="F12" s="804">
        <f t="shared" si="13"/>
        <v>78199.600000000006</v>
      </c>
      <c r="G12" s="804">
        <f t="shared" si="13"/>
        <v>78402.399999999994</v>
      </c>
      <c r="H12" s="804">
        <f t="shared" si="13"/>
        <v>75918</v>
      </c>
      <c r="I12" s="804">
        <f t="shared" si="13"/>
        <v>75886.2</v>
      </c>
      <c r="J12" s="804">
        <f t="shared" ref="J12:O12" si="14">J3/5</f>
        <v>74799.399999999994</v>
      </c>
      <c r="K12" s="804">
        <f t="shared" si="14"/>
        <v>75392.600000000006</v>
      </c>
      <c r="L12" s="804">
        <f t="shared" si="14"/>
        <v>77132.600000000006</v>
      </c>
      <c r="M12" s="804">
        <f t="shared" si="14"/>
        <v>77085.2</v>
      </c>
      <c r="N12" s="804">
        <f t="shared" si="14"/>
        <v>77507</v>
      </c>
      <c r="O12" s="804">
        <f t="shared" si="14"/>
        <v>77943.399999999994</v>
      </c>
    </row>
    <row r="13" spans="1:17">
      <c r="D13" s="805"/>
      <c r="E13" s="805"/>
      <c r="F13" s="805"/>
      <c r="G13" s="805"/>
      <c r="H13" s="805"/>
      <c r="I13" s="805"/>
      <c r="J13" s="805"/>
      <c r="K13" s="805"/>
      <c r="L13" s="805"/>
      <c r="M13" s="805"/>
      <c r="N13" s="805"/>
      <c r="O13" s="805"/>
    </row>
    <row r="14" spans="1:17">
      <c r="A14" s="802" t="s">
        <v>3416</v>
      </c>
      <c r="D14" s="804">
        <f t="shared" ref="D14:I14" si="15">D97</f>
        <v>53283</v>
      </c>
      <c r="E14" s="804">
        <f t="shared" si="15"/>
        <v>53225</v>
      </c>
      <c r="F14" s="804">
        <f t="shared" si="15"/>
        <v>53014</v>
      </c>
      <c r="G14" s="804">
        <f t="shared" si="15"/>
        <v>53708</v>
      </c>
      <c r="H14" s="804">
        <f t="shared" si="15"/>
        <v>52505</v>
      </c>
      <c r="I14" s="804">
        <f t="shared" si="15"/>
        <v>52222</v>
      </c>
      <c r="J14" s="804">
        <f t="shared" ref="J14:O14" si="16">J97</f>
        <v>52499</v>
      </c>
      <c r="K14" s="804">
        <f t="shared" si="16"/>
        <v>53349</v>
      </c>
      <c r="L14" s="804">
        <f t="shared" si="16"/>
        <v>53078</v>
      </c>
      <c r="M14" s="804">
        <f t="shared" si="16"/>
        <v>52671</v>
      </c>
      <c r="N14" s="804">
        <f t="shared" si="16"/>
        <v>53135</v>
      </c>
      <c r="O14" s="804">
        <f t="shared" si="16"/>
        <v>52815</v>
      </c>
      <c r="Q14" s="802" t="s">
        <v>3740</v>
      </c>
    </row>
    <row r="15" spans="1:17" ht="15.75" thickBot="1">
      <c r="D15" s="807">
        <f t="shared" ref="D15:K15" si="17">D220</f>
        <v>15998</v>
      </c>
      <c r="E15" s="807">
        <f t="shared" si="17"/>
        <v>15923</v>
      </c>
      <c r="F15" s="807">
        <f t="shared" si="17"/>
        <v>15841</v>
      </c>
      <c r="G15" s="807">
        <f t="shared" si="17"/>
        <v>15991</v>
      </c>
      <c r="H15" s="807">
        <f t="shared" si="17"/>
        <v>15142</v>
      </c>
      <c r="I15" s="807">
        <f t="shared" si="17"/>
        <v>15407</v>
      </c>
      <c r="J15" s="807">
        <f t="shared" si="17"/>
        <v>15278</v>
      </c>
      <c r="K15" s="807">
        <f t="shared" si="17"/>
        <v>15692</v>
      </c>
      <c r="L15" s="807">
        <f>L220</f>
        <v>16000</v>
      </c>
      <c r="M15" s="807">
        <f>M220</f>
        <v>15834</v>
      </c>
      <c r="N15" s="807">
        <f>N220</f>
        <v>15998</v>
      </c>
      <c r="O15" s="807">
        <f>O220</f>
        <v>15906</v>
      </c>
      <c r="Q15" s="802" t="s">
        <v>3417</v>
      </c>
    </row>
    <row r="16" spans="1:17" ht="15.75" thickBot="1">
      <c r="D16" s="807">
        <f t="shared" ref="D16:I16" si="18">D14+D15</f>
        <v>69281</v>
      </c>
      <c r="E16" s="807">
        <f t="shared" si="18"/>
        <v>69148</v>
      </c>
      <c r="F16" s="807">
        <f t="shared" si="18"/>
        <v>68855</v>
      </c>
      <c r="G16" s="807">
        <f t="shared" si="18"/>
        <v>69699</v>
      </c>
      <c r="H16" s="807">
        <f t="shared" si="18"/>
        <v>67647</v>
      </c>
      <c r="I16" s="807">
        <f t="shared" si="18"/>
        <v>67629</v>
      </c>
      <c r="J16" s="807">
        <f t="shared" ref="J16:O16" si="19">J14+J15</f>
        <v>67777</v>
      </c>
      <c r="K16" s="807">
        <f t="shared" si="19"/>
        <v>69041</v>
      </c>
      <c r="L16" s="807">
        <f t="shared" si="19"/>
        <v>69078</v>
      </c>
      <c r="M16" s="807">
        <f t="shared" si="19"/>
        <v>68505</v>
      </c>
      <c r="N16" s="807">
        <f t="shared" si="19"/>
        <v>69133</v>
      </c>
      <c r="O16" s="807">
        <f t="shared" si="19"/>
        <v>68721</v>
      </c>
    </row>
    <row r="17" spans="1:17">
      <c r="D17" s="805"/>
      <c r="E17" s="805"/>
      <c r="F17" s="805"/>
      <c r="G17" s="805"/>
      <c r="H17" s="805"/>
      <c r="I17" s="805"/>
      <c r="J17" s="805"/>
      <c r="K17" s="805"/>
      <c r="L17" s="805"/>
      <c r="M17" s="805"/>
      <c r="N17" s="805"/>
      <c r="O17" s="805"/>
    </row>
    <row r="18" spans="1:17">
      <c r="A18" s="802" t="s">
        <v>3418</v>
      </c>
      <c r="D18" s="804">
        <f t="shared" ref="D18:I18" si="20">D125</f>
        <v>65621</v>
      </c>
      <c r="E18" s="804">
        <f t="shared" si="20"/>
        <v>66322</v>
      </c>
      <c r="F18" s="804">
        <f t="shared" si="20"/>
        <v>66619</v>
      </c>
      <c r="G18" s="804">
        <f t="shared" si="20"/>
        <v>66436</v>
      </c>
      <c r="H18" s="804">
        <f t="shared" si="20"/>
        <v>66146</v>
      </c>
      <c r="I18" s="804">
        <f t="shared" si="20"/>
        <v>64673</v>
      </c>
      <c r="J18" s="804">
        <f t="shared" ref="J18:O18" si="21">J125</f>
        <v>60507</v>
      </c>
      <c r="K18" s="804">
        <f t="shared" si="21"/>
        <v>59942</v>
      </c>
      <c r="L18" s="804">
        <f t="shared" si="21"/>
        <v>64370</v>
      </c>
      <c r="M18" s="804">
        <f t="shared" si="21"/>
        <v>65318</v>
      </c>
      <c r="N18" s="804">
        <f t="shared" si="21"/>
        <v>63839</v>
      </c>
      <c r="O18" s="804">
        <f t="shared" si="21"/>
        <v>64354</v>
      </c>
      <c r="Q18" s="802" t="s">
        <v>3419</v>
      </c>
    </row>
    <row r="19" spans="1:17">
      <c r="D19" s="805"/>
      <c r="E19" s="805"/>
      <c r="F19" s="805"/>
      <c r="G19" s="805"/>
      <c r="H19" s="805"/>
      <c r="I19" s="805"/>
      <c r="J19" s="805"/>
      <c r="K19" s="805"/>
      <c r="L19" s="805"/>
      <c r="M19" s="805"/>
      <c r="N19" s="805"/>
      <c r="O19" s="805"/>
    </row>
    <row r="20" spans="1:17">
      <c r="A20" s="802" t="s">
        <v>3420</v>
      </c>
      <c r="D20" s="805">
        <f t="shared" ref="D20:I20" si="22">D73</f>
        <v>8069</v>
      </c>
      <c r="E20" s="805">
        <f t="shared" si="22"/>
        <v>7986</v>
      </c>
      <c r="F20" s="805">
        <f t="shared" si="22"/>
        <v>7959</v>
      </c>
      <c r="G20" s="805">
        <f t="shared" si="22"/>
        <v>8004</v>
      </c>
      <c r="H20" s="805">
        <f t="shared" si="22"/>
        <v>7371</v>
      </c>
      <c r="I20" s="805">
        <f t="shared" si="22"/>
        <v>7565</v>
      </c>
      <c r="J20" s="805">
        <f t="shared" ref="J20:O20" si="23">J73</f>
        <v>7761</v>
      </c>
      <c r="K20" s="805">
        <f t="shared" si="23"/>
        <v>7744</v>
      </c>
      <c r="L20" s="805">
        <f t="shared" si="23"/>
        <v>7808</v>
      </c>
      <c r="M20" s="805">
        <f t="shared" si="23"/>
        <v>7661</v>
      </c>
      <c r="N20" s="805">
        <f t="shared" si="23"/>
        <v>7867</v>
      </c>
      <c r="O20" s="805">
        <f t="shared" si="23"/>
        <v>7954</v>
      </c>
      <c r="Q20" s="802" t="s">
        <v>3421</v>
      </c>
    </row>
    <row r="21" spans="1:17" ht="15.75" thickBot="1">
      <c r="A21" s="802"/>
      <c r="D21" s="804">
        <f t="shared" ref="D21:I21" si="24">D152</f>
        <v>55619</v>
      </c>
      <c r="E21" s="804">
        <f t="shared" si="24"/>
        <v>55710</v>
      </c>
      <c r="F21" s="804">
        <f t="shared" si="24"/>
        <v>55736</v>
      </c>
      <c r="G21" s="804">
        <f t="shared" si="24"/>
        <v>55510</v>
      </c>
      <c r="H21" s="804">
        <f t="shared" si="24"/>
        <v>54095</v>
      </c>
      <c r="I21" s="804">
        <f t="shared" si="24"/>
        <v>53730</v>
      </c>
      <c r="J21" s="804">
        <f t="shared" ref="J21:O21" si="25">J152</f>
        <v>53024</v>
      </c>
      <c r="K21" s="804">
        <f t="shared" si="25"/>
        <v>52665</v>
      </c>
      <c r="L21" s="804">
        <f t="shared" si="25"/>
        <v>53035</v>
      </c>
      <c r="M21" s="804">
        <f t="shared" si="25"/>
        <v>53062</v>
      </c>
      <c r="N21" s="804">
        <f t="shared" si="25"/>
        <v>53480</v>
      </c>
      <c r="O21" s="804">
        <f t="shared" si="25"/>
        <v>53742</v>
      </c>
      <c r="Q21" s="802" t="s">
        <v>3742</v>
      </c>
    </row>
    <row r="22" spans="1:17" ht="15.75" thickBot="1">
      <c r="A22" s="802"/>
      <c r="D22" s="808">
        <f t="shared" ref="D22:I22" si="26">SUM(D20:D21)</f>
        <v>63688</v>
      </c>
      <c r="E22" s="808">
        <f t="shared" si="26"/>
        <v>63696</v>
      </c>
      <c r="F22" s="808">
        <f t="shared" si="26"/>
        <v>63695</v>
      </c>
      <c r="G22" s="808">
        <f t="shared" si="26"/>
        <v>63514</v>
      </c>
      <c r="H22" s="808">
        <f t="shared" si="26"/>
        <v>61466</v>
      </c>
      <c r="I22" s="808">
        <f t="shared" si="26"/>
        <v>61295</v>
      </c>
      <c r="J22" s="808">
        <f t="shared" ref="J22:O22" si="27">SUM(J20:J21)</f>
        <v>60785</v>
      </c>
      <c r="K22" s="808">
        <f t="shared" si="27"/>
        <v>60409</v>
      </c>
      <c r="L22" s="808">
        <f t="shared" si="27"/>
        <v>60843</v>
      </c>
      <c r="M22" s="808">
        <f t="shared" si="27"/>
        <v>60723</v>
      </c>
      <c r="N22" s="808">
        <f t="shared" si="27"/>
        <v>61347</v>
      </c>
      <c r="O22" s="808">
        <f t="shared" si="27"/>
        <v>61696</v>
      </c>
      <c r="Q22" s="802"/>
    </row>
    <row r="23" spans="1:17">
      <c r="D23" s="805"/>
      <c r="E23" s="805"/>
      <c r="F23" s="805"/>
      <c r="G23" s="805"/>
      <c r="H23" s="805"/>
      <c r="I23" s="805"/>
      <c r="J23" s="805"/>
      <c r="K23" s="805"/>
      <c r="L23" s="805"/>
      <c r="M23" s="805"/>
      <c r="N23" s="805"/>
      <c r="O23" s="805"/>
    </row>
    <row r="24" spans="1:17">
      <c r="A24" s="802" t="s">
        <v>3422</v>
      </c>
      <c r="D24" s="804">
        <f t="shared" ref="D24:I24" si="28">D74</f>
        <v>6009</v>
      </c>
      <c r="E24" s="804">
        <f t="shared" si="28"/>
        <v>6064</v>
      </c>
      <c r="F24" s="804">
        <f t="shared" si="28"/>
        <v>6102</v>
      </c>
      <c r="G24" s="804">
        <f t="shared" si="28"/>
        <v>6069</v>
      </c>
      <c r="H24" s="804">
        <f t="shared" si="28"/>
        <v>5717</v>
      </c>
      <c r="I24" s="804">
        <f t="shared" si="28"/>
        <v>5861</v>
      </c>
      <c r="J24" s="804">
        <f t="shared" ref="J24:O24" si="29">J74</f>
        <v>5924</v>
      </c>
      <c r="K24" s="804">
        <f t="shared" si="29"/>
        <v>6081</v>
      </c>
      <c r="L24" s="804">
        <f t="shared" si="29"/>
        <v>6093</v>
      </c>
      <c r="M24" s="804">
        <f t="shared" si="29"/>
        <v>6089</v>
      </c>
      <c r="N24" s="804">
        <f t="shared" si="29"/>
        <v>6195</v>
      </c>
      <c r="O24" s="804">
        <f t="shared" si="29"/>
        <v>6275</v>
      </c>
      <c r="Q24" s="802" t="s">
        <v>3421</v>
      </c>
    </row>
    <row r="25" spans="1:17">
      <c r="D25" s="804">
        <f t="shared" ref="D25:I25" si="30">D126</f>
        <v>17393</v>
      </c>
      <c r="E25" s="804">
        <f t="shared" si="30"/>
        <v>17532</v>
      </c>
      <c r="F25" s="804">
        <f t="shared" si="30"/>
        <v>17479</v>
      </c>
      <c r="G25" s="804">
        <f t="shared" si="30"/>
        <v>17496</v>
      </c>
      <c r="H25" s="804">
        <f t="shared" si="30"/>
        <v>17373</v>
      </c>
      <c r="I25" s="804">
        <f t="shared" si="30"/>
        <v>17092</v>
      </c>
      <c r="J25" s="804">
        <f t="shared" ref="J25:O25" si="31">J126</f>
        <v>16318</v>
      </c>
      <c r="K25" s="804">
        <f t="shared" si="31"/>
        <v>16392</v>
      </c>
      <c r="L25" s="804">
        <f t="shared" si="31"/>
        <v>17451</v>
      </c>
      <c r="M25" s="804">
        <f t="shared" si="31"/>
        <v>17857</v>
      </c>
      <c r="N25" s="804">
        <f t="shared" si="31"/>
        <v>17554</v>
      </c>
      <c r="O25" s="804">
        <f t="shared" si="31"/>
        <v>17550</v>
      </c>
      <c r="Q25" s="802" t="s">
        <v>3419</v>
      </c>
    </row>
    <row r="26" spans="1:17" ht="15.75" thickBot="1">
      <c r="D26" s="807">
        <f t="shared" ref="D26:I26" si="32">D191</f>
        <v>41639</v>
      </c>
      <c r="E26" s="807">
        <f t="shared" si="32"/>
        <v>41638</v>
      </c>
      <c r="F26" s="807">
        <f t="shared" si="32"/>
        <v>41610</v>
      </c>
      <c r="G26" s="807">
        <f t="shared" si="32"/>
        <v>41576</v>
      </c>
      <c r="H26" s="807">
        <f t="shared" si="32"/>
        <v>41109</v>
      </c>
      <c r="I26" s="807">
        <f t="shared" si="32"/>
        <v>41083</v>
      </c>
      <c r="J26" s="807">
        <f t="shared" ref="J26:O26" si="33">J191</f>
        <v>40434</v>
      </c>
      <c r="K26" s="807">
        <f t="shared" si="33"/>
        <v>41203</v>
      </c>
      <c r="L26" s="807">
        <f t="shared" si="33"/>
        <v>42005</v>
      </c>
      <c r="M26" s="807">
        <f t="shared" si="33"/>
        <v>41525</v>
      </c>
      <c r="N26" s="807">
        <f t="shared" si="33"/>
        <v>42482</v>
      </c>
      <c r="O26" s="807">
        <f t="shared" si="33"/>
        <v>42739</v>
      </c>
      <c r="Q26" s="802" t="s">
        <v>3743</v>
      </c>
    </row>
    <row r="27" spans="1:17" ht="15.75" thickBot="1">
      <c r="D27" s="807">
        <f t="shared" ref="D27:I27" si="34">SUM(D24:D26)</f>
        <v>65041</v>
      </c>
      <c r="E27" s="807">
        <f t="shared" si="34"/>
        <v>65234</v>
      </c>
      <c r="F27" s="807">
        <f t="shared" si="34"/>
        <v>65191</v>
      </c>
      <c r="G27" s="807">
        <f t="shared" si="34"/>
        <v>65141</v>
      </c>
      <c r="H27" s="807">
        <f t="shared" si="34"/>
        <v>64199</v>
      </c>
      <c r="I27" s="807">
        <f t="shared" si="34"/>
        <v>64036</v>
      </c>
      <c r="J27" s="807">
        <f t="shared" ref="J27:O27" si="35">SUM(J24:J26)</f>
        <v>62676</v>
      </c>
      <c r="K27" s="807">
        <f t="shared" si="35"/>
        <v>63676</v>
      </c>
      <c r="L27" s="807">
        <f t="shared" si="35"/>
        <v>65549</v>
      </c>
      <c r="M27" s="807">
        <f t="shared" si="35"/>
        <v>65471</v>
      </c>
      <c r="N27" s="807">
        <f t="shared" si="35"/>
        <v>66231</v>
      </c>
      <c r="O27" s="807">
        <f t="shared" si="35"/>
        <v>66564</v>
      </c>
    </row>
    <row r="28" spans="1:17">
      <c r="D28" s="805"/>
      <c r="E28" s="805"/>
      <c r="F28" s="805"/>
      <c r="G28" s="805"/>
      <c r="H28" s="805"/>
      <c r="I28" s="805"/>
      <c r="J28" s="805"/>
      <c r="K28" s="805"/>
      <c r="L28" s="805"/>
      <c r="M28" s="805"/>
      <c r="N28" s="805"/>
      <c r="O28" s="805"/>
    </row>
    <row r="29" spans="1:17">
      <c r="A29" s="802" t="s">
        <v>3423</v>
      </c>
      <c r="D29" s="804">
        <f t="shared" ref="D29:K29" si="36">D221</f>
        <v>67027</v>
      </c>
      <c r="E29" s="804">
        <f t="shared" si="36"/>
        <v>66609</v>
      </c>
      <c r="F29" s="804">
        <f t="shared" si="36"/>
        <v>66582</v>
      </c>
      <c r="G29" s="804">
        <f t="shared" si="36"/>
        <v>66792</v>
      </c>
      <c r="H29" s="804">
        <f t="shared" si="36"/>
        <v>64587</v>
      </c>
      <c r="I29" s="804">
        <f t="shared" si="36"/>
        <v>64871</v>
      </c>
      <c r="J29" s="804">
        <f t="shared" si="36"/>
        <v>63885</v>
      </c>
      <c r="K29" s="804">
        <f t="shared" si="36"/>
        <v>65240</v>
      </c>
      <c r="L29" s="804">
        <f>L221</f>
        <v>66011</v>
      </c>
      <c r="M29" s="804">
        <f>M221</f>
        <v>65786</v>
      </c>
      <c r="N29" s="804">
        <f>N221</f>
        <v>66754</v>
      </c>
      <c r="O29" s="804">
        <f>O221</f>
        <v>66986</v>
      </c>
      <c r="Q29" s="802" t="s">
        <v>3417</v>
      </c>
    </row>
    <row r="30" spans="1:17">
      <c r="D30" s="805"/>
      <c r="E30" s="805"/>
      <c r="F30" s="805"/>
      <c r="G30" s="805"/>
      <c r="H30" s="805"/>
      <c r="I30" s="805"/>
      <c r="J30" s="805"/>
      <c r="K30" s="805"/>
      <c r="L30" s="805"/>
      <c r="M30" s="805"/>
      <c r="N30" s="805"/>
      <c r="O30" s="805"/>
    </row>
    <row r="31" spans="1:17">
      <c r="A31" s="802" t="s">
        <v>3424</v>
      </c>
      <c r="D31" s="804">
        <f t="shared" ref="D31:I31" si="37">D75</f>
        <v>59702</v>
      </c>
      <c r="E31" s="804">
        <f t="shared" si="37"/>
        <v>59361</v>
      </c>
      <c r="F31" s="804">
        <f t="shared" si="37"/>
        <v>60056</v>
      </c>
      <c r="G31" s="804">
        <f t="shared" si="37"/>
        <v>60430</v>
      </c>
      <c r="H31" s="804">
        <f t="shared" si="37"/>
        <v>55545</v>
      </c>
      <c r="I31" s="804">
        <f t="shared" si="37"/>
        <v>56927</v>
      </c>
      <c r="J31" s="804">
        <f t="shared" ref="J31:O31" si="38">J75</f>
        <v>58367</v>
      </c>
      <c r="K31" s="804">
        <f t="shared" si="38"/>
        <v>58655</v>
      </c>
      <c r="L31" s="804">
        <f t="shared" si="38"/>
        <v>59812</v>
      </c>
      <c r="M31" s="804">
        <f t="shared" si="38"/>
        <v>59623</v>
      </c>
      <c r="N31" s="804">
        <f t="shared" si="38"/>
        <v>60231</v>
      </c>
      <c r="O31" s="804">
        <f t="shared" si="38"/>
        <v>61396</v>
      </c>
      <c r="Q31" s="802" t="s">
        <v>3421</v>
      </c>
    </row>
    <row r="32" spans="1:17">
      <c r="D32" s="805"/>
      <c r="E32" s="805"/>
      <c r="F32" s="805"/>
      <c r="G32" s="805"/>
      <c r="H32" s="805"/>
      <c r="I32" s="805"/>
      <c r="J32" s="805"/>
      <c r="K32" s="805"/>
      <c r="L32" s="805"/>
      <c r="M32" s="805"/>
      <c r="N32" s="805"/>
      <c r="O32" s="805"/>
    </row>
    <row r="33" spans="1:17">
      <c r="A33" s="802" t="s">
        <v>6796</v>
      </c>
      <c r="D33" s="804">
        <f t="shared" ref="D33:I33" si="39">D16+D18+D22+D27+D29+D31</f>
        <v>390360</v>
      </c>
      <c r="E33" s="804">
        <f t="shared" si="39"/>
        <v>390370</v>
      </c>
      <c r="F33" s="804">
        <f t="shared" si="39"/>
        <v>390998</v>
      </c>
      <c r="G33" s="804">
        <f t="shared" si="39"/>
        <v>392012</v>
      </c>
      <c r="H33" s="804">
        <f t="shared" si="39"/>
        <v>379590</v>
      </c>
      <c r="I33" s="804">
        <f t="shared" si="39"/>
        <v>379431</v>
      </c>
      <c r="J33" s="804">
        <f t="shared" ref="J33:O33" si="40">J16+J18+J22+J27+J29+J31</f>
        <v>373997</v>
      </c>
      <c r="K33" s="804">
        <f t="shared" si="40"/>
        <v>376963</v>
      </c>
      <c r="L33" s="804">
        <f t="shared" si="40"/>
        <v>385663</v>
      </c>
      <c r="M33" s="804">
        <f t="shared" si="40"/>
        <v>385426</v>
      </c>
      <c r="N33" s="804">
        <f t="shared" si="40"/>
        <v>387535</v>
      </c>
      <c r="O33" s="804">
        <f t="shared" si="40"/>
        <v>389717</v>
      </c>
    </row>
    <row r="34" spans="1:17">
      <c r="D34" s="805"/>
      <c r="E34" s="805"/>
      <c r="F34" s="805"/>
      <c r="G34" s="805"/>
      <c r="H34" s="805"/>
      <c r="I34" s="805"/>
      <c r="J34" s="805"/>
      <c r="K34" s="805"/>
      <c r="L34" s="805"/>
      <c r="M34" s="805"/>
      <c r="N34" s="805"/>
      <c r="O34" s="805"/>
    </row>
    <row r="35" spans="1:17">
      <c r="A35" s="802" t="s">
        <v>6797</v>
      </c>
      <c r="D35" s="804">
        <f t="shared" ref="D35:I35" si="41">MAX(D16,D18,D22,D27,D29,D31)-MIN(D16,D18,D22,D27,D29,D31)</f>
        <v>9579</v>
      </c>
      <c r="E35" s="804">
        <f t="shared" si="41"/>
        <v>9787</v>
      </c>
      <c r="F35" s="804">
        <f t="shared" si="41"/>
        <v>8799</v>
      </c>
      <c r="G35" s="804">
        <f t="shared" si="41"/>
        <v>9269</v>
      </c>
      <c r="H35" s="804">
        <f t="shared" si="41"/>
        <v>12102</v>
      </c>
      <c r="I35" s="804">
        <f t="shared" si="41"/>
        <v>10702</v>
      </c>
      <c r="J35" s="804">
        <f t="shared" ref="J35:O35" si="42">MAX(J16,J18,J22,J27,J29,J31)-MIN(J16,J18,J22,J27,J29,J31)</f>
        <v>9410</v>
      </c>
      <c r="K35" s="804">
        <f t="shared" si="42"/>
        <v>10386</v>
      </c>
      <c r="L35" s="804">
        <f t="shared" si="42"/>
        <v>9266</v>
      </c>
      <c r="M35" s="804">
        <f t="shared" si="42"/>
        <v>8882</v>
      </c>
      <c r="N35" s="804">
        <f t="shared" si="42"/>
        <v>8902</v>
      </c>
      <c r="O35" s="804">
        <f t="shared" si="42"/>
        <v>7325</v>
      </c>
    </row>
    <row r="36" spans="1:17">
      <c r="D36" s="805"/>
      <c r="E36" s="805"/>
      <c r="F36" s="805"/>
      <c r="G36" s="805"/>
      <c r="H36" s="805"/>
      <c r="I36" s="805"/>
      <c r="J36" s="805"/>
      <c r="K36" s="805"/>
      <c r="L36" s="805"/>
      <c r="M36" s="805"/>
      <c r="N36" s="805"/>
      <c r="O36" s="805"/>
    </row>
    <row r="37" spans="1:17">
      <c r="A37" s="802" t="s">
        <v>6800</v>
      </c>
      <c r="D37" s="804">
        <f t="shared" ref="D37:I37" si="43">STDEVP(D16,D18,D22,D27,D29,D31)</f>
        <v>2960.6181786917409</v>
      </c>
      <c r="E37" s="804">
        <f t="shared" si="43"/>
        <v>3029.6629442159988</v>
      </c>
      <c r="F37" s="804">
        <f t="shared" si="43"/>
        <v>2768.9213102257386</v>
      </c>
      <c r="G37" s="804">
        <f t="shared" si="43"/>
        <v>2880.7478002922935</v>
      </c>
      <c r="H37" s="804">
        <f t="shared" si="43"/>
        <v>3936.0920974997525</v>
      </c>
      <c r="I37" s="804">
        <f t="shared" si="43"/>
        <v>3372.6242873070423</v>
      </c>
      <c r="J37" s="804">
        <f t="shared" ref="J37:O37" si="44">STDEVP(J16,J18,J22,J27,J29,J31)</f>
        <v>2989.5157030677879</v>
      </c>
      <c r="K37" s="804">
        <f t="shared" si="44"/>
        <v>3576.1408164233258</v>
      </c>
      <c r="L37" s="804">
        <f t="shared" si="44"/>
        <v>3146.7329839409986</v>
      </c>
      <c r="M37" s="804">
        <f t="shared" si="44"/>
        <v>3080.6852953342845</v>
      </c>
      <c r="N37" s="804">
        <f t="shared" si="44"/>
        <v>3111.7131624806862</v>
      </c>
      <c r="O37" s="804">
        <f t="shared" si="44"/>
        <v>2724.7425821330148</v>
      </c>
    </row>
    <row r="38" spans="1:17">
      <c r="A38" s="802"/>
      <c r="D38" s="809"/>
      <c r="E38" s="809"/>
      <c r="F38" s="809"/>
      <c r="G38" s="809"/>
      <c r="H38" s="809"/>
      <c r="I38" s="809"/>
      <c r="J38" s="809"/>
      <c r="K38" s="809"/>
      <c r="L38" s="809"/>
      <c r="M38" s="809"/>
      <c r="N38" s="809"/>
      <c r="O38" s="809"/>
    </row>
    <row r="39" spans="1:17">
      <c r="A39" s="802"/>
      <c r="D39" s="809"/>
      <c r="E39" s="809"/>
      <c r="F39" s="809"/>
      <c r="G39" s="809"/>
      <c r="H39" s="809"/>
      <c r="I39" s="809"/>
      <c r="J39" s="809"/>
      <c r="K39" s="809"/>
      <c r="L39" s="809"/>
      <c r="M39" s="809"/>
      <c r="N39" s="809"/>
      <c r="O39" s="809"/>
    </row>
    <row r="40" spans="1:17">
      <c r="E40" s="51" t="s">
        <v>1526</v>
      </c>
      <c r="F40" s="51"/>
      <c r="G40" s="51"/>
      <c r="H40" s="51"/>
      <c r="I40" s="51"/>
      <c r="J40" s="51"/>
      <c r="K40" s="51"/>
      <c r="L40" s="51"/>
      <c r="M40" s="51"/>
      <c r="N40" s="51"/>
      <c r="O40" s="51"/>
      <c r="P40" s="276"/>
      <c r="Q40" s="11" t="s">
        <v>9479</v>
      </c>
    </row>
    <row r="41" spans="1:17">
      <c r="D41" s="350">
        <v>2010</v>
      </c>
      <c r="E41" s="350">
        <v>2011</v>
      </c>
      <c r="F41" s="350">
        <v>2012</v>
      </c>
      <c r="G41" s="350">
        <v>2013</v>
      </c>
      <c r="H41" s="350">
        <v>2014</v>
      </c>
      <c r="I41" s="350">
        <v>2015</v>
      </c>
      <c r="J41" s="350">
        <v>2016</v>
      </c>
      <c r="K41" s="350">
        <v>2017</v>
      </c>
      <c r="L41" s="350">
        <v>2018</v>
      </c>
      <c r="M41" s="350">
        <v>2019</v>
      </c>
      <c r="N41" s="350">
        <v>2020</v>
      </c>
      <c r="O41" s="983" t="s">
        <v>14823</v>
      </c>
      <c r="P41" s="410"/>
      <c r="Q41" s="13" t="s">
        <v>1527</v>
      </c>
    </row>
    <row r="42" spans="1:17">
      <c r="A42" s="802" t="s">
        <v>3425</v>
      </c>
      <c r="C42" s="802"/>
      <c r="D42" s="804">
        <f t="shared" ref="D42:M42" si="45">SUM(D43:D44,D46:D57,D59:D70)</f>
        <v>73780</v>
      </c>
      <c r="E42" s="804">
        <f t="shared" si="45"/>
        <v>73411</v>
      </c>
      <c r="F42" s="804">
        <f t="shared" si="45"/>
        <v>74117</v>
      </c>
      <c r="G42" s="804">
        <f t="shared" si="45"/>
        <v>74503</v>
      </c>
      <c r="H42" s="804">
        <f t="shared" si="45"/>
        <v>68633</v>
      </c>
      <c r="I42" s="804">
        <f t="shared" si="45"/>
        <v>70353</v>
      </c>
      <c r="J42" s="804">
        <f t="shared" si="45"/>
        <v>72052</v>
      </c>
      <c r="K42" s="804">
        <f t="shared" si="45"/>
        <v>72480</v>
      </c>
      <c r="L42" s="804">
        <f t="shared" si="45"/>
        <v>73713</v>
      </c>
      <c r="M42" s="804">
        <f t="shared" si="45"/>
        <v>73373</v>
      </c>
      <c r="N42" s="804">
        <f>SUM(N43:N44,N46:N57,N59:N70)</f>
        <v>74293</v>
      </c>
      <c r="O42" s="804">
        <f>SUM(O43:O44,O46:O57,O59:O70)</f>
        <v>75625</v>
      </c>
    </row>
    <row r="43" spans="1:17">
      <c r="A43" s="810">
        <v>1</v>
      </c>
      <c r="B43" s="802" t="s">
        <v>3426</v>
      </c>
      <c r="C43" s="55" t="s">
        <v>14406</v>
      </c>
      <c r="D43" s="805">
        <v>0</v>
      </c>
      <c r="E43" s="805">
        <v>0</v>
      </c>
      <c r="F43" s="805">
        <v>0</v>
      </c>
      <c r="G43" s="805">
        <v>0</v>
      </c>
      <c r="H43" s="805">
        <v>0</v>
      </c>
      <c r="I43" s="805">
        <v>0</v>
      </c>
      <c r="J43" s="805">
        <v>0</v>
      </c>
      <c r="K43" s="805">
        <v>0</v>
      </c>
      <c r="L43" s="805">
        <v>0</v>
      </c>
      <c r="M43" s="805">
        <v>0</v>
      </c>
      <c r="N43" s="63">
        <v>622</v>
      </c>
      <c r="O43" s="63">
        <v>631</v>
      </c>
      <c r="Q43" s="802" t="s">
        <v>3420</v>
      </c>
    </row>
    <row r="44" spans="1:17" ht="15.75" thickBot="1">
      <c r="A44" s="810"/>
      <c r="B44" s="802"/>
      <c r="C44" s="55" t="s">
        <v>14406</v>
      </c>
      <c r="D44" s="805">
        <v>0</v>
      </c>
      <c r="E44" s="805">
        <v>0</v>
      </c>
      <c r="F44" s="805">
        <v>0</v>
      </c>
      <c r="G44" s="805">
        <v>0</v>
      </c>
      <c r="H44" s="805">
        <v>0</v>
      </c>
      <c r="I44" s="805">
        <v>0</v>
      </c>
      <c r="J44" s="805">
        <v>0</v>
      </c>
      <c r="K44" s="805">
        <v>0</v>
      </c>
      <c r="L44" s="805">
        <v>0</v>
      </c>
      <c r="M44" s="805">
        <v>0</v>
      </c>
      <c r="N44" s="63">
        <v>3745</v>
      </c>
      <c r="O44" s="63">
        <v>3810</v>
      </c>
      <c r="Q44" s="802" t="s">
        <v>3424</v>
      </c>
    </row>
    <row r="45" spans="1:17" ht="15.75" thickBot="1">
      <c r="A45" s="810"/>
      <c r="B45" s="802"/>
      <c r="C45" s="55" t="s">
        <v>14406</v>
      </c>
      <c r="D45" s="811">
        <f>D43+D44</f>
        <v>0</v>
      </c>
      <c r="E45" s="811">
        <f t="shared" ref="E45:M45" si="46">E43+E44</f>
        <v>0</v>
      </c>
      <c r="F45" s="811">
        <f t="shared" si="46"/>
        <v>0</v>
      </c>
      <c r="G45" s="811">
        <f t="shared" si="46"/>
        <v>0</v>
      </c>
      <c r="H45" s="811">
        <f t="shared" si="46"/>
        <v>0</v>
      </c>
      <c r="I45" s="811">
        <f t="shared" si="46"/>
        <v>0</v>
      </c>
      <c r="J45" s="811">
        <f t="shared" si="46"/>
        <v>0</v>
      </c>
      <c r="K45" s="811">
        <f t="shared" si="46"/>
        <v>0</v>
      </c>
      <c r="L45" s="811">
        <f t="shared" si="46"/>
        <v>0</v>
      </c>
      <c r="M45" s="811">
        <f t="shared" si="46"/>
        <v>0</v>
      </c>
      <c r="N45" s="811">
        <f>N43+N44</f>
        <v>4367</v>
      </c>
      <c r="O45" s="811">
        <f>O43+O44</f>
        <v>4441</v>
      </c>
      <c r="Q45" s="802"/>
    </row>
    <row r="46" spans="1:17">
      <c r="A46" s="810">
        <v>2</v>
      </c>
      <c r="B46" s="802" t="s">
        <v>14408</v>
      </c>
      <c r="C46" s="55" t="s">
        <v>14407</v>
      </c>
      <c r="D46" s="805">
        <v>59702</v>
      </c>
      <c r="E46" s="805">
        <v>59361</v>
      </c>
      <c r="F46" s="805">
        <v>60056</v>
      </c>
      <c r="G46" s="805">
        <v>60430</v>
      </c>
      <c r="H46" s="805">
        <v>55545</v>
      </c>
      <c r="I46" s="805">
        <v>56927</v>
      </c>
      <c r="J46" s="805">
        <v>58367</v>
      </c>
      <c r="K46" s="805">
        <v>58655</v>
      </c>
      <c r="L46" s="805">
        <v>59812</v>
      </c>
      <c r="M46" s="805">
        <v>59623</v>
      </c>
      <c r="N46" s="63">
        <v>1507</v>
      </c>
      <c r="O46" s="63">
        <v>1525</v>
      </c>
      <c r="Q46" s="802" t="s">
        <v>3424</v>
      </c>
    </row>
    <row r="47" spans="1:17">
      <c r="A47" s="810">
        <v>3</v>
      </c>
      <c r="B47" s="802" t="s">
        <v>3427</v>
      </c>
      <c r="C47" s="55" t="s">
        <v>14409</v>
      </c>
      <c r="D47" s="805">
        <v>0</v>
      </c>
      <c r="E47" s="805">
        <v>0</v>
      </c>
      <c r="F47" s="805">
        <v>0</v>
      </c>
      <c r="G47" s="805">
        <v>0</v>
      </c>
      <c r="H47" s="805">
        <v>0</v>
      </c>
      <c r="I47" s="805">
        <v>0</v>
      </c>
      <c r="J47" s="805">
        <v>0</v>
      </c>
      <c r="K47" s="805">
        <v>0</v>
      </c>
      <c r="L47" s="805">
        <v>0</v>
      </c>
      <c r="M47" s="805">
        <v>0</v>
      </c>
      <c r="N47" s="63">
        <v>2977</v>
      </c>
      <c r="O47" s="63">
        <v>3025</v>
      </c>
      <c r="Q47" s="802" t="s">
        <v>3424</v>
      </c>
    </row>
    <row r="48" spans="1:17">
      <c r="A48" s="810">
        <v>4</v>
      </c>
      <c r="B48" s="802" t="s">
        <v>3428</v>
      </c>
      <c r="C48" s="55" t="s">
        <v>14410</v>
      </c>
      <c r="D48" s="805">
        <v>0</v>
      </c>
      <c r="E48" s="805">
        <v>0</v>
      </c>
      <c r="F48" s="805">
        <v>0</v>
      </c>
      <c r="G48" s="805">
        <v>0</v>
      </c>
      <c r="H48" s="805">
        <v>0</v>
      </c>
      <c r="I48" s="805">
        <v>0</v>
      </c>
      <c r="J48" s="805">
        <v>0</v>
      </c>
      <c r="K48" s="805">
        <v>0</v>
      </c>
      <c r="L48" s="805">
        <v>0</v>
      </c>
      <c r="M48" s="805">
        <v>0</v>
      </c>
      <c r="N48" s="63">
        <v>1571</v>
      </c>
      <c r="O48" s="63">
        <v>1595</v>
      </c>
      <c r="Q48" s="802" t="s">
        <v>3424</v>
      </c>
    </row>
    <row r="49" spans="1:17">
      <c r="A49" s="810">
        <v>5</v>
      </c>
      <c r="B49" s="164" t="s">
        <v>14412</v>
      </c>
      <c r="C49" s="55" t="s">
        <v>14411</v>
      </c>
      <c r="D49" s="805">
        <v>0</v>
      </c>
      <c r="E49" s="805">
        <v>0</v>
      </c>
      <c r="F49" s="805">
        <v>0</v>
      </c>
      <c r="G49" s="805">
        <v>0</v>
      </c>
      <c r="H49" s="805">
        <v>0</v>
      </c>
      <c r="I49" s="805">
        <v>0</v>
      </c>
      <c r="J49" s="805">
        <v>0</v>
      </c>
      <c r="K49" s="805">
        <v>0</v>
      </c>
      <c r="L49" s="805">
        <v>0</v>
      </c>
      <c r="M49" s="805">
        <v>0</v>
      </c>
      <c r="N49" s="63">
        <v>3085</v>
      </c>
      <c r="O49" s="63">
        <v>3158</v>
      </c>
      <c r="Q49" s="802" t="s">
        <v>3424</v>
      </c>
    </row>
    <row r="50" spans="1:17">
      <c r="A50" s="810">
        <v>6</v>
      </c>
      <c r="B50" s="802" t="s">
        <v>3716</v>
      </c>
      <c r="C50" s="55" t="s">
        <v>14413</v>
      </c>
      <c r="D50" s="805">
        <v>0</v>
      </c>
      <c r="E50" s="805">
        <v>0</v>
      </c>
      <c r="F50" s="805">
        <v>0</v>
      </c>
      <c r="G50" s="805">
        <v>0</v>
      </c>
      <c r="H50" s="805">
        <v>0</v>
      </c>
      <c r="I50" s="805">
        <v>0</v>
      </c>
      <c r="J50" s="805">
        <v>0</v>
      </c>
      <c r="K50" s="805">
        <v>0</v>
      </c>
      <c r="L50" s="805">
        <v>0</v>
      </c>
      <c r="M50" s="805">
        <v>0</v>
      </c>
      <c r="N50" s="63">
        <v>3217</v>
      </c>
      <c r="O50" s="63">
        <v>3291</v>
      </c>
      <c r="Q50" s="802" t="s">
        <v>3424</v>
      </c>
    </row>
    <row r="51" spans="1:17">
      <c r="A51" s="810">
        <v>7</v>
      </c>
      <c r="B51" s="802" t="s">
        <v>14415</v>
      </c>
      <c r="C51" s="55" t="s">
        <v>14414</v>
      </c>
      <c r="D51" s="805">
        <v>8069</v>
      </c>
      <c r="E51" s="805">
        <v>7986</v>
      </c>
      <c r="F51" s="805">
        <v>7959</v>
      </c>
      <c r="G51" s="805">
        <v>8004</v>
      </c>
      <c r="H51" s="805">
        <v>7371</v>
      </c>
      <c r="I51" s="805">
        <v>7565</v>
      </c>
      <c r="J51" s="805">
        <v>7761</v>
      </c>
      <c r="K51" s="805">
        <v>7744</v>
      </c>
      <c r="L51" s="805">
        <v>7808</v>
      </c>
      <c r="M51" s="805">
        <v>7661</v>
      </c>
      <c r="N51" s="63">
        <v>1518</v>
      </c>
      <c r="O51" s="63">
        <v>1548</v>
      </c>
      <c r="Q51" s="802" t="s">
        <v>3420</v>
      </c>
    </row>
    <row r="52" spans="1:17">
      <c r="A52" s="810">
        <v>8</v>
      </c>
      <c r="B52" s="802" t="s">
        <v>3429</v>
      </c>
      <c r="C52" s="55" t="s">
        <v>14416</v>
      </c>
      <c r="D52" s="805">
        <v>0</v>
      </c>
      <c r="E52" s="805">
        <v>0</v>
      </c>
      <c r="F52" s="805">
        <v>0</v>
      </c>
      <c r="G52" s="805">
        <v>0</v>
      </c>
      <c r="H52" s="805">
        <v>0</v>
      </c>
      <c r="I52" s="805">
        <v>0</v>
      </c>
      <c r="J52" s="805">
        <v>0</v>
      </c>
      <c r="K52" s="805">
        <v>0</v>
      </c>
      <c r="L52" s="805">
        <v>0</v>
      </c>
      <c r="M52" s="805">
        <v>0</v>
      </c>
      <c r="N52" s="63">
        <v>1447</v>
      </c>
      <c r="O52" s="63">
        <v>1465</v>
      </c>
      <c r="Q52" s="802" t="s">
        <v>3420</v>
      </c>
    </row>
    <row r="53" spans="1:17">
      <c r="A53" s="810">
        <v>9</v>
      </c>
      <c r="B53" s="802" t="s">
        <v>14418</v>
      </c>
      <c r="C53" s="55" t="s">
        <v>14417</v>
      </c>
      <c r="D53" s="805">
        <v>0</v>
      </c>
      <c r="E53" s="805">
        <v>0</v>
      </c>
      <c r="F53" s="805">
        <v>0</v>
      </c>
      <c r="G53" s="805">
        <v>0</v>
      </c>
      <c r="H53" s="805">
        <v>0</v>
      </c>
      <c r="I53" s="805">
        <v>0</v>
      </c>
      <c r="J53" s="805">
        <v>0</v>
      </c>
      <c r="K53" s="805">
        <v>0</v>
      </c>
      <c r="L53" s="805">
        <v>0</v>
      </c>
      <c r="M53" s="805">
        <v>0</v>
      </c>
      <c r="N53" s="63">
        <v>3074</v>
      </c>
      <c r="O53" s="63">
        <v>3120</v>
      </c>
      <c r="Q53" s="802" t="s">
        <v>3424</v>
      </c>
    </row>
    <row r="54" spans="1:17">
      <c r="A54" s="810">
        <v>10</v>
      </c>
      <c r="B54" s="802" t="s">
        <v>4946</v>
      </c>
      <c r="C54" s="55" t="s">
        <v>14419</v>
      </c>
      <c r="D54" s="805">
        <v>0</v>
      </c>
      <c r="E54" s="805">
        <v>0</v>
      </c>
      <c r="F54" s="805">
        <v>0</v>
      </c>
      <c r="G54" s="805">
        <v>0</v>
      </c>
      <c r="H54" s="805">
        <v>0</v>
      </c>
      <c r="I54" s="805">
        <v>0</v>
      </c>
      <c r="J54" s="805">
        <v>0</v>
      </c>
      <c r="K54" s="805">
        <v>0</v>
      </c>
      <c r="L54" s="805">
        <v>0</v>
      </c>
      <c r="M54" s="805">
        <v>0</v>
      </c>
      <c r="N54" s="63">
        <v>1357</v>
      </c>
      <c r="O54" s="63">
        <v>1370</v>
      </c>
      <c r="Q54" s="802" t="s">
        <v>3424</v>
      </c>
    </row>
    <row r="55" spans="1:17">
      <c r="A55" s="810">
        <v>11</v>
      </c>
      <c r="B55" s="802" t="s">
        <v>14421</v>
      </c>
      <c r="C55" s="55" t="s">
        <v>14420</v>
      </c>
      <c r="D55" s="805">
        <v>0</v>
      </c>
      <c r="E55" s="805">
        <v>0</v>
      </c>
      <c r="F55" s="805">
        <v>0</v>
      </c>
      <c r="G55" s="805">
        <v>0</v>
      </c>
      <c r="H55" s="805">
        <v>0</v>
      </c>
      <c r="I55" s="805">
        <v>0</v>
      </c>
      <c r="J55" s="805">
        <v>0</v>
      </c>
      <c r="K55" s="805">
        <v>0</v>
      </c>
      <c r="L55" s="805">
        <v>0</v>
      </c>
      <c r="M55" s="805">
        <v>0</v>
      </c>
      <c r="N55" s="63">
        <v>4562</v>
      </c>
      <c r="O55" s="63">
        <v>4650</v>
      </c>
      <c r="Q55" s="802" t="s">
        <v>3424</v>
      </c>
    </row>
    <row r="56" spans="1:17">
      <c r="A56" s="810">
        <v>12</v>
      </c>
      <c r="B56" s="802" t="s">
        <v>4947</v>
      </c>
      <c r="C56" s="55" t="s">
        <v>14422</v>
      </c>
      <c r="D56" s="805">
        <v>0</v>
      </c>
      <c r="E56" s="805">
        <v>0</v>
      </c>
      <c r="F56" s="805">
        <v>0</v>
      </c>
      <c r="G56" s="805">
        <v>0</v>
      </c>
      <c r="H56" s="805">
        <v>0</v>
      </c>
      <c r="I56" s="805">
        <v>0</v>
      </c>
      <c r="J56" s="805">
        <v>0</v>
      </c>
      <c r="K56" s="805">
        <v>0</v>
      </c>
      <c r="L56" s="805">
        <v>0</v>
      </c>
      <c r="M56" s="805">
        <v>0</v>
      </c>
      <c r="N56" s="63">
        <v>4280</v>
      </c>
      <c r="O56" s="63">
        <v>4310</v>
      </c>
      <c r="Q56" s="802" t="s">
        <v>3420</v>
      </c>
    </row>
    <row r="57" spans="1:17" ht="15.75" thickBot="1">
      <c r="A57" s="810"/>
      <c r="B57" s="802"/>
      <c r="C57" s="55" t="s">
        <v>14422</v>
      </c>
      <c r="D57" s="805">
        <v>0</v>
      </c>
      <c r="E57" s="805">
        <v>0</v>
      </c>
      <c r="F57" s="805">
        <v>0</v>
      </c>
      <c r="G57" s="805">
        <v>0</v>
      </c>
      <c r="H57" s="805">
        <v>0</v>
      </c>
      <c r="I57" s="805">
        <v>0</v>
      </c>
      <c r="J57" s="805">
        <v>0</v>
      </c>
      <c r="K57" s="805">
        <v>0</v>
      </c>
      <c r="L57" s="805">
        <v>0</v>
      </c>
      <c r="M57" s="805">
        <v>0</v>
      </c>
      <c r="N57" s="63">
        <v>181</v>
      </c>
      <c r="O57" s="63">
        <v>289</v>
      </c>
      <c r="Q57" s="802" t="s">
        <v>3424</v>
      </c>
    </row>
    <row r="58" spans="1:17" ht="15.75" thickBot="1">
      <c r="A58" s="810"/>
      <c r="B58" s="802"/>
      <c r="C58" s="55" t="s">
        <v>14422</v>
      </c>
      <c r="D58" s="811">
        <f>D56+D57</f>
        <v>0</v>
      </c>
      <c r="E58" s="811">
        <f t="shared" ref="E58:M58" si="47">E56+E57</f>
        <v>0</v>
      </c>
      <c r="F58" s="811">
        <f t="shared" si="47"/>
        <v>0</v>
      </c>
      <c r="G58" s="811">
        <f t="shared" si="47"/>
        <v>0</v>
      </c>
      <c r="H58" s="811">
        <f t="shared" si="47"/>
        <v>0</v>
      </c>
      <c r="I58" s="811">
        <f t="shared" si="47"/>
        <v>0</v>
      </c>
      <c r="J58" s="811">
        <f t="shared" si="47"/>
        <v>0</v>
      </c>
      <c r="K58" s="811">
        <f t="shared" si="47"/>
        <v>0</v>
      </c>
      <c r="L58" s="811">
        <f t="shared" si="47"/>
        <v>0</v>
      </c>
      <c r="M58" s="811">
        <f t="shared" si="47"/>
        <v>0</v>
      </c>
      <c r="N58" s="811">
        <f>N56+N57</f>
        <v>4461</v>
      </c>
      <c r="O58" s="811">
        <f>O56+O57</f>
        <v>4599</v>
      </c>
      <c r="Q58" s="802"/>
    </row>
    <row r="59" spans="1:17">
      <c r="A59" s="810">
        <v>13</v>
      </c>
      <c r="B59" s="802" t="s">
        <v>14424</v>
      </c>
      <c r="C59" s="55" t="s">
        <v>14423</v>
      </c>
      <c r="D59" s="805">
        <v>0</v>
      </c>
      <c r="E59" s="805">
        <v>0</v>
      </c>
      <c r="F59" s="805">
        <v>0</v>
      </c>
      <c r="G59" s="805">
        <v>0</v>
      </c>
      <c r="H59" s="805">
        <v>0</v>
      </c>
      <c r="I59" s="805">
        <v>0</v>
      </c>
      <c r="J59" s="805">
        <v>0</v>
      </c>
      <c r="K59" s="805">
        <v>0</v>
      </c>
      <c r="L59" s="805">
        <v>0</v>
      </c>
      <c r="M59" s="805">
        <v>0</v>
      </c>
      <c r="N59" s="63">
        <v>3119</v>
      </c>
      <c r="O59" s="63">
        <v>3170</v>
      </c>
      <c r="Q59" s="802" t="s">
        <v>3424</v>
      </c>
    </row>
    <row r="60" spans="1:17">
      <c r="A60" s="810">
        <v>14</v>
      </c>
      <c r="B60" s="802" t="s">
        <v>14426</v>
      </c>
      <c r="C60" s="55" t="s">
        <v>14425</v>
      </c>
      <c r="D60" s="805">
        <v>0</v>
      </c>
      <c r="E60" s="805">
        <v>0</v>
      </c>
      <c r="F60" s="805">
        <v>0</v>
      </c>
      <c r="G60" s="805">
        <v>0</v>
      </c>
      <c r="H60" s="805">
        <v>0</v>
      </c>
      <c r="I60" s="805">
        <v>0</v>
      </c>
      <c r="J60" s="805">
        <v>0</v>
      </c>
      <c r="K60" s="805">
        <v>0</v>
      </c>
      <c r="L60" s="805">
        <v>0</v>
      </c>
      <c r="M60" s="805">
        <v>0</v>
      </c>
      <c r="N60" s="63">
        <v>4283</v>
      </c>
      <c r="O60" s="63">
        <v>4337</v>
      </c>
      <c r="Q60" s="802" t="s">
        <v>3424</v>
      </c>
    </row>
    <row r="61" spans="1:17">
      <c r="A61" s="810">
        <v>15</v>
      </c>
      <c r="B61" s="164" t="s">
        <v>14428</v>
      </c>
      <c r="C61" s="55" t="s">
        <v>14427</v>
      </c>
      <c r="D61" s="805">
        <v>0</v>
      </c>
      <c r="E61" s="805">
        <v>0</v>
      </c>
      <c r="F61" s="805">
        <v>0</v>
      </c>
      <c r="G61" s="805">
        <v>0</v>
      </c>
      <c r="H61" s="805">
        <v>0</v>
      </c>
      <c r="I61" s="805">
        <v>0</v>
      </c>
      <c r="J61" s="805">
        <v>0</v>
      </c>
      <c r="K61" s="805">
        <v>0</v>
      </c>
      <c r="L61" s="805">
        <v>0</v>
      </c>
      <c r="M61" s="805">
        <v>0</v>
      </c>
      <c r="N61" s="63">
        <v>2979</v>
      </c>
      <c r="O61" s="63">
        <v>3061</v>
      </c>
      <c r="Q61" s="802" t="s">
        <v>3424</v>
      </c>
    </row>
    <row r="62" spans="1:17">
      <c r="A62" s="810">
        <v>16</v>
      </c>
      <c r="B62" s="802" t="s">
        <v>14430</v>
      </c>
      <c r="C62" s="55" t="s">
        <v>14429</v>
      </c>
      <c r="D62" s="805">
        <v>0</v>
      </c>
      <c r="E62" s="805">
        <v>0</v>
      </c>
      <c r="F62" s="805">
        <v>0</v>
      </c>
      <c r="G62" s="805">
        <v>0</v>
      </c>
      <c r="H62" s="805">
        <v>0</v>
      </c>
      <c r="I62" s="805">
        <v>0</v>
      </c>
      <c r="J62" s="805">
        <v>0</v>
      </c>
      <c r="K62" s="805">
        <v>0</v>
      </c>
      <c r="L62" s="805">
        <v>0</v>
      </c>
      <c r="M62" s="805">
        <v>0</v>
      </c>
      <c r="N62" s="63">
        <v>4650</v>
      </c>
      <c r="O62" s="63">
        <v>4731</v>
      </c>
      <c r="Q62" s="802" t="s">
        <v>3424</v>
      </c>
    </row>
    <row r="63" spans="1:17">
      <c r="A63" s="810">
        <v>17</v>
      </c>
      <c r="B63" s="802" t="s">
        <v>4949</v>
      </c>
      <c r="C63" s="55" t="s">
        <v>14431</v>
      </c>
      <c r="D63" s="805">
        <v>0</v>
      </c>
      <c r="E63" s="805">
        <v>0</v>
      </c>
      <c r="F63" s="805">
        <v>0</v>
      </c>
      <c r="G63" s="805">
        <v>0</v>
      </c>
      <c r="H63" s="805">
        <v>0</v>
      </c>
      <c r="I63" s="805">
        <v>0</v>
      </c>
      <c r="J63" s="805">
        <v>0</v>
      </c>
      <c r="K63" s="805">
        <v>0</v>
      </c>
      <c r="L63" s="805">
        <v>0</v>
      </c>
      <c r="M63" s="805">
        <v>0</v>
      </c>
      <c r="N63" s="63">
        <v>4493</v>
      </c>
      <c r="O63" s="63">
        <v>4581</v>
      </c>
      <c r="Q63" s="802" t="s">
        <v>3424</v>
      </c>
    </row>
    <row r="64" spans="1:17">
      <c r="A64" s="810">
        <v>18</v>
      </c>
      <c r="B64" s="802" t="s">
        <v>6913</v>
      </c>
      <c r="C64" s="55" t="s">
        <v>14432</v>
      </c>
      <c r="D64" s="805">
        <v>0</v>
      </c>
      <c r="E64" s="805">
        <v>0</v>
      </c>
      <c r="F64" s="805">
        <v>0</v>
      </c>
      <c r="G64" s="805">
        <v>0</v>
      </c>
      <c r="H64" s="805">
        <v>0</v>
      </c>
      <c r="I64" s="805">
        <v>0</v>
      </c>
      <c r="J64" s="805">
        <v>0</v>
      </c>
      <c r="K64" s="805">
        <v>0</v>
      </c>
      <c r="L64" s="805">
        <v>0</v>
      </c>
      <c r="M64" s="805">
        <v>0</v>
      </c>
      <c r="N64" s="63">
        <v>2847</v>
      </c>
      <c r="O64" s="63">
        <v>2904</v>
      </c>
      <c r="Q64" s="802" t="s">
        <v>3424</v>
      </c>
    </row>
    <row r="65" spans="1:17">
      <c r="A65" s="810">
        <v>19</v>
      </c>
      <c r="B65" s="164" t="s">
        <v>14434</v>
      </c>
      <c r="C65" s="55" t="s">
        <v>14433</v>
      </c>
      <c r="D65" s="805">
        <v>0</v>
      </c>
      <c r="E65" s="805">
        <v>0</v>
      </c>
      <c r="F65" s="805">
        <v>0</v>
      </c>
      <c r="G65" s="805">
        <v>0</v>
      </c>
      <c r="H65" s="805">
        <v>0</v>
      </c>
      <c r="I65" s="805">
        <v>0</v>
      </c>
      <c r="J65" s="805">
        <v>0</v>
      </c>
      <c r="K65" s="805">
        <v>0</v>
      </c>
      <c r="L65" s="805">
        <v>0</v>
      </c>
      <c r="M65" s="805">
        <v>0</v>
      </c>
      <c r="N65" s="63">
        <v>4753</v>
      </c>
      <c r="O65" s="63">
        <v>4830</v>
      </c>
      <c r="Q65" s="802" t="s">
        <v>3424</v>
      </c>
    </row>
    <row r="66" spans="1:17">
      <c r="A66" s="810">
        <v>20</v>
      </c>
      <c r="B66" s="802" t="s">
        <v>14436</v>
      </c>
      <c r="C66" s="55" t="s">
        <v>14435</v>
      </c>
      <c r="D66" s="805">
        <v>0</v>
      </c>
      <c r="E66" s="805">
        <v>0</v>
      </c>
      <c r="F66" s="805">
        <v>0</v>
      </c>
      <c r="G66" s="805">
        <v>0</v>
      </c>
      <c r="H66" s="805">
        <v>0</v>
      </c>
      <c r="I66" s="805">
        <v>0</v>
      </c>
      <c r="J66" s="805">
        <v>0</v>
      </c>
      <c r="K66" s="805">
        <v>0</v>
      </c>
      <c r="L66" s="805">
        <v>0</v>
      </c>
      <c r="M66" s="805">
        <v>0</v>
      </c>
      <c r="N66" s="63">
        <v>4457</v>
      </c>
      <c r="O66" s="63">
        <v>4531</v>
      </c>
      <c r="Q66" s="802" t="s">
        <v>3424</v>
      </c>
    </row>
    <row r="67" spans="1:17">
      <c r="A67" s="810">
        <v>21</v>
      </c>
      <c r="B67" s="802" t="s">
        <v>14438</v>
      </c>
      <c r="C67" s="55" t="s">
        <v>14437</v>
      </c>
      <c r="D67" s="805">
        <v>0</v>
      </c>
      <c r="E67" s="805">
        <v>0</v>
      </c>
      <c r="F67" s="805">
        <v>0</v>
      </c>
      <c r="G67" s="805">
        <v>0</v>
      </c>
      <c r="H67" s="805">
        <v>0</v>
      </c>
      <c r="I67" s="805">
        <v>0</v>
      </c>
      <c r="J67" s="805">
        <v>0</v>
      </c>
      <c r="K67" s="805">
        <v>0</v>
      </c>
      <c r="L67" s="805">
        <v>0</v>
      </c>
      <c r="M67" s="805">
        <v>0</v>
      </c>
      <c r="N67" s="63">
        <v>2951</v>
      </c>
      <c r="O67" s="63">
        <v>2994</v>
      </c>
      <c r="Q67" s="802" t="s">
        <v>3424</v>
      </c>
    </row>
    <row r="68" spans="1:17">
      <c r="A68" s="810">
        <v>22</v>
      </c>
      <c r="B68" s="802" t="s">
        <v>4951</v>
      </c>
      <c r="C68" s="55" t="s">
        <v>14439</v>
      </c>
      <c r="D68" s="805">
        <v>6009</v>
      </c>
      <c r="E68" s="805">
        <v>6064</v>
      </c>
      <c r="F68" s="805">
        <v>6102</v>
      </c>
      <c r="G68" s="805">
        <v>6069</v>
      </c>
      <c r="H68" s="805">
        <v>5717</v>
      </c>
      <c r="I68" s="805">
        <v>5861</v>
      </c>
      <c r="J68" s="805">
        <v>5924</v>
      </c>
      <c r="K68" s="805">
        <v>6081</v>
      </c>
      <c r="L68" s="805">
        <v>6093</v>
      </c>
      <c r="M68" s="805">
        <v>6089</v>
      </c>
      <c r="N68" s="63">
        <v>1577</v>
      </c>
      <c r="O68" s="63">
        <v>1587</v>
      </c>
      <c r="Q68" s="802" t="s">
        <v>3422</v>
      </c>
    </row>
    <row r="69" spans="1:17">
      <c r="A69" s="810">
        <v>23</v>
      </c>
      <c r="B69" s="802" t="s">
        <v>14441</v>
      </c>
      <c r="C69" s="55" t="s">
        <v>14440</v>
      </c>
      <c r="D69" s="805">
        <v>0</v>
      </c>
      <c r="E69" s="805">
        <v>0</v>
      </c>
      <c r="F69" s="805">
        <v>0</v>
      </c>
      <c r="G69" s="805">
        <v>0</v>
      </c>
      <c r="H69" s="805">
        <v>0</v>
      </c>
      <c r="I69" s="805">
        <v>0</v>
      </c>
      <c r="J69" s="805">
        <v>0</v>
      </c>
      <c r="K69" s="805">
        <v>0</v>
      </c>
      <c r="L69" s="805">
        <v>0</v>
      </c>
      <c r="M69" s="805">
        <v>0</v>
      </c>
      <c r="N69" s="63">
        <v>4618</v>
      </c>
      <c r="O69" s="63">
        <v>4688</v>
      </c>
      <c r="Q69" s="802" t="s">
        <v>3422</v>
      </c>
    </row>
    <row r="70" spans="1:17" ht="15.75" thickBot="1">
      <c r="A70" s="810"/>
      <c r="B70" s="802"/>
      <c r="C70" s="55" t="s">
        <v>14440</v>
      </c>
      <c r="D70" s="805">
        <v>0</v>
      </c>
      <c r="E70" s="805">
        <v>0</v>
      </c>
      <c r="F70" s="805">
        <v>0</v>
      </c>
      <c r="G70" s="805">
        <v>0</v>
      </c>
      <c r="H70" s="805">
        <v>0</v>
      </c>
      <c r="I70" s="805">
        <v>0</v>
      </c>
      <c r="J70" s="805">
        <v>0</v>
      </c>
      <c r="K70" s="805">
        <v>0</v>
      </c>
      <c r="L70" s="805">
        <v>0</v>
      </c>
      <c r="M70" s="805">
        <v>0</v>
      </c>
      <c r="N70" s="63">
        <v>423</v>
      </c>
      <c r="O70" s="63">
        <v>424</v>
      </c>
      <c r="Q70" s="802" t="s">
        <v>3424</v>
      </c>
    </row>
    <row r="71" spans="1:17" ht="15.75" thickBot="1">
      <c r="A71" s="810"/>
      <c r="B71" s="802"/>
      <c r="C71" s="55" t="s">
        <v>14440</v>
      </c>
      <c r="D71" s="811">
        <f t="shared" ref="D71:N71" si="48">D69+D70</f>
        <v>0</v>
      </c>
      <c r="E71" s="811">
        <f t="shared" si="48"/>
        <v>0</v>
      </c>
      <c r="F71" s="811">
        <f t="shared" si="48"/>
        <v>0</v>
      </c>
      <c r="G71" s="811">
        <f t="shared" si="48"/>
        <v>0</v>
      </c>
      <c r="H71" s="811">
        <f t="shared" si="48"/>
        <v>0</v>
      </c>
      <c r="I71" s="811">
        <f t="shared" si="48"/>
        <v>0</v>
      </c>
      <c r="J71" s="811">
        <f t="shared" si="48"/>
        <v>0</v>
      </c>
      <c r="K71" s="811">
        <f t="shared" si="48"/>
        <v>0</v>
      </c>
      <c r="L71" s="811">
        <f t="shared" si="48"/>
        <v>0</v>
      </c>
      <c r="M71" s="811">
        <f t="shared" si="48"/>
        <v>0</v>
      </c>
      <c r="N71" s="811">
        <f t="shared" si="48"/>
        <v>5041</v>
      </c>
      <c r="O71" s="811">
        <f>O69+O70</f>
        <v>5112</v>
      </c>
      <c r="Q71" s="802"/>
    </row>
    <row r="72" spans="1:17">
      <c r="A72" s="810"/>
      <c r="B72" s="802"/>
      <c r="C72" s="55"/>
      <c r="D72" s="805"/>
      <c r="E72" s="805"/>
      <c r="F72" s="805"/>
      <c r="G72" s="805"/>
      <c r="H72" s="63"/>
      <c r="I72" s="63"/>
      <c r="J72" s="63"/>
      <c r="K72" s="63"/>
      <c r="L72" s="63"/>
      <c r="M72" s="63"/>
      <c r="N72" s="63"/>
      <c r="O72" s="63"/>
      <c r="Q72" s="802"/>
    </row>
    <row r="73" spans="1:17">
      <c r="A73" s="802" t="s">
        <v>4952</v>
      </c>
      <c r="D73" s="805">
        <f t="shared" ref="D73:M73" si="49">SUM(D43,D51:D52,D56)</f>
        <v>8069</v>
      </c>
      <c r="E73" s="805">
        <f t="shared" si="49"/>
        <v>7986</v>
      </c>
      <c r="F73" s="805">
        <f t="shared" si="49"/>
        <v>7959</v>
      </c>
      <c r="G73" s="805">
        <f t="shared" si="49"/>
        <v>8004</v>
      </c>
      <c r="H73" s="805">
        <f t="shared" si="49"/>
        <v>7371</v>
      </c>
      <c r="I73" s="805">
        <f t="shared" si="49"/>
        <v>7565</v>
      </c>
      <c r="J73" s="805">
        <f t="shared" si="49"/>
        <v>7761</v>
      </c>
      <c r="K73" s="805">
        <f t="shared" si="49"/>
        <v>7744</v>
      </c>
      <c r="L73" s="805">
        <f t="shared" si="49"/>
        <v>7808</v>
      </c>
      <c r="M73" s="805">
        <f t="shared" si="49"/>
        <v>7661</v>
      </c>
      <c r="N73" s="805">
        <f>SUM(N43,N51:N52,N56)</f>
        <v>7867</v>
      </c>
      <c r="O73" s="805">
        <f>SUM(O43,O51:O52,O56)</f>
        <v>7954</v>
      </c>
    </row>
    <row r="74" spans="1:17">
      <c r="A74" s="802" t="s">
        <v>4953</v>
      </c>
      <c r="C74" s="802"/>
      <c r="D74" s="804">
        <f t="shared" ref="D74:M74" si="50">SUM(D68:D69)</f>
        <v>6009</v>
      </c>
      <c r="E74" s="804">
        <f t="shared" si="50"/>
        <v>6064</v>
      </c>
      <c r="F74" s="804">
        <f t="shared" si="50"/>
        <v>6102</v>
      </c>
      <c r="G74" s="804">
        <f t="shared" si="50"/>
        <v>6069</v>
      </c>
      <c r="H74" s="804">
        <f t="shared" si="50"/>
        <v>5717</v>
      </c>
      <c r="I74" s="804">
        <f t="shared" si="50"/>
        <v>5861</v>
      </c>
      <c r="J74" s="804">
        <f t="shared" si="50"/>
        <v>5924</v>
      </c>
      <c r="K74" s="804">
        <f t="shared" si="50"/>
        <v>6081</v>
      </c>
      <c r="L74" s="804">
        <f t="shared" si="50"/>
        <v>6093</v>
      </c>
      <c r="M74" s="804">
        <f t="shared" si="50"/>
        <v>6089</v>
      </c>
      <c r="N74" s="804">
        <f>SUM(N68:N69)</f>
        <v>6195</v>
      </c>
      <c r="O74" s="804">
        <f>SUM(O68:O69)</f>
        <v>6275</v>
      </c>
    </row>
    <row r="75" spans="1:17">
      <c r="A75" s="802" t="s">
        <v>3424</v>
      </c>
      <c r="D75" s="804">
        <f t="shared" ref="D75:M75" si="51">SUM(D44,D46:D50,D53:D55,D57,D59:D67,D70)</f>
        <v>59702</v>
      </c>
      <c r="E75" s="804">
        <f t="shared" si="51"/>
        <v>59361</v>
      </c>
      <c r="F75" s="804">
        <f t="shared" si="51"/>
        <v>60056</v>
      </c>
      <c r="G75" s="804">
        <f t="shared" si="51"/>
        <v>60430</v>
      </c>
      <c r="H75" s="804">
        <f t="shared" si="51"/>
        <v>55545</v>
      </c>
      <c r="I75" s="804">
        <f t="shared" si="51"/>
        <v>56927</v>
      </c>
      <c r="J75" s="804">
        <f t="shared" si="51"/>
        <v>58367</v>
      </c>
      <c r="K75" s="804">
        <f t="shared" si="51"/>
        <v>58655</v>
      </c>
      <c r="L75" s="804">
        <f t="shared" si="51"/>
        <v>59812</v>
      </c>
      <c r="M75" s="804">
        <f t="shared" si="51"/>
        <v>59623</v>
      </c>
      <c r="N75" s="804">
        <f>SUM(N44,N46:N50,N53:N55,N57,N59:N67,N70)</f>
        <v>60231</v>
      </c>
      <c r="O75" s="804">
        <f>SUM(O44,O46:O50,O53:O55,O57,O59:O67,O70)</f>
        <v>61396</v>
      </c>
    </row>
    <row r="76" spans="1:17">
      <c r="A76" s="802"/>
      <c r="B76" s="802"/>
      <c r="D76" s="812"/>
      <c r="E76" s="812"/>
      <c r="F76" s="812"/>
      <c r="G76" s="812"/>
      <c r="H76" s="812"/>
      <c r="I76" s="812"/>
      <c r="J76" s="812"/>
      <c r="K76" s="812"/>
      <c r="L76" s="812"/>
      <c r="M76" s="812"/>
      <c r="N76" s="812"/>
      <c r="O76" s="812"/>
    </row>
    <row r="77" spans="1:17">
      <c r="A77" s="164" t="s">
        <v>14405</v>
      </c>
      <c r="D77" s="812"/>
      <c r="E77" s="812"/>
      <c r="F77" s="812"/>
      <c r="G77" s="812"/>
      <c r="H77" s="812"/>
      <c r="I77" s="812"/>
      <c r="J77" s="812"/>
      <c r="K77" s="812"/>
      <c r="L77" s="812"/>
      <c r="M77" s="812"/>
      <c r="N77" s="812"/>
      <c r="O77" s="812"/>
    </row>
    <row r="78" spans="1:17">
      <c r="A78" s="802"/>
      <c r="B78" s="802"/>
      <c r="D78" s="812"/>
      <c r="E78" s="812"/>
      <c r="F78" s="812"/>
      <c r="G78" s="812"/>
      <c r="H78" s="812"/>
      <c r="I78" s="812"/>
      <c r="J78" s="812"/>
      <c r="K78" s="812"/>
      <c r="L78" s="812"/>
      <c r="M78" s="812"/>
      <c r="N78" s="812"/>
      <c r="O78" s="812"/>
    </row>
    <row r="79" spans="1:17">
      <c r="A79" s="802"/>
      <c r="B79" s="802"/>
      <c r="D79" s="813"/>
      <c r="E79" s="813"/>
      <c r="F79" s="813"/>
      <c r="G79" s="813"/>
      <c r="H79" s="813"/>
      <c r="I79" s="813"/>
      <c r="J79" s="813"/>
      <c r="K79" s="813"/>
      <c r="L79" s="813"/>
      <c r="M79" s="813"/>
      <c r="N79" s="813"/>
      <c r="O79" s="813"/>
    </row>
    <row r="80" spans="1:17">
      <c r="E80" s="51" t="s">
        <v>1526</v>
      </c>
      <c r="F80" s="51"/>
      <c r="G80" s="51"/>
      <c r="H80" s="51"/>
      <c r="I80" s="51"/>
      <c r="J80" s="51"/>
      <c r="K80" s="51"/>
      <c r="L80" s="51"/>
      <c r="M80" s="51"/>
      <c r="N80" s="51"/>
      <c r="O80" s="51"/>
      <c r="P80" s="276"/>
      <c r="Q80" s="11" t="s">
        <v>9479</v>
      </c>
    </row>
    <row r="81" spans="1:17">
      <c r="D81" s="350">
        <v>2010</v>
      </c>
      <c r="E81" s="350">
        <v>2011</v>
      </c>
      <c r="F81" s="350">
        <v>2012</v>
      </c>
      <c r="G81" s="350">
        <v>2013</v>
      </c>
      <c r="H81" s="350">
        <v>2014</v>
      </c>
      <c r="I81" s="350">
        <v>2015</v>
      </c>
      <c r="J81" s="350">
        <v>2016</v>
      </c>
      <c r="K81" s="350">
        <v>2017</v>
      </c>
      <c r="L81" s="350">
        <v>2018</v>
      </c>
      <c r="M81" s="350">
        <v>2019</v>
      </c>
      <c r="N81" s="350">
        <v>2020</v>
      </c>
      <c r="O81" s="983" t="s">
        <v>14823</v>
      </c>
      <c r="P81" s="410"/>
      <c r="Q81" s="13" t="s">
        <v>1527</v>
      </c>
    </row>
    <row r="82" spans="1:17">
      <c r="A82" s="802" t="s">
        <v>4954</v>
      </c>
      <c r="D82" s="804">
        <f t="shared" ref="D82:I82" si="52">SUM(D83:D95)</f>
        <v>53283</v>
      </c>
      <c r="E82" s="804">
        <f t="shared" si="52"/>
        <v>53225</v>
      </c>
      <c r="F82" s="804">
        <f t="shared" si="52"/>
        <v>53014</v>
      </c>
      <c r="G82" s="804">
        <f t="shared" si="52"/>
        <v>53708</v>
      </c>
      <c r="H82" s="804">
        <f t="shared" si="52"/>
        <v>52505</v>
      </c>
      <c r="I82" s="804">
        <f t="shared" si="52"/>
        <v>52222</v>
      </c>
      <c r="J82" s="804">
        <f t="shared" ref="J82:O82" si="53">SUM(J83:J95)</f>
        <v>52499</v>
      </c>
      <c r="K82" s="804">
        <f t="shared" si="53"/>
        <v>53349</v>
      </c>
      <c r="L82" s="804">
        <f t="shared" si="53"/>
        <v>53078</v>
      </c>
      <c r="M82" s="804">
        <f t="shared" si="53"/>
        <v>52671</v>
      </c>
      <c r="N82" s="804">
        <f t="shared" si="53"/>
        <v>53135</v>
      </c>
      <c r="O82" s="804">
        <f t="shared" si="53"/>
        <v>52815</v>
      </c>
    </row>
    <row r="83" spans="1:17">
      <c r="A83" s="810">
        <v>1</v>
      </c>
      <c r="B83" s="802" t="s">
        <v>3410</v>
      </c>
      <c r="C83" s="55" t="s">
        <v>7756</v>
      </c>
      <c r="D83" s="805">
        <v>1846</v>
      </c>
      <c r="E83" s="805">
        <v>1797</v>
      </c>
      <c r="F83" s="805">
        <v>1769</v>
      </c>
      <c r="G83" s="56">
        <v>1827</v>
      </c>
      <c r="H83" s="56">
        <v>1734</v>
      </c>
      <c r="I83" s="56">
        <v>1693</v>
      </c>
      <c r="J83" s="56">
        <v>1665</v>
      </c>
      <c r="K83" s="56">
        <v>1709</v>
      </c>
      <c r="L83" s="56">
        <v>1681</v>
      </c>
      <c r="M83" s="56">
        <v>1653</v>
      </c>
      <c r="N83" s="56">
        <v>1656</v>
      </c>
      <c r="O83" s="56">
        <v>1633</v>
      </c>
      <c r="Q83" s="802" t="s">
        <v>3416</v>
      </c>
    </row>
    <row r="84" spans="1:17">
      <c r="A84" s="810">
        <v>2</v>
      </c>
      <c r="B84" s="802" t="s">
        <v>6024</v>
      </c>
      <c r="C84" s="55" t="s">
        <v>7757</v>
      </c>
      <c r="D84" s="805">
        <v>3010</v>
      </c>
      <c r="E84" s="805">
        <v>3037</v>
      </c>
      <c r="F84" s="805">
        <v>2950</v>
      </c>
      <c r="G84" s="56">
        <v>2972</v>
      </c>
      <c r="H84" s="56">
        <v>2814</v>
      </c>
      <c r="I84" s="56">
        <v>2794</v>
      </c>
      <c r="J84" s="56">
        <v>2792</v>
      </c>
      <c r="K84" s="56">
        <v>2863</v>
      </c>
      <c r="L84" s="56">
        <v>2850</v>
      </c>
      <c r="M84" s="56">
        <v>2775</v>
      </c>
      <c r="N84" s="56">
        <v>2796</v>
      </c>
      <c r="O84" s="56">
        <v>2762</v>
      </c>
      <c r="Q84" s="802" t="s">
        <v>3416</v>
      </c>
    </row>
    <row r="85" spans="1:17">
      <c r="A85" s="810">
        <v>3</v>
      </c>
      <c r="B85" s="802" t="s">
        <v>3411</v>
      </c>
      <c r="C85" s="55" t="s">
        <v>7758</v>
      </c>
      <c r="D85" s="805">
        <v>4852</v>
      </c>
      <c r="E85" s="805">
        <v>4873</v>
      </c>
      <c r="F85" s="805">
        <v>4880</v>
      </c>
      <c r="G85" s="56">
        <v>4914</v>
      </c>
      <c r="H85" s="56">
        <v>4863</v>
      </c>
      <c r="I85" s="56">
        <v>4839</v>
      </c>
      <c r="J85" s="56">
        <v>4948</v>
      </c>
      <c r="K85" s="56">
        <v>5004</v>
      </c>
      <c r="L85" s="56">
        <v>4977</v>
      </c>
      <c r="M85" s="56">
        <v>4975</v>
      </c>
      <c r="N85" s="56">
        <v>4957</v>
      </c>
      <c r="O85" s="56">
        <v>4940</v>
      </c>
      <c r="Q85" s="802" t="s">
        <v>3416</v>
      </c>
    </row>
    <row r="86" spans="1:17">
      <c r="A86" s="810">
        <v>4</v>
      </c>
      <c r="B86" s="802" t="s">
        <v>3412</v>
      </c>
      <c r="C86" s="55" t="s">
        <v>7759</v>
      </c>
      <c r="D86" s="805">
        <v>4818</v>
      </c>
      <c r="E86" s="805">
        <v>4789</v>
      </c>
      <c r="F86" s="805">
        <v>4784</v>
      </c>
      <c r="G86" s="56">
        <v>4836</v>
      </c>
      <c r="H86" s="56">
        <v>4727</v>
      </c>
      <c r="I86" s="56">
        <v>4665</v>
      </c>
      <c r="J86" s="56">
        <v>4728</v>
      </c>
      <c r="K86" s="56">
        <v>4835</v>
      </c>
      <c r="L86" s="56">
        <v>4768</v>
      </c>
      <c r="M86" s="56">
        <v>4732</v>
      </c>
      <c r="N86" s="56">
        <v>4759</v>
      </c>
      <c r="O86" s="56">
        <v>4738</v>
      </c>
      <c r="Q86" s="802" t="s">
        <v>3416</v>
      </c>
    </row>
    <row r="87" spans="1:17">
      <c r="A87" s="810">
        <v>5</v>
      </c>
      <c r="B87" s="802" t="s">
        <v>3413</v>
      </c>
      <c r="C87" s="55" t="s">
        <v>7760</v>
      </c>
      <c r="D87" s="805">
        <v>4243</v>
      </c>
      <c r="E87" s="805">
        <v>4240</v>
      </c>
      <c r="F87" s="805">
        <v>4186</v>
      </c>
      <c r="G87" s="56">
        <v>4215</v>
      </c>
      <c r="H87" s="56">
        <v>4144</v>
      </c>
      <c r="I87" s="56">
        <v>4163</v>
      </c>
      <c r="J87" s="56">
        <v>4156</v>
      </c>
      <c r="K87" s="56">
        <v>4179</v>
      </c>
      <c r="L87" s="56">
        <v>4137</v>
      </c>
      <c r="M87" s="56">
        <v>4140</v>
      </c>
      <c r="N87" s="56">
        <v>4184</v>
      </c>
      <c r="O87" s="56">
        <v>4144</v>
      </c>
      <c r="Q87" s="802" t="s">
        <v>3416</v>
      </c>
    </row>
    <row r="88" spans="1:17">
      <c r="A88" s="810">
        <v>6</v>
      </c>
      <c r="B88" s="802" t="s">
        <v>2041</v>
      </c>
      <c r="C88" s="55" t="s">
        <v>7761</v>
      </c>
      <c r="D88" s="805">
        <v>4345</v>
      </c>
      <c r="E88" s="805">
        <v>4325</v>
      </c>
      <c r="F88" s="805">
        <v>4345</v>
      </c>
      <c r="G88" s="56">
        <v>4469</v>
      </c>
      <c r="H88" s="56">
        <v>4302</v>
      </c>
      <c r="I88" s="56">
        <v>4245</v>
      </c>
      <c r="J88" s="56">
        <v>4243</v>
      </c>
      <c r="K88" s="56">
        <v>4349</v>
      </c>
      <c r="L88" s="56">
        <v>4369</v>
      </c>
      <c r="M88" s="56">
        <v>4251</v>
      </c>
      <c r="N88" s="56">
        <v>4333</v>
      </c>
      <c r="O88" s="56">
        <v>4284</v>
      </c>
      <c r="Q88" s="802" t="s">
        <v>3416</v>
      </c>
    </row>
    <row r="89" spans="1:17">
      <c r="A89" s="810">
        <v>7</v>
      </c>
      <c r="B89" s="802" t="s">
        <v>3456</v>
      </c>
      <c r="C89" s="55" t="s">
        <v>7762</v>
      </c>
      <c r="D89" s="805">
        <v>4295</v>
      </c>
      <c r="E89" s="805">
        <v>4329</v>
      </c>
      <c r="F89" s="805">
        <v>4351</v>
      </c>
      <c r="G89" s="56">
        <v>4342</v>
      </c>
      <c r="H89" s="56">
        <v>4364</v>
      </c>
      <c r="I89" s="56">
        <v>4393</v>
      </c>
      <c r="J89" s="56">
        <v>4455</v>
      </c>
      <c r="K89" s="56">
        <v>4463</v>
      </c>
      <c r="L89" s="56">
        <v>4461</v>
      </c>
      <c r="M89" s="56">
        <v>4509</v>
      </c>
      <c r="N89" s="56">
        <v>4630</v>
      </c>
      <c r="O89" s="56">
        <v>4639</v>
      </c>
      <c r="Q89" s="802" t="s">
        <v>3416</v>
      </c>
    </row>
    <row r="90" spans="1:17">
      <c r="A90" s="810">
        <v>8</v>
      </c>
      <c r="B90" s="802" t="s">
        <v>3457</v>
      </c>
      <c r="C90" s="55" t="s">
        <v>7763</v>
      </c>
      <c r="D90" s="805">
        <v>4356</v>
      </c>
      <c r="E90" s="805">
        <v>4374</v>
      </c>
      <c r="F90" s="805">
        <v>4342</v>
      </c>
      <c r="G90" s="56">
        <v>4452</v>
      </c>
      <c r="H90" s="56">
        <v>4337</v>
      </c>
      <c r="I90" s="56">
        <v>4287</v>
      </c>
      <c r="J90" s="56">
        <v>4275</v>
      </c>
      <c r="K90" s="56">
        <v>4385</v>
      </c>
      <c r="L90" s="56">
        <v>4366</v>
      </c>
      <c r="M90" s="56">
        <v>4334</v>
      </c>
      <c r="N90" s="56">
        <v>4386</v>
      </c>
      <c r="O90" s="56">
        <v>4366</v>
      </c>
      <c r="Q90" s="802" t="s">
        <v>3416</v>
      </c>
    </row>
    <row r="91" spans="1:17">
      <c r="A91" s="810">
        <v>9</v>
      </c>
      <c r="B91" s="802" t="s">
        <v>3458</v>
      </c>
      <c r="C91" s="55" t="s">
        <v>7764</v>
      </c>
      <c r="D91" s="805">
        <v>4338</v>
      </c>
      <c r="E91" s="805">
        <v>4328</v>
      </c>
      <c r="F91" s="805">
        <v>4387</v>
      </c>
      <c r="G91" s="56">
        <v>4467</v>
      </c>
      <c r="H91" s="56">
        <v>4383</v>
      </c>
      <c r="I91" s="56">
        <v>4321</v>
      </c>
      <c r="J91" s="56">
        <v>4331</v>
      </c>
      <c r="K91" s="56">
        <v>4401</v>
      </c>
      <c r="L91" s="56">
        <v>4381</v>
      </c>
      <c r="M91" s="56">
        <v>4283</v>
      </c>
      <c r="N91" s="56">
        <v>4266</v>
      </c>
      <c r="O91" s="56">
        <v>4233</v>
      </c>
      <c r="Q91" s="802" t="s">
        <v>3416</v>
      </c>
    </row>
    <row r="92" spans="1:17">
      <c r="A92" s="810">
        <v>10</v>
      </c>
      <c r="B92" s="802" t="s">
        <v>3459</v>
      </c>
      <c r="C92" s="55" t="s">
        <v>7765</v>
      </c>
      <c r="D92" s="805">
        <v>4680</v>
      </c>
      <c r="E92" s="805">
        <v>4669</v>
      </c>
      <c r="F92" s="805">
        <v>4636</v>
      </c>
      <c r="G92" s="56">
        <v>4620</v>
      </c>
      <c r="H92" s="56">
        <v>4436</v>
      </c>
      <c r="I92" s="56">
        <v>4504</v>
      </c>
      <c r="J92" s="56">
        <v>4554</v>
      </c>
      <c r="K92" s="56">
        <v>4594</v>
      </c>
      <c r="L92" s="56">
        <v>4578</v>
      </c>
      <c r="M92" s="56">
        <v>4569</v>
      </c>
      <c r="N92" s="56">
        <v>4662</v>
      </c>
      <c r="O92" s="56">
        <v>4623</v>
      </c>
      <c r="Q92" s="802" t="s">
        <v>3416</v>
      </c>
    </row>
    <row r="93" spans="1:17">
      <c r="A93" s="810">
        <v>11</v>
      </c>
      <c r="B93" s="802" t="s">
        <v>3460</v>
      </c>
      <c r="C93" s="55" t="s">
        <v>7766</v>
      </c>
      <c r="D93" s="805">
        <v>3937</v>
      </c>
      <c r="E93" s="805">
        <v>3946</v>
      </c>
      <c r="F93" s="805">
        <v>3918</v>
      </c>
      <c r="G93" s="56">
        <v>3991</v>
      </c>
      <c r="H93" s="56">
        <v>3932</v>
      </c>
      <c r="I93" s="56">
        <v>3941</v>
      </c>
      <c r="J93" s="56">
        <v>3934</v>
      </c>
      <c r="K93" s="56">
        <v>3960</v>
      </c>
      <c r="L93" s="56">
        <v>3968</v>
      </c>
      <c r="M93" s="56">
        <v>3939</v>
      </c>
      <c r="N93" s="56">
        <v>3958</v>
      </c>
      <c r="O93" s="56">
        <v>3964</v>
      </c>
      <c r="Q93" s="802" t="s">
        <v>3416</v>
      </c>
    </row>
    <row r="94" spans="1:17">
      <c r="A94" s="810">
        <v>12</v>
      </c>
      <c r="B94" s="802" t="s">
        <v>3461</v>
      </c>
      <c r="C94" s="55" t="s">
        <v>7767</v>
      </c>
      <c r="D94" s="805">
        <v>4287</v>
      </c>
      <c r="E94" s="805">
        <v>4280</v>
      </c>
      <c r="F94" s="805">
        <v>4259</v>
      </c>
      <c r="G94" s="56">
        <v>4315</v>
      </c>
      <c r="H94" s="56">
        <v>4260</v>
      </c>
      <c r="I94" s="56">
        <v>4236</v>
      </c>
      <c r="J94" s="56">
        <v>4295</v>
      </c>
      <c r="K94" s="56">
        <v>4378</v>
      </c>
      <c r="L94" s="56">
        <v>4356</v>
      </c>
      <c r="M94" s="56">
        <v>4353</v>
      </c>
      <c r="N94" s="56">
        <v>4385</v>
      </c>
      <c r="O94" s="56">
        <v>4351</v>
      </c>
      <c r="Q94" s="802" t="s">
        <v>3416</v>
      </c>
    </row>
    <row r="95" spans="1:17">
      <c r="A95" s="810">
        <v>13</v>
      </c>
      <c r="B95" s="802" t="s">
        <v>21</v>
      </c>
      <c r="C95" s="55" t="s">
        <v>7768</v>
      </c>
      <c r="D95" s="805">
        <v>4276</v>
      </c>
      <c r="E95" s="805">
        <v>4238</v>
      </c>
      <c r="F95" s="805">
        <v>4207</v>
      </c>
      <c r="G95" s="56">
        <v>4288</v>
      </c>
      <c r="H95" s="56">
        <v>4209</v>
      </c>
      <c r="I95" s="56">
        <v>4141</v>
      </c>
      <c r="J95" s="56">
        <v>4123</v>
      </c>
      <c r="K95" s="56">
        <v>4229</v>
      </c>
      <c r="L95" s="56">
        <v>4186</v>
      </c>
      <c r="M95" s="56">
        <v>4158</v>
      </c>
      <c r="N95" s="56">
        <v>4163</v>
      </c>
      <c r="O95" s="56">
        <v>4138</v>
      </c>
      <c r="Q95" s="802" t="s">
        <v>3416</v>
      </c>
    </row>
    <row r="96" spans="1:17">
      <c r="D96" s="805"/>
      <c r="E96" s="805"/>
      <c r="F96" s="805"/>
      <c r="G96" s="805"/>
      <c r="H96" s="805"/>
      <c r="I96" s="805"/>
      <c r="J96" s="805"/>
      <c r="K96" s="805"/>
      <c r="L96" s="805"/>
      <c r="M96" s="805"/>
      <c r="N96" s="805"/>
      <c r="O96" s="805"/>
    </row>
    <row r="97" spans="1:17">
      <c r="A97" s="802" t="s">
        <v>22</v>
      </c>
      <c r="D97" s="804">
        <f t="shared" ref="D97:I97" si="54">SUM(D83:D95)</f>
        <v>53283</v>
      </c>
      <c r="E97" s="804">
        <f t="shared" si="54"/>
        <v>53225</v>
      </c>
      <c r="F97" s="804">
        <f t="shared" si="54"/>
        <v>53014</v>
      </c>
      <c r="G97" s="804">
        <f t="shared" si="54"/>
        <v>53708</v>
      </c>
      <c r="H97" s="804">
        <f t="shared" si="54"/>
        <v>52505</v>
      </c>
      <c r="I97" s="804">
        <f t="shared" si="54"/>
        <v>52222</v>
      </c>
      <c r="J97" s="804">
        <f t="shared" ref="J97:O97" si="55">SUM(J83:J95)</f>
        <v>52499</v>
      </c>
      <c r="K97" s="804">
        <f t="shared" si="55"/>
        <v>53349</v>
      </c>
      <c r="L97" s="804">
        <f t="shared" si="55"/>
        <v>53078</v>
      </c>
      <c r="M97" s="804">
        <f t="shared" si="55"/>
        <v>52671</v>
      </c>
      <c r="N97" s="804">
        <f t="shared" si="55"/>
        <v>53135</v>
      </c>
      <c r="O97" s="804">
        <f t="shared" si="55"/>
        <v>52815</v>
      </c>
    </row>
    <row r="98" spans="1:17">
      <c r="D98" s="812"/>
      <c r="E98" s="812"/>
      <c r="F98" s="812"/>
      <c r="G98" s="812"/>
      <c r="H98" s="812"/>
      <c r="I98" s="812"/>
      <c r="J98" s="812"/>
      <c r="K98" s="812"/>
      <c r="L98" s="812"/>
      <c r="M98" s="812"/>
      <c r="N98" s="812"/>
      <c r="O98" s="812"/>
    </row>
    <row r="99" spans="1:17">
      <c r="A99" s="164" t="s">
        <v>802</v>
      </c>
      <c r="D99" s="812"/>
      <c r="E99" s="812"/>
      <c r="F99" s="812"/>
      <c r="G99" s="812"/>
      <c r="H99" s="812"/>
      <c r="I99" s="812"/>
      <c r="J99" s="812"/>
      <c r="K99" s="812"/>
      <c r="L99" s="812"/>
      <c r="M99" s="812"/>
      <c r="N99" s="812"/>
      <c r="O99" s="812"/>
    </row>
    <row r="100" spans="1:17">
      <c r="A100" s="802"/>
      <c r="B100" s="802"/>
      <c r="D100" s="812"/>
      <c r="E100" s="812"/>
      <c r="F100" s="812"/>
      <c r="G100" s="812"/>
      <c r="H100" s="812"/>
      <c r="I100" s="812"/>
      <c r="J100" s="812"/>
      <c r="K100" s="812"/>
      <c r="L100" s="812"/>
      <c r="M100" s="812"/>
      <c r="N100" s="812"/>
      <c r="O100" s="812"/>
    </row>
    <row r="101" spans="1:17">
      <c r="A101" s="802"/>
      <c r="B101" s="802"/>
      <c r="D101" s="813"/>
      <c r="E101" s="813"/>
      <c r="F101" s="813"/>
      <c r="G101" s="813"/>
      <c r="H101" s="813"/>
      <c r="I101" s="813"/>
      <c r="J101" s="813"/>
      <c r="K101" s="813"/>
      <c r="L101" s="813"/>
      <c r="M101" s="813"/>
      <c r="N101" s="813"/>
      <c r="O101" s="813"/>
    </row>
    <row r="102" spans="1:17">
      <c r="E102" s="51" t="s">
        <v>1526</v>
      </c>
      <c r="F102" s="51"/>
      <c r="G102" s="51"/>
      <c r="H102" s="51"/>
      <c r="I102" s="51"/>
      <c r="J102" s="51"/>
      <c r="K102" s="51"/>
      <c r="L102" s="51"/>
      <c r="M102" s="51"/>
      <c r="N102" s="51"/>
      <c r="O102" s="51"/>
      <c r="P102" s="276"/>
      <c r="Q102" s="11" t="s">
        <v>9479</v>
      </c>
    </row>
    <row r="103" spans="1:17">
      <c r="D103" s="350">
        <v>2010</v>
      </c>
      <c r="E103" s="350">
        <v>2011</v>
      </c>
      <c r="F103" s="350">
        <v>2012</v>
      </c>
      <c r="G103" s="350">
        <v>2013</v>
      </c>
      <c r="H103" s="350">
        <v>2014</v>
      </c>
      <c r="I103" s="350">
        <v>2015</v>
      </c>
      <c r="J103" s="350">
        <v>2016</v>
      </c>
      <c r="K103" s="350">
        <v>2017</v>
      </c>
      <c r="L103" s="350">
        <v>2018</v>
      </c>
      <c r="M103" s="350">
        <v>2019</v>
      </c>
      <c r="N103" s="350">
        <v>2020</v>
      </c>
      <c r="O103" s="983" t="s">
        <v>14823</v>
      </c>
      <c r="P103" s="410"/>
      <c r="Q103" s="13" t="s">
        <v>1527</v>
      </c>
    </row>
    <row r="104" spans="1:17">
      <c r="A104" s="802" t="s">
        <v>2125</v>
      </c>
      <c r="D104" s="804">
        <f t="shared" ref="D104:M104" si="56">SUM(D105:D106,D108:D119,D121:D122)</f>
        <v>83014</v>
      </c>
      <c r="E104" s="804">
        <f t="shared" si="56"/>
        <v>83854</v>
      </c>
      <c r="F104" s="804">
        <f t="shared" si="56"/>
        <v>84098</v>
      </c>
      <c r="G104" s="804">
        <f t="shared" si="56"/>
        <v>83932</v>
      </c>
      <c r="H104" s="804">
        <f t="shared" si="56"/>
        <v>83519</v>
      </c>
      <c r="I104" s="804">
        <f t="shared" si="56"/>
        <v>81765</v>
      </c>
      <c r="J104" s="804">
        <f t="shared" si="56"/>
        <v>76825</v>
      </c>
      <c r="K104" s="804">
        <f t="shared" si="56"/>
        <v>76334</v>
      </c>
      <c r="L104" s="804">
        <f t="shared" si="56"/>
        <v>81821</v>
      </c>
      <c r="M104" s="804">
        <f t="shared" si="56"/>
        <v>83175</v>
      </c>
      <c r="N104" s="804">
        <f>SUM(N105:N106,N108:N119,N121:N122)</f>
        <v>81393</v>
      </c>
      <c r="O104" s="804">
        <f>SUM(O105:O106,O108:O119,O121:O122)</f>
        <v>81904</v>
      </c>
    </row>
    <row r="105" spans="1:17">
      <c r="A105" s="810">
        <v>1</v>
      </c>
      <c r="B105" s="164" t="s">
        <v>12667</v>
      </c>
      <c r="C105" s="164" t="s">
        <v>12666</v>
      </c>
      <c r="D105" s="805">
        <v>0</v>
      </c>
      <c r="E105" s="805">
        <v>0</v>
      </c>
      <c r="F105" s="805">
        <v>0</v>
      </c>
      <c r="G105" s="805">
        <v>0</v>
      </c>
      <c r="H105" s="805">
        <v>0</v>
      </c>
      <c r="I105" s="805">
        <v>0</v>
      </c>
      <c r="J105" s="805">
        <v>0</v>
      </c>
      <c r="K105" s="805">
        <v>0</v>
      </c>
      <c r="L105" s="805">
        <v>0</v>
      </c>
      <c r="M105" s="805">
        <v>0</v>
      </c>
      <c r="N105" s="56">
        <v>4731</v>
      </c>
      <c r="O105" s="56">
        <v>4717</v>
      </c>
      <c r="Q105" s="802" t="s">
        <v>2104</v>
      </c>
    </row>
    <row r="106" spans="1:17" ht="15.75" thickBot="1">
      <c r="A106" s="810"/>
      <c r="C106" s="164" t="s">
        <v>12666</v>
      </c>
      <c r="D106" s="804">
        <v>0</v>
      </c>
      <c r="E106" s="804">
        <v>0</v>
      </c>
      <c r="F106" s="804">
        <v>0</v>
      </c>
      <c r="G106" s="804">
        <v>0</v>
      </c>
      <c r="H106" s="804">
        <v>0</v>
      </c>
      <c r="I106" s="804">
        <v>0</v>
      </c>
      <c r="J106" s="804">
        <v>0</v>
      </c>
      <c r="K106" s="804">
        <v>0</v>
      </c>
      <c r="L106" s="804">
        <v>0</v>
      </c>
      <c r="M106" s="804">
        <v>0</v>
      </c>
      <c r="N106" s="804">
        <v>1082</v>
      </c>
      <c r="O106" s="804">
        <v>1012</v>
      </c>
      <c r="Q106" s="802" t="s">
        <v>3422</v>
      </c>
    </row>
    <row r="107" spans="1:17" ht="15.75" thickBot="1">
      <c r="A107" s="810"/>
      <c r="C107" s="164" t="s">
        <v>12666</v>
      </c>
      <c r="D107" s="811">
        <f t="shared" ref="D107:N107" si="57">D105+D106</f>
        <v>0</v>
      </c>
      <c r="E107" s="811">
        <f t="shared" si="57"/>
        <v>0</v>
      </c>
      <c r="F107" s="811">
        <f t="shared" si="57"/>
        <v>0</v>
      </c>
      <c r="G107" s="811">
        <f t="shared" si="57"/>
        <v>0</v>
      </c>
      <c r="H107" s="811">
        <f t="shared" si="57"/>
        <v>0</v>
      </c>
      <c r="I107" s="811">
        <f t="shared" si="57"/>
        <v>0</v>
      </c>
      <c r="J107" s="811">
        <f t="shared" si="57"/>
        <v>0</v>
      </c>
      <c r="K107" s="811">
        <f t="shared" si="57"/>
        <v>0</v>
      </c>
      <c r="L107" s="811">
        <f t="shared" si="57"/>
        <v>0</v>
      </c>
      <c r="M107" s="811">
        <f t="shared" si="57"/>
        <v>0</v>
      </c>
      <c r="N107" s="811">
        <f t="shared" si="57"/>
        <v>5813</v>
      </c>
      <c r="O107" s="811">
        <f>O105+O106</f>
        <v>5729</v>
      </c>
    </row>
    <row r="108" spans="1:17">
      <c r="A108" s="810">
        <v>2</v>
      </c>
      <c r="B108" s="164" t="s">
        <v>12669</v>
      </c>
      <c r="C108" s="164" t="s">
        <v>12668</v>
      </c>
      <c r="D108" s="805">
        <v>65621</v>
      </c>
      <c r="E108" s="805">
        <v>66322</v>
      </c>
      <c r="F108" s="805">
        <v>66619</v>
      </c>
      <c r="G108" s="805">
        <v>66436</v>
      </c>
      <c r="H108" s="805">
        <v>66146</v>
      </c>
      <c r="I108" s="805">
        <v>64673</v>
      </c>
      <c r="J108" s="805">
        <v>60507</v>
      </c>
      <c r="K108" s="805">
        <v>59942</v>
      </c>
      <c r="L108" s="805">
        <v>64370</v>
      </c>
      <c r="M108" s="805">
        <v>65318</v>
      </c>
      <c r="N108" s="58">
        <v>6050</v>
      </c>
      <c r="O108" s="58">
        <v>6077</v>
      </c>
      <c r="Q108" s="802" t="s">
        <v>2104</v>
      </c>
    </row>
    <row r="109" spans="1:17">
      <c r="A109" s="810">
        <v>3</v>
      </c>
      <c r="B109" s="164" t="s">
        <v>12671</v>
      </c>
      <c r="C109" s="164" t="s">
        <v>12670</v>
      </c>
      <c r="D109" s="805">
        <v>17393</v>
      </c>
      <c r="E109" s="805">
        <v>17532</v>
      </c>
      <c r="F109" s="805">
        <v>17479</v>
      </c>
      <c r="G109" s="805">
        <v>17496</v>
      </c>
      <c r="H109" s="805">
        <v>17373</v>
      </c>
      <c r="I109" s="805">
        <v>17092</v>
      </c>
      <c r="J109" s="805">
        <v>16318</v>
      </c>
      <c r="K109" s="805">
        <v>16392</v>
      </c>
      <c r="L109" s="805">
        <v>17451</v>
      </c>
      <c r="M109" s="805">
        <v>17857</v>
      </c>
      <c r="N109" s="56">
        <v>6455</v>
      </c>
      <c r="O109" s="56">
        <v>6433</v>
      </c>
      <c r="Q109" s="802" t="s">
        <v>3422</v>
      </c>
    </row>
    <row r="110" spans="1:17">
      <c r="A110" s="810">
        <v>4</v>
      </c>
      <c r="B110" s="164" t="s">
        <v>12673</v>
      </c>
      <c r="C110" s="164" t="s">
        <v>12672</v>
      </c>
      <c r="D110" s="805">
        <v>0</v>
      </c>
      <c r="E110" s="805">
        <v>0</v>
      </c>
      <c r="F110" s="805">
        <v>0</v>
      </c>
      <c r="G110" s="805">
        <v>0</v>
      </c>
      <c r="H110" s="805">
        <v>0</v>
      </c>
      <c r="I110" s="805">
        <v>0</v>
      </c>
      <c r="J110" s="805">
        <v>0</v>
      </c>
      <c r="K110" s="805">
        <v>0</v>
      </c>
      <c r="L110" s="805">
        <v>0</v>
      </c>
      <c r="M110" s="805">
        <v>0</v>
      </c>
      <c r="N110" s="56">
        <v>6287</v>
      </c>
      <c r="O110" s="56">
        <v>6428</v>
      </c>
      <c r="Q110" s="802" t="s">
        <v>2104</v>
      </c>
    </row>
    <row r="111" spans="1:17">
      <c r="A111" s="810">
        <v>5</v>
      </c>
      <c r="B111" s="164" t="s">
        <v>12675</v>
      </c>
      <c r="C111" s="164" t="s">
        <v>12674</v>
      </c>
      <c r="D111" s="805">
        <v>0</v>
      </c>
      <c r="E111" s="805">
        <v>0</v>
      </c>
      <c r="F111" s="805">
        <v>0</v>
      </c>
      <c r="G111" s="805">
        <v>0</v>
      </c>
      <c r="H111" s="805">
        <v>0</v>
      </c>
      <c r="I111" s="805">
        <v>0</v>
      </c>
      <c r="J111" s="805">
        <v>0</v>
      </c>
      <c r="K111" s="805">
        <v>0</v>
      </c>
      <c r="L111" s="805">
        <v>0</v>
      </c>
      <c r="M111" s="805">
        <v>0</v>
      </c>
      <c r="N111" s="56">
        <v>6444</v>
      </c>
      <c r="O111" s="56">
        <v>6469</v>
      </c>
      <c r="Q111" s="802" t="s">
        <v>2104</v>
      </c>
    </row>
    <row r="112" spans="1:17">
      <c r="A112" s="810">
        <v>6</v>
      </c>
      <c r="B112" s="164" t="s">
        <v>12677</v>
      </c>
      <c r="C112" s="164" t="s">
        <v>12676</v>
      </c>
      <c r="D112" s="805">
        <v>0</v>
      </c>
      <c r="E112" s="805">
        <v>0</v>
      </c>
      <c r="F112" s="805">
        <v>0</v>
      </c>
      <c r="G112" s="805">
        <v>0</v>
      </c>
      <c r="H112" s="805">
        <v>0</v>
      </c>
      <c r="I112" s="805">
        <v>0</v>
      </c>
      <c r="J112" s="805">
        <v>0</v>
      </c>
      <c r="K112" s="805">
        <v>0</v>
      </c>
      <c r="L112" s="805">
        <v>0</v>
      </c>
      <c r="M112" s="805">
        <v>0</v>
      </c>
      <c r="N112" s="56">
        <v>6032</v>
      </c>
      <c r="O112" s="56">
        <v>6036</v>
      </c>
      <c r="Q112" s="802" t="s">
        <v>2104</v>
      </c>
    </row>
    <row r="113" spans="1:17">
      <c r="A113" s="810">
        <v>7</v>
      </c>
      <c r="B113" s="164" t="s">
        <v>12679</v>
      </c>
      <c r="C113" s="164" t="s">
        <v>12678</v>
      </c>
      <c r="D113" s="805">
        <v>0</v>
      </c>
      <c r="E113" s="805">
        <v>0</v>
      </c>
      <c r="F113" s="805">
        <v>0</v>
      </c>
      <c r="G113" s="805">
        <v>0</v>
      </c>
      <c r="H113" s="805">
        <v>0</v>
      </c>
      <c r="I113" s="805">
        <v>0</v>
      </c>
      <c r="J113" s="805">
        <v>0</v>
      </c>
      <c r="K113" s="805">
        <v>0</v>
      </c>
      <c r="L113" s="805">
        <v>0</v>
      </c>
      <c r="M113" s="805">
        <v>0</v>
      </c>
      <c r="N113" s="56">
        <v>6241</v>
      </c>
      <c r="O113" s="56">
        <v>6327</v>
      </c>
      <c r="Q113" s="802" t="s">
        <v>2104</v>
      </c>
    </row>
    <row r="114" spans="1:17">
      <c r="A114" s="810">
        <v>8</v>
      </c>
      <c r="B114" s="164" t="s">
        <v>12681</v>
      </c>
      <c r="C114" s="164" t="s">
        <v>12680</v>
      </c>
      <c r="D114" s="805">
        <v>0</v>
      </c>
      <c r="E114" s="805">
        <v>0</v>
      </c>
      <c r="F114" s="805">
        <v>0</v>
      </c>
      <c r="G114" s="805">
        <v>0</v>
      </c>
      <c r="H114" s="805">
        <v>0</v>
      </c>
      <c r="I114" s="805">
        <v>0</v>
      </c>
      <c r="J114" s="805">
        <v>0</v>
      </c>
      <c r="K114" s="805">
        <v>0</v>
      </c>
      <c r="L114" s="805">
        <v>0</v>
      </c>
      <c r="M114" s="805">
        <v>0</v>
      </c>
      <c r="N114" s="58">
        <v>6289</v>
      </c>
      <c r="O114" s="58">
        <v>6310</v>
      </c>
      <c r="Q114" s="802" t="s">
        <v>2104</v>
      </c>
    </row>
    <row r="115" spans="1:17">
      <c r="A115" s="810">
        <v>9</v>
      </c>
      <c r="B115" s="164" t="s">
        <v>12683</v>
      </c>
      <c r="C115" s="164" t="s">
        <v>12682</v>
      </c>
      <c r="D115" s="805">
        <v>0</v>
      </c>
      <c r="E115" s="805">
        <v>0</v>
      </c>
      <c r="F115" s="805">
        <v>0</v>
      </c>
      <c r="G115" s="805">
        <v>0</v>
      </c>
      <c r="H115" s="805">
        <v>0</v>
      </c>
      <c r="I115" s="805">
        <v>0</v>
      </c>
      <c r="J115" s="805">
        <v>0</v>
      </c>
      <c r="K115" s="805">
        <v>0</v>
      </c>
      <c r="L115" s="805">
        <v>0</v>
      </c>
      <c r="M115" s="805">
        <v>0</v>
      </c>
      <c r="N115" s="56">
        <v>5864</v>
      </c>
      <c r="O115" s="56">
        <v>5903</v>
      </c>
      <c r="Q115" s="802" t="s">
        <v>3422</v>
      </c>
    </row>
    <row r="116" spans="1:17">
      <c r="A116" s="810">
        <v>10</v>
      </c>
      <c r="B116" s="164" t="s">
        <v>12685</v>
      </c>
      <c r="C116" s="164" t="s">
        <v>12684</v>
      </c>
      <c r="D116" s="805">
        <v>0</v>
      </c>
      <c r="E116" s="805">
        <v>0</v>
      </c>
      <c r="F116" s="805">
        <v>0</v>
      </c>
      <c r="G116" s="805">
        <v>0</v>
      </c>
      <c r="H116" s="805">
        <v>0</v>
      </c>
      <c r="I116" s="805">
        <v>0</v>
      </c>
      <c r="J116" s="805">
        <v>0</v>
      </c>
      <c r="K116" s="805">
        <v>0</v>
      </c>
      <c r="L116" s="805">
        <v>0</v>
      </c>
      <c r="M116" s="805">
        <v>0</v>
      </c>
      <c r="N116" s="58">
        <v>6649</v>
      </c>
      <c r="O116" s="58">
        <v>6676</v>
      </c>
      <c r="Q116" s="802" t="s">
        <v>2104</v>
      </c>
    </row>
    <row r="117" spans="1:17">
      <c r="A117" s="810">
        <v>11</v>
      </c>
      <c r="B117" s="164" t="s">
        <v>12687</v>
      </c>
      <c r="C117" s="164" t="s">
        <v>12686</v>
      </c>
      <c r="D117" s="805">
        <v>0</v>
      </c>
      <c r="E117" s="805">
        <v>0</v>
      </c>
      <c r="F117" s="805">
        <v>0</v>
      </c>
      <c r="G117" s="805">
        <v>0</v>
      </c>
      <c r="H117" s="805">
        <v>0</v>
      </c>
      <c r="I117" s="805">
        <v>0</v>
      </c>
      <c r="J117" s="805">
        <v>0</v>
      </c>
      <c r="K117" s="805">
        <v>0</v>
      </c>
      <c r="L117" s="805">
        <v>0</v>
      </c>
      <c r="M117" s="805">
        <v>0</v>
      </c>
      <c r="N117" s="58">
        <v>6916</v>
      </c>
      <c r="O117" s="58">
        <v>6928</v>
      </c>
      <c r="Q117" s="802" t="s">
        <v>2104</v>
      </c>
    </row>
    <row r="118" spans="1:17">
      <c r="A118" s="810">
        <v>12</v>
      </c>
      <c r="B118" s="164" t="s">
        <v>12689</v>
      </c>
      <c r="C118" s="164" t="s">
        <v>12688</v>
      </c>
      <c r="D118" s="805">
        <v>0</v>
      </c>
      <c r="E118" s="805">
        <v>0</v>
      </c>
      <c r="F118" s="805">
        <v>0</v>
      </c>
      <c r="G118" s="805">
        <v>0</v>
      </c>
      <c r="H118" s="805">
        <v>0</v>
      </c>
      <c r="I118" s="805">
        <v>0</v>
      </c>
      <c r="J118" s="805">
        <v>0</v>
      </c>
      <c r="K118" s="805">
        <v>0</v>
      </c>
      <c r="L118" s="805">
        <v>0</v>
      </c>
      <c r="M118" s="805">
        <v>0</v>
      </c>
      <c r="N118" s="58">
        <v>4565</v>
      </c>
      <c r="O118" s="58">
        <v>4721</v>
      </c>
      <c r="Q118" s="802" t="s">
        <v>2104</v>
      </c>
    </row>
    <row r="119" spans="1:17" ht="15.75" thickBot="1">
      <c r="A119" s="810"/>
      <c r="C119" s="164" t="s">
        <v>12688</v>
      </c>
      <c r="D119" s="804">
        <v>0</v>
      </c>
      <c r="E119" s="804">
        <v>0</v>
      </c>
      <c r="F119" s="804">
        <v>0</v>
      </c>
      <c r="G119" s="804">
        <v>0</v>
      </c>
      <c r="H119" s="804">
        <v>0</v>
      </c>
      <c r="I119" s="804">
        <v>0</v>
      </c>
      <c r="J119" s="804">
        <v>0</v>
      </c>
      <c r="K119" s="804">
        <v>0</v>
      </c>
      <c r="L119" s="804">
        <v>0</v>
      </c>
      <c r="M119" s="804">
        <v>0</v>
      </c>
      <c r="N119" s="804">
        <v>2116</v>
      </c>
      <c r="O119" s="804">
        <v>2128</v>
      </c>
      <c r="Q119" s="802" t="s">
        <v>3422</v>
      </c>
    </row>
    <row r="120" spans="1:17" ht="15.75" thickBot="1">
      <c r="A120" s="810"/>
      <c r="C120" s="164" t="s">
        <v>12688</v>
      </c>
      <c r="D120" s="811">
        <f t="shared" ref="D120:N120" si="58">D118+D119</f>
        <v>0</v>
      </c>
      <c r="E120" s="811">
        <f t="shared" si="58"/>
        <v>0</v>
      </c>
      <c r="F120" s="811">
        <f t="shared" si="58"/>
        <v>0</v>
      </c>
      <c r="G120" s="811">
        <f t="shared" si="58"/>
        <v>0</v>
      </c>
      <c r="H120" s="811">
        <f t="shared" si="58"/>
        <v>0</v>
      </c>
      <c r="I120" s="811">
        <f t="shared" si="58"/>
        <v>0</v>
      </c>
      <c r="J120" s="811">
        <f t="shared" si="58"/>
        <v>0</v>
      </c>
      <c r="K120" s="811">
        <f t="shared" si="58"/>
        <v>0</v>
      </c>
      <c r="L120" s="811">
        <f t="shared" si="58"/>
        <v>0</v>
      </c>
      <c r="M120" s="811">
        <f t="shared" si="58"/>
        <v>0</v>
      </c>
      <c r="N120" s="811">
        <f t="shared" si="58"/>
        <v>6681</v>
      </c>
      <c r="O120" s="811">
        <f>O118+O119</f>
        <v>6849</v>
      </c>
    </row>
    <row r="121" spans="1:17">
      <c r="A121" s="810">
        <v>13</v>
      </c>
      <c r="B121" s="164" t="s">
        <v>12691</v>
      </c>
      <c r="C121" s="164" t="s">
        <v>12690</v>
      </c>
      <c r="D121" s="805">
        <v>0</v>
      </c>
      <c r="E121" s="805">
        <v>0</v>
      </c>
      <c r="F121" s="805">
        <v>0</v>
      </c>
      <c r="G121" s="805">
        <v>0</v>
      </c>
      <c r="H121" s="805">
        <v>0</v>
      </c>
      <c r="I121" s="805">
        <v>0</v>
      </c>
      <c r="J121" s="805">
        <v>0</v>
      </c>
      <c r="K121" s="805">
        <v>0</v>
      </c>
      <c r="L121" s="805">
        <v>0</v>
      </c>
      <c r="M121" s="805">
        <v>0</v>
      </c>
      <c r="N121" s="56">
        <v>3635</v>
      </c>
      <c r="O121" s="56">
        <v>3665</v>
      </c>
      <c r="Q121" s="802" t="s">
        <v>2104</v>
      </c>
    </row>
    <row r="122" spans="1:17" ht="15.75" thickBot="1">
      <c r="A122" s="810"/>
      <c r="B122" s="802"/>
      <c r="C122" s="164" t="s">
        <v>12690</v>
      </c>
      <c r="D122" s="804">
        <v>0</v>
      </c>
      <c r="E122" s="804">
        <v>0</v>
      </c>
      <c r="F122" s="804">
        <v>0</v>
      </c>
      <c r="G122" s="804">
        <v>0</v>
      </c>
      <c r="H122" s="804">
        <v>0</v>
      </c>
      <c r="I122" s="804">
        <v>0</v>
      </c>
      <c r="J122" s="804">
        <v>0</v>
      </c>
      <c r="K122" s="804">
        <v>0</v>
      </c>
      <c r="L122" s="804">
        <v>0</v>
      </c>
      <c r="M122" s="804">
        <v>0</v>
      </c>
      <c r="N122" s="804">
        <v>2037</v>
      </c>
      <c r="O122" s="804">
        <v>2074</v>
      </c>
      <c r="Q122" s="802" t="s">
        <v>3422</v>
      </c>
    </row>
    <row r="123" spans="1:17" ht="15.75" thickBot="1">
      <c r="A123" s="810"/>
      <c r="B123" s="802"/>
      <c r="C123" s="164" t="s">
        <v>12690</v>
      </c>
      <c r="D123" s="811">
        <f t="shared" ref="D123:N123" si="59">D121+D122</f>
        <v>0</v>
      </c>
      <c r="E123" s="811">
        <f t="shared" si="59"/>
        <v>0</v>
      </c>
      <c r="F123" s="811">
        <f t="shared" si="59"/>
        <v>0</v>
      </c>
      <c r="G123" s="811">
        <f t="shared" si="59"/>
        <v>0</v>
      </c>
      <c r="H123" s="811">
        <f t="shared" si="59"/>
        <v>0</v>
      </c>
      <c r="I123" s="811">
        <f t="shared" si="59"/>
        <v>0</v>
      </c>
      <c r="J123" s="811">
        <f t="shared" si="59"/>
        <v>0</v>
      </c>
      <c r="K123" s="811">
        <f t="shared" si="59"/>
        <v>0</v>
      </c>
      <c r="L123" s="811">
        <f t="shared" si="59"/>
        <v>0</v>
      </c>
      <c r="M123" s="811">
        <f t="shared" si="59"/>
        <v>0</v>
      </c>
      <c r="N123" s="811">
        <f t="shared" si="59"/>
        <v>5672</v>
      </c>
      <c r="O123" s="811">
        <f>O121+O122</f>
        <v>5739</v>
      </c>
      <c r="Q123" s="802"/>
    </row>
    <row r="124" spans="1:17">
      <c r="A124" s="810"/>
      <c r="B124" s="802"/>
      <c r="D124" s="805"/>
      <c r="E124" s="805"/>
      <c r="F124" s="805"/>
      <c r="G124" s="805"/>
      <c r="H124" s="805"/>
      <c r="I124" s="805"/>
      <c r="J124" s="805"/>
      <c r="K124" s="805"/>
      <c r="L124" s="805"/>
      <c r="M124" s="805"/>
      <c r="N124" s="805"/>
      <c r="O124" s="805"/>
      <c r="Q124" s="802"/>
    </row>
    <row r="125" spans="1:17">
      <c r="A125" s="802" t="s">
        <v>2104</v>
      </c>
      <c r="D125" s="804">
        <f t="shared" ref="D125:M125" si="60">SUM(D105,D108,D110:D114,D116:D118,D121)</f>
        <v>65621</v>
      </c>
      <c r="E125" s="804">
        <f t="shared" si="60"/>
        <v>66322</v>
      </c>
      <c r="F125" s="804">
        <f t="shared" si="60"/>
        <v>66619</v>
      </c>
      <c r="G125" s="804">
        <f t="shared" si="60"/>
        <v>66436</v>
      </c>
      <c r="H125" s="804">
        <f t="shared" si="60"/>
        <v>66146</v>
      </c>
      <c r="I125" s="804">
        <f t="shared" si="60"/>
        <v>64673</v>
      </c>
      <c r="J125" s="804">
        <f t="shared" si="60"/>
        <v>60507</v>
      </c>
      <c r="K125" s="804">
        <f t="shared" si="60"/>
        <v>59942</v>
      </c>
      <c r="L125" s="804">
        <f t="shared" si="60"/>
        <v>64370</v>
      </c>
      <c r="M125" s="804">
        <f t="shared" si="60"/>
        <v>65318</v>
      </c>
      <c r="N125" s="804">
        <f>SUM(N105,N108,N110:N114,N116:N118,N121)</f>
        <v>63839</v>
      </c>
      <c r="O125" s="804">
        <f>SUM(O105,O108,O110:O114,O116:O118,O121)</f>
        <v>64354</v>
      </c>
    </row>
    <row r="126" spans="1:17">
      <c r="A126" s="802" t="s">
        <v>4953</v>
      </c>
      <c r="D126" s="804">
        <f t="shared" ref="D126:M126" si="61">SUM(D106,D109,D115,D119,D122)</f>
        <v>17393</v>
      </c>
      <c r="E126" s="804">
        <f t="shared" si="61"/>
        <v>17532</v>
      </c>
      <c r="F126" s="804">
        <f t="shared" si="61"/>
        <v>17479</v>
      </c>
      <c r="G126" s="804">
        <f t="shared" si="61"/>
        <v>17496</v>
      </c>
      <c r="H126" s="804">
        <f t="shared" si="61"/>
        <v>17373</v>
      </c>
      <c r="I126" s="804">
        <f t="shared" si="61"/>
        <v>17092</v>
      </c>
      <c r="J126" s="804">
        <f t="shared" si="61"/>
        <v>16318</v>
      </c>
      <c r="K126" s="804">
        <f t="shared" si="61"/>
        <v>16392</v>
      </c>
      <c r="L126" s="804">
        <f t="shared" si="61"/>
        <v>17451</v>
      </c>
      <c r="M126" s="804">
        <f t="shared" si="61"/>
        <v>17857</v>
      </c>
      <c r="N126" s="804">
        <f>SUM(N106,N109,N115,N119,N122)</f>
        <v>17554</v>
      </c>
      <c r="O126" s="804">
        <f>SUM(O106,O109,O115,O119,O122)</f>
        <v>17550</v>
      </c>
    </row>
    <row r="127" spans="1:17">
      <c r="A127" s="802"/>
      <c r="B127" s="802"/>
      <c r="D127" s="812"/>
      <c r="E127" s="812"/>
      <c r="F127" s="812"/>
      <c r="G127" s="812"/>
      <c r="H127" s="812"/>
      <c r="I127" s="812"/>
      <c r="J127" s="812"/>
      <c r="K127" s="812"/>
      <c r="L127" s="812"/>
      <c r="M127" s="812"/>
      <c r="N127" s="812"/>
      <c r="O127" s="812"/>
    </row>
    <row r="128" spans="1:17">
      <c r="A128" s="164" t="s">
        <v>12692</v>
      </c>
      <c r="D128" s="812"/>
      <c r="E128" s="812"/>
      <c r="F128" s="812"/>
      <c r="G128" s="812"/>
      <c r="H128" s="812"/>
      <c r="I128" s="812"/>
      <c r="J128" s="812"/>
      <c r="K128" s="812"/>
      <c r="L128" s="812"/>
      <c r="M128" s="812"/>
      <c r="N128" s="812"/>
      <c r="O128" s="812"/>
    </row>
    <row r="129" spans="1:17">
      <c r="A129" s="802"/>
      <c r="B129" s="802"/>
      <c r="C129" s="802"/>
      <c r="D129" s="812"/>
      <c r="E129" s="812"/>
      <c r="F129" s="812"/>
      <c r="G129" s="812"/>
      <c r="H129" s="812"/>
      <c r="I129" s="812"/>
      <c r="J129" s="812"/>
      <c r="K129" s="812"/>
      <c r="L129" s="812"/>
      <c r="M129" s="812"/>
      <c r="N129" s="812"/>
      <c r="O129" s="812"/>
    </row>
    <row r="130" spans="1:17">
      <c r="A130" s="802"/>
      <c r="B130" s="802"/>
      <c r="D130" s="813"/>
      <c r="E130" s="813"/>
      <c r="F130" s="813"/>
      <c r="G130" s="813"/>
      <c r="H130" s="813"/>
      <c r="I130" s="813"/>
      <c r="J130" s="813"/>
      <c r="K130" s="813"/>
      <c r="L130" s="813"/>
      <c r="M130" s="813"/>
      <c r="N130" s="813"/>
      <c r="O130" s="813"/>
    </row>
    <row r="131" spans="1:17">
      <c r="E131" s="51" t="s">
        <v>1526</v>
      </c>
      <c r="F131" s="51"/>
      <c r="G131" s="51"/>
      <c r="H131" s="51"/>
      <c r="I131" s="51"/>
      <c r="J131" s="51"/>
      <c r="K131" s="51"/>
      <c r="L131" s="51"/>
      <c r="M131" s="51"/>
      <c r="N131" s="51"/>
      <c r="O131" s="51"/>
      <c r="P131" s="276"/>
      <c r="Q131" s="11" t="s">
        <v>9479</v>
      </c>
    </row>
    <row r="132" spans="1:17">
      <c r="D132" s="350">
        <v>2010</v>
      </c>
      <c r="E132" s="350">
        <v>2011</v>
      </c>
      <c r="F132" s="350">
        <v>2012</v>
      </c>
      <c r="G132" s="350">
        <v>2013</v>
      </c>
      <c r="H132" s="350">
        <v>2014</v>
      </c>
      <c r="I132" s="350">
        <v>2015</v>
      </c>
      <c r="J132" s="350">
        <v>2016</v>
      </c>
      <c r="K132" s="350">
        <v>2017</v>
      </c>
      <c r="L132" s="350">
        <v>2018</v>
      </c>
      <c r="M132" s="350">
        <v>2019</v>
      </c>
      <c r="N132" s="350">
        <v>2020</v>
      </c>
      <c r="O132" s="983" t="s">
        <v>14823</v>
      </c>
      <c r="P132" s="410"/>
      <c r="Q132" s="13" t="s">
        <v>1527</v>
      </c>
    </row>
    <row r="133" spans="1:17">
      <c r="A133" s="802" t="s">
        <v>23</v>
      </c>
      <c r="D133" s="804">
        <f t="shared" ref="D133:N133" si="62">SUM(D134:D150)</f>
        <v>55619</v>
      </c>
      <c r="E133" s="804">
        <f t="shared" si="62"/>
        <v>55710</v>
      </c>
      <c r="F133" s="804">
        <f t="shared" si="62"/>
        <v>55736</v>
      </c>
      <c r="G133" s="804">
        <f t="shared" si="62"/>
        <v>55510</v>
      </c>
      <c r="H133" s="804">
        <f t="shared" si="62"/>
        <v>54095</v>
      </c>
      <c r="I133" s="804">
        <f t="shared" si="62"/>
        <v>53730</v>
      </c>
      <c r="J133" s="804">
        <f t="shared" si="62"/>
        <v>53024</v>
      </c>
      <c r="K133" s="804">
        <f t="shared" si="62"/>
        <v>52665</v>
      </c>
      <c r="L133" s="804">
        <f t="shared" si="62"/>
        <v>53035</v>
      </c>
      <c r="M133" s="804">
        <f t="shared" si="62"/>
        <v>53062</v>
      </c>
      <c r="N133" s="804">
        <f t="shared" si="62"/>
        <v>53480</v>
      </c>
      <c r="O133" s="804">
        <f>SUM(O134:O150)</f>
        <v>53742</v>
      </c>
    </row>
    <row r="134" spans="1:17">
      <c r="A134" s="810">
        <v>1</v>
      </c>
      <c r="B134" s="164" t="s">
        <v>13308</v>
      </c>
      <c r="C134" s="164" t="s">
        <v>13307</v>
      </c>
      <c r="D134" s="805">
        <v>55619</v>
      </c>
      <c r="E134" s="805">
        <v>55710</v>
      </c>
      <c r="F134" s="805">
        <v>55736</v>
      </c>
      <c r="G134" s="63">
        <v>55510</v>
      </c>
      <c r="H134" s="63">
        <v>54095</v>
      </c>
      <c r="I134" s="63">
        <v>53730</v>
      </c>
      <c r="J134" s="63">
        <v>53024</v>
      </c>
      <c r="K134" s="63">
        <v>52665</v>
      </c>
      <c r="L134" s="63">
        <v>53035</v>
      </c>
      <c r="M134" s="63">
        <v>53062</v>
      </c>
      <c r="N134" s="63">
        <v>3659</v>
      </c>
      <c r="O134" s="63">
        <v>3674</v>
      </c>
      <c r="Q134" s="802" t="s">
        <v>3420</v>
      </c>
    </row>
    <row r="135" spans="1:17">
      <c r="A135" s="810">
        <v>2</v>
      </c>
      <c r="B135" s="164" t="s">
        <v>12492</v>
      </c>
      <c r="C135" s="164" t="s">
        <v>13309</v>
      </c>
      <c r="D135" s="805">
        <v>0</v>
      </c>
      <c r="E135" s="805">
        <v>0</v>
      </c>
      <c r="F135" s="805">
        <v>0</v>
      </c>
      <c r="G135" s="805">
        <v>0</v>
      </c>
      <c r="H135" s="805">
        <v>0</v>
      </c>
      <c r="I135" s="805">
        <v>0</v>
      </c>
      <c r="J135" s="805">
        <v>0</v>
      </c>
      <c r="K135" s="805">
        <v>0</v>
      </c>
      <c r="L135" s="805">
        <v>0</v>
      </c>
      <c r="M135" s="805">
        <v>0</v>
      </c>
      <c r="N135" s="63">
        <v>1697</v>
      </c>
      <c r="O135" s="63">
        <v>1690</v>
      </c>
      <c r="Q135" s="802" t="s">
        <v>3420</v>
      </c>
    </row>
    <row r="136" spans="1:17">
      <c r="A136" s="810">
        <v>3</v>
      </c>
      <c r="B136" s="164" t="s">
        <v>13311</v>
      </c>
      <c r="C136" s="164" t="s">
        <v>13310</v>
      </c>
      <c r="D136" s="805">
        <v>0</v>
      </c>
      <c r="E136" s="805">
        <v>0</v>
      </c>
      <c r="F136" s="805">
        <v>0</v>
      </c>
      <c r="G136" s="805">
        <v>0</v>
      </c>
      <c r="H136" s="805">
        <v>0</v>
      </c>
      <c r="I136" s="805">
        <v>0</v>
      </c>
      <c r="J136" s="805">
        <v>0</v>
      </c>
      <c r="K136" s="805">
        <v>0</v>
      </c>
      <c r="L136" s="805">
        <v>0</v>
      </c>
      <c r="M136" s="805">
        <v>0</v>
      </c>
      <c r="N136" s="63">
        <v>3366</v>
      </c>
      <c r="O136" s="63">
        <v>3395</v>
      </c>
      <c r="Q136" s="802" t="s">
        <v>3420</v>
      </c>
    </row>
    <row r="137" spans="1:17">
      <c r="A137" s="810">
        <v>4</v>
      </c>
      <c r="B137" s="164" t="s">
        <v>13313</v>
      </c>
      <c r="C137" s="164" t="s">
        <v>13312</v>
      </c>
      <c r="D137" s="805">
        <v>0</v>
      </c>
      <c r="E137" s="805">
        <v>0</v>
      </c>
      <c r="F137" s="805">
        <v>0</v>
      </c>
      <c r="G137" s="805">
        <v>0</v>
      </c>
      <c r="H137" s="805">
        <v>0</v>
      </c>
      <c r="I137" s="805">
        <v>0</v>
      </c>
      <c r="J137" s="805">
        <v>0</v>
      </c>
      <c r="K137" s="805">
        <v>0</v>
      </c>
      <c r="L137" s="805">
        <v>0</v>
      </c>
      <c r="M137" s="805">
        <v>0</v>
      </c>
      <c r="N137" s="63">
        <v>5172</v>
      </c>
      <c r="O137" s="63">
        <v>5217</v>
      </c>
      <c r="Q137" s="802" t="s">
        <v>3420</v>
      </c>
    </row>
    <row r="138" spans="1:17">
      <c r="A138" s="810">
        <v>5</v>
      </c>
      <c r="B138" s="164" t="s">
        <v>13315</v>
      </c>
      <c r="C138" s="164" t="s">
        <v>13314</v>
      </c>
      <c r="D138" s="805">
        <v>0</v>
      </c>
      <c r="E138" s="805">
        <v>0</v>
      </c>
      <c r="F138" s="805">
        <v>0</v>
      </c>
      <c r="G138" s="805">
        <v>0</v>
      </c>
      <c r="H138" s="805">
        <v>0</v>
      </c>
      <c r="I138" s="805">
        <v>0</v>
      </c>
      <c r="J138" s="805">
        <v>0</v>
      </c>
      <c r="K138" s="805">
        <v>0</v>
      </c>
      <c r="L138" s="805">
        <v>0</v>
      </c>
      <c r="M138" s="805">
        <v>0</v>
      </c>
      <c r="N138" s="63">
        <v>1589</v>
      </c>
      <c r="O138" s="63">
        <v>1597</v>
      </c>
      <c r="Q138" s="802" t="s">
        <v>3420</v>
      </c>
    </row>
    <row r="139" spans="1:17">
      <c r="A139" s="810">
        <v>6</v>
      </c>
      <c r="B139" s="164" t="s">
        <v>13317</v>
      </c>
      <c r="C139" s="164" t="s">
        <v>13316</v>
      </c>
      <c r="D139" s="805">
        <v>0</v>
      </c>
      <c r="E139" s="805">
        <v>0</v>
      </c>
      <c r="F139" s="805">
        <v>0</v>
      </c>
      <c r="G139" s="805">
        <v>0</v>
      </c>
      <c r="H139" s="805">
        <v>0</v>
      </c>
      <c r="I139" s="805">
        <v>0</v>
      </c>
      <c r="J139" s="805">
        <v>0</v>
      </c>
      <c r="K139" s="805">
        <v>0</v>
      </c>
      <c r="L139" s="805">
        <v>0</v>
      </c>
      <c r="M139" s="805">
        <v>0</v>
      </c>
      <c r="N139" s="63">
        <v>3059</v>
      </c>
      <c r="O139" s="63">
        <v>3073</v>
      </c>
      <c r="Q139" s="802" t="s">
        <v>3420</v>
      </c>
    </row>
    <row r="140" spans="1:17">
      <c r="A140" s="810">
        <v>7</v>
      </c>
      <c r="B140" s="164" t="s">
        <v>13319</v>
      </c>
      <c r="C140" s="164" t="s">
        <v>13318</v>
      </c>
      <c r="D140" s="805">
        <v>0</v>
      </c>
      <c r="E140" s="805">
        <v>0</v>
      </c>
      <c r="F140" s="805">
        <v>0</v>
      </c>
      <c r="G140" s="805">
        <v>0</v>
      </c>
      <c r="H140" s="805">
        <v>0</v>
      </c>
      <c r="I140" s="805">
        <v>0</v>
      </c>
      <c r="J140" s="805">
        <v>0</v>
      </c>
      <c r="K140" s="805">
        <v>0</v>
      </c>
      <c r="L140" s="805">
        <v>0</v>
      </c>
      <c r="M140" s="805">
        <v>0</v>
      </c>
      <c r="N140" s="63">
        <v>4662</v>
      </c>
      <c r="O140" s="63">
        <v>4681</v>
      </c>
      <c r="Q140" s="802" t="s">
        <v>3420</v>
      </c>
    </row>
    <row r="141" spans="1:17">
      <c r="A141" s="810">
        <v>8</v>
      </c>
      <c r="B141" s="164" t="s">
        <v>13321</v>
      </c>
      <c r="C141" s="164" t="s">
        <v>13320</v>
      </c>
      <c r="D141" s="805">
        <v>0</v>
      </c>
      <c r="E141" s="805">
        <v>0</v>
      </c>
      <c r="F141" s="805">
        <v>0</v>
      </c>
      <c r="G141" s="805">
        <v>0</v>
      </c>
      <c r="H141" s="805">
        <v>0</v>
      </c>
      <c r="I141" s="805">
        <v>0</v>
      </c>
      <c r="J141" s="805">
        <v>0</v>
      </c>
      <c r="K141" s="805">
        <v>0</v>
      </c>
      <c r="L141" s="805">
        <v>0</v>
      </c>
      <c r="M141" s="805">
        <v>0</v>
      </c>
      <c r="N141" s="63">
        <v>3316</v>
      </c>
      <c r="O141" s="63">
        <v>3306</v>
      </c>
      <c r="Q141" s="802" t="s">
        <v>3420</v>
      </c>
    </row>
    <row r="142" spans="1:17">
      <c r="A142" s="810">
        <v>9</v>
      </c>
      <c r="B142" s="164" t="s">
        <v>12493</v>
      </c>
      <c r="C142" s="164" t="s">
        <v>13322</v>
      </c>
      <c r="D142" s="805">
        <v>0</v>
      </c>
      <c r="E142" s="805">
        <v>0</v>
      </c>
      <c r="F142" s="805">
        <v>0</v>
      </c>
      <c r="G142" s="805">
        <v>0</v>
      </c>
      <c r="H142" s="805">
        <v>0</v>
      </c>
      <c r="I142" s="805">
        <v>0</v>
      </c>
      <c r="J142" s="805">
        <v>0</v>
      </c>
      <c r="K142" s="805">
        <v>0</v>
      </c>
      <c r="L142" s="805">
        <v>0</v>
      </c>
      <c r="M142" s="805">
        <v>0</v>
      </c>
      <c r="N142" s="63">
        <v>4167</v>
      </c>
      <c r="O142" s="63">
        <v>4198</v>
      </c>
      <c r="Q142" s="802" t="s">
        <v>3420</v>
      </c>
    </row>
    <row r="143" spans="1:17">
      <c r="A143" s="810">
        <v>10</v>
      </c>
      <c r="B143" s="164" t="s">
        <v>12494</v>
      </c>
      <c r="C143" s="164" t="s">
        <v>13323</v>
      </c>
      <c r="D143" s="805">
        <v>0</v>
      </c>
      <c r="E143" s="805">
        <v>0</v>
      </c>
      <c r="F143" s="805">
        <v>0</v>
      </c>
      <c r="G143" s="805">
        <v>0</v>
      </c>
      <c r="H143" s="805">
        <v>0</v>
      </c>
      <c r="I143" s="805">
        <v>0</v>
      </c>
      <c r="J143" s="805">
        <v>0</v>
      </c>
      <c r="K143" s="805">
        <v>0</v>
      </c>
      <c r="L143" s="805">
        <v>0</v>
      </c>
      <c r="M143" s="805">
        <v>0</v>
      </c>
      <c r="N143" s="63">
        <v>1737</v>
      </c>
      <c r="O143" s="63">
        <v>1735</v>
      </c>
      <c r="Q143" s="802" t="s">
        <v>3420</v>
      </c>
    </row>
    <row r="144" spans="1:17">
      <c r="A144" s="810">
        <v>11</v>
      </c>
      <c r="B144" s="164" t="s">
        <v>13325</v>
      </c>
      <c r="C144" s="164" t="s">
        <v>13324</v>
      </c>
      <c r="D144" s="805">
        <v>0</v>
      </c>
      <c r="E144" s="805">
        <v>0</v>
      </c>
      <c r="F144" s="805">
        <v>0</v>
      </c>
      <c r="G144" s="805">
        <v>0</v>
      </c>
      <c r="H144" s="805">
        <v>0</v>
      </c>
      <c r="I144" s="805">
        <v>0</v>
      </c>
      <c r="J144" s="805">
        <v>0</v>
      </c>
      <c r="K144" s="805">
        <v>0</v>
      </c>
      <c r="L144" s="805">
        <v>0</v>
      </c>
      <c r="M144" s="805">
        <v>0</v>
      </c>
      <c r="N144" s="63">
        <v>4451</v>
      </c>
      <c r="O144" s="63">
        <v>4487</v>
      </c>
      <c r="Q144" s="802" t="s">
        <v>3420</v>
      </c>
    </row>
    <row r="145" spans="1:17">
      <c r="A145" s="810">
        <v>12</v>
      </c>
      <c r="B145" s="164" t="s">
        <v>13327</v>
      </c>
      <c r="C145" s="164" t="s">
        <v>13326</v>
      </c>
      <c r="D145" s="805">
        <v>0</v>
      </c>
      <c r="E145" s="805">
        <v>0</v>
      </c>
      <c r="F145" s="805">
        <v>0</v>
      </c>
      <c r="G145" s="805">
        <v>0</v>
      </c>
      <c r="H145" s="805">
        <v>0</v>
      </c>
      <c r="I145" s="805">
        <v>0</v>
      </c>
      <c r="J145" s="805">
        <v>0</v>
      </c>
      <c r="K145" s="805">
        <v>0</v>
      </c>
      <c r="L145" s="805">
        <v>0</v>
      </c>
      <c r="M145" s="805">
        <v>0</v>
      </c>
      <c r="N145" s="63">
        <v>1799</v>
      </c>
      <c r="O145" s="63">
        <v>1792</v>
      </c>
      <c r="Q145" s="802" t="s">
        <v>3420</v>
      </c>
    </row>
    <row r="146" spans="1:17">
      <c r="A146" s="810">
        <v>13</v>
      </c>
      <c r="B146" s="164" t="s">
        <v>12495</v>
      </c>
      <c r="C146" s="164" t="s">
        <v>13328</v>
      </c>
      <c r="D146" s="805">
        <v>0</v>
      </c>
      <c r="E146" s="805">
        <v>0</v>
      </c>
      <c r="F146" s="805">
        <v>0</v>
      </c>
      <c r="G146" s="805">
        <v>0</v>
      </c>
      <c r="H146" s="805">
        <v>0</v>
      </c>
      <c r="I146" s="805">
        <v>0</v>
      </c>
      <c r="J146" s="805">
        <v>0</v>
      </c>
      <c r="K146" s="805">
        <v>0</v>
      </c>
      <c r="L146" s="805">
        <v>0</v>
      </c>
      <c r="M146" s="805">
        <v>0</v>
      </c>
      <c r="N146" s="63">
        <v>1470</v>
      </c>
      <c r="O146" s="63">
        <v>1488</v>
      </c>
      <c r="Q146" s="802" t="s">
        <v>3420</v>
      </c>
    </row>
    <row r="147" spans="1:17">
      <c r="A147" s="810">
        <v>14</v>
      </c>
      <c r="B147" s="164" t="s">
        <v>12496</v>
      </c>
      <c r="C147" s="164" t="s">
        <v>13329</v>
      </c>
      <c r="D147" s="805">
        <v>0</v>
      </c>
      <c r="E147" s="805">
        <v>0</v>
      </c>
      <c r="F147" s="805">
        <v>0</v>
      </c>
      <c r="G147" s="805">
        <v>0</v>
      </c>
      <c r="H147" s="805">
        <v>0</v>
      </c>
      <c r="I147" s="805">
        <v>0</v>
      </c>
      <c r="J147" s="805">
        <v>0</v>
      </c>
      <c r="K147" s="805">
        <v>0</v>
      </c>
      <c r="L147" s="805">
        <v>0</v>
      </c>
      <c r="M147" s="805">
        <v>0</v>
      </c>
      <c r="N147" s="63">
        <v>1800</v>
      </c>
      <c r="O147" s="63">
        <v>1811</v>
      </c>
      <c r="Q147" s="802" t="s">
        <v>3420</v>
      </c>
    </row>
    <row r="148" spans="1:17">
      <c r="A148" s="810">
        <v>15</v>
      </c>
      <c r="B148" s="164" t="s">
        <v>13331</v>
      </c>
      <c r="C148" s="164" t="s">
        <v>13330</v>
      </c>
      <c r="D148" s="805">
        <v>0</v>
      </c>
      <c r="E148" s="805">
        <v>0</v>
      </c>
      <c r="F148" s="805">
        <v>0</v>
      </c>
      <c r="G148" s="805">
        <v>0</v>
      </c>
      <c r="H148" s="805">
        <v>0</v>
      </c>
      <c r="I148" s="805">
        <v>0</v>
      </c>
      <c r="J148" s="805">
        <v>0</v>
      </c>
      <c r="K148" s="805">
        <v>0</v>
      </c>
      <c r="L148" s="805">
        <v>0</v>
      </c>
      <c r="M148" s="805">
        <v>0</v>
      </c>
      <c r="N148" s="63">
        <v>1744</v>
      </c>
      <c r="O148" s="63">
        <v>1743</v>
      </c>
      <c r="Q148" s="802" t="s">
        <v>3420</v>
      </c>
    </row>
    <row r="149" spans="1:17">
      <c r="A149" s="810">
        <v>16</v>
      </c>
      <c r="B149" s="164" t="s">
        <v>13333</v>
      </c>
      <c r="C149" s="164" t="s">
        <v>13332</v>
      </c>
      <c r="D149" s="805">
        <v>0</v>
      </c>
      <c r="E149" s="805">
        <v>0</v>
      </c>
      <c r="F149" s="805">
        <v>0</v>
      </c>
      <c r="G149" s="805">
        <v>0</v>
      </c>
      <c r="H149" s="805">
        <v>0</v>
      </c>
      <c r="I149" s="805">
        <v>0</v>
      </c>
      <c r="J149" s="805">
        <v>0</v>
      </c>
      <c r="K149" s="805">
        <v>0</v>
      </c>
      <c r="L149" s="805">
        <v>0</v>
      </c>
      <c r="M149" s="805">
        <v>0</v>
      </c>
      <c r="N149" s="63">
        <v>4478</v>
      </c>
      <c r="O149" s="63">
        <v>4509</v>
      </c>
      <c r="Q149" s="802" t="s">
        <v>3420</v>
      </c>
    </row>
    <row r="150" spans="1:17">
      <c r="A150" s="810">
        <v>17</v>
      </c>
      <c r="B150" s="164" t="s">
        <v>13335</v>
      </c>
      <c r="C150" s="164" t="s">
        <v>13334</v>
      </c>
      <c r="D150" s="805">
        <v>0</v>
      </c>
      <c r="E150" s="805">
        <v>0</v>
      </c>
      <c r="F150" s="805">
        <v>0</v>
      </c>
      <c r="G150" s="805">
        <v>0</v>
      </c>
      <c r="H150" s="805">
        <v>0</v>
      </c>
      <c r="I150" s="805">
        <v>0</v>
      </c>
      <c r="J150" s="805">
        <v>0</v>
      </c>
      <c r="K150" s="805">
        <v>0</v>
      </c>
      <c r="L150" s="805">
        <v>0</v>
      </c>
      <c r="M150" s="805">
        <v>0</v>
      </c>
      <c r="N150" s="63">
        <v>5314</v>
      </c>
      <c r="O150" s="63">
        <v>5346</v>
      </c>
      <c r="Q150" s="802" t="s">
        <v>3420</v>
      </c>
    </row>
    <row r="151" spans="1:17">
      <c r="D151" s="805"/>
      <c r="E151" s="805"/>
      <c r="F151" s="805"/>
      <c r="G151" s="805"/>
      <c r="H151" s="805"/>
      <c r="I151" s="805"/>
      <c r="J151" s="805"/>
      <c r="K151" s="805"/>
      <c r="L151" s="805"/>
      <c r="M151" s="805"/>
      <c r="N151" s="805"/>
      <c r="O151" s="805"/>
    </row>
    <row r="152" spans="1:17">
      <c r="A152" s="802" t="s">
        <v>4952</v>
      </c>
      <c r="D152" s="804">
        <f t="shared" ref="D152:N152" si="63">SUM(D134:D150)</f>
        <v>55619</v>
      </c>
      <c r="E152" s="804">
        <f t="shared" si="63"/>
        <v>55710</v>
      </c>
      <c r="F152" s="804">
        <f t="shared" si="63"/>
        <v>55736</v>
      </c>
      <c r="G152" s="804">
        <f t="shared" si="63"/>
        <v>55510</v>
      </c>
      <c r="H152" s="804">
        <f t="shared" si="63"/>
        <v>54095</v>
      </c>
      <c r="I152" s="804">
        <f t="shared" si="63"/>
        <v>53730</v>
      </c>
      <c r="J152" s="804">
        <f t="shared" si="63"/>
        <v>53024</v>
      </c>
      <c r="K152" s="804">
        <f t="shared" si="63"/>
        <v>52665</v>
      </c>
      <c r="L152" s="804">
        <f t="shared" si="63"/>
        <v>53035</v>
      </c>
      <c r="M152" s="804">
        <f t="shared" si="63"/>
        <v>53062</v>
      </c>
      <c r="N152" s="804">
        <f t="shared" si="63"/>
        <v>53480</v>
      </c>
      <c r="O152" s="804">
        <f>SUM(O134:O150)</f>
        <v>53742</v>
      </c>
    </row>
    <row r="153" spans="1:17">
      <c r="D153" s="812"/>
      <c r="E153" s="812"/>
      <c r="F153" s="812"/>
      <c r="G153" s="812"/>
      <c r="H153" s="812"/>
      <c r="I153" s="812"/>
      <c r="J153" s="812"/>
      <c r="K153" s="812"/>
      <c r="L153" s="812"/>
      <c r="M153" s="812"/>
      <c r="N153" s="812"/>
      <c r="O153" s="812"/>
    </row>
    <row r="154" spans="1:17">
      <c r="A154" s="164" t="s">
        <v>13379</v>
      </c>
      <c r="D154" s="812"/>
      <c r="E154" s="812"/>
      <c r="F154" s="812"/>
      <c r="G154" s="812"/>
      <c r="H154" s="812"/>
      <c r="I154" s="812"/>
      <c r="J154" s="812"/>
      <c r="K154" s="812"/>
      <c r="L154" s="812"/>
      <c r="M154" s="812"/>
      <c r="N154" s="812"/>
      <c r="O154" s="812"/>
    </row>
    <row r="155" spans="1:17">
      <c r="A155" s="802"/>
      <c r="B155" s="802"/>
      <c r="D155" s="812"/>
      <c r="E155" s="812"/>
      <c r="F155" s="812"/>
      <c r="G155" s="812"/>
      <c r="H155" s="812"/>
      <c r="I155" s="812"/>
      <c r="J155" s="812"/>
      <c r="K155" s="812"/>
      <c r="L155" s="812"/>
      <c r="M155" s="812"/>
      <c r="N155" s="812"/>
      <c r="O155" s="812"/>
    </row>
    <row r="156" spans="1:17">
      <c r="A156" s="802"/>
      <c r="B156" s="802"/>
      <c r="D156" s="813"/>
      <c r="E156" s="813"/>
      <c r="F156" s="813"/>
      <c r="G156" s="813"/>
      <c r="H156" s="813"/>
      <c r="I156" s="813"/>
      <c r="J156" s="813"/>
      <c r="K156" s="813"/>
      <c r="L156" s="813"/>
      <c r="M156" s="813"/>
      <c r="N156" s="813"/>
      <c r="O156" s="813"/>
    </row>
    <row r="157" spans="1:17">
      <c r="E157" s="51" t="s">
        <v>1526</v>
      </c>
      <c r="F157" s="51"/>
      <c r="G157" s="51"/>
      <c r="H157" s="51"/>
      <c r="I157" s="51"/>
      <c r="J157" s="51"/>
      <c r="K157" s="51"/>
      <c r="L157" s="51"/>
      <c r="M157" s="51"/>
      <c r="N157" s="51"/>
      <c r="O157" s="51"/>
      <c r="P157" s="276"/>
      <c r="Q157" s="11" t="s">
        <v>9479</v>
      </c>
    </row>
    <row r="158" spans="1:17">
      <c r="D158" s="350">
        <v>2010</v>
      </c>
      <c r="E158" s="350">
        <v>2011</v>
      </c>
      <c r="F158" s="350">
        <v>2012</v>
      </c>
      <c r="G158" s="350">
        <v>2013</v>
      </c>
      <c r="H158" s="350">
        <v>2014</v>
      </c>
      <c r="I158" s="350">
        <v>2015</v>
      </c>
      <c r="J158" s="350">
        <v>2016</v>
      </c>
      <c r="K158" s="350">
        <v>2017</v>
      </c>
      <c r="L158" s="350">
        <v>2018</v>
      </c>
      <c r="M158" s="350">
        <v>2019</v>
      </c>
      <c r="N158" s="350">
        <v>2020</v>
      </c>
      <c r="O158" s="983" t="s">
        <v>14823</v>
      </c>
      <c r="P158" s="410"/>
      <c r="Q158" s="13" t="s">
        <v>1527</v>
      </c>
    </row>
    <row r="159" spans="1:17">
      <c r="A159" s="802" t="s">
        <v>2108</v>
      </c>
      <c r="D159" s="804">
        <f t="shared" ref="D159:I159" si="64">SUM(D160:D189)</f>
        <v>41639</v>
      </c>
      <c r="E159" s="804">
        <f t="shared" si="64"/>
        <v>41638</v>
      </c>
      <c r="F159" s="804">
        <f t="shared" si="64"/>
        <v>41610</v>
      </c>
      <c r="G159" s="804">
        <f t="shared" si="64"/>
        <v>41576</v>
      </c>
      <c r="H159" s="804">
        <f t="shared" si="64"/>
        <v>41109</v>
      </c>
      <c r="I159" s="804">
        <f t="shared" si="64"/>
        <v>41083</v>
      </c>
      <c r="J159" s="804">
        <f t="shared" ref="J159:O159" si="65">SUM(J160:J189)</f>
        <v>40434</v>
      </c>
      <c r="K159" s="804">
        <f t="shared" si="65"/>
        <v>41203</v>
      </c>
      <c r="L159" s="804">
        <f t="shared" si="65"/>
        <v>42005</v>
      </c>
      <c r="M159" s="804">
        <f t="shared" si="65"/>
        <v>41525</v>
      </c>
      <c r="N159" s="804">
        <f t="shared" si="65"/>
        <v>42482</v>
      </c>
      <c r="O159" s="804">
        <f t="shared" si="65"/>
        <v>42739</v>
      </c>
    </row>
    <row r="160" spans="1:17">
      <c r="A160" s="810">
        <v>1</v>
      </c>
      <c r="B160" s="802" t="s">
        <v>2109</v>
      </c>
      <c r="C160" s="55" t="s">
        <v>7769</v>
      </c>
      <c r="D160" s="805">
        <v>1707</v>
      </c>
      <c r="E160" s="805">
        <v>1710</v>
      </c>
      <c r="F160" s="805">
        <v>1723</v>
      </c>
      <c r="G160" s="63">
        <v>1705</v>
      </c>
      <c r="H160" s="63">
        <v>1700</v>
      </c>
      <c r="I160" s="63">
        <v>1686</v>
      </c>
      <c r="J160" s="63">
        <v>1638</v>
      </c>
      <c r="K160" s="63">
        <v>1669</v>
      </c>
      <c r="L160" s="63">
        <v>1692</v>
      </c>
      <c r="M160" s="63">
        <v>1638</v>
      </c>
      <c r="N160" s="63">
        <v>1668</v>
      </c>
      <c r="O160" s="63">
        <v>1679</v>
      </c>
      <c r="Q160" s="802" t="s">
        <v>3422</v>
      </c>
    </row>
    <row r="161" spans="1:17">
      <c r="A161" s="810">
        <v>2</v>
      </c>
      <c r="B161" s="802" t="s">
        <v>2110</v>
      </c>
      <c r="C161" s="55" t="s">
        <v>7770</v>
      </c>
      <c r="D161" s="805">
        <v>1092</v>
      </c>
      <c r="E161" s="805">
        <v>1084</v>
      </c>
      <c r="F161" s="805">
        <v>1055</v>
      </c>
      <c r="G161" s="63">
        <v>1071</v>
      </c>
      <c r="H161" s="63">
        <v>1044</v>
      </c>
      <c r="I161" s="63">
        <v>1038</v>
      </c>
      <c r="J161" s="63">
        <v>1018</v>
      </c>
      <c r="K161" s="63">
        <v>991</v>
      </c>
      <c r="L161" s="63">
        <v>1009</v>
      </c>
      <c r="M161" s="63">
        <v>1004</v>
      </c>
      <c r="N161" s="63">
        <v>985</v>
      </c>
      <c r="O161" s="63">
        <v>994</v>
      </c>
      <c r="Q161" s="802" t="s">
        <v>3422</v>
      </c>
    </row>
    <row r="162" spans="1:17">
      <c r="A162" s="810">
        <v>3</v>
      </c>
      <c r="B162" s="802" t="s">
        <v>2111</v>
      </c>
      <c r="C162" s="55" t="s">
        <v>7771</v>
      </c>
      <c r="D162" s="805">
        <v>1377</v>
      </c>
      <c r="E162" s="805">
        <v>1370</v>
      </c>
      <c r="F162" s="805">
        <v>1366</v>
      </c>
      <c r="G162" s="63">
        <v>1353</v>
      </c>
      <c r="H162" s="63">
        <v>1339</v>
      </c>
      <c r="I162" s="63">
        <v>1342</v>
      </c>
      <c r="J162" s="63">
        <v>1324</v>
      </c>
      <c r="K162" s="63">
        <v>1366</v>
      </c>
      <c r="L162" s="63">
        <v>1453</v>
      </c>
      <c r="M162" s="63">
        <v>1471</v>
      </c>
      <c r="N162" s="63">
        <v>1537</v>
      </c>
      <c r="O162" s="63">
        <v>1547</v>
      </c>
      <c r="Q162" s="802" t="s">
        <v>3422</v>
      </c>
    </row>
    <row r="163" spans="1:17">
      <c r="A163" s="810">
        <v>4</v>
      </c>
      <c r="B163" s="802" t="s">
        <v>2112</v>
      </c>
      <c r="C163" s="55" t="s">
        <v>7772</v>
      </c>
      <c r="D163" s="805">
        <v>1112</v>
      </c>
      <c r="E163" s="805">
        <v>1125</v>
      </c>
      <c r="F163" s="805">
        <v>1138</v>
      </c>
      <c r="G163" s="63">
        <v>1113</v>
      </c>
      <c r="H163" s="63">
        <v>1098</v>
      </c>
      <c r="I163" s="63">
        <v>1094</v>
      </c>
      <c r="J163" s="63">
        <v>1049</v>
      </c>
      <c r="K163" s="63">
        <v>1033</v>
      </c>
      <c r="L163" s="63">
        <v>1061</v>
      </c>
      <c r="M163" s="63">
        <v>1040</v>
      </c>
      <c r="N163" s="63">
        <v>1057</v>
      </c>
      <c r="O163" s="63">
        <v>1060</v>
      </c>
      <c r="Q163" s="802" t="s">
        <v>3422</v>
      </c>
    </row>
    <row r="164" spans="1:17">
      <c r="A164" s="810">
        <v>5</v>
      </c>
      <c r="B164" s="802" t="s">
        <v>2113</v>
      </c>
      <c r="C164" s="55" t="s">
        <v>7773</v>
      </c>
      <c r="D164" s="805">
        <v>1031</v>
      </c>
      <c r="E164" s="805">
        <v>1031</v>
      </c>
      <c r="F164" s="805">
        <v>1043</v>
      </c>
      <c r="G164" s="63">
        <v>1059</v>
      </c>
      <c r="H164" s="63">
        <v>1058</v>
      </c>
      <c r="I164" s="63">
        <v>1055</v>
      </c>
      <c r="J164" s="63">
        <v>1035</v>
      </c>
      <c r="K164" s="63">
        <v>1063</v>
      </c>
      <c r="L164" s="63">
        <v>1101</v>
      </c>
      <c r="M164" s="63">
        <v>1091</v>
      </c>
      <c r="N164" s="63">
        <v>1115</v>
      </c>
      <c r="O164" s="63">
        <v>1119</v>
      </c>
      <c r="Q164" s="802" t="s">
        <v>3422</v>
      </c>
    </row>
    <row r="165" spans="1:17">
      <c r="A165" s="810">
        <v>6</v>
      </c>
      <c r="B165" s="802" t="s">
        <v>2114</v>
      </c>
      <c r="C165" s="55" t="s">
        <v>7774</v>
      </c>
      <c r="D165" s="805">
        <v>1140</v>
      </c>
      <c r="E165" s="805">
        <v>1151</v>
      </c>
      <c r="F165" s="805">
        <v>1131</v>
      </c>
      <c r="G165" s="63">
        <v>1133</v>
      </c>
      <c r="H165" s="63">
        <v>1122</v>
      </c>
      <c r="I165" s="63">
        <v>1108</v>
      </c>
      <c r="J165" s="63">
        <v>1131</v>
      </c>
      <c r="K165" s="63">
        <v>1134</v>
      </c>
      <c r="L165" s="63">
        <v>1161</v>
      </c>
      <c r="M165" s="63">
        <v>1173</v>
      </c>
      <c r="N165" s="63">
        <v>1211</v>
      </c>
      <c r="O165" s="63">
        <v>1221</v>
      </c>
      <c r="Q165" s="802" t="s">
        <v>3422</v>
      </c>
    </row>
    <row r="166" spans="1:17">
      <c r="A166" s="810">
        <v>7</v>
      </c>
      <c r="B166" s="802" t="s">
        <v>2115</v>
      </c>
      <c r="C166" s="55" t="s">
        <v>7775</v>
      </c>
      <c r="D166" s="805">
        <v>1164</v>
      </c>
      <c r="E166" s="805">
        <v>1163</v>
      </c>
      <c r="F166" s="805">
        <v>1161</v>
      </c>
      <c r="G166" s="63">
        <v>1179</v>
      </c>
      <c r="H166" s="63">
        <v>1171</v>
      </c>
      <c r="I166" s="63">
        <v>1162</v>
      </c>
      <c r="J166" s="63">
        <v>1118</v>
      </c>
      <c r="K166" s="63">
        <v>1159</v>
      </c>
      <c r="L166" s="63">
        <v>1183</v>
      </c>
      <c r="M166" s="63">
        <v>1173</v>
      </c>
      <c r="N166" s="63">
        <v>1196</v>
      </c>
      <c r="O166" s="63">
        <v>1206</v>
      </c>
      <c r="Q166" s="802" t="s">
        <v>3422</v>
      </c>
    </row>
    <row r="167" spans="1:17">
      <c r="A167" s="810">
        <v>8</v>
      </c>
      <c r="B167" s="802" t="s">
        <v>2116</v>
      </c>
      <c r="C167" s="55" t="s">
        <v>7776</v>
      </c>
      <c r="D167" s="805">
        <v>1189</v>
      </c>
      <c r="E167" s="805">
        <v>1177</v>
      </c>
      <c r="F167" s="805">
        <v>1193</v>
      </c>
      <c r="G167" s="63">
        <v>1177</v>
      </c>
      <c r="H167" s="63">
        <v>1188</v>
      </c>
      <c r="I167" s="63">
        <v>1197</v>
      </c>
      <c r="J167" s="63">
        <v>1180</v>
      </c>
      <c r="K167" s="63">
        <v>1182</v>
      </c>
      <c r="L167" s="63">
        <v>1201</v>
      </c>
      <c r="M167" s="63">
        <v>1236</v>
      </c>
      <c r="N167" s="63">
        <v>1301</v>
      </c>
      <c r="O167" s="63">
        <v>1308</v>
      </c>
      <c r="Q167" s="802" t="s">
        <v>3422</v>
      </c>
    </row>
    <row r="168" spans="1:17">
      <c r="A168" s="810">
        <v>9</v>
      </c>
      <c r="B168" s="802" t="s">
        <v>2117</v>
      </c>
      <c r="C168" s="55" t="s">
        <v>7777</v>
      </c>
      <c r="D168" s="805">
        <v>1166</v>
      </c>
      <c r="E168" s="805">
        <v>1151</v>
      </c>
      <c r="F168" s="805">
        <v>1141</v>
      </c>
      <c r="G168" s="63">
        <v>1139</v>
      </c>
      <c r="H168" s="63">
        <v>1135</v>
      </c>
      <c r="I168" s="63">
        <v>1154</v>
      </c>
      <c r="J168" s="63">
        <v>1138</v>
      </c>
      <c r="K168" s="63">
        <v>1157</v>
      </c>
      <c r="L168" s="63">
        <v>1178</v>
      </c>
      <c r="M168" s="63">
        <v>1133</v>
      </c>
      <c r="N168" s="63">
        <v>1182</v>
      </c>
      <c r="O168" s="63">
        <v>1185</v>
      </c>
      <c r="Q168" s="802" t="s">
        <v>3422</v>
      </c>
    </row>
    <row r="169" spans="1:17">
      <c r="A169" s="810">
        <v>10</v>
      </c>
      <c r="B169" s="802" t="s">
        <v>2118</v>
      </c>
      <c r="C169" s="55" t="s">
        <v>7778</v>
      </c>
      <c r="D169" s="805">
        <v>1004</v>
      </c>
      <c r="E169" s="805">
        <v>1025</v>
      </c>
      <c r="F169" s="805">
        <v>1030</v>
      </c>
      <c r="G169" s="63">
        <v>1023</v>
      </c>
      <c r="H169" s="63">
        <v>1004</v>
      </c>
      <c r="I169" s="63">
        <v>1034</v>
      </c>
      <c r="J169" s="63">
        <v>1039</v>
      </c>
      <c r="K169" s="63">
        <v>1073</v>
      </c>
      <c r="L169" s="63">
        <v>1093</v>
      </c>
      <c r="M169" s="63">
        <v>1099</v>
      </c>
      <c r="N169" s="63">
        <v>1129</v>
      </c>
      <c r="O169" s="63">
        <v>1137</v>
      </c>
      <c r="Q169" s="802" t="s">
        <v>3422</v>
      </c>
    </row>
    <row r="170" spans="1:17">
      <c r="A170" s="810">
        <v>11</v>
      </c>
      <c r="B170" s="802" t="s">
        <v>2119</v>
      </c>
      <c r="C170" s="55" t="s">
        <v>7779</v>
      </c>
      <c r="D170" s="805">
        <v>2461</v>
      </c>
      <c r="E170" s="805">
        <v>2450</v>
      </c>
      <c r="F170" s="805">
        <v>2437</v>
      </c>
      <c r="G170" s="63">
        <v>2430</v>
      </c>
      <c r="H170" s="63">
        <v>2428</v>
      </c>
      <c r="I170" s="63">
        <v>2429</v>
      </c>
      <c r="J170" s="63">
        <v>2403</v>
      </c>
      <c r="K170" s="63">
        <v>2487</v>
      </c>
      <c r="L170" s="63">
        <v>2532</v>
      </c>
      <c r="M170" s="63">
        <v>2505</v>
      </c>
      <c r="N170" s="63">
        <v>2498</v>
      </c>
      <c r="O170" s="63">
        <v>2506</v>
      </c>
      <c r="Q170" s="802" t="s">
        <v>3422</v>
      </c>
    </row>
    <row r="171" spans="1:17">
      <c r="A171" s="810">
        <v>12</v>
      </c>
      <c r="B171" s="802" t="s">
        <v>2120</v>
      </c>
      <c r="C171" s="55" t="s">
        <v>7780</v>
      </c>
      <c r="D171" s="805">
        <v>2053</v>
      </c>
      <c r="E171" s="805">
        <v>2030</v>
      </c>
      <c r="F171" s="805">
        <v>2034</v>
      </c>
      <c r="G171" s="63">
        <v>2032</v>
      </c>
      <c r="H171" s="63">
        <v>2019</v>
      </c>
      <c r="I171" s="63">
        <v>2037</v>
      </c>
      <c r="J171" s="63">
        <v>2011</v>
      </c>
      <c r="K171" s="63">
        <v>2057</v>
      </c>
      <c r="L171" s="63">
        <v>2098</v>
      </c>
      <c r="M171" s="63">
        <v>2013</v>
      </c>
      <c r="N171" s="63">
        <v>2045</v>
      </c>
      <c r="O171" s="63">
        <v>2054</v>
      </c>
      <c r="Q171" s="802" t="s">
        <v>3422</v>
      </c>
    </row>
    <row r="172" spans="1:17">
      <c r="A172" s="810">
        <v>13</v>
      </c>
      <c r="B172" s="802" t="s">
        <v>2121</v>
      </c>
      <c r="C172" s="55" t="s">
        <v>7781</v>
      </c>
      <c r="D172" s="805">
        <v>1198</v>
      </c>
      <c r="E172" s="805">
        <v>1205</v>
      </c>
      <c r="F172" s="805">
        <v>1202</v>
      </c>
      <c r="G172" s="63">
        <v>1209</v>
      </c>
      <c r="H172" s="63">
        <v>1192</v>
      </c>
      <c r="I172" s="63">
        <v>1122</v>
      </c>
      <c r="J172" s="63">
        <v>1173</v>
      </c>
      <c r="K172" s="63">
        <v>1160</v>
      </c>
      <c r="L172" s="63">
        <v>1196</v>
      </c>
      <c r="M172" s="63">
        <v>1174</v>
      </c>
      <c r="N172" s="63">
        <v>1200</v>
      </c>
      <c r="O172" s="63">
        <v>1204</v>
      </c>
      <c r="Q172" s="802" t="s">
        <v>3422</v>
      </c>
    </row>
    <row r="173" spans="1:17">
      <c r="A173" s="810">
        <v>14</v>
      </c>
      <c r="B173" s="802" t="s">
        <v>2122</v>
      </c>
      <c r="C173" s="55" t="s">
        <v>7782</v>
      </c>
      <c r="D173" s="805">
        <v>1170</v>
      </c>
      <c r="E173" s="805">
        <v>1183</v>
      </c>
      <c r="F173" s="805">
        <v>1158</v>
      </c>
      <c r="G173" s="63">
        <v>1154</v>
      </c>
      <c r="H173" s="63">
        <v>1123</v>
      </c>
      <c r="I173" s="63">
        <v>1199</v>
      </c>
      <c r="J173" s="63">
        <v>1132</v>
      </c>
      <c r="K173" s="63">
        <v>1192</v>
      </c>
      <c r="L173" s="63">
        <v>1153</v>
      </c>
      <c r="M173" s="63">
        <v>1149</v>
      </c>
      <c r="N173" s="63">
        <v>1165</v>
      </c>
      <c r="O173" s="63">
        <v>1173</v>
      </c>
      <c r="Q173" s="802" t="s">
        <v>3422</v>
      </c>
    </row>
    <row r="174" spans="1:17">
      <c r="A174" s="810">
        <v>15</v>
      </c>
      <c r="B174" s="802" t="s">
        <v>2123</v>
      </c>
      <c r="C174" s="55" t="s">
        <v>7783</v>
      </c>
      <c r="D174" s="805">
        <v>1294</v>
      </c>
      <c r="E174" s="805">
        <v>1273</v>
      </c>
      <c r="F174" s="805">
        <v>1300</v>
      </c>
      <c r="G174" s="63">
        <v>1286</v>
      </c>
      <c r="H174" s="63">
        <v>1259</v>
      </c>
      <c r="I174" s="63">
        <v>1257</v>
      </c>
      <c r="J174" s="63">
        <v>1245</v>
      </c>
      <c r="K174" s="63">
        <v>1265</v>
      </c>
      <c r="L174" s="63">
        <v>1287</v>
      </c>
      <c r="M174" s="63">
        <v>1240</v>
      </c>
      <c r="N174" s="63">
        <v>1262</v>
      </c>
      <c r="O174" s="63">
        <v>1270</v>
      </c>
      <c r="Q174" s="802" t="s">
        <v>3422</v>
      </c>
    </row>
    <row r="175" spans="1:17">
      <c r="A175" s="810">
        <v>16</v>
      </c>
      <c r="B175" s="802" t="s">
        <v>2124</v>
      </c>
      <c r="C175" s="55" t="s">
        <v>7784</v>
      </c>
      <c r="D175" s="805">
        <v>1154</v>
      </c>
      <c r="E175" s="805">
        <v>1147</v>
      </c>
      <c r="F175" s="805">
        <v>1159</v>
      </c>
      <c r="G175" s="63">
        <v>1151</v>
      </c>
      <c r="H175" s="63">
        <v>1149</v>
      </c>
      <c r="I175" s="63">
        <v>1156</v>
      </c>
      <c r="J175" s="63">
        <v>1107</v>
      </c>
      <c r="K175" s="63">
        <v>1196</v>
      </c>
      <c r="L175" s="63">
        <v>1227</v>
      </c>
      <c r="M175" s="63">
        <v>1210</v>
      </c>
      <c r="N175" s="63">
        <v>1268</v>
      </c>
      <c r="O175" s="63">
        <v>1281</v>
      </c>
      <c r="Q175" s="802" t="s">
        <v>3422</v>
      </c>
    </row>
    <row r="176" spans="1:17">
      <c r="A176" s="810">
        <v>17</v>
      </c>
      <c r="B176" s="802" t="s">
        <v>3533</v>
      </c>
      <c r="C176" s="55" t="s">
        <v>7785</v>
      </c>
      <c r="D176" s="805">
        <v>986</v>
      </c>
      <c r="E176" s="805">
        <v>988</v>
      </c>
      <c r="F176" s="805">
        <v>975</v>
      </c>
      <c r="G176" s="63">
        <v>972</v>
      </c>
      <c r="H176" s="63">
        <v>937</v>
      </c>
      <c r="I176" s="63">
        <v>937</v>
      </c>
      <c r="J176" s="63">
        <v>952</v>
      </c>
      <c r="K176" s="63">
        <v>990</v>
      </c>
      <c r="L176" s="63">
        <v>1005</v>
      </c>
      <c r="M176" s="63">
        <v>985</v>
      </c>
      <c r="N176" s="63">
        <v>1006</v>
      </c>
      <c r="O176" s="63">
        <v>1016</v>
      </c>
      <c r="Q176" s="802" t="s">
        <v>3422</v>
      </c>
    </row>
    <row r="177" spans="1:17">
      <c r="A177" s="810">
        <v>18</v>
      </c>
      <c r="B177" s="802" t="s">
        <v>3534</v>
      </c>
      <c r="C177" s="55" t="s">
        <v>7786</v>
      </c>
      <c r="D177" s="805">
        <v>1030</v>
      </c>
      <c r="E177" s="805">
        <v>1043</v>
      </c>
      <c r="F177" s="805">
        <v>1048</v>
      </c>
      <c r="G177" s="63">
        <v>1050</v>
      </c>
      <c r="H177" s="63">
        <v>1025</v>
      </c>
      <c r="I177" s="63">
        <v>1008</v>
      </c>
      <c r="J177" s="63">
        <v>1004</v>
      </c>
      <c r="K177" s="63">
        <v>1014</v>
      </c>
      <c r="L177" s="63">
        <v>1048</v>
      </c>
      <c r="M177" s="63">
        <v>1053</v>
      </c>
      <c r="N177" s="63">
        <v>1033</v>
      </c>
      <c r="O177" s="63">
        <v>1038</v>
      </c>
      <c r="Q177" s="802" t="s">
        <v>3422</v>
      </c>
    </row>
    <row r="178" spans="1:17">
      <c r="A178" s="810">
        <v>19</v>
      </c>
      <c r="B178" s="802" t="s">
        <v>3535</v>
      </c>
      <c r="C178" s="55" t="s">
        <v>7787</v>
      </c>
      <c r="D178" s="805">
        <v>1076</v>
      </c>
      <c r="E178" s="805">
        <v>1103</v>
      </c>
      <c r="F178" s="805">
        <v>1074</v>
      </c>
      <c r="G178" s="63">
        <v>1071</v>
      </c>
      <c r="H178" s="63">
        <v>1042</v>
      </c>
      <c r="I178" s="63">
        <v>1042</v>
      </c>
      <c r="J178" s="63">
        <v>1061</v>
      </c>
      <c r="K178" s="63">
        <v>1121</v>
      </c>
      <c r="L178" s="63">
        <v>1137</v>
      </c>
      <c r="M178" s="63">
        <v>1114</v>
      </c>
      <c r="N178" s="63">
        <v>1154</v>
      </c>
      <c r="O178" s="63">
        <v>1163</v>
      </c>
      <c r="Q178" s="802" t="s">
        <v>3422</v>
      </c>
    </row>
    <row r="179" spans="1:17">
      <c r="A179" s="810">
        <v>20</v>
      </c>
      <c r="B179" s="802" t="s">
        <v>2090</v>
      </c>
      <c r="C179" s="55" t="s">
        <v>7788</v>
      </c>
      <c r="D179" s="805">
        <v>1243</v>
      </c>
      <c r="E179" s="805">
        <v>1251</v>
      </c>
      <c r="F179" s="805">
        <v>1241</v>
      </c>
      <c r="G179" s="63">
        <v>1237</v>
      </c>
      <c r="H179" s="63">
        <v>1207</v>
      </c>
      <c r="I179" s="63">
        <v>1222</v>
      </c>
      <c r="J179" s="63">
        <v>1230</v>
      </c>
      <c r="K179" s="63">
        <v>1219</v>
      </c>
      <c r="L179" s="63">
        <v>1256</v>
      </c>
      <c r="M179" s="63">
        <v>1330</v>
      </c>
      <c r="N179" s="63">
        <v>1520</v>
      </c>
      <c r="O179" s="63">
        <v>1536</v>
      </c>
      <c r="Q179" s="802" t="s">
        <v>3422</v>
      </c>
    </row>
    <row r="180" spans="1:17">
      <c r="A180" s="810">
        <v>21</v>
      </c>
      <c r="B180" s="802" t="s">
        <v>2091</v>
      </c>
      <c r="C180" s="55" t="s">
        <v>7789</v>
      </c>
      <c r="D180" s="805">
        <v>2108</v>
      </c>
      <c r="E180" s="805">
        <v>2090</v>
      </c>
      <c r="F180" s="805">
        <v>2108</v>
      </c>
      <c r="G180" s="63">
        <v>2116</v>
      </c>
      <c r="H180" s="63">
        <v>2095</v>
      </c>
      <c r="I180" s="63">
        <v>2104</v>
      </c>
      <c r="J180" s="63">
        <v>2052</v>
      </c>
      <c r="K180" s="63">
        <v>2126</v>
      </c>
      <c r="L180" s="63">
        <v>2240</v>
      </c>
      <c r="M180" s="63">
        <v>2229</v>
      </c>
      <c r="N180" s="63">
        <v>2307</v>
      </c>
      <c r="O180" s="63">
        <v>2324</v>
      </c>
      <c r="Q180" s="802" t="s">
        <v>3422</v>
      </c>
    </row>
    <row r="181" spans="1:17">
      <c r="A181" s="810">
        <v>22</v>
      </c>
      <c r="B181" s="802" t="s">
        <v>2092</v>
      </c>
      <c r="C181" s="55" t="s">
        <v>7790</v>
      </c>
      <c r="D181" s="805">
        <v>3325</v>
      </c>
      <c r="E181" s="805">
        <v>3313</v>
      </c>
      <c r="F181" s="805">
        <v>3327</v>
      </c>
      <c r="G181" s="63">
        <v>3316</v>
      </c>
      <c r="H181" s="63">
        <v>3297</v>
      </c>
      <c r="I181" s="63">
        <v>3237</v>
      </c>
      <c r="J181" s="63">
        <v>3178</v>
      </c>
      <c r="K181" s="63">
        <v>3207</v>
      </c>
      <c r="L181" s="63">
        <v>3282</v>
      </c>
      <c r="M181" s="63">
        <v>3207</v>
      </c>
      <c r="N181" s="63">
        <v>3325</v>
      </c>
      <c r="O181" s="63">
        <v>3345</v>
      </c>
      <c r="Q181" s="802" t="s">
        <v>3422</v>
      </c>
    </row>
    <row r="182" spans="1:17">
      <c r="A182" s="810">
        <v>23</v>
      </c>
      <c r="B182" s="802" t="s">
        <v>2093</v>
      </c>
      <c r="C182" s="55" t="s">
        <v>7791</v>
      </c>
      <c r="D182" s="805">
        <v>1126</v>
      </c>
      <c r="E182" s="805">
        <v>1113</v>
      </c>
      <c r="F182" s="805">
        <v>1113</v>
      </c>
      <c r="G182" s="63">
        <v>1112</v>
      </c>
      <c r="H182" s="63">
        <v>1091</v>
      </c>
      <c r="I182" s="63">
        <v>1082</v>
      </c>
      <c r="J182" s="63">
        <v>1025</v>
      </c>
      <c r="K182" s="63">
        <v>1039</v>
      </c>
      <c r="L182" s="63">
        <v>1021</v>
      </c>
      <c r="M182" s="63">
        <v>990</v>
      </c>
      <c r="N182" s="63">
        <v>997</v>
      </c>
      <c r="O182" s="63">
        <v>999</v>
      </c>
      <c r="Q182" s="802" t="s">
        <v>3422</v>
      </c>
    </row>
    <row r="183" spans="1:17">
      <c r="A183" s="810">
        <v>24</v>
      </c>
      <c r="B183" s="802" t="s">
        <v>2094</v>
      </c>
      <c r="C183" s="55" t="s">
        <v>7792</v>
      </c>
      <c r="D183" s="805">
        <v>1900</v>
      </c>
      <c r="E183" s="805">
        <v>1913</v>
      </c>
      <c r="F183" s="805">
        <v>1918</v>
      </c>
      <c r="G183" s="63">
        <v>1938</v>
      </c>
      <c r="H183" s="63">
        <v>1941</v>
      </c>
      <c r="I183" s="63">
        <v>1937</v>
      </c>
      <c r="J183" s="63">
        <v>1905</v>
      </c>
      <c r="K183" s="63">
        <v>1953</v>
      </c>
      <c r="L183" s="63">
        <v>1974</v>
      </c>
      <c r="M183" s="63">
        <v>1953</v>
      </c>
      <c r="N183" s="63">
        <v>1928</v>
      </c>
      <c r="O183" s="63">
        <v>1935</v>
      </c>
      <c r="Q183" s="802" t="s">
        <v>3422</v>
      </c>
    </row>
    <row r="184" spans="1:17">
      <c r="A184" s="810">
        <v>25</v>
      </c>
      <c r="B184" s="802" t="s">
        <v>2095</v>
      </c>
      <c r="C184" s="55" t="s">
        <v>7793</v>
      </c>
      <c r="D184" s="805">
        <v>2338</v>
      </c>
      <c r="E184" s="805">
        <v>2333</v>
      </c>
      <c r="F184" s="805">
        <v>2331</v>
      </c>
      <c r="G184" s="63">
        <v>2326</v>
      </c>
      <c r="H184" s="63">
        <v>2276</v>
      </c>
      <c r="I184" s="63">
        <v>2278</v>
      </c>
      <c r="J184" s="63">
        <v>2163</v>
      </c>
      <c r="K184" s="63">
        <v>2136</v>
      </c>
      <c r="L184" s="63">
        <v>2174</v>
      </c>
      <c r="M184" s="63">
        <v>2161</v>
      </c>
      <c r="N184" s="63">
        <v>2165</v>
      </c>
      <c r="O184" s="63">
        <v>2183</v>
      </c>
      <c r="Q184" s="802" t="s">
        <v>3422</v>
      </c>
    </row>
    <row r="185" spans="1:17">
      <c r="A185" s="810">
        <v>26</v>
      </c>
      <c r="B185" s="802" t="s">
        <v>2096</v>
      </c>
      <c r="C185" s="55" t="s">
        <v>7794</v>
      </c>
      <c r="D185" s="805">
        <v>766</v>
      </c>
      <c r="E185" s="805">
        <v>763</v>
      </c>
      <c r="F185" s="805">
        <v>779</v>
      </c>
      <c r="G185" s="63">
        <v>783</v>
      </c>
      <c r="H185" s="63">
        <v>784</v>
      </c>
      <c r="I185" s="63">
        <v>763</v>
      </c>
      <c r="J185" s="63">
        <v>753</v>
      </c>
      <c r="K185" s="63">
        <v>775</v>
      </c>
      <c r="L185" s="63">
        <v>800</v>
      </c>
      <c r="M185" s="63">
        <v>789</v>
      </c>
      <c r="N185" s="63">
        <v>801</v>
      </c>
      <c r="O185" s="63">
        <v>803</v>
      </c>
      <c r="Q185" s="802" t="s">
        <v>3422</v>
      </c>
    </row>
    <row r="186" spans="1:17">
      <c r="A186" s="810">
        <v>27</v>
      </c>
      <c r="B186" s="802" t="s">
        <v>2097</v>
      </c>
      <c r="C186" s="55" t="s">
        <v>7795</v>
      </c>
      <c r="D186" s="805">
        <v>1091</v>
      </c>
      <c r="E186" s="805">
        <v>1101</v>
      </c>
      <c r="F186" s="805">
        <v>1087</v>
      </c>
      <c r="G186" s="63">
        <v>1106</v>
      </c>
      <c r="H186" s="63">
        <v>1100</v>
      </c>
      <c r="I186" s="63">
        <v>1102</v>
      </c>
      <c r="J186" s="63">
        <v>1077</v>
      </c>
      <c r="K186" s="63">
        <v>1085</v>
      </c>
      <c r="L186" s="63">
        <v>1096</v>
      </c>
      <c r="M186" s="63">
        <v>1094</v>
      </c>
      <c r="N186" s="63">
        <v>1075</v>
      </c>
      <c r="O186" s="63">
        <v>1083</v>
      </c>
      <c r="Q186" s="802" t="s">
        <v>3422</v>
      </c>
    </row>
    <row r="187" spans="1:17">
      <c r="A187" s="810">
        <v>28</v>
      </c>
      <c r="B187" s="802" t="s">
        <v>2098</v>
      </c>
      <c r="C187" s="55" t="s">
        <v>7796</v>
      </c>
      <c r="D187" s="805">
        <v>1235</v>
      </c>
      <c r="E187" s="805">
        <v>1229</v>
      </c>
      <c r="F187" s="805">
        <v>1218</v>
      </c>
      <c r="G187" s="63">
        <v>1208</v>
      </c>
      <c r="H187" s="63">
        <v>1186</v>
      </c>
      <c r="I187" s="63">
        <v>1187</v>
      </c>
      <c r="J187" s="63">
        <v>1203</v>
      </c>
      <c r="K187" s="63">
        <v>1215</v>
      </c>
      <c r="L187" s="63">
        <v>1207</v>
      </c>
      <c r="M187" s="63">
        <v>1172</v>
      </c>
      <c r="N187" s="63">
        <v>1204</v>
      </c>
      <c r="O187" s="63">
        <v>1216</v>
      </c>
      <c r="Q187" s="802" t="s">
        <v>3422</v>
      </c>
    </row>
    <row r="188" spans="1:17">
      <c r="A188" s="810">
        <v>29</v>
      </c>
      <c r="B188" s="802" t="s">
        <v>2099</v>
      </c>
      <c r="C188" s="55" t="s">
        <v>7797</v>
      </c>
      <c r="D188" s="805">
        <v>1027</v>
      </c>
      <c r="E188" s="805">
        <v>1033</v>
      </c>
      <c r="F188" s="805">
        <v>1035</v>
      </c>
      <c r="G188" s="63">
        <v>1035</v>
      </c>
      <c r="H188" s="63">
        <v>1027</v>
      </c>
      <c r="I188" s="63">
        <v>1037</v>
      </c>
      <c r="J188" s="63">
        <v>1009</v>
      </c>
      <c r="K188" s="63">
        <v>1017</v>
      </c>
      <c r="L188" s="63">
        <v>1018</v>
      </c>
      <c r="M188" s="63">
        <v>1031</v>
      </c>
      <c r="N188" s="63">
        <v>1059</v>
      </c>
      <c r="O188" s="63">
        <v>1064</v>
      </c>
      <c r="Q188" s="802" t="s">
        <v>3422</v>
      </c>
    </row>
    <row r="189" spans="1:17">
      <c r="A189" s="810">
        <v>30</v>
      </c>
      <c r="B189" s="802" t="s">
        <v>2100</v>
      </c>
      <c r="C189" s="55" t="s">
        <v>7798</v>
      </c>
      <c r="D189" s="805">
        <v>1076</v>
      </c>
      <c r="E189" s="805">
        <v>1090</v>
      </c>
      <c r="F189" s="805">
        <v>1085</v>
      </c>
      <c r="G189" s="63">
        <v>1092</v>
      </c>
      <c r="H189" s="63">
        <v>1072</v>
      </c>
      <c r="I189" s="63">
        <v>1077</v>
      </c>
      <c r="J189" s="63">
        <v>1081</v>
      </c>
      <c r="K189" s="63">
        <v>1122</v>
      </c>
      <c r="L189" s="63">
        <v>1122</v>
      </c>
      <c r="M189" s="63">
        <v>1068</v>
      </c>
      <c r="N189" s="63">
        <v>1089</v>
      </c>
      <c r="O189" s="63">
        <v>1090</v>
      </c>
      <c r="Q189" s="802" t="s">
        <v>3422</v>
      </c>
    </row>
    <row r="190" spans="1:17">
      <c r="D190" s="805"/>
      <c r="E190" s="805"/>
      <c r="F190" s="805"/>
      <c r="G190" s="805"/>
      <c r="H190" s="805"/>
      <c r="I190" s="805"/>
      <c r="J190" s="805"/>
      <c r="K190" s="805"/>
      <c r="L190" s="805"/>
      <c r="M190" s="805"/>
      <c r="N190" s="805"/>
      <c r="O190" s="805"/>
    </row>
    <row r="191" spans="1:17">
      <c r="A191" s="802" t="s">
        <v>4953</v>
      </c>
      <c r="D191" s="804">
        <f t="shared" ref="D191:I191" si="66">SUM(D160:D189)</f>
        <v>41639</v>
      </c>
      <c r="E191" s="804">
        <f t="shared" si="66"/>
        <v>41638</v>
      </c>
      <c r="F191" s="804">
        <f t="shared" si="66"/>
        <v>41610</v>
      </c>
      <c r="G191" s="804">
        <f t="shared" si="66"/>
        <v>41576</v>
      </c>
      <c r="H191" s="804">
        <f t="shared" si="66"/>
        <v>41109</v>
      </c>
      <c r="I191" s="804">
        <f t="shared" si="66"/>
        <v>41083</v>
      </c>
      <c r="J191" s="804">
        <f t="shared" ref="J191:O191" si="67">SUM(J160:J189)</f>
        <v>40434</v>
      </c>
      <c r="K191" s="804">
        <f t="shared" si="67"/>
        <v>41203</v>
      </c>
      <c r="L191" s="804">
        <f t="shared" si="67"/>
        <v>42005</v>
      </c>
      <c r="M191" s="804">
        <f t="shared" si="67"/>
        <v>41525</v>
      </c>
      <c r="N191" s="804">
        <f t="shared" si="67"/>
        <v>42482</v>
      </c>
      <c r="O191" s="804">
        <f t="shared" si="67"/>
        <v>42739</v>
      </c>
    </row>
    <row r="192" spans="1:17">
      <c r="D192" s="812"/>
      <c r="E192" s="812"/>
      <c r="F192" s="812"/>
      <c r="G192" s="812"/>
      <c r="H192" s="812"/>
      <c r="I192" s="812"/>
      <c r="J192" s="812"/>
      <c r="K192" s="812"/>
      <c r="L192" s="812"/>
      <c r="M192" s="812"/>
      <c r="N192" s="812"/>
      <c r="O192" s="812"/>
    </row>
    <row r="193" spans="1:17">
      <c r="A193" s="164" t="s">
        <v>2101</v>
      </c>
      <c r="D193" s="812"/>
      <c r="E193" s="812"/>
      <c r="F193" s="812"/>
      <c r="G193" s="812"/>
      <c r="H193" s="812"/>
      <c r="I193" s="812"/>
      <c r="J193" s="812"/>
      <c r="K193" s="812"/>
      <c r="L193" s="812"/>
      <c r="M193" s="812"/>
      <c r="N193" s="812"/>
      <c r="O193" s="812"/>
    </row>
    <row r="194" spans="1:17">
      <c r="A194" s="802"/>
      <c r="B194" s="802"/>
      <c r="D194" s="812"/>
      <c r="E194" s="812"/>
      <c r="F194" s="812"/>
      <c r="G194" s="812"/>
      <c r="H194" s="812"/>
      <c r="I194" s="812"/>
      <c r="J194" s="812"/>
      <c r="K194" s="812"/>
      <c r="L194" s="812"/>
      <c r="M194" s="812"/>
      <c r="N194" s="812"/>
      <c r="O194" s="812"/>
    </row>
    <row r="195" spans="1:17">
      <c r="A195" s="802"/>
      <c r="B195" s="802"/>
      <c r="D195" s="813"/>
      <c r="E195" s="813"/>
      <c r="F195" s="813"/>
      <c r="G195" s="813"/>
      <c r="H195" s="813"/>
      <c r="I195" s="813"/>
      <c r="J195" s="813"/>
      <c r="K195" s="813"/>
      <c r="L195" s="813"/>
      <c r="M195" s="813"/>
      <c r="N195" s="813"/>
      <c r="O195" s="813"/>
    </row>
    <row r="196" spans="1:17">
      <c r="E196" s="51" t="s">
        <v>1526</v>
      </c>
      <c r="F196" s="51"/>
      <c r="G196" s="51"/>
      <c r="H196" s="51"/>
      <c r="I196" s="51"/>
      <c r="J196" s="51"/>
      <c r="K196" s="51"/>
      <c r="L196" s="51"/>
      <c r="M196" s="51"/>
      <c r="N196" s="51"/>
      <c r="O196" s="51"/>
      <c r="P196" s="276"/>
      <c r="Q196" s="11" t="s">
        <v>9479</v>
      </c>
    </row>
    <row r="197" spans="1:17">
      <c r="D197" s="350">
        <v>2010</v>
      </c>
      <c r="E197" s="350">
        <v>2011</v>
      </c>
      <c r="F197" s="350">
        <v>2012</v>
      </c>
      <c r="G197" s="350">
        <v>2013</v>
      </c>
      <c r="H197" s="350">
        <v>2014</v>
      </c>
      <c r="I197" s="350">
        <v>2015</v>
      </c>
      <c r="J197" s="350">
        <v>2016</v>
      </c>
      <c r="K197" s="350">
        <v>2017</v>
      </c>
      <c r="L197" s="350">
        <v>2018</v>
      </c>
      <c r="M197" s="350">
        <v>2019</v>
      </c>
      <c r="N197" s="350">
        <v>2020</v>
      </c>
      <c r="O197" s="983" t="s">
        <v>14823</v>
      </c>
      <c r="P197" s="410"/>
      <c r="Q197" s="13" t="s">
        <v>1527</v>
      </c>
    </row>
    <row r="198" spans="1:17">
      <c r="A198" s="802" t="s">
        <v>2102</v>
      </c>
      <c r="D198" s="804">
        <f t="shared" ref="D198:K198" si="68">SUM(D199:D203)+SUM(D205:D218)</f>
        <v>83025</v>
      </c>
      <c r="E198" s="804">
        <f t="shared" si="68"/>
        <v>82532</v>
      </c>
      <c r="F198" s="804">
        <f t="shared" si="68"/>
        <v>82423</v>
      </c>
      <c r="G198" s="804">
        <f t="shared" si="68"/>
        <v>82783</v>
      </c>
      <c r="H198" s="804">
        <f t="shared" si="68"/>
        <v>79729</v>
      </c>
      <c r="I198" s="804">
        <f t="shared" si="68"/>
        <v>80278</v>
      </c>
      <c r="J198" s="804">
        <f t="shared" si="68"/>
        <v>79163</v>
      </c>
      <c r="K198" s="804">
        <f t="shared" si="68"/>
        <v>80932</v>
      </c>
      <c r="L198" s="804">
        <f>SUM(L199:L203)+SUM(L205:L218)</f>
        <v>82011</v>
      </c>
      <c r="M198" s="804">
        <f>SUM(M199:M203)+SUM(M205:M218)</f>
        <v>81620</v>
      </c>
      <c r="N198" s="804">
        <f>SUM(N199:N203)+SUM(N205:N218)</f>
        <v>82752</v>
      </c>
      <c r="O198" s="804">
        <f>SUM(O199:O203)+SUM(O205:O218)</f>
        <v>82892</v>
      </c>
    </row>
    <row r="199" spans="1:17">
      <c r="A199" s="810">
        <v>1</v>
      </c>
      <c r="B199" s="164" t="s">
        <v>4966</v>
      </c>
      <c r="C199" s="164" t="s">
        <v>14387</v>
      </c>
      <c r="D199" s="804">
        <v>67027</v>
      </c>
      <c r="E199" s="804">
        <v>66609</v>
      </c>
      <c r="F199" s="804">
        <v>66582</v>
      </c>
      <c r="G199" s="804">
        <v>66792</v>
      </c>
      <c r="H199" s="804">
        <v>64587</v>
      </c>
      <c r="I199" s="804">
        <v>64871</v>
      </c>
      <c r="J199" s="804">
        <v>63885</v>
      </c>
      <c r="K199" s="804">
        <v>65240</v>
      </c>
      <c r="L199" s="804">
        <v>3267</v>
      </c>
      <c r="M199" s="804">
        <v>3195</v>
      </c>
      <c r="N199" s="804">
        <v>3209</v>
      </c>
      <c r="O199" s="804">
        <v>3323</v>
      </c>
      <c r="Q199" s="802" t="s">
        <v>3423</v>
      </c>
    </row>
    <row r="200" spans="1:17">
      <c r="A200" s="810">
        <v>2</v>
      </c>
      <c r="B200" s="164" t="s">
        <v>12187</v>
      </c>
      <c r="C200" s="164" t="s">
        <v>14388</v>
      </c>
      <c r="D200" s="804">
        <v>0</v>
      </c>
      <c r="E200" s="804">
        <v>0</v>
      </c>
      <c r="F200" s="804">
        <v>0</v>
      </c>
      <c r="G200" s="804">
        <v>0</v>
      </c>
      <c r="H200" s="804">
        <v>0</v>
      </c>
      <c r="I200" s="804">
        <v>0</v>
      </c>
      <c r="J200" s="804">
        <v>0</v>
      </c>
      <c r="K200" s="804">
        <v>0</v>
      </c>
      <c r="L200" s="804">
        <v>5179</v>
      </c>
      <c r="M200" s="804">
        <v>5054</v>
      </c>
      <c r="N200" s="804">
        <v>5110</v>
      </c>
      <c r="O200" s="804">
        <v>5104</v>
      </c>
      <c r="Q200" s="802" t="s">
        <v>3423</v>
      </c>
    </row>
    <row r="201" spans="1:17">
      <c r="A201" s="810">
        <v>3</v>
      </c>
      <c r="B201" s="164" t="s">
        <v>12188</v>
      </c>
      <c r="C201" s="164" t="s">
        <v>14389</v>
      </c>
      <c r="D201" s="804">
        <v>0</v>
      </c>
      <c r="E201" s="804">
        <v>0</v>
      </c>
      <c r="F201" s="804">
        <v>0</v>
      </c>
      <c r="G201" s="804">
        <v>0</v>
      </c>
      <c r="H201" s="804">
        <v>0</v>
      </c>
      <c r="I201" s="804">
        <v>0</v>
      </c>
      <c r="J201" s="804">
        <v>0</v>
      </c>
      <c r="K201" s="804">
        <v>0</v>
      </c>
      <c r="L201" s="804">
        <v>4576</v>
      </c>
      <c r="M201" s="804">
        <v>4623</v>
      </c>
      <c r="N201" s="804">
        <v>4762</v>
      </c>
      <c r="O201" s="804">
        <v>4743</v>
      </c>
      <c r="Q201" s="802" t="s">
        <v>3423</v>
      </c>
    </row>
    <row r="202" spans="1:17">
      <c r="A202" s="810">
        <v>4</v>
      </c>
      <c r="B202" s="164" t="s">
        <v>12189</v>
      </c>
      <c r="C202" s="164" t="s">
        <v>14390</v>
      </c>
      <c r="D202" s="804">
        <v>0</v>
      </c>
      <c r="E202" s="804">
        <v>0</v>
      </c>
      <c r="F202" s="804">
        <v>0</v>
      </c>
      <c r="G202" s="804">
        <v>0</v>
      </c>
      <c r="H202" s="804">
        <v>0</v>
      </c>
      <c r="I202" s="804">
        <v>0</v>
      </c>
      <c r="J202" s="804">
        <v>0</v>
      </c>
      <c r="K202" s="804">
        <v>0</v>
      </c>
      <c r="L202" s="804">
        <v>2054</v>
      </c>
      <c r="M202" s="804">
        <v>2032</v>
      </c>
      <c r="N202" s="804">
        <v>2060</v>
      </c>
      <c r="O202" s="804">
        <v>2032</v>
      </c>
      <c r="Q202" s="802" t="s">
        <v>3416</v>
      </c>
    </row>
    <row r="203" spans="1:17" ht="15.75" thickBot="1">
      <c r="C203" s="164" t="s">
        <v>14390</v>
      </c>
      <c r="D203" s="804">
        <v>0</v>
      </c>
      <c r="E203" s="804">
        <v>0</v>
      </c>
      <c r="F203" s="804">
        <v>0</v>
      </c>
      <c r="G203" s="804">
        <v>0</v>
      </c>
      <c r="H203" s="804">
        <v>0</v>
      </c>
      <c r="I203" s="804">
        <v>0</v>
      </c>
      <c r="J203" s="804">
        <v>0</v>
      </c>
      <c r="K203" s="804">
        <v>0</v>
      </c>
      <c r="L203" s="804">
        <v>3004</v>
      </c>
      <c r="M203" s="804">
        <v>2979</v>
      </c>
      <c r="N203" s="804">
        <v>3034</v>
      </c>
      <c r="O203" s="804">
        <v>3020</v>
      </c>
      <c r="Q203" s="802" t="s">
        <v>3423</v>
      </c>
    </row>
    <row r="204" spans="1:17" ht="15.75" thickBot="1">
      <c r="C204" s="164" t="s">
        <v>14390</v>
      </c>
      <c r="D204" s="811">
        <f t="shared" ref="D204:L204" si="69">D202+D203</f>
        <v>0</v>
      </c>
      <c r="E204" s="811">
        <f t="shared" si="69"/>
        <v>0</v>
      </c>
      <c r="F204" s="811">
        <f t="shared" si="69"/>
        <v>0</v>
      </c>
      <c r="G204" s="811">
        <f t="shared" si="69"/>
        <v>0</v>
      </c>
      <c r="H204" s="811">
        <f t="shared" si="69"/>
        <v>0</v>
      </c>
      <c r="I204" s="811">
        <f t="shared" si="69"/>
        <v>0</v>
      </c>
      <c r="J204" s="811">
        <f t="shared" si="69"/>
        <v>0</v>
      </c>
      <c r="K204" s="811">
        <f t="shared" si="69"/>
        <v>0</v>
      </c>
      <c r="L204" s="811">
        <f t="shared" si="69"/>
        <v>5058</v>
      </c>
      <c r="M204" s="811">
        <f>M202+M203</f>
        <v>5011</v>
      </c>
      <c r="N204" s="811">
        <f>N202+N203</f>
        <v>5094</v>
      </c>
      <c r="O204" s="811">
        <f>O202+O203</f>
        <v>5052</v>
      </c>
      <c r="Q204" s="802"/>
    </row>
    <row r="205" spans="1:17">
      <c r="A205" s="810">
        <v>5</v>
      </c>
      <c r="B205" s="164" t="s">
        <v>12190</v>
      </c>
      <c r="C205" s="164" t="s">
        <v>14391</v>
      </c>
      <c r="D205" s="804">
        <v>0</v>
      </c>
      <c r="E205" s="804">
        <v>0</v>
      </c>
      <c r="F205" s="804">
        <v>0</v>
      </c>
      <c r="G205" s="804">
        <v>0</v>
      </c>
      <c r="H205" s="804">
        <v>0</v>
      </c>
      <c r="I205" s="804">
        <v>0</v>
      </c>
      <c r="J205" s="804">
        <v>0</v>
      </c>
      <c r="K205" s="804">
        <v>0</v>
      </c>
      <c r="L205" s="804">
        <v>4794</v>
      </c>
      <c r="M205" s="804">
        <v>4769</v>
      </c>
      <c r="N205" s="804">
        <v>4821</v>
      </c>
      <c r="O205" s="804">
        <v>4790</v>
      </c>
      <c r="Q205" s="802" t="s">
        <v>3423</v>
      </c>
    </row>
    <row r="206" spans="1:17">
      <c r="A206" s="810">
        <v>6</v>
      </c>
      <c r="B206" s="164" t="s">
        <v>12185</v>
      </c>
      <c r="C206" s="164" t="s">
        <v>14392</v>
      </c>
      <c r="D206" s="804">
        <v>0</v>
      </c>
      <c r="E206" s="804">
        <v>0</v>
      </c>
      <c r="F206" s="804">
        <v>0</v>
      </c>
      <c r="G206" s="804">
        <v>0</v>
      </c>
      <c r="H206" s="804">
        <v>0</v>
      </c>
      <c r="I206" s="804">
        <v>0</v>
      </c>
      <c r="J206" s="804">
        <v>0</v>
      </c>
      <c r="K206" s="804">
        <v>0</v>
      </c>
      <c r="L206" s="804">
        <v>3190</v>
      </c>
      <c r="M206" s="804">
        <v>3198</v>
      </c>
      <c r="N206" s="804">
        <v>3255</v>
      </c>
      <c r="O206" s="804">
        <v>3271</v>
      </c>
      <c r="Q206" s="802" t="s">
        <v>3423</v>
      </c>
    </row>
    <row r="207" spans="1:17">
      <c r="A207" s="810">
        <v>7</v>
      </c>
      <c r="B207" s="164" t="s">
        <v>12191</v>
      </c>
      <c r="C207" s="164" t="s">
        <v>14393</v>
      </c>
      <c r="D207" s="804">
        <v>15998</v>
      </c>
      <c r="E207" s="804">
        <v>15923</v>
      </c>
      <c r="F207" s="804">
        <v>15841</v>
      </c>
      <c r="G207" s="804">
        <v>15991</v>
      </c>
      <c r="H207" s="804">
        <v>15142</v>
      </c>
      <c r="I207" s="804">
        <v>15407</v>
      </c>
      <c r="J207" s="804">
        <v>15278</v>
      </c>
      <c r="K207" s="804">
        <v>15692</v>
      </c>
      <c r="L207" s="804">
        <v>4687</v>
      </c>
      <c r="M207" s="804">
        <v>4637</v>
      </c>
      <c r="N207" s="804">
        <v>4672</v>
      </c>
      <c r="O207" s="804">
        <v>4658</v>
      </c>
      <c r="Q207" s="802" t="s">
        <v>3416</v>
      </c>
    </row>
    <row r="208" spans="1:17">
      <c r="A208" s="810">
        <v>8</v>
      </c>
      <c r="B208" s="164" t="s">
        <v>6688</v>
      </c>
      <c r="C208" s="164" t="s">
        <v>14394</v>
      </c>
      <c r="D208" s="804">
        <v>0</v>
      </c>
      <c r="E208" s="804">
        <v>0</v>
      </c>
      <c r="F208" s="804">
        <v>0</v>
      </c>
      <c r="G208" s="804">
        <v>0</v>
      </c>
      <c r="H208" s="804">
        <v>0</v>
      </c>
      <c r="I208" s="804">
        <v>0</v>
      </c>
      <c r="J208" s="804">
        <v>0</v>
      </c>
      <c r="K208" s="804">
        <v>0</v>
      </c>
      <c r="L208" s="804">
        <v>4556</v>
      </c>
      <c r="M208" s="804">
        <v>4603</v>
      </c>
      <c r="N208" s="804">
        <v>4725</v>
      </c>
      <c r="O208" s="804">
        <v>4739</v>
      </c>
      <c r="Q208" s="802" t="s">
        <v>3423</v>
      </c>
    </row>
    <row r="209" spans="1:17">
      <c r="A209" s="810">
        <v>9</v>
      </c>
      <c r="B209" s="164" t="s">
        <v>12192</v>
      </c>
      <c r="C209" s="164" t="s">
        <v>14395</v>
      </c>
      <c r="D209" s="804">
        <v>0</v>
      </c>
      <c r="E209" s="804">
        <v>0</v>
      </c>
      <c r="F209" s="804">
        <v>0</v>
      </c>
      <c r="G209" s="804">
        <v>0</v>
      </c>
      <c r="H209" s="804">
        <v>0</v>
      </c>
      <c r="I209" s="804">
        <v>0</v>
      </c>
      <c r="J209" s="804">
        <v>0</v>
      </c>
      <c r="K209" s="804">
        <v>0</v>
      </c>
      <c r="L209" s="804">
        <v>5001</v>
      </c>
      <c r="M209" s="804">
        <v>5054</v>
      </c>
      <c r="N209" s="804">
        <v>5102</v>
      </c>
      <c r="O209" s="804">
        <v>5157</v>
      </c>
      <c r="Q209" s="802" t="s">
        <v>3423</v>
      </c>
    </row>
    <row r="210" spans="1:17">
      <c r="A210" s="810">
        <v>10</v>
      </c>
      <c r="B210" s="164" t="s">
        <v>12193</v>
      </c>
      <c r="C210" s="164" t="s">
        <v>14396</v>
      </c>
      <c r="D210" s="804">
        <v>0</v>
      </c>
      <c r="E210" s="804">
        <v>0</v>
      </c>
      <c r="F210" s="804">
        <v>0</v>
      </c>
      <c r="G210" s="804">
        <v>0</v>
      </c>
      <c r="H210" s="804">
        <v>0</v>
      </c>
      <c r="I210" s="804">
        <v>0</v>
      </c>
      <c r="J210" s="804">
        <v>0</v>
      </c>
      <c r="K210" s="804">
        <v>0</v>
      </c>
      <c r="L210" s="804">
        <v>3233</v>
      </c>
      <c r="M210" s="804">
        <v>3230</v>
      </c>
      <c r="N210" s="804">
        <v>3252</v>
      </c>
      <c r="O210" s="804">
        <v>3280</v>
      </c>
      <c r="Q210" s="802" t="s">
        <v>3423</v>
      </c>
    </row>
    <row r="211" spans="1:17">
      <c r="A211" s="810">
        <v>11</v>
      </c>
      <c r="B211" s="164" t="s">
        <v>12651</v>
      </c>
      <c r="C211" s="164" t="s">
        <v>14397</v>
      </c>
      <c r="D211" s="804">
        <v>0</v>
      </c>
      <c r="E211" s="804">
        <v>0</v>
      </c>
      <c r="F211" s="804">
        <v>0</v>
      </c>
      <c r="G211" s="804">
        <v>0</v>
      </c>
      <c r="H211" s="804">
        <v>0</v>
      </c>
      <c r="I211" s="804">
        <v>0</v>
      </c>
      <c r="J211" s="804">
        <v>0</v>
      </c>
      <c r="K211" s="804">
        <v>0</v>
      </c>
      <c r="L211" s="804">
        <v>4919</v>
      </c>
      <c r="M211" s="804">
        <v>4855</v>
      </c>
      <c r="N211" s="804">
        <v>4979</v>
      </c>
      <c r="O211" s="804">
        <v>4969</v>
      </c>
      <c r="Q211" s="802" t="s">
        <v>3423</v>
      </c>
    </row>
    <row r="212" spans="1:17">
      <c r="A212" s="810">
        <v>12</v>
      </c>
      <c r="B212" s="164" t="s">
        <v>12194</v>
      </c>
      <c r="C212" s="164" t="s">
        <v>14398</v>
      </c>
      <c r="D212" s="804">
        <v>0</v>
      </c>
      <c r="E212" s="804">
        <v>0</v>
      </c>
      <c r="F212" s="804">
        <v>0</v>
      </c>
      <c r="G212" s="804">
        <v>0</v>
      </c>
      <c r="H212" s="804">
        <v>0</v>
      </c>
      <c r="I212" s="804">
        <v>0</v>
      </c>
      <c r="J212" s="804">
        <v>0</v>
      </c>
      <c r="K212" s="804">
        <v>0</v>
      </c>
      <c r="L212" s="804">
        <v>4890</v>
      </c>
      <c r="M212" s="804">
        <v>4916</v>
      </c>
      <c r="N212" s="804">
        <v>4988</v>
      </c>
      <c r="O212" s="804">
        <v>5032</v>
      </c>
      <c r="Q212" s="802" t="s">
        <v>3423</v>
      </c>
    </row>
    <row r="213" spans="1:17">
      <c r="A213" s="810">
        <v>13</v>
      </c>
      <c r="B213" s="164" t="s">
        <v>12195</v>
      </c>
      <c r="C213" s="164" t="s">
        <v>14399</v>
      </c>
      <c r="D213" s="804">
        <v>0</v>
      </c>
      <c r="E213" s="804">
        <v>0</v>
      </c>
      <c r="F213" s="804">
        <v>0</v>
      </c>
      <c r="G213" s="804">
        <v>0</v>
      </c>
      <c r="H213" s="804">
        <v>0</v>
      </c>
      <c r="I213" s="804">
        <v>0</v>
      </c>
      <c r="J213" s="804">
        <v>0</v>
      </c>
      <c r="K213" s="804">
        <v>0</v>
      </c>
      <c r="L213" s="804">
        <v>4850</v>
      </c>
      <c r="M213" s="804">
        <v>4851</v>
      </c>
      <c r="N213" s="804">
        <v>4966</v>
      </c>
      <c r="O213" s="804">
        <v>4961</v>
      </c>
      <c r="Q213" s="802" t="s">
        <v>3423</v>
      </c>
    </row>
    <row r="214" spans="1:17">
      <c r="A214" s="810">
        <v>14</v>
      </c>
      <c r="B214" s="164" t="s">
        <v>12196</v>
      </c>
      <c r="C214" s="164" t="s">
        <v>14400</v>
      </c>
      <c r="D214" s="804">
        <v>0</v>
      </c>
      <c r="E214" s="804">
        <v>0</v>
      </c>
      <c r="F214" s="804">
        <v>0</v>
      </c>
      <c r="G214" s="804">
        <v>0</v>
      </c>
      <c r="H214" s="804">
        <v>0</v>
      </c>
      <c r="I214" s="804">
        <v>0</v>
      </c>
      <c r="J214" s="804">
        <v>0</v>
      </c>
      <c r="K214" s="804">
        <v>0</v>
      </c>
      <c r="L214" s="804">
        <v>5132</v>
      </c>
      <c r="M214" s="804">
        <v>5110</v>
      </c>
      <c r="N214" s="804">
        <v>5143</v>
      </c>
      <c r="O214" s="804">
        <v>5145</v>
      </c>
      <c r="Q214" s="802" t="s">
        <v>3423</v>
      </c>
    </row>
    <row r="215" spans="1:17">
      <c r="A215" s="810">
        <v>15</v>
      </c>
      <c r="B215" s="164" t="s">
        <v>5036</v>
      </c>
      <c r="C215" s="164" t="s">
        <v>14401</v>
      </c>
      <c r="D215" s="804">
        <v>0</v>
      </c>
      <c r="E215" s="804">
        <v>0</v>
      </c>
      <c r="F215" s="804">
        <v>0</v>
      </c>
      <c r="G215" s="804">
        <v>0</v>
      </c>
      <c r="H215" s="804">
        <v>0</v>
      </c>
      <c r="I215" s="804">
        <v>0</v>
      </c>
      <c r="J215" s="804">
        <v>0</v>
      </c>
      <c r="K215" s="804">
        <v>0</v>
      </c>
      <c r="L215" s="804">
        <v>4854</v>
      </c>
      <c r="M215" s="804">
        <v>4845</v>
      </c>
      <c r="N215" s="804">
        <v>4886</v>
      </c>
      <c r="O215" s="804">
        <v>4925</v>
      </c>
      <c r="Q215" s="802" t="s">
        <v>3423</v>
      </c>
    </row>
    <row r="216" spans="1:17">
      <c r="A216" s="810">
        <v>16</v>
      </c>
      <c r="B216" s="164" t="s">
        <v>6521</v>
      </c>
      <c r="C216" s="164" t="s">
        <v>14402</v>
      </c>
      <c r="D216" s="804">
        <v>0</v>
      </c>
      <c r="E216" s="804">
        <v>0</v>
      </c>
      <c r="F216" s="804">
        <v>0</v>
      </c>
      <c r="G216" s="804">
        <v>0</v>
      </c>
      <c r="H216" s="804">
        <v>0</v>
      </c>
      <c r="I216" s="804">
        <v>0</v>
      </c>
      <c r="J216" s="804">
        <v>0</v>
      </c>
      <c r="K216" s="804">
        <v>0</v>
      </c>
      <c r="L216" s="804">
        <v>4630</v>
      </c>
      <c r="M216" s="804">
        <v>4569</v>
      </c>
      <c r="N216" s="804">
        <v>4622</v>
      </c>
      <c r="O216" s="804">
        <v>4573</v>
      </c>
      <c r="Q216" s="802" t="s">
        <v>3416</v>
      </c>
    </row>
    <row r="217" spans="1:17">
      <c r="A217" s="810">
        <v>17</v>
      </c>
      <c r="B217" s="164" t="s">
        <v>3513</v>
      </c>
      <c r="C217" s="164" t="s">
        <v>14403</v>
      </c>
      <c r="D217" s="804">
        <v>0</v>
      </c>
      <c r="E217" s="804">
        <v>0</v>
      </c>
      <c r="F217" s="804">
        <v>0</v>
      </c>
      <c r="G217" s="804">
        <v>0</v>
      </c>
      <c r="H217" s="804">
        <v>0</v>
      </c>
      <c r="I217" s="804">
        <v>0</v>
      </c>
      <c r="J217" s="804">
        <v>0</v>
      </c>
      <c r="K217" s="804">
        <v>0</v>
      </c>
      <c r="L217" s="804">
        <v>4629</v>
      </c>
      <c r="M217" s="804">
        <v>4596</v>
      </c>
      <c r="N217" s="804">
        <v>4644</v>
      </c>
      <c r="O217" s="804">
        <v>4643</v>
      </c>
      <c r="Q217" s="802" t="s">
        <v>3416</v>
      </c>
    </row>
    <row r="218" spans="1:17">
      <c r="A218" s="810">
        <v>18</v>
      </c>
      <c r="B218" s="164" t="s">
        <v>12186</v>
      </c>
      <c r="C218" s="164" t="s">
        <v>14404</v>
      </c>
      <c r="D218" s="804">
        <v>0</v>
      </c>
      <c r="E218" s="804">
        <v>0</v>
      </c>
      <c r="F218" s="804">
        <v>0</v>
      </c>
      <c r="G218" s="804">
        <v>0</v>
      </c>
      <c r="H218" s="804">
        <v>0</v>
      </c>
      <c r="I218" s="804">
        <v>0</v>
      </c>
      <c r="J218" s="804">
        <v>0</v>
      </c>
      <c r="K218" s="804">
        <v>0</v>
      </c>
      <c r="L218" s="804">
        <v>4566</v>
      </c>
      <c r="M218" s="804">
        <v>4504</v>
      </c>
      <c r="N218" s="804">
        <v>4522</v>
      </c>
      <c r="O218" s="804">
        <v>4527</v>
      </c>
      <c r="Q218" s="802" t="s">
        <v>3423</v>
      </c>
    </row>
    <row r="219" spans="1:17">
      <c r="A219" s="810"/>
      <c r="D219" s="804"/>
      <c r="E219" s="804"/>
      <c r="F219" s="804"/>
      <c r="G219" s="804"/>
      <c r="H219" s="804"/>
      <c r="I219" s="804"/>
      <c r="J219" s="804"/>
      <c r="K219" s="804"/>
      <c r="L219" s="804"/>
      <c r="M219" s="804"/>
      <c r="N219" s="804"/>
      <c r="O219" s="804"/>
      <c r="Q219" s="802"/>
    </row>
    <row r="220" spans="1:17">
      <c r="A220" s="802" t="s">
        <v>22</v>
      </c>
      <c r="D220" s="804">
        <f t="shared" ref="D220:K220" si="70">D202+D207+SUM(D216:D217)</f>
        <v>15998</v>
      </c>
      <c r="E220" s="804">
        <f t="shared" si="70"/>
        <v>15923</v>
      </c>
      <c r="F220" s="804">
        <f t="shared" si="70"/>
        <v>15841</v>
      </c>
      <c r="G220" s="804">
        <f t="shared" si="70"/>
        <v>15991</v>
      </c>
      <c r="H220" s="804">
        <f t="shared" si="70"/>
        <v>15142</v>
      </c>
      <c r="I220" s="804">
        <f t="shared" si="70"/>
        <v>15407</v>
      </c>
      <c r="J220" s="804">
        <f t="shared" si="70"/>
        <v>15278</v>
      </c>
      <c r="K220" s="804">
        <f t="shared" si="70"/>
        <v>15692</v>
      </c>
      <c r="L220" s="804">
        <f>L202+L207+SUM(L216:L217)</f>
        <v>16000</v>
      </c>
      <c r="M220" s="804">
        <f>M202+M207+SUM(M216:M217)</f>
        <v>15834</v>
      </c>
      <c r="N220" s="804">
        <f>N202+N207+SUM(N216:N217)</f>
        <v>15998</v>
      </c>
      <c r="O220" s="804">
        <f>O202+O207+SUM(O216:O217)</f>
        <v>15906</v>
      </c>
    </row>
    <row r="221" spans="1:17">
      <c r="A221" s="802" t="s">
        <v>3423</v>
      </c>
      <c r="D221" s="804">
        <f t="shared" ref="D221:K221" si="71">SUM(D199:D201)+D203+SUM(D205:D206)+SUM(D208:D215)+D218</f>
        <v>67027</v>
      </c>
      <c r="E221" s="804">
        <f t="shared" si="71"/>
        <v>66609</v>
      </c>
      <c r="F221" s="804">
        <f t="shared" si="71"/>
        <v>66582</v>
      </c>
      <c r="G221" s="804">
        <f t="shared" si="71"/>
        <v>66792</v>
      </c>
      <c r="H221" s="804">
        <f t="shared" si="71"/>
        <v>64587</v>
      </c>
      <c r="I221" s="804">
        <f t="shared" si="71"/>
        <v>64871</v>
      </c>
      <c r="J221" s="804">
        <f t="shared" si="71"/>
        <v>63885</v>
      </c>
      <c r="K221" s="804">
        <f t="shared" si="71"/>
        <v>65240</v>
      </c>
      <c r="L221" s="804">
        <f>SUM(L199:L201)+L203+SUM(L205:L206)+SUM(L208:L215)+L218</f>
        <v>66011</v>
      </c>
      <c r="M221" s="804">
        <f>SUM(M199:M201)+M203+SUM(M205:M206)+SUM(M208:M215)+M218</f>
        <v>65786</v>
      </c>
      <c r="N221" s="804">
        <f>SUM(N199:N201)+N203+SUM(N205:N206)+SUM(N208:N215)+N218</f>
        <v>66754</v>
      </c>
      <c r="O221" s="804">
        <f>SUM(O199:O201)+O203+SUM(O205:O206)+SUM(O208:O215)+O218</f>
        <v>66986</v>
      </c>
    </row>
    <row r="222" spans="1:17">
      <c r="A222" s="802"/>
      <c r="D222" s="804"/>
      <c r="E222" s="804"/>
      <c r="F222" s="804"/>
      <c r="G222" s="804"/>
      <c r="H222" s="804"/>
      <c r="I222" s="804"/>
      <c r="J222" s="804"/>
      <c r="K222" s="804"/>
      <c r="L222" s="804"/>
    </row>
    <row r="223" spans="1:17">
      <c r="A223" s="164" t="s">
        <v>12184</v>
      </c>
    </row>
    <row r="226" spans="1:1">
      <c r="A226" s="810"/>
    </row>
    <row r="227" spans="1:1">
      <c r="A227" s="810"/>
    </row>
    <row r="228" spans="1:1">
      <c r="A228" s="810"/>
    </row>
    <row r="229" spans="1:1">
      <c r="A229" s="810"/>
    </row>
    <row r="230" spans="1:1">
      <c r="A230" s="810"/>
    </row>
    <row r="231" spans="1:1">
      <c r="A231" s="810"/>
    </row>
    <row r="232" spans="1:1">
      <c r="A232" s="810"/>
    </row>
    <row r="233" spans="1:1">
      <c r="A233" s="810"/>
    </row>
    <row r="234" spans="1:1">
      <c r="A234" s="810"/>
    </row>
    <row r="235" spans="1:1">
      <c r="A235" s="810"/>
    </row>
    <row r="236" spans="1:1">
      <c r="A236" s="810"/>
    </row>
  </sheetData>
  <sortState ref="R105:V120">
    <sortCondition ref="S105:S120"/>
    <sortCondition ref="R105:R120"/>
  </sortState>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&amp;C&amp;"Times New Roman,Regular"&amp;8&amp;P of &amp;N</oddFooter>
  </headerFooter>
  <ignoredErrors>
    <ignoredError sqref="D133:E133 D152:E152 D82:E82 D97:E97 D191:E191 D159:E159 F76:F82 F97:F103 F127 F152:F159 F191:F195 G133:K133 G152:K152 G159:K159 G191:K191 G82:K82 G97:K97 D3:K29 D30:E37 F30:F41 G30:K37 D198:L198 L199:L221 D220:K221 L151:L197 F130:F133 L130:L133 L124 L127 L76:L103 L3:L4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E565"/>
  <sheetViews>
    <sheetView showGridLines="0" zoomScale="90" zoomScaleNormal="90" workbookViewId="0">
      <selection activeCell="N481" sqref="N481"/>
    </sheetView>
  </sheetViews>
  <sheetFormatPr defaultColWidth="12.5703125" defaultRowHeight="15"/>
  <cols>
    <col min="1" max="1" width="43.28515625" style="6" bestFit="1" customWidth="1"/>
    <col min="2" max="13" width="11" style="6" customWidth="1"/>
    <col min="14" max="14" width="12.7109375" style="6" customWidth="1"/>
    <col min="15" max="15" width="2.42578125" style="6" customWidth="1"/>
    <col min="16" max="17" width="12.5703125" style="6" customWidth="1"/>
    <col min="18" max="29" width="11.28515625" style="6" customWidth="1"/>
    <col min="30" max="30" width="12.5703125" style="6" customWidth="1"/>
    <col min="31" max="16384" width="12.5703125" style="6"/>
  </cols>
  <sheetData>
    <row r="1" spans="1:31">
      <c r="A1" s="33" t="s">
        <v>8892</v>
      </c>
      <c r="B1" s="5">
        <v>2010</v>
      </c>
      <c r="C1" s="5">
        <v>2011</v>
      </c>
      <c r="D1" s="5">
        <v>2012</v>
      </c>
      <c r="E1" s="5">
        <v>2013</v>
      </c>
      <c r="F1" s="5">
        <v>2014</v>
      </c>
      <c r="G1" s="5">
        <v>2015</v>
      </c>
      <c r="H1" s="5">
        <v>2016</v>
      </c>
      <c r="I1" s="5">
        <v>2017</v>
      </c>
      <c r="J1" s="5">
        <v>2018</v>
      </c>
      <c r="K1" s="5">
        <v>2019</v>
      </c>
      <c r="L1" s="5">
        <v>2020</v>
      </c>
      <c r="M1" s="920" t="s">
        <v>14823</v>
      </c>
      <c r="N1" s="5" t="s">
        <v>6794</v>
      </c>
      <c r="O1" s="5"/>
      <c r="Q1" s="35" t="s">
        <v>12665</v>
      </c>
      <c r="R1" s="5" t="s">
        <v>6795</v>
      </c>
      <c r="S1" s="5" t="s">
        <v>6795</v>
      </c>
      <c r="T1" s="5" t="s">
        <v>6795</v>
      </c>
      <c r="U1" s="5" t="s">
        <v>6795</v>
      </c>
      <c r="V1" s="5" t="s">
        <v>6795</v>
      </c>
      <c r="W1" s="5" t="s">
        <v>6795</v>
      </c>
      <c r="X1" s="5" t="s">
        <v>6795</v>
      </c>
      <c r="Y1" s="5" t="s">
        <v>6795</v>
      </c>
      <c r="Z1" s="5" t="s">
        <v>6795</v>
      </c>
      <c r="AA1" s="5" t="s">
        <v>6795</v>
      </c>
      <c r="AB1" s="5" t="s">
        <v>6795</v>
      </c>
      <c r="AC1" s="5" t="s">
        <v>6795</v>
      </c>
      <c r="AD1" s="5" t="s">
        <v>14497</v>
      </c>
      <c r="AE1" s="5" t="s">
        <v>15831</v>
      </c>
    </row>
    <row r="2" spans="1:31">
      <c r="N2" s="5" t="s">
        <v>14824</v>
      </c>
      <c r="O2" s="5"/>
      <c r="R2" s="5">
        <v>2010</v>
      </c>
      <c r="S2" s="5">
        <v>2011</v>
      </c>
      <c r="T2" s="5">
        <v>2012</v>
      </c>
      <c r="U2" s="5">
        <v>2013</v>
      </c>
      <c r="V2" s="5">
        <v>2014</v>
      </c>
      <c r="W2" s="5">
        <v>2015</v>
      </c>
      <c r="X2" s="5">
        <v>2016</v>
      </c>
      <c r="Y2" s="5">
        <v>2017</v>
      </c>
      <c r="Z2" s="5">
        <v>2018</v>
      </c>
      <c r="AA2" s="5">
        <v>2019</v>
      </c>
      <c r="AB2" s="5">
        <v>2020</v>
      </c>
      <c r="AC2" s="920" t="s">
        <v>14823</v>
      </c>
      <c r="AD2" s="1005" t="s">
        <v>15822</v>
      </c>
    </row>
    <row r="3" spans="1:31">
      <c r="N3" s="5"/>
      <c r="O3" s="5"/>
    </row>
    <row r="4" spans="1:31">
      <c r="A4" s="33" t="str">
        <f>HAMPSHIRE!A23</f>
        <v>Aldershot BC</v>
      </c>
      <c r="B4" s="7">
        <f>HAMPSHIRE!D25</f>
        <v>70596</v>
      </c>
      <c r="C4" s="7">
        <f>HAMPSHIRE!E25</f>
        <v>71908</v>
      </c>
      <c r="D4" s="7">
        <f>HAMPSHIRE!F25</f>
        <v>72325</v>
      </c>
      <c r="E4" s="7">
        <f>HAMPSHIRE!G25</f>
        <v>72403</v>
      </c>
      <c r="F4" s="7">
        <f>HAMPSHIRE!H25</f>
        <v>72640</v>
      </c>
      <c r="G4" s="7">
        <f>HAMPSHIRE!I25</f>
        <v>71292</v>
      </c>
      <c r="H4" s="7">
        <f>HAMPSHIRE!J25</f>
        <v>69903</v>
      </c>
      <c r="I4" s="7">
        <f>HAMPSHIRE!K25</f>
        <v>72769</v>
      </c>
      <c r="J4" s="7">
        <f>HAMPSHIRE!L25</f>
        <v>72138</v>
      </c>
      <c r="K4" s="7">
        <f>HAMPSHIRE!M25</f>
        <v>70567</v>
      </c>
      <c r="L4" s="7">
        <f>HAMPSHIRE!N25</f>
        <v>70398</v>
      </c>
      <c r="M4" s="7">
        <f>HAMPSHIRE!O25</f>
        <v>71997</v>
      </c>
      <c r="N4" s="34">
        <f t="shared" ref="N4:N67" si="0">(M4-B4)/B4</f>
        <v>1.9845317015128337E-2</v>
      </c>
      <c r="O4" s="34"/>
      <c r="P4" s="7">
        <f t="shared" ref="P4:P67" si="1">M4-$M$544</f>
        <v>-1396</v>
      </c>
      <c r="Q4" s="1004">
        <f t="shared" ref="Q4:Q67" si="2">(M4-$M$544)/$M$544</f>
        <v>-1.9020887550583843E-2</v>
      </c>
      <c r="R4" s="6">
        <v>307</v>
      </c>
      <c r="S4" s="6">
        <v>279</v>
      </c>
      <c r="T4" s="6">
        <v>283</v>
      </c>
      <c r="U4" s="6">
        <v>291</v>
      </c>
      <c r="V4" s="6">
        <v>256</v>
      </c>
      <c r="W4" s="6">
        <v>258</v>
      </c>
      <c r="X4" s="6">
        <v>274</v>
      </c>
      <c r="Y4" s="6">
        <v>231</v>
      </c>
      <c r="Z4" s="6">
        <v>273</v>
      </c>
      <c r="AA4" s="6">
        <v>306</v>
      </c>
      <c r="AB4" s="6">
        <v>370</v>
      </c>
      <c r="AC4" s="6">
        <v>348</v>
      </c>
      <c r="AD4" s="6">
        <f t="shared" ref="AD4:AD67" si="3">AB4-AC4</f>
        <v>22</v>
      </c>
      <c r="AE4" s="6" t="s">
        <v>15823</v>
      </c>
    </row>
    <row r="5" spans="1:31">
      <c r="A5" s="33" t="str">
        <f>'WEST MIDLANDS'!A15</f>
        <v>Aldridge-Brownhills BC</v>
      </c>
      <c r="B5" s="7">
        <f>'WEST MIDLANDS'!D15</f>
        <v>59214</v>
      </c>
      <c r="C5" s="7">
        <f>'WEST MIDLANDS'!E15</f>
        <v>59506</v>
      </c>
      <c r="D5" s="7">
        <f>'WEST MIDLANDS'!F15</f>
        <v>60315</v>
      </c>
      <c r="E5" s="7">
        <f>'WEST MIDLANDS'!G15</f>
        <v>60777</v>
      </c>
      <c r="F5" s="7">
        <f>'WEST MIDLANDS'!H15</f>
        <v>60313</v>
      </c>
      <c r="G5" s="7">
        <f>'WEST MIDLANDS'!I15</f>
        <v>59874</v>
      </c>
      <c r="H5" s="7">
        <f>'WEST MIDLANDS'!J15</f>
        <v>58359</v>
      </c>
      <c r="I5" s="7">
        <f>'WEST MIDLANDS'!K15</f>
        <v>59296</v>
      </c>
      <c r="J5" s="7">
        <f>'WEST MIDLANDS'!L15</f>
        <v>59373</v>
      </c>
      <c r="K5" s="7">
        <f>'WEST MIDLANDS'!M15</f>
        <v>59382</v>
      </c>
      <c r="L5" s="7">
        <f>'WEST MIDLANDS'!N15</f>
        <v>59540</v>
      </c>
      <c r="M5" s="7">
        <f>'WEST MIDLANDS'!O15</f>
        <v>60602</v>
      </c>
      <c r="N5" s="34">
        <f t="shared" si="0"/>
        <v>2.3440402607491473E-2</v>
      </c>
      <c r="O5" s="34"/>
      <c r="P5" s="7">
        <f t="shared" si="1"/>
        <v>-12791</v>
      </c>
      <c r="Q5" s="1004">
        <f t="shared" si="2"/>
        <v>-0.17428092597386671</v>
      </c>
      <c r="R5" s="6">
        <v>527</v>
      </c>
      <c r="S5" s="6">
        <v>528</v>
      </c>
      <c r="T5" s="6">
        <v>529</v>
      </c>
      <c r="U5" s="6">
        <v>528</v>
      </c>
      <c r="V5" s="6">
        <v>522</v>
      </c>
      <c r="W5" s="6">
        <v>510</v>
      </c>
      <c r="X5" s="6">
        <v>516</v>
      </c>
      <c r="Y5" s="6">
        <v>519</v>
      </c>
      <c r="Z5" s="6">
        <v>522</v>
      </c>
      <c r="AA5" s="6">
        <v>514</v>
      </c>
      <c r="AB5" s="6">
        <v>522</v>
      </c>
      <c r="AC5" s="6">
        <v>522</v>
      </c>
      <c r="AD5" s="6">
        <f t="shared" si="3"/>
        <v>0</v>
      </c>
      <c r="AE5" s="6" t="s">
        <v>15824</v>
      </c>
    </row>
    <row r="6" spans="1:31">
      <c r="A6" s="33" t="str">
        <f>'GREATER MANCHESTER'!A19</f>
        <v>Altrincham and Sale West BC</v>
      </c>
      <c r="B6" s="7">
        <f>'GREATER MANCHESTER'!D19</f>
        <v>71192</v>
      </c>
      <c r="C6" s="7">
        <f>'GREATER MANCHESTER'!E19</f>
        <v>72008</v>
      </c>
      <c r="D6" s="7">
        <f>'GREATER MANCHESTER'!F19</f>
        <v>69755</v>
      </c>
      <c r="E6" s="7">
        <f>'GREATER MANCHESTER'!G19</f>
        <v>69691</v>
      </c>
      <c r="F6" s="7">
        <f>'GREATER MANCHESTER'!H19</f>
        <v>70359</v>
      </c>
      <c r="G6" s="7">
        <f>'GREATER MANCHESTER'!I19</f>
        <v>69788</v>
      </c>
      <c r="H6" s="7">
        <f>'GREATER MANCHESTER'!J19</f>
        <v>69719</v>
      </c>
      <c r="I6" s="7">
        <f>'GREATER MANCHESTER'!K19</f>
        <v>71058</v>
      </c>
      <c r="J6" s="7">
        <f>'GREATER MANCHESTER'!L19</f>
        <v>71993</v>
      </c>
      <c r="K6" s="7">
        <f>'GREATER MANCHESTER'!M19</f>
        <v>71751</v>
      </c>
      <c r="L6" s="7">
        <f>'GREATER MANCHESTER'!N19</f>
        <v>73900</v>
      </c>
      <c r="M6" s="7">
        <f>'GREATER MANCHESTER'!O19</f>
        <v>73934</v>
      </c>
      <c r="N6" s="34">
        <f t="shared" si="0"/>
        <v>3.8515563546465896E-2</v>
      </c>
      <c r="O6" s="34"/>
      <c r="P6" s="7">
        <f t="shared" si="1"/>
        <v>541</v>
      </c>
      <c r="Q6" s="1004">
        <f t="shared" si="2"/>
        <v>7.3712751897319906E-3</v>
      </c>
      <c r="R6" s="6">
        <v>285</v>
      </c>
      <c r="S6" s="6">
        <v>271</v>
      </c>
      <c r="T6" s="6">
        <v>357</v>
      </c>
      <c r="U6" s="6">
        <v>368</v>
      </c>
      <c r="V6" s="6">
        <v>341</v>
      </c>
      <c r="W6" s="6">
        <v>302</v>
      </c>
      <c r="X6" s="6">
        <v>282</v>
      </c>
      <c r="Y6" s="6">
        <v>292</v>
      </c>
      <c r="Z6" s="6">
        <v>277</v>
      </c>
      <c r="AA6" s="6">
        <v>260</v>
      </c>
      <c r="AB6" s="6">
        <v>263</v>
      </c>
      <c r="AC6" s="6">
        <v>279</v>
      </c>
      <c r="AD6" s="6">
        <f t="shared" si="3"/>
        <v>-16</v>
      </c>
      <c r="AE6" s="6" t="s">
        <v>15825</v>
      </c>
    </row>
    <row r="7" spans="1:31">
      <c r="A7" s="33" t="str">
        <f>DERBYSHIRE!A20</f>
        <v>Amber Valley CC</v>
      </c>
      <c r="B7" s="7">
        <f>DERBYSHIRE!D20</f>
        <v>69385</v>
      </c>
      <c r="C7" s="7">
        <f>DERBYSHIRE!E20</f>
        <v>69538</v>
      </c>
      <c r="D7" s="7">
        <f>DERBYSHIRE!F20</f>
        <v>69590</v>
      </c>
      <c r="E7" s="7">
        <f>DERBYSHIRE!G20</f>
        <v>69955</v>
      </c>
      <c r="F7" s="7">
        <f>DERBYSHIRE!H20</f>
        <v>70231</v>
      </c>
      <c r="G7" s="7">
        <f>DERBYSHIRE!I20</f>
        <v>69532</v>
      </c>
      <c r="H7" s="7">
        <f>DERBYSHIRE!J20</f>
        <v>64454</v>
      </c>
      <c r="I7" s="7">
        <f>DERBYSHIRE!K20</f>
        <v>66639</v>
      </c>
      <c r="J7" s="7">
        <f>DERBYSHIRE!L20</f>
        <v>68716</v>
      </c>
      <c r="K7" s="7">
        <f>DERBYSHIRE!M20</f>
        <v>68717</v>
      </c>
      <c r="L7" s="7">
        <f>DERBYSHIRE!N20</f>
        <v>70433</v>
      </c>
      <c r="M7" s="7">
        <f>DERBYSHIRE!O20</f>
        <v>70556</v>
      </c>
      <c r="N7" s="34">
        <f t="shared" si="0"/>
        <v>1.6876846580673056E-2</v>
      </c>
      <c r="O7" s="34"/>
      <c r="P7" s="7">
        <f t="shared" si="1"/>
        <v>-2837</v>
      </c>
      <c r="Q7" s="1004">
        <f t="shared" si="2"/>
        <v>-3.8654912593844099E-2</v>
      </c>
      <c r="R7" s="6">
        <v>338</v>
      </c>
      <c r="S7" s="6">
        <v>353</v>
      </c>
      <c r="T7" s="6">
        <v>362</v>
      </c>
      <c r="U7" s="6">
        <v>358</v>
      </c>
      <c r="V7" s="6">
        <v>347</v>
      </c>
      <c r="W7" s="6">
        <v>312</v>
      </c>
      <c r="X7" s="6">
        <v>433</v>
      </c>
      <c r="Y7" s="6">
        <v>418</v>
      </c>
      <c r="Z7" s="6">
        <v>381</v>
      </c>
      <c r="AA7" s="6">
        <v>370</v>
      </c>
      <c r="AB7" s="6">
        <v>368</v>
      </c>
      <c r="AC7" s="6">
        <v>381</v>
      </c>
      <c r="AD7" s="6">
        <f t="shared" si="3"/>
        <v>-13</v>
      </c>
      <c r="AE7" s="6" t="s">
        <v>15826</v>
      </c>
    </row>
    <row r="8" spans="1:31">
      <c r="A8" s="33" t="str">
        <f>'WEST SUSSEX'!A15</f>
        <v>Arundel and South Downs CC</v>
      </c>
      <c r="B8" s="7">
        <f>'WEST SUSSEX'!D19</f>
        <v>76018</v>
      </c>
      <c r="C8" s="7">
        <f>'WEST SUSSEX'!E19</f>
        <v>76697</v>
      </c>
      <c r="D8" s="7">
        <f>'WEST SUSSEX'!F19</f>
        <v>76767</v>
      </c>
      <c r="E8" s="7">
        <f>'WEST SUSSEX'!G19</f>
        <v>76775</v>
      </c>
      <c r="F8" s="7">
        <f>'WEST SUSSEX'!H19</f>
        <v>75497</v>
      </c>
      <c r="G8" s="7">
        <f>'WEST SUSSEX'!I19</f>
        <v>75923</v>
      </c>
      <c r="H8" s="7">
        <f>'WEST SUSSEX'!J19</f>
        <v>75321</v>
      </c>
      <c r="I8" s="7">
        <f>'WEST SUSSEX'!K19</f>
        <v>78196</v>
      </c>
      <c r="J8" s="7">
        <f>'WEST SUSSEX'!L19</f>
        <v>79080</v>
      </c>
      <c r="K8" s="7">
        <f>'WEST SUSSEX'!M19</f>
        <v>79063</v>
      </c>
      <c r="L8" s="7">
        <f>'WEST SUSSEX'!N19</f>
        <v>81098</v>
      </c>
      <c r="M8" s="7">
        <f>'WEST SUSSEX'!O19</f>
        <v>81937</v>
      </c>
      <c r="N8" s="34">
        <f t="shared" si="0"/>
        <v>7.7863137677918387E-2</v>
      </c>
      <c r="O8" s="34"/>
      <c r="P8" s="7">
        <f t="shared" si="1"/>
        <v>8544</v>
      </c>
      <c r="Q8" s="1004">
        <f t="shared" si="2"/>
        <v>0.11641437194282833</v>
      </c>
      <c r="R8" s="6">
        <v>125</v>
      </c>
      <c r="S8" s="6">
        <v>124</v>
      </c>
      <c r="T8" s="6">
        <v>134</v>
      </c>
      <c r="U8" s="6">
        <v>144</v>
      </c>
      <c r="V8" s="6">
        <v>160</v>
      </c>
      <c r="W8" s="6">
        <v>124</v>
      </c>
      <c r="X8" s="6">
        <v>113</v>
      </c>
      <c r="Y8" s="6">
        <v>100</v>
      </c>
      <c r="Z8" s="6">
        <v>95</v>
      </c>
      <c r="AA8" s="6">
        <v>86</v>
      </c>
      <c r="AB8" s="6">
        <v>88</v>
      </c>
      <c r="AC8" s="6">
        <v>92</v>
      </c>
      <c r="AD8" s="6">
        <f t="shared" si="3"/>
        <v>-4</v>
      </c>
      <c r="AE8" s="6" t="s">
        <v>15823</v>
      </c>
    </row>
    <row r="9" spans="1:31">
      <c r="A9" s="33" t="str">
        <f>NOTTINGHAMSHIRE!A15</f>
        <v>Ashfield CC</v>
      </c>
      <c r="B9" s="7">
        <f>NOTTINGHAMSHIRE!D17</f>
        <v>77692</v>
      </c>
      <c r="C9" s="7">
        <f>NOTTINGHAMSHIRE!E17</f>
        <v>77049</v>
      </c>
      <c r="D9" s="7">
        <f>NOTTINGHAMSHIRE!F17</f>
        <v>77862</v>
      </c>
      <c r="E9" s="7">
        <f>NOTTINGHAMSHIRE!G17</f>
        <v>78018</v>
      </c>
      <c r="F9" s="7">
        <f>NOTTINGHAMSHIRE!H17</f>
        <v>74345</v>
      </c>
      <c r="G9" s="7">
        <f>NOTTINGHAMSHIRE!I17</f>
        <v>76203</v>
      </c>
      <c r="H9" s="7">
        <f>NOTTINGHAMSHIRE!J17</f>
        <v>76490</v>
      </c>
      <c r="I9" s="7">
        <f>NOTTINGHAMSHIRE!K17</f>
        <v>77290</v>
      </c>
      <c r="J9" s="7">
        <f>NOTTINGHAMSHIRE!L17</f>
        <v>77478</v>
      </c>
      <c r="K9" s="7">
        <f>NOTTINGHAMSHIRE!M17</f>
        <v>77738</v>
      </c>
      <c r="L9" s="7">
        <f>NOTTINGHAMSHIRE!N17</f>
        <v>78655</v>
      </c>
      <c r="M9" s="7">
        <f>NOTTINGHAMSHIRE!O17</f>
        <v>78508</v>
      </c>
      <c r="N9" s="34">
        <f t="shared" si="0"/>
        <v>1.0503011893116409E-2</v>
      </c>
      <c r="O9" s="34"/>
      <c r="P9" s="7">
        <f t="shared" si="1"/>
        <v>5115</v>
      </c>
      <c r="Q9" s="1004">
        <f t="shared" si="2"/>
        <v>6.9693295000885641E-2</v>
      </c>
      <c r="R9" s="6">
        <v>74</v>
      </c>
      <c r="S9" s="6">
        <v>108</v>
      </c>
      <c r="T9" s="6">
        <v>97</v>
      </c>
      <c r="U9" s="6">
        <v>105</v>
      </c>
      <c r="V9" s="6">
        <v>192</v>
      </c>
      <c r="W9" s="6">
        <v>115</v>
      </c>
      <c r="X9" s="6">
        <v>87</v>
      </c>
      <c r="Y9" s="6">
        <v>124</v>
      </c>
      <c r="Z9" s="6">
        <v>132</v>
      </c>
      <c r="AA9" s="6">
        <v>121</v>
      </c>
      <c r="AB9" s="6">
        <v>143</v>
      </c>
      <c r="AC9" s="6">
        <v>166</v>
      </c>
      <c r="AD9" s="6">
        <f t="shared" si="3"/>
        <v>-23</v>
      </c>
      <c r="AE9" s="6" t="s">
        <v>15826</v>
      </c>
    </row>
    <row r="10" spans="1:31">
      <c r="A10" s="33" t="str">
        <f>KENT!A24</f>
        <v>Ashford CC</v>
      </c>
      <c r="B10" s="7">
        <f>KENT!D24</f>
        <v>81088</v>
      </c>
      <c r="C10" s="7">
        <f>KENT!E24</f>
        <v>81947</v>
      </c>
      <c r="D10" s="7">
        <f>KENT!F24</f>
        <v>83339</v>
      </c>
      <c r="E10" s="7">
        <f>KENT!G24</f>
        <v>84643</v>
      </c>
      <c r="F10" s="7">
        <f>KENT!H24</f>
        <v>84941</v>
      </c>
      <c r="G10" s="7">
        <f>KENT!I24</f>
        <v>83940</v>
      </c>
      <c r="H10" s="7">
        <f>KENT!J24</f>
        <v>82527</v>
      </c>
      <c r="I10" s="7">
        <f>KENT!K24</f>
        <v>85127</v>
      </c>
      <c r="J10" s="7">
        <f>KENT!L24</f>
        <v>86621</v>
      </c>
      <c r="K10" s="7">
        <f>KENT!M24</f>
        <v>87102</v>
      </c>
      <c r="L10" s="7">
        <f>KENT!N24</f>
        <v>90380</v>
      </c>
      <c r="M10" s="7">
        <f>KENT!O24</f>
        <v>89712</v>
      </c>
      <c r="N10" s="34">
        <f t="shared" si="0"/>
        <v>0.106353591160221</v>
      </c>
      <c r="O10" s="34"/>
      <c r="P10" s="7">
        <f t="shared" si="1"/>
        <v>16319</v>
      </c>
      <c r="Q10" s="1004">
        <f t="shared" si="2"/>
        <v>0.22235090539969751</v>
      </c>
      <c r="R10" s="6">
        <v>27</v>
      </c>
      <c r="S10" s="6">
        <v>26</v>
      </c>
      <c r="T10" s="6">
        <v>20</v>
      </c>
      <c r="U10" s="6">
        <v>16</v>
      </c>
      <c r="V10" s="6">
        <v>14</v>
      </c>
      <c r="W10" s="6">
        <v>13</v>
      </c>
      <c r="X10" s="6">
        <v>15</v>
      </c>
      <c r="Y10" s="6">
        <v>14</v>
      </c>
      <c r="Z10" s="6">
        <v>11</v>
      </c>
      <c r="AA10" s="6">
        <v>8</v>
      </c>
      <c r="AB10" s="6">
        <v>10</v>
      </c>
      <c r="AC10" s="6">
        <v>16</v>
      </c>
      <c r="AD10" s="6">
        <f t="shared" si="3"/>
        <v>-6</v>
      </c>
      <c r="AE10" s="6" t="s">
        <v>15823</v>
      </c>
    </row>
    <row r="11" spans="1:31">
      <c r="A11" s="33" t="str">
        <f>'GREATER MANCHESTER'!A21</f>
        <v>Ashton-under-Lyne BC</v>
      </c>
      <c r="B11" s="7">
        <f>'GREATER MANCHESTER'!D23</f>
        <v>67657</v>
      </c>
      <c r="C11" s="7">
        <f>'GREATER MANCHESTER'!E23</f>
        <v>68553</v>
      </c>
      <c r="D11" s="7">
        <f>'GREATER MANCHESTER'!F23</f>
        <v>67748</v>
      </c>
      <c r="E11" s="7">
        <f>'GREATER MANCHESTER'!G23</f>
        <v>67444</v>
      </c>
      <c r="F11" s="7">
        <f>'GREATER MANCHESTER'!H23</f>
        <v>68648</v>
      </c>
      <c r="G11" s="7">
        <f>'GREATER MANCHESTER'!I23</f>
        <v>67356</v>
      </c>
      <c r="H11" s="7">
        <f>'GREATER MANCHESTER'!J23</f>
        <v>65941</v>
      </c>
      <c r="I11" s="7">
        <f>'GREATER MANCHESTER'!K23</f>
        <v>67046</v>
      </c>
      <c r="J11" s="7">
        <f>'GREATER MANCHESTER'!L23</f>
        <v>67364</v>
      </c>
      <c r="K11" s="7">
        <f>'GREATER MANCHESTER'!M23</f>
        <v>67398</v>
      </c>
      <c r="L11" s="7">
        <f>'GREATER MANCHESTER'!N23</f>
        <v>68522</v>
      </c>
      <c r="M11" s="7">
        <f>'GREATER MANCHESTER'!O23</f>
        <v>68626</v>
      </c>
      <c r="N11" s="34">
        <f t="shared" si="0"/>
        <v>1.4322243079060555E-2</v>
      </c>
      <c r="O11" s="34"/>
      <c r="P11" s="7">
        <f t="shared" si="1"/>
        <v>-4767</v>
      </c>
      <c r="Q11" s="1004">
        <f t="shared" si="2"/>
        <v>-6.4951698390854712E-2</v>
      </c>
      <c r="R11" s="6">
        <v>390</v>
      </c>
      <c r="S11" s="6">
        <v>379</v>
      </c>
      <c r="T11" s="6">
        <v>408</v>
      </c>
      <c r="U11" s="6">
        <v>429</v>
      </c>
      <c r="V11" s="6">
        <v>381</v>
      </c>
      <c r="W11" s="6">
        <v>386</v>
      </c>
      <c r="X11" s="6">
        <v>402</v>
      </c>
      <c r="Y11" s="6">
        <v>410</v>
      </c>
      <c r="Z11" s="6">
        <v>417</v>
      </c>
      <c r="AA11" s="6">
        <v>401</v>
      </c>
      <c r="AB11" s="6">
        <v>415</v>
      </c>
      <c r="AC11" s="6">
        <v>427</v>
      </c>
      <c r="AD11" s="6">
        <f t="shared" si="3"/>
        <v>-12</v>
      </c>
      <c r="AE11" s="6" t="s">
        <v>15825</v>
      </c>
    </row>
    <row r="12" spans="1:31">
      <c r="A12" s="33" t="str">
        <f>BUCKINGHAMSHIRE!A7</f>
        <v>Aylesbury CC</v>
      </c>
      <c r="B12" s="7">
        <f>BUCKINGHAMSHIRE!D7</f>
        <v>78017</v>
      </c>
      <c r="C12" s="7">
        <f>BUCKINGHAMSHIRE!E7</f>
        <v>78750</v>
      </c>
      <c r="D12" s="7">
        <f>BUCKINGHAMSHIRE!F7</f>
        <v>79449</v>
      </c>
      <c r="E12" s="7">
        <f>BUCKINGHAMSHIRE!G7</f>
        <v>80409</v>
      </c>
      <c r="F12" s="7">
        <f>BUCKINGHAMSHIRE!H7</f>
        <v>81728</v>
      </c>
      <c r="G12" s="7">
        <f>BUCKINGHAMSHIRE!I7</f>
        <v>79664</v>
      </c>
      <c r="H12" s="7">
        <f>BUCKINGHAMSHIRE!J7</f>
        <v>77463</v>
      </c>
      <c r="I12" s="7">
        <f>BUCKINGHAMSHIRE!K7</f>
        <v>80946</v>
      </c>
      <c r="J12" s="7">
        <f>BUCKINGHAMSHIRE!L7</f>
        <v>82448</v>
      </c>
      <c r="K12" s="7">
        <f>BUCKINGHAMSHIRE!M7</f>
        <v>82897</v>
      </c>
      <c r="L12" s="7">
        <f>BUCKINGHAMSHIRE!N7</f>
        <v>86480</v>
      </c>
      <c r="M12" s="7">
        <f>BUCKINGHAMSHIRE!O7</f>
        <v>86002</v>
      </c>
      <c r="N12" s="34">
        <f t="shared" si="0"/>
        <v>0.10234948793211736</v>
      </c>
      <c r="O12" s="34"/>
      <c r="P12" s="7">
        <f t="shared" si="1"/>
        <v>12609</v>
      </c>
      <c r="Q12" s="1004">
        <f t="shared" si="2"/>
        <v>0.171801125447931</v>
      </c>
      <c r="R12" s="6">
        <v>69</v>
      </c>
      <c r="S12" s="6">
        <v>63</v>
      </c>
      <c r="T12" s="6">
        <v>56</v>
      </c>
      <c r="U12" s="6">
        <v>50</v>
      </c>
      <c r="V12" s="6">
        <v>38</v>
      </c>
      <c r="W12" s="6">
        <v>42</v>
      </c>
      <c r="X12" s="6">
        <v>67</v>
      </c>
      <c r="Y12" s="6">
        <v>45</v>
      </c>
      <c r="Z12" s="6">
        <v>38</v>
      </c>
      <c r="AA12" s="6">
        <v>29</v>
      </c>
      <c r="AB12" s="6">
        <v>23</v>
      </c>
      <c r="AC12" s="6">
        <v>37</v>
      </c>
      <c r="AD12" s="6">
        <f t="shared" si="3"/>
        <v>-14</v>
      </c>
      <c r="AE12" s="6" t="s">
        <v>15823</v>
      </c>
    </row>
    <row r="13" spans="1:31">
      <c r="A13" s="33" t="str">
        <f>OXFORDSHIRE!A13</f>
        <v>Banbury CC</v>
      </c>
      <c r="B13" s="7">
        <f>OXFORDSHIRE!D13</f>
        <v>83933</v>
      </c>
      <c r="C13" s="7">
        <f>OXFORDSHIRE!E13</f>
        <v>84063</v>
      </c>
      <c r="D13" s="7">
        <f>OXFORDSHIRE!F13</f>
        <v>85313</v>
      </c>
      <c r="E13" s="7">
        <f>OXFORDSHIRE!G13</f>
        <v>86261</v>
      </c>
      <c r="F13" s="7">
        <f>OXFORDSHIRE!H13</f>
        <v>86032</v>
      </c>
      <c r="G13" s="7">
        <f>OXFORDSHIRE!I13</f>
        <v>84437</v>
      </c>
      <c r="H13" s="7">
        <f>OXFORDSHIRE!J13</f>
        <v>85398</v>
      </c>
      <c r="I13" s="7">
        <f>OXFORDSHIRE!K13</f>
        <v>89363</v>
      </c>
      <c r="J13" s="7">
        <f>OXFORDSHIRE!L13</f>
        <v>85795</v>
      </c>
      <c r="K13" s="7">
        <f>OXFORDSHIRE!M13</f>
        <v>86431</v>
      </c>
      <c r="L13" s="7">
        <f>OXFORDSHIRE!N13</f>
        <v>88782</v>
      </c>
      <c r="M13" s="7">
        <f>OXFORDSHIRE!O13</f>
        <v>90580</v>
      </c>
      <c r="N13" s="34">
        <f t="shared" si="0"/>
        <v>7.919411911882096E-2</v>
      </c>
      <c r="O13" s="34"/>
      <c r="P13" s="7">
        <f t="shared" si="1"/>
        <v>17187</v>
      </c>
      <c r="Q13" s="1004">
        <f t="shared" si="2"/>
        <v>0.23417764636954477</v>
      </c>
      <c r="R13" s="6">
        <v>10</v>
      </c>
      <c r="S13" s="6">
        <v>13</v>
      </c>
      <c r="T13" s="6">
        <v>11</v>
      </c>
      <c r="U13" s="6">
        <v>11</v>
      </c>
      <c r="V13" s="6">
        <v>8</v>
      </c>
      <c r="W13" s="6">
        <v>9</v>
      </c>
      <c r="X13" s="6">
        <v>7</v>
      </c>
      <c r="Y13" s="6">
        <v>5</v>
      </c>
      <c r="Z13" s="6">
        <v>13</v>
      </c>
      <c r="AA13" s="6">
        <v>10</v>
      </c>
      <c r="AB13" s="6">
        <v>18</v>
      </c>
      <c r="AC13" s="6">
        <v>14</v>
      </c>
      <c r="AD13" s="6">
        <f t="shared" si="3"/>
        <v>4</v>
      </c>
      <c r="AE13" s="6" t="s">
        <v>15823</v>
      </c>
    </row>
    <row r="14" spans="1:31">
      <c r="A14" s="33" t="str">
        <f>BARKING!A7</f>
        <v>Barking BC</v>
      </c>
      <c r="B14" s="7">
        <f>BARKING!D7</f>
        <v>73303</v>
      </c>
      <c r="C14" s="7">
        <f>BARKING!E7</f>
        <v>74027</v>
      </c>
      <c r="D14" s="7">
        <f>BARKING!F7</f>
        <v>74824</v>
      </c>
      <c r="E14" s="7">
        <f>BARKING!G7</f>
        <v>75037</v>
      </c>
      <c r="F14" s="7">
        <f>BARKING!H7</f>
        <v>75468</v>
      </c>
      <c r="G14" s="7">
        <f>BARKING!I7</f>
        <v>72011</v>
      </c>
      <c r="H14" s="7">
        <f>BARKING!J7</f>
        <v>72314</v>
      </c>
      <c r="I14" s="7">
        <f>BARKING!K7</f>
        <v>74447</v>
      </c>
      <c r="J14" s="7">
        <f>BARKING!L7</f>
        <v>75267</v>
      </c>
      <c r="K14" s="7">
        <f>BARKING!M7</f>
        <v>77181</v>
      </c>
      <c r="L14" s="7">
        <f>BARKING!N7</f>
        <v>76861</v>
      </c>
      <c r="M14" s="7">
        <f>BARKING!O7</f>
        <v>78688</v>
      </c>
      <c r="N14" s="34">
        <f t="shared" si="0"/>
        <v>7.3462204821085092E-2</v>
      </c>
      <c r="O14" s="34"/>
      <c r="P14" s="7">
        <f t="shared" si="1"/>
        <v>5295</v>
      </c>
      <c r="Q14" s="1004">
        <f t="shared" si="2"/>
        <v>7.2145844971591294E-2</v>
      </c>
      <c r="R14" s="6">
        <v>189</v>
      </c>
      <c r="S14" s="6">
        <v>186</v>
      </c>
      <c r="T14" s="6">
        <v>181</v>
      </c>
      <c r="U14" s="6">
        <v>183</v>
      </c>
      <c r="V14" s="6">
        <v>161</v>
      </c>
      <c r="W14" s="6">
        <v>232</v>
      </c>
      <c r="X14" s="6">
        <v>185</v>
      </c>
      <c r="Y14" s="6">
        <v>179</v>
      </c>
      <c r="Z14" s="6">
        <v>171</v>
      </c>
      <c r="AA14" s="6">
        <v>131</v>
      </c>
      <c r="AB14" s="6">
        <v>189</v>
      </c>
      <c r="AC14" s="6">
        <v>161</v>
      </c>
      <c r="AD14" s="6">
        <f t="shared" si="3"/>
        <v>28</v>
      </c>
      <c r="AE14" s="6" t="s">
        <v>15827</v>
      </c>
    </row>
    <row r="15" spans="1:31">
      <c r="A15" s="33" t="str">
        <f>'SOUTH YORKSHIRE'!A12</f>
        <v>Barnsley Central BC</v>
      </c>
      <c r="B15" s="7">
        <f>'SOUTH YORKSHIRE'!D12</f>
        <v>64864</v>
      </c>
      <c r="C15" s="7">
        <f>'SOUTH YORKSHIRE'!E12</f>
        <v>64732</v>
      </c>
      <c r="D15" s="7">
        <f>'SOUTH YORKSHIRE'!F12</f>
        <v>65317</v>
      </c>
      <c r="E15" s="7">
        <f>'SOUTH YORKSHIRE'!G12</f>
        <v>65674</v>
      </c>
      <c r="F15" s="7">
        <f>'SOUTH YORKSHIRE'!H12</f>
        <v>65738</v>
      </c>
      <c r="G15" s="7">
        <f>'SOUTH YORKSHIRE'!I12</f>
        <v>64170</v>
      </c>
      <c r="H15" s="7">
        <f>'SOUTH YORKSHIRE'!J12</f>
        <v>60767</v>
      </c>
      <c r="I15" s="7">
        <f>'SOUTH YORKSHIRE'!K12</f>
        <v>62523</v>
      </c>
      <c r="J15" s="7">
        <f>'SOUTH YORKSHIRE'!L12</f>
        <v>63374</v>
      </c>
      <c r="K15" s="7">
        <f>'SOUTH YORKSHIRE'!M12</f>
        <v>63539</v>
      </c>
      <c r="L15" s="7">
        <f>'SOUTH YORKSHIRE'!N12</f>
        <v>64229</v>
      </c>
      <c r="M15" s="7">
        <f>'SOUTH YORKSHIRE'!O12</f>
        <v>65494</v>
      </c>
      <c r="N15" s="34">
        <f t="shared" si="0"/>
        <v>9.7126295017266901E-3</v>
      </c>
      <c r="O15" s="34"/>
      <c r="P15" s="7">
        <f t="shared" si="1"/>
        <v>-7899</v>
      </c>
      <c r="Q15" s="1004">
        <f t="shared" si="2"/>
        <v>-0.10762606788113308</v>
      </c>
      <c r="R15" s="6">
        <v>465</v>
      </c>
      <c r="S15" s="6">
        <v>483</v>
      </c>
      <c r="T15" s="6">
        <v>473</v>
      </c>
      <c r="U15" s="6">
        <v>474</v>
      </c>
      <c r="V15" s="6">
        <v>452</v>
      </c>
      <c r="W15" s="6">
        <v>457</v>
      </c>
      <c r="X15" s="6">
        <v>496</v>
      </c>
      <c r="Y15" s="6">
        <v>492</v>
      </c>
      <c r="Z15" s="6">
        <v>487</v>
      </c>
      <c r="AA15" s="6">
        <v>473</v>
      </c>
      <c r="AB15" s="6">
        <v>482</v>
      </c>
      <c r="AC15" s="6">
        <v>475</v>
      </c>
      <c r="AD15" s="6">
        <f t="shared" si="3"/>
        <v>7</v>
      </c>
      <c r="AE15" s="6" t="s">
        <v>15828</v>
      </c>
    </row>
    <row r="16" spans="1:31">
      <c r="A16" s="33" t="str">
        <f>'SOUTH YORKSHIRE'!A14</f>
        <v>Barnsley East CC</v>
      </c>
      <c r="B16" s="7">
        <f>'SOUTH YORKSHIRE'!D14</f>
        <v>68011</v>
      </c>
      <c r="C16" s="7">
        <f>'SOUTH YORKSHIRE'!E14</f>
        <v>68243</v>
      </c>
      <c r="D16" s="7">
        <f>'SOUTH YORKSHIRE'!F14</f>
        <v>69321</v>
      </c>
      <c r="E16" s="7">
        <f>'SOUTH YORKSHIRE'!G14</f>
        <v>69876</v>
      </c>
      <c r="F16" s="7">
        <f>'SOUTH YORKSHIRE'!H14</f>
        <v>70307</v>
      </c>
      <c r="G16" s="7">
        <f>'SOUTH YORKSHIRE'!I14</f>
        <v>68775</v>
      </c>
      <c r="H16" s="7">
        <f>'SOUTH YORKSHIRE'!J14</f>
        <v>65344</v>
      </c>
      <c r="I16" s="7">
        <f>'SOUTH YORKSHIRE'!K14</f>
        <v>67432</v>
      </c>
      <c r="J16" s="7">
        <f>'SOUTH YORKSHIRE'!L14</f>
        <v>68361</v>
      </c>
      <c r="K16" s="7">
        <f>'SOUTH YORKSHIRE'!M14</f>
        <v>68109</v>
      </c>
      <c r="L16" s="7">
        <f>'SOUTH YORKSHIRE'!N14</f>
        <v>68448</v>
      </c>
      <c r="M16" s="7">
        <f>'SOUTH YORKSHIRE'!O14</f>
        <v>69690</v>
      </c>
      <c r="N16" s="34">
        <f t="shared" si="0"/>
        <v>2.4687182955698342E-2</v>
      </c>
      <c r="O16" s="34"/>
      <c r="P16" s="7">
        <f t="shared" si="1"/>
        <v>-3703</v>
      </c>
      <c r="Q16" s="1004">
        <f t="shared" si="2"/>
        <v>-5.0454403008461296E-2</v>
      </c>
      <c r="R16" s="6">
        <v>380</v>
      </c>
      <c r="S16" s="6">
        <v>389</v>
      </c>
      <c r="T16" s="6">
        <v>369</v>
      </c>
      <c r="U16" s="6">
        <v>362</v>
      </c>
      <c r="V16" s="6">
        <v>342</v>
      </c>
      <c r="W16" s="6">
        <v>343</v>
      </c>
      <c r="X16" s="6">
        <v>414</v>
      </c>
      <c r="Y16" s="6">
        <v>403</v>
      </c>
      <c r="Z16" s="6">
        <v>393</v>
      </c>
      <c r="AA16" s="6">
        <v>387</v>
      </c>
      <c r="AB16" s="6">
        <v>417</v>
      </c>
      <c r="AC16" s="6">
        <v>401</v>
      </c>
      <c r="AD16" s="6">
        <f t="shared" si="3"/>
        <v>16</v>
      </c>
      <c r="AE16" s="6" t="s">
        <v>15828</v>
      </c>
    </row>
    <row r="17" spans="1:31">
      <c r="A17" s="33" t="str">
        <f>CUMBRIA!A14</f>
        <v>Barrow and Furness CC</v>
      </c>
      <c r="B17" s="7">
        <f>CUMBRIA!D16</f>
        <v>69281</v>
      </c>
      <c r="C17" s="7">
        <f>CUMBRIA!E16</f>
        <v>69148</v>
      </c>
      <c r="D17" s="7">
        <f>CUMBRIA!F16</f>
        <v>68855</v>
      </c>
      <c r="E17" s="7">
        <f>CUMBRIA!G16</f>
        <v>69699</v>
      </c>
      <c r="F17" s="7">
        <f>CUMBRIA!H16</f>
        <v>67647</v>
      </c>
      <c r="G17" s="7">
        <f>CUMBRIA!I16</f>
        <v>67629</v>
      </c>
      <c r="H17" s="7">
        <f>CUMBRIA!J16</f>
        <v>67777</v>
      </c>
      <c r="I17" s="7">
        <f>CUMBRIA!K16</f>
        <v>69041</v>
      </c>
      <c r="J17" s="7">
        <f>CUMBRIA!L16</f>
        <v>69078</v>
      </c>
      <c r="K17" s="7">
        <f>CUMBRIA!M16</f>
        <v>68505</v>
      </c>
      <c r="L17" s="7">
        <f>CUMBRIA!N16</f>
        <v>69133</v>
      </c>
      <c r="M17" s="7">
        <f>CUMBRIA!O16</f>
        <v>68721</v>
      </c>
      <c r="N17" s="34">
        <f t="shared" si="0"/>
        <v>-8.083024205770702E-3</v>
      </c>
      <c r="O17" s="34"/>
      <c r="P17" s="7">
        <f t="shared" si="1"/>
        <v>-4672</v>
      </c>
      <c r="Q17" s="1004">
        <f t="shared" si="2"/>
        <v>-6.3657297017426728E-2</v>
      </c>
      <c r="R17" s="6">
        <v>342</v>
      </c>
      <c r="S17" s="6">
        <v>360</v>
      </c>
      <c r="T17" s="6">
        <v>376</v>
      </c>
      <c r="U17" s="6">
        <v>366</v>
      </c>
      <c r="V17" s="6">
        <v>408</v>
      </c>
      <c r="W17" s="6">
        <v>371</v>
      </c>
      <c r="X17" s="6">
        <v>344</v>
      </c>
      <c r="Y17" s="6">
        <v>359</v>
      </c>
      <c r="Z17" s="6">
        <v>376</v>
      </c>
      <c r="AA17" s="6">
        <v>381</v>
      </c>
      <c r="AB17" s="6">
        <v>406</v>
      </c>
      <c r="AC17" s="6">
        <v>425</v>
      </c>
      <c r="AD17" s="6">
        <f t="shared" si="3"/>
        <v>-19</v>
      </c>
      <c r="AE17" s="6" t="s">
        <v>15825</v>
      </c>
    </row>
    <row r="18" spans="1:31">
      <c r="A18" s="33" t="str">
        <f>ESSEX!A27</f>
        <v>Basildon and Billericay BC</v>
      </c>
      <c r="B18" s="7">
        <f>ESSEX!D27</f>
        <v>65302</v>
      </c>
      <c r="C18" s="7">
        <f>ESSEX!E27</f>
        <v>65373</v>
      </c>
      <c r="D18" s="7">
        <f>ESSEX!F27</f>
        <v>65910</v>
      </c>
      <c r="E18" s="7">
        <f>ESSEX!G27</f>
        <v>67086</v>
      </c>
      <c r="F18" s="7">
        <f>ESSEX!H27</f>
        <v>67504</v>
      </c>
      <c r="G18" s="7">
        <f>ESSEX!I27</f>
        <v>67784</v>
      </c>
      <c r="H18" s="7">
        <f>ESSEX!J27</f>
        <v>64885</v>
      </c>
      <c r="I18" s="7">
        <f>ESSEX!K27</f>
        <v>67898</v>
      </c>
      <c r="J18" s="7">
        <f>ESSEX!L27</f>
        <v>69274</v>
      </c>
      <c r="K18" s="7">
        <f>ESSEX!M27</f>
        <v>68878</v>
      </c>
      <c r="L18" s="7">
        <f>ESSEX!N27</f>
        <v>70538</v>
      </c>
      <c r="M18" s="7">
        <f>ESSEX!O27</f>
        <v>70195</v>
      </c>
      <c r="N18" s="34">
        <f t="shared" si="0"/>
        <v>7.4928792380018983E-2</v>
      </c>
      <c r="O18" s="34"/>
      <c r="P18" s="7">
        <f t="shared" si="1"/>
        <v>-3198</v>
      </c>
      <c r="Q18" s="1004">
        <f t="shared" si="2"/>
        <v>-4.3573637812870436E-2</v>
      </c>
      <c r="R18" s="6">
        <v>455</v>
      </c>
      <c r="S18" s="6">
        <v>467</v>
      </c>
      <c r="T18" s="6">
        <v>456</v>
      </c>
      <c r="U18" s="6">
        <v>440</v>
      </c>
      <c r="V18" s="6">
        <v>412</v>
      </c>
      <c r="W18" s="6">
        <v>368</v>
      </c>
      <c r="X18" s="6">
        <v>422</v>
      </c>
      <c r="Y18" s="6">
        <v>392</v>
      </c>
      <c r="Z18" s="6">
        <v>373</v>
      </c>
      <c r="AA18" s="6">
        <v>365</v>
      </c>
      <c r="AB18" s="6">
        <v>364</v>
      </c>
      <c r="AC18" s="6">
        <v>391</v>
      </c>
      <c r="AD18" s="6">
        <f t="shared" si="3"/>
        <v>-27</v>
      </c>
      <c r="AE18" s="6" t="s">
        <v>15829</v>
      </c>
    </row>
    <row r="19" spans="1:31">
      <c r="A19" s="33" t="str">
        <f>HAMPSHIRE!A27</f>
        <v>Basingstoke BC</v>
      </c>
      <c r="B19" s="7">
        <f>HAMPSHIRE!D27</f>
        <v>75108</v>
      </c>
      <c r="C19" s="7">
        <f>HAMPSHIRE!E27</f>
        <v>75470</v>
      </c>
      <c r="D19" s="7">
        <f>HAMPSHIRE!F27</f>
        <v>76355</v>
      </c>
      <c r="E19" s="7">
        <f>HAMPSHIRE!G27</f>
        <v>78429</v>
      </c>
      <c r="F19" s="7">
        <f>HAMPSHIRE!H27</f>
        <v>81277</v>
      </c>
      <c r="G19" s="7">
        <f>HAMPSHIRE!I27</f>
        <v>79893</v>
      </c>
      <c r="H19" s="7">
        <f>HAMPSHIRE!J27</f>
        <v>78026</v>
      </c>
      <c r="I19" s="7">
        <f>HAMPSHIRE!K27</f>
        <v>80559</v>
      </c>
      <c r="J19" s="7">
        <f>HAMPSHIRE!L27</f>
        <v>81401</v>
      </c>
      <c r="K19" s="7">
        <f>HAMPSHIRE!M27</f>
        <v>80504</v>
      </c>
      <c r="L19" s="7">
        <f>HAMPSHIRE!N27</f>
        <v>82664</v>
      </c>
      <c r="M19" s="7">
        <f>HAMPSHIRE!O27</f>
        <v>82672</v>
      </c>
      <c r="N19" s="34">
        <f t="shared" si="0"/>
        <v>0.10070831336209192</v>
      </c>
      <c r="O19" s="34"/>
      <c r="P19" s="7">
        <f t="shared" si="1"/>
        <v>9279</v>
      </c>
      <c r="Q19" s="1004">
        <f t="shared" si="2"/>
        <v>0.12642895098987642</v>
      </c>
      <c r="R19" s="6">
        <v>143</v>
      </c>
      <c r="S19" s="6">
        <v>152</v>
      </c>
      <c r="T19" s="6">
        <v>146</v>
      </c>
      <c r="U19" s="6">
        <v>95</v>
      </c>
      <c r="V19" s="6">
        <v>41</v>
      </c>
      <c r="W19" s="6">
        <v>41</v>
      </c>
      <c r="X19" s="6">
        <v>57</v>
      </c>
      <c r="Y19" s="6">
        <v>55</v>
      </c>
      <c r="Z19" s="6">
        <v>56</v>
      </c>
      <c r="AA19" s="6">
        <v>59</v>
      </c>
      <c r="AB19" s="6">
        <v>64</v>
      </c>
      <c r="AC19" s="6">
        <v>78</v>
      </c>
      <c r="AD19" s="6">
        <f t="shared" si="3"/>
        <v>-14</v>
      </c>
      <c r="AE19" s="6" t="s">
        <v>15823</v>
      </c>
    </row>
    <row r="20" spans="1:31">
      <c r="A20" s="33" t="str">
        <f>NOTTINGHAMSHIRE!A19</f>
        <v>Bassetlaw CC</v>
      </c>
      <c r="B20" s="7">
        <f>NOTTINGHAMSHIRE!D19</f>
        <v>76741</v>
      </c>
      <c r="C20" s="7">
        <f>NOTTINGHAMSHIRE!E19</f>
        <v>78306</v>
      </c>
      <c r="D20" s="7">
        <f>NOTTINGHAMSHIRE!F19</f>
        <v>77724</v>
      </c>
      <c r="E20" s="7">
        <f>NOTTINGHAMSHIRE!G19</f>
        <v>78482</v>
      </c>
      <c r="F20" s="7">
        <f>NOTTINGHAMSHIRE!H19</f>
        <v>77996</v>
      </c>
      <c r="G20" s="7">
        <f>NOTTINGHAMSHIRE!I19</f>
        <v>75910</v>
      </c>
      <c r="H20" s="7">
        <f>NOTTINGHAMSHIRE!J19</f>
        <v>76764</v>
      </c>
      <c r="I20" s="7">
        <f>NOTTINGHAMSHIRE!K19</f>
        <v>77546</v>
      </c>
      <c r="J20" s="7">
        <f>NOTTINGHAMSHIRE!L19</f>
        <v>77184</v>
      </c>
      <c r="K20" s="7">
        <f>NOTTINGHAMSHIRE!M19</f>
        <v>77142</v>
      </c>
      <c r="L20" s="7">
        <f>NOTTINGHAMSHIRE!N19</f>
        <v>79707</v>
      </c>
      <c r="M20" s="7">
        <f>NOTTINGHAMSHIRE!O19</f>
        <v>79164</v>
      </c>
      <c r="N20" s="34">
        <f t="shared" si="0"/>
        <v>3.1573735030817944E-2</v>
      </c>
      <c r="O20" s="34"/>
      <c r="P20" s="7">
        <f t="shared" si="1"/>
        <v>5771</v>
      </c>
      <c r="Q20" s="1004">
        <f t="shared" si="2"/>
        <v>7.8631477116346243E-2</v>
      </c>
      <c r="R20" s="6">
        <v>103</v>
      </c>
      <c r="S20" s="6">
        <v>75</v>
      </c>
      <c r="T20" s="6">
        <v>102</v>
      </c>
      <c r="U20" s="6">
        <v>91</v>
      </c>
      <c r="V20" s="6">
        <v>101</v>
      </c>
      <c r="W20" s="6">
        <v>126</v>
      </c>
      <c r="X20" s="6">
        <v>84</v>
      </c>
      <c r="Y20" s="6">
        <v>116</v>
      </c>
      <c r="Z20" s="6">
        <v>141</v>
      </c>
      <c r="AA20" s="6">
        <v>132</v>
      </c>
      <c r="AB20" s="6">
        <v>122</v>
      </c>
      <c r="AC20" s="6">
        <v>149</v>
      </c>
      <c r="AD20" s="6">
        <f t="shared" si="3"/>
        <v>-27</v>
      </c>
      <c r="AE20" s="6" t="s">
        <v>15826</v>
      </c>
    </row>
    <row r="21" spans="1:31">
      <c r="A21" s="33" t="str">
        <f>'BATH &amp; NE SOMERSET'!A7</f>
        <v>Bath BC</v>
      </c>
      <c r="B21" s="7">
        <f>'BATH &amp; NE SOMERSET'!D7</f>
        <v>65992</v>
      </c>
      <c r="C21" s="7">
        <f>'BATH &amp; NE SOMERSET'!E7</f>
        <v>66690</v>
      </c>
      <c r="D21" s="7">
        <f>'BATH &amp; NE SOMERSET'!F7</f>
        <v>64688</v>
      </c>
      <c r="E21" s="7">
        <f>'BATH &amp; NE SOMERSET'!G7</f>
        <v>65728</v>
      </c>
      <c r="F21" s="7">
        <f>'BATH &amp; NE SOMERSET'!H7</f>
        <v>61505</v>
      </c>
      <c r="G21" s="7">
        <f>'BATH &amp; NE SOMERSET'!I7</f>
        <v>56986</v>
      </c>
      <c r="H21" s="7">
        <f>'BATH &amp; NE SOMERSET'!J7</f>
        <v>60966</v>
      </c>
      <c r="I21" s="7">
        <f>'BATH &amp; NE SOMERSET'!K7</f>
        <v>61324</v>
      </c>
      <c r="J21" s="7">
        <f>'BATH &amp; NE SOMERSET'!L7</f>
        <v>59887</v>
      </c>
      <c r="K21" s="7">
        <f>'BATH &amp; NE SOMERSET'!M7</f>
        <v>59722</v>
      </c>
      <c r="L21" s="7">
        <f>'BATH &amp; NE SOMERSET'!N7</f>
        <v>61688</v>
      </c>
      <c r="M21" s="7">
        <f>'BATH &amp; NE SOMERSET'!O7</f>
        <v>67512</v>
      </c>
      <c r="N21" s="34">
        <f t="shared" si="0"/>
        <v>2.3033094920596436E-2</v>
      </c>
      <c r="O21" s="34"/>
      <c r="P21" s="7">
        <f t="shared" si="1"/>
        <v>-5881</v>
      </c>
      <c r="Q21" s="1004">
        <f t="shared" si="2"/>
        <v>-8.0130257653999698E-2</v>
      </c>
      <c r="R21" s="6">
        <v>439</v>
      </c>
      <c r="S21" s="6">
        <v>433</v>
      </c>
      <c r="T21" s="6">
        <v>488</v>
      </c>
      <c r="U21" s="6">
        <v>472</v>
      </c>
      <c r="V21" s="6">
        <v>511</v>
      </c>
      <c r="W21" s="6">
        <v>525</v>
      </c>
      <c r="X21" s="6">
        <v>491</v>
      </c>
      <c r="Y21" s="6">
        <v>504</v>
      </c>
      <c r="Z21" s="6">
        <v>518</v>
      </c>
      <c r="AA21" s="6">
        <v>511</v>
      </c>
      <c r="AB21" s="6">
        <v>510</v>
      </c>
      <c r="AC21" s="6">
        <v>446</v>
      </c>
      <c r="AD21" s="6">
        <f t="shared" si="3"/>
        <v>64</v>
      </c>
      <c r="AE21" s="6" t="s">
        <v>15830</v>
      </c>
    </row>
    <row r="22" spans="1:31">
      <c r="A22" s="33" t="str">
        <f>'WEST YORKSHIRE'!A13</f>
        <v>Batley and Spen BC</v>
      </c>
      <c r="B22" s="7">
        <f>'WEST YORKSHIRE'!D13</f>
        <v>76619</v>
      </c>
      <c r="C22" s="7">
        <f>'WEST YORKSHIRE'!E13</f>
        <v>77472</v>
      </c>
      <c r="D22" s="7">
        <f>'WEST YORKSHIRE'!F13</f>
        <v>78225</v>
      </c>
      <c r="E22" s="7">
        <f>'WEST YORKSHIRE'!G13</f>
        <v>78576</v>
      </c>
      <c r="F22" s="7">
        <f>'WEST YORKSHIRE'!H13</f>
        <v>78753</v>
      </c>
      <c r="G22" s="7">
        <f>'WEST YORKSHIRE'!I13</f>
        <v>76694</v>
      </c>
      <c r="H22" s="7">
        <f>'WEST YORKSHIRE'!J13</f>
        <v>75961</v>
      </c>
      <c r="I22" s="7">
        <f>'WEST YORKSHIRE'!K13</f>
        <v>78979</v>
      </c>
      <c r="J22" s="7">
        <f>'WEST YORKSHIRE'!L13</f>
        <v>78013</v>
      </c>
      <c r="K22" s="7">
        <f>'WEST YORKSHIRE'!M13</f>
        <v>77416</v>
      </c>
      <c r="L22" s="7">
        <f>'WEST YORKSHIRE'!N13</f>
        <v>80110</v>
      </c>
      <c r="M22" s="7">
        <f>'WEST YORKSHIRE'!O13</f>
        <v>80162</v>
      </c>
      <c r="N22" s="34">
        <f t="shared" si="0"/>
        <v>4.6241793810934621E-2</v>
      </c>
      <c r="O22" s="34"/>
      <c r="P22" s="7">
        <f t="shared" si="1"/>
        <v>6769</v>
      </c>
      <c r="Q22" s="1004">
        <f t="shared" si="2"/>
        <v>9.2229504176147586E-2</v>
      </c>
      <c r="R22" s="6">
        <v>109</v>
      </c>
      <c r="S22" s="6">
        <v>94</v>
      </c>
      <c r="T22" s="6">
        <v>86</v>
      </c>
      <c r="U22" s="6">
        <v>86</v>
      </c>
      <c r="V22" s="6">
        <v>83</v>
      </c>
      <c r="W22" s="6">
        <v>103</v>
      </c>
      <c r="X22" s="6">
        <v>96</v>
      </c>
      <c r="Y22" s="6">
        <v>88</v>
      </c>
      <c r="Z22" s="6">
        <v>123</v>
      </c>
      <c r="AA22" s="6">
        <v>126</v>
      </c>
      <c r="AB22" s="6">
        <v>107</v>
      </c>
      <c r="AC22" s="6">
        <v>127</v>
      </c>
      <c r="AD22" s="6">
        <f t="shared" si="3"/>
        <v>-20</v>
      </c>
      <c r="AE22" s="6" t="s">
        <v>15828</v>
      </c>
    </row>
    <row r="23" spans="1:31">
      <c r="A23" s="33" t="str">
        <f>WANDSWORTH!A7</f>
        <v>Battersea BC</v>
      </c>
      <c r="B23" s="7">
        <f>WANDSWORTH!D7</f>
        <v>71941</v>
      </c>
      <c r="C23" s="7">
        <f>WANDSWORTH!E7</f>
        <v>73028</v>
      </c>
      <c r="D23" s="7">
        <f>WANDSWORTH!F7</f>
        <v>72350</v>
      </c>
      <c r="E23" s="7">
        <f>WANDSWORTH!G7</f>
        <v>71513</v>
      </c>
      <c r="F23" s="7">
        <f>WANDSWORTH!H7</f>
        <v>71409</v>
      </c>
      <c r="G23" s="7">
        <f>WANDSWORTH!I7</f>
        <v>69082</v>
      </c>
      <c r="H23" s="7">
        <f>WANDSWORTH!J7</f>
        <v>69924</v>
      </c>
      <c r="I23" s="7">
        <f>WANDSWORTH!K7</f>
        <v>71401</v>
      </c>
      <c r="J23" s="7">
        <f>WANDSWORTH!L7</f>
        <v>72761</v>
      </c>
      <c r="K23" s="7">
        <f>WANDSWORTH!M7</f>
        <v>69345</v>
      </c>
      <c r="L23" s="7">
        <f>WANDSWORTH!N7</f>
        <v>72115</v>
      </c>
      <c r="M23" s="7">
        <f>WANDSWORTH!O7</f>
        <v>79325</v>
      </c>
      <c r="N23" s="34">
        <f t="shared" si="0"/>
        <v>0.10263966305722745</v>
      </c>
      <c r="O23" s="34"/>
      <c r="P23" s="7">
        <f t="shared" si="1"/>
        <v>5932</v>
      </c>
      <c r="Q23" s="1004">
        <f t="shared" si="2"/>
        <v>8.08251468123663E-2</v>
      </c>
      <c r="R23" s="6">
        <v>249</v>
      </c>
      <c r="S23" s="6">
        <v>225</v>
      </c>
      <c r="T23" s="6">
        <v>280</v>
      </c>
      <c r="U23" s="6">
        <v>314</v>
      </c>
      <c r="V23" s="6">
        <v>302</v>
      </c>
      <c r="W23" s="6">
        <v>330</v>
      </c>
      <c r="X23" s="6">
        <v>272</v>
      </c>
      <c r="Y23" s="6">
        <v>281</v>
      </c>
      <c r="Z23" s="6">
        <v>247</v>
      </c>
      <c r="AA23" s="6">
        <v>352</v>
      </c>
      <c r="AB23" s="6">
        <v>314</v>
      </c>
      <c r="AC23" s="6">
        <v>145</v>
      </c>
      <c r="AD23" s="6">
        <f t="shared" si="3"/>
        <v>169</v>
      </c>
      <c r="AE23" s="6" t="s">
        <v>15827</v>
      </c>
    </row>
    <row r="24" spans="1:31">
      <c r="A24" s="33" t="str">
        <f>BUCKINGHAMSHIRE!A9</f>
        <v>Beaconsfield CC</v>
      </c>
      <c r="B24" s="7">
        <f>BUCKINGHAMSHIRE!D9</f>
        <v>74284</v>
      </c>
      <c r="C24" s="7">
        <f>BUCKINGHAMSHIRE!E9</f>
        <v>75320</v>
      </c>
      <c r="D24" s="7">
        <f>BUCKINGHAMSHIRE!F9</f>
        <v>75807</v>
      </c>
      <c r="E24" s="7">
        <f>BUCKINGHAMSHIRE!G9</f>
        <v>75909</v>
      </c>
      <c r="F24" s="7">
        <f>BUCKINGHAMSHIRE!H9</f>
        <v>76771</v>
      </c>
      <c r="G24" s="7">
        <f>BUCKINGHAMSHIRE!I9</f>
        <v>75981</v>
      </c>
      <c r="H24" s="7">
        <f>BUCKINGHAMSHIRE!J9</f>
        <v>73984</v>
      </c>
      <c r="I24" s="7">
        <f>BUCKINGHAMSHIRE!K9</f>
        <v>76717</v>
      </c>
      <c r="J24" s="7">
        <f>BUCKINGHAMSHIRE!L9</f>
        <v>76582</v>
      </c>
      <c r="K24" s="7">
        <f>BUCKINGHAMSHIRE!M9</f>
        <v>76703</v>
      </c>
      <c r="L24" s="7">
        <f>BUCKINGHAMSHIRE!N9</f>
        <v>77199</v>
      </c>
      <c r="M24" s="7">
        <f>BUCKINGHAMSHIRE!O9</f>
        <v>78524</v>
      </c>
      <c r="N24" s="34">
        <f t="shared" si="0"/>
        <v>5.7078240267083087E-2</v>
      </c>
      <c r="O24" s="34"/>
      <c r="P24" s="7">
        <f t="shared" si="1"/>
        <v>5131</v>
      </c>
      <c r="Q24" s="1004">
        <f t="shared" si="2"/>
        <v>6.9911299442726144E-2</v>
      </c>
      <c r="R24" s="6">
        <v>167</v>
      </c>
      <c r="S24" s="6">
        <v>154</v>
      </c>
      <c r="T24" s="6">
        <v>159</v>
      </c>
      <c r="U24" s="6">
        <v>162</v>
      </c>
      <c r="V24" s="6">
        <v>131</v>
      </c>
      <c r="W24" s="6">
        <v>122</v>
      </c>
      <c r="X24" s="6">
        <v>146</v>
      </c>
      <c r="Y24" s="6">
        <v>133</v>
      </c>
      <c r="Z24" s="6">
        <v>148</v>
      </c>
      <c r="AA24" s="6">
        <v>140</v>
      </c>
      <c r="AB24" s="6">
        <v>182</v>
      </c>
      <c r="AC24" s="6">
        <v>164</v>
      </c>
      <c r="AD24" s="6">
        <f t="shared" si="3"/>
        <v>18</v>
      </c>
      <c r="AE24" s="6" t="s">
        <v>15823</v>
      </c>
    </row>
    <row r="25" spans="1:31">
      <c r="A25" s="33" t="str">
        <f>BROMLEY!A7</f>
        <v>Beckenham BC</v>
      </c>
      <c r="B25" s="7">
        <f>BROMLEY!D7</f>
        <v>66029</v>
      </c>
      <c r="C25" s="7">
        <f>BROMLEY!E7</f>
        <v>66470</v>
      </c>
      <c r="D25" s="7">
        <f>BROMLEY!F7</f>
        <v>67185</v>
      </c>
      <c r="E25" s="7">
        <f>BROMLEY!G7</f>
        <v>67054</v>
      </c>
      <c r="F25" s="7">
        <f>BROMLEY!H7</f>
        <v>66899</v>
      </c>
      <c r="G25" s="7">
        <f>BROMLEY!I7</f>
        <v>66654</v>
      </c>
      <c r="H25" s="7">
        <f>BROMLEY!J7</f>
        <v>66067</v>
      </c>
      <c r="I25" s="7">
        <f>BROMLEY!K7</f>
        <v>67390</v>
      </c>
      <c r="J25" s="7">
        <f>BROMLEY!L7</f>
        <v>67524</v>
      </c>
      <c r="K25" s="7">
        <f>BROMLEY!M7</f>
        <v>67589</v>
      </c>
      <c r="L25" s="7">
        <f>BROMLEY!N7</f>
        <v>67614</v>
      </c>
      <c r="M25" s="7">
        <f>BROMLEY!O7</f>
        <v>68934</v>
      </c>
      <c r="N25" s="34">
        <f t="shared" si="0"/>
        <v>4.3995820018476732E-2</v>
      </c>
      <c r="O25" s="34"/>
      <c r="P25" s="7">
        <f t="shared" si="1"/>
        <v>-4459</v>
      </c>
      <c r="Q25" s="1004">
        <f t="shared" si="2"/>
        <v>-6.0755112885425039E-2</v>
      </c>
      <c r="R25" s="6">
        <v>437</v>
      </c>
      <c r="S25" s="6">
        <v>442</v>
      </c>
      <c r="T25" s="6">
        <v>428</v>
      </c>
      <c r="U25" s="6">
        <v>441</v>
      </c>
      <c r="V25" s="6">
        <v>428</v>
      </c>
      <c r="W25" s="6">
        <v>399</v>
      </c>
      <c r="X25" s="6">
        <v>398</v>
      </c>
      <c r="Y25" s="6">
        <v>404</v>
      </c>
      <c r="Z25" s="6">
        <v>409</v>
      </c>
      <c r="AA25" s="6">
        <v>397</v>
      </c>
      <c r="AB25" s="6">
        <v>428</v>
      </c>
      <c r="AC25" s="6">
        <v>421</v>
      </c>
      <c r="AD25" s="6">
        <f t="shared" si="3"/>
        <v>7</v>
      </c>
      <c r="AE25" s="6" t="s">
        <v>15827</v>
      </c>
    </row>
    <row r="26" spans="1:31">
      <c r="A26" s="33" t="str">
        <f>BEDFORDSHIRE!A13</f>
        <v>Bedford BC</v>
      </c>
      <c r="B26" s="7">
        <f>BEDFORDSHIRE!D13</f>
        <v>68692</v>
      </c>
      <c r="C26" s="7">
        <f>BEDFORDSHIRE!E13</f>
        <v>69019</v>
      </c>
      <c r="D26" s="7">
        <f>BEDFORDSHIRE!F13</f>
        <v>69938</v>
      </c>
      <c r="E26" s="7">
        <f>BEDFORDSHIRE!G13</f>
        <v>69782</v>
      </c>
      <c r="F26" s="7">
        <f>BEDFORDSHIRE!H13</f>
        <v>70766</v>
      </c>
      <c r="G26" s="7">
        <f>BEDFORDSHIRE!I13</f>
        <v>67998</v>
      </c>
      <c r="H26" s="7">
        <f>BEDFORDSHIRE!J13</f>
        <v>70259</v>
      </c>
      <c r="I26" s="7">
        <f>BEDFORDSHIRE!K13</f>
        <v>70465</v>
      </c>
      <c r="J26" s="7">
        <f>BEDFORDSHIRE!L13</f>
        <v>70364</v>
      </c>
      <c r="K26" s="7">
        <f>BEDFORDSHIRE!M13</f>
        <v>68946</v>
      </c>
      <c r="L26" s="7">
        <f>BEDFORDSHIRE!N13</f>
        <v>70013</v>
      </c>
      <c r="M26" s="7">
        <f>BEDFORDSHIRE!O13</f>
        <v>70533</v>
      </c>
      <c r="N26" s="34">
        <f t="shared" si="0"/>
        <v>2.680079194083736E-2</v>
      </c>
      <c r="O26" s="34"/>
      <c r="P26" s="7">
        <f t="shared" si="1"/>
        <v>-2860</v>
      </c>
      <c r="Q26" s="1004">
        <f t="shared" si="2"/>
        <v>-3.8968293978989821E-2</v>
      </c>
      <c r="R26" s="6">
        <v>362</v>
      </c>
      <c r="S26" s="6">
        <v>367</v>
      </c>
      <c r="T26" s="6">
        <v>349</v>
      </c>
      <c r="U26" s="6">
        <v>365</v>
      </c>
      <c r="V26" s="6">
        <v>321</v>
      </c>
      <c r="W26" s="6">
        <v>366</v>
      </c>
      <c r="X26" s="6">
        <v>263</v>
      </c>
      <c r="Y26" s="6">
        <v>318</v>
      </c>
      <c r="Z26" s="6">
        <v>345</v>
      </c>
      <c r="AA26" s="6">
        <v>361</v>
      </c>
      <c r="AB26" s="6">
        <v>389</v>
      </c>
      <c r="AC26" s="6">
        <v>382</v>
      </c>
      <c r="AD26" s="6">
        <f t="shared" si="3"/>
        <v>7</v>
      </c>
      <c r="AE26" s="6" t="s">
        <v>15829</v>
      </c>
    </row>
    <row r="27" spans="1:31">
      <c r="A27" s="33" t="str">
        <f>SOUTHWARK!A7</f>
        <v>Bermondsey and Old Southwark BC</v>
      </c>
      <c r="B27" s="7">
        <f>SOUTHWARK!D7</f>
        <v>75838</v>
      </c>
      <c r="C27" s="7">
        <f>SOUTHWARK!E7</f>
        <v>77186</v>
      </c>
      <c r="D27" s="7">
        <f>SOUTHWARK!F7</f>
        <v>78459</v>
      </c>
      <c r="E27" s="7">
        <f>SOUTHWARK!G7</f>
        <v>79067</v>
      </c>
      <c r="F27" s="7">
        <f>SOUTHWARK!H7</f>
        <v>80467</v>
      </c>
      <c r="G27" s="7">
        <f>SOUTHWARK!I7</f>
        <v>78127</v>
      </c>
      <c r="H27" s="7">
        <f>SOUTHWARK!J7</f>
        <v>80174</v>
      </c>
      <c r="I27" s="7">
        <f>SOUTHWARK!K7</f>
        <v>80084</v>
      </c>
      <c r="J27" s="7">
        <f>SOUTHWARK!L7</f>
        <v>83643</v>
      </c>
      <c r="K27" s="7">
        <f>SOUTHWARK!M7</f>
        <v>85283</v>
      </c>
      <c r="L27" s="7">
        <f>SOUTHWARK!N7</f>
        <v>93146</v>
      </c>
      <c r="M27" s="7">
        <f>SOUTHWARK!O7</f>
        <v>92678</v>
      </c>
      <c r="N27" s="34">
        <f t="shared" si="0"/>
        <v>0.22205226931089955</v>
      </c>
      <c r="O27" s="34"/>
      <c r="P27" s="7">
        <f t="shared" si="1"/>
        <v>19285</v>
      </c>
      <c r="Q27" s="1004">
        <f t="shared" si="2"/>
        <v>0.26276347880588069</v>
      </c>
      <c r="R27" s="6">
        <v>132</v>
      </c>
      <c r="S27" s="6">
        <v>103</v>
      </c>
      <c r="T27" s="6">
        <v>79</v>
      </c>
      <c r="U27" s="6">
        <v>79</v>
      </c>
      <c r="V27" s="6">
        <v>51</v>
      </c>
      <c r="W27" s="6">
        <v>70</v>
      </c>
      <c r="X27" s="6">
        <v>29</v>
      </c>
      <c r="Y27" s="6">
        <v>65</v>
      </c>
      <c r="Z27" s="6">
        <v>27</v>
      </c>
      <c r="AA27" s="6">
        <v>15</v>
      </c>
      <c r="AB27" s="6">
        <v>7</v>
      </c>
      <c r="AC27" s="6">
        <v>9</v>
      </c>
      <c r="AD27" s="6">
        <f t="shared" si="3"/>
        <v>-2</v>
      </c>
      <c r="AE27" s="6" t="s">
        <v>15827</v>
      </c>
    </row>
    <row r="28" spans="1:31">
      <c r="A28" s="33" t="str">
        <f>NORTHUMBERLAND!A7</f>
        <v>Berwick-upon-Tweed CC</v>
      </c>
      <c r="B28" s="7">
        <f>NORTHUMBERLAND!D7</f>
        <v>57112</v>
      </c>
      <c r="C28" s="7">
        <f>NORTHUMBERLAND!E7</f>
        <v>55785</v>
      </c>
      <c r="D28" s="7">
        <f>NORTHUMBERLAND!F7</f>
        <v>57712</v>
      </c>
      <c r="E28" s="7">
        <f>NORTHUMBERLAND!G7</f>
        <v>58392</v>
      </c>
      <c r="F28" s="7">
        <f>NORTHUMBERLAND!H7</f>
        <v>57262</v>
      </c>
      <c r="G28" s="7">
        <f>NORTHUMBERLAND!I7</f>
        <v>57640</v>
      </c>
      <c r="H28" s="7">
        <f>NORTHUMBERLAND!J7</f>
        <v>55548</v>
      </c>
      <c r="I28" s="7">
        <f>NORTHUMBERLAND!K7</f>
        <v>56234</v>
      </c>
      <c r="J28" s="7">
        <f>NORTHUMBERLAND!L7</f>
        <v>57860</v>
      </c>
      <c r="K28" s="7">
        <f>NORTHUMBERLAND!M7</f>
        <v>57544</v>
      </c>
      <c r="L28" s="7">
        <f>NORTHUMBERLAND!N7</f>
        <v>58962</v>
      </c>
      <c r="M28" s="7">
        <f>NORTHUMBERLAND!O7</f>
        <v>59968</v>
      </c>
      <c r="N28" s="34">
        <f t="shared" si="0"/>
        <v>5.00070037820423E-2</v>
      </c>
      <c r="O28" s="34"/>
      <c r="P28" s="7">
        <f t="shared" si="1"/>
        <v>-13425</v>
      </c>
      <c r="Q28" s="1004">
        <f t="shared" si="2"/>
        <v>-0.18291935198179662</v>
      </c>
      <c r="R28" s="6">
        <v>531</v>
      </c>
      <c r="S28" s="6">
        <v>532</v>
      </c>
      <c r="T28" s="6">
        <v>531</v>
      </c>
      <c r="U28" s="6">
        <v>531</v>
      </c>
      <c r="V28" s="6">
        <v>530</v>
      </c>
      <c r="W28" s="6">
        <v>522</v>
      </c>
      <c r="X28" s="6">
        <v>529</v>
      </c>
      <c r="Y28" s="6">
        <v>531</v>
      </c>
      <c r="Z28" s="6">
        <v>527</v>
      </c>
      <c r="AA28" s="6">
        <v>525</v>
      </c>
      <c r="AB28" s="6">
        <v>526</v>
      </c>
      <c r="AC28" s="6">
        <v>525</v>
      </c>
      <c r="AD28" s="6">
        <f t="shared" si="3"/>
        <v>1</v>
      </c>
      <c r="AE28" s="6" t="s">
        <v>2901</v>
      </c>
    </row>
    <row r="29" spans="1:31">
      <c r="A29" s="33" t="str">
        <f>'TOWER HAMLETS'!A7</f>
        <v>Bethnal Green and Bow BC</v>
      </c>
      <c r="B29" s="7">
        <f>'TOWER HAMLETS'!D7</f>
        <v>76272</v>
      </c>
      <c r="C29" s="7">
        <f>'TOWER HAMLETS'!E7</f>
        <v>79581</v>
      </c>
      <c r="D29" s="7">
        <f>'TOWER HAMLETS'!F7</f>
        <v>79121</v>
      </c>
      <c r="E29" s="7">
        <f>'TOWER HAMLETS'!G7</f>
        <v>73224</v>
      </c>
      <c r="F29" s="7">
        <f>'TOWER HAMLETS'!H7</f>
        <v>79658</v>
      </c>
      <c r="G29" s="7">
        <f>'TOWER HAMLETS'!I7</f>
        <v>75914</v>
      </c>
      <c r="H29" s="7">
        <f>'TOWER HAMLETS'!J7</f>
        <v>75002</v>
      </c>
      <c r="I29" s="7">
        <f>'TOWER HAMLETS'!K7</f>
        <v>75088</v>
      </c>
      <c r="J29" s="7">
        <f>'TOWER HAMLETS'!L7</f>
        <v>82056</v>
      </c>
      <c r="K29" s="7">
        <f>'TOWER HAMLETS'!M7</f>
        <v>80064</v>
      </c>
      <c r="L29" s="7">
        <f>'TOWER HAMLETS'!N7</f>
        <v>89099</v>
      </c>
      <c r="M29" s="7">
        <f>'TOWER HAMLETS'!O7</f>
        <v>89050</v>
      </c>
      <c r="N29" s="34">
        <f t="shared" si="0"/>
        <v>0.16753199076987624</v>
      </c>
      <c r="O29" s="34"/>
      <c r="P29" s="7">
        <f t="shared" si="1"/>
        <v>15657</v>
      </c>
      <c r="Q29" s="1004">
        <f t="shared" si="2"/>
        <v>0.21333097161854672</v>
      </c>
      <c r="R29" s="6">
        <v>118</v>
      </c>
      <c r="S29" s="6">
        <v>48</v>
      </c>
      <c r="T29" s="6">
        <v>65</v>
      </c>
      <c r="U29" s="6">
        <v>247</v>
      </c>
      <c r="V29" s="6">
        <v>63</v>
      </c>
      <c r="W29" s="6">
        <v>125</v>
      </c>
      <c r="X29" s="6">
        <v>118</v>
      </c>
      <c r="Y29" s="6">
        <v>157</v>
      </c>
      <c r="Z29" s="6">
        <v>44</v>
      </c>
      <c r="AA29" s="6">
        <v>73</v>
      </c>
      <c r="AB29" s="6">
        <v>16</v>
      </c>
      <c r="AC29" s="6">
        <v>18</v>
      </c>
      <c r="AD29" s="6">
        <f t="shared" si="3"/>
        <v>-2</v>
      </c>
      <c r="AE29" s="6" t="s">
        <v>15827</v>
      </c>
    </row>
    <row r="30" spans="1:31">
      <c r="A30" s="33" t="str">
        <f>'"HUMBERSIDE"'!A15</f>
        <v>Beverley and Holderness CC</v>
      </c>
      <c r="B30" s="7">
        <f>'"HUMBERSIDE"'!D15</f>
        <v>79788</v>
      </c>
      <c r="C30" s="7">
        <f>'"HUMBERSIDE"'!E15</f>
        <v>79775</v>
      </c>
      <c r="D30" s="7">
        <f>'"HUMBERSIDE"'!F15</f>
        <v>80082</v>
      </c>
      <c r="E30" s="7">
        <f>'"HUMBERSIDE"'!G15</f>
        <v>80263</v>
      </c>
      <c r="F30" s="7">
        <f>'"HUMBERSIDE"'!H15</f>
        <v>80289</v>
      </c>
      <c r="G30" s="7">
        <f>'"HUMBERSIDE"'!I15</f>
        <v>79095</v>
      </c>
      <c r="H30" s="7">
        <f>'"HUMBERSIDE"'!J15</f>
        <v>76641</v>
      </c>
      <c r="I30" s="7">
        <f>'"HUMBERSIDE"'!K15</f>
        <v>78290</v>
      </c>
      <c r="J30" s="7">
        <f>'"HUMBERSIDE"'!L15</f>
        <v>78817</v>
      </c>
      <c r="K30" s="7">
        <f>'"HUMBERSIDE"'!M15</f>
        <v>79184</v>
      </c>
      <c r="L30" s="7">
        <f>'"HUMBERSIDE"'!N15</f>
        <v>78645</v>
      </c>
      <c r="M30" s="7">
        <f>'"HUMBERSIDE"'!O15</f>
        <v>79564</v>
      </c>
      <c r="N30" s="34">
        <f t="shared" si="0"/>
        <v>-2.8074397152454003E-3</v>
      </c>
      <c r="O30" s="34"/>
      <c r="P30" s="7">
        <f t="shared" si="1"/>
        <v>6171</v>
      </c>
      <c r="Q30" s="1004">
        <f t="shared" si="2"/>
        <v>8.4081588162358806E-2</v>
      </c>
      <c r="R30" s="6">
        <v>38</v>
      </c>
      <c r="S30" s="6">
        <v>44</v>
      </c>
      <c r="T30" s="6">
        <v>47</v>
      </c>
      <c r="U30" s="6">
        <v>51</v>
      </c>
      <c r="V30" s="6">
        <v>53</v>
      </c>
      <c r="W30" s="6">
        <v>53</v>
      </c>
      <c r="X30" s="6">
        <v>86</v>
      </c>
      <c r="Y30" s="6">
        <v>99</v>
      </c>
      <c r="Z30" s="6">
        <v>100</v>
      </c>
      <c r="AA30" s="6">
        <v>84</v>
      </c>
      <c r="AB30" s="6">
        <v>145</v>
      </c>
      <c r="AC30" s="6">
        <v>138</v>
      </c>
      <c r="AD30" s="6">
        <f t="shared" si="3"/>
        <v>7</v>
      </c>
      <c r="AE30" s="6" t="s">
        <v>15828</v>
      </c>
    </row>
    <row r="31" spans="1:31">
      <c r="A31" s="33" t="str">
        <f>'EAST SUSSEX'!A17</f>
        <v>Bexhill and Battle CC</v>
      </c>
      <c r="B31" s="7">
        <f>'EAST SUSSEX'!D19</f>
        <v>78169</v>
      </c>
      <c r="C31" s="7">
        <f>'EAST SUSSEX'!E19</f>
        <v>78602</v>
      </c>
      <c r="D31" s="7">
        <f>'EAST SUSSEX'!F19</f>
        <v>78902</v>
      </c>
      <c r="E31" s="7">
        <f>'EAST SUSSEX'!G19</f>
        <v>79613</v>
      </c>
      <c r="F31" s="7">
        <f>'EAST SUSSEX'!H19</f>
        <v>76652</v>
      </c>
      <c r="G31" s="7">
        <f>'EAST SUSSEX'!I19</f>
        <v>77532</v>
      </c>
      <c r="H31" s="7">
        <f>'EAST SUSSEX'!J19</f>
        <v>77221</v>
      </c>
      <c r="I31" s="7">
        <f>'EAST SUSSEX'!K19</f>
        <v>79896</v>
      </c>
      <c r="J31" s="7">
        <f>'EAST SUSSEX'!L19</f>
        <v>80474</v>
      </c>
      <c r="K31" s="7">
        <f>'EAST SUSSEX'!M19</f>
        <v>80289</v>
      </c>
      <c r="L31" s="7">
        <f>'EAST SUSSEX'!N19</f>
        <v>82091</v>
      </c>
      <c r="M31" s="7">
        <f>'EAST SUSSEX'!O19</f>
        <v>82773</v>
      </c>
      <c r="N31" s="34">
        <f t="shared" si="0"/>
        <v>5.8898028630275427E-2</v>
      </c>
      <c r="O31" s="34"/>
      <c r="P31" s="7">
        <f t="shared" si="1"/>
        <v>9380</v>
      </c>
      <c r="Q31" s="1004">
        <f t="shared" si="2"/>
        <v>0.12780510402899459</v>
      </c>
      <c r="R31" s="6">
        <v>64</v>
      </c>
      <c r="S31" s="6">
        <v>68</v>
      </c>
      <c r="T31" s="6">
        <v>69</v>
      </c>
      <c r="U31" s="6">
        <v>63</v>
      </c>
      <c r="V31" s="6">
        <v>134</v>
      </c>
      <c r="W31" s="6">
        <v>81</v>
      </c>
      <c r="X31" s="6">
        <v>73</v>
      </c>
      <c r="Y31" s="6">
        <v>71</v>
      </c>
      <c r="Z31" s="6">
        <v>71</v>
      </c>
      <c r="AA31" s="6">
        <v>68</v>
      </c>
      <c r="AB31" s="6">
        <v>71</v>
      </c>
      <c r="AC31" s="6">
        <v>77</v>
      </c>
      <c r="AD31" s="6">
        <f t="shared" si="3"/>
        <v>-6</v>
      </c>
      <c r="AE31" s="6" t="s">
        <v>15823</v>
      </c>
    </row>
    <row r="32" spans="1:31">
      <c r="A32" s="33" t="str">
        <f>BEXLEY!A7</f>
        <v>Bexleyheath and Crayford BC</v>
      </c>
      <c r="B32" s="7">
        <f>BEXLEY!D7</f>
        <v>64791</v>
      </c>
      <c r="C32" s="7">
        <f>BEXLEY!E7</f>
        <v>64144</v>
      </c>
      <c r="D32" s="7">
        <f>BEXLEY!F7</f>
        <v>65252</v>
      </c>
      <c r="E32" s="7">
        <f>BEXLEY!G7</f>
        <v>65515</v>
      </c>
      <c r="F32" s="7">
        <f>BEXLEY!H7</f>
        <v>65942</v>
      </c>
      <c r="G32" s="7">
        <f>BEXLEY!I7</f>
        <v>65029</v>
      </c>
      <c r="H32" s="7">
        <f>BEXLEY!J7</f>
        <v>63243</v>
      </c>
      <c r="I32" s="7">
        <f>BEXLEY!K7</f>
        <v>64731</v>
      </c>
      <c r="J32" s="7">
        <f>BEXLEY!L7</f>
        <v>65015</v>
      </c>
      <c r="K32" s="7">
        <f>BEXLEY!M7</f>
        <v>64112</v>
      </c>
      <c r="L32" s="7">
        <f>BEXLEY!N7</f>
        <v>64753</v>
      </c>
      <c r="M32" s="7">
        <f>BEXLEY!O7</f>
        <v>65875</v>
      </c>
      <c r="N32" s="34">
        <f t="shared" si="0"/>
        <v>1.6730718772669042E-2</v>
      </c>
      <c r="O32" s="34"/>
      <c r="P32" s="7">
        <f t="shared" si="1"/>
        <v>-7518</v>
      </c>
      <c r="Q32" s="1004">
        <f t="shared" si="2"/>
        <v>-0.10243483710980611</v>
      </c>
      <c r="R32" s="6">
        <v>471</v>
      </c>
      <c r="S32" s="6">
        <v>490</v>
      </c>
      <c r="T32" s="6">
        <v>477</v>
      </c>
      <c r="U32" s="6">
        <v>477</v>
      </c>
      <c r="V32" s="6">
        <v>450</v>
      </c>
      <c r="W32" s="6">
        <v>440</v>
      </c>
      <c r="X32" s="6">
        <v>459</v>
      </c>
      <c r="Y32" s="6">
        <v>458</v>
      </c>
      <c r="Z32" s="6">
        <v>463</v>
      </c>
      <c r="AA32" s="6">
        <v>466</v>
      </c>
      <c r="AB32" s="6">
        <v>475</v>
      </c>
      <c r="AC32" s="6">
        <v>469</v>
      </c>
      <c r="AD32" s="6">
        <f t="shared" si="3"/>
        <v>6</v>
      </c>
      <c r="AE32" s="6" t="s">
        <v>15827</v>
      </c>
    </row>
    <row r="33" spans="1:31">
      <c r="A33" s="33" t="str">
        <f>MERSEYSIDE!A13</f>
        <v>Birkenhead BC</v>
      </c>
      <c r="B33" s="7">
        <f>MERSEYSIDE!D13</f>
        <v>62970</v>
      </c>
      <c r="C33" s="7">
        <f>MERSEYSIDE!E13</f>
        <v>62432</v>
      </c>
      <c r="D33" s="7">
        <f>MERSEYSIDE!F13</f>
        <v>61583</v>
      </c>
      <c r="E33" s="7">
        <f>MERSEYSIDE!G13</f>
        <v>62399</v>
      </c>
      <c r="F33" s="7">
        <f>MERSEYSIDE!H13</f>
        <v>62303</v>
      </c>
      <c r="G33" s="7">
        <f>MERSEYSIDE!I13</f>
        <v>60194</v>
      </c>
      <c r="H33" s="7">
        <f>MERSEYSIDE!J13</f>
        <v>60845</v>
      </c>
      <c r="I33" s="7">
        <f>MERSEYSIDE!K13</f>
        <v>62434</v>
      </c>
      <c r="J33" s="7">
        <f>MERSEYSIDE!L13</f>
        <v>63062</v>
      </c>
      <c r="K33" s="7">
        <f>MERSEYSIDE!M13</f>
        <v>61964</v>
      </c>
      <c r="L33" s="7">
        <f>MERSEYSIDE!N13</f>
        <v>64151</v>
      </c>
      <c r="M33" s="7">
        <f>MERSEYSIDE!O13</f>
        <v>64278</v>
      </c>
      <c r="N33" s="34">
        <f t="shared" si="0"/>
        <v>2.0771796093377801E-2</v>
      </c>
      <c r="O33" s="34"/>
      <c r="P33" s="7">
        <f t="shared" si="1"/>
        <v>-9115</v>
      </c>
      <c r="Q33" s="1004">
        <f t="shared" si="2"/>
        <v>-0.12419440546101126</v>
      </c>
      <c r="R33" s="6">
        <v>503</v>
      </c>
      <c r="S33" s="6">
        <v>510</v>
      </c>
      <c r="T33" s="6">
        <v>521</v>
      </c>
      <c r="U33" s="6">
        <v>511</v>
      </c>
      <c r="V33" s="6">
        <v>501</v>
      </c>
      <c r="W33" s="6">
        <v>507</v>
      </c>
      <c r="X33" s="6">
        <v>493</v>
      </c>
      <c r="Y33" s="6">
        <v>494</v>
      </c>
      <c r="Z33" s="6">
        <v>489</v>
      </c>
      <c r="AA33" s="6">
        <v>491</v>
      </c>
      <c r="AB33" s="6">
        <v>487</v>
      </c>
      <c r="AC33" s="6">
        <v>492</v>
      </c>
      <c r="AD33" s="6">
        <f t="shared" si="3"/>
        <v>-5</v>
      </c>
      <c r="AE33" s="6" t="s">
        <v>15825</v>
      </c>
    </row>
    <row r="34" spans="1:31">
      <c r="A34" s="33" t="str">
        <f>'WEST MIDLANDS'!A17</f>
        <v>Birmingham, Edgbaston BC</v>
      </c>
      <c r="B34" s="7">
        <f>'WEST MIDLANDS'!D17</f>
        <v>68566</v>
      </c>
      <c r="C34" s="7">
        <f>'WEST MIDLANDS'!E17</f>
        <v>69039</v>
      </c>
      <c r="D34" s="7">
        <f>'WEST MIDLANDS'!F17</f>
        <v>70384</v>
      </c>
      <c r="E34" s="7">
        <f>'WEST MIDLANDS'!G17</f>
        <v>68876</v>
      </c>
      <c r="F34" s="7">
        <f>'WEST MIDLANDS'!H17</f>
        <v>66612</v>
      </c>
      <c r="G34" s="7">
        <f>'WEST MIDLANDS'!I17</f>
        <v>63153</v>
      </c>
      <c r="H34" s="7">
        <f>'WEST MIDLANDS'!J17</f>
        <v>62795</v>
      </c>
      <c r="I34" s="7">
        <f>'WEST MIDLANDS'!K17</f>
        <v>63043</v>
      </c>
      <c r="J34" s="7">
        <f>'WEST MIDLANDS'!L17</f>
        <v>62185</v>
      </c>
      <c r="K34" s="7">
        <f>'WEST MIDLANDS'!M17</f>
        <v>62299</v>
      </c>
      <c r="L34" s="7">
        <f>'WEST MIDLANDS'!N17</f>
        <v>67327</v>
      </c>
      <c r="M34" s="7">
        <f>'WEST MIDLANDS'!O17</f>
        <v>67047</v>
      </c>
      <c r="N34" s="34">
        <f t="shared" si="0"/>
        <v>-2.2153837178776652E-2</v>
      </c>
      <c r="O34" s="34"/>
      <c r="P34" s="7">
        <f t="shared" si="1"/>
        <v>-6346</v>
      </c>
      <c r="Q34" s="1004">
        <f t="shared" si="2"/>
        <v>-8.6466011744989302E-2</v>
      </c>
      <c r="R34" s="6">
        <v>366</v>
      </c>
      <c r="S34" s="6">
        <v>366</v>
      </c>
      <c r="T34" s="6">
        <v>337</v>
      </c>
      <c r="U34" s="6">
        <v>392</v>
      </c>
      <c r="V34" s="6">
        <v>442</v>
      </c>
      <c r="W34" s="6">
        <v>480</v>
      </c>
      <c r="X34" s="6">
        <v>468</v>
      </c>
      <c r="Y34" s="6">
        <v>483</v>
      </c>
      <c r="Z34" s="6">
        <v>498</v>
      </c>
      <c r="AA34" s="6">
        <v>486</v>
      </c>
      <c r="AB34" s="6">
        <v>433</v>
      </c>
      <c r="AC34" s="6">
        <v>449</v>
      </c>
      <c r="AD34" s="6">
        <f t="shared" si="3"/>
        <v>-16</v>
      </c>
      <c r="AE34" s="6" t="s">
        <v>15824</v>
      </c>
    </row>
    <row r="35" spans="1:31">
      <c r="A35" s="33" t="str">
        <f>'WEST MIDLANDS'!A19</f>
        <v>Birmingham, Erdington BC</v>
      </c>
      <c r="B35" s="7">
        <f>'WEST MIDLANDS'!D19</f>
        <v>66839</v>
      </c>
      <c r="C35" s="7">
        <f>'WEST MIDLANDS'!E19</f>
        <v>67598</v>
      </c>
      <c r="D35" s="7">
        <f>'WEST MIDLANDS'!F19</f>
        <v>68502</v>
      </c>
      <c r="E35" s="7">
        <f>'WEST MIDLANDS'!G19</f>
        <v>67691</v>
      </c>
      <c r="F35" s="7">
        <f>'WEST MIDLANDS'!H19</f>
        <v>65005</v>
      </c>
      <c r="G35" s="7">
        <f>'WEST MIDLANDS'!I19</f>
        <v>65226</v>
      </c>
      <c r="H35" s="7">
        <f>'WEST MIDLANDS'!J19</f>
        <v>62552</v>
      </c>
      <c r="I35" s="7">
        <f>'WEST MIDLANDS'!K19</f>
        <v>62672</v>
      </c>
      <c r="J35" s="7">
        <f>'WEST MIDLANDS'!L19</f>
        <v>63432</v>
      </c>
      <c r="K35" s="7">
        <f>'WEST MIDLANDS'!M19</f>
        <v>62257</v>
      </c>
      <c r="L35" s="7">
        <f>'WEST MIDLANDS'!N19</f>
        <v>65355</v>
      </c>
      <c r="M35" s="7">
        <f>'WEST MIDLANDS'!O19</f>
        <v>64921</v>
      </c>
      <c r="N35" s="34">
        <f t="shared" si="0"/>
        <v>-2.8695821301934498E-2</v>
      </c>
      <c r="O35" s="34"/>
      <c r="P35" s="7">
        <f t="shared" si="1"/>
        <v>-8472</v>
      </c>
      <c r="Q35" s="1004">
        <f t="shared" si="2"/>
        <v>-0.11543335195454607</v>
      </c>
      <c r="R35" s="6">
        <v>419</v>
      </c>
      <c r="S35" s="6">
        <v>404</v>
      </c>
      <c r="T35" s="6">
        <v>387</v>
      </c>
      <c r="U35" s="6">
        <v>419</v>
      </c>
      <c r="V35" s="6">
        <v>470</v>
      </c>
      <c r="W35" s="6">
        <v>431</v>
      </c>
      <c r="X35" s="6">
        <v>473</v>
      </c>
      <c r="Y35" s="6">
        <v>488</v>
      </c>
      <c r="Z35" s="6">
        <v>485</v>
      </c>
      <c r="AA35" s="6">
        <v>488</v>
      </c>
      <c r="AB35" s="6">
        <v>468</v>
      </c>
      <c r="AC35" s="6">
        <v>484</v>
      </c>
      <c r="AD35" s="6">
        <f t="shared" si="3"/>
        <v>-16</v>
      </c>
      <c r="AE35" s="6" t="s">
        <v>15824</v>
      </c>
    </row>
    <row r="36" spans="1:31">
      <c r="A36" s="33" t="str">
        <f>'WEST MIDLANDS'!A21</f>
        <v>Birmingham, Hall Green BC</v>
      </c>
      <c r="B36" s="7">
        <f>'WEST MIDLANDS'!D21</f>
        <v>76576</v>
      </c>
      <c r="C36" s="7">
        <f>'WEST MIDLANDS'!E21</f>
        <v>77157</v>
      </c>
      <c r="D36" s="7">
        <f>'WEST MIDLANDS'!F21</f>
        <v>78332</v>
      </c>
      <c r="E36" s="7">
        <f>'WEST MIDLANDS'!G21</f>
        <v>77606</v>
      </c>
      <c r="F36" s="7">
        <f>'WEST MIDLANDS'!H21</f>
        <v>75756</v>
      </c>
      <c r="G36" s="7">
        <f>'WEST MIDLANDS'!I21</f>
        <v>76176</v>
      </c>
      <c r="H36" s="7">
        <f>'WEST MIDLANDS'!J21</f>
        <v>73938</v>
      </c>
      <c r="I36" s="7">
        <f>'WEST MIDLANDS'!K21</f>
        <v>74790</v>
      </c>
      <c r="J36" s="7">
        <f>'WEST MIDLANDS'!L21</f>
        <v>76050</v>
      </c>
      <c r="K36" s="7">
        <f>'WEST MIDLANDS'!M21</f>
        <v>75061</v>
      </c>
      <c r="L36" s="7">
        <f>'WEST MIDLANDS'!N21</f>
        <v>79247</v>
      </c>
      <c r="M36" s="7">
        <f>'WEST MIDLANDS'!O21</f>
        <v>78994</v>
      </c>
      <c r="N36" s="34">
        <f t="shared" si="0"/>
        <v>3.1576473046385292E-2</v>
      </c>
      <c r="O36" s="34"/>
      <c r="P36" s="7">
        <f t="shared" si="1"/>
        <v>5601</v>
      </c>
      <c r="Q36" s="1004">
        <f t="shared" si="2"/>
        <v>7.6315179921790904E-2</v>
      </c>
      <c r="R36" s="6">
        <v>111</v>
      </c>
      <c r="S36" s="6">
        <v>104</v>
      </c>
      <c r="T36" s="6">
        <v>84</v>
      </c>
      <c r="U36" s="6">
        <v>125</v>
      </c>
      <c r="V36" s="6">
        <v>153</v>
      </c>
      <c r="W36" s="6">
        <v>117</v>
      </c>
      <c r="X36" s="6">
        <v>147</v>
      </c>
      <c r="Y36" s="6">
        <v>166</v>
      </c>
      <c r="Z36" s="6">
        <v>156</v>
      </c>
      <c r="AA36" s="6">
        <v>166</v>
      </c>
      <c r="AB36" s="6">
        <v>137</v>
      </c>
      <c r="AC36" s="6">
        <v>153</v>
      </c>
      <c r="AD36" s="6">
        <f t="shared" si="3"/>
        <v>-16</v>
      </c>
      <c r="AE36" s="6" t="s">
        <v>15824</v>
      </c>
    </row>
    <row r="37" spans="1:31">
      <c r="A37" s="33" t="str">
        <f>'WEST MIDLANDS'!A23</f>
        <v>Birmingham, Hodge Hill BC</v>
      </c>
      <c r="B37" s="7">
        <f>'WEST MIDLANDS'!D23</f>
        <v>75330</v>
      </c>
      <c r="C37" s="7">
        <f>'WEST MIDLANDS'!E23</f>
        <v>75985</v>
      </c>
      <c r="D37" s="7">
        <f>'WEST MIDLANDS'!F23</f>
        <v>77227</v>
      </c>
      <c r="E37" s="7">
        <f>'WEST MIDLANDS'!G23</f>
        <v>76767</v>
      </c>
      <c r="F37" s="7">
        <f>'WEST MIDLANDS'!H23</f>
        <v>74885</v>
      </c>
      <c r="G37" s="7">
        <f>'WEST MIDLANDS'!I23</f>
        <v>75362</v>
      </c>
      <c r="H37" s="7">
        <f>'WEST MIDLANDS'!J23</f>
        <v>73173</v>
      </c>
      <c r="I37" s="7">
        <f>'WEST MIDLANDS'!K23</f>
        <v>73384</v>
      </c>
      <c r="J37" s="7">
        <f>'WEST MIDLANDS'!L23</f>
        <v>74810</v>
      </c>
      <c r="K37" s="7">
        <f>'WEST MIDLANDS'!M23</f>
        <v>73784</v>
      </c>
      <c r="L37" s="7">
        <f>'WEST MIDLANDS'!N23</f>
        <v>77716</v>
      </c>
      <c r="M37" s="7">
        <f>'WEST MIDLANDS'!O23</f>
        <v>77491</v>
      </c>
      <c r="N37" s="34">
        <f t="shared" si="0"/>
        <v>2.8687110049117219E-2</v>
      </c>
      <c r="O37" s="34"/>
      <c r="P37" s="7">
        <f t="shared" si="1"/>
        <v>4098</v>
      </c>
      <c r="Q37" s="1004">
        <f t="shared" si="2"/>
        <v>5.5836387666398701E-2</v>
      </c>
      <c r="R37" s="6">
        <v>141</v>
      </c>
      <c r="S37" s="6">
        <v>141</v>
      </c>
      <c r="T37" s="6">
        <v>123</v>
      </c>
      <c r="U37" s="6">
        <v>145</v>
      </c>
      <c r="V37" s="6">
        <v>174</v>
      </c>
      <c r="W37" s="6">
        <v>135</v>
      </c>
      <c r="X37" s="6">
        <v>162</v>
      </c>
      <c r="Y37" s="6">
        <v>211</v>
      </c>
      <c r="Z37" s="6">
        <v>184</v>
      </c>
      <c r="AA37" s="6">
        <v>193</v>
      </c>
      <c r="AB37" s="6">
        <v>165</v>
      </c>
      <c r="AC37" s="6">
        <v>180</v>
      </c>
      <c r="AD37" s="6">
        <f t="shared" si="3"/>
        <v>-15</v>
      </c>
      <c r="AE37" s="6" t="s">
        <v>15824</v>
      </c>
    </row>
    <row r="38" spans="1:31">
      <c r="A38" s="33" t="str">
        <f>'WEST MIDLANDS'!A25</f>
        <v>Birmingham, Ladywood BC</v>
      </c>
      <c r="B38" s="7">
        <f>'WEST MIDLANDS'!D25</f>
        <v>72809</v>
      </c>
      <c r="C38" s="7">
        <f>'WEST MIDLANDS'!E25</f>
        <v>74008</v>
      </c>
      <c r="D38" s="7">
        <f>'WEST MIDLANDS'!F25</f>
        <v>76272</v>
      </c>
      <c r="E38" s="7">
        <f>'WEST MIDLANDS'!G25</f>
        <v>74635</v>
      </c>
      <c r="F38" s="7">
        <f>'WEST MIDLANDS'!H25</f>
        <v>70289</v>
      </c>
      <c r="G38" s="7">
        <f>'WEST MIDLANDS'!I25</f>
        <v>65207</v>
      </c>
      <c r="H38" s="7">
        <f>'WEST MIDLANDS'!J25</f>
        <v>65716</v>
      </c>
      <c r="I38" s="7">
        <f>'WEST MIDLANDS'!K25</f>
        <v>64608</v>
      </c>
      <c r="J38" s="7">
        <f>'WEST MIDLANDS'!L25</f>
        <v>65171</v>
      </c>
      <c r="K38" s="7">
        <f>'WEST MIDLANDS'!M25</f>
        <v>65359</v>
      </c>
      <c r="L38" s="7">
        <f>'WEST MIDLANDS'!N25</f>
        <v>71883</v>
      </c>
      <c r="M38" s="7">
        <f>'WEST MIDLANDS'!O25</f>
        <v>72918</v>
      </c>
      <c r="N38" s="34">
        <f t="shared" si="0"/>
        <v>1.4970676702056064E-3</v>
      </c>
      <c r="O38" s="34"/>
      <c r="P38" s="7">
        <f t="shared" si="1"/>
        <v>-475</v>
      </c>
      <c r="Q38" s="1004">
        <f t="shared" si="2"/>
        <v>-6.4720068671399178E-3</v>
      </c>
      <c r="R38" s="6">
        <v>207</v>
      </c>
      <c r="S38" s="6">
        <v>187</v>
      </c>
      <c r="T38" s="6">
        <v>148</v>
      </c>
      <c r="U38" s="6">
        <v>190</v>
      </c>
      <c r="V38" s="6">
        <v>345</v>
      </c>
      <c r="W38" s="6">
        <v>433</v>
      </c>
      <c r="X38" s="6">
        <v>408</v>
      </c>
      <c r="Y38" s="6">
        <v>462</v>
      </c>
      <c r="Z38" s="6">
        <v>457</v>
      </c>
      <c r="AA38" s="6">
        <v>444</v>
      </c>
      <c r="AB38" s="6">
        <v>319</v>
      </c>
      <c r="AC38" s="6">
        <v>321</v>
      </c>
      <c r="AD38" s="6">
        <f t="shared" si="3"/>
        <v>-2</v>
      </c>
      <c r="AE38" s="6" t="s">
        <v>15824</v>
      </c>
    </row>
    <row r="39" spans="1:31">
      <c r="A39" s="33" t="str">
        <f>'WEST MIDLANDS'!A27</f>
        <v>Birmingham, Northfield BC</v>
      </c>
      <c r="B39" s="7">
        <f>'WEST MIDLANDS'!D27</f>
        <v>71866</v>
      </c>
      <c r="C39" s="7">
        <f>'WEST MIDLANDS'!E27</f>
        <v>72190</v>
      </c>
      <c r="D39" s="7">
        <f>'WEST MIDLANDS'!F27</f>
        <v>73071</v>
      </c>
      <c r="E39" s="7">
        <f>'WEST MIDLANDS'!G27</f>
        <v>72659</v>
      </c>
      <c r="F39" s="7">
        <f>'WEST MIDLANDS'!H27</f>
        <v>71315</v>
      </c>
      <c r="G39" s="7">
        <f>'WEST MIDLANDS'!I27</f>
        <v>71803</v>
      </c>
      <c r="H39" s="7">
        <f>'WEST MIDLANDS'!J27</f>
        <v>69377</v>
      </c>
      <c r="I39" s="7">
        <f>'WEST MIDLANDS'!K27</f>
        <v>70001</v>
      </c>
      <c r="J39" s="7">
        <f>'WEST MIDLANDS'!L27</f>
        <v>70614</v>
      </c>
      <c r="K39" s="7">
        <f>'WEST MIDLANDS'!M27</f>
        <v>69373</v>
      </c>
      <c r="L39" s="7">
        <f>'WEST MIDLANDS'!N27</f>
        <v>72880</v>
      </c>
      <c r="M39" s="7">
        <f>'WEST MIDLANDS'!O27</f>
        <v>72306</v>
      </c>
      <c r="N39" s="34">
        <f t="shared" si="0"/>
        <v>6.1225057746361281E-3</v>
      </c>
      <c r="O39" s="34"/>
      <c r="P39" s="7">
        <f t="shared" si="1"/>
        <v>-1087</v>
      </c>
      <c r="Q39" s="1004">
        <f t="shared" si="2"/>
        <v>-1.4810676767539138E-2</v>
      </c>
      <c r="R39" s="6">
        <v>255</v>
      </c>
      <c r="S39" s="6">
        <v>262</v>
      </c>
      <c r="T39" s="6">
        <v>245</v>
      </c>
      <c r="U39" s="6">
        <v>281</v>
      </c>
      <c r="V39" s="6">
        <v>303</v>
      </c>
      <c r="W39" s="6">
        <v>237</v>
      </c>
      <c r="X39" s="6">
        <v>296</v>
      </c>
      <c r="Y39" s="6">
        <v>338</v>
      </c>
      <c r="Z39" s="6">
        <v>334</v>
      </c>
      <c r="AA39" s="6">
        <v>351</v>
      </c>
      <c r="AB39" s="6">
        <v>292</v>
      </c>
      <c r="AC39" s="6">
        <v>339</v>
      </c>
      <c r="AD39" s="6">
        <f t="shared" si="3"/>
        <v>-47</v>
      </c>
      <c r="AE39" s="6" t="s">
        <v>15824</v>
      </c>
    </row>
    <row r="40" spans="1:31">
      <c r="A40" s="33" t="str">
        <f>'WEST MIDLANDS'!A29</f>
        <v>Birmingham, Perry Barr BC</v>
      </c>
      <c r="B40" s="7">
        <f>'WEST MIDLANDS'!D29</f>
        <v>71647</v>
      </c>
      <c r="C40" s="7">
        <f>'WEST MIDLANDS'!E29</f>
        <v>71794</v>
      </c>
      <c r="D40" s="7">
        <f>'WEST MIDLANDS'!F29</f>
        <v>73100</v>
      </c>
      <c r="E40" s="7">
        <f>'WEST MIDLANDS'!G29</f>
        <v>72838</v>
      </c>
      <c r="F40" s="7">
        <f>'WEST MIDLANDS'!H29</f>
        <v>70560</v>
      </c>
      <c r="G40" s="7">
        <f>'WEST MIDLANDS'!I29</f>
        <v>70088</v>
      </c>
      <c r="H40" s="7">
        <f>'WEST MIDLANDS'!J29</f>
        <v>67710</v>
      </c>
      <c r="I40" s="7">
        <f>'WEST MIDLANDS'!K29</f>
        <v>67895</v>
      </c>
      <c r="J40" s="7">
        <f>'WEST MIDLANDS'!L29</f>
        <v>68494</v>
      </c>
      <c r="K40" s="7">
        <f>'WEST MIDLANDS'!M29</f>
        <v>67765</v>
      </c>
      <c r="L40" s="7">
        <f>'WEST MIDLANDS'!N29</f>
        <v>71118</v>
      </c>
      <c r="M40" s="7">
        <f>'WEST MIDLANDS'!O29</f>
        <v>70995</v>
      </c>
      <c r="N40" s="34">
        <f t="shared" si="0"/>
        <v>-9.1001716750177958E-3</v>
      </c>
      <c r="O40" s="34"/>
      <c r="P40" s="7">
        <f t="shared" si="1"/>
        <v>-2398</v>
      </c>
      <c r="Q40" s="1004">
        <f t="shared" si="2"/>
        <v>-3.2673415720845311E-2</v>
      </c>
      <c r="R40" s="6">
        <v>265</v>
      </c>
      <c r="S40" s="6">
        <v>287</v>
      </c>
      <c r="T40" s="6">
        <v>243</v>
      </c>
      <c r="U40" s="6">
        <v>271</v>
      </c>
      <c r="V40" s="6">
        <v>328</v>
      </c>
      <c r="W40" s="6">
        <v>287</v>
      </c>
      <c r="X40" s="6">
        <v>346</v>
      </c>
      <c r="Y40" s="6">
        <v>393</v>
      </c>
      <c r="Z40" s="6">
        <v>387</v>
      </c>
      <c r="AA40" s="6">
        <v>392</v>
      </c>
      <c r="AB40" s="6">
        <v>351</v>
      </c>
      <c r="AC40" s="6">
        <v>373</v>
      </c>
      <c r="AD40" s="6">
        <f t="shared" si="3"/>
        <v>-22</v>
      </c>
      <c r="AE40" s="6" t="s">
        <v>15824</v>
      </c>
    </row>
    <row r="41" spans="1:31">
      <c r="A41" s="33" t="str">
        <f>'WEST MIDLANDS'!A31</f>
        <v>Birmingham, Selly Oak BC</v>
      </c>
      <c r="B41" s="7">
        <f>'WEST MIDLANDS'!D31</f>
        <v>75048</v>
      </c>
      <c r="C41" s="7">
        <f>'WEST MIDLANDS'!E31</f>
        <v>75668</v>
      </c>
      <c r="D41" s="7">
        <f>'WEST MIDLANDS'!F31</f>
        <v>76884</v>
      </c>
      <c r="E41" s="7">
        <f>'WEST MIDLANDS'!G31</f>
        <v>76416</v>
      </c>
      <c r="F41" s="7">
        <f>'WEST MIDLANDS'!H31</f>
        <v>74339</v>
      </c>
      <c r="G41" s="7">
        <f>'WEST MIDLANDS'!I31</f>
        <v>73353</v>
      </c>
      <c r="H41" s="7">
        <f>'WEST MIDLANDS'!J31</f>
        <v>68460</v>
      </c>
      <c r="I41" s="7">
        <f>'WEST MIDLANDS'!K31</f>
        <v>68514</v>
      </c>
      <c r="J41" s="7">
        <f>'WEST MIDLANDS'!L31</f>
        <v>70191</v>
      </c>
      <c r="K41" s="7">
        <f>'WEST MIDLANDS'!M31</f>
        <v>68606</v>
      </c>
      <c r="L41" s="7">
        <f>'WEST MIDLANDS'!N31</f>
        <v>80825</v>
      </c>
      <c r="M41" s="7">
        <f>'WEST MIDLANDS'!O31</f>
        <v>77277</v>
      </c>
      <c r="N41" s="34">
        <f t="shared" si="0"/>
        <v>2.9700991365526064E-2</v>
      </c>
      <c r="O41" s="34"/>
      <c r="P41" s="7">
        <f t="shared" si="1"/>
        <v>3884</v>
      </c>
      <c r="Q41" s="1004">
        <f t="shared" si="2"/>
        <v>5.292057825678198E-2</v>
      </c>
      <c r="R41" s="6">
        <v>149</v>
      </c>
      <c r="S41" s="6">
        <v>149</v>
      </c>
      <c r="T41" s="6">
        <v>131</v>
      </c>
      <c r="U41" s="6">
        <v>150</v>
      </c>
      <c r="V41" s="6">
        <v>193</v>
      </c>
      <c r="W41" s="6">
        <v>178</v>
      </c>
      <c r="X41" s="6">
        <v>325</v>
      </c>
      <c r="Y41" s="6">
        <v>375</v>
      </c>
      <c r="Z41" s="6">
        <v>349</v>
      </c>
      <c r="AA41" s="6">
        <v>374</v>
      </c>
      <c r="AB41" s="6">
        <v>93</v>
      </c>
      <c r="AC41" s="6">
        <v>188</v>
      </c>
      <c r="AD41" s="6">
        <f t="shared" si="3"/>
        <v>-95</v>
      </c>
      <c r="AE41" s="6" t="s">
        <v>15824</v>
      </c>
    </row>
    <row r="42" spans="1:31">
      <c r="A42" s="33" t="str">
        <f>'WEST MIDLANDS'!A33</f>
        <v>Birmingham, Yardley BC</v>
      </c>
      <c r="B42" s="7">
        <f>'WEST MIDLANDS'!D33</f>
        <v>72732</v>
      </c>
      <c r="C42" s="7">
        <f>'WEST MIDLANDS'!E33</f>
        <v>73261</v>
      </c>
      <c r="D42" s="7">
        <f>'WEST MIDLANDS'!F33</f>
        <v>74128</v>
      </c>
      <c r="E42" s="7">
        <f>'WEST MIDLANDS'!G33</f>
        <v>73494</v>
      </c>
      <c r="F42" s="7">
        <f>'WEST MIDLANDS'!H33</f>
        <v>71818</v>
      </c>
      <c r="G42" s="7">
        <f>'WEST MIDLANDS'!I33</f>
        <v>72179</v>
      </c>
      <c r="H42" s="7">
        <f>'WEST MIDLANDS'!J33</f>
        <v>69911</v>
      </c>
      <c r="I42" s="7">
        <f>'WEST MIDLANDS'!K33</f>
        <v>70235</v>
      </c>
      <c r="J42" s="7">
        <f>'WEST MIDLANDS'!L33</f>
        <v>70980</v>
      </c>
      <c r="K42" s="7">
        <f>'WEST MIDLANDS'!M33</f>
        <v>70207</v>
      </c>
      <c r="L42" s="7">
        <f>'WEST MIDLANDS'!N33</f>
        <v>73877</v>
      </c>
      <c r="M42" s="7">
        <f>'WEST MIDLANDS'!O33</f>
        <v>73411</v>
      </c>
      <c r="N42" s="34">
        <f t="shared" si="0"/>
        <v>9.335643183193092E-3</v>
      </c>
      <c r="O42" s="34"/>
      <c r="P42" s="7">
        <f t="shared" si="1"/>
        <v>18</v>
      </c>
      <c r="Q42" s="1004">
        <f t="shared" si="2"/>
        <v>2.4525499707056531E-4</v>
      </c>
      <c r="R42" s="6">
        <v>211</v>
      </c>
      <c r="S42" s="6">
        <v>219</v>
      </c>
      <c r="T42" s="6">
        <v>194</v>
      </c>
      <c r="U42" s="6">
        <v>235</v>
      </c>
      <c r="V42" s="6">
        <v>290</v>
      </c>
      <c r="W42" s="6">
        <v>229</v>
      </c>
      <c r="X42" s="6">
        <v>273</v>
      </c>
      <c r="Y42" s="6">
        <v>331</v>
      </c>
      <c r="Z42" s="6">
        <v>321</v>
      </c>
      <c r="AA42" s="6">
        <v>325</v>
      </c>
      <c r="AB42" s="6">
        <v>265</v>
      </c>
      <c r="AC42" s="6">
        <v>302</v>
      </c>
      <c r="AD42" s="6">
        <f t="shared" si="3"/>
        <v>-37</v>
      </c>
      <c r="AE42" s="6" t="s">
        <v>15824</v>
      </c>
    </row>
    <row r="43" spans="1:31">
      <c r="A43" s="33" t="str">
        <f>DURHAM!A11</f>
        <v>Bishop Auckland CC</v>
      </c>
      <c r="B43" s="7">
        <f>DURHAM!D11</f>
        <v>68170</v>
      </c>
      <c r="C43" s="7">
        <f>DURHAM!E11</f>
        <v>68501</v>
      </c>
      <c r="D43" s="7">
        <f>DURHAM!F11</f>
        <v>69096</v>
      </c>
      <c r="E43" s="7">
        <f>DURHAM!G11</f>
        <v>69397</v>
      </c>
      <c r="F43" s="7">
        <f>DURHAM!H11</f>
        <v>68525</v>
      </c>
      <c r="G43" s="7">
        <f>DURHAM!I11</f>
        <v>64953</v>
      </c>
      <c r="H43" s="7">
        <f>DURHAM!J11</f>
        <v>65234</v>
      </c>
      <c r="I43" s="7">
        <f>DURHAM!K11</f>
        <v>66825</v>
      </c>
      <c r="J43" s="7">
        <f>DURHAM!L11</f>
        <v>67151</v>
      </c>
      <c r="K43" s="7">
        <f>DURHAM!M11</f>
        <v>67037</v>
      </c>
      <c r="L43" s="7">
        <f>DURHAM!N11</f>
        <v>68545</v>
      </c>
      <c r="M43" s="7">
        <f>DURHAM!O11</f>
        <v>68478</v>
      </c>
      <c r="N43" s="34">
        <f t="shared" si="0"/>
        <v>4.5181164735220774E-3</v>
      </c>
      <c r="O43" s="34"/>
      <c r="P43" s="7">
        <f t="shared" si="1"/>
        <v>-4915</v>
      </c>
      <c r="Q43" s="1004">
        <f t="shared" si="2"/>
        <v>-6.696823947787936E-2</v>
      </c>
      <c r="R43" s="6">
        <v>374</v>
      </c>
      <c r="S43" s="6">
        <v>383</v>
      </c>
      <c r="T43" s="6">
        <v>371</v>
      </c>
      <c r="U43" s="6">
        <v>375</v>
      </c>
      <c r="V43" s="6">
        <v>385</v>
      </c>
      <c r="W43" s="6">
        <v>443</v>
      </c>
      <c r="X43" s="6">
        <v>415</v>
      </c>
      <c r="Y43" s="6">
        <v>413</v>
      </c>
      <c r="Z43" s="6">
        <v>420</v>
      </c>
      <c r="AA43" s="6">
        <v>406</v>
      </c>
      <c r="AB43" s="6">
        <v>414</v>
      </c>
      <c r="AC43" s="6">
        <v>428</v>
      </c>
      <c r="AD43" s="6">
        <f t="shared" si="3"/>
        <v>-14</v>
      </c>
      <c r="AE43" s="6" t="s">
        <v>2901</v>
      </c>
    </row>
    <row r="44" spans="1:31">
      <c r="A44" s="33" t="str">
        <f>LANCASHIRE!A27</f>
        <v>Blackburn BC</v>
      </c>
      <c r="B44" s="7">
        <f>LANCASHIRE!D27</f>
        <v>71822</v>
      </c>
      <c r="C44" s="7">
        <f>LANCASHIRE!E27</f>
        <v>72112</v>
      </c>
      <c r="D44" s="7">
        <f>LANCASHIRE!F27</f>
        <v>73317</v>
      </c>
      <c r="E44" s="7">
        <f>LANCASHIRE!G27</f>
        <v>74060</v>
      </c>
      <c r="F44" s="7">
        <f>LANCASHIRE!H27</f>
        <v>73405</v>
      </c>
      <c r="G44" s="7">
        <f>LANCASHIRE!I27</f>
        <v>72560</v>
      </c>
      <c r="H44" s="7">
        <f>LANCASHIRE!J27</f>
        <v>68691</v>
      </c>
      <c r="I44" s="7">
        <f>LANCASHIRE!K27</f>
        <v>70031</v>
      </c>
      <c r="J44" s="7">
        <f>LANCASHIRE!L27</f>
        <v>69954</v>
      </c>
      <c r="K44" s="7">
        <f>LANCASHIRE!M27</f>
        <v>70184</v>
      </c>
      <c r="L44" s="7">
        <f>LANCASHIRE!N27</f>
        <v>70726</v>
      </c>
      <c r="M44" s="7">
        <f>LANCASHIRE!O27</f>
        <v>72046</v>
      </c>
      <c r="N44" s="34">
        <f t="shared" si="0"/>
        <v>3.1188215310072121E-3</v>
      </c>
      <c r="O44" s="34"/>
      <c r="P44" s="7">
        <f t="shared" si="1"/>
        <v>-1347</v>
      </c>
      <c r="Q44" s="1004">
        <f t="shared" si="2"/>
        <v>-1.8353248947447304E-2</v>
      </c>
      <c r="R44" s="6">
        <v>257</v>
      </c>
      <c r="S44" s="6">
        <v>265</v>
      </c>
      <c r="T44" s="6">
        <v>231</v>
      </c>
      <c r="U44" s="6">
        <v>209</v>
      </c>
      <c r="V44" s="6">
        <v>232</v>
      </c>
      <c r="W44" s="6">
        <v>207</v>
      </c>
      <c r="X44" s="6">
        <v>317</v>
      </c>
      <c r="Y44" s="6">
        <v>336</v>
      </c>
      <c r="Z44" s="6">
        <v>359</v>
      </c>
      <c r="AA44" s="6">
        <v>327</v>
      </c>
      <c r="AB44" s="6">
        <v>359</v>
      </c>
      <c r="AC44" s="6">
        <v>347</v>
      </c>
      <c r="AD44" s="6">
        <f t="shared" si="3"/>
        <v>12</v>
      </c>
      <c r="AE44" s="6" t="s">
        <v>15825</v>
      </c>
    </row>
    <row r="45" spans="1:31">
      <c r="A45" s="33" t="str">
        <f>'GREATER MANCHESTER'!A25</f>
        <v>Blackley and Broughton BC</v>
      </c>
      <c r="B45" s="7">
        <f>'GREATER MANCHESTER'!D27</f>
        <v>68825</v>
      </c>
      <c r="C45" s="7">
        <f>'GREATER MANCHESTER'!E27</f>
        <v>69006</v>
      </c>
      <c r="D45" s="7">
        <f>'GREATER MANCHESTER'!F27</f>
        <v>71529</v>
      </c>
      <c r="E45" s="7">
        <f>'GREATER MANCHESTER'!G27</f>
        <v>72658</v>
      </c>
      <c r="F45" s="7">
        <f>'GREATER MANCHESTER'!H27</f>
        <v>73083</v>
      </c>
      <c r="G45" s="7">
        <f>'GREATER MANCHESTER'!I27</f>
        <v>71654</v>
      </c>
      <c r="H45" s="7">
        <f>'GREATER MANCHESTER'!J27</f>
        <v>72003</v>
      </c>
      <c r="I45" s="7">
        <f>'GREATER MANCHESTER'!K27</f>
        <v>70321</v>
      </c>
      <c r="J45" s="7">
        <f>'GREATER MANCHESTER'!L27</f>
        <v>71059</v>
      </c>
      <c r="K45" s="7">
        <f>'GREATER MANCHESTER'!M27</f>
        <v>70578</v>
      </c>
      <c r="L45" s="7">
        <f>'GREATER MANCHESTER'!N27</f>
        <v>74213</v>
      </c>
      <c r="M45" s="7">
        <f>'GREATER MANCHESTER'!O27</f>
        <v>73448</v>
      </c>
      <c r="N45" s="34">
        <f t="shared" si="0"/>
        <v>6.7170359607700694E-2</v>
      </c>
      <c r="O45" s="34"/>
      <c r="P45" s="7">
        <f t="shared" si="1"/>
        <v>55</v>
      </c>
      <c r="Q45" s="1004">
        <f t="shared" si="2"/>
        <v>7.4939026882672732E-4</v>
      </c>
      <c r="R45" s="6">
        <v>356</v>
      </c>
      <c r="S45" s="6">
        <v>369</v>
      </c>
      <c r="T45" s="6">
        <v>307</v>
      </c>
      <c r="U45" s="6">
        <v>282</v>
      </c>
      <c r="V45" s="6">
        <v>243</v>
      </c>
      <c r="W45" s="6">
        <v>244</v>
      </c>
      <c r="X45" s="6">
        <v>199</v>
      </c>
      <c r="Y45" s="6">
        <v>324</v>
      </c>
      <c r="Z45" s="6">
        <v>315</v>
      </c>
      <c r="AA45" s="6">
        <v>305</v>
      </c>
      <c r="AB45" s="6">
        <v>250</v>
      </c>
      <c r="AC45" s="6">
        <v>298</v>
      </c>
      <c r="AD45" s="6">
        <f t="shared" si="3"/>
        <v>-48</v>
      </c>
      <c r="AE45" s="6" t="s">
        <v>15825</v>
      </c>
    </row>
    <row r="46" spans="1:31">
      <c r="A46" s="33" t="str">
        <f>LANCASHIRE!A29</f>
        <v>Blackpool North and Cleveleys BC</v>
      </c>
      <c r="B46" s="7">
        <f>LANCASHIRE!D31</f>
        <v>66011</v>
      </c>
      <c r="C46" s="7">
        <f>LANCASHIRE!E31</f>
        <v>66187</v>
      </c>
      <c r="D46" s="7">
        <f>LANCASHIRE!F31</f>
        <v>66326</v>
      </c>
      <c r="E46" s="7">
        <f>LANCASHIRE!G31</f>
        <v>66140</v>
      </c>
      <c r="F46" s="7">
        <f>LANCASHIRE!H31</f>
        <v>65488</v>
      </c>
      <c r="G46" s="7">
        <f>LANCASHIRE!I31</f>
        <v>61573</v>
      </c>
      <c r="H46" s="7">
        <f>LANCASHIRE!J31</f>
        <v>60324</v>
      </c>
      <c r="I46" s="7">
        <f>LANCASHIRE!K31</f>
        <v>61987</v>
      </c>
      <c r="J46" s="7">
        <f>LANCASHIRE!L31</f>
        <v>62697</v>
      </c>
      <c r="K46" s="7">
        <f>LANCASHIRE!M31</f>
        <v>62306</v>
      </c>
      <c r="L46" s="7">
        <f>LANCASHIRE!N31</f>
        <v>63148</v>
      </c>
      <c r="M46" s="7">
        <f>LANCASHIRE!O31</f>
        <v>63150</v>
      </c>
      <c r="N46" s="34">
        <f t="shared" si="0"/>
        <v>-4.3341261304934028E-2</v>
      </c>
      <c r="O46" s="34"/>
      <c r="P46" s="7">
        <f t="shared" si="1"/>
        <v>-10243</v>
      </c>
      <c r="Q46" s="1004">
        <f t="shared" si="2"/>
        <v>-0.13956371861076669</v>
      </c>
      <c r="R46" s="6">
        <v>438</v>
      </c>
      <c r="S46" s="6">
        <v>448</v>
      </c>
      <c r="T46" s="6">
        <v>450</v>
      </c>
      <c r="U46" s="6">
        <v>460</v>
      </c>
      <c r="V46" s="6">
        <v>463</v>
      </c>
      <c r="W46" s="6">
        <v>498</v>
      </c>
      <c r="X46" s="6">
        <v>501</v>
      </c>
      <c r="Y46" s="6">
        <v>498</v>
      </c>
      <c r="Z46" s="6">
        <v>493</v>
      </c>
      <c r="AA46" s="6">
        <v>485</v>
      </c>
      <c r="AB46" s="6">
        <v>495</v>
      </c>
      <c r="AC46" s="6">
        <v>502</v>
      </c>
      <c r="AD46" s="6">
        <f t="shared" si="3"/>
        <v>-7</v>
      </c>
      <c r="AE46" s="6" t="s">
        <v>15825</v>
      </c>
    </row>
    <row r="47" spans="1:31">
      <c r="A47" s="33" t="str">
        <f>LANCASHIRE!A33</f>
        <v>Blackpool South BC</v>
      </c>
      <c r="B47" s="7">
        <f>LANCASHIRE!D33</f>
        <v>63461</v>
      </c>
      <c r="C47" s="7">
        <f>LANCASHIRE!E33</f>
        <v>64081</v>
      </c>
      <c r="D47" s="7">
        <f>LANCASHIRE!F33</f>
        <v>64289</v>
      </c>
      <c r="E47" s="7">
        <f>LANCASHIRE!G33</f>
        <v>63088</v>
      </c>
      <c r="F47" s="7">
        <f>LANCASHIRE!H33</f>
        <v>61949</v>
      </c>
      <c r="G47" s="7">
        <f>LANCASHIRE!I33</f>
        <v>56304</v>
      </c>
      <c r="H47" s="7">
        <f>LANCASHIRE!J33</f>
        <v>54607</v>
      </c>
      <c r="I47" s="7">
        <f>LANCASHIRE!K33</f>
        <v>55932</v>
      </c>
      <c r="J47" s="7">
        <f>LANCASHIRE!L33</f>
        <v>56850</v>
      </c>
      <c r="K47" s="7">
        <f>LANCASHIRE!M33</f>
        <v>55510</v>
      </c>
      <c r="L47" s="7">
        <f>LANCASHIRE!N33</f>
        <v>57078</v>
      </c>
      <c r="M47" s="7">
        <f>LANCASHIRE!O33</f>
        <v>56887</v>
      </c>
      <c r="N47" s="34">
        <f t="shared" si="0"/>
        <v>-0.10359118198578654</v>
      </c>
      <c r="O47" s="34"/>
      <c r="P47" s="7">
        <f t="shared" si="1"/>
        <v>-16506</v>
      </c>
      <c r="Q47" s="1004">
        <f t="shared" si="2"/>
        <v>-0.22489883231370839</v>
      </c>
      <c r="R47" s="6">
        <v>493</v>
      </c>
      <c r="S47" s="6">
        <v>491</v>
      </c>
      <c r="T47" s="6">
        <v>489</v>
      </c>
      <c r="U47" s="6">
        <v>504</v>
      </c>
      <c r="V47" s="6">
        <v>506</v>
      </c>
      <c r="W47" s="6">
        <v>527</v>
      </c>
      <c r="X47" s="6">
        <v>532</v>
      </c>
      <c r="Y47" s="6">
        <v>532</v>
      </c>
      <c r="Z47" s="6">
        <v>530</v>
      </c>
      <c r="AA47" s="6">
        <v>530</v>
      </c>
      <c r="AB47" s="6">
        <v>528</v>
      </c>
      <c r="AC47" s="6">
        <v>531</v>
      </c>
      <c r="AD47" s="6">
        <f t="shared" si="3"/>
        <v>-3</v>
      </c>
      <c r="AE47" s="6" t="s">
        <v>15825</v>
      </c>
    </row>
    <row r="48" spans="1:31">
      <c r="A48" s="33" t="str">
        <f>'TYNE &amp; WEAR'!A14</f>
        <v>Blaydon BC</v>
      </c>
      <c r="B48" s="7">
        <f>'TYNE &amp; WEAR'!D14</f>
        <v>67791</v>
      </c>
      <c r="C48" s="7">
        <f>'TYNE &amp; WEAR'!E14</f>
        <v>68156</v>
      </c>
      <c r="D48" s="7">
        <f>'TYNE &amp; WEAR'!F14</f>
        <v>68166</v>
      </c>
      <c r="E48" s="7">
        <f>'TYNE &amp; WEAR'!G14</f>
        <v>68777</v>
      </c>
      <c r="F48" s="7">
        <f>'TYNE &amp; WEAR'!H14</f>
        <v>68332</v>
      </c>
      <c r="G48" s="7">
        <f>'TYNE &amp; WEAR'!I14</f>
        <v>66305</v>
      </c>
      <c r="H48" s="7">
        <f>'TYNE &amp; WEAR'!J14</f>
        <v>66409</v>
      </c>
      <c r="I48" s="7">
        <f>'TYNE &amp; WEAR'!K14</f>
        <v>67591</v>
      </c>
      <c r="J48" s="7">
        <f>'TYNE &amp; WEAR'!L14</f>
        <v>67527</v>
      </c>
      <c r="K48" s="7">
        <f>'TYNE &amp; WEAR'!M14</f>
        <v>66815</v>
      </c>
      <c r="L48" s="7">
        <f>'TYNE &amp; WEAR'!N14</f>
        <v>67816</v>
      </c>
      <c r="M48" s="7">
        <f>'TYNE &amp; WEAR'!O14</f>
        <v>67807</v>
      </c>
      <c r="N48" s="34">
        <f t="shared" si="0"/>
        <v>2.3601953061615848E-4</v>
      </c>
      <c r="O48" s="34"/>
      <c r="P48" s="7">
        <f t="shared" si="1"/>
        <v>-5586</v>
      </c>
      <c r="Q48" s="1004">
        <f t="shared" si="2"/>
        <v>-7.6110800757565433E-2</v>
      </c>
      <c r="R48" s="6">
        <v>385</v>
      </c>
      <c r="S48" s="6">
        <v>392</v>
      </c>
      <c r="T48" s="6">
        <v>393</v>
      </c>
      <c r="U48" s="6">
        <v>394</v>
      </c>
      <c r="V48" s="6">
        <v>391</v>
      </c>
      <c r="W48" s="6">
        <v>413</v>
      </c>
      <c r="X48" s="6">
        <v>390</v>
      </c>
      <c r="Y48" s="6">
        <v>400</v>
      </c>
      <c r="Z48" s="6">
        <v>408</v>
      </c>
      <c r="AA48" s="6">
        <v>415</v>
      </c>
      <c r="AB48" s="6">
        <v>426</v>
      </c>
      <c r="AC48" s="6">
        <v>441</v>
      </c>
      <c r="AD48" s="6">
        <f t="shared" si="3"/>
        <v>-15</v>
      </c>
      <c r="AE48" s="6" t="s">
        <v>2901</v>
      </c>
    </row>
    <row r="49" spans="1:31">
      <c r="A49" s="33" t="str">
        <f>NORTHUMBERLAND!A9</f>
        <v>Blyth Valley BC</v>
      </c>
      <c r="B49" s="7">
        <f>NORTHUMBERLAND!D9</f>
        <v>64035</v>
      </c>
      <c r="C49" s="7">
        <f>NORTHUMBERLAND!E9</f>
        <v>63173</v>
      </c>
      <c r="D49" s="7">
        <f>NORTHUMBERLAND!F9</f>
        <v>63719</v>
      </c>
      <c r="E49" s="7">
        <f>NORTHUMBERLAND!G9</f>
        <v>64674</v>
      </c>
      <c r="F49" s="7">
        <f>NORTHUMBERLAND!H9</f>
        <v>63912</v>
      </c>
      <c r="G49" s="7">
        <f>NORTHUMBERLAND!I9</f>
        <v>63712</v>
      </c>
      <c r="H49" s="7">
        <f>NORTHUMBERLAND!J9</f>
        <v>59819</v>
      </c>
      <c r="I49" s="7">
        <f>NORTHUMBERLAND!K9</f>
        <v>60990</v>
      </c>
      <c r="J49" s="7">
        <f>NORTHUMBERLAND!L9</f>
        <v>62420</v>
      </c>
      <c r="K49" s="7">
        <f>NORTHUMBERLAND!M9</f>
        <v>62153</v>
      </c>
      <c r="L49" s="7">
        <f>NORTHUMBERLAND!N9</f>
        <v>63520</v>
      </c>
      <c r="M49" s="7">
        <f>NORTHUMBERLAND!O9</f>
        <v>64593</v>
      </c>
      <c r="N49" s="34">
        <f t="shared" si="0"/>
        <v>8.7139845397048495E-3</v>
      </c>
      <c r="O49" s="34"/>
      <c r="P49" s="7">
        <f t="shared" si="1"/>
        <v>-8800</v>
      </c>
      <c r="Q49" s="1004">
        <f t="shared" si="2"/>
        <v>-0.11990244301227637</v>
      </c>
      <c r="R49" s="6">
        <v>483</v>
      </c>
      <c r="S49" s="6">
        <v>499</v>
      </c>
      <c r="T49" s="6">
        <v>496</v>
      </c>
      <c r="U49" s="6">
        <v>488</v>
      </c>
      <c r="V49" s="6">
        <v>483</v>
      </c>
      <c r="W49" s="6">
        <v>469</v>
      </c>
      <c r="X49" s="6">
        <v>507</v>
      </c>
      <c r="Y49" s="6">
        <v>507</v>
      </c>
      <c r="Z49" s="6">
        <v>495</v>
      </c>
      <c r="AA49" s="6">
        <v>489</v>
      </c>
      <c r="AB49" s="6">
        <v>492</v>
      </c>
      <c r="AC49" s="6">
        <v>487</v>
      </c>
      <c r="AD49" s="6">
        <f t="shared" si="3"/>
        <v>5</v>
      </c>
      <c r="AE49" s="6" t="s">
        <v>2901</v>
      </c>
    </row>
    <row r="50" spans="1:31">
      <c r="A50" s="33" t="str">
        <f>'WEST SUSSEX'!A21</f>
        <v>Bognor Regis and Littlehampton CC</v>
      </c>
      <c r="B50" s="7">
        <f>'WEST SUSSEX'!D21</f>
        <v>71033</v>
      </c>
      <c r="C50" s="7">
        <f>'WEST SUSSEX'!E21</f>
        <v>70535</v>
      </c>
      <c r="D50" s="7">
        <f>'WEST SUSSEX'!F21</f>
        <v>70659</v>
      </c>
      <c r="E50" s="7">
        <f>'WEST SUSSEX'!G21</f>
        <v>70161</v>
      </c>
      <c r="F50" s="7">
        <f>'WEST SUSSEX'!H21</f>
        <v>69300</v>
      </c>
      <c r="G50" s="7">
        <f>'WEST SUSSEX'!I21</f>
        <v>71042</v>
      </c>
      <c r="H50" s="7">
        <f>'WEST SUSSEX'!J21</f>
        <v>72190</v>
      </c>
      <c r="I50" s="7">
        <f>'WEST SUSSEX'!K21</f>
        <v>74372</v>
      </c>
      <c r="J50" s="7">
        <f>'WEST SUSSEX'!L21</f>
        <v>76852</v>
      </c>
      <c r="K50" s="7">
        <f>'WEST SUSSEX'!M21</f>
        <v>75401</v>
      </c>
      <c r="L50" s="7">
        <f>'WEST SUSSEX'!N21</f>
        <v>77888</v>
      </c>
      <c r="M50" s="7">
        <f>'WEST SUSSEX'!O21</f>
        <v>77566</v>
      </c>
      <c r="N50" s="34">
        <f t="shared" si="0"/>
        <v>9.1971337265777872E-2</v>
      </c>
      <c r="O50" s="34"/>
      <c r="P50" s="7">
        <f t="shared" si="1"/>
        <v>4173</v>
      </c>
      <c r="Q50" s="1004">
        <f t="shared" si="2"/>
        <v>5.6858283487526057E-2</v>
      </c>
      <c r="R50" s="6">
        <v>292</v>
      </c>
      <c r="S50" s="6">
        <v>326</v>
      </c>
      <c r="T50" s="6">
        <v>330</v>
      </c>
      <c r="U50" s="6">
        <v>349</v>
      </c>
      <c r="V50" s="6">
        <v>362</v>
      </c>
      <c r="W50" s="6">
        <v>266</v>
      </c>
      <c r="X50" s="6">
        <v>189</v>
      </c>
      <c r="Y50" s="6">
        <v>183</v>
      </c>
      <c r="Z50" s="6">
        <v>145</v>
      </c>
      <c r="AA50" s="6">
        <v>162</v>
      </c>
      <c r="AB50" s="6">
        <v>159</v>
      </c>
      <c r="AC50" s="6">
        <v>177</v>
      </c>
      <c r="AD50" s="6">
        <f t="shared" si="3"/>
        <v>-18</v>
      </c>
      <c r="AE50" s="6" t="s">
        <v>15823</v>
      </c>
    </row>
    <row r="51" spans="1:31">
      <c r="A51" s="33" t="str">
        <f>DERBYSHIRE!A22</f>
        <v>Bolsover CC</v>
      </c>
      <c r="B51" s="7">
        <f>DERBYSHIRE!D24</f>
        <v>73170</v>
      </c>
      <c r="C51" s="7">
        <f>DERBYSHIRE!E24</f>
        <v>72162</v>
      </c>
      <c r="D51" s="7">
        <f>DERBYSHIRE!F24</f>
        <v>71659</v>
      </c>
      <c r="E51" s="7">
        <f>DERBYSHIRE!G24</f>
        <v>71992</v>
      </c>
      <c r="F51" s="7">
        <f>DERBYSHIRE!H24</f>
        <v>72284</v>
      </c>
      <c r="G51" s="7">
        <f>DERBYSHIRE!I24</f>
        <v>71240</v>
      </c>
      <c r="H51" s="7">
        <f>DERBYSHIRE!J24</f>
        <v>70880</v>
      </c>
      <c r="I51" s="7">
        <f>DERBYSHIRE!K24</f>
        <v>72959</v>
      </c>
      <c r="J51" s="7">
        <f>DERBYSHIRE!L24</f>
        <v>73034</v>
      </c>
      <c r="K51" s="7">
        <f>DERBYSHIRE!M24</f>
        <v>72205</v>
      </c>
      <c r="L51" s="7">
        <f>DERBYSHIRE!N24</f>
        <v>74906</v>
      </c>
      <c r="M51" s="7">
        <f>DERBYSHIRE!O24</f>
        <v>74548</v>
      </c>
      <c r="N51" s="34">
        <f t="shared" si="0"/>
        <v>1.883285499521662E-2</v>
      </c>
      <c r="O51" s="34"/>
      <c r="P51" s="7">
        <f t="shared" si="1"/>
        <v>1155</v>
      </c>
      <c r="Q51" s="1004">
        <f t="shared" si="2"/>
        <v>1.5737195645361274E-2</v>
      </c>
      <c r="R51" s="6">
        <v>192</v>
      </c>
      <c r="S51" s="6">
        <v>264</v>
      </c>
      <c r="T51" s="6">
        <v>302</v>
      </c>
      <c r="U51" s="6">
        <v>300</v>
      </c>
      <c r="V51" s="6">
        <v>276</v>
      </c>
      <c r="W51" s="6">
        <v>260</v>
      </c>
      <c r="X51" s="6">
        <v>232</v>
      </c>
      <c r="Y51" s="6">
        <v>221</v>
      </c>
      <c r="Z51" s="6">
        <v>242</v>
      </c>
      <c r="AA51" s="6">
        <v>247</v>
      </c>
      <c r="AB51" s="6">
        <v>229</v>
      </c>
      <c r="AC51" s="6">
        <v>253</v>
      </c>
      <c r="AD51" s="6">
        <f t="shared" si="3"/>
        <v>-24</v>
      </c>
      <c r="AE51" s="6" t="s">
        <v>15826</v>
      </c>
    </row>
    <row r="52" spans="1:31">
      <c r="A52" s="33" t="str">
        <f>'GREATER MANCHESTER'!A29</f>
        <v>Bolton North East BC</v>
      </c>
      <c r="B52" s="7">
        <f>'GREATER MANCHESTER'!D29</f>
        <v>66682</v>
      </c>
      <c r="C52" s="7">
        <f>'GREATER MANCHESTER'!E29</f>
        <v>66600</v>
      </c>
      <c r="D52" s="7">
        <f>'GREATER MANCHESTER'!F29</f>
        <v>66284</v>
      </c>
      <c r="E52" s="7">
        <f>'GREATER MANCHESTER'!G29</f>
        <v>66895</v>
      </c>
      <c r="F52" s="7">
        <f>'GREATER MANCHESTER'!H29</f>
        <v>66794</v>
      </c>
      <c r="G52" s="7">
        <f>'GREATER MANCHESTER'!I29</f>
        <v>66597</v>
      </c>
      <c r="H52" s="7">
        <f>'GREATER MANCHESTER'!J29</f>
        <v>63881</v>
      </c>
      <c r="I52" s="7">
        <f>'GREATER MANCHESTER'!K29</f>
        <v>65375</v>
      </c>
      <c r="J52" s="7">
        <f>'GREATER MANCHESTER'!L29</f>
        <v>65973</v>
      </c>
      <c r="K52" s="7">
        <f>'GREATER MANCHESTER'!M29</f>
        <v>65094</v>
      </c>
      <c r="L52" s="7">
        <f>'GREATER MANCHESTER'!N29</f>
        <v>67901</v>
      </c>
      <c r="M52" s="7">
        <f>'GREATER MANCHESTER'!O29</f>
        <v>67353</v>
      </c>
      <c r="N52" s="34">
        <f t="shared" si="0"/>
        <v>1.0062685582316067E-2</v>
      </c>
      <c r="O52" s="34"/>
      <c r="P52" s="7">
        <f t="shared" si="1"/>
        <v>-6040</v>
      </c>
      <c r="Q52" s="1004">
        <f t="shared" si="2"/>
        <v>-8.2296676794789692E-2</v>
      </c>
      <c r="R52" s="6">
        <v>421</v>
      </c>
      <c r="S52" s="6">
        <v>436</v>
      </c>
      <c r="T52" s="6">
        <v>451</v>
      </c>
      <c r="U52" s="6">
        <v>445</v>
      </c>
      <c r="V52" s="6">
        <v>434</v>
      </c>
      <c r="W52" s="6">
        <v>403</v>
      </c>
      <c r="X52" s="6">
        <v>448</v>
      </c>
      <c r="Y52" s="6">
        <v>442</v>
      </c>
      <c r="Z52" s="6">
        <v>439</v>
      </c>
      <c r="AA52" s="6">
        <v>451</v>
      </c>
      <c r="AB52" s="6">
        <v>424</v>
      </c>
      <c r="AC52" s="6">
        <v>448</v>
      </c>
      <c r="AD52" s="6">
        <f t="shared" si="3"/>
        <v>-24</v>
      </c>
      <c r="AE52" s="6" t="s">
        <v>15825</v>
      </c>
    </row>
    <row r="53" spans="1:31">
      <c r="A53" s="33" t="str">
        <f>'GREATER MANCHESTER'!A31</f>
        <v>Bolton South East BC</v>
      </c>
      <c r="B53" s="7">
        <f>'GREATER MANCHESTER'!D31</f>
        <v>69077</v>
      </c>
      <c r="C53" s="7">
        <f>'GREATER MANCHESTER'!E31</f>
        <v>69088</v>
      </c>
      <c r="D53" s="7">
        <f>'GREATER MANCHESTER'!F31</f>
        <v>68743</v>
      </c>
      <c r="E53" s="7">
        <f>'GREATER MANCHESTER'!G31</f>
        <v>68653</v>
      </c>
      <c r="F53" s="7">
        <f>'GREATER MANCHESTER'!H31</f>
        <v>68719</v>
      </c>
      <c r="G53" s="7">
        <f>'GREATER MANCHESTER'!I31</f>
        <v>68423</v>
      </c>
      <c r="H53" s="7">
        <f>'GREATER MANCHESTER'!J31</f>
        <v>65610</v>
      </c>
      <c r="I53" s="7">
        <f>'GREATER MANCHESTER'!K31</f>
        <v>67109</v>
      </c>
      <c r="J53" s="7">
        <f>'GREATER MANCHESTER'!L31</f>
        <v>67682</v>
      </c>
      <c r="K53" s="7">
        <f>'GREATER MANCHESTER'!M31</f>
        <v>66819</v>
      </c>
      <c r="L53" s="7">
        <f>'GREATER MANCHESTER'!N31</f>
        <v>69585</v>
      </c>
      <c r="M53" s="7">
        <f>'GREATER MANCHESTER'!O31</f>
        <v>69013</v>
      </c>
      <c r="N53" s="34">
        <f t="shared" si="0"/>
        <v>-9.2650230901747323E-4</v>
      </c>
      <c r="O53" s="34"/>
      <c r="P53" s="7">
        <f t="shared" si="1"/>
        <v>-4380</v>
      </c>
      <c r="Q53" s="1004">
        <f t="shared" si="2"/>
        <v>-5.9678715953837558E-2</v>
      </c>
      <c r="R53" s="6">
        <v>346</v>
      </c>
      <c r="S53" s="6">
        <v>365</v>
      </c>
      <c r="T53" s="6">
        <v>380</v>
      </c>
      <c r="U53" s="6">
        <v>398</v>
      </c>
      <c r="V53" s="6">
        <v>379</v>
      </c>
      <c r="W53" s="6">
        <v>352</v>
      </c>
      <c r="X53" s="6">
        <v>410</v>
      </c>
      <c r="Y53" s="6">
        <v>409</v>
      </c>
      <c r="Z53" s="6">
        <v>405</v>
      </c>
      <c r="AA53" s="6">
        <v>414</v>
      </c>
      <c r="AB53" s="6">
        <v>397</v>
      </c>
      <c r="AC53" s="6">
        <v>419</v>
      </c>
      <c r="AD53" s="6">
        <f t="shared" si="3"/>
        <v>-22</v>
      </c>
      <c r="AE53" s="6" t="s">
        <v>15825</v>
      </c>
    </row>
    <row r="54" spans="1:31">
      <c r="A54" s="33" t="str">
        <f>'GREATER MANCHESTER'!A33</f>
        <v>Bolton West CC</v>
      </c>
      <c r="B54" s="7">
        <f>'GREATER MANCHESTER'!D35</f>
        <v>71061</v>
      </c>
      <c r="C54" s="7">
        <f>'GREATER MANCHESTER'!E35</f>
        <v>71454</v>
      </c>
      <c r="D54" s="7">
        <f>'GREATER MANCHESTER'!F35</f>
        <v>71690</v>
      </c>
      <c r="E54" s="7">
        <f>'GREATER MANCHESTER'!G35</f>
        <v>72324</v>
      </c>
      <c r="F54" s="7">
        <f>'GREATER MANCHESTER'!H35</f>
        <v>72639</v>
      </c>
      <c r="G54" s="7">
        <f>'GREATER MANCHESTER'!I35</f>
        <v>71458</v>
      </c>
      <c r="H54" s="7">
        <f>'GREATER MANCHESTER'!J35</f>
        <v>69720</v>
      </c>
      <c r="I54" s="7">
        <f>'GREATER MANCHESTER'!K35</f>
        <v>71240</v>
      </c>
      <c r="J54" s="7">
        <f>'GREATER MANCHESTER'!L35</f>
        <v>71889</v>
      </c>
      <c r="K54" s="7">
        <f>'GREATER MANCHESTER'!M35</f>
        <v>71039</v>
      </c>
      <c r="L54" s="7">
        <f>'GREATER MANCHESTER'!N35</f>
        <v>73685</v>
      </c>
      <c r="M54" s="7">
        <f>'GREATER MANCHESTER'!O35</f>
        <v>73149</v>
      </c>
      <c r="N54" s="34">
        <f t="shared" si="0"/>
        <v>2.9383205977962595E-2</v>
      </c>
      <c r="O54" s="34"/>
      <c r="P54" s="7">
        <f t="shared" si="1"/>
        <v>-244</v>
      </c>
      <c r="Q54" s="1004">
        <f t="shared" si="2"/>
        <v>-3.324567738067663E-3</v>
      </c>
      <c r="R54" s="6">
        <v>290</v>
      </c>
      <c r="S54" s="6">
        <v>298</v>
      </c>
      <c r="T54" s="6">
        <v>301</v>
      </c>
      <c r="U54" s="6">
        <v>293</v>
      </c>
      <c r="V54" s="6">
        <v>257</v>
      </c>
      <c r="W54" s="6">
        <v>250</v>
      </c>
      <c r="X54" s="6">
        <v>281</v>
      </c>
      <c r="Y54" s="6">
        <v>286</v>
      </c>
      <c r="Z54" s="6">
        <v>283</v>
      </c>
      <c r="AA54" s="6">
        <v>287</v>
      </c>
      <c r="AB54" s="6">
        <v>273</v>
      </c>
      <c r="AC54" s="6">
        <v>307</v>
      </c>
      <c r="AD54" s="6">
        <f t="shared" si="3"/>
        <v>-34</v>
      </c>
      <c r="AE54" s="6" t="s">
        <v>15825</v>
      </c>
    </row>
    <row r="55" spans="1:31">
      <c r="A55" s="33" t="str">
        <f>MERSEYSIDE!A15</f>
        <v>Bootle BC</v>
      </c>
      <c r="B55" s="7">
        <f>MERSEYSIDE!D15</f>
        <v>71995</v>
      </c>
      <c r="C55" s="7">
        <f>MERSEYSIDE!E15</f>
        <v>70824</v>
      </c>
      <c r="D55" s="7">
        <f>MERSEYSIDE!F15</f>
        <v>70303</v>
      </c>
      <c r="E55" s="7">
        <f>MERSEYSIDE!G15</f>
        <v>68025</v>
      </c>
      <c r="F55" s="7">
        <f>MERSEYSIDE!H15</f>
        <v>69457</v>
      </c>
      <c r="G55" s="7">
        <f>MERSEYSIDE!I15</f>
        <v>67761</v>
      </c>
      <c r="H55" s="7">
        <f>MERSEYSIDE!J15</f>
        <v>67611</v>
      </c>
      <c r="I55" s="7">
        <f>MERSEYSIDE!K15</f>
        <v>70372</v>
      </c>
      <c r="J55" s="7">
        <f>MERSEYSIDE!L15</f>
        <v>73285</v>
      </c>
      <c r="K55" s="7">
        <f>MERSEYSIDE!M15</f>
        <v>72790</v>
      </c>
      <c r="L55" s="7">
        <f>MERSEYSIDE!N15</f>
        <v>75258</v>
      </c>
      <c r="M55" s="7">
        <f>MERSEYSIDE!O15</f>
        <v>75194</v>
      </c>
      <c r="N55" s="34">
        <f t="shared" si="0"/>
        <v>4.4433641225085078E-2</v>
      </c>
      <c r="O55" s="34"/>
      <c r="P55" s="7">
        <f t="shared" si="1"/>
        <v>1801</v>
      </c>
      <c r="Q55" s="1004">
        <f t="shared" si="2"/>
        <v>2.4539124984671562E-2</v>
      </c>
      <c r="R55" s="6">
        <v>243</v>
      </c>
      <c r="S55" s="6">
        <v>315</v>
      </c>
      <c r="T55" s="6">
        <v>341</v>
      </c>
      <c r="U55" s="6">
        <v>411</v>
      </c>
      <c r="V55" s="6">
        <v>358</v>
      </c>
      <c r="W55" s="6">
        <v>369</v>
      </c>
      <c r="X55" s="6">
        <v>353</v>
      </c>
      <c r="Y55" s="6">
        <v>322</v>
      </c>
      <c r="Z55" s="6">
        <v>238</v>
      </c>
      <c r="AA55" s="6">
        <v>226</v>
      </c>
      <c r="AB55" s="6">
        <v>217</v>
      </c>
      <c r="AC55" s="6">
        <v>235</v>
      </c>
      <c r="AD55" s="6">
        <f t="shared" si="3"/>
        <v>-18</v>
      </c>
      <c r="AE55" s="6" t="s">
        <v>15825</v>
      </c>
    </row>
    <row r="56" spans="1:31">
      <c r="A56" s="33" t="str">
        <f>LINCOLNSHIRE!A15</f>
        <v>Boston and Skegness CC</v>
      </c>
      <c r="B56" s="7">
        <f>LINCOLNSHIRE!D17</f>
        <v>70973</v>
      </c>
      <c r="C56" s="7">
        <f>LINCOLNSHIRE!E17</f>
        <v>70620</v>
      </c>
      <c r="D56" s="7">
        <f>LINCOLNSHIRE!F17</f>
        <v>70728</v>
      </c>
      <c r="E56" s="7">
        <f>LINCOLNSHIRE!G17</f>
        <v>69485</v>
      </c>
      <c r="F56" s="7">
        <f>LINCOLNSHIRE!H17</f>
        <v>70509</v>
      </c>
      <c r="G56" s="7">
        <f>LINCOLNSHIRE!I17</f>
        <v>66215</v>
      </c>
      <c r="H56" s="7">
        <f>LINCOLNSHIRE!J17</f>
        <v>66250</v>
      </c>
      <c r="I56" s="7">
        <f>LINCOLNSHIRE!K17</f>
        <v>67507</v>
      </c>
      <c r="J56" s="7">
        <f>LINCOLNSHIRE!L17</f>
        <v>68494</v>
      </c>
      <c r="K56" s="7">
        <f>LINCOLNSHIRE!M17</f>
        <v>68976</v>
      </c>
      <c r="L56" s="7">
        <f>LINCOLNSHIRE!N17</f>
        <v>70367</v>
      </c>
      <c r="M56" s="7">
        <f>LINCOLNSHIRE!O17</f>
        <v>70180</v>
      </c>
      <c r="N56" s="34">
        <f t="shared" si="0"/>
        <v>-1.1173263071872401E-2</v>
      </c>
      <c r="O56" s="34"/>
      <c r="P56" s="7">
        <f t="shared" si="1"/>
        <v>-3213</v>
      </c>
      <c r="Q56" s="1004">
        <f t="shared" si="2"/>
        <v>-4.3778016977095907E-2</v>
      </c>
      <c r="R56" s="6">
        <v>296</v>
      </c>
      <c r="S56" s="6">
        <v>321</v>
      </c>
      <c r="T56" s="6">
        <v>328</v>
      </c>
      <c r="U56" s="6">
        <v>371</v>
      </c>
      <c r="V56" s="6">
        <v>330</v>
      </c>
      <c r="W56" s="6">
        <v>414</v>
      </c>
      <c r="X56" s="6">
        <v>396</v>
      </c>
      <c r="Y56" s="6">
        <v>401</v>
      </c>
      <c r="Z56" s="6">
        <v>388</v>
      </c>
      <c r="AA56" s="6">
        <v>360</v>
      </c>
      <c r="AB56" s="6">
        <v>373</v>
      </c>
      <c r="AC56" s="6">
        <v>392</v>
      </c>
      <c r="AD56" s="6">
        <f t="shared" si="3"/>
        <v>-19</v>
      </c>
      <c r="AE56" s="6" t="s">
        <v>15826</v>
      </c>
    </row>
    <row r="57" spans="1:31">
      <c r="A57" s="33" t="str">
        <f>LEICESTERSHIRE!A19</f>
        <v>Bosworth CC</v>
      </c>
      <c r="B57" s="7">
        <f>LEICESTERSHIRE!D19</f>
        <v>77351</v>
      </c>
      <c r="C57" s="7">
        <f>LEICESTERSHIRE!E19</f>
        <v>77787</v>
      </c>
      <c r="D57" s="7">
        <f>LEICESTERSHIRE!F19</f>
        <v>78400</v>
      </c>
      <c r="E57" s="7">
        <f>LEICESTERSHIRE!G19</f>
        <v>79198</v>
      </c>
      <c r="F57" s="7">
        <f>LEICESTERSHIRE!H19</f>
        <v>79289</v>
      </c>
      <c r="G57" s="7">
        <f>LEICESTERSHIRE!I19</f>
        <v>78512</v>
      </c>
      <c r="H57" s="7">
        <f>LEICESTERSHIRE!J19</f>
        <v>78188</v>
      </c>
      <c r="I57" s="7">
        <f>LEICESTERSHIRE!K19</f>
        <v>79359</v>
      </c>
      <c r="J57" s="7">
        <f>LEICESTERSHIRE!L19</f>
        <v>81097</v>
      </c>
      <c r="K57" s="7">
        <f>LEICESTERSHIRE!M19</f>
        <v>80462</v>
      </c>
      <c r="L57" s="7">
        <f>LEICESTERSHIRE!N19</f>
        <v>82158</v>
      </c>
      <c r="M57" s="7">
        <f>LEICESTERSHIRE!O19</f>
        <v>82098</v>
      </c>
      <c r="N57" s="34">
        <f t="shared" si="0"/>
        <v>6.1369600910136907E-2</v>
      </c>
      <c r="O57" s="34"/>
      <c r="P57" s="7">
        <f t="shared" si="1"/>
        <v>8705</v>
      </c>
      <c r="Q57" s="1004">
        <f t="shared" si="2"/>
        <v>0.11860804163884839</v>
      </c>
      <c r="R57" s="6">
        <v>79</v>
      </c>
      <c r="S57" s="6">
        <v>87</v>
      </c>
      <c r="T57" s="6">
        <v>82</v>
      </c>
      <c r="U57" s="6">
        <v>74</v>
      </c>
      <c r="V57" s="6">
        <v>70</v>
      </c>
      <c r="W57" s="6">
        <v>62</v>
      </c>
      <c r="X57" s="6">
        <v>50</v>
      </c>
      <c r="Y57" s="6">
        <v>79</v>
      </c>
      <c r="Z57" s="6">
        <v>59</v>
      </c>
      <c r="AA57" s="6">
        <v>62</v>
      </c>
      <c r="AB57" s="6">
        <v>70</v>
      </c>
      <c r="AC57" s="6">
        <v>85</v>
      </c>
      <c r="AD57" s="6">
        <f t="shared" si="3"/>
        <v>-15</v>
      </c>
      <c r="AE57" s="6" t="s">
        <v>15826</v>
      </c>
    </row>
    <row r="58" spans="1:31">
      <c r="A58" s="33" t="str">
        <f>DORSET!A11</f>
        <v>Bournemouth East BC</v>
      </c>
      <c r="B58" s="7">
        <f>DORSET!D11</f>
        <v>71886</v>
      </c>
      <c r="C58" s="7">
        <f>DORSET!E11</f>
        <v>72961</v>
      </c>
      <c r="D58" s="7">
        <f>DORSET!F11</f>
        <v>73106</v>
      </c>
      <c r="E58" s="7">
        <f>DORSET!G11</f>
        <v>74212</v>
      </c>
      <c r="F58" s="7">
        <f>DORSET!H11</f>
        <v>72386</v>
      </c>
      <c r="G58" s="7">
        <f>DORSET!I11</f>
        <v>71411</v>
      </c>
      <c r="H58" s="7">
        <f>DORSET!J11</f>
        <v>71748</v>
      </c>
      <c r="I58" s="7">
        <f>DORSET!K11</f>
        <v>73835</v>
      </c>
      <c r="J58" s="7">
        <f>DORSET!L11</f>
        <v>73805</v>
      </c>
      <c r="K58" s="7">
        <f>DORSET!M11</f>
        <v>72636</v>
      </c>
      <c r="L58" s="7">
        <f>DORSET!N11</f>
        <v>74557</v>
      </c>
      <c r="M58" s="7">
        <f>DORSET!O11</f>
        <v>73081</v>
      </c>
      <c r="N58" s="34">
        <f t="shared" si="0"/>
        <v>1.6623542831705758E-2</v>
      </c>
      <c r="O58" s="34"/>
      <c r="P58" s="7">
        <f t="shared" si="1"/>
        <v>-312</v>
      </c>
      <c r="Q58" s="1004">
        <f t="shared" si="2"/>
        <v>-4.2510866158897986E-3</v>
      </c>
      <c r="R58" s="6">
        <v>253</v>
      </c>
      <c r="S58" s="6">
        <v>232</v>
      </c>
      <c r="T58" s="6">
        <v>241</v>
      </c>
      <c r="U58" s="6">
        <v>202</v>
      </c>
      <c r="V58" s="6">
        <v>267</v>
      </c>
      <c r="W58" s="6">
        <v>252</v>
      </c>
      <c r="X58" s="6">
        <v>207</v>
      </c>
      <c r="Y58" s="6">
        <v>198</v>
      </c>
      <c r="Z58" s="6">
        <v>217</v>
      </c>
      <c r="AA58" s="6">
        <v>231</v>
      </c>
      <c r="AB58" s="6">
        <v>237</v>
      </c>
      <c r="AC58" s="6">
        <v>310</v>
      </c>
      <c r="AD58" s="6">
        <f t="shared" si="3"/>
        <v>-73</v>
      </c>
      <c r="AE58" s="6" t="s">
        <v>15830</v>
      </c>
    </row>
    <row r="59" spans="1:31">
      <c r="A59" s="33" t="str">
        <f>DORSET!A13</f>
        <v>Bournemouth West BC</v>
      </c>
      <c r="B59" s="7">
        <f>DORSET!D13</f>
        <v>70913</v>
      </c>
      <c r="C59" s="7">
        <f>DORSET!E13</f>
        <v>72714</v>
      </c>
      <c r="D59" s="7">
        <f>DORSET!F13</f>
        <v>73181</v>
      </c>
      <c r="E59" s="7">
        <f>DORSET!G13</f>
        <v>73159</v>
      </c>
      <c r="F59" s="7">
        <f>DORSET!H13</f>
        <v>72092</v>
      </c>
      <c r="G59" s="7">
        <f>DORSET!I13</f>
        <v>69141</v>
      </c>
      <c r="H59" s="7">
        <f>DORSET!J13</f>
        <v>70999</v>
      </c>
      <c r="I59" s="7">
        <f>DORSET!K13</f>
        <v>71979</v>
      </c>
      <c r="J59" s="7">
        <f>DORSET!L13</f>
        <v>71920</v>
      </c>
      <c r="K59" s="7">
        <f>DORSET!M13</f>
        <v>70398</v>
      </c>
      <c r="L59" s="7">
        <f>DORSET!N13</f>
        <v>74599</v>
      </c>
      <c r="M59" s="7">
        <f>DORSET!O13</f>
        <v>72857</v>
      </c>
      <c r="N59" s="34">
        <f t="shared" si="0"/>
        <v>2.7413873337751894E-2</v>
      </c>
      <c r="O59" s="34"/>
      <c r="P59" s="7">
        <f t="shared" si="1"/>
        <v>-536</v>
      </c>
      <c r="Q59" s="1004">
        <f t="shared" si="2"/>
        <v>-7.3031488016568336E-3</v>
      </c>
      <c r="R59" s="6">
        <v>300</v>
      </c>
      <c r="S59" s="6">
        <v>241</v>
      </c>
      <c r="T59" s="6">
        <v>237</v>
      </c>
      <c r="U59" s="6">
        <v>249</v>
      </c>
      <c r="V59" s="6">
        <v>286</v>
      </c>
      <c r="W59" s="6">
        <v>327</v>
      </c>
      <c r="X59" s="6">
        <v>229</v>
      </c>
      <c r="Y59" s="6">
        <v>252</v>
      </c>
      <c r="Z59" s="6">
        <v>282</v>
      </c>
      <c r="AA59" s="6">
        <v>318</v>
      </c>
      <c r="AB59" s="6">
        <v>236</v>
      </c>
      <c r="AC59" s="6">
        <v>325</v>
      </c>
      <c r="AD59" s="6">
        <f t="shared" si="3"/>
        <v>-89</v>
      </c>
      <c r="AE59" s="6" t="s">
        <v>15830</v>
      </c>
    </row>
    <row r="60" spans="1:31">
      <c r="A60" s="33" t="str">
        <f>BERKSHIRE!A19</f>
        <v>Bracknell CC</v>
      </c>
      <c r="B60" s="7">
        <f>BERKSHIRE!D21</f>
        <v>76947</v>
      </c>
      <c r="C60" s="7">
        <f>BERKSHIRE!E21</f>
        <v>77490</v>
      </c>
      <c r="D60" s="7">
        <f>BERKSHIRE!F21</f>
        <v>77445</v>
      </c>
      <c r="E60" s="7">
        <f>BERKSHIRE!G21</f>
        <v>77978</v>
      </c>
      <c r="F60" s="7">
        <f>BERKSHIRE!H21</f>
        <v>78585</v>
      </c>
      <c r="G60" s="7">
        <f>BERKSHIRE!I21</f>
        <v>76287</v>
      </c>
      <c r="H60" s="7">
        <f>BERKSHIRE!J21</f>
        <v>76917</v>
      </c>
      <c r="I60" s="7">
        <f>BERKSHIRE!K21</f>
        <v>78497</v>
      </c>
      <c r="J60" s="7">
        <f>BERKSHIRE!L21</f>
        <v>78709</v>
      </c>
      <c r="K60" s="7">
        <f>BERKSHIRE!M21</f>
        <v>77997</v>
      </c>
      <c r="L60" s="7">
        <f>BERKSHIRE!N21</f>
        <v>78158</v>
      </c>
      <c r="M60" s="7">
        <f>BERKSHIRE!O21</f>
        <v>79344</v>
      </c>
      <c r="N60" s="34">
        <f t="shared" si="0"/>
        <v>3.1151311941986042E-2</v>
      </c>
      <c r="O60" s="34"/>
      <c r="P60" s="7">
        <f t="shared" si="1"/>
        <v>5951</v>
      </c>
      <c r="Q60" s="1004">
        <f t="shared" si="2"/>
        <v>8.1084027087051896E-2</v>
      </c>
      <c r="R60" s="6">
        <v>96</v>
      </c>
      <c r="S60" s="6">
        <v>93</v>
      </c>
      <c r="T60" s="6">
        <v>113</v>
      </c>
      <c r="U60" s="6">
        <v>108</v>
      </c>
      <c r="V60" s="6">
        <v>87</v>
      </c>
      <c r="W60" s="6">
        <v>112</v>
      </c>
      <c r="X60" s="6">
        <v>80</v>
      </c>
      <c r="Y60" s="6">
        <v>94</v>
      </c>
      <c r="Z60" s="6">
        <v>103</v>
      </c>
      <c r="AA60" s="6">
        <v>112</v>
      </c>
      <c r="AB60" s="6">
        <v>156</v>
      </c>
      <c r="AC60" s="6">
        <v>143</v>
      </c>
      <c r="AD60" s="6">
        <f t="shared" si="3"/>
        <v>13</v>
      </c>
      <c r="AE60" s="6" t="s">
        <v>15823</v>
      </c>
    </row>
    <row r="61" spans="1:31">
      <c r="A61" s="33" t="str">
        <f>'WEST YORKSHIRE'!A15</f>
        <v>Bradford East BC</v>
      </c>
      <c r="B61" s="7">
        <f>'WEST YORKSHIRE'!D15</f>
        <v>64382</v>
      </c>
      <c r="C61" s="7">
        <f>'WEST YORKSHIRE'!E15</f>
        <v>66718</v>
      </c>
      <c r="D61" s="7">
        <f>'WEST YORKSHIRE'!F15</f>
        <v>67719</v>
      </c>
      <c r="E61" s="7">
        <f>'WEST YORKSHIRE'!G15</f>
        <v>69105</v>
      </c>
      <c r="F61" s="7">
        <f>'WEST YORKSHIRE'!H15</f>
        <v>68759</v>
      </c>
      <c r="G61" s="7">
        <f>'WEST YORKSHIRE'!I15</f>
        <v>64628</v>
      </c>
      <c r="H61" s="7">
        <f>'WEST YORKSHIRE'!J15</f>
        <v>64952</v>
      </c>
      <c r="I61" s="7">
        <f>'WEST YORKSHIRE'!K15</f>
        <v>68649</v>
      </c>
      <c r="J61" s="7">
        <f>'WEST YORKSHIRE'!L15</f>
        <v>70315</v>
      </c>
      <c r="K61" s="7">
        <f>'WEST YORKSHIRE'!M15</f>
        <v>70555</v>
      </c>
      <c r="L61" s="7">
        <f>'WEST YORKSHIRE'!N15</f>
        <v>74205</v>
      </c>
      <c r="M61" s="7">
        <f>'WEST YORKSHIRE'!O15</f>
        <v>73721</v>
      </c>
      <c r="N61" s="34">
        <f t="shared" si="0"/>
        <v>0.14505607157279984</v>
      </c>
      <c r="O61" s="34"/>
      <c r="P61" s="7">
        <f t="shared" si="1"/>
        <v>328</v>
      </c>
      <c r="Q61" s="1004">
        <f t="shared" si="2"/>
        <v>4.4690910577303011E-3</v>
      </c>
      <c r="R61" s="6">
        <v>478</v>
      </c>
      <c r="S61" s="6">
        <v>430</v>
      </c>
      <c r="T61" s="6">
        <v>410</v>
      </c>
      <c r="U61" s="6">
        <v>382</v>
      </c>
      <c r="V61" s="6">
        <v>377</v>
      </c>
      <c r="W61" s="6">
        <v>449</v>
      </c>
      <c r="X61" s="6">
        <v>419</v>
      </c>
      <c r="Y61" s="6">
        <v>372</v>
      </c>
      <c r="Z61" s="6">
        <v>346</v>
      </c>
      <c r="AA61" s="6">
        <v>307</v>
      </c>
      <c r="AB61" s="6">
        <v>251</v>
      </c>
      <c r="AC61" s="6">
        <v>289</v>
      </c>
      <c r="AD61" s="6">
        <f t="shared" si="3"/>
        <v>-38</v>
      </c>
      <c r="AE61" s="6" t="s">
        <v>15828</v>
      </c>
    </row>
    <row r="62" spans="1:31">
      <c r="A62" s="33" t="str">
        <f>'WEST YORKSHIRE'!A17</f>
        <v>Bradford South BC</v>
      </c>
      <c r="B62" s="7">
        <f>'WEST YORKSHIRE'!D17</f>
        <v>63532</v>
      </c>
      <c r="C62" s="7">
        <f>'WEST YORKSHIRE'!E17</f>
        <v>64715</v>
      </c>
      <c r="D62" s="7">
        <f>'WEST YORKSHIRE'!F17</f>
        <v>65005</v>
      </c>
      <c r="E62" s="7">
        <f>'WEST YORKSHIRE'!G17</f>
        <v>66210</v>
      </c>
      <c r="F62" s="7">
        <f>'WEST YORKSHIRE'!H17</f>
        <v>66738</v>
      </c>
      <c r="G62" s="7">
        <f>'WEST YORKSHIRE'!I17</f>
        <v>62818</v>
      </c>
      <c r="H62" s="7">
        <f>'WEST YORKSHIRE'!J17</f>
        <v>62968</v>
      </c>
      <c r="I62" s="7">
        <f>'WEST YORKSHIRE'!K17</f>
        <v>66174</v>
      </c>
      <c r="J62" s="7">
        <f>'WEST YORKSHIRE'!L17</f>
        <v>67401</v>
      </c>
      <c r="K62" s="7">
        <f>'WEST YORKSHIRE'!M17</f>
        <v>67259</v>
      </c>
      <c r="L62" s="7">
        <f>'WEST YORKSHIRE'!N17</f>
        <v>69667</v>
      </c>
      <c r="M62" s="7">
        <f>'WEST YORKSHIRE'!O17</f>
        <v>69319</v>
      </c>
      <c r="N62" s="34">
        <f t="shared" si="0"/>
        <v>9.1087955675879878E-2</v>
      </c>
      <c r="O62" s="34"/>
      <c r="P62" s="7">
        <f t="shared" si="1"/>
        <v>-4074</v>
      </c>
      <c r="Q62" s="1004">
        <f t="shared" si="2"/>
        <v>-5.5509381003637948E-2</v>
      </c>
      <c r="R62" s="6">
        <v>491</v>
      </c>
      <c r="S62" s="6">
        <v>484</v>
      </c>
      <c r="T62" s="6">
        <v>483</v>
      </c>
      <c r="U62" s="6">
        <v>457</v>
      </c>
      <c r="V62" s="6">
        <v>435</v>
      </c>
      <c r="W62" s="6">
        <v>483</v>
      </c>
      <c r="X62" s="6">
        <v>464</v>
      </c>
      <c r="Y62" s="6">
        <v>425</v>
      </c>
      <c r="Z62" s="6">
        <v>415</v>
      </c>
      <c r="AA62" s="6">
        <v>403</v>
      </c>
      <c r="AB62" s="6">
        <v>395</v>
      </c>
      <c r="AC62" s="6">
        <v>413</v>
      </c>
      <c r="AD62" s="6">
        <f t="shared" si="3"/>
        <v>-18</v>
      </c>
      <c r="AE62" s="6" t="s">
        <v>15828</v>
      </c>
    </row>
    <row r="63" spans="1:31">
      <c r="A63" s="33" t="str">
        <f>'WEST YORKSHIRE'!A19</f>
        <v>Bradford West BC</v>
      </c>
      <c r="B63" s="7">
        <f>'WEST YORKSHIRE'!D19</f>
        <v>60658</v>
      </c>
      <c r="C63" s="7">
        <f>'WEST YORKSHIRE'!E19</f>
        <v>63425</v>
      </c>
      <c r="D63" s="7">
        <f>'WEST YORKSHIRE'!F19</f>
        <v>64752</v>
      </c>
      <c r="E63" s="7">
        <f>'WEST YORKSHIRE'!G19</f>
        <v>66089</v>
      </c>
      <c r="F63" s="7">
        <f>'WEST YORKSHIRE'!H19</f>
        <v>65567</v>
      </c>
      <c r="G63" s="7">
        <f>'WEST YORKSHIRE'!I19</f>
        <v>61650</v>
      </c>
      <c r="H63" s="7">
        <f>'WEST YORKSHIRE'!J19</f>
        <v>62096</v>
      </c>
      <c r="I63" s="7">
        <f>'WEST YORKSHIRE'!K19</f>
        <v>65661</v>
      </c>
      <c r="J63" s="7">
        <f>'WEST YORKSHIRE'!L19</f>
        <v>67719</v>
      </c>
      <c r="K63" s="7">
        <f>'WEST YORKSHIRE'!M19</f>
        <v>67687</v>
      </c>
      <c r="L63" s="7">
        <f>'WEST YORKSHIRE'!N19</f>
        <v>71585</v>
      </c>
      <c r="M63" s="7">
        <f>'WEST YORKSHIRE'!O19</f>
        <v>71258</v>
      </c>
      <c r="N63" s="34">
        <f t="shared" si="0"/>
        <v>0.17475023904513831</v>
      </c>
      <c r="O63" s="34"/>
      <c r="P63" s="7">
        <f t="shared" si="1"/>
        <v>-2135</v>
      </c>
      <c r="Q63" s="1004">
        <f t="shared" si="2"/>
        <v>-2.9089967708092052E-2</v>
      </c>
      <c r="R63" s="6">
        <v>523</v>
      </c>
      <c r="S63" s="6">
        <v>498</v>
      </c>
      <c r="T63" s="6">
        <v>487</v>
      </c>
      <c r="U63" s="6">
        <v>463</v>
      </c>
      <c r="V63" s="6">
        <v>460</v>
      </c>
      <c r="W63" s="6">
        <v>497</v>
      </c>
      <c r="X63" s="6">
        <v>481</v>
      </c>
      <c r="Y63" s="6">
        <v>436</v>
      </c>
      <c r="Z63" s="6">
        <v>404</v>
      </c>
      <c r="AA63" s="6">
        <v>395</v>
      </c>
      <c r="AB63" s="6">
        <v>329</v>
      </c>
      <c r="AC63" s="6">
        <v>364</v>
      </c>
      <c r="AD63" s="6">
        <f t="shared" si="3"/>
        <v>-35</v>
      </c>
      <c r="AE63" s="6" t="s">
        <v>15828</v>
      </c>
    </row>
    <row r="64" spans="1:31">
      <c r="A64" s="33" t="str">
        <f>ESSEX!A29</f>
        <v>Braintree CC</v>
      </c>
      <c r="B64" s="7">
        <f>ESSEX!D29</f>
        <v>70956</v>
      </c>
      <c r="C64" s="7">
        <f>ESSEX!E29</f>
        <v>72064</v>
      </c>
      <c r="D64" s="7">
        <f>ESSEX!F29</f>
        <v>73291</v>
      </c>
      <c r="E64" s="7">
        <f>ESSEX!G29</f>
        <v>74250</v>
      </c>
      <c r="F64" s="7">
        <f>ESSEX!H29</f>
        <v>73673</v>
      </c>
      <c r="G64" s="7">
        <f>ESSEX!I29</f>
        <v>73239</v>
      </c>
      <c r="H64" s="7">
        <f>ESSEX!J29</f>
        <v>72892</v>
      </c>
      <c r="I64" s="7">
        <f>ESSEX!K29</f>
        <v>74932</v>
      </c>
      <c r="J64" s="7">
        <f>ESSEX!L29</f>
        <v>74579</v>
      </c>
      <c r="K64" s="7">
        <f>ESSEX!M29</f>
        <v>73903</v>
      </c>
      <c r="L64" s="7">
        <f>ESSEX!N29</f>
        <v>75169</v>
      </c>
      <c r="M64" s="7">
        <f>ESSEX!O29</f>
        <v>74835</v>
      </c>
      <c r="N64" s="34">
        <f t="shared" si="0"/>
        <v>5.4667681380010144E-2</v>
      </c>
      <c r="O64" s="34"/>
      <c r="P64" s="7">
        <f t="shared" si="1"/>
        <v>1442</v>
      </c>
      <c r="Q64" s="1004">
        <f t="shared" si="2"/>
        <v>1.9647650320875287E-2</v>
      </c>
      <c r="R64" s="6">
        <v>298</v>
      </c>
      <c r="S64" s="6">
        <v>267</v>
      </c>
      <c r="T64" s="6">
        <v>233</v>
      </c>
      <c r="U64" s="6">
        <v>201</v>
      </c>
      <c r="V64" s="6">
        <v>221</v>
      </c>
      <c r="W64" s="6">
        <v>181</v>
      </c>
      <c r="X64" s="6">
        <v>167</v>
      </c>
      <c r="Y64" s="6">
        <v>158</v>
      </c>
      <c r="Z64" s="6">
        <v>193</v>
      </c>
      <c r="AA64" s="6">
        <v>189</v>
      </c>
      <c r="AB64" s="6">
        <v>220</v>
      </c>
      <c r="AC64" s="6">
        <v>245</v>
      </c>
      <c r="AD64" s="6">
        <f t="shared" si="3"/>
        <v>-25</v>
      </c>
      <c r="AE64" s="6" t="s">
        <v>15829</v>
      </c>
    </row>
    <row r="65" spans="1:31">
      <c r="A65" s="33" t="str">
        <f>BRENT!A8</f>
        <v>Brent Central BC</v>
      </c>
      <c r="B65" s="7">
        <f>BRENT!D8</f>
        <v>72671</v>
      </c>
      <c r="C65" s="7">
        <f>BRENT!E8</f>
        <v>73385</v>
      </c>
      <c r="D65" s="7">
        <f>BRENT!F8</f>
        <v>74779</v>
      </c>
      <c r="E65" s="7">
        <f>BRENT!G8</f>
        <v>76586</v>
      </c>
      <c r="F65" s="7">
        <f>BRENT!H8</f>
        <v>75645</v>
      </c>
      <c r="G65" s="7">
        <f>BRENT!I8</f>
        <v>74187</v>
      </c>
      <c r="H65" s="7">
        <f>BRENT!J8</f>
        <v>74899</v>
      </c>
      <c r="I65" s="7">
        <f>BRENT!K8</f>
        <v>77078</v>
      </c>
      <c r="J65" s="7">
        <f>BRENT!L8</f>
        <v>78959</v>
      </c>
      <c r="K65" s="7">
        <f>BRENT!M8</f>
        <v>80101</v>
      </c>
      <c r="L65" s="7">
        <f>BRENT!N8</f>
        <v>79754</v>
      </c>
      <c r="M65" s="7">
        <f>BRENT!O8</f>
        <v>83605</v>
      </c>
      <c r="N65" s="34">
        <f t="shared" si="0"/>
        <v>0.15045891758748331</v>
      </c>
      <c r="O65" s="34"/>
      <c r="P65" s="7">
        <f t="shared" si="1"/>
        <v>10212</v>
      </c>
      <c r="Q65" s="1004">
        <f t="shared" si="2"/>
        <v>0.13914133500470072</v>
      </c>
      <c r="R65" s="6">
        <v>214</v>
      </c>
      <c r="S65" s="6">
        <v>214</v>
      </c>
      <c r="T65" s="6">
        <v>183</v>
      </c>
      <c r="U65" s="6">
        <v>149</v>
      </c>
      <c r="V65" s="6">
        <v>156</v>
      </c>
      <c r="W65" s="6">
        <v>156</v>
      </c>
      <c r="X65" s="6">
        <v>122</v>
      </c>
      <c r="Y65" s="6">
        <v>127</v>
      </c>
      <c r="Z65" s="6">
        <v>97</v>
      </c>
      <c r="AA65" s="6">
        <v>72</v>
      </c>
      <c r="AB65" s="6">
        <v>118</v>
      </c>
      <c r="AC65" s="6">
        <v>66</v>
      </c>
      <c r="AD65" s="6">
        <f t="shared" si="3"/>
        <v>52</v>
      </c>
      <c r="AE65" s="6" t="s">
        <v>15827</v>
      </c>
    </row>
    <row r="66" spans="1:31">
      <c r="A66" s="33" t="str">
        <f>BRENT!A10</f>
        <v>Brent North BC</v>
      </c>
      <c r="B66" s="7">
        <f>BRENT!D10</f>
        <v>81811</v>
      </c>
      <c r="C66" s="7">
        <f>BRENT!E10</f>
        <v>82648</v>
      </c>
      <c r="D66" s="7">
        <f>BRENT!F10</f>
        <v>83112</v>
      </c>
      <c r="E66" s="7">
        <f>BRENT!G10</f>
        <v>83601</v>
      </c>
      <c r="F66" s="7">
        <f>BRENT!H10</f>
        <v>82482</v>
      </c>
      <c r="G66" s="7">
        <f>BRENT!I10</f>
        <v>80472</v>
      </c>
      <c r="H66" s="7">
        <f>BRENT!J10</f>
        <v>81364</v>
      </c>
      <c r="I66" s="7">
        <f>BRENT!K10</f>
        <v>80808</v>
      </c>
      <c r="J66" s="7">
        <f>BRENT!L10</f>
        <v>81100</v>
      </c>
      <c r="K66" s="7">
        <f>BRENT!M10</f>
        <v>81830</v>
      </c>
      <c r="L66" s="7">
        <f>BRENT!N10</f>
        <v>81228</v>
      </c>
      <c r="M66" s="7">
        <f>BRENT!O10</f>
        <v>83620</v>
      </c>
      <c r="N66" s="34">
        <f t="shared" si="0"/>
        <v>2.2111940937037805E-2</v>
      </c>
      <c r="O66" s="34"/>
      <c r="P66" s="7">
        <f t="shared" si="1"/>
        <v>10227</v>
      </c>
      <c r="Q66" s="1004">
        <f t="shared" si="2"/>
        <v>0.13934571416892619</v>
      </c>
      <c r="R66" s="6">
        <v>22</v>
      </c>
      <c r="S66" s="6">
        <v>22</v>
      </c>
      <c r="T66" s="6">
        <v>23</v>
      </c>
      <c r="U66" s="6">
        <v>25</v>
      </c>
      <c r="V66" s="6">
        <v>31</v>
      </c>
      <c r="W66" s="6">
        <v>35</v>
      </c>
      <c r="X66" s="6">
        <v>21</v>
      </c>
      <c r="Y66" s="6">
        <v>49</v>
      </c>
      <c r="Z66" s="6">
        <v>58</v>
      </c>
      <c r="AA66" s="6">
        <v>43</v>
      </c>
      <c r="AB66" s="6">
        <v>84</v>
      </c>
      <c r="AC66" s="6">
        <v>64</v>
      </c>
      <c r="AD66" s="6">
        <f t="shared" si="3"/>
        <v>20</v>
      </c>
      <c r="AE66" s="6" t="s">
        <v>15827</v>
      </c>
    </row>
    <row r="67" spans="1:31">
      <c r="A67" s="33" t="str">
        <f>HOUNSLOW!A7</f>
        <v>Brentford and Isleworth BC</v>
      </c>
      <c r="B67" s="7">
        <f>HOUNSLOW!D7</f>
        <v>82569</v>
      </c>
      <c r="C67" s="7">
        <f>HOUNSLOW!E7</f>
        <v>83332</v>
      </c>
      <c r="D67" s="7">
        <f>HOUNSLOW!F7</f>
        <v>84037</v>
      </c>
      <c r="E67" s="7">
        <f>HOUNSLOW!G7</f>
        <v>84288</v>
      </c>
      <c r="F67" s="7">
        <f>HOUNSLOW!H7</f>
        <v>85342</v>
      </c>
      <c r="G67" s="7">
        <f>HOUNSLOW!I7</f>
        <v>81974</v>
      </c>
      <c r="H67" s="7">
        <f>HOUNSLOW!J7</f>
        <v>80427</v>
      </c>
      <c r="I67" s="7">
        <f>HOUNSLOW!K7</f>
        <v>82482</v>
      </c>
      <c r="J67" s="7">
        <f>HOUNSLOW!L7</f>
        <v>82765</v>
      </c>
      <c r="K67" s="7">
        <f>HOUNSLOW!M7</f>
        <v>81242</v>
      </c>
      <c r="L67" s="7">
        <f>HOUNSLOW!N7</f>
        <v>82722</v>
      </c>
      <c r="M67" s="7">
        <f>HOUNSLOW!O7</f>
        <v>86728</v>
      </c>
      <c r="N67" s="34">
        <f t="shared" si="0"/>
        <v>5.0369993581126087E-2</v>
      </c>
      <c r="O67" s="34"/>
      <c r="P67" s="7">
        <f t="shared" si="1"/>
        <v>13335</v>
      </c>
      <c r="Q67" s="1004">
        <f t="shared" si="2"/>
        <v>0.1816930769964438</v>
      </c>
      <c r="R67" s="6">
        <v>16</v>
      </c>
      <c r="S67" s="6">
        <v>16</v>
      </c>
      <c r="T67" s="6">
        <v>16</v>
      </c>
      <c r="U67" s="6">
        <v>19</v>
      </c>
      <c r="V67" s="6">
        <v>12</v>
      </c>
      <c r="W67" s="6">
        <v>24</v>
      </c>
      <c r="X67" s="6">
        <v>27</v>
      </c>
      <c r="Y67" s="6">
        <v>32</v>
      </c>
      <c r="Z67" s="6">
        <v>34</v>
      </c>
      <c r="AA67" s="6">
        <v>52</v>
      </c>
      <c r="AB67" s="6">
        <v>63</v>
      </c>
      <c r="AC67" s="6">
        <v>30</v>
      </c>
      <c r="AD67" s="6">
        <f t="shared" si="3"/>
        <v>33</v>
      </c>
      <c r="AE67" s="6" t="s">
        <v>15827</v>
      </c>
    </row>
    <row r="68" spans="1:31">
      <c r="A68" s="33" t="str">
        <f>ESSEX!A31</f>
        <v>Brentwood and Ongar CC</v>
      </c>
      <c r="B68" s="7">
        <f>ESSEX!D33</f>
        <v>70362</v>
      </c>
      <c r="C68" s="7">
        <f>ESSEX!E33</f>
        <v>71041</v>
      </c>
      <c r="D68" s="7">
        <f>ESSEX!F33</f>
        <v>72291</v>
      </c>
      <c r="E68" s="7">
        <f>ESSEX!G33</f>
        <v>73388</v>
      </c>
      <c r="F68" s="7">
        <f>ESSEX!H33</f>
        <v>73696</v>
      </c>
      <c r="G68" s="7">
        <f>ESSEX!I33</f>
        <v>73925</v>
      </c>
      <c r="H68" s="7">
        <f>ESSEX!J33</f>
        <v>72382</v>
      </c>
      <c r="I68" s="7">
        <f>ESSEX!K33</f>
        <v>74454</v>
      </c>
      <c r="J68" s="7">
        <f>ESSEX!L33</f>
        <v>73780</v>
      </c>
      <c r="K68" s="7">
        <f>ESSEX!M33</f>
        <v>73640</v>
      </c>
      <c r="L68" s="7">
        <f>ESSEX!N33</f>
        <v>75676</v>
      </c>
      <c r="M68" s="7">
        <f>ESSEX!O33</f>
        <v>75115</v>
      </c>
      <c r="N68" s="34">
        <f t="shared" ref="N68:N131" si="4">(M68-B68)/B68</f>
        <v>6.755066655296893E-2</v>
      </c>
      <c r="O68" s="34"/>
      <c r="P68" s="7">
        <f t="shared" ref="P68:P131" si="5">M68-$M$544</f>
        <v>1722</v>
      </c>
      <c r="Q68" s="1004">
        <f t="shared" ref="Q68:Q131" si="6">(M68-$M$544)/$M$544</f>
        <v>2.3462728053084081E-2</v>
      </c>
      <c r="R68" s="6">
        <v>316</v>
      </c>
      <c r="S68" s="36">
        <v>311</v>
      </c>
      <c r="T68" s="6">
        <v>284</v>
      </c>
      <c r="U68" s="6">
        <v>240</v>
      </c>
      <c r="V68" s="6">
        <v>219</v>
      </c>
      <c r="W68" s="6">
        <v>166</v>
      </c>
      <c r="X68" s="6">
        <v>182</v>
      </c>
      <c r="Y68" s="6">
        <v>177</v>
      </c>
      <c r="Z68" s="6">
        <v>218</v>
      </c>
      <c r="AA68" s="6">
        <v>199</v>
      </c>
      <c r="AB68" s="6">
        <v>210</v>
      </c>
      <c r="AC68" s="6">
        <v>238</v>
      </c>
      <c r="AD68" s="6">
        <f t="shared" ref="AD68:AD131" si="7">AB68-AC68</f>
        <v>-28</v>
      </c>
      <c r="AE68" s="6" t="s">
        <v>15829</v>
      </c>
    </row>
    <row r="69" spans="1:31">
      <c r="A69" s="33" t="str">
        <f>SOMERSET!A12</f>
        <v>Bridgwater and West Somerset CC</v>
      </c>
      <c r="B69" s="7">
        <f>SOMERSET!D14</f>
        <v>81874</v>
      </c>
      <c r="C69" s="7">
        <f>SOMERSET!E14</f>
        <v>82936</v>
      </c>
      <c r="D69" s="7">
        <f>SOMERSET!F14</f>
        <v>82815</v>
      </c>
      <c r="E69" s="7">
        <f>SOMERSET!G14</f>
        <v>82728</v>
      </c>
      <c r="F69" s="7">
        <f>SOMERSET!H14</f>
        <v>81816</v>
      </c>
      <c r="G69" s="7">
        <f>SOMERSET!I14</f>
        <v>80795</v>
      </c>
      <c r="H69" s="7">
        <f>SOMERSET!J14</f>
        <v>79824</v>
      </c>
      <c r="I69" s="7">
        <f>SOMERSET!K14</f>
        <v>82507</v>
      </c>
      <c r="J69" s="7">
        <f>SOMERSET!L14</f>
        <v>83194</v>
      </c>
      <c r="K69" s="7">
        <f>SOMERSET!M14</f>
        <v>82849</v>
      </c>
      <c r="L69" s="7">
        <f>SOMERSET!N14</f>
        <v>83764</v>
      </c>
      <c r="M69" s="7">
        <f>SOMERSET!O14</f>
        <v>85448</v>
      </c>
      <c r="N69" s="34">
        <f t="shared" si="4"/>
        <v>4.3652441556538094E-2</v>
      </c>
      <c r="O69" s="34"/>
      <c r="P69" s="7">
        <f t="shared" si="5"/>
        <v>12055</v>
      </c>
      <c r="Q69" s="1004">
        <f t="shared" si="6"/>
        <v>0.1642527216492036</v>
      </c>
      <c r="R69" s="6">
        <v>21</v>
      </c>
      <c r="S69" s="6">
        <v>19</v>
      </c>
      <c r="T69" s="6">
        <v>24</v>
      </c>
      <c r="U69" s="6">
        <v>32</v>
      </c>
      <c r="V69" s="6">
        <v>36</v>
      </c>
      <c r="W69" s="6">
        <v>32</v>
      </c>
      <c r="X69" s="6">
        <v>33</v>
      </c>
      <c r="Y69" s="6">
        <v>31</v>
      </c>
      <c r="Z69" s="6">
        <v>32</v>
      </c>
      <c r="AA69" s="6">
        <v>31</v>
      </c>
      <c r="AB69" s="6">
        <v>48</v>
      </c>
      <c r="AC69" s="6">
        <v>40</v>
      </c>
      <c r="AD69" s="6">
        <f t="shared" si="7"/>
        <v>8</v>
      </c>
      <c r="AE69" s="6" t="s">
        <v>15830</v>
      </c>
    </row>
    <row r="70" spans="1:31">
      <c r="A70" s="33" t="str">
        <f>'"HUMBERSIDE"'!A17</f>
        <v>Brigg and Goole CC</v>
      </c>
      <c r="B70" s="7">
        <f>'"HUMBERSIDE"'!D19</f>
        <v>66821</v>
      </c>
      <c r="C70" s="7">
        <f>'"HUMBERSIDE"'!E19</f>
        <v>66734</v>
      </c>
      <c r="D70" s="7">
        <f>'"HUMBERSIDE"'!F19</f>
        <v>66875</v>
      </c>
      <c r="E70" s="7">
        <f>'"HUMBERSIDE"'!G19</f>
        <v>67157</v>
      </c>
      <c r="F70" s="7">
        <f>'"HUMBERSIDE"'!H19</f>
        <v>66653</v>
      </c>
      <c r="G70" s="7">
        <f>'"HUMBERSIDE"'!I19</f>
        <v>65080</v>
      </c>
      <c r="H70" s="7">
        <f>'"HUMBERSIDE"'!J19</f>
        <v>63859</v>
      </c>
      <c r="I70" s="7">
        <f>'"HUMBERSIDE"'!K19</f>
        <v>65176</v>
      </c>
      <c r="J70" s="7">
        <f>'"HUMBERSIDE"'!L19</f>
        <v>65254</v>
      </c>
      <c r="K70" s="7">
        <f>'"HUMBERSIDE"'!M19</f>
        <v>66905</v>
      </c>
      <c r="L70" s="7">
        <f>'"HUMBERSIDE"'!N19</f>
        <v>64365</v>
      </c>
      <c r="M70" s="7">
        <f>'"HUMBERSIDE"'!O19</f>
        <v>66088</v>
      </c>
      <c r="N70" s="34">
        <f t="shared" si="4"/>
        <v>-1.0969605363583304E-2</v>
      </c>
      <c r="O70" s="34"/>
      <c r="P70" s="7">
        <f t="shared" si="5"/>
        <v>-7305</v>
      </c>
      <c r="Q70" s="1004">
        <f t="shared" si="6"/>
        <v>-9.953265297780442E-2</v>
      </c>
      <c r="R70" s="6">
        <v>420</v>
      </c>
      <c r="S70" s="6">
        <v>428</v>
      </c>
      <c r="T70" s="6">
        <v>438</v>
      </c>
      <c r="U70" s="6">
        <v>439</v>
      </c>
      <c r="V70" s="6">
        <v>441</v>
      </c>
      <c r="W70" s="6">
        <v>438</v>
      </c>
      <c r="X70" s="6">
        <v>450</v>
      </c>
      <c r="Y70" s="6">
        <v>448</v>
      </c>
      <c r="Z70" s="6">
        <v>454</v>
      </c>
      <c r="AA70" s="6">
        <v>411</v>
      </c>
      <c r="AB70" s="6">
        <v>481</v>
      </c>
      <c r="AC70" s="6">
        <v>466</v>
      </c>
      <c r="AD70" s="6">
        <f t="shared" si="7"/>
        <v>15</v>
      </c>
      <c r="AE70" s="6" t="s">
        <v>15828</v>
      </c>
    </row>
    <row r="71" spans="1:31">
      <c r="A71" s="33" t="str">
        <f>'EAST SUSSEX'!A21</f>
        <v>Brighton, Kemptown BC</v>
      </c>
      <c r="B71" s="7">
        <f>'EAST SUSSEX'!D23</f>
        <v>65057</v>
      </c>
      <c r="C71" s="7">
        <f>'EAST SUSSEX'!E23</f>
        <v>66557</v>
      </c>
      <c r="D71" s="7">
        <f>'EAST SUSSEX'!F23</f>
        <v>66624</v>
      </c>
      <c r="E71" s="7">
        <f>'EAST SUSSEX'!G23</f>
        <v>68084</v>
      </c>
      <c r="F71" s="7">
        <f>'EAST SUSSEX'!H23</f>
        <v>66708</v>
      </c>
      <c r="G71" s="7">
        <f>'EAST SUSSEX'!I23</f>
        <v>62708</v>
      </c>
      <c r="H71" s="7">
        <f>'EAST SUSSEX'!J23</f>
        <v>62205</v>
      </c>
      <c r="I71" s="7">
        <f>'EAST SUSSEX'!K23</f>
        <v>63371</v>
      </c>
      <c r="J71" s="7">
        <f>'EAST SUSSEX'!L23</f>
        <v>64496</v>
      </c>
      <c r="K71" s="7">
        <f>'EAST SUSSEX'!M23</f>
        <v>64516</v>
      </c>
      <c r="L71" s="7">
        <f>'EAST SUSSEX'!N23</f>
        <v>70153</v>
      </c>
      <c r="M71" s="7">
        <f>'EAST SUSSEX'!O23</f>
        <v>68733</v>
      </c>
      <c r="N71" s="34">
        <f t="shared" si="4"/>
        <v>5.650429623253455E-2</v>
      </c>
      <c r="O71" s="34"/>
      <c r="P71" s="7">
        <f t="shared" si="5"/>
        <v>-4660</v>
      </c>
      <c r="Q71" s="1004">
        <f t="shared" si="6"/>
        <v>-6.3493793686046351E-2</v>
      </c>
      <c r="R71" s="6">
        <v>460</v>
      </c>
      <c r="S71" s="6">
        <v>439</v>
      </c>
      <c r="T71" s="6">
        <v>442</v>
      </c>
      <c r="U71" s="6">
        <v>410</v>
      </c>
      <c r="V71" s="6">
        <v>438</v>
      </c>
      <c r="W71" s="6">
        <v>485</v>
      </c>
      <c r="X71" s="6">
        <v>478</v>
      </c>
      <c r="Y71" s="6">
        <v>478</v>
      </c>
      <c r="Z71" s="6">
        <v>469</v>
      </c>
      <c r="AA71" s="6">
        <v>460</v>
      </c>
      <c r="AB71" s="6">
        <v>383</v>
      </c>
      <c r="AC71" s="6">
        <v>424</v>
      </c>
      <c r="AD71" s="6">
        <f t="shared" si="7"/>
        <v>-41</v>
      </c>
      <c r="AE71" s="6" t="s">
        <v>15823</v>
      </c>
    </row>
    <row r="72" spans="1:31">
      <c r="A72" s="33" t="str">
        <f>'EAST SUSSEX'!A25</f>
        <v>Brighton, Pavilion BC</v>
      </c>
      <c r="B72" s="7">
        <f>'EAST SUSSEX'!D25</f>
        <v>72234</v>
      </c>
      <c r="C72" s="7">
        <f>'EAST SUSSEX'!E25</f>
        <v>73430</v>
      </c>
      <c r="D72" s="7">
        <f>'EAST SUSSEX'!F25</f>
        <v>73803</v>
      </c>
      <c r="E72" s="7">
        <f>'EAST SUSSEX'!G25</f>
        <v>75540</v>
      </c>
      <c r="F72" s="7">
        <f>'EAST SUSSEX'!H25</f>
        <v>73889</v>
      </c>
      <c r="G72" s="7">
        <f>'EAST SUSSEX'!I25</f>
        <v>66386</v>
      </c>
      <c r="H72" s="7">
        <f>'EAST SUSSEX'!J25</f>
        <v>67700</v>
      </c>
      <c r="I72" s="7">
        <f>'EAST SUSSEX'!K25</f>
        <v>68326</v>
      </c>
      <c r="J72" s="7">
        <f>'EAST SUSSEX'!L25</f>
        <v>70700</v>
      </c>
      <c r="K72" s="7">
        <f>'EAST SUSSEX'!M25</f>
        <v>69889</v>
      </c>
      <c r="L72" s="7">
        <f>'EAST SUSSEX'!N25</f>
        <v>79502</v>
      </c>
      <c r="M72" s="7">
        <f>'EAST SUSSEX'!O25</f>
        <v>76854</v>
      </c>
      <c r="N72" s="34">
        <f t="shared" si="4"/>
        <v>6.395880056483097E-2</v>
      </c>
      <c r="O72" s="34"/>
      <c r="P72" s="7">
        <f t="shared" si="5"/>
        <v>3461</v>
      </c>
      <c r="Q72" s="1004">
        <f t="shared" si="6"/>
        <v>4.7157085825623696E-2</v>
      </c>
      <c r="R72" s="6">
        <v>233</v>
      </c>
      <c r="S72" s="6">
        <v>210</v>
      </c>
      <c r="T72" s="6">
        <v>208</v>
      </c>
      <c r="U72" s="6">
        <v>171</v>
      </c>
      <c r="V72" s="6">
        <v>210</v>
      </c>
      <c r="W72" s="6">
        <v>409</v>
      </c>
      <c r="X72" s="6">
        <v>347</v>
      </c>
      <c r="Y72" s="6">
        <v>379</v>
      </c>
      <c r="Z72" s="6">
        <v>331</v>
      </c>
      <c r="AA72" s="6">
        <v>340</v>
      </c>
      <c r="AB72" s="6">
        <v>128</v>
      </c>
      <c r="AC72" s="6">
        <v>200</v>
      </c>
      <c r="AD72" s="6">
        <f t="shared" si="7"/>
        <v>-72</v>
      </c>
      <c r="AE72" s="6" t="s">
        <v>15823</v>
      </c>
    </row>
    <row r="73" spans="1:31">
      <c r="A73" s="33" t="str">
        <f>BRISTOL!A7</f>
        <v>Bristol East BC</v>
      </c>
      <c r="B73" s="7">
        <f>BRISTOL!D7</f>
        <v>68999</v>
      </c>
      <c r="C73" s="7">
        <f>BRISTOL!E7</f>
        <v>69347</v>
      </c>
      <c r="D73" s="7">
        <f>BRISTOL!F7</f>
        <v>70455</v>
      </c>
      <c r="E73" s="7">
        <f>BRISTOL!G7</f>
        <v>69989</v>
      </c>
      <c r="F73" s="7">
        <f>BRISTOL!H7</f>
        <v>70605</v>
      </c>
      <c r="G73" s="7">
        <f>BRISTOL!I7</f>
        <v>69738</v>
      </c>
      <c r="H73" s="7">
        <f>BRISTOL!J7</f>
        <v>68199</v>
      </c>
      <c r="I73" s="7">
        <f>BRISTOL!K7</f>
        <v>70066</v>
      </c>
      <c r="J73" s="7">
        <f>BRISTOL!L7</f>
        <v>70366</v>
      </c>
      <c r="K73" s="7">
        <f>BRISTOL!M7</f>
        <v>70253</v>
      </c>
      <c r="L73" s="7">
        <f>BRISTOL!N7</f>
        <v>71127</v>
      </c>
      <c r="M73" s="7">
        <f>BRISTOL!O7</f>
        <v>74322</v>
      </c>
      <c r="N73" s="34">
        <f t="shared" si="4"/>
        <v>7.7146045594863696E-2</v>
      </c>
      <c r="O73" s="34"/>
      <c r="P73" s="7">
        <f t="shared" si="5"/>
        <v>929</v>
      </c>
      <c r="Q73" s="1004">
        <f t="shared" si="6"/>
        <v>1.2657882904364176E-2</v>
      </c>
      <c r="R73" s="6">
        <v>350</v>
      </c>
      <c r="S73" s="6">
        <v>356</v>
      </c>
      <c r="T73" s="6">
        <v>333</v>
      </c>
      <c r="U73" s="6">
        <v>356</v>
      </c>
      <c r="V73" s="6">
        <v>326</v>
      </c>
      <c r="W73" s="6">
        <v>304</v>
      </c>
      <c r="X73" s="6">
        <v>335</v>
      </c>
      <c r="Y73" s="6">
        <v>334</v>
      </c>
      <c r="Z73" s="6">
        <v>344</v>
      </c>
      <c r="AA73" s="6">
        <v>323</v>
      </c>
      <c r="AB73" s="6">
        <v>350</v>
      </c>
      <c r="AC73" s="6">
        <v>261</v>
      </c>
      <c r="AD73" s="6">
        <f t="shared" si="7"/>
        <v>89</v>
      </c>
      <c r="AE73" s="6" t="s">
        <v>15830</v>
      </c>
    </row>
    <row r="74" spans="1:31">
      <c r="A74" s="33" t="str">
        <f>BRISTOL!A9</f>
        <v>Bristol North West BC</v>
      </c>
      <c r="B74" s="7">
        <f>BRISTOL!D9</f>
        <v>73104</v>
      </c>
      <c r="C74" s="7">
        <f>BRISTOL!E9</f>
        <v>73920</v>
      </c>
      <c r="D74" s="7">
        <f>BRISTOL!F9</f>
        <v>74595</v>
      </c>
      <c r="E74" s="7">
        <f>BRISTOL!G9</f>
        <v>74969</v>
      </c>
      <c r="F74" s="7">
        <f>BRISTOL!H9</f>
        <v>74540</v>
      </c>
      <c r="G74" s="7">
        <f>BRISTOL!I9</f>
        <v>73793</v>
      </c>
      <c r="H74" s="7">
        <f>BRISTOL!J9</f>
        <v>71869</v>
      </c>
      <c r="I74" s="7">
        <f>BRISTOL!K9</f>
        <v>72784</v>
      </c>
      <c r="J74" s="7">
        <f>BRISTOL!L9</f>
        <v>72211</v>
      </c>
      <c r="K74" s="7">
        <f>BRISTOL!M9</f>
        <v>71622</v>
      </c>
      <c r="L74" s="7">
        <f>BRISTOL!N9</f>
        <v>72896</v>
      </c>
      <c r="M74" s="7">
        <f>BRISTOL!O9</f>
        <v>76823</v>
      </c>
      <c r="N74" s="34">
        <f t="shared" si="4"/>
        <v>5.087272926242066E-2</v>
      </c>
      <c r="O74" s="34"/>
      <c r="P74" s="7">
        <f t="shared" si="5"/>
        <v>3430</v>
      </c>
      <c r="Q74" s="1004">
        <f t="shared" si="6"/>
        <v>4.6734702219557722E-2</v>
      </c>
      <c r="R74" s="6">
        <v>195</v>
      </c>
      <c r="S74" s="6">
        <v>190</v>
      </c>
      <c r="T74" s="6">
        <v>188</v>
      </c>
      <c r="U74" s="6">
        <v>184</v>
      </c>
      <c r="V74" s="6">
        <v>184</v>
      </c>
      <c r="W74" s="6">
        <v>167</v>
      </c>
      <c r="X74" s="6">
        <v>202</v>
      </c>
      <c r="Y74" s="6">
        <v>229</v>
      </c>
      <c r="Z74" s="6">
        <v>270</v>
      </c>
      <c r="AA74" s="6">
        <v>267</v>
      </c>
      <c r="AB74" s="6">
        <v>291</v>
      </c>
      <c r="AC74" s="6">
        <v>202</v>
      </c>
      <c r="AD74" s="6">
        <f t="shared" si="7"/>
        <v>89</v>
      </c>
      <c r="AE74" s="6" t="s">
        <v>15830</v>
      </c>
    </row>
    <row r="75" spans="1:31">
      <c r="A75" s="33" t="str">
        <f>BRISTOL!A11</f>
        <v>Bristol South BC</v>
      </c>
      <c r="B75" s="7">
        <f>BRISTOL!D11</f>
        <v>78148</v>
      </c>
      <c r="C75" s="7">
        <f>BRISTOL!E11</f>
        <v>78703</v>
      </c>
      <c r="D75" s="7">
        <f>BRISTOL!F11</f>
        <v>79858</v>
      </c>
      <c r="E75" s="7">
        <f>BRISTOL!G11</f>
        <v>80224</v>
      </c>
      <c r="F75" s="7">
        <f>BRISTOL!H11</f>
        <v>80481</v>
      </c>
      <c r="G75" s="7">
        <f>BRISTOL!I11</f>
        <v>79512</v>
      </c>
      <c r="H75" s="7">
        <f>BRISTOL!J11</f>
        <v>78060</v>
      </c>
      <c r="I75" s="7">
        <f>BRISTOL!K11</f>
        <v>80750</v>
      </c>
      <c r="J75" s="7">
        <f>BRISTOL!L11</f>
        <v>80999</v>
      </c>
      <c r="K75" s="7">
        <f>BRISTOL!M11</f>
        <v>80307</v>
      </c>
      <c r="L75" s="7">
        <f>BRISTOL!N11</f>
        <v>81582</v>
      </c>
      <c r="M75" s="7">
        <f>BRISTOL!O11</f>
        <v>84564</v>
      </c>
      <c r="N75" s="34">
        <f t="shared" si="4"/>
        <v>8.2100629574653222E-2</v>
      </c>
      <c r="O75" s="34"/>
      <c r="P75" s="7">
        <f t="shared" si="5"/>
        <v>11171</v>
      </c>
      <c r="Q75" s="1004">
        <f t="shared" si="6"/>
        <v>0.15220797623751584</v>
      </c>
      <c r="R75" s="6">
        <v>65</v>
      </c>
      <c r="S75" s="6">
        <v>64</v>
      </c>
      <c r="T75" s="6">
        <v>51</v>
      </c>
      <c r="U75" s="6">
        <v>52</v>
      </c>
      <c r="V75" s="6">
        <v>50</v>
      </c>
      <c r="W75" s="6">
        <v>45</v>
      </c>
      <c r="X75" s="6">
        <v>56</v>
      </c>
      <c r="Y75" s="6">
        <v>50</v>
      </c>
      <c r="Z75" s="6">
        <v>64</v>
      </c>
      <c r="AA75" s="6">
        <v>67</v>
      </c>
      <c r="AB75" s="6">
        <v>79</v>
      </c>
      <c r="AC75" s="6">
        <v>47</v>
      </c>
      <c r="AD75" s="6">
        <f t="shared" si="7"/>
        <v>32</v>
      </c>
      <c r="AE75" s="6" t="s">
        <v>15830</v>
      </c>
    </row>
    <row r="76" spans="1:31">
      <c r="A76" s="33" t="str">
        <f>BRISTOL!A13</f>
        <v>Bristol West BC</v>
      </c>
      <c r="B76" s="7">
        <f>BRISTOL!D13</f>
        <v>79633</v>
      </c>
      <c r="C76" s="7">
        <f>BRISTOL!E13</f>
        <v>82503</v>
      </c>
      <c r="D76" s="7">
        <f>BRISTOL!F13</f>
        <v>84587</v>
      </c>
      <c r="E76" s="7">
        <f>BRISTOL!G13</f>
        <v>84462</v>
      </c>
      <c r="F76" s="7">
        <f>BRISTOL!H13</f>
        <v>83116</v>
      </c>
      <c r="G76" s="7">
        <f>BRISTOL!I13</f>
        <v>80566</v>
      </c>
      <c r="H76" s="7">
        <f>BRISTOL!J13</f>
        <v>82067</v>
      </c>
      <c r="I76" s="7">
        <f>BRISTOL!K13</f>
        <v>82955</v>
      </c>
      <c r="J76" s="7">
        <f>BRISTOL!L13</f>
        <v>84571</v>
      </c>
      <c r="K76" s="7">
        <f>BRISTOL!M13</f>
        <v>83002</v>
      </c>
      <c r="L76" s="7">
        <f>BRISTOL!N13</f>
        <v>87859</v>
      </c>
      <c r="M76" s="7">
        <f>BRISTOL!O13</f>
        <v>99859</v>
      </c>
      <c r="N76" s="34">
        <f t="shared" si="4"/>
        <v>0.25399017995052303</v>
      </c>
      <c r="O76" s="34"/>
      <c r="P76" s="7">
        <f t="shared" si="5"/>
        <v>26466</v>
      </c>
      <c r="Q76" s="1004">
        <f t="shared" si="6"/>
        <v>0.36060659735942119</v>
      </c>
      <c r="R76" s="6">
        <v>40</v>
      </c>
      <c r="S76" s="6">
        <v>23</v>
      </c>
      <c r="T76" s="6">
        <v>13</v>
      </c>
      <c r="U76" s="6">
        <v>17</v>
      </c>
      <c r="V76" s="6">
        <v>24</v>
      </c>
      <c r="W76" s="6">
        <v>34</v>
      </c>
      <c r="X76" s="6">
        <v>16</v>
      </c>
      <c r="Y76" s="6">
        <v>28</v>
      </c>
      <c r="Z76" s="6">
        <v>21</v>
      </c>
      <c r="AA76" s="6">
        <v>28</v>
      </c>
      <c r="AB76" s="6">
        <v>20</v>
      </c>
      <c r="AC76" s="6">
        <v>2</v>
      </c>
      <c r="AD76" s="6">
        <f t="shared" si="7"/>
        <v>18</v>
      </c>
      <c r="AE76" s="6" t="s">
        <v>15830</v>
      </c>
    </row>
    <row r="77" spans="1:31">
      <c r="A77" s="33" t="str">
        <f>NORFOLK!A15</f>
        <v>Broadland CC</v>
      </c>
      <c r="B77" s="7">
        <f>NORFOLK!D17</f>
        <v>71982</v>
      </c>
      <c r="C77" s="7">
        <f>NORFOLK!E17</f>
        <v>73066</v>
      </c>
      <c r="D77" s="7">
        <f>NORFOLK!F17</f>
        <v>73579</v>
      </c>
      <c r="E77" s="7">
        <f>NORFOLK!G17</f>
        <v>74314</v>
      </c>
      <c r="F77" s="7">
        <f>NORFOLK!H17</f>
        <v>73672</v>
      </c>
      <c r="G77" s="7">
        <f>NORFOLK!I17</f>
        <v>71688</v>
      </c>
      <c r="H77" s="7">
        <f>NORFOLK!J17</f>
        <v>72897</v>
      </c>
      <c r="I77" s="7">
        <f>NORFOLK!K17</f>
        <v>75519</v>
      </c>
      <c r="J77" s="7">
        <f>NORFOLK!L17</f>
        <v>75784</v>
      </c>
      <c r="K77" s="7">
        <f>NORFOLK!M17</f>
        <v>75704</v>
      </c>
      <c r="L77" s="7">
        <f>NORFOLK!N17</f>
        <v>76965</v>
      </c>
      <c r="M77" s="7">
        <f>NORFOLK!O17</f>
        <v>78147</v>
      </c>
      <c r="N77" s="34">
        <f t="shared" si="4"/>
        <v>8.5646411602900721E-2</v>
      </c>
      <c r="O77" s="34"/>
      <c r="P77" s="7">
        <f t="shared" si="5"/>
        <v>4754</v>
      </c>
      <c r="Q77" s="1004">
        <f t="shared" si="6"/>
        <v>6.4774569781859304E-2</v>
      </c>
      <c r="R77" s="6">
        <v>246</v>
      </c>
      <c r="S77" s="6">
        <v>224</v>
      </c>
      <c r="T77" s="6">
        <v>220</v>
      </c>
      <c r="U77" s="6">
        <v>200</v>
      </c>
      <c r="V77" s="6">
        <v>222</v>
      </c>
      <c r="W77" s="6">
        <v>242</v>
      </c>
      <c r="X77" s="6">
        <v>166</v>
      </c>
      <c r="Y77" s="6">
        <v>146</v>
      </c>
      <c r="Z77" s="6">
        <v>162</v>
      </c>
      <c r="AA77" s="6">
        <v>158</v>
      </c>
      <c r="AB77" s="6">
        <v>188</v>
      </c>
      <c r="AC77" s="6">
        <v>170</v>
      </c>
      <c r="AD77" s="6">
        <f t="shared" si="7"/>
        <v>18</v>
      </c>
      <c r="AE77" s="6" t="s">
        <v>15829</v>
      </c>
    </row>
    <row r="78" spans="1:31">
      <c r="A78" s="33" t="str">
        <f>BROMLEY!A9</f>
        <v>Bromley and Chislehurst BC</v>
      </c>
      <c r="B78" s="7">
        <f>BROMLEY!D9</f>
        <v>65210</v>
      </c>
      <c r="C78" s="7">
        <f>BROMLEY!E9</f>
        <v>65508</v>
      </c>
      <c r="D78" s="7">
        <f>BROMLEY!F9</f>
        <v>65885</v>
      </c>
      <c r="E78" s="7">
        <f>BROMLEY!G9</f>
        <v>65183</v>
      </c>
      <c r="F78" s="7">
        <f>BROMLEY!H9</f>
        <v>64582</v>
      </c>
      <c r="G78" s="7">
        <f>BROMLEY!I9</f>
        <v>64556</v>
      </c>
      <c r="H78" s="7">
        <f>BROMLEY!J9</f>
        <v>63339</v>
      </c>
      <c r="I78" s="7">
        <f>BROMLEY!K9</f>
        <v>64452</v>
      </c>
      <c r="J78" s="7">
        <f>BROMLEY!L9</f>
        <v>64702</v>
      </c>
      <c r="K78" s="7">
        <f>BROMLEY!M9</f>
        <v>64919</v>
      </c>
      <c r="L78" s="7">
        <f>BROMLEY!N9</f>
        <v>65195</v>
      </c>
      <c r="M78" s="7">
        <f>BROMLEY!O9</f>
        <v>66840</v>
      </c>
      <c r="N78" s="34">
        <f t="shared" si="4"/>
        <v>2.4996166232172979E-2</v>
      </c>
      <c r="O78" s="34"/>
      <c r="P78" s="7">
        <f t="shared" si="5"/>
        <v>-6553</v>
      </c>
      <c r="Q78" s="1004">
        <f t="shared" si="6"/>
        <v>-8.9286444211300803E-2</v>
      </c>
      <c r="R78" s="6">
        <v>457</v>
      </c>
      <c r="S78" s="6">
        <v>463</v>
      </c>
      <c r="T78" s="6">
        <v>458</v>
      </c>
      <c r="U78" s="6">
        <v>485</v>
      </c>
      <c r="V78" s="6">
        <v>477</v>
      </c>
      <c r="W78" s="6">
        <v>452</v>
      </c>
      <c r="X78" s="6">
        <v>456</v>
      </c>
      <c r="Y78" s="6">
        <v>464</v>
      </c>
      <c r="Z78" s="6">
        <v>467</v>
      </c>
      <c r="AA78" s="6">
        <v>455</v>
      </c>
      <c r="AB78" s="6">
        <v>470</v>
      </c>
      <c r="AC78" s="6">
        <v>454</v>
      </c>
      <c r="AD78" s="6">
        <f t="shared" si="7"/>
        <v>16</v>
      </c>
      <c r="AE78" s="6" t="s">
        <v>15827</v>
      </c>
    </row>
    <row r="79" spans="1:31">
      <c r="A79" s="33" t="str">
        <f>WORCESTERSHIRE!A14</f>
        <v>Bromsgrove CC</v>
      </c>
      <c r="B79" s="7">
        <f>WORCESTERSHIRE!D14</f>
        <v>73430</v>
      </c>
      <c r="C79" s="7">
        <f>WORCESTERSHIRE!E14</f>
        <v>73279</v>
      </c>
      <c r="D79" s="7">
        <f>WORCESTERSHIRE!F14</f>
        <v>73099</v>
      </c>
      <c r="E79" s="7">
        <f>WORCESTERSHIRE!G14</f>
        <v>73892</v>
      </c>
      <c r="F79" s="7">
        <f>WORCESTERSHIRE!H14</f>
        <v>71548</v>
      </c>
      <c r="G79" s="7">
        <f>WORCESTERSHIRE!I14</f>
        <v>72319</v>
      </c>
      <c r="H79" s="7">
        <f>WORCESTERSHIRE!J14</f>
        <v>72042</v>
      </c>
      <c r="I79" s="7">
        <f>WORCESTERSHIRE!K14</f>
        <v>72948</v>
      </c>
      <c r="J79" s="7">
        <f>WORCESTERSHIRE!L14</f>
        <v>72206</v>
      </c>
      <c r="K79" s="7">
        <f>WORCESTERSHIRE!M14</f>
        <v>71813</v>
      </c>
      <c r="L79" s="7">
        <f>WORCESTERSHIRE!N14</f>
        <v>73943</v>
      </c>
      <c r="M79" s="7">
        <f>WORCESTERSHIRE!O14</f>
        <v>75305</v>
      </c>
      <c r="N79" s="34">
        <f t="shared" si="4"/>
        <v>2.5534522674656134E-2</v>
      </c>
      <c r="O79" s="34"/>
      <c r="P79" s="7">
        <f t="shared" si="5"/>
        <v>1912</v>
      </c>
      <c r="Q79" s="1004">
        <f t="shared" si="6"/>
        <v>2.6051530799940048E-2</v>
      </c>
      <c r="R79" s="6">
        <v>182</v>
      </c>
      <c r="S79" s="6">
        <v>216</v>
      </c>
      <c r="T79" s="6">
        <v>244</v>
      </c>
      <c r="U79" s="6">
        <v>215</v>
      </c>
      <c r="V79" s="6">
        <v>300</v>
      </c>
      <c r="W79" s="6">
        <v>222</v>
      </c>
      <c r="X79" s="6">
        <v>197</v>
      </c>
      <c r="Y79" s="6">
        <v>222</v>
      </c>
      <c r="Z79" s="6">
        <v>271</v>
      </c>
      <c r="AA79" s="6">
        <v>258</v>
      </c>
      <c r="AB79" s="6">
        <v>259</v>
      </c>
      <c r="AC79" s="6">
        <v>230</v>
      </c>
      <c r="AD79" s="6">
        <f t="shared" si="7"/>
        <v>29</v>
      </c>
      <c r="AE79" s="6" t="s">
        <v>15824</v>
      </c>
    </row>
    <row r="80" spans="1:31">
      <c r="A80" s="33" t="str">
        <f>HERTFORDSHIRE!A18</f>
        <v>Broxbourne BC</v>
      </c>
      <c r="B80" s="7">
        <f>HERTFORDSHIRE!D20</f>
        <v>71224</v>
      </c>
      <c r="C80" s="7">
        <f>HERTFORDSHIRE!E20</f>
        <v>71872</v>
      </c>
      <c r="D80" s="7">
        <f>HERTFORDSHIRE!F20</f>
        <v>72133</v>
      </c>
      <c r="E80" s="7">
        <f>HERTFORDSHIRE!G20</f>
        <v>72936</v>
      </c>
      <c r="F80" s="7">
        <f>HERTFORDSHIRE!H20</f>
        <v>73563</v>
      </c>
      <c r="G80" s="7">
        <f>HERTFORDSHIRE!I20</f>
        <v>72008</v>
      </c>
      <c r="H80" s="7">
        <f>HERTFORDSHIRE!J20</f>
        <v>70420</v>
      </c>
      <c r="I80" s="7">
        <f>HERTFORDSHIRE!K20</f>
        <v>72358</v>
      </c>
      <c r="J80" s="7">
        <f>HERTFORDSHIRE!L20</f>
        <v>72431</v>
      </c>
      <c r="K80" s="7">
        <f>HERTFORDSHIRE!M20</f>
        <v>71894</v>
      </c>
      <c r="L80" s="7">
        <f>HERTFORDSHIRE!N20</f>
        <v>72151</v>
      </c>
      <c r="M80" s="7">
        <f>HERTFORDSHIRE!O20</f>
        <v>73032</v>
      </c>
      <c r="N80" s="34">
        <f t="shared" si="4"/>
        <v>2.538470178591486E-2</v>
      </c>
      <c r="O80" s="34"/>
      <c r="P80" s="7">
        <f t="shared" si="5"/>
        <v>-361</v>
      </c>
      <c r="Q80" s="1004">
        <f t="shared" si="6"/>
        <v>-4.9187252190263375E-3</v>
      </c>
      <c r="R80" s="6">
        <v>282</v>
      </c>
      <c r="S80" s="6">
        <v>281</v>
      </c>
      <c r="T80" s="6">
        <v>289</v>
      </c>
      <c r="U80" s="6">
        <v>260</v>
      </c>
      <c r="V80" s="6">
        <v>228</v>
      </c>
      <c r="W80" s="6">
        <v>233</v>
      </c>
      <c r="X80" s="6">
        <v>254</v>
      </c>
      <c r="Y80" s="6">
        <v>242</v>
      </c>
      <c r="Z80" s="6">
        <v>260</v>
      </c>
      <c r="AA80" s="6">
        <v>255</v>
      </c>
      <c r="AB80" s="6">
        <v>313</v>
      </c>
      <c r="AC80" s="6">
        <v>315</v>
      </c>
      <c r="AD80" s="6">
        <f t="shared" si="7"/>
        <v>-2</v>
      </c>
      <c r="AE80" s="6" t="s">
        <v>15829</v>
      </c>
    </row>
    <row r="81" spans="1:31">
      <c r="A81" s="33" t="str">
        <f>NOTTINGHAMSHIRE!A21</f>
        <v>Broxtowe CC</v>
      </c>
      <c r="B81" s="7">
        <f>NOTTINGHAMSHIRE!D21</f>
        <v>71440</v>
      </c>
      <c r="C81" s="7">
        <f>NOTTINGHAMSHIRE!E21</f>
        <v>71961</v>
      </c>
      <c r="D81" s="7">
        <f>NOTTINGHAMSHIRE!F21</f>
        <v>72333</v>
      </c>
      <c r="E81" s="7">
        <f>NOTTINGHAMSHIRE!G21</f>
        <v>71656</v>
      </c>
      <c r="F81" s="7">
        <f>NOTTINGHAMSHIRE!H21</f>
        <v>69080</v>
      </c>
      <c r="G81" s="7">
        <f>NOTTINGHAMSHIRE!I21</f>
        <v>69648</v>
      </c>
      <c r="H81" s="7">
        <f>NOTTINGHAMSHIRE!J21</f>
        <v>69699</v>
      </c>
      <c r="I81" s="7">
        <f>NOTTINGHAMSHIRE!K21</f>
        <v>71566</v>
      </c>
      <c r="J81" s="7">
        <f>NOTTINGHAMSHIRE!L21</f>
        <v>71464</v>
      </c>
      <c r="K81" s="7">
        <f>NOTTINGHAMSHIRE!M21</f>
        <v>71544</v>
      </c>
      <c r="L81" s="7">
        <f>NOTTINGHAMSHIRE!N21</f>
        <v>73509</v>
      </c>
      <c r="M81" s="7">
        <f>NOTTINGHAMSHIRE!O21</f>
        <v>74084</v>
      </c>
      <c r="N81" s="34">
        <f t="shared" si="4"/>
        <v>3.7010078387458005E-2</v>
      </c>
      <c r="O81" s="34"/>
      <c r="P81" s="7">
        <f t="shared" si="5"/>
        <v>691</v>
      </c>
      <c r="Q81" s="1004">
        <f t="shared" si="6"/>
        <v>9.4150668319867015E-3</v>
      </c>
      <c r="R81" s="6">
        <v>274</v>
      </c>
      <c r="S81" s="6">
        <v>275</v>
      </c>
      <c r="T81" s="6">
        <v>281</v>
      </c>
      <c r="U81" s="36">
        <v>311</v>
      </c>
      <c r="V81" s="6">
        <v>369</v>
      </c>
      <c r="W81" s="6">
        <v>308</v>
      </c>
      <c r="X81" s="6">
        <v>287</v>
      </c>
      <c r="Y81" s="6">
        <v>273</v>
      </c>
      <c r="Z81" s="6">
        <v>300</v>
      </c>
      <c r="AA81" s="6">
        <v>271</v>
      </c>
      <c r="AB81" s="6">
        <v>279</v>
      </c>
      <c r="AC81" s="6">
        <v>272</v>
      </c>
      <c r="AD81" s="6">
        <f t="shared" si="7"/>
        <v>7</v>
      </c>
      <c r="AE81" s="6" t="s">
        <v>15826</v>
      </c>
    </row>
    <row r="82" spans="1:31">
      <c r="A82" s="33" t="str">
        <f>BUCKINGHAMSHIRE!A11</f>
        <v>Buckingham CC</v>
      </c>
      <c r="B82" s="7">
        <f>BUCKINGHAMSHIRE!D11</f>
        <v>75076</v>
      </c>
      <c r="C82" s="7">
        <f>BUCKINGHAMSHIRE!E11</f>
        <v>75837</v>
      </c>
      <c r="D82" s="7">
        <f>BUCKINGHAMSHIRE!F11</f>
        <v>76461</v>
      </c>
      <c r="E82" s="7">
        <f>BUCKINGHAMSHIRE!G11</f>
        <v>77641</v>
      </c>
      <c r="F82" s="7">
        <f>BUCKINGHAMSHIRE!H11</f>
        <v>78744</v>
      </c>
      <c r="G82" s="7">
        <f>BUCKINGHAMSHIRE!I11</f>
        <v>77224</v>
      </c>
      <c r="H82" s="7">
        <f>BUCKINGHAMSHIRE!J11</f>
        <v>74882</v>
      </c>
      <c r="I82" s="7">
        <f>BUCKINGHAMSHIRE!K11</f>
        <v>78414</v>
      </c>
      <c r="J82" s="7">
        <f>BUCKINGHAMSHIRE!L11</f>
        <v>79515</v>
      </c>
      <c r="K82" s="7">
        <f>BUCKINGHAMSHIRE!M11</f>
        <v>79659</v>
      </c>
      <c r="L82" s="7">
        <f>BUCKINGHAMSHIRE!N11</f>
        <v>83046</v>
      </c>
      <c r="M82" s="7">
        <f>BUCKINGHAMSHIRE!O11</f>
        <v>82555</v>
      </c>
      <c r="N82" s="34">
        <f t="shared" si="4"/>
        <v>9.9619052693270815E-2</v>
      </c>
      <c r="O82" s="34"/>
      <c r="P82" s="7">
        <f t="shared" si="5"/>
        <v>9162</v>
      </c>
      <c r="Q82" s="1004">
        <f t="shared" si="6"/>
        <v>0.12483479350891774</v>
      </c>
      <c r="R82" s="6">
        <v>147</v>
      </c>
      <c r="S82" s="6">
        <v>145</v>
      </c>
      <c r="T82" s="6">
        <v>144</v>
      </c>
      <c r="U82" s="6">
        <v>124</v>
      </c>
      <c r="V82" s="6">
        <v>84</v>
      </c>
      <c r="W82" s="6">
        <v>88</v>
      </c>
      <c r="X82" s="6">
        <v>124</v>
      </c>
      <c r="Y82" s="6">
        <v>96</v>
      </c>
      <c r="Z82" s="6">
        <v>86</v>
      </c>
      <c r="AA82" s="6">
        <v>77</v>
      </c>
      <c r="AB82" s="6">
        <v>59</v>
      </c>
      <c r="AC82" s="6">
        <v>81</v>
      </c>
      <c r="AD82" s="6">
        <f t="shared" si="7"/>
        <v>-22</v>
      </c>
      <c r="AE82" s="6" t="s">
        <v>15823</v>
      </c>
    </row>
    <row r="83" spans="1:31">
      <c r="A83" s="33" t="str">
        <f>LANCASHIRE!A35</f>
        <v>Burnley BC</v>
      </c>
      <c r="B83" s="7">
        <f>LANCASHIRE!D35</f>
        <v>66876</v>
      </c>
      <c r="C83" s="7">
        <f>LANCASHIRE!E35</f>
        <v>67003</v>
      </c>
      <c r="D83" s="7">
        <f>LANCASHIRE!F35</f>
        <v>66950</v>
      </c>
      <c r="E83" s="7">
        <f>LANCASHIRE!G35</f>
        <v>65897</v>
      </c>
      <c r="F83" s="7">
        <f>LANCASHIRE!H35</f>
        <v>66830</v>
      </c>
      <c r="G83" s="7">
        <f>LANCASHIRE!I35</f>
        <v>63833</v>
      </c>
      <c r="H83" s="7">
        <f>LANCASHIRE!J35</f>
        <v>63228</v>
      </c>
      <c r="I83" s="7">
        <f>LANCASHIRE!K35</f>
        <v>64147</v>
      </c>
      <c r="J83" s="7">
        <f>LANCASHIRE!L35</f>
        <v>64338</v>
      </c>
      <c r="K83" s="7">
        <f>LANCASHIRE!M35</f>
        <v>63400</v>
      </c>
      <c r="L83" s="7">
        <f>LANCASHIRE!N35</f>
        <v>63795</v>
      </c>
      <c r="M83" s="7">
        <f>LANCASHIRE!O35</f>
        <v>64982</v>
      </c>
      <c r="N83" s="34">
        <f t="shared" si="4"/>
        <v>-2.8321071834439857E-2</v>
      </c>
      <c r="O83" s="34"/>
      <c r="P83" s="7">
        <f t="shared" si="5"/>
        <v>-8411</v>
      </c>
      <c r="Q83" s="1004">
        <f t="shared" si="6"/>
        <v>-0.11460221002002915</v>
      </c>
      <c r="R83" s="6">
        <v>416</v>
      </c>
      <c r="S83" s="6">
        <v>421</v>
      </c>
      <c r="T83" s="6">
        <v>436</v>
      </c>
      <c r="U83" s="6">
        <v>468</v>
      </c>
      <c r="V83" s="6">
        <v>431</v>
      </c>
      <c r="W83" s="6">
        <v>465</v>
      </c>
      <c r="X83" s="6">
        <v>460</v>
      </c>
      <c r="Y83" s="6">
        <v>470</v>
      </c>
      <c r="Z83" s="6">
        <v>475</v>
      </c>
      <c r="AA83" s="6">
        <v>475</v>
      </c>
      <c r="AB83" s="6">
        <v>490</v>
      </c>
      <c r="AC83" s="6">
        <v>482</v>
      </c>
      <c r="AD83" s="6">
        <f t="shared" si="7"/>
        <v>8</v>
      </c>
      <c r="AE83" s="6" t="s">
        <v>15825</v>
      </c>
    </row>
    <row r="84" spans="1:31">
      <c r="A84" s="33" t="str">
        <f>STAFFORDSHIRE!A20</f>
        <v>Burton CC</v>
      </c>
      <c r="B84" s="7">
        <f>STAFFORDSHIRE!D20</f>
        <v>75081</v>
      </c>
      <c r="C84" s="7">
        <f>STAFFORDSHIRE!E20</f>
        <v>75302</v>
      </c>
      <c r="D84" s="7">
        <f>STAFFORDSHIRE!F20</f>
        <v>75733</v>
      </c>
      <c r="E84" s="7">
        <f>STAFFORDSHIRE!G20</f>
        <v>76230</v>
      </c>
      <c r="F84" s="7">
        <f>STAFFORDSHIRE!H20</f>
        <v>76055</v>
      </c>
      <c r="G84" s="7">
        <f>STAFFORDSHIRE!I20</f>
        <v>75039</v>
      </c>
      <c r="H84" s="7">
        <f>STAFFORDSHIRE!J20</f>
        <v>72542</v>
      </c>
      <c r="I84" s="7">
        <f>STAFFORDSHIRE!K20</f>
        <v>72559</v>
      </c>
      <c r="J84" s="7">
        <f>STAFFORDSHIRE!L20</f>
        <v>73689</v>
      </c>
      <c r="K84" s="7">
        <f>STAFFORDSHIRE!M20</f>
        <v>72803</v>
      </c>
      <c r="L84" s="7">
        <f>STAFFORDSHIRE!N20</f>
        <v>75475</v>
      </c>
      <c r="M84" s="7">
        <f>STAFFORDSHIRE!O20</f>
        <v>75460</v>
      </c>
      <c r="N84" s="34">
        <f t="shared" si="4"/>
        <v>5.0478816211824559E-3</v>
      </c>
      <c r="O84" s="34"/>
      <c r="P84" s="7">
        <f t="shared" si="5"/>
        <v>2067</v>
      </c>
      <c r="Q84" s="1004">
        <f t="shared" si="6"/>
        <v>2.8163448830269916E-2</v>
      </c>
      <c r="R84" s="6">
        <v>146</v>
      </c>
      <c r="S84" s="6">
        <v>155</v>
      </c>
      <c r="T84" s="6">
        <v>161</v>
      </c>
      <c r="U84" s="6">
        <v>153</v>
      </c>
      <c r="V84" s="6">
        <v>148</v>
      </c>
      <c r="W84" s="6">
        <v>145</v>
      </c>
      <c r="X84" s="6">
        <v>178</v>
      </c>
      <c r="Y84" s="6">
        <v>236</v>
      </c>
      <c r="Z84" s="6">
        <v>221</v>
      </c>
      <c r="AA84" s="6">
        <v>225</v>
      </c>
      <c r="AB84" s="6">
        <v>214</v>
      </c>
      <c r="AC84" s="6">
        <v>227</v>
      </c>
      <c r="AD84" s="6">
        <f t="shared" si="7"/>
        <v>-13</v>
      </c>
      <c r="AE84" s="6" t="s">
        <v>15824</v>
      </c>
    </row>
    <row r="85" spans="1:31">
      <c r="A85" s="33" t="str">
        <f>'GREATER MANCHESTER'!A37</f>
        <v>Bury North BC</v>
      </c>
      <c r="B85" s="7">
        <f>'GREATER MANCHESTER'!D37</f>
        <v>67421</v>
      </c>
      <c r="C85" s="7">
        <f>'GREATER MANCHESTER'!E37</f>
        <v>67911</v>
      </c>
      <c r="D85" s="7">
        <f>'GREATER MANCHESTER'!F37</f>
        <v>68025</v>
      </c>
      <c r="E85" s="7">
        <f>'GREATER MANCHESTER'!G37</f>
        <v>68380</v>
      </c>
      <c r="F85" s="7">
        <f>'GREATER MANCHESTER'!H37</f>
        <v>68520</v>
      </c>
      <c r="G85" s="7">
        <f>'GREATER MANCHESTER'!I37</f>
        <v>67039</v>
      </c>
      <c r="H85" s="7">
        <f>'GREATER MANCHESTER'!J37</f>
        <v>64564</v>
      </c>
      <c r="I85" s="7">
        <f>'GREATER MANCHESTER'!K37</f>
        <v>66511</v>
      </c>
      <c r="J85" s="7">
        <f>'GREATER MANCHESTER'!L37</f>
        <v>66842</v>
      </c>
      <c r="K85" s="7">
        <f>'GREATER MANCHESTER'!M37</f>
        <v>66766</v>
      </c>
      <c r="L85" s="7">
        <f>'GREATER MANCHESTER'!N37</f>
        <v>69332</v>
      </c>
      <c r="M85" s="7">
        <f>'GREATER MANCHESTER'!O37</f>
        <v>68381</v>
      </c>
      <c r="N85" s="34">
        <f t="shared" si="4"/>
        <v>1.4238886993666662E-2</v>
      </c>
      <c r="O85" s="34"/>
      <c r="P85" s="7">
        <f t="shared" si="5"/>
        <v>-5012</v>
      </c>
      <c r="Q85" s="1004">
        <f t="shared" si="6"/>
        <v>-6.8289891406537406E-2</v>
      </c>
      <c r="R85" s="6">
        <v>397</v>
      </c>
      <c r="S85" s="6">
        <v>396</v>
      </c>
      <c r="T85" s="6">
        <v>398</v>
      </c>
      <c r="U85" s="6">
        <v>403</v>
      </c>
      <c r="V85" s="6">
        <v>386</v>
      </c>
      <c r="W85" s="6">
        <v>392</v>
      </c>
      <c r="X85" s="6">
        <v>430</v>
      </c>
      <c r="Y85" s="6">
        <v>419</v>
      </c>
      <c r="Z85" s="6">
        <v>425</v>
      </c>
      <c r="AA85" s="6">
        <v>416</v>
      </c>
      <c r="AB85" s="6">
        <v>401</v>
      </c>
      <c r="AC85" s="6">
        <v>431</v>
      </c>
      <c r="AD85" s="6">
        <f t="shared" si="7"/>
        <v>-30</v>
      </c>
      <c r="AE85" s="6" t="s">
        <v>15825</v>
      </c>
    </row>
    <row r="86" spans="1:31">
      <c r="A86" s="33" t="str">
        <f>'GREATER MANCHESTER'!A39</f>
        <v>Bury South BC</v>
      </c>
      <c r="B86" s="7">
        <f>'GREATER MANCHESTER'!D39</f>
        <v>74313</v>
      </c>
      <c r="C86" s="7">
        <f>'GREATER MANCHESTER'!E39</f>
        <v>75140</v>
      </c>
      <c r="D86" s="7">
        <f>'GREATER MANCHESTER'!F39</f>
        <v>75084</v>
      </c>
      <c r="E86" s="7">
        <f>'GREATER MANCHESTER'!G39</f>
        <v>75070</v>
      </c>
      <c r="F86" s="7">
        <f>'GREATER MANCHESTER'!H39</f>
        <v>74661</v>
      </c>
      <c r="G86" s="7">
        <f>'GREATER MANCHESTER'!I39</f>
        <v>73378</v>
      </c>
      <c r="H86" s="7">
        <f>'GREATER MANCHESTER'!J39</f>
        <v>70085</v>
      </c>
      <c r="I86" s="7">
        <f>'GREATER MANCHESTER'!K39</f>
        <v>71954</v>
      </c>
      <c r="J86" s="7">
        <f>'GREATER MANCHESTER'!L39</f>
        <v>72679</v>
      </c>
      <c r="K86" s="7">
        <f>'GREATER MANCHESTER'!M39</f>
        <v>72498</v>
      </c>
      <c r="L86" s="7">
        <f>'GREATER MANCHESTER'!N39</f>
        <v>75637</v>
      </c>
      <c r="M86" s="7">
        <f>'GREATER MANCHESTER'!O39</f>
        <v>74539</v>
      </c>
      <c r="N86" s="34">
        <f t="shared" si="4"/>
        <v>3.0411906395919962E-3</v>
      </c>
      <c r="O86" s="34"/>
      <c r="P86" s="7">
        <f t="shared" si="5"/>
        <v>1146</v>
      </c>
      <c r="Q86" s="1004">
        <f t="shared" si="6"/>
        <v>1.5614568146825991E-2</v>
      </c>
      <c r="R86" s="6">
        <v>166</v>
      </c>
      <c r="S86" s="6">
        <v>159</v>
      </c>
      <c r="T86" s="6">
        <v>176</v>
      </c>
      <c r="U86" s="6">
        <v>181</v>
      </c>
      <c r="V86" s="6">
        <v>179</v>
      </c>
      <c r="W86" s="6">
        <v>175</v>
      </c>
      <c r="X86" s="6">
        <v>267</v>
      </c>
      <c r="Y86" s="6">
        <v>254</v>
      </c>
      <c r="Z86" s="6">
        <v>250</v>
      </c>
      <c r="AA86" s="6">
        <v>237</v>
      </c>
      <c r="AB86" s="6">
        <v>212</v>
      </c>
      <c r="AC86" s="6">
        <v>254</v>
      </c>
      <c r="AD86" s="6">
        <f t="shared" si="7"/>
        <v>-42</v>
      </c>
      <c r="AE86" s="6" t="s">
        <v>15825</v>
      </c>
    </row>
    <row r="87" spans="1:31">
      <c r="A87" s="33" t="str">
        <f>SUFFOLK!A13</f>
        <v>Bury St Edmunds CC</v>
      </c>
      <c r="B87" s="7">
        <f>SUFFOLK!D15</f>
        <v>84588</v>
      </c>
      <c r="C87" s="7">
        <f>SUFFOLK!E15</f>
        <v>85933</v>
      </c>
      <c r="D87" s="7">
        <f>SUFFOLK!F15</f>
        <v>86034</v>
      </c>
      <c r="E87" s="7">
        <f>SUFFOLK!G15</f>
        <v>86438</v>
      </c>
      <c r="F87" s="7">
        <f>SUFFOLK!H15</f>
        <v>85815</v>
      </c>
      <c r="G87" s="7">
        <f>SUFFOLK!I15</f>
        <v>84966</v>
      </c>
      <c r="H87" s="7">
        <f>SUFFOLK!J15</f>
        <v>83477</v>
      </c>
      <c r="I87" s="7">
        <f>SUFFOLK!K15</f>
        <v>87213</v>
      </c>
      <c r="J87" s="7">
        <f>SUFFOLK!L15</f>
        <v>87190</v>
      </c>
      <c r="K87" s="7">
        <f>SUFFOLK!M15</f>
        <v>86374</v>
      </c>
      <c r="L87" s="7">
        <f>SUFFOLK!N15</f>
        <v>89876</v>
      </c>
      <c r="M87" s="7">
        <f>SUFFOLK!O15</f>
        <v>88238</v>
      </c>
      <c r="N87" s="34">
        <f t="shared" si="4"/>
        <v>4.3150328651818226E-2</v>
      </c>
      <c r="O87" s="34"/>
      <c r="P87" s="7">
        <f t="shared" si="5"/>
        <v>14845</v>
      </c>
      <c r="Q87" s="1004">
        <f t="shared" si="6"/>
        <v>0.20226724619514122</v>
      </c>
      <c r="R87" s="6">
        <v>8</v>
      </c>
      <c r="S87" s="6">
        <v>7</v>
      </c>
      <c r="T87" s="6">
        <v>10</v>
      </c>
      <c r="U87" s="6">
        <v>10</v>
      </c>
      <c r="V87" s="6">
        <v>9</v>
      </c>
      <c r="W87" s="6">
        <v>7</v>
      </c>
      <c r="X87" s="6">
        <v>10</v>
      </c>
      <c r="Y87" s="6">
        <v>10</v>
      </c>
      <c r="Z87" s="6">
        <v>9</v>
      </c>
      <c r="AA87" s="6">
        <v>11</v>
      </c>
      <c r="AB87" s="6">
        <v>13</v>
      </c>
      <c r="AC87" s="6">
        <v>24</v>
      </c>
      <c r="AD87" s="6">
        <f t="shared" si="7"/>
        <v>-11</v>
      </c>
      <c r="AE87" s="6" t="s">
        <v>15829</v>
      </c>
    </row>
    <row r="88" spans="1:31">
      <c r="A88" s="33" t="str">
        <f>'WEST YORKSHIRE'!A21</f>
        <v>Calder Valley CC</v>
      </c>
      <c r="B88" s="7">
        <f>'WEST YORKSHIRE'!D21</f>
        <v>77069</v>
      </c>
      <c r="C88" s="7">
        <f>'WEST YORKSHIRE'!E21</f>
        <v>76041</v>
      </c>
      <c r="D88" s="7">
        <f>'WEST YORKSHIRE'!F21</f>
        <v>77224</v>
      </c>
      <c r="E88" s="7">
        <f>'WEST YORKSHIRE'!G21</f>
        <v>77167</v>
      </c>
      <c r="F88" s="7">
        <f>'WEST YORKSHIRE'!H21</f>
        <v>76538</v>
      </c>
      <c r="G88" s="7">
        <f>'WEST YORKSHIRE'!I21</f>
        <v>75049</v>
      </c>
      <c r="H88" s="7">
        <f>'WEST YORKSHIRE'!J21</f>
        <v>75059</v>
      </c>
      <c r="I88" s="7">
        <f>'WEST YORKSHIRE'!K21</f>
        <v>76876</v>
      </c>
      <c r="J88" s="7">
        <f>'WEST YORKSHIRE'!L21</f>
        <v>77674</v>
      </c>
      <c r="K88" s="7">
        <f>'WEST YORKSHIRE'!M21</f>
        <v>76939</v>
      </c>
      <c r="L88" s="7">
        <f>'WEST YORKSHIRE'!N21</f>
        <v>77504</v>
      </c>
      <c r="M88" s="7">
        <f>'WEST YORKSHIRE'!O21</f>
        <v>78824</v>
      </c>
      <c r="N88" s="34">
        <f t="shared" si="4"/>
        <v>2.2771801891811234E-2</v>
      </c>
      <c r="O88" s="34"/>
      <c r="P88" s="7">
        <f t="shared" si="5"/>
        <v>5431</v>
      </c>
      <c r="Q88" s="1004">
        <f t="shared" si="6"/>
        <v>7.3998882727235565E-2</v>
      </c>
      <c r="R88" s="6">
        <v>92</v>
      </c>
      <c r="S88" s="6">
        <v>140</v>
      </c>
      <c r="T88" s="6">
        <v>124</v>
      </c>
      <c r="U88" s="6">
        <v>138</v>
      </c>
      <c r="V88" s="6">
        <v>136</v>
      </c>
      <c r="W88" s="6">
        <v>144</v>
      </c>
      <c r="X88" s="6">
        <v>117</v>
      </c>
      <c r="Y88" s="6">
        <v>131</v>
      </c>
      <c r="Z88" s="6">
        <v>129</v>
      </c>
      <c r="AA88" s="6">
        <v>135</v>
      </c>
      <c r="AB88" s="6">
        <v>171</v>
      </c>
      <c r="AC88" s="6">
        <v>154</v>
      </c>
      <c r="AD88" s="6">
        <f t="shared" si="7"/>
        <v>17</v>
      </c>
      <c r="AE88" s="6" t="s">
        <v>15828</v>
      </c>
    </row>
    <row r="89" spans="1:31">
      <c r="A89" s="33" t="str">
        <f>SOUTHWARK!A9</f>
        <v>Camberwell and Peckham BC</v>
      </c>
      <c r="B89" s="7">
        <f>SOUTHWARK!D9</f>
        <v>76967</v>
      </c>
      <c r="C89" s="7">
        <f>SOUTHWARK!E9</f>
        <v>78605</v>
      </c>
      <c r="D89" s="7">
        <f>SOUTHWARK!F9</f>
        <v>79172</v>
      </c>
      <c r="E89" s="7">
        <f>SOUTHWARK!G9</f>
        <v>79260</v>
      </c>
      <c r="F89" s="7">
        <f>SOUTHWARK!H9</f>
        <v>79764</v>
      </c>
      <c r="G89" s="7">
        <f>SOUTHWARK!I9</f>
        <v>78081</v>
      </c>
      <c r="H89" s="7">
        <f>SOUTHWARK!J9</f>
        <v>80375</v>
      </c>
      <c r="I89" s="7">
        <f>SOUTHWARK!K9</f>
        <v>79947</v>
      </c>
      <c r="J89" s="7">
        <f>SOUTHWARK!L9</f>
        <v>82759</v>
      </c>
      <c r="K89" s="7">
        <f>SOUTHWARK!M9</f>
        <v>80554</v>
      </c>
      <c r="L89" s="7">
        <f>SOUTHWARK!N9</f>
        <v>89135</v>
      </c>
      <c r="M89" s="7">
        <f>SOUTHWARK!O9</f>
        <v>88576</v>
      </c>
      <c r="N89" s="34">
        <f t="shared" si="4"/>
        <v>0.15083087557004951</v>
      </c>
      <c r="O89" s="34"/>
      <c r="P89" s="7">
        <f t="shared" si="5"/>
        <v>15183</v>
      </c>
      <c r="Q89" s="1004">
        <f t="shared" si="6"/>
        <v>0.20687259002902184</v>
      </c>
      <c r="R89" s="6">
        <v>95</v>
      </c>
      <c r="S89" s="6">
        <v>67</v>
      </c>
      <c r="T89" s="6">
        <v>61</v>
      </c>
      <c r="U89" s="6">
        <v>72</v>
      </c>
      <c r="V89" s="6">
        <v>60</v>
      </c>
      <c r="W89" s="6">
        <v>71</v>
      </c>
      <c r="X89" s="6">
        <v>28</v>
      </c>
      <c r="Y89" s="6">
        <v>70</v>
      </c>
      <c r="Z89" s="6">
        <v>35</v>
      </c>
      <c r="AA89" s="6">
        <v>58</v>
      </c>
      <c r="AB89" s="6">
        <v>15</v>
      </c>
      <c r="AC89" s="6">
        <v>20</v>
      </c>
      <c r="AD89" s="6">
        <f t="shared" si="7"/>
        <v>-5</v>
      </c>
      <c r="AE89" s="6" t="s">
        <v>15827</v>
      </c>
    </row>
    <row r="90" spans="1:31">
      <c r="A90" s="33" t="str">
        <f>CORNWALL!A10</f>
        <v>Camborne and Redruth CC</v>
      </c>
      <c r="B90" s="7">
        <f>CORNWALL!D10</f>
        <v>63694</v>
      </c>
      <c r="C90" s="7">
        <f>CORNWALL!E10</f>
        <v>64798</v>
      </c>
      <c r="D90" s="7">
        <f>CORNWALL!F10</f>
        <v>65324</v>
      </c>
      <c r="E90" s="7">
        <f>CORNWALL!G10</f>
        <v>66038</v>
      </c>
      <c r="F90" s="7">
        <f>CORNWALL!H10</f>
        <v>64769</v>
      </c>
      <c r="G90" s="7">
        <f>CORNWALL!I10</f>
        <v>65157</v>
      </c>
      <c r="H90" s="7">
        <f>CORNWALL!J10</f>
        <v>62034</v>
      </c>
      <c r="I90" s="7">
        <f>CORNWALL!K10</f>
        <v>64267</v>
      </c>
      <c r="J90" s="7">
        <f>CORNWALL!L10</f>
        <v>66534</v>
      </c>
      <c r="K90" s="7">
        <f>CORNWALL!M10</f>
        <v>66928</v>
      </c>
      <c r="L90" s="7">
        <f>CORNWALL!N10</f>
        <v>70705</v>
      </c>
      <c r="M90" s="7">
        <f>CORNWALL!O10</f>
        <v>70661</v>
      </c>
      <c r="N90" s="34">
        <f t="shared" si="4"/>
        <v>0.1093823594059095</v>
      </c>
      <c r="O90" s="34"/>
      <c r="P90" s="7">
        <f t="shared" si="5"/>
        <v>-2732</v>
      </c>
      <c r="Q90" s="1004">
        <f t="shared" si="6"/>
        <v>-3.7224258444265801E-2</v>
      </c>
      <c r="R90" s="6">
        <v>489</v>
      </c>
      <c r="S90" s="6">
        <v>479</v>
      </c>
      <c r="T90" s="6">
        <v>472</v>
      </c>
      <c r="U90" s="6">
        <v>465</v>
      </c>
      <c r="V90" s="6">
        <v>474</v>
      </c>
      <c r="W90" s="6">
        <v>436</v>
      </c>
      <c r="X90" s="6">
        <v>483</v>
      </c>
      <c r="Y90" s="6">
        <v>468</v>
      </c>
      <c r="Z90" s="6">
        <v>428</v>
      </c>
      <c r="AA90" s="6">
        <v>410</v>
      </c>
      <c r="AB90" s="6">
        <v>360</v>
      </c>
      <c r="AC90" s="6">
        <v>378</v>
      </c>
      <c r="AD90" s="6">
        <f t="shared" si="7"/>
        <v>-18</v>
      </c>
      <c r="AE90" s="6" t="s">
        <v>15830</v>
      </c>
    </row>
    <row r="91" spans="1:31">
      <c r="A91" s="33" t="str">
        <f>CAMBRIDGESHIRE!A17</f>
        <v>Cambridge BC</v>
      </c>
      <c r="B91" s="7">
        <f>CAMBRIDGESHIRE!D17</f>
        <v>75612</v>
      </c>
      <c r="C91" s="7">
        <f>CAMBRIDGESHIRE!E17</f>
        <v>75259</v>
      </c>
      <c r="D91" s="7">
        <f>CAMBRIDGESHIRE!F17</f>
        <v>75702</v>
      </c>
      <c r="E91" s="7">
        <f>CAMBRIDGESHIRE!G17</f>
        <v>73612</v>
      </c>
      <c r="F91" s="7">
        <f>CAMBRIDGESHIRE!H17</f>
        <v>76244</v>
      </c>
      <c r="G91" s="7">
        <f>CAMBRIDGESHIRE!I17</f>
        <v>74665</v>
      </c>
      <c r="H91" s="7">
        <f>CAMBRIDGESHIRE!J17</f>
        <v>67266</v>
      </c>
      <c r="I91" s="7">
        <f>CAMBRIDGESHIRE!K17</f>
        <v>71723</v>
      </c>
      <c r="J91" s="7">
        <f>CAMBRIDGESHIRE!L17</f>
        <v>74628</v>
      </c>
      <c r="K91" s="7">
        <f>CAMBRIDGESHIRE!M17</f>
        <v>72837</v>
      </c>
      <c r="L91" s="7">
        <f>CAMBRIDGESHIRE!N17</f>
        <v>78170</v>
      </c>
      <c r="M91" s="7">
        <f>CAMBRIDGESHIRE!O17</f>
        <v>78521</v>
      </c>
      <c r="N91" s="34">
        <f t="shared" si="4"/>
        <v>3.8472729196423847E-2</v>
      </c>
      <c r="O91" s="34"/>
      <c r="P91" s="7">
        <f t="shared" si="5"/>
        <v>5128</v>
      </c>
      <c r="Q91" s="1004">
        <f t="shared" si="6"/>
        <v>6.9870423609881049E-2</v>
      </c>
      <c r="R91" s="6">
        <v>138</v>
      </c>
      <c r="S91" s="6">
        <v>156</v>
      </c>
      <c r="T91" s="6">
        <v>163</v>
      </c>
      <c r="U91" s="6">
        <v>230</v>
      </c>
      <c r="V91" s="6">
        <v>143</v>
      </c>
      <c r="W91" s="6">
        <v>151</v>
      </c>
      <c r="X91" s="6">
        <v>367</v>
      </c>
      <c r="Y91" s="6">
        <v>267</v>
      </c>
      <c r="Z91" s="6">
        <v>190</v>
      </c>
      <c r="AA91" s="6">
        <v>224</v>
      </c>
      <c r="AB91" s="6">
        <v>155</v>
      </c>
      <c r="AC91" s="6">
        <v>165</v>
      </c>
      <c r="AD91" s="6">
        <f t="shared" si="7"/>
        <v>-10</v>
      </c>
      <c r="AE91" s="6" t="s">
        <v>15829</v>
      </c>
    </row>
    <row r="92" spans="1:31">
      <c r="A92" s="33" t="str">
        <f>STAFFORDSHIRE!A22</f>
        <v>Cannock Chase CC</v>
      </c>
      <c r="B92" s="7">
        <f>STAFFORDSHIRE!D22</f>
        <v>74828</v>
      </c>
      <c r="C92" s="7">
        <f>STAFFORDSHIRE!E22</f>
        <v>75680</v>
      </c>
      <c r="D92" s="7">
        <f>STAFFORDSHIRE!F22</f>
        <v>75494</v>
      </c>
      <c r="E92" s="7">
        <f>STAFFORDSHIRE!G22</f>
        <v>75539</v>
      </c>
      <c r="F92" s="7">
        <f>STAFFORDSHIRE!H22</f>
        <v>75380</v>
      </c>
      <c r="G92" s="7">
        <f>STAFFORDSHIRE!I22</f>
        <v>74146</v>
      </c>
      <c r="H92" s="7">
        <f>STAFFORDSHIRE!J22</f>
        <v>73470</v>
      </c>
      <c r="I92" s="7">
        <f>STAFFORDSHIRE!K22</f>
        <v>73801</v>
      </c>
      <c r="J92" s="7">
        <f>STAFFORDSHIRE!L22</f>
        <v>73834</v>
      </c>
      <c r="K92" s="7">
        <f>STAFFORDSHIRE!M22</f>
        <v>73510</v>
      </c>
      <c r="L92" s="7">
        <f>STAFFORDSHIRE!N22</f>
        <v>73904</v>
      </c>
      <c r="M92" s="7">
        <f>STAFFORDSHIRE!O22</f>
        <v>75582</v>
      </c>
      <c r="N92" s="34">
        <f t="shared" si="4"/>
        <v>1.0076441973592773E-2</v>
      </c>
      <c r="O92" s="34"/>
      <c r="P92" s="7">
        <f t="shared" si="5"/>
        <v>2189</v>
      </c>
      <c r="Q92" s="1004">
        <f t="shared" si="6"/>
        <v>2.9825732699303747E-2</v>
      </c>
      <c r="R92" s="6">
        <v>154</v>
      </c>
      <c r="S92" s="6">
        <v>148</v>
      </c>
      <c r="T92" s="6">
        <v>167</v>
      </c>
      <c r="U92" s="6">
        <v>172</v>
      </c>
      <c r="V92" s="6">
        <v>164</v>
      </c>
      <c r="W92" s="6">
        <v>158</v>
      </c>
      <c r="X92" s="6">
        <v>155</v>
      </c>
      <c r="Y92" s="6">
        <v>199</v>
      </c>
      <c r="Z92" s="6">
        <v>214</v>
      </c>
      <c r="AA92" s="6">
        <v>207</v>
      </c>
      <c r="AB92" s="6">
        <v>262</v>
      </c>
      <c r="AC92" s="6">
        <v>224</v>
      </c>
      <c r="AD92" s="6">
        <f t="shared" si="7"/>
        <v>38</v>
      </c>
      <c r="AE92" s="6" t="s">
        <v>15824</v>
      </c>
    </row>
    <row r="93" spans="1:31">
      <c r="A93" s="33" t="str">
        <f>KENT!A26</f>
        <v>Canterbury CC</v>
      </c>
      <c r="B93" s="7">
        <f>KENT!D26</f>
        <v>73637</v>
      </c>
      <c r="C93" s="7">
        <f>KENT!E26</f>
        <v>73779</v>
      </c>
      <c r="D93" s="7">
        <f>KENT!F26</f>
        <v>76030</v>
      </c>
      <c r="E93" s="7">
        <f>KENT!G26</f>
        <v>78826</v>
      </c>
      <c r="F93" s="7">
        <f>KENT!H26</f>
        <v>78781</v>
      </c>
      <c r="G93" s="7">
        <f>KENT!I26</f>
        <v>78850</v>
      </c>
      <c r="H93" s="7">
        <f>KENT!J26</f>
        <v>68695</v>
      </c>
      <c r="I93" s="7">
        <f>KENT!K26</f>
        <v>71009</v>
      </c>
      <c r="J93" s="7">
        <f>KENT!L26</f>
        <v>72949</v>
      </c>
      <c r="K93" s="7">
        <f>KENT!M26</f>
        <v>71821</v>
      </c>
      <c r="L93" s="7">
        <f>KENT!N26</f>
        <v>80062</v>
      </c>
      <c r="M93" s="7">
        <f>KENT!O26</f>
        <v>80061</v>
      </c>
      <c r="N93" s="34">
        <f t="shared" si="4"/>
        <v>8.7238752257696534E-2</v>
      </c>
      <c r="O93" s="34"/>
      <c r="P93" s="7">
        <f t="shared" si="5"/>
        <v>6668</v>
      </c>
      <c r="Q93" s="1004">
        <f t="shared" si="6"/>
        <v>9.0853351137029414E-2</v>
      </c>
      <c r="R93" s="6">
        <v>177</v>
      </c>
      <c r="S93" s="6">
        <v>195</v>
      </c>
      <c r="T93" s="6">
        <v>154</v>
      </c>
      <c r="U93" s="6">
        <v>83</v>
      </c>
      <c r="V93" s="6">
        <v>81</v>
      </c>
      <c r="W93" s="6">
        <v>55</v>
      </c>
      <c r="X93" s="6">
        <v>316</v>
      </c>
      <c r="Y93" s="6">
        <v>293</v>
      </c>
      <c r="Z93" s="6">
        <v>244</v>
      </c>
      <c r="AA93" s="6">
        <v>257</v>
      </c>
      <c r="AB93" s="6">
        <v>109</v>
      </c>
      <c r="AC93" s="6">
        <v>129</v>
      </c>
      <c r="AD93" s="6">
        <f t="shared" si="7"/>
        <v>-20</v>
      </c>
      <c r="AE93" s="6" t="s">
        <v>15823</v>
      </c>
    </row>
    <row r="94" spans="1:31">
      <c r="A94" s="33" t="str">
        <f>CUMBRIA!A18</f>
        <v>Carlisle CC</v>
      </c>
      <c r="B94" s="7">
        <f>CUMBRIA!D18</f>
        <v>65621</v>
      </c>
      <c r="C94" s="7">
        <f>CUMBRIA!E18</f>
        <v>66322</v>
      </c>
      <c r="D94" s="7">
        <f>CUMBRIA!F18</f>
        <v>66619</v>
      </c>
      <c r="E94" s="7">
        <f>CUMBRIA!G18</f>
        <v>66436</v>
      </c>
      <c r="F94" s="7">
        <f>CUMBRIA!H18</f>
        <v>66146</v>
      </c>
      <c r="G94" s="7">
        <f>CUMBRIA!I18</f>
        <v>64673</v>
      </c>
      <c r="H94" s="7">
        <f>CUMBRIA!J18</f>
        <v>60507</v>
      </c>
      <c r="I94" s="7">
        <f>CUMBRIA!K18</f>
        <v>59942</v>
      </c>
      <c r="J94" s="7">
        <f>CUMBRIA!L18</f>
        <v>64370</v>
      </c>
      <c r="K94" s="7">
        <f>CUMBRIA!M18</f>
        <v>65318</v>
      </c>
      <c r="L94" s="7">
        <f>CUMBRIA!N18</f>
        <v>63839</v>
      </c>
      <c r="M94" s="7">
        <f>CUMBRIA!O18</f>
        <v>64354</v>
      </c>
      <c r="N94" s="34">
        <f t="shared" si="4"/>
        <v>-1.9307843525700613E-2</v>
      </c>
      <c r="O94" s="34"/>
      <c r="P94" s="7">
        <f t="shared" si="5"/>
        <v>-9039</v>
      </c>
      <c r="Q94" s="1004">
        <f t="shared" si="6"/>
        <v>-0.12315888436226888</v>
      </c>
      <c r="R94" s="6">
        <v>448</v>
      </c>
      <c r="S94" s="6">
        <v>444</v>
      </c>
      <c r="T94" s="6">
        <v>443</v>
      </c>
      <c r="U94" s="6">
        <v>453</v>
      </c>
      <c r="V94" s="6">
        <v>447</v>
      </c>
      <c r="W94" s="6">
        <v>448</v>
      </c>
      <c r="X94" s="6">
        <v>499</v>
      </c>
      <c r="Y94" s="6">
        <v>514</v>
      </c>
      <c r="Z94" s="6">
        <v>471</v>
      </c>
      <c r="AA94" s="6">
        <v>445</v>
      </c>
      <c r="AB94" s="6">
        <v>489</v>
      </c>
      <c r="AC94" s="6">
        <v>491</v>
      </c>
      <c r="AD94" s="6">
        <f t="shared" si="7"/>
        <v>-2</v>
      </c>
      <c r="AE94" s="6" t="s">
        <v>15825</v>
      </c>
    </row>
    <row r="95" spans="1:31">
      <c r="A95" s="33" t="str">
        <f>SUTTON!A7</f>
        <v>Carshalton and Wallington BC</v>
      </c>
      <c r="B95" s="7">
        <f>SUTTON!D7</f>
        <v>66634</v>
      </c>
      <c r="C95" s="7">
        <f>SUTTON!E7</f>
        <v>67044</v>
      </c>
      <c r="D95" s="7">
        <f>SUTTON!F7</f>
        <v>68700</v>
      </c>
      <c r="E95" s="7">
        <f>SUTTON!G7</f>
        <v>69666</v>
      </c>
      <c r="F95" s="7">
        <f>SUTTON!H7</f>
        <v>70384</v>
      </c>
      <c r="G95" s="7">
        <f>SUTTON!I7</f>
        <v>70002</v>
      </c>
      <c r="H95" s="7">
        <f>SUTTON!J7</f>
        <v>68304</v>
      </c>
      <c r="I95" s="7">
        <f>SUTTON!K7</f>
        <v>70258</v>
      </c>
      <c r="J95" s="7">
        <f>SUTTON!L7</f>
        <v>70937</v>
      </c>
      <c r="K95" s="7">
        <f>SUTTON!M7</f>
        <v>71780</v>
      </c>
      <c r="L95" s="7">
        <f>SUTTON!N7</f>
        <v>72579</v>
      </c>
      <c r="M95" s="7">
        <f>SUTTON!O7</f>
        <v>72545</v>
      </c>
      <c r="N95" s="34">
        <f t="shared" si="4"/>
        <v>8.8708467148902959E-2</v>
      </c>
      <c r="O95" s="34"/>
      <c r="P95" s="7">
        <f t="shared" si="5"/>
        <v>-848</v>
      </c>
      <c r="Q95" s="1004">
        <f t="shared" si="6"/>
        <v>-1.1554235417546632E-2</v>
      </c>
      <c r="R95" s="6">
        <v>423</v>
      </c>
      <c r="S95" s="6">
        <v>420</v>
      </c>
      <c r="T95" s="6">
        <v>381</v>
      </c>
      <c r="U95" s="6">
        <v>369</v>
      </c>
      <c r="V95" s="6">
        <v>338</v>
      </c>
      <c r="W95" s="6">
        <v>292</v>
      </c>
      <c r="X95" s="6">
        <v>328</v>
      </c>
      <c r="Y95" s="6">
        <v>329</v>
      </c>
      <c r="Z95" s="6">
        <v>324</v>
      </c>
      <c r="AA95" s="6">
        <v>259</v>
      </c>
      <c r="AB95" s="6">
        <v>303</v>
      </c>
      <c r="AC95" s="6">
        <v>332</v>
      </c>
      <c r="AD95" s="6">
        <f t="shared" si="7"/>
        <v>-29</v>
      </c>
      <c r="AE95" s="6" t="s">
        <v>15827</v>
      </c>
    </row>
    <row r="96" spans="1:31">
      <c r="A96" s="33" t="str">
        <f>ESSEX!A35</f>
        <v>Castle Point BC</v>
      </c>
      <c r="B96" s="7">
        <f>ESSEX!D35</f>
        <v>67689</v>
      </c>
      <c r="C96" s="7">
        <f>ESSEX!E35</f>
        <v>64562</v>
      </c>
      <c r="D96" s="7">
        <f>ESSEX!F35</f>
        <v>66697</v>
      </c>
      <c r="E96" s="7">
        <f>ESSEX!G35</f>
        <v>67284</v>
      </c>
      <c r="F96" s="7">
        <f>ESSEX!H35</f>
        <v>68085</v>
      </c>
      <c r="G96" s="7">
        <f>ESSEX!I35</f>
        <v>67461</v>
      </c>
      <c r="H96" s="7">
        <f>ESSEX!J35</f>
        <v>67541</v>
      </c>
      <c r="I96" s="7">
        <f>ESSEX!K35</f>
        <v>68558</v>
      </c>
      <c r="J96" s="7">
        <f>ESSEX!L35</f>
        <v>69147</v>
      </c>
      <c r="K96" s="7">
        <f>ESSEX!M35</f>
        <v>68597</v>
      </c>
      <c r="L96" s="7">
        <f>ESSEX!N35</f>
        <v>69579</v>
      </c>
      <c r="M96" s="7">
        <f>ESSEX!O35</f>
        <v>69309</v>
      </c>
      <c r="N96" s="34">
        <f t="shared" si="4"/>
        <v>2.3932987634623055E-2</v>
      </c>
      <c r="O96" s="34"/>
      <c r="P96" s="7">
        <f t="shared" si="5"/>
        <v>-4084</v>
      </c>
      <c r="Q96" s="1004">
        <f t="shared" si="6"/>
        <v>-5.5645633779788262E-2</v>
      </c>
      <c r="R96" s="6">
        <v>389</v>
      </c>
      <c r="S96" s="6">
        <v>487</v>
      </c>
      <c r="T96" s="6">
        <v>440</v>
      </c>
      <c r="U96" s="6">
        <v>436</v>
      </c>
      <c r="V96" s="6">
        <v>399</v>
      </c>
      <c r="W96" s="6">
        <v>380</v>
      </c>
      <c r="X96" s="6">
        <v>358</v>
      </c>
      <c r="Y96" s="6">
        <v>374</v>
      </c>
      <c r="Z96" s="6">
        <v>375</v>
      </c>
      <c r="AA96" s="6">
        <v>375</v>
      </c>
      <c r="AB96" s="6">
        <v>398</v>
      </c>
      <c r="AC96" s="6">
        <v>414</v>
      </c>
      <c r="AD96" s="6">
        <f t="shared" si="7"/>
        <v>-16</v>
      </c>
      <c r="AE96" s="6" t="s">
        <v>15829</v>
      </c>
    </row>
    <row r="97" spans="1:31">
      <c r="A97" s="33" t="str">
        <f>DEVON!A23</f>
        <v>Central Devon CC</v>
      </c>
      <c r="B97" s="7">
        <f>DEVON!D27</f>
        <v>71089</v>
      </c>
      <c r="C97" s="7">
        <f>DEVON!E27</f>
        <v>71563</v>
      </c>
      <c r="D97" s="7">
        <f>DEVON!F27</f>
        <v>72326</v>
      </c>
      <c r="E97" s="7">
        <f>DEVON!G27</f>
        <v>72622</v>
      </c>
      <c r="F97" s="7">
        <f>DEVON!H27</f>
        <v>72295</v>
      </c>
      <c r="G97" s="7">
        <f>DEVON!I27</f>
        <v>71575</v>
      </c>
      <c r="H97" s="7">
        <f>DEVON!J27</f>
        <v>70543</v>
      </c>
      <c r="I97" s="7">
        <f>DEVON!K27</f>
        <v>72214</v>
      </c>
      <c r="J97" s="7">
        <f>DEVON!L27</f>
        <v>73818</v>
      </c>
      <c r="K97" s="7">
        <f>DEVON!M27</f>
        <v>72684</v>
      </c>
      <c r="L97" s="7">
        <f>DEVON!N27</f>
        <v>72987</v>
      </c>
      <c r="M97" s="7">
        <f>DEVON!O27</f>
        <v>75286</v>
      </c>
      <c r="N97" s="34">
        <f t="shared" si="4"/>
        <v>5.9038669836402255E-2</v>
      </c>
      <c r="O97" s="34"/>
      <c r="P97" s="7">
        <f t="shared" si="5"/>
        <v>1893</v>
      </c>
      <c r="Q97" s="1004">
        <f t="shared" si="6"/>
        <v>2.5792650525254451E-2</v>
      </c>
      <c r="R97" s="6">
        <v>289</v>
      </c>
      <c r="S97" s="6">
        <v>295</v>
      </c>
      <c r="T97" s="6">
        <v>282</v>
      </c>
      <c r="U97" s="6">
        <v>283</v>
      </c>
      <c r="V97" s="6">
        <v>275</v>
      </c>
      <c r="W97" s="6">
        <v>247</v>
      </c>
      <c r="X97" s="6">
        <v>248</v>
      </c>
      <c r="Y97" s="6">
        <v>248</v>
      </c>
      <c r="Z97" s="6">
        <v>215</v>
      </c>
      <c r="AA97" s="6">
        <v>229</v>
      </c>
      <c r="AB97" s="6">
        <v>288</v>
      </c>
      <c r="AC97" s="6">
        <v>231</v>
      </c>
      <c r="AD97" s="6">
        <f t="shared" si="7"/>
        <v>57</v>
      </c>
      <c r="AE97" s="6" t="s">
        <v>15830</v>
      </c>
    </row>
    <row r="98" spans="1:31">
      <c r="A98" s="33" t="str">
        <f>SUFFOLK!A17</f>
        <v>Central Suffolk and North Ipswich CC</v>
      </c>
      <c r="B98" s="7">
        <f>SUFFOLK!D20</f>
        <v>76137</v>
      </c>
      <c r="C98" s="7">
        <f>SUFFOLK!E20</f>
        <v>76177</v>
      </c>
      <c r="D98" s="7">
        <f>SUFFOLK!F20</f>
        <v>76553</v>
      </c>
      <c r="E98" s="7">
        <f>SUFFOLK!G20</f>
        <v>76839</v>
      </c>
      <c r="F98" s="7">
        <f>SUFFOLK!H20</f>
        <v>75883</v>
      </c>
      <c r="G98" s="7">
        <f>SUFFOLK!I20</f>
        <v>75504</v>
      </c>
      <c r="H98" s="7">
        <f>SUFFOLK!J20</f>
        <v>74698</v>
      </c>
      <c r="I98" s="7">
        <f>SUFFOLK!K20</f>
        <v>77049</v>
      </c>
      <c r="J98" s="7">
        <f>SUFFOLK!L20</f>
        <v>77487</v>
      </c>
      <c r="K98" s="7">
        <f>SUFFOLK!M20</f>
        <v>77283</v>
      </c>
      <c r="L98" s="7">
        <f>SUFFOLK!N20</f>
        <v>79671</v>
      </c>
      <c r="M98" s="7">
        <f>SUFFOLK!O20</f>
        <v>78775</v>
      </c>
      <c r="N98" s="34">
        <f t="shared" si="4"/>
        <v>3.4648068613157862E-2</v>
      </c>
      <c r="O98" s="34"/>
      <c r="P98" s="7">
        <f t="shared" si="5"/>
        <v>5382</v>
      </c>
      <c r="Q98" s="1004">
        <f t="shared" si="6"/>
        <v>7.3331244124099026E-2</v>
      </c>
      <c r="R98" s="6">
        <v>121</v>
      </c>
      <c r="S98" s="6">
        <v>136</v>
      </c>
      <c r="T98" s="6">
        <v>140</v>
      </c>
      <c r="U98" s="6">
        <v>142</v>
      </c>
      <c r="V98" s="6">
        <v>150</v>
      </c>
      <c r="W98" s="6">
        <v>133</v>
      </c>
      <c r="X98" s="6">
        <v>126</v>
      </c>
      <c r="Y98" s="6">
        <v>128</v>
      </c>
      <c r="Z98" s="6">
        <v>131</v>
      </c>
      <c r="AA98" s="6">
        <v>129</v>
      </c>
      <c r="AB98" s="6">
        <v>124</v>
      </c>
      <c r="AC98" s="6">
        <v>156</v>
      </c>
      <c r="AD98" s="6">
        <f t="shared" si="7"/>
        <v>-32</v>
      </c>
      <c r="AE98" s="6" t="s">
        <v>15829</v>
      </c>
    </row>
    <row r="99" spans="1:31">
      <c r="A99" s="33" t="str">
        <f>LEICESTERSHIRE!A21</f>
        <v>Charnwood CC</v>
      </c>
      <c r="B99" s="7">
        <f>LEICESTERSHIRE!D24</f>
        <v>74734</v>
      </c>
      <c r="C99" s="7">
        <f>LEICESTERSHIRE!E24</f>
        <v>75454</v>
      </c>
      <c r="D99" s="7">
        <f>LEICESTERSHIRE!F24</f>
        <v>76195</v>
      </c>
      <c r="E99" s="7">
        <f>LEICESTERSHIRE!G24</f>
        <v>76893</v>
      </c>
      <c r="F99" s="7">
        <f>LEICESTERSHIRE!H24</f>
        <v>77143</v>
      </c>
      <c r="G99" s="7">
        <f>LEICESTERSHIRE!I24</f>
        <v>77012</v>
      </c>
      <c r="H99" s="7">
        <f>LEICESTERSHIRE!J24</f>
        <v>75459</v>
      </c>
      <c r="I99" s="7">
        <f>LEICESTERSHIRE!K24</f>
        <v>76800</v>
      </c>
      <c r="J99" s="7">
        <f>LEICESTERSHIRE!L24</f>
        <v>78441</v>
      </c>
      <c r="K99" s="7">
        <f>LEICESTERSHIRE!M24</f>
        <v>78237</v>
      </c>
      <c r="L99" s="7">
        <f>LEICESTERSHIRE!N24</f>
        <v>80143</v>
      </c>
      <c r="M99" s="7">
        <f>LEICESTERSHIRE!O24</f>
        <v>80235</v>
      </c>
      <c r="N99" s="34">
        <f t="shared" si="4"/>
        <v>7.3607728744614229E-2</v>
      </c>
      <c r="O99" s="34"/>
      <c r="P99" s="7">
        <f t="shared" si="5"/>
        <v>6842</v>
      </c>
      <c r="Q99" s="1004">
        <f t="shared" si="6"/>
        <v>9.3224149442044879E-2</v>
      </c>
      <c r="R99" s="6">
        <v>158</v>
      </c>
      <c r="S99" s="6">
        <v>153</v>
      </c>
      <c r="T99" s="6">
        <v>150</v>
      </c>
      <c r="U99" s="6">
        <v>140</v>
      </c>
      <c r="V99" s="6">
        <v>122</v>
      </c>
      <c r="W99" s="6">
        <v>97</v>
      </c>
      <c r="X99" s="6">
        <v>109</v>
      </c>
      <c r="Y99" s="6">
        <v>135</v>
      </c>
      <c r="Z99" s="6">
        <v>112</v>
      </c>
      <c r="AA99" s="6">
        <v>103</v>
      </c>
      <c r="AB99" s="6">
        <v>106</v>
      </c>
      <c r="AC99" s="6">
        <v>124</v>
      </c>
      <c r="AD99" s="6">
        <f t="shared" si="7"/>
        <v>-18</v>
      </c>
      <c r="AE99" s="6" t="s">
        <v>15826</v>
      </c>
    </row>
    <row r="100" spans="1:31">
      <c r="A100" s="33" t="str">
        <f>KENT!A28</f>
        <v>Chatham and Aylesford CC</v>
      </c>
      <c r="B100" s="7">
        <f>KENT!D30</f>
        <v>67829</v>
      </c>
      <c r="C100" s="7">
        <f>KENT!E30</f>
        <v>68437</v>
      </c>
      <c r="D100" s="7">
        <f>KENT!F30</f>
        <v>69426</v>
      </c>
      <c r="E100" s="7">
        <f>KENT!G30</f>
        <v>69478</v>
      </c>
      <c r="F100" s="7">
        <f>KENT!H30</f>
        <v>67687</v>
      </c>
      <c r="G100" s="7">
        <f>KENT!I30</f>
        <v>66540</v>
      </c>
      <c r="H100" s="7">
        <f>KENT!J30</f>
        <v>66381</v>
      </c>
      <c r="I100" s="7">
        <f>KENT!K30</f>
        <v>69641</v>
      </c>
      <c r="J100" s="7">
        <f>KENT!L30</f>
        <v>69911</v>
      </c>
      <c r="K100" s="7">
        <f>KENT!M30</f>
        <v>70991</v>
      </c>
      <c r="L100" s="7">
        <f>KENT!N30</f>
        <v>70117</v>
      </c>
      <c r="M100" s="7">
        <f>KENT!O30</f>
        <v>72284</v>
      </c>
      <c r="N100" s="34">
        <f t="shared" si="4"/>
        <v>6.5679871441418861E-2</v>
      </c>
      <c r="O100" s="34"/>
      <c r="P100" s="7">
        <f t="shared" si="5"/>
        <v>-1109</v>
      </c>
      <c r="Q100" s="1004">
        <f t="shared" si="6"/>
        <v>-1.5110432875069829E-2</v>
      </c>
      <c r="R100" s="6">
        <v>384</v>
      </c>
      <c r="S100" s="6">
        <v>384</v>
      </c>
      <c r="T100" s="6">
        <v>365</v>
      </c>
      <c r="U100" s="6">
        <v>372</v>
      </c>
      <c r="V100" s="6">
        <v>406</v>
      </c>
      <c r="W100" s="6">
        <v>406</v>
      </c>
      <c r="X100" s="6">
        <v>391</v>
      </c>
      <c r="Y100" s="6">
        <v>346</v>
      </c>
      <c r="Z100" s="6">
        <v>361</v>
      </c>
      <c r="AA100" s="6">
        <v>289</v>
      </c>
      <c r="AB100" s="6">
        <v>384</v>
      </c>
      <c r="AC100" s="6">
        <v>340</v>
      </c>
      <c r="AD100" s="6">
        <f t="shared" si="7"/>
        <v>44</v>
      </c>
      <c r="AE100" s="6" t="s">
        <v>15823</v>
      </c>
    </row>
    <row r="101" spans="1:31">
      <c r="A101" s="33" t="str">
        <f>'GREATER MANCHESTER'!A41</f>
        <v>Cheadle BC</v>
      </c>
      <c r="B101" s="7">
        <f>'GREATER MANCHESTER'!D41</f>
        <v>71927</v>
      </c>
      <c r="C101" s="7">
        <f>'GREATER MANCHESTER'!E41</f>
        <v>71797</v>
      </c>
      <c r="D101" s="7">
        <f>'GREATER MANCHESTER'!F41</f>
        <v>72422</v>
      </c>
      <c r="E101" s="7">
        <f>'GREATER MANCHESTER'!G41</f>
        <v>72777</v>
      </c>
      <c r="F101" s="7">
        <f>'GREATER MANCHESTER'!H41</f>
        <v>72368</v>
      </c>
      <c r="G101" s="7">
        <f>'GREATER MANCHESTER'!I41</f>
        <v>72936</v>
      </c>
      <c r="H101" s="7">
        <f>'GREATER MANCHESTER'!J41</f>
        <v>70529</v>
      </c>
      <c r="I101" s="7">
        <f>'GREATER MANCHESTER'!K41</f>
        <v>72039</v>
      </c>
      <c r="J101" s="7">
        <f>'GREATER MANCHESTER'!L41</f>
        <v>72568</v>
      </c>
      <c r="K101" s="7">
        <f>'GREATER MANCHESTER'!M41</f>
        <v>72504</v>
      </c>
      <c r="L101" s="7">
        <f>'GREATER MANCHESTER'!N41</f>
        <v>75099</v>
      </c>
      <c r="M101" s="7">
        <f>'GREATER MANCHESTER'!O41</f>
        <v>73775</v>
      </c>
      <c r="N101" s="34">
        <f t="shared" si="4"/>
        <v>2.5692716226173761E-2</v>
      </c>
      <c r="O101" s="34"/>
      <c r="P101" s="7">
        <f t="shared" si="5"/>
        <v>382</v>
      </c>
      <c r="Q101" s="1004">
        <f t="shared" si="6"/>
        <v>5.204856048941997E-3</v>
      </c>
      <c r="R101" s="6">
        <v>250</v>
      </c>
      <c r="S101" s="6">
        <v>286</v>
      </c>
      <c r="T101" s="6">
        <v>277</v>
      </c>
      <c r="U101" s="6">
        <v>274</v>
      </c>
      <c r="V101" s="6">
        <v>269</v>
      </c>
      <c r="W101" s="6">
        <v>189</v>
      </c>
      <c r="X101" s="6">
        <v>250</v>
      </c>
      <c r="Y101" s="6">
        <v>251</v>
      </c>
      <c r="Z101" s="6">
        <v>255</v>
      </c>
      <c r="AA101" s="6">
        <v>236</v>
      </c>
      <c r="AB101" s="6">
        <v>225</v>
      </c>
      <c r="AC101" s="6">
        <v>285</v>
      </c>
      <c r="AD101" s="6">
        <f t="shared" si="7"/>
        <v>-60</v>
      </c>
      <c r="AE101" s="6" t="s">
        <v>15825</v>
      </c>
    </row>
    <row r="102" spans="1:31">
      <c r="A102" s="33" t="str">
        <f>ESSEX!A37</f>
        <v>Chelmsford BC</v>
      </c>
      <c r="B102" s="7">
        <f>ESSEX!D37</f>
        <v>77607</v>
      </c>
      <c r="C102" s="7">
        <f>ESSEX!E37</f>
        <v>77835</v>
      </c>
      <c r="D102" s="7">
        <f>ESSEX!F37</f>
        <v>77801</v>
      </c>
      <c r="E102" s="7">
        <f>ESSEX!G37</f>
        <v>78971</v>
      </c>
      <c r="F102" s="7">
        <f>ESSEX!H37</f>
        <v>78626</v>
      </c>
      <c r="G102" s="7">
        <f>ESSEX!I37</f>
        <v>78673</v>
      </c>
      <c r="H102" s="7">
        <f>ESSEX!J37</f>
        <v>78107</v>
      </c>
      <c r="I102" s="7">
        <f>ESSEX!K37</f>
        <v>79124</v>
      </c>
      <c r="J102" s="7">
        <f>ESSEX!L37</f>
        <v>79793</v>
      </c>
      <c r="K102" s="7">
        <f>ESSEX!M37</f>
        <v>77323</v>
      </c>
      <c r="L102" s="7">
        <f>ESSEX!N37</f>
        <v>81299</v>
      </c>
      <c r="M102" s="7">
        <f>ESSEX!O37</f>
        <v>80793</v>
      </c>
      <c r="N102" s="34">
        <f t="shared" si="4"/>
        <v>4.1052997796590517E-2</v>
      </c>
      <c r="O102" s="34"/>
      <c r="P102" s="7">
        <f t="shared" si="5"/>
        <v>7400</v>
      </c>
      <c r="Q102" s="1004">
        <f t="shared" si="6"/>
        <v>0.1008270543512324</v>
      </c>
      <c r="R102" s="6">
        <v>75</v>
      </c>
      <c r="S102" s="6">
        <v>84</v>
      </c>
      <c r="T102" s="6">
        <v>100</v>
      </c>
      <c r="U102" s="6">
        <v>81</v>
      </c>
      <c r="V102" s="6">
        <v>86</v>
      </c>
      <c r="W102" s="6">
        <v>59</v>
      </c>
      <c r="X102" s="6">
        <v>53</v>
      </c>
      <c r="Y102" s="6">
        <v>82</v>
      </c>
      <c r="Z102" s="6">
        <v>82</v>
      </c>
      <c r="AA102" s="6">
        <v>128</v>
      </c>
      <c r="AB102" s="6">
        <v>83</v>
      </c>
      <c r="AC102" s="6">
        <v>110</v>
      </c>
      <c r="AD102" s="6">
        <f t="shared" si="7"/>
        <v>-27</v>
      </c>
      <c r="AE102" s="6" t="s">
        <v>15829</v>
      </c>
    </row>
    <row r="103" spans="1:31">
      <c r="A103" s="33" t="str">
        <f>HAMMERSMITH!A7</f>
        <v>Chelsea and Fulham BC</v>
      </c>
      <c r="B103" s="7">
        <f>HAMMERSMITH!D9</f>
        <v>63707</v>
      </c>
      <c r="C103" s="7">
        <f>HAMMERSMITH!E9</f>
        <v>62958</v>
      </c>
      <c r="D103" s="7">
        <f>HAMMERSMITH!F9</f>
        <v>62829</v>
      </c>
      <c r="E103" s="7">
        <f>HAMMERSMITH!G9</f>
        <v>62754</v>
      </c>
      <c r="F103" s="7">
        <f>HAMMERSMITH!H9</f>
        <v>63063</v>
      </c>
      <c r="G103" s="7">
        <f>HAMMERSMITH!I9</f>
        <v>60603</v>
      </c>
      <c r="H103" s="7">
        <f>HAMMERSMITH!J9</f>
        <v>58927</v>
      </c>
      <c r="I103" s="7">
        <f>HAMMERSMITH!K9</f>
        <v>61137</v>
      </c>
      <c r="J103" s="7">
        <f>HAMMERSMITH!L9</f>
        <v>62448</v>
      </c>
      <c r="K103" s="7">
        <f>HAMMERSMITH!M9</f>
        <v>60041</v>
      </c>
      <c r="L103" s="7">
        <f>HAMMERSMITH!N9</f>
        <v>65806</v>
      </c>
      <c r="M103" s="7">
        <f>HAMMERSMITH!O9</f>
        <v>65013</v>
      </c>
      <c r="N103" s="34">
        <f t="shared" si="4"/>
        <v>2.0500102029604284E-2</v>
      </c>
      <c r="O103" s="34"/>
      <c r="P103" s="7">
        <f t="shared" si="5"/>
        <v>-8380</v>
      </c>
      <c r="Q103" s="1004">
        <f t="shared" si="6"/>
        <v>-0.11417982641396318</v>
      </c>
      <c r="R103" s="6">
        <v>488</v>
      </c>
      <c r="S103" s="6">
        <v>505</v>
      </c>
      <c r="T103" s="6">
        <v>506</v>
      </c>
      <c r="U103" s="6">
        <v>506</v>
      </c>
      <c r="V103" s="6">
        <v>497</v>
      </c>
      <c r="W103" s="6">
        <v>504</v>
      </c>
      <c r="X103" s="6">
        <v>510</v>
      </c>
      <c r="Y103" s="6">
        <v>506</v>
      </c>
      <c r="Z103" s="6">
        <v>494</v>
      </c>
      <c r="AA103" s="6">
        <v>509</v>
      </c>
      <c r="AB103" s="6">
        <v>461</v>
      </c>
      <c r="AC103" s="6">
        <v>481</v>
      </c>
      <c r="AD103" s="6">
        <f t="shared" si="7"/>
        <v>-20</v>
      </c>
      <c r="AE103" s="6" t="s">
        <v>15827</v>
      </c>
    </row>
    <row r="104" spans="1:31">
      <c r="A104" s="33" t="str">
        <f>GLOUCESTERSHIRE!A14</f>
        <v>Cheltenham BC</v>
      </c>
      <c r="B104" s="7">
        <f>GLOUCESTERSHIRE!D14</f>
        <v>78469</v>
      </c>
      <c r="C104" s="7">
        <f>GLOUCESTERSHIRE!E14</f>
        <v>77937</v>
      </c>
      <c r="D104" s="7">
        <f>GLOUCESTERSHIRE!F14</f>
        <v>77929</v>
      </c>
      <c r="E104" s="7">
        <f>GLOUCESTERSHIRE!G14</f>
        <v>77939</v>
      </c>
      <c r="F104" s="7">
        <f>GLOUCESTERSHIRE!H14</f>
        <v>77605</v>
      </c>
      <c r="G104" s="7">
        <f>GLOUCESTERSHIRE!I14</f>
        <v>74891</v>
      </c>
      <c r="H104" s="7">
        <f>GLOUCESTERSHIRE!J14</f>
        <v>77222</v>
      </c>
      <c r="I104" s="7">
        <f>GLOUCESTERSHIRE!K14</f>
        <v>75351</v>
      </c>
      <c r="J104" s="7">
        <f>GLOUCESTERSHIRE!L14</f>
        <v>76708</v>
      </c>
      <c r="K104" s="7">
        <f>GLOUCESTERSHIRE!M14</f>
        <v>75535</v>
      </c>
      <c r="L104" s="7">
        <f>GLOUCESTERSHIRE!N14</f>
        <v>77267</v>
      </c>
      <c r="M104" s="7">
        <f>GLOUCESTERSHIRE!O14</f>
        <v>79980</v>
      </c>
      <c r="N104" s="34">
        <f t="shared" si="4"/>
        <v>1.925601192827741E-2</v>
      </c>
      <c r="O104" s="34"/>
      <c r="P104" s="7">
        <f t="shared" si="5"/>
        <v>6587</v>
      </c>
      <c r="Q104" s="1004">
        <f t="shared" si="6"/>
        <v>8.9749703650211871E-2</v>
      </c>
      <c r="R104" s="6">
        <v>57</v>
      </c>
      <c r="S104" s="6">
        <v>81</v>
      </c>
      <c r="T104" s="6">
        <v>94</v>
      </c>
      <c r="U104" s="6">
        <v>110</v>
      </c>
      <c r="V104" s="6">
        <v>111</v>
      </c>
      <c r="W104" s="6">
        <v>146</v>
      </c>
      <c r="X104" s="6">
        <v>72</v>
      </c>
      <c r="Y104" s="6">
        <v>154</v>
      </c>
      <c r="Z104" s="6">
        <v>147</v>
      </c>
      <c r="AA104" s="6">
        <v>160</v>
      </c>
      <c r="AB104" s="6">
        <v>178</v>
      </c>
      <c r="AC104" s="6">
        <v>131</v>
      </c>
      <c r="AD104" s="6">
        <f t="shared" si="7"/>
        <v>47</v>
      </c>
      <c r="AE104" s="6" t="s">
        <v>15830</v>
      </c>
    </row>
    <row r="105" spans="1:31">
      <c r="A105" s="33" t="str">
        <f>BUCKINGHAMSHIRE!A13</f>
        <v>Chesham and Amersham CC</v>
      </c>
      <c r="B105" s="7">
        <f>BUCKINGHAMSHIRE!D13</f>
        <v>70021</v>
      </c>
      <c r="C105" s="7">
        <f>BUCKINGHAMSHIRE!E13</f>
        <v>70723</v>
      </c>
      <c r="D105" s="7">
        <f>BUCKINGHAMSHIRE!F13</f>
        <v>71302</v>
      </c>
      <c r="E105" s="7">
        <f>BUCKINGHAMSHIRE!G13</f>
        <v>71912</v>
      </c>
      <c r="F105" s="7">
        <f>BUCKINGHAMSHIRE!H13</f>
        <v>72319</v>
      </c>
      <c r="G105" s="7">
        <f>BUCKINGHAMSHIRE!I13</f>
        <v>72231</v>
      </c>
      <c r="H105" s="7">
        <f>BUCKINGHAMSHIRE!J13</f>
        <v>68560</v>
      </c>
      <c r="I105" s="7">
        <f>BUCKINGHAMSHIRE!K13</f>
        <v>70675</v>
      </c>
      <c r="J105" s="7">
        <f>BUCKINGHAMSHIRE!L13</f>
        <v>71259</v>
      </c>
      <c r="K105" s="7">
        <f>BUCKINGHAMSHIRE!M13</f>
        <v>71646</v>
      </c>
      <c r="L105" s="7">
        <f>BUCKINGHAMSHIRE!N13</f>
        <v>71541</v>
      </c>
      <c r="M105" s="7">
        <f>BUCKINGHAMSHIRE!O13</f>
        <v>73015</v>
      </c>
      <c r="N105" s="34">
        <f t="shared" si="4"/>
        <v>4.2758600991131233E-2</v>
      </c>
      <c r="O105" s="34"/>
      <c r="P105" s="7">
        <f t="shared" si="5"/>
        <v>-378</v>
      </c>
      <c r="Q105" s="1004">
        <f t="shared" si="6"/>
        <v>-5.1503549384818714E-3</v>
      </c>
      <c r="R105" s="6">
        <v>322</v>
      </c>
      <c r="S105" s="6">
        <v>318</v>
      </c>
      <c r="T105" s="6">
        <v>310</v>
      </c>
      <c r="U105" s="6">
        <v>303</v>
      </c>
      <c r="V105" s="6">
        <v>273</v>
      </c>
      <c r="W105" s="6">
        <v>225</v>
      </c>
      <c r="X105" s="6">
        <v>322</v>
      </c>
      <c r="Y105" s="6">
        <v>310</v>
      </c>
      <c r="Z105" s="6">
        <v>309</v>
      </c>
      <c r="AA105" s="6">
        <v>266</v>
      </c>
      <c r="AB105" s="6">
        <v>330</v>
      </c>
      <c r="AC105" s="6">
        <v>317</v>
      </c>
      <c r="AD105" s="6">
        <f t="shared" si="7"/>
        <v>13</v>
      </c>
      <c r="AE105" s="6" t="s">
        <v>15823</v>
      </c>
    </row>
    <row r="106" spans="1:31">
      <c r="A106" s="33" t="str">
        <f>DERBYSHIRE!A26</f>
        <v>Chesterfield BC</v>
      </c>
      <c r="B106" s="7">
        <f>DERBYSHIRE!D26</f>
        <v>72077</v>
      </c>
      <c r="C106" s="7">
        <f>DERBYSHIRE!E26</f>
        <v>72866</v>
      </c>
      <c r="D106" s="7">
        <f>DERBYSHIRE!F26</f>
        <v>72611</v>
      </c>
      <c r="E106" s="7">
        <f>DERBYSHIRE!G26</f>
        <v>73542</v>
      </c>
      <c r="F106" s="7">
        <f>DERBYSHIRE!H26</f>
        <v>72368</v>
      </c>
      <c r="G106" s="7">
        <f>DERBYSHIRE!I26</f>
        <v>70046</v>
      </c>
      <c r="H106" s="7">
        <f>DERBYSHIRE!J26</f>
        <v>71297</v>
      </c>
      <c r="I106" s="7">
        <f>DERBYSHIRE!K26</f>
        <v>71818</v>
      </c>
      <c r="J106" s="7">
        <f>DERBYSHIRE!L26</f>
        <v>70942</v>
      </c>
      <c r="K106" s="7">
        <f>DERBYSHIRE!M26</f>
        <v>69531</v>
      </c>
      <c r="L106" s="7">
        <f>DERBYSHIRE!N26</f>
        <v>70681</v>
      </c>
      <c r="M106" s="7">
        <f>DERBYSHIRE!O26</f>
        <v>70722</v>
      </c>
      <c r="N106" s="34">
        <f t="shared" si="4"/>
        <v>-1.879933959515518E-2</v>
      </c>
      <c r="O106" s="34"/>
      <c r="P106" s="7">
        <f t="shared" si="5"/>
        <v>-2671</v>
      </c>
      <c r="Q106" s="1004">
        <f t="shared" si="6"/>
        <v>-3.6393116509748885E-2</v>
      </c>
      <c r="R106" s="6">
        <v>237</v>
      </c>
      <c r="S106" s="6">
        <v>234</v>
      </c>
      <c r="T106" s="6">
        <v>267</v>
      </c>
      <c r="U106" s="6">
        <v>233</v>
      </c>
      <c r="V106" s="6">
        <v>270</v>
      </c>
      <c r="W106" s="6">
        <v>289</v>
      </c>
      <c r="X106" s="6">
        <v>223</v>
      </c>
      <c r="Y106" s="6">
        <v>263</v>
      </c>
      <c r="Z106" s="6">
        <v>323</v>
      </c>
      <c r="AA106" s="6">
        <v>345</v>
      </c>
      <c r="AB106" s="6">
        <v>362</v>
      </c>
      <c r="AC106" s="6">
        <v>377</v>
      </c>
      <c r="AD106" s="6">
        <f t="shared" si="7"/>
        <v>-15</v>
      </c>
      <c r="AE106" s="6" t="s">
        <v>15826</v>
      </c>
    </row>
    <row r="107" spans="1:31">
      <c r="A107" s="33" t="str">
        <f>'WEST SUSSEX'!A23</f>
        <v>Chichester CC</v>
      </c>
      <c r="B107" s="7">
        <f>'WEST SUSSEX'!D23</f>
        <v>81182</v>
      </c>
      <c r="C107" s="7">
        <f>'WEST SUSSEX'!E23</f>
        <v>81804</v>
      </c>
      <c r="D107" s="7">
        <f>'WEST SUSSEX'!F23</f>
        <v>82269</v>
      </c>
      <c r="E107" s="7">
        <f>'WEST SUSSEX'!G23</f>
        <v>83739</v>
      </c>
      <c r="F107" s="7">
        <f>'WEST SUSSEX'!H23</f>
        <v>82316</v>
      </c>
      <c r="G107" s="7">
        <f>'WEST SUSSEX'!I23</f>
        <v>80878</v>
      </c>
      <c r="H107" s="7">
        <f>'WEST SUSSEX'!J23</f>
        <v>78736</v>
      </c>
      <c r="I107" s="7">
        <f>'WEST SUSSEX'!K23</f>
        <v>83147</v>
      </c>
      <c r="J107" s="7">
        <f>'WEST SUSSEX'!L23</f>
        <v>83477</v>
      </c>
      <c r="K107" s="7">
        <f>'WEST SUSSEX'!M23</f>
        <v>82305</v>
      </c>
      <c r="L107" s="7">
        <f>'WEST SUSSEX'!N23</f>
        <v>82863</v>
      </c>
      <c r="M107" s="7">
        <f>'WEST SUSSEX'!O23</f>
        <v>86108</v>
      </c>
      <c r="N107" s="34">
        <f t="shared" si="4"/>
        <v>6.0678475524130963E-2</v>
      </c>
      <c r="O107" s="34"/>
      <c r="P107" s="7">
        <f t="shared" si="5"/>
        <v>12715</v>
      </c>
      <c r="Q107" s="1004">
        <f t="shared" si="6"/>
        <v>0.17324540487512433</v>
      </c>
      <c r="R107" s="6">
        <v>25</v>
      </c>
      <c r="S107" s="6">
        <v>27</v>
      </c>
      <c r="T107" s="6">
        <v>28</v>
      </c>
      <c r="U107" s="6">
        <v>22</v>
      </c>
      <c r="V107" s="6">
        <v>33</v>
      </c>
      <c r="W107" s="6">
        <v>31</v>
      </c>
      <c r="X107" s="6">
        <v>41</v>
      </c>
      <c r="Y107" s="6">
        <v>26</v>
      </c>
      <c r="Z107" s="6">
        <v>28</v>
      </c>
      <c r="AA107" s="6">
        <v>37</v>
      </c>
      <c r="AB107" s="6">
        <v>61</v>
      </c>
      <c r="AC107" s="6">
        <v>36</v>
      </c>
      <c r="AD107" s="6">
        <f t="shared" si="7"/>
        <v>25</v>
      </c>
      <c r="AE107" s="6" t="s">
        <v>15823</v>
      </c>
    </row>
    <row r="108" spans="1:31">
      <c r="A108" s="33" t="str">
        <f>'WALTHAM FOREST'!A7</f>
        <v xml:space="preserve">Chingford and Woodford Green BC </v>
      </c>
      <c r="B108" s="7">
        <f>'WALTHAM FOREST'!D9</f>
        <v>64804</v>
      </c>
      <c r="C108" s="7">
        <f>'WALTHAM FOREST'!E9</f>
        <v>64770</v>
      </c>
      <c r="D108" s="7">
        <f>'WALTHAM FOREST'!F9</f>
        <v>65433</v>
      </c>
      <c r="E108" s="7">
        <f>'WALTHAM FOREST'!G9</f>
        <v>65485</v>
      </c>
      <c r="F108" s="7">
        <f>'WALTHAM FOREST'!H9</f>
        <v>66046</v>
      </c>
      <c r="G108" s="7">
        <f>'WALTHAM FOREST'!I9</f>
        <v>65084</v>
      </c>
      <c r="H108" s="7">
        <f>'WALTHAM FOREST'!J9</f>
        <v>63251</v>
      </c>
      <c r="I108" s="7">
        <f>'WALTHAM FOREST'!K9</f>
        <v>64091</v>
      </c>
      <c r="J108" s="7">
        <f>'WALTHAM FOREST'!L9</f>
        <v>65308</v>
      </c>
      <c r="K108" s="7">
        <f>'WALTHAM FOREST'!M9</f>
        <v>63535</v>
      </c>
      <c r="L108" s="7">
        <f>'WALTHAM FOREST'!N9</f>
        <v>64203</v>
      </c>
      <c r="M108" s="7">
        <f>'WALTHAM FOREST'!O9</f>
        <v>65731</v>
      </c>
      <c r="N108" s="34">
        <f t="shared" si="4"/>
        <v>1.4304672551077095E-2</v>
      </c>
      <c r="O108" s="34"/>
      <c r="P108" s="7">
        <f t="shared" si="5"/>
        <v>-7662</v>
      </c>
      <c r="Q108" s="1004">
        <f t="shared" si="6"/>
        <v>-0.10439687708637063</v>
      </c>
      <c r="R108" s="6">
        <v>470</v>
      </c>
      <c r="S108" s="6">
        <v>480</v>
      </c>
      <c r="T108" s="6">
        <v>466</v>
      </c>
      <c r="U108" s="6">
        <v>478</v>
      </c>
      <c r="V108" s="6">
        <v>448</v>
      </c>
      <c r="W108" s="6">
        <v>437</v>
      </c>
      <c r="X108" s="6">
        <v>458</v>
      </c>
      <c r="Y108" s="6">
        <v>471</v>
      </c>
      <c r="Z108" s="6">
        <v>452</v>
      </c>
      <c r="AA108" s="6">
        <v>474</v>
      </c>
      <c r="AB108" s="6">
        <v>484</v>
      </c>
      <c r="AC108" s="6">
        <v>471</v>
      </c>
      <c r="AD108" s="6">
        <f t="shared" si="7"/>
        <v>13</v>
      </c>
      <c r="AE108" s="6" t="s">
        <v>15827</v>
      </c>
    </row>
    <row r="109" spans="1:31">
      <c r="A109" s="33" t="str">
        <f>WILTSHIRE!A7</f>
        <v>Chippenham CC</v>
      </c>
      <c r="B109" s="7">
        <f>WILTSHIRE!D7</f>
        <v>71870</v>
      </c>
      <c r="C109" s="7">
        <f>WILTSHIRE!E7</f>
        <v>73312</v>
      </c>
      <c r="D109" s="7">
        <f>WILTSHIRE!F7</f>
        <v>73625</v>
      </c>
      <c r="E109" s="7">
        <f>WILTSHIRE!G7</f>
        <v>73642</v>
      </c>
      <c r="F109" s="7">
        <f>WILTSHIRE!H7</f>
        <v>73846</v>
      </c>
      <c r="G109" s="7">
        <f>WILTSHIRE!I7</f>
        <v>72404</v>
      </c>
      <c r="H109" s="7">
        <f>WILTSHIRE!J7</f>
        <v>72812</v>
      </c>
      <c r="I109" s="7">
        <f>WILTSHIRE!K7</f>
        <v>74534</v>
      </c>
      <c r="J109" s="7">
        <f>WILTSHIRE!L7</f>
        <v>75179</v>
      </c>
      <c r="K109" s="7">
        <f>WILTSHIRE!M7</f>
        <v>74381</v>
      </c>
      <c r="L109" s="7">
        <f>WILTSHIRE!N7</f>
        <v>77655</v>
      </c>
      <c r="M109" s="7">
        <f>WILTSHIRE!O7</f>
        <v>77475</v>
      </c>
      <c r="N109" s="34">
        <f t="shared" si="4"/>
        <v>7.7988033950187843E-2</v>
      </c>
      <c r="O109" s="34"/>
      <c r="P109" s="7">
        <f t="shared" si="5"/>
        <v>4082</v>
      </c>
      <c r="Q109" s="1004">
        <f t="shared" si="6"/>
        <v>5.5618383224558199E-2</v>
      </c>
      <c r="R109" s="6">
        <v>254</v>
      </c>
      <c r="S109" s="6">
        <v>215</v>
      </c>
      <c r="T109" s="6">
        <v>218</v>
      </c>
      <c r="U109" s="6">
        <v>228</v>
      </c>
      <c r="V109" s="6">
        <v>213</v>
      </c>
      <c r="W109" s="6">
        <v>219</v>
      </c>
      <c r="X109" s="6">
        <v>168</v>
      </c>
      <c r="Y109" s="6">
        <v>176</v>
      </c>
      <c r="Z109" s="6">
        <v>174</v>
      </c>
      <c r="AA109" s="6">
        <v>178</v>
      </c>
      <c r="AB109" s="6">
        <v>166</v>
      </c>
      <c r="AC109" s="6">
        <v>181</v>
      </c>
      <c r="AD109" s="6">
        <f t="shared" si="7"/>
        <v>-15</v>
      </c>
      <c r="AE109" s="6" t="s">
        <v>15830</v>
      </c>
    </row>
    <row r="110" spans="1:31">
      <c r="A110" s="33" t="str">
        <f>BARNET!A7</f>
        <v>Chipping Barnet BC</v>
      </c>
      <c r="B110" s="7">
        <f>BARNET!D7</f>
        <v>73995</v>
      </c>
      <c r="C110" s="7">
        <f>BARNET!E7</f>
        <v>76455</v>
      </c>
      <c r="D110" s="7">
        <f>BARNET!F7</f>
        <v>76697</v>
      </c>
      <c r="E110" s="7">
        <f>BARNET!G7</f>
        <v>77375</v>
      </c>
      <c r="F110" s="7">
        <f>BARNET!H7</f>
        <v>74260</v>
      </c>
      <c r="G110" s="7">
        <f>BARNET!I7</f>
        <v>75124</v>
      </c>
      <c r="H110" s="7">
        <f>BARNET!J7</f>
        <v>72480</v>
      </c>
      <c r="I110" s="7">
        <f>BARNET!K7</f>
        <v>74356</v>
      </c>
      <c r="J110" s="7">
        <f>BARNET!L7</f>
        <v>78295</v>
      </c>
      <c r="K110" s="7">
        <f>BARNET!M7</f>
        <v>77041</v>
      </c>
      <c r="L110" s="7">
        <f>BARNET!N7</f>
        <v>77095</v>
      </c>
      <c r="M110" s="7">
        <f>BARNET!O7</f>
        <v>78388</v>
      </c>
      <c r="N110" s="34">
        <f t="shared" si="4"/>
        <v>5.9368876275424018E-2</v>
      </c>
      <c r="O110" s="34"/>
      <c r="P110" s="7">
        <f t="shared" si="5"/>
        <v>4995</v>
      </c>
      <c r="Q110" s="1004">
        <f t="shared" si="6"/>
        <v>6.8058261687081872E-2</v>
      </c>
      <c r="R110" s="6">
        <v>173</v>
      </c>
      <c r="S110" s="6">
        <v>129</v>
      </c>
      <c r="T110" s="6">
        <v>135</v>
      </c>
      <c r="U110" s="6">
        <v>129</v>
      </c>
      <c r="V110" s="6">
        <v>196</v>
      </c>
      <c r="W110" s="6">
        <v>139</v>
      </c>
      <c r="X110" s="6">
        <v>180</v>
      </c>
      <c r="Y110" s="6">
        <v>185</v>
      </c>
      <c r="Z110" s="6">
        <v>115</v>
      </c>
      <c r="AA110" s="6">
        <v>134</v>
      </c>
      <c r="AB110" s="6">
        <v>184</v>
      </c>
      <c r="AC110" s="6">
        <v>167</v>
      </c>
      <c r="AD110" s="6">
        <f t="shared" si="7"/>
        <v>17</v>
      </c>
      <c r="AE110" s="6" t="s">
        <v>15827</v>
      </c>
    </row>
    <row r="111" spans="1:31">
      <c r="A111" s="33" t="str">
        <f>LANCASHIRE!A37</f>
        <v>Chorley CC</v>
      </c>
      <c r="B111" s="7">
        <f>LANCASHIRE!D37</f>
        <v>71204</v>
      </c>
      <c r="C111" s="7">
        <f>LANCASHIRE!E37</f>
        <v>71333</v>
      </c>
      <c r="D111" s="7">
        <f>LANCASHIRE!F37</f>
        <v>72453</v>
      </c>
      <c r="E111" s="7">
        <f>LANCASHIRE!G37</f>
        <v>73562</v>
      </c>
      <c r="F111" s="7">
        <f>LANCASHIRE!H37</f>
        <v>74078</v>
      </c>
      <c r="G111" s="7">
        <f>LANCASHIRE!I37</f>
        <v>72480</v>
      </c>
      <c r="H111" s="7">
        <f>LANCASHIRE!J37</f>
        <v>73323</v>
      </c>
      <c r="I111" s="7">
        <f>LANCASHIRE!K37</f>
        <v>75380</v>
      </c>
      <c r="J111" s="7">
        <f>LANCASHIRE!L37</f>
        <v>75938</v>
      </c>
      <c r="K111" s="7">
        <f>LANCASHIRE!M37</f>
        <v>77800</v>
      </c>
      <c r="L111" s="7">
        <f>LANCASHIRE!N37</f>
        <v>78579</v>
      </c>
      <c r="M111" s="7">
        <f>LANCASHIRE!O37</f>
        <v>77994</v>
      </c>
      <c r="N111" s="34">
        <f t="shared" si="4"/>
        <v>9.5359811246559179E-2</v>
      </c>
      <c r="O111" s="34"/>
      <c r="P111" s="7">
        <f t="shared" si="5"/>
        <v>4601</v>
      </c>
      <c r="Q111" s="1004">
        <f t="shared" si="6"/>
        <v>6.2689902306759498E-2</v>
      </c>
      <c r="R111" s="6">
        <v>283</v>
      </c>
      <c r="S111" s="6">
        <v>301</v>
      </c>
      <c r="T111" s="6">
        <v>274</v>
      </c>
      <c r="U111" s="6">
        <v>232</v>
      </c>
      <c r="V111" s="6">
        <v>207</v>
      </c>
      <c r="W111" s="6">
        <v>214</v>
      </c>
      <c r="X111" s="6">
        <v>158</v>
      </c>
      <c r="Y111" s="6">
        <v>150</v>
      </c>
      <c r="Z111" s="6">
        <v>159</v>
      </c>
      <c r="AA111" s="6">
        <v>120</v>
      </c>
      <c r="AB111" s="6">
        <v>147</v>
      </c>
      <c r="AC111" s="6">
        <v>173</v>
      </c>
      <c r="AD111" s="6">
        <f t="shared" si="7"/>
        <v>-26</v>
      </c>
      <c r="AE111" s="6" t="s">
        <v>15825</v>
      </c>
    </row>
    <row r="112" spans="1:31">
      <c r="A112" s="33" t="str">
        <f>DORSET!A15</f>
        <v>Christchurch CC</v>
      </c>
      <c r="B112" s="7">
        <f>DORSET!D17</f>
        <v>68683</v>
      </c>
      <c r="C112" s="7">
        <f>DORSET!E17</f>
        <v>69008</v>
      </c>
      <c r="D112" s="7">
        <f>DORSET!F17</f>
        <v>69376</v>
      </c>
      <c r="E112" s="7">
        <f>DORSET!G17</f>
        <v>70116</v>
      </c>
      <c r="F112" s="7">
        <f>DORSET!H17</f>
        <v>70732</v>
      </c>
      <c r="G112" s="7">
        <f>DORSET!I17</f>
        <v>68102</v>
      </c>
      <c r="H112" s="7">
        <f>DORSET!J17</f>
        <v>67600</v>
      </c>
      <c r="I112" s="7">
        <f>DORSET!K17</f>
        <v>69364</v>
      </c>
      <c r="J112" s="7">
        <f>DORSET!L17</f>
        <v>69577</v>
      </c>
      <c r="K112" s="7">
        <f>DORSET!M17</f>
        <v>68635</v>
      </c>
      <c r="L112" s="7">
        <f>DORSET!N17</f>
        <v>71915</v>
      </c>
      <c r="M112" s="7">
        <f>DORSET!O17</f>
        <v>71453</v>
      </c>
      <c r="N112" s="34">
        <f t="shared" si="4"/>
        <v>4.0330212716392699E-2</v>
      </c>
      <c r="O112" s="34"/>
      <c r="P112" s="7">
        <f t="shared" si="5"/>
        <v>-1940</v>
      </c>
      <c r="Q112" s="1004">
        <f t="shared" si="6"/>
        <v>-2.6433038573160927E-2</v>
      </c>
      <c r="R112" s="6">
        <v>363</v>
      </c>
      <c r="S112" s="6">
        <v>368</v>
      </c>
      <c r="T112" s="6">
        <v>368</v>
      </c>
      <c r="U112" s="6">
        <v>350</v>
      </c>
      <c r="V112" s="6">
        <v>322</v>
      </c>
      <c r="W112" s="6">
        <v>362</v>
      </c>
      <c r="X112" s="6">
        <v>354</v>
      </c>
      <c r="Y112" s="6">
        <v>353</v>
      </c>
      <c r="Z112" s="6">
        <v>367</v>
      </c>
      <c r="AA112" s="6">
        <v>372</v>
      </c>
      <c r="AB112" s="6">
        <v>318</v>
      </c>
      <c r="AC112" s="6">
        <v>361</v>
      </c>
      <c r="AD112" s="6">
        <f t="shared" si="7"/>
        <v>-43</v>
      </c>
      <c r="AE112" s="6" t="s">
        <v>15830</v>
      </c>
    </row>
    <row r="113" spans="1:31">
      <c r="A113" s="33" t="str">
        <f>WESTMINSTER!A7</f>
        <v>Cities of London and Westminster BC</v>
      </c>
      <c r="B113" s="7">
        <f>WESTMINSTER!D9</f>
        <v>64044</v>
      </c>
      <c r="C113" s="7">
        <f>WESTMINSTER!E9</f>
        <v>65140</v>
      </c>
      <c r="D113" s="7">
        <f>WESTMINSTER!F9</f>
        <v>63494</v>
      </c>
      <c r="E113" s="7">
        <f>WESTMINSTER!G9</f>
        <v>62393</v>
      </c>
      <c r="F113" s="7">
        <f>WESTMINSTER!H9</f>
        <v>60857</v>
      </c>
      <c r="G113" s="7">
        <f>WESTMINSTER!I9</f>
        <v>55921</v>
      </c>
      <c r="H113" s="7">
        <f>WESTMINSTER!J9</f>
        <v>58071</v>
      </c>
      <c r="I113" s="7">
        <f>WESTMINSTER!K9</f>
        <v>61222</v>
      </c>
      <c r="J113" s="7">
        <f>WESTMINSTER!L9</f>
        <v>60576</v>
      </c>
      <c r="K113" s="7">
        <f>WESTMINSTER!M9</f>
        <v>58639</v>
      </c>
      <c r="L113" s="7">
        <f>WESTMINSTER!N9</f>
        <v>62048</v>
      </c>
      <c r="M113" s="7">
        <f>WESTMINSTER!O9</f>
        <v>62570</v>
      </c>
      <c r="N113" s="34">
        <f t="shared" si="4"/>
        <v>-2.3015426894010368E-2</v>
      </c>
      <c r="O113" s="34"/>
      <c r="P113" s="7">
        <f t="shared" si="5"/>
        <v>-10823</v>
      </c>
      <c r="Q113" s="1004">
        <f t="shared" si="6"/>
        <v>-0.14746637962748491</v>
      </c>
      <c r="R113" s="6">
        <v>482</v>
      </c>
      <c r="S113" s="6">
        <v>474</v>
      </c>
      <c r="T113" s="6">
        <v>499</v>
      </c>
      <c r="U113" s="6">
        <v>512</v>
      </c>
      <c r="V113" s="6">
        <v>518</v>
      </c>
      <c r="W113" s="6">
        <v>528</v>
      </c>
      <c r="X113" s="6">
        <v>521</v>
      </c>
      <c r="Y113" s="6">
        <v>505</v>
      </c>
      <c r="Z113" s="6">
        <v>513</v>
      </c>
      <c r="AA113" s="6">
        <v>519</v>
      </c>
      <c r="AB113" s="6">
        <v>508</v>
      </c>
      <c r="AC113" s="6">
        <v>506</v>
      </c>
      <c r="AD113" s="6">
        <f t="shared" si="7"/>
        <v>2</v>
      </c>
      <c r="AE113" s="6" t="s">
        <v>15827</v>
      </c>
    </row>
    <row r="114" spans="1:31">
      <c r="A114" s="33" t="str">
        <f>CHESHIRE!A13</f>
        <v>City of Chester CC</v>
      </c>
      <c r="B114" s="7">
        <f>CHESHIRE!D13</f>
        <v>68899</v>
      </c>
      <c r="C114" s="7">
        <f>CHESHIRE!E13</f>
        <v>68280</v>
      </c>
      <c r="D114" s="7">
        <f>CHESHIRE!F13</f>
        <v>68057</v>
      </c>
      <c r="E114" s="7">
        <f>CHESHIRE!G13</f>
        <v>68463</v>
      </c>
      <c r="F114" s="7">
        <f>CHESHIRE!H13</f>
        <v>70641</v>
      </c>
      <c r="G114" s="7">
        <f>CHESHIRE!I13</f>
        <v>70533</v>
      </c>
      <c r="H114" s="7">
        <f>CHESHIRE!J13</f>
        <v>70857</v>
      </c>
      <c r="I114" s="7">
        <f>CHESHIRE!K13</f>
        <v>72255</v>
      </c>
      <c r="J114" s="7">
        <f>CHESHIRE!L13</f>
        <v>74397</v>
      </c>
      <c r="K114" s="7">
        <f>CHESHIRE!M13</f>
        <v>74431</v>
      </c>
      <c r="L114" s="7">
        <f>CHESHIRE!N13</f>
        <v>75196</v>
      </c>
      <c r="M114" s="7">
        <f>CHESHIRE!O13</f>
        <v>75149</v>
      </c>
      <c r="N114" s="34">
        <f t="shared" si="4"/>
        <v>9.0712492198725667E-2</v>
      </c>
      <c r="O114" s="34"/>
      <c r="P114" s="7">
        <f t="shared" si="5"/>
        <v>1756</v>
      </c>
      <c r="Q114" s="1004">
        <f t="shared" si="6"/>
        <v>2.3925987491995149E-2</v>
      </c>
      <c r="R114" s="6">
        <v>352</v>
      </c>
      <c r="S114" s="6">
        <v>386</v>
      </c>
      <c r="T114" s="6">
        <v>396</v>
      </c>
      <c r="U114" s="6">
        <v>401</v>
      </c>
      <c r="V114" s="6">
        <v>324</v>
      </c>
      <c r="W114" s="6">
        <v>275</v>
      </c>
      <c r="X114" s="6">
        <v>234</v>
      </c>
      <c r="Y114" s="6">
        <v>246</v>
      </c>
      <c r="Z114" s="6">
        <v>199</v>
      </c>
      <c r="AA114" s="6">
        <v>176</v>
      </c>
      <c r="AB114" s="6">
        <v>219</v>
      </c>
      <c r="AC114" s="6">
        <v>236</v>
      </c>
      <c r="AD114" s="6">
        <f t="shared" si="7"/>
        <v>-17</v>
      </c>
      <c r="AE114" s="6" t="s">
        <v>15825</v>
      </c>
    </row>
    <row r="115" spans="1:31">
      <c r="A115" s="33" t="str">
        <f>DURHAM!A13</f>
        <v>City of Durham CC</v>
      </c>
      <c r="B115" s="7">
        <f>DURHAM!D13</f>
        <v>67642</v>
      </c>
      <c r="C115" s="7">
        <f>DURHAM!E13</f>
        <v>72659</v>
      </c>
      <c r="D115" s="7">
        <f>DURHAM!F13</f>
        <v>73567</v>
      </c>
      <c r="E115" s="7">
        <f>DURHAM!G13</f>
        <v>73679</v>
      </c>
      <c r="F115" s="7">
        <f>DURHAM!H13</f>
        <v>73036</v>
      </c>
      <c r="G115" s="7">
        <f>DURHAM!I13</f>
        <v>64614</v>
      </c>
      <c r="H115" s="7">
        <f>DURHAM!J13</f>
        <v>66618</v>
      </c>
      <c r="I115" s="7">
        <f>DURHAM!K13</f>
        <v>68508</v>
      </c>
      <c r="J115" s="7">
        <f>DURHAM!L13</f>
        <v>73538</v>
      </c>
      <c r="K115" s="7">
        <f>DURHAM!M13</f>
        <v>65232</v>
      </c>
      <c r="L115" s="7">
        <f>DURHAM!N13</f>
        <v>71696</v>
      </c>
      <c r="M115" s="7">
        <f>DURHAM!O13</f>
        <v>71482</v>
      </c>
      <c r="N115" s="34">
        <f t="shared" si="4"/>
        <v>5.676946275982378E-2</v>
      </c>
      <c r="O115" s="34"/>
      <c r="P115" s="7">
        <f t="shared" si="5"/>
        <v>-1911</v>
      </c>
      <c r="Q115" s="1004">
        <f t="shared" si="6"/>
        <v>-2.6037905522325017E-2</v>
      </c>
      <c r="R115" s="6">
        <v>391</v>
      </c>
      <c r="S115" s="6">
        <v>245</v>
      </c>
      <c r="T115" s="6">
        <v>221</v>
      </c>
      <c r="U115" s="6">
        <v>226</v>
      </c>
      <c r="V115" s="6">
        <v>244</v>
      </c>
      <c r="W115" s="6">
        <v>450</v>
      </c>
      <c r="X115" s="6">
        <v>387</v>
      </c>
      <c r="Y115" s="6">
        <v>376</v>
      </c>
      <c r="Z115" s="6">
        <v>226</v>
      </c>
      <c r="AA115" s="6">
        <v>449</v>
      </c>
      <c r="AB115" s="6">
        <v>327</v>
      </c>
      <c r="AC115" s="6">
        <v>360</v>
      </c>
      <c r="AD115" s="6">
        <f t="shared" si="7"/>
        <v>-33</v>
      </c>
      <c r="AE115" s="6" t="s">
        <v>2901</v>
      </c>
    </row>
    <row r="116" spans="1:31">
      <c r="A116" s="33" t="str">
        <f>ESSEX!A39</f>
        <v>Clacton CC</v>
      </c>
      <c r="B116" s="7">
        <f>ESSEX!D39</f>
        <v>67216</v>
      </c>
      <c r="C116" s="7">
        <f>ESSEX!E39</f>
        <v>67447</v>
      </c>
      <c r="D116" s="7">
        <f>ESSEX!F39</f>
        <v>67656</v>
      </c>
      <c r="E116" s="7">
        <f>ESSEX!G39</f>
        <v>68306</v>
      </c>
      <c r="F116" s="7">
        <f>ESSEX!H39</f>
        <v>68892</v>
      </c>
      <c r="G116" s="7">
        <f>ESSEX!I39</f>
        <v>68009</v>
      </c>
      <c r="H116" s="7">
        <f>ESSEX!J39</f>
        <v>68209</v>
      </c>
      <c r="I116" s="7">
        <f>ESSEX!K39</f>
        <v>68352</v>
      </c>
      <c r="J116" s="7">
        <f>ESSEX!L39</f>
        <v>68086</v>
      </c>
      <c r="K116" s="7">
        <f>ESSEX!M39</f>
        <v>68141</v>
      </c>
      <c r="L116" s="7">
        <f>ESSEX!N39</f>
        <v>70303</v>
      </c>
      <c r="M116" s="7">
        <f>ESSEX!O39</f>
        <v>70376</v>
      </c>
      <c r="N116" s="34">
        <f t="shared" si="4"/>
        <v>4.7012616043799096E-2</v>
      </c>
      <c r="O116" s="34"/>
      <c r="P116" s="7">
        <f t="shared" si="5"/>
        <v>-3017</v>
      </c>
      <c r="Q116" s="1004">
        <f t="shared" si="6"/>
        <v>-4.1107462564549752E-2</v>
      </c>
      <c r="R116" s="6">
        <v>406</v>
      </c>
      <c r="S116" s="6">
        <v>409</v>
      </c>
      <c r="T116" s="6">
        <v>413</v>
      </c>
      <c r="U116" s="6">
        <v>405</v>
      </c>
      <c r="V116" s="6">
        <v>373</v>
      </c>
      <c r="W116" s="6">
        <v>365</v>
      </c>
      <c r="X116" s="6">
        <v>333</v>
      </c>
      <c r="Y116" s="6">
        <v>378</v>
      </c>
      <c r="Z116" s="6">
        <v>397</v>
      </c>
      <c r="AA116" s="6">
        <v>386</v>
      </c>
      <c r="AB116" s="6">
        <v>375</v>
      </c>
      <c r="AC116" s="6">
        <v>385</v>
      </c>
      <c r="AD116" s="6">
        <f t="shared" si="7"/>
        <v>-10</v>
      </c>
      <c r="AE116" s="6" t="s">
        <v>15829</v>
      </c>
    </row>
    <row r="117" spans="1:31">
      <c r="A117" s="33" t="str">
        <f>'"HUMBERSIDE"'!A21</f>
        <v>Cleethorpes CC</v>
      </c>
      <c r="B117" s="7">
        <f>'"HUMBERSIDE"'!D23</f>
        <v>70722</v>
      </c>
      <c r="C117" s="7">
        <f>'"HUMBERSIDE"'!E23</f>
        <v>70895</v>
      </c>
      <c r="D117" s="7">
        <f>'"HUMBERSIDE"'!F23</f>
        <v>71196</v>
      </c>
      <c r="E117" s="7">
        <f>'"HUMBERSIDE"'!G23</f>
        <v>71322</v>
      </c>
      <c r="F117" s="7">
        <f>'"HUMBERSIDE"'!H23</f>
        <v>70976</v>
      </c>
      <c r="G117" s="7">
        <f>'"HUMBERSIDE"'!I23</f>
        <v>68942</v>
      </c>
      <c r="H117" s="7">
        <f>'"HUMBERSIDE"'!J23</f>
        <v>70557</v>
      </c>
      <c r="I117" s="7">
        <f>'"HUMBERSIDE"'!K23</f>
        <v>72947</v>
      </c>
      <c r="J117" s="7">
        <f>'"HUMBERSIDE"'!L23</f>
        <v>72556</v>
      </c>
      <c r="K117" s="7">
        <f>'"HUMBERSIDE"'!M23</f>
        <v>72890</v>
      </c>
      <c r="L117" s="7">
        <f>'"HUMBERSIDE"'!N23</f>
        <v>72187</v>
      </c>
      <c r="M117" s="7">
        <f>'"HUMBERSIDE"'!O23</f>
        <v>73430</v>
      </c>
      <c r="N117" s="34">
        <f t="shared" si="4"/>
        <v>3.8290772319787336E-2</v>
      </c>
      <c r="O117" s="34"/>
      <c r="P117" s="7">
        <f t="shared" si="5"/>
        <v>37</v>
      </c>
      <c r="Q117" s="1004">
        <f t="shared" si="6"/>
        <v>5.0413527175616202E-4</v>
      </c>
      <c r="R117" s="6">
        <v>303</v>
      </c>
      <c r="S117" s="6">
        <v>312</v>
      </c>
      <c r="T117" s="6">
        <v>315</v>
      </c>
      <c r="U117" s="6">
        <v>319</v>
      </c>
      <c r="V117" s="6">
        <v>314</v>
      </c>
      <c r="W117" s="6">
        <v>335</v>
      </c>
      <c r="X117" s="6">
        <v>247</v>
      </c>
      <c r="Y117" s="6">
        <v>223</v>
      </c>
      <c r="Z117" s="6">
        <v>256</v>
      </c>
      <c r="AA117" s="6">
        <v>223</v>
      </c>
      <c r="AB117" s="6">
        <v>311</v>
      </c>
      <c r="AC117" s="6">
        <v>301</v>
      </c>
      <c r="AD117" s="6">
        <f t="shared" si="7"/>
        <v>10</v>
      </c>
      <c r="AE117" s="6" t="s">
        <v>15828</v>
      </c>
    </row>
    <row r="118" spans="1:31">
      <c r="A118" s="33" t="str">
        <f>ESSEX!A41</f>
        <v>Colchester BC</v>
      </c>
      <c r="B118" s="7">
        <f>ESSEX!D41</f>
        <v>73501</v>
      </c>
      <c r="C118" s="7">
        <f>ESSEX!E41</f>
        <v>73638</v>
      </c>
      <c r="D118" s="7">
        <f>ESSEX!F41</f>
        <v>73928</v>
      </c>
      <c r="E118" s="7">
        <f>ESSEX!G41</f>
        <v>76414</v>
      </c>
      <c r="F118" s="7">
        <f>ESSEX!H41</f>
        <v>72841</v>
      </c>
      <c r="G118" s="7">
        <f>ESSEX!I41</f>
        <v>69819</v>
      </c>
      <c r="H118" s="7">
        <f>ESSEX!J41</f>
        <v>72295</v>
      </c>
      <c r="I118" s="7">
        <f>ESSEX!K41</f>
        <v>79607</v>
      </c>
      <c r="J118" s="7">
        <f>ESSEX!L41</f>
        <v>76556</v>
      </c>
      <c r="K118" s="7">
        <f>ESSEX!M41</f>
        <v>75779</v>
      </c>
      <c r="L118" s="7">
        <f>ESSEX!N41</f>
        <v>79989</v>
      </c>
      <c r="M118" s="7">
        <f>ESSEX!O41</f>
        <v>83181</v>
      </c>
      <c r="N118" s="34">
        <f t="shared" si="4"/>
        <v>0.13169888845049726</v>
      </c>
      <c r="O118" s="34"/>
      <c r="P118" s="7">
        <f t="shared" si="5"/>
        <v>9788</v>
      </c>
      <c r="Q118" s="1004">
        <f t="shared" si="6"/>
        <v>0.1333642172959274</v>
      </c>
      <c r="R118" s="6">
        <v>180</v>
      </c>
      <c r="S118" s="6">
        <v>201</v>
      </c>
      <c r="T118" s="6">
        <v>204</v>
      </c>
      <c r="U118" s="6">
        <v>151</v>
      </c>
      <c r="V118" s="6">
        <v>250</v>
      </c>
      <c r="W118" s="6">
        <v>299</v>
      </c>
      <c r="X118" s="6">
        <v>186</v>
      </c>
      <c r="Y118" s="6">
        <v>75</v>
      </c>
      <c r="Z118" s="6">
        <v>149</v>
      </c>
      <c r="AA118" s="6">
        <v>155</v>
      </c>
      <c r="AB118" s="6">
        <v>110</v>
      </c>
      <c r="AC118" s="6">
        <v>71</v>
      </c>
      <c r="AD118" s="6">
        <f t="shared" si="7"/>
        <v>39</v>
      </c>
      <c r="AE118" s="6" t="s">
        <v>15829</v>
      </c>
    </row>
    <row r="119" spans="1:31">
      <c r="A119" s="33" t="str">
        <f>'WEST YORKSHIRE'!A23</f>
        <v>Colne Valley CC</v>
      </c>
      <c r="B119" s="7">
        <f>'WEST YORKSHIRE'!D23</f>
        <v>79925</v>
      </c>
      <c r="C119" s="7">
        <f>'WEST YORKSHIRE'!E23</f>
        <v>80791</v>
      </c>
      <c r="D119" s="7">
        <f>'WEST YORKSHIRE'!F23</f>
        <v>81614</v>
      </c>
      <c r="E119" s="7">
        <f>'WEST YORKSHIRE'!G23</f>
        <v>81961</v>
      </c>
      <c r="F119" s="7">
        <f>'WEST YORKSHIRE'!H23</f>
        <v>82184</v>
      </c>
      <c r="G119" s="7">
        <f>'WEST YORKSHIRE'!I23</f>
        <v>79944</v>
      </c>
      <c r="H119" s="7">
        <f>'WEST YORKSHIRE'!J23</f>
        <v>79979</v>
      </c>
      <c r="I119" s="7">
        <f>'WEST YORKSHIRE'!K23</f>
        <v>82665</v>
      </c>
      <c r="J119" s="7">
        <f>'WEST YORKSHIRE'!L23</f>
        <v>81997</v>
      </c>
      <c r="K119" s="7">
        <f>'WEST YORKSHIRE'!M23</f>
        <v>81617</v>
      </c>
      <c r="L119" s="7">
        <f>'WEST YORKSHIRE'!N23</f>
        <v>84744</v>
      </c>
      <c r="M119" s="7">
        <f>'WEST YORKSHIRE'!O23</f>
        <v>84731</v>
      </c>
      <c r="N119" s="34">
        <f t="shared" si="4"/>
        <v>6.0131373162339692E-2</v>
      </c>
      <c r="O119" s="34"/>
      <c r="P119" s="7">
        <f t="shared" si="5"/>
        <v>11338</v>
      </c>
      <c r="Q119" s="1004">
        <f t="shared" si="6"/>
        <v>0.15448339759922608</v>
      </c>
      <c r="R119" s="6">
        <v>37</v>
      </c>
      <c r="S119" s="6">
        <v>35</v>
      </c>
      <c r="T119" s="6">
        <v>36</v>
      </c>
      <c r="U119" s="6">
        <v>36</v>
      </c>
      <c r="V119" s="6">
        <v>34</v>
      </c>
      <c r="W119" s="6">
        <v>40</v>
      </c>
      <c r="X119" s="6">
        <v>32</v>
      </c>
      <c r="Y119" s="6">
        <v>30</v>
      </c>
      <c r="Z119" s="6">
        <v>46</v>
      </c>
      <c r="AA119" s="6">
        <v>46</v>
      </c>
      <c r="AB119" s="6">
        <v>39</v>
      </c>
      <c r="AC119" s="6">
        <v>44</v>
      </c>
      <c r="AD119" s="6">
        <f t="shared" si="7"/>
        <v>-5</v>
      </c>
      <c r="AE119" s="6" t="s">
        <v>15828</v>
      </c>
    </row>
    <row r="120" spans="1:31">
      <c r="A120" s="33" t="str">
        <f>CHESHIRE!A15</f>
        <v>Congleton CC</v>
      </c>
      <c r="B120" s="7">
        <f>CHESHIRE!D15</f>
        <v>74806</v>
      </c>
      <c r="C120" s="7">
        <f>CHESHIRE!E15</f>
        <v>73820</v>
      </c>
      <c r="D120" s="7">
        <f>CHESHIRE!F15</f>
        <v>74083</v>
      </c>
      <c r="E120" s="7">
        <f>CHESHIRE!G15</f>
        <v>74031</v>
      </c>
      <c r="F120" s="7">
        <f>CHESHIRE!H15</f>
        <v>74371</v>
      </c>
      <c r="G120" s="7">
        <f>CHESHIRE!I15</f>
        <v>69960</v>
      </c>
      <c r="H120" s="7">
        <f>CHESHIRE!J15</f>
        <v>71102</v>
      </c>
      <c r="I120" s="7">
        <f>CHESHIRE!K15</f>
        <v>76465</v>
      </c>
      <c r="J120" s="7">
        <f>CHESHIRE!L15</f>
        <v>77258</v>
      </c>
      <c r="K120" s="7">
        <f>CHESHIRE!M15</f>
        <v>78421</v>
      </c>
      <c r="L120" s="7">
        <f>CHESHIRE!N15</f>
        <v>81388</v>
      </c>
      <c r="M120" s="7">
        <f>CHESHIRE!O15</f>
        <v>80874</v>
      </c>
      <c r="N120" s="34">
        <f t="shared" si="4"/>
        <v>8.1116487982247409E-2</v>
      </c>
      <c r="O120" s="34"/>
      <c r="P120" s="7">
        <f t="shared" si="5"/>
        <v>7481</v>
      </c>
      <c r="Q120" s="1004">
        <f t="shared" si="6"/>
        <v>0.10193070183804995</v>
      </c>
      <c r="R120" s="6">
        <v>156</v>
      </c>
      <c r="S120" s="6">
        <v>193</v>
      </c>
      <c r="T120" s="6">
        <v>195</v>
      </c>
      <c r="U120" s="6">
        <v>210</v>
      </c>
      <c r="V120" s="6">
        <v>187</v>
      </c>
      <c r="W120" s="6">
        <v>293</v>
      </c>
      <c r="X120" s="6">
        <v>227</v>
      </c>
      <c r="Y120" s="6">
        <v>139</v>
      </c>
      <c r="Z120" s="6">
        <v>138</v>
      </c>
      <c r="AA120" s="6">
        <v>99</v>
      </c>
      <c r="AB120" s="6">
        <v>82</v>
      </c>
      <c r="AC120" s="6">
        <v>105</v>
      </c>
      <c r="AD120" s="6">
        <f t="shared" si="7"/>
        <v>-23</v>
      </c>
      <c r="AE120" s="6" t="s">
        <v>15825</v>
      </c>
    </row>
    <row r="121" spans="1:31">
      <c r="A121" s="33" t="str">
        <f>CUMBRIA!A20</f>
        <v>Copeland CC</v>
      </c>
      <c r="B121" s="7">
        <f>CUMBRIA!D22</f>
        <v>63688</v>
      </c>
      <c r="C121" s="7">
        <f>CUMBRIA!E22</f>
        <v>63696</v>
      </c>
      <c r="D121" s="7">
        <f>CUMBRIA!F22</f>
        <v>63695</v>
      </c>
      <c r="E121" s="7">
        <f>CUMBRIA!G22</f>
        <v>63514</v>
      </c>
      <c r="F121" s="7">
        <f>CUMBRIA!H22</f>
        <v>61466</v>
      </c>
      <c r="G121" s="7">
        <f>CUMBRIA!I22</f>
        <v>61295</v>
      </c>
      <c r="H121" s="7">
        <f>CUMBRIA!J22</f>
        <v>60785</v>
      </c>
      <c r="I121" s="7">
        <f>CUMBRIA!K22</f>
        <v>60409</v>
      </c>
      <c r="J121" s="7">
        <f>CUMBRIA!L22</f>
        <v>60843</v>
      </c>
      <c r="K121" s="7">
        <f>CUMBRIA!M22</f>
        <v>60723</v>
      </c>
      <c r="L121" s="7">
        <f>CUMBRIA!N22</f>
        <v>61347</v>
      </c>
      <c r="M121" s="7">
        <f>CUMBRIA!O22</f>
        <v>61696</v>
      </c>
      <c r="N121" s="34">
        <f t="shared" si="4"/>
        <v>-3.1277477703806053E-2</v>
      </c>
      <c r="O121" s="34"/>
      <c r="P121" s="7">
        <f t="shared" si="5"/>
        <v>-11697</v>
      </c>
      <c r="Q121" s="1004">
        <f t="shared" si="6"/>
        <v>-0.15937487226302235</v>
      </c>
      <c r="R121" s="6">
        <v>490</v>
      </c>
      <c r="S121" s="6">
        <v>496</v>
      </c>
      <c r="T121" s="6">
        <v>497</v>
      </c>
      <c r="U121" s="6">
        <v>500</v>
      </c>
      <c r="V121" s="6">
        <v>512</v>
      </c>
      <c r="W121" s="6">
        <v>500</v>
      </c>
      <c r="X121" s="6">
        <v>495</v>
      </c>
      <c r="Y121" s="6">
        <v>511</v>
      </c>
      <c r="Z121" s="6">
        <v>511</v>
      </c>
      <c r="AA121" s="6">
        <v>502</v>
      </c>
      <c r="AB121" s="6">
        <v>512</v>
      </c>
      <c r="AC121" s="6">
        <v>514</v>
      </c>
      <c r="AD121" s="6">
        <f t="shared" si="7"/>
        <v>-2</v>
      </c>
      <c r="AE121" s="6" t="s">
        <v>15825</v>
      </c>
    </row>
    <row r="122" spans="1:31">
      <c r="A122" s="33" t="str">
        <f>NORTHAMPTONSHIRE!A10</f>
        <v>Corby CC</v>
      </c>
      <c r="B122" s="7">
        <f>NORTHAMPTONSHIRE!D10</f>
        <v>78275</v>
      </c>
      <c r="C122" s="7">
        <f>NORTHAMPTONSHIRE!E10</f>
        <v>79468</v>
      </c>
      <c r="D122" s="7">
        <f>NORTHAMPTONSHIRE!F10</f>
        <v>79788</v>
      </c>
      <c r="E122" s="7">
        <f>NORTHAMPTONSHIRE!G10</f>
        <v>80671</v>
      </c>
      <c r="F122" s="7">
        <f>NORTHAMPTONSHIRE!H10</f>
        <v>79573</v>
      </c>
      <c r="G122" s="7">
        <f>NORTHAMPTONSHIRE!I10</f>
        <v>79553</v>
      </c>
      <c r="H122" s="7">
        <f>NORTHAMPTONSHIRE!J10</f>
        <v>80049</v>
      </c>
      <c r="I122" s="7">
        <f>NORTHAMPTONSHIRE!K10</f>
        <v>81140</v>
      </c>
      <c r="J122" s="7">
        <f>NORTHAMPTONSHIRE!L10</f>
        <v>81941</v>
      </c>
      <c r="K122" s="7">
        <f>NORTHAMPTONSHIRE!M10</f>
        <v>82257</v>
      </c>
      <c r="L122" s="7">
        <f>NORTHAMPTONSHIRE!N10</f>
        <v>85103</v>
      </c>
      <c r="M122" s="7">
        <f>NORTHAMPTONSHIRE!O10</f>
        <v>85946</v>
      </c>
      <c r="N122" s="34">
        <f t="shared" si="4"/>
        <v>9.8000638773554777E-2</v>
      </c>
      <c r="O122" s="34"/>
      <c r="P122" s="7">
        <f t="shared" si="5"/>
        <v>12553</v>
      </c>
      <c r="Q122" s="1004">
        <f t="shared" si="6"/>
        <v>0.17103810990148924</v>
      </c>
      <c r="R122" s="6">
        <v>61</v>
      </c>
      <c r="S122" s="6">
        <v>51</v>
      </c>
      <c r="T122" s="6">
        <v>52</v>
      </c>
      <c r="U122" s="6">
        <v>46</v>
      </c>
      <c r="V122" s="6">
        <v>66</v>
      </c>
      <c r="W122" s="6">
        <v>44</v>
      </c>
      <c r="X122" s="6">
        <v>31</v>
      </c>
      <c r="Y122" s="6">
        <v>42</v>
      </c>
      <c r="Z122" s="6">
        <v>48</v>
      </c>
      <c r="AA122" s="6">
        <v>38</v>
      </c>
      <c r="AB122" s="6">
        <v>37</v>
      </c>
      <c r="AC122" s="6">
        <v>38</v>
      </c>
      <c r="AD122" s="6">
        <f t="shared" si="7"/>
        <v>-1</v>
      </c>
      <c r="AE122" s="6" t="s">
        <v>15826</v>
      </c>
    </row>
    <row r="123" spans="1:31">
      <c r="A123" s="33" t="str">
        <f>'WEST MIDLANDS'!A35</f>
        <v>Coventry North East BC</v>
      </c>
      <c r="B123" s="7">
        <f>'WEST MIDLANDS'!D35</f>
        <v>72490</v>
      </c>
      <c r="C123" s="7">
        <f>'WEST MIDLANDS'!E35</f>
        <v>74870</v>
      </c>
      <c r="D123" s="7">
        <f>'WEST MIDLANDS'!F35</f>
        <v>75971</v>
      </c>
      <c r="E123" s="7">
        <f>'WEST MIDLANDS'!G35</f>
        <v>75887</v>
      </c>
      <c r="F123" s="7">
        <f>'WEST MIDLANDS'!H35</f>
        <v>74993</v>
      </c>
      <c r="G123" s="7">
        <f>'WEST MIDLANDS'!I35</f>
        <v>75079</v>
      </c>
      <c r="H123" s="7">
        <f>'WEST MIDLANDS'!J35</f>
        <v>72135</v>
      </c>
      <c r="I123" s="7">
        <f>'WEST MIDLANDS'!K35</f>
        <v>74723</v>
      </c>
      <c r="J123" s="7">
        <f>'WEST MIDLANDS'!L35</f>
        <v>74507</v>
      </c>
      <c r="K123" s="7">
        <f>'WEST MIDLANDS'!M35</f>
        <v>73590</v>
      </c>
      <c r="L123" s="7">
        <f>'WEST MIDLANDS'!N35</f>
        <v>75349</v>
      </c>
      <c r="M123" s="7">
        <f>'WEST MIDLANDS'!O35</f>
        <v>75274</v>
      </c>
      <c r="N123" s="34">
        <f t="shared" si="4"/>
        <v>3.8405297282383774E-2</v>
      </c>
      <c r="O123" s="34"/>
      <c r="P123" s="7">
        <f t="shared" si="5"/>
        <v>1881</v>
      </c>
      <c r="Q123" s="1004">
        <f t="shared" si="6"/>
        <v>2.5629147193874074E-2</v>
      </c>
      <c r="R123" s="6">
        <v>223</v>
      </c>
      <c r="S123" s="6">
        <v>169</v>
      </c>
      <c r="T123" s="6">
        <v>157</v>
      </c>
      <c r="U123" s="6">
        <v>164</v>
      </c>
      <c r="V123" s="6">
        <v>172</v>
      </c>
      <c r="W123" s="6">
        <v>142</v>
      </c>
      <c r="X123" s="6">
        <v>192</v>
      </c>
      <c r="Y123" s="6">
        <v>169</v>
      </c>
      <c r="Z123" s="6">
        <v>195</v>
      </c>
      <c r="AA123" s="6">
        <v>203</v>
      </c>
      <c r="AB123" s="6">
        <v>216</v>
      </c>
      <c r="AC123" s="6">
        <v>232</v>
      </c>
      <c r="AD123" s="6">
        <f t="shared" si="7"/>
        <v>-16</v>
      </c>
      <c r="AE123" s="6" t="s">
        <v>15824</v>
      </c>
    </row>
    <row r="124" spans="1:31">
      <c r="A124" s="33" t="str">
        <f>'WEST MIDLANDS'!A37</f>
        <v>Coventry North West BC</v>
      </c>
      <c r="B124" s="7">
        <f>'WEST MIDLANDS'!D37</f>
        <v>73030</v>
      </c>
      <c r="C124" s="7">
        <f>'WEST MIDLANDS'!E37</f>
        <v>74180</v>
      </c>
      <c r="D124" s="7">
        <f>'WEST MIDLANDS'!F37</f>
        <v>74754</v>
      </c>
      <c r="E124" s="7">
        <f>'WEST MIDLANDS'!G37</f>
        <v>74563</v>
      </c>
      <c r="F124" s="7">
        <f>'WEST MIDLANDS'!H37</f>
        <v>72487</v>
      </c>
      <c r="G124" s="7">
        <f>'WEST MIDLANDS'!I37</f>
        <v>72485</v>
      </c>
      <c r="H124" s="7">
        <f>'WEST MIDLANDS'!J37</f>
        <v>70716</v>
      </c>
      <c r="I124" s="7">
        <f>'WEST MIDLANDS'!K37</f>
        <v>73685</v>
      </c>
      <c r="J124" s="7">
        <f>'WEST MIDLANDS'!L37</f>
        <v>73384</v>
      </c>
      <c r="K124" s="7">
        <f>'WEST MIDLANDS'!M37</f>
        <v>72470</v>
      </c>
      <c r="L124" s="7">
        <f>'WEST MIDLANDS'!N37</f>
        <v>73539</v>
      </c>
      <c r="M124" s="7">
        <f>'WEST MIDLANDS'!O37</f>
        <v>73431</v>
      </c>
      <c r="N124" s="34">
        <f t="shared" si="4"/>
        <v>5.4908941530877721E-3</v>
      </c>
      <c r="O124" s="34"/>
      <c r="P124" s="7">
        <f t="shared" si="5"/>
        <v>38</v>
      </c>
      <c r="Q124" s="1004">
        <f t="shared" si="6"/>
        <v>5.1776054937119342E-4</v>
      </c>
      <c r="R124" s="6">
        <v>198</v>
      </c>
      <c r="S124" s="6">
        <v>183</v>
      </c>
      <c r="T124" s="6">
        <v>184</v>
      </c>
      <c r="U124" s="6">
        <v>195</v>
      </c>
      <c r="V124" s="6">
        <v>261</v>
      </c>
      <c r="W124" s="6">
        <v>213</v>
      </c>
      <c r="X124" s="6">
        <v>238</v>
      </c>
      <c r="Y124" s="6">
        <v>204</v>
      </c>
      <c r="Z124" s="6">
        <v>236</v>
      </c>
      <c r="AA124" s="6">
        <v>238</v>
      </c>
      <c r="AB124" s="6">
        <v>277</v>
      </c>
      <c r="AC124" s="6">
        <v>300</v>
      </c>
      <c r="AD124" s="6">
        <f t="shared" si="7"/>
        <v>-23</v>
      </c>
      <c r="AE124" s="6" t="s">
        <v>15824</v>
      </c>
    </row>
    <row r="125" spans="1:31">
      <c r="A125" s="33" t="str">
        <f>'WEST MIDLANDS'!A39</f>
        <v>Coventry South BC</v>
      </c>
      <c r="B125" s="7">
        <f>'WEST MIDLANDS'!D39</f>
        <v>73346</v>
      </c>
      <c r="C125" s="7">
        <f>'WEST MIDLANDS'!E39</f>
        <v>75705</v>
      </c>
      <c r="D125" s="7">
        <f>'WEST MIDLANDS'!F39</f>
        <v>76571</v>
      </c>
      <c r="E125" s="7">
        <f>'WEST MIDLANDS'!G39</f>
        <v>76090</v>
      </c>
      <c r="F125" s="7">
        <f>'WEST MIDLANDS'!H39</f>
        <v>74189</v>
      </c>
      <c r="G125" s="7">
        <f>'WEST MIDLANDS'!I39</f>
        <v>67160</v>
      </c>
      <c r="H125" s="7">
        <f>'WEST MIDLANDS'!J39</f>
        <v>67180</v>
      </c>
      <c r="I125" s="7">
        <f>'WEST MIDLANDS'!K39</f>
        <v>66940</v>
      </c>
      <c r="J125" s="7">
        <f>'WEST MIDLANDS'!L39</f>
        <v>66328</v>
      </c>
      <c r="K125" s="7">
        <f>'WEST MIDLANDS'!M39</f>
        <v>65009</v>
      </c>
      <c r="L125" s="7">
        <f>'WEST MIDLANDS'!N39</f>
        <v>69159</v>
      </c>
      <c r="M125" s="7">
        <f>'WEST MIDLANDS'!O39</f>
        <v>69113</v>
      </c>
      <c r="N125" s="34">
        <f t="shared" si="4"/>
        <v>-5.7712758705314539E-2</v>
      </c>
      <c r="O125" s="34"/>
      <c r="P125" s="7">
        <f t="shared" si="5"/>
        <v>-4280</v>
      </c>
      <c r="Q125" s="1004">
        <f t="shared" si="6"/>
        <v>-5.8316188192334417E-2</v>
      </c>
      <c r="R125" s="6">
        <v>184</v>
      </c>
      <c r="S125" s="6">
        <v>146</v>
      </c>
      <c r="T125" s="6">
        <v>138</v>
      </c>
      <c r="U125" s="6">
        <v>158</v>
      </c>
      <c r="V125" s="6">
        <v>203</v>
      </c>
      <c r="W125" s="6">
        <v>389</v>
      </c>
      <c r="X125" s="6">
        <v>370</v>
      </c>
      <c r="Y125" s="6">
        <v>411</v>
      </c>
      <c r="Z125" s="6">
        <v>433</v>
      </c>
      <c r="AA125" s="6">
        <v>454</v>
      </c>
      <c r="AB125" s="6">
        <v>404</v>
      </c>
      <c r="AC125" s="6">
        <v>415</v>
      </c>
      <c r="AD125" s="6">
        <f t="shared" si="7"/>
        <v>-11</v>
      </c>
      <c r="AE125" s="6" t="s">
        <v>15824</v>
      </c>
    </row>
    <row r="126" spans="1:31">
      <c r="A126" s="33" t="str">
        <f>'WEST SUSSEX'!A25</f>
        <v>Crawley BC</v>
      </c>
      <c r="B126" s="7">
        <f>'WEST SUSSEX'!D25</f>
        <v>72024</v>
      </c>
      <c r="C126" s="7">
        <f>'WEST SUSSEX'!E25</f>
        <v>71793</v>
      </c>
      <c r="D126" s="7">
        <f>'WEST SUSSEX'!F25</f>
        <v>73935</v>
      </c>
      <c r="E126" s="7">
        <f>'WEST SUSSEX'!G25</f>
        <v>74610</v>
      </c>
      <c r="F126" s="7">
        <f>'WEST SUSSEX'!H25</f>
        <v>74369</v>
      </c>
      <c r="G126" s="7">
        <f>'WEST SUSSEX'!I25</f>
        <v>72424</v>
      </c>
      <c r="H126" s="7">
        <f>'WEST SUSSEX'!J25</f>
        <v>70578</v>
      </c>
      <c r="I126" s="7">
        <f>'WEST SUSSEX'!K25</f>
        <v>71455</v>
      </c>
      <c r="J126" s="7">
        <f>'WEST SUSSEX'!L25</f>
        <v>72499</v>
      </c>
      <c r="K126" s="7">
        <f>'WEST SUSSEX'!M25</f>
        <v>72199</v>
      </c>
      <c r="L126" s="7">
        <f>'WEST SUSSEX'!N25</f>
        <v>74712</v>
      </c>
      <c r="M126" s="7">
        <f>'WEST SUSSEX'!O25</f>
        <v>74446</v>
      </c>
      <c r="N126" s="34">
        <f t="shared" si="4"/>
        <v>3.3627679662334778E-2</v>
      </c>
      <c r="O126" s="34"/>
      <c r="P126" s="7">
        <f t="shared" si="5"/>
        <v>1053</v>
      </c>
      <c r="Q126" s="1004">
        <f t="shared" si="6"/>
        <v>1.434741732862807E-2</v>
      </c>
      <c r="R126" s="6">
        <v>240</v>
      </c>
      <c r="S126" s="6">
        <v>288</v>
      </c>
      <c r="T126" s="6">
        <v>202</v>
      </c>
      <c r="U126" s="6">
        <v>192</v>
      </c>
      <c r="V126" s="6">
        <v>188</v>
      </c>
      <c r="W126" s="6">
        <v>218</v>
      </c>
      <c r="X126" s="6">
        <v>246</v>
      </c>
      <c r="Y126" s="6">
        <v>279</v>
      </c>
      <c r="Z126" s="6">
        <v>258</v>
      </c>
      <c r="AA126" s="6">
        <v>248</v>
      </c>
      <c r="AB126" s="6">
        <v>234</v>
      </c>
      <c r="AC126" s="6">
        <v>257</v>
      </c>
      <c r="AD126" s="6">
        <f t="shared" si="7"/>
        <v>-23</v>
      </c>
      <c r="AE126" s="6" t="s">
        <v>15823</v>
      </c>
    </row>
    <row r="127" spans="1:31">
      <c r="A127" s="33" t="str">
        <f>CHESHIRE!A17</f>
        <v>Crewe and Nantwich CC</v>
      </c>
      <c r="B127" s="7">
        <f>CHESHIRE!D17</f>
        <v>78469</v>
      </c>
      <c r="C127" s="7">
        <f>CHESHIRE!E17</f>
        <v>78845</v>
      </c>
      <c r="D127" s="7">
        <f>CHESHIRE!F17</f>
        <v>78781</v>
      </c>
      <c r="E127" s="7">
        <f>CHESHIRE!G17</f>
        <v>77756</v>
      </c>
      <c r="F127" s="7">
        <f>CHESHIRE!H17</f>
        <v>76892</v>
      </c>
      <c r="G127" s="7">
        <f>CHESHIRE!I17</f>
        <v>71336</v>
      </c>
      <c r="H127" s="7">
        <f>CHESHIRE!J17</f>
        <v>72239</v>
      </c>
      <c r="I127" s="7">
        <f>CHESHIRE!K17</f>
        <v>78047</v>
      </c>
      <c r="J127" s="7">
        <f>CHESHIRE!L17</f>
        <v>78544</v>
      </c>
      <c r="K127" s="7">
        <f>CHESHIRE!M17</f>
        <v>78801</v>
      </c>
      <c r="L127" s="7">
        <f>CHESHIRE!N17</f>
        <v>80813</v>
      </c>
      <c r="M127" s="7">
        <f>CHESHIRE!O17</f>
        <v>80227</v>
      </c>
      <c r="N127" s="34">
        <f t="shared" si="4"/>
        <v>2.2403751800073913E-2</v>
      </c>
      <c r="O127" s="34"/>
      <c r="P127" s="7">
        <f t="shared" si="5"/>
        <v>6834</v>
      </c>
      <c r="Q127" s="1004">
        <f t="shared" si="6"/>
        <v>9.3115147221124628E-2</v>
      </c>
      <c r="R127" s="6">
        <v>58</v>
      </c>
      <c r="S127" s="6">
        <v>60</v>
      </c>
      <c r="T127" s="6">
        <v>72</v>
      </c>
      <c r="U127" s="6">
        <v>118</v>
      </c>
      <c r="V127" s="6">
        <v>125</v>
      </c>
      <c r="W127" s="6">
        <v>255</v>
      </c>
      <c r="X127" s="6">
        <v>187</v>
      </c>
      <c r="Y127" s="6">
        <v>107</v>
      </c>
      <c r="Z127" s="6">
        <v>107</v>
      </c>
      <c r="AA127" s="6">
        <v>91</v>
      </c>
      <c r="AB127" s="6">
        <v>96</v>
      </c>
      <c r="AC127" s="6">
        <v>125</v>
      </c>
      <c r="AD127" s="6">
        <f t="shared" si="7"/>
        <v>-29</v>
      </c>
      <c r="AE127" s="6" t="s">
        <v>15825</v>
      </c>
    </row>
    <row r="128" spans="1:31">
      <c r="A128" s="33" t="str">
        <f>CROYDON!A7</f>
        <v>Croydon Central BC</v>
      </c>
      <c r="B128" s="7">
        <f>CROYDON!D7</f>
        <v>75646</v>
      </c>
      <c r="C128" s="7">
        <f>CROYDON!E7</f>
        <v>76980</v>
      </c>
      <c r="D128" s="7">
        <f>CROYDON!F7</f>
        <v>77801</v>
      </c>
      <c r="E128" s="7">
        <f>CROYDON!G7</f>
        <v>78232</v>
      </c>
      <c r="F128" s="7">
        <f>CROYDON!H7</f>
        <v>77651</v>
      </c>
      <c r="G128" s="7">
        <f>CROYDON!I7</f>
        <v>76249</v>
      </c>
      <c r="H128" s="7">
        <f>CROYDON!J7</f>
        <v>74571</v>
      </c>
      <c r="I128" s="7">
        <f>CROYDON!K7</f>
        <v>79802</v>
      </c>
      <c r="J128" s="7">
        <f>CROYDON!L7</f>
        <v>78797</v>
      </c>
      <c r="K128" s="7">
        <f>CROYDON!M7</f>
        <v>78554</v>
      </c>
      <c r="L128" s="7">
        <f>CROYDON!N7</f>
        <v>79376</v>
      </c>
      <c r="M128" s="7">
        <f>CROYDON!O7</f>
        <v>81481</v>
      </c>
      <c r="N128" s="34">
        <f t="shared" si="4"/>
        <v>7.7135605319514577E-2</v>
      </c>
      <c r="O128" s="34"/>
      <c r="P128" s="7">
        <f t="shared" si="5"/>
        <v>8088</v>
      </c>
      <c r="Q128" s="1004">
        <f t="shared" si="6"/>
        <v>0.11020124535037401</v>
      </c>
      <c r="R128" s="6">
        <v>137</v>
      </c>
      <c r="S128" s="6">
        <v>113</v>
      </c>
      <c r="T128" s="6">
        <v>101</v>
      </c>
      <c r="U128" s="6">
        <v>102</v>
      </c>
      <c r="V128" s="6">
        <v>108</v>
      </c>
      <c r="W128" s="6">
        <v>113</v>
      </c>
      <c r="X128" s="6">
        <v>133</v>
      </c>
      <c r="Y128" s="6">
        <v>73</v>
      </c>
      <c r="Z128" s="6">
        <v>102</v>
      </c>
      <c r="AA128" s="6">
        <v>97</v>
      </c>
      <c r="AB128" s="6">
        <v>133</v>
      </c>
      <c r="AC128" s="6">
        <v>98</v>
      </c>
      <c r="AD128" s="6">
        <f t="shared" si="7"/>
        <v>35</v>
      </c>
      <c r="AE128" s="6" t="s">
        <v>15827</v>
      </c>
    </row>
    <row r="129" spans="1:31">
      <c r="A129" s="33" t="str">
        <f>CROYDON!A9</f>
        <v>Croydon North BC</v>
      </c>
      <c r="B129" s="7">
        <f>CROYDON!D9</f>
        <v>83121</v>
      </c>
      <c r="C129" s="7">
        <f>CROYDON!E9</f>
        <v>85107</v>
      </c>
      <c r="D129" s="7">
        <f>CROYDON!F9</f>
        <v>86459</v>
      </c>
      <c r="E129" s="7">
        <f>CROYDON!G9</f>
        <v>86991</v>
      </c>
      <c r="F129" s="7">
        <f>CROYDON!H9</f>
        <v>85454</v>
      </c>
      <c r="G129" s="7">
        <f>CROYDON!I9</f>
        <v>82575</v>
      </c>
      <c r="H129" s="7">
        <f>CROYDON!J9</f>
        <v>80523</v>
      </c>
      <c r="I129" s="7">
        <f>CROYDON!K9</f>
        <v>87301</v>
      </c>
      <c r="J129" s="7">
        <f>CROYDON!L9</f>
        <v>85565</v>
      </c>
      <c r="K129" s="7">
        <f>CROYDON!M9</f>
        <v>85196</v>
      </c>
      <c r="L129" s="7">
        <f>CROYDON!N9</f>
        <v>85890</v>
      </c>
      <c r="M129" s="7">
        <f>CROYDON!O9</f>
        <v>88530</v>
      </c>
      <c r="N129" s="34">
        <f t="shared" si="4"/>
        <v>6.5073808062944383E-2</v>
      </c>
      <c r="O129" s="34"/>
      <c r="P129" s="7">
        <f t="shared" si="5"/>
        <v>15137</v>
      </c>
      <c r="Q129" s="1004">
        <f t="shared" si="6"/>
        <v>0.20624582725873039</v>
      </c>
      <c r="R129" s="6">
        <v>12</v>
      </c>
      <c r="S129" s="6">
        <v>11</v>
      </c>
      <c r="T129" s="6">
        <v>9</v>
      </c>
      <c r="U129" s="6">
        <v>9</v>
      </c>
      <c r="V129" s="6">
        <v>11</v>
      </c>
      <c r="W129" s="6">
        <v>18</v>
      </c>
      <c r="X129" s="6">
        <v>26</v>
      </c>
      <c r="Y129" s="6">
        <v>9</v>
      </c>
      <c r="Z129" s="6">
        <v>14</v>
      </c>
      <c r="AA129" s="6">
        <v>16</v>
      </c>
      <c r="AB129" s="6">
        <v>28</v>
      </c>
      <c r="AC129" s="6">
        <v>22</v>
      </c>
      <c r="AD129" s="6">
        <f t="shared" si="7"/>
        <v>6</v>
      </c>
      <c r="AE129" s="6" t="s">
        <v>15827</v>
      </c>
    </row>
    <row r="130" spans="1:31">
      <c r="A130" s="33" t="str">
        <f>CROYDON!A11</f>
        <v>Croydon South BC</v>
      </c>
      <c r="B130" s="7">
        <f>CROYDON!D11</f>
        <v>80780</v>
      </c>
      <c r="C130" s="7">
        <f>CROYDON!E11</f>
        <v>81554</v>
      </c>
      <c r="D130" s="7">
        <f>CROYDON!F11</f>
        <v>81985</v>
      </c>
      <c r="E130" s="7">
        <f>CROYDON!G11</f>
        <v>82179</v>
      </c>
      <c r="F130" s="7">
        <f>CROYDON!H11</f>
        <v>81662</v>
      </c>
      <c r="G130" s="7">
        <f>CROYDON!I11</f>
        <v>80663</v>
      </c>
      <c r="H130" s="7">
        <f>CROYDON!J11</f>
        <v>79094</v>
      </c>
      <c r="I130" s="7">
        <f>CROYDON!K11</f>
        <v>84080</v>
      </c>
      <c r="J130" s="7">
        <f>CROYDON!L11</f>
        <v>82422</v>
      </c>
      <c r="K130" s="7">
        <f>CROYDON!M11</f>
        <v>81652</v>
      </c>
      <c r="L130" s="7">
        <f>CROYDON!N11</f>
        <v>82481</v>
      </c>
      <c r="M130" s="7">
        <f>CROYDON!O11</f>
        <v>84274</v>
      </c>
      <c r="N130" s="34">
        <f t="shared" si="4"/>
        <v>4.3253280514978953E-2</v>
      </c>
      <c r="O130" s="34"/>
      <c r="P130" s="7">
        <f t="shared" si="5"/>
        <v>10881</v>
      </c>
      <c r="Q130" s="1004">
        <f t="shared" si="6"/>
        <v>0.14825664572915673</v>
      </c>
      <c r="R130" s="6">
        <v>29</v>
      </c>
      <c r="S130" s="6">
        <v>29</v>
      </c>
      <c r="T130" s="6">
        <v>31</v>
      </c>
      <c r="U130" s="6">
        <v>33</v>
      </c>
      <c r="V130" s="6">
        <v>39</v>
      </c>
      <c r="W130" s="6">
        <v>33</v>
      </c>
      <c r="X130" s="6">
        <v>36</v>
      </c>
      <c r="Y130" s="6">
        <v>17</v>
      </c>
      <c r="Z130" s="6">
        <v>40</v>
      </c>
      <c r="AA130" s="6">
        <v>45</v>
      </c>
      <c r="AB130" s="6">
        <v>67</v>
      </c>
      <c r="AC130" s="6">
        <v>53</v>
      </c>
      <c r="AD130" s="6">
        <f t="shared" si="7"/>
        <v>14</v>
      </c>
      <c r="AE130" s="6" t="s">
        <v>15827</v>
      </c>
    </row>
    <row r="131" spans="1:31">
      <c r="A131" s="33" t="str">
        <f>BARKING!A9</f>
        <v>Dagenham and Rainham BC</v>
      </c>
      <c r="B131" s="7">
        <f>BARKING!D11</f>
        <v>69599</v>
      </c>
      <c r="C131" s="7">
        <f>BARKING!E11</f>
        <v>70187</v>
      </c>
      <c r="D131" s="7">
        <f>BARKING!F11</f>
        <v>70747</v>
      </c>
      <c r="E131" s="7">
        <f>BARKING!G11</f>
        <v>70777</v>
      </c>
      <c r="F131" s="7">
        <f>BARKING!H11</f>
        <v>70423</v>
      </c>
      <c r="G131" s="7">
        <f>BARKING!I11</f>
        <v>68167</v>
      </c>
      <c r="H131" s="7">
        <f>BARKING!J11</f>
        <v>67555</v>
      </c>
      <c r="I131" s="7">
        <f>BARKING!K11</f>
        <v>68841</v>
      </c>
      <c r="J131" s="7">
        <f>BARKING!L11</f>
        <v>69758</v>
      </c>
      <c r="K131" s="7">
        <f>BARKING!M11</f>
        <v>70580</v>
      </c>
      <c r="L131" s="7">
        <f>BARKING!N11</f>
        <v>70021</v>
      </c>
      <c r="M131" s="7">
        <f>BARKING!O11</f>
        <v>71409</v>
      </c>
      <c r="N131" s="34">
        <f t="shared" si="4"/>
        <v>2.6006120777597379E-2</v>
      </c>
      <c r="O131" s="34"/>
      <c r="P131" s="7">
        <f t="shared" si="5"/>
        <v>-1984</v>
      </c>
      <c r="Q131" s="1004">
        <f t="shared" si="6"/>
        <v>-2.7032550788222309E-2</v>
      </c>
      <c r="R131" s="6">
        <v>331</v>
      </c>
      <c r="S131" s="6">
        <v>333</v>
      </c>
      <c r="T131" s="6">
        <v>326</v>
      </c>
      <c r="U131" s="6">
        <v>332</v>
      </c>
      <c r="V131" s="6">
        <v>334</v>
      </c>
      <c r="W131" s="6">
        <v>361</v>
      </c>
      <c r="X131" s="6">
        <v>357</v>
      </c>
      <c r="Y131" s="6">
        <v>367</v>
      </c>
      <c r="Z131" s="6">
        <v>364</v>
      </c>
      <c r="AA131" s="6">
        <v>304</v>
      </c>
      <c r="AB131" s="6">
        <v>388</v>
      </c>
      <c r="AC131" s="6">
        <v>362</v>
      </c>
      <c r="AD131" s="6">
        <f t="shared" si="7"/>
        <v>26</v>
      </c>
      <c r="AE131" s="6" t="s">
        <v>15827</v>
      </c>
    </row>
    <row r="132" spans="1:31">
      <c r="A132" s="33" t="str">
        <f>DURHAM!A15</f>
        <v>Darlington BC</v>
      </c>
      <c r="B132" s="7">
        <f>DURHAM!D15</f>
        <v>68508</v>
      </c>
      <c r="C132" s="7">
        <f>DURHAM!E15</f>
        <v>67476</v>
      </c>
      <c r="D132" s="7">
        <f>DURHAM!F15</f>
        <v>67928</v>
      </c>
      <c r="E132" s="7">
        <f>DURHAM!G15</f>
        <v>67998</v>
      </c>
      <c r="F132" s="7">
        <f>DURHAM!H15</f>
        <v>67273</v>
      </c>
      <c r="G132" s="7">
        <f>DURHAM!I15</f>
        <v>65769</v>
      </c>
      <c r="H132" s="7">
        <f>DURHAM!J15</f>
        <v>63995</v>
      </c>
      <c r="I132" s="7">
        <f>DURHAM!K15</f>
        <v>65342</v>
      </c>
      <c r="J132" s="7">
        <f>DURHAM!L15</f>
        <v>66193</v>
      </c>
      <c r="K132" s="7">
        <f>DURHAM!M15</f>
        <v>65286</v>
      </c>
      <c r="L132" s="7">
        <f>DURHAM!N15</f>
        <v>65969</v>
      </c>
      <c r="M132" s="7">
        <f>DURHAM!O15</f>
        <v>66729</v>
      </c>
      <c r="N132" s="34">
        <f t="shared" ref="N132:N195" si="8">(M132-B132)/B132</f>
        <v>-2.5967770187423366E-2</v>
      </c>
      <c r="O132" s="34"/>
      <c r="P132" s="7">
        <f t="shared" ref="P132:P195" si="9">M132-$M$544</f>
        <v>-6664</v>
      </c>
      <c r="Q132" s="1004">
        <f t="shared" ref="Q132:Q195" si="10">(M132-$M$544)/$M$544</f>
        <v>-9.0798850026569289E-2</v>
      </c>
      <c r="R132" s="6">
        <v>367</v>
      </c>
      <c r="S132" s="6">
        <v>407</v>
      </c>
      <c r="T132" s="6">
        <v>403</v>
      </c>
      <c r="U132" s="6">
        <v>414</v>
      </c>
      <c r="V132" s="6">
        <v>419</v>
      </c>
      <c r="W132" s="6">
        <v>418</v>
      </c>
      <c r="X132" s="6">
        <v>441</v>
      </c>
      <c r="Y132" s="6">
        <v>444</v>
      </c>
      <c r="Z132" s="6">
        <v>435</v>
      </c>
      <c r="AA132" s="6">
        <v>447</v>
      </c>
      <c r="AB132" s="6">
        <v>458</v>
      </c>
      <c r="AC132" s="6">
        <v>457</v>
      </c>
      <c r="AD132" s="6">
        <f t="shared" ref="AD132:AD195" si="11">AB132-AC132</f>
        <v>1</v>
      </c>
      <c r="AE132" s="6" t="s">
        <v>2901</v>
      </c>
    </row>
    <row r="133" spans="1:31">
      <c r="A133" s="33" t="str">
        <f>KENT!A32</f>
        <v>Dartford CC</v>
      </c>
      <c r="B133" s="7">
        <f>KENT!D34</f>
        <v>75085</v>
      </c>
      <c r="C133" s="7">
        <f>KENT!E34</f>
        <v>74756</v>
      </c>
      <c r="D133" s="7">
        <f>KENT!F34</f>
        <v>75366</v>
      </c>
      <c r="E133" s="7">
        <f>KENT!G34</f>
        <v>75686</v>
      </c>
      <c r="F133" s="7">
        <f>KENT!H34</f>
        <v>76164</v>
      </c>
      <c r="G133" s="7">
        <f>KENT!I34</f>
        <v>75265</v>
      </c>
      <c r="H133" s="7">
        <f>KENT!J34</f>
        <v>76911</v>
      </c>
      <c r="I133" s="7">
        <f>KENT!K34</f>
        <v>78086</v>
      </c>
      <c r="J133" s="7">
        <f>KENT!L34</f>
        <v>79107</v>
      </c>
      <c r="K133" s="7">
        <f>KENT!M34</f>
        <v>80824</v>
      </c>
      <c r="L133" s="7">
        <f>KENT!N34</f>
        <v>80970</v>
      </c>
      <c r="M133" s="7">
        <f>KENT!O34</f>
        <v>83021</v>
      </c>
      <c r="N133" s="34">
        <f t="shared" si="8"/>
        <v>0.10569354731304521</v>
      </c>
      <c r="O133" s="34"/>
      <c r="P133" s="7">
        <f t="shared" si="9"/>
        <v>9628</v>
      </c>
      <c r="Q133" s="1004">
        <f t="shared" si="10"/>
        <v>0.13118417287752238</v>
      </c>
      <c r="R133" s="6">
        <v>145</v>
      </c>
      <c r="S133" s="6">
        <v>173</v>
      </c>
      <c r="T133" s="6">
        <v>170</v>
      </c>
      <c r="U133" s="6">
        <v>169</v>
      </c>
      <c r="V133" s="6">
        <v>145</v>
      </c>
      <c r="W133" s="6">
        <v>137</v>
      </c>
      <c r="X133" s="6">
        <v>81</v>
      </c>
      <c r="Y133" s="6">
        <v>106</v>
      </c>
      <c r="Z133" s="6">
        <v>94</v>
      </c>
      <c r="AA133" s="6">
        <v>56</v>
      </c>
      <c r="AB133" s="6">
        <v>90</v>
      </c>
      <c r="AC133" s="6">
        <v>73</v>
      </c>
      <c r="AD133" s="6">
        <f t="shared" si="11"/>
        <v>17</v>
      </c>
      <c r="AE133" s="6" t="s">
        <v>15823</v>
      </c>
    </row>
    <row r="134" spans="1:31">
      <c r="A134" s="33" t="str">
        <f>NORTHAMPTONSHIRE!A12</f>
        <v>Daventry CC</v>
      </c>
      <c r="B134" s="7">
        <f>NORTHAMPTONSHIRE!D14</f>
        <v>71636</v>
      </c>
      <c r="C134" s="7">
        <f>NORTHAMPTONSHIRE!E14</f>
        <v>71903</v>
      </c>
      <c r="D134" s="7">
        <f>NORTHAMPTONSHIRE!F14</f>
        <v>72809</v>
      </c>
      <c r="E134" s="7">
        <f>NORTHAMPTONSHIRE!G14</f>
        <v>73343</v>
      </c>
      <c r="F134" s="7">
        <f>NORTHAMPTONSHIRE!H14</f>
        <v>72128</v>
      </c>
      <c r="G134" s="7">
        <f>NORTHAMPTONSHIRE!I14</f>
        <v>71929</v>
      </c>
      <c r="H134" s="7">
        <f>NORTHAMPTONSHIRE!J14</f>
        <v>71479</v>
      </c>
      <c r="I134" s="7">
        <f>NORTHAMPTONSHIRE!K14</f>
        <v>74289</v>
      </c>
      <c r="J134" s="7">
        <f>NORTHAMPTONSHIRE!L14</f>
        <v>74674</v>
      </c>
      <c r="K134" s="7">
        <f>NORTHAMPTONSHIRE!M14</f>
        <v>75331</v>
      </c>
      <c r="L134" s="7">
        <f>NORTHAMPTONSHIRE!N14</f>
        <v>78083</v>
      </c>
      <c r="M134" s="7">
        <f>NORTHAMPTONSHIRE!O14</f>
        <v>77997</v>
      </c>
      <c r="N134" s="34">
        <f t="shared" si="8"/>
        <v>8.8796136020995037E-2</v>
      </c>
      <c r="O134" s="34"/>
      <c r="P134" s="7">
        <f t="shared" si="9"/>
        <v>4604</v>
      </c>
      <c r="Q134" s="1004">
        <f t="shared" si="10"/>
        <v>6.2730778139604593E-2</v>
      </c>
      <c r="R134" s="6">
        <v>267</v>
      </c>
      <c r="S134" s="6">
        <v>280</v>
      </c>
      <c r="T134" s="6">
        <v>256</v>
      </c>
      <c r="U134" s="6">
        <v>244</v>
      </c>
      <c r="V134" s="6">
        <v>284</v>
      </c>
      <c r="W134" s="6">
        <v>235</v>
      </c>
      <c r="X134" s="6">
        <v>215</v>
      </c>
      <c r="Y134" s="6">
        <v>189</v>
      </c>
      <c r="Z134" s="6">
        <v>188</v>
      </c>
      <c r="AA134" s="6">
        <v>164</v>
      </c>
      <c r="AB134" s="6">
        <v>157</v>
      </c>
      <c r="AC134" s="6">
        <v>172</v>
      </c>
      <c r="AD134" s="6">
        <f t="shared" si="11"/>
        <v>-15</v>
      </c>
      <c r="AE134" s="6" t="s">
        <v>15826</v>
      </c>
    </row>
    <row r="135" spans="1:31">
      <c r="A135" s="33" t="str">
        <f>'GREATER MANCHESTER'!A43</f>
        <v>Denton and Reddish BC</v>
      </c>
      <c r="B135" s="7">
        <f>'GREATER MANCHESTER'!D45</f>
        <v>64839</v>
      </c>
      <c r="C135" s="7">
        <f>'GREATER MANCHESTER'!E45</f>
        <v>65684</v>
      </c>
      <c r="D135" s="7">
        <f>'GREATER MANCHESTER'!F45</f>
        <v>65583</v>
      </c>
      <c r="E135" s="7">
        <f>'GREATER MANCHESTER'!G45</f>
        <v>65445</v>
      </c>
      <c r="F135" s="7">
        <f>'GREATER MANCHESTER'!H45</f>
        <v>66027</v>
      </c>
      <c r="G135" s="7">
        <f>'GREATER MANCHESTER'!I45</f>
        <v>65524</v>
      </c>
      <c r="H135" s="7">
        <f>'GREATER MANCHESTER'!J45</f>
        <v>63868</v>
      </c>
      <c r="I135" s="7">
        <f>'GREATER MANCHESTER'!K45</f>
        <v>65367</v>
      </c>
      <c r="J135" s="7">
        <f>'GREATER MANCHESTER'!L45</f>
        <v>65533</v>
      </c>
      <c r="K135" s="7">
        <f>'GREATER MANCHESTER'!M45</f>
        <v>65493</v>
      </c>
      <c r="L135" s="7">
        <f>'GREATER MANCHESTER'!N45</f>
        <v>66979</v>
      </c>
      <c r="M135" s="7">
        <f>'GREATER MANCHESTER'!O45</f>
        <v>66470</v>
      </c>
      <c r="N135" s="34">
        <f t="shared" si="8"/>
        <v>2.515461373556039E-2</v>
      </c>
      <c r="O135" s="34"/>
      <c r="P135" s="7">
        <f t="shared" si="9"/>
        <v>-6923</v>
      </c>
      <c r="Q135" s="1004">
        <f t="shared" si="10"/>
        <v>-9.4327796928862423E-2</v>
      </c>
      <c r="R135" s="6">
        <v>466</v>
      </c>
      <c r="S135" s="6">
        <v>461</v>
      </c>
      <c r="T135" s="6">
        <v>463</v>
      </c>
      <c r="U135" s="6">
        <v>479</v>
      </c>
      <c r="V135" s="6">
        <v>449</v>
      </c>
      <c r="W135" s="6">
        <v>423</v>
      </c>
      <c r="X135" s="6">
        <v>449</v>
      </c>
      <c r="Y135" s="6">
        <v>443</v>
      </c>
      <c r="Z135" s="6">
        <v>449</v>
      </c>
      <c r="AA135" s="6">
        <v>438</v>
      </c>
      <c r="AB135" s="6">
        <v>442</v>
      </c>
      <c r="AC135" s="6">
        <v>460</v>
      </c>
      <c r="AD135" s="6">
        <f t="shared" si="11"/>
        <v>-18</v>
      </c>
      <c r="AE135" s="6" t="s">
        <v>15825</v>
      </c>
    </row>
    <row r="136" spans="1:31">
      <c r="A136" s="33" t="str">
        <f>DERBYSHIRE!A32</f>
        <v>Derby North BC</v>
      </c>
      <c r="B136" s="7">
        <f>DERBYSHIRE!D32</f>
        <v>71370</v>
      </c>
      <c r="C136" s="7">
        <f>DERBYSHIRE!E32</f>
        <v>72617</v>
      </c>
      <c r="D136" s="7">
        <f>DERBYSHIRE!F32</f>
        <v>73662</v>
      </c>
      <c r="E136" s="7">
        <f>DERBYSHIRE!G32</f>
        <v>72881</v>
      </c>
      <c r="F136" s="7">
        <f>DERBYSHIRE!H32</f>
        <v>72234</v>
      </c>
      <c r="G136" s="7">
        <f>DERBYSHIRE!I32</f>
        <v>68294</v>
      </c>
      <c r="H136" s="7">
        <f>DERBYSHIRE!J32</f>
        <v>69670</v>
      </c>
      <c r="I136" s="7">
        <f>DERBYSHIRE!K32</f>
        <v>68999</v>
      </c>
      <c r="J136" s="7">
        <f>DERBYSHIRE!L32</f>
        <v>68526</v>
      </c>
      <c r="K136" s="7">
        <f>DERBYSHIRE!M32</f>
        <v>68403</v>
      </c>
      <c r="L136" s="7">
        <f>DERBYSHIRE!N32</f>
        <v>72192</v>
      </c>
      <c r="M136" s="7">
        <f>DERBYSHIRE!O32</f>
        <v>71876</v>
      </c>
      <c r="N136" s="34">
        <f t="shared" si="8"/>
        <v>7.0898136471906964E-3</v>
      </c>
      <c r="O136" s="34"/>
      <c r="P136" s="7">
        <f t="shared" si="9"/>
        <v>-1517</v>
      </c>
      <c r="Q136" s="1004">
        <f t="shared" si="10"/>
        <v>-2.0669546142002643E-2</v>
      </c>
      <c r="R136" s="6">
        <v>275</v>
      </c>
      <c r="S136" s="6">
        <v>248</v>
      </c>
      <c r="T136" s="6">
        <v>216</v>
      </c>
      <c r="U136" s="6">
        <v>267</v>
      </c>
      <c r="V136" s="6">
        <v>278</v>
      </c>
      <c r="W136" s="6">
        <v>356</v>
      </c>
      <c r="X136" s="6">
        <v>289</v>
      </c>
      <c r="Y136" s="6">
        <v>365</v>
      </c>
      <c r="Z136" s="6">
        <v>386</v>
      </c>
      <c r="AA136" s="6">
        <v>384</v>
      </c>
      <c r="AB136" s="6">
        <v>309</v>
      </c>
      <c r="AC136" s="6">
        <v>351</v>
      </c>
      <c r="AD136" s="6">
        <f t="shared" si="11"/>
        <v>-42</v>
      </c>
      <c r="AE136" s="6" t="s">
        <v>15826</v>
      </c>
    </row>
    <row r="137" spans="1:31">
      <c r="A137" s="33" t="str">
        <f>DERBYSHIRE!A34</f>
        <v>Derby South BC</v>
      </c>
      <c r="B137" s="7">
        <f>DERBYSHIRE!D34</f>
        <v>71110</v>
      </c>
      <c r="C137" s="7">
        <f>DERBYSHIRE!E34</f>
        <v>72048</v>
      </c>
      <c r="D137" s="7">
        <f>DERBYSHIRE!F34</f>
        <v>72701</v>
      </c>
      <c r="E137" s="7">
        <f>DERBYSHIRE!G34</f>
        <v>72854</v>
      </c>
      <c r="F137" s="7">
        <f>DERBYSHIRE!H34</f>
        <v>71773</v>
      </c>
      <c r="G137" s="7">
        <f>DERBYSHIRE!I34</f>
        <v>68358</v>
      </c>
      <c r="H137" s="7">
        <f>DERBYSHIRE!J34</f>
        <v>69735</v>
      </c>
      <c r="I137" s="7">
        <f>DERBYSHIRE!K34</f>
        <v>69300</v>
      </c>
      <c r="J137" s="7">
        <f>DERBYSHIRE!L34</f>
        <v>69244</v>
      </c>
      <c r="K137" s="7">
        <f>DERBYSHIRE!M34</f>
        <v>69620</v>
      </c>
      <c r="L137" s="7">
        <f>DERBYSHIRE!N34</f>
        <v>72698</v>
      </c>
      <c r="M137" s="7">
        <f>DERBYSHIRE!O34</f>
        <v>72067</v>
      </c>
      <c r="N137" s="34">
        <f t="shared" si="8"/>
        <v>1.3458022781605962E-2</v>
      </c>
      <c r="O137" s="34"/>
      <c r="P137" s="7">
        <f t="shared" si="9"/>
        <v>-1326</v>
      </c>
      <c r="Q137" s="1004">
        <f t="shared" si="10"/>
        <v>-1.8067118117531644E-2</v>
      </c>
      <c r="R137" s="6">
        <v>287</v>
      </c>
      <c r="S137" s="6">
        <v>268</v>
      </c>
      <c r="T137" s="6">
        <v>261</v>
      </c>
      <c r="U137" s="6">
        <v>269</v>
      </c>
      <c r="V137" s="6">
        <v>293</v>
      </c>
      <c r="W137" s="6">
        <v>354</v>
      </c>
      <c r="X137" s="6">
        <v>280</v>
      </c>
      <c r="Y137" s="6">
        <v>356</v>
      </c>
      <c r="Z137" s="6">
        <v>374</v>
      </c>
      <c r="AA137" s="6">
        <v>344</v>
      </c>
      <c r="AB137" s="6">
        <v>297</v>
      </c>
      <c r="AC137" s="6">
        <v>346</v>
      </c>
      <c r="AD137" s="6">
        <f t="shared" si="11"/>
        <v>-49</v>
      </c>
      <c r="AE137" s="6" t="s">
        <v>15826</v>
      </c>
    </row>
    <row r="138" spans="1:31">
      <c r="A138" s="33" t="str">
        <f>DERBYSHIRE!A28</f>
        <v>Derbyshire Dales CC</v>
      </c>
      <c r="B138" s="7">
        <f>DERBYSHIRE!D30</f>
        <v>63972</v>
      </c>
      <c r="C138" s="7">
        <f>DERBYSHIRE!E30</f>
        <v>63732</v>
      </c>
      <c r="D138" s="7">
        <f>DERBYSHIRE!F30</f>
        <v>63904</v>
      </c>
      <c r="E138" s="7">
        <f>DERBYSHIRE!G30</f>
        <v>64105</v>
      </c>
      <c r="F138" s="7">
        <f>DERBYSHIRE!H30</f>
        <v>63617</v>
      </c>
      <c r="G138" s="7">
        <f>DERBYSHIRE!I30</f>
        <v>62779</v>
      </c>
      <c r="H138" s="7">
        <f>DERBYSHIRE!J30</f>
        <v>60909</v>
      </c>
      <c r="I138" s="7">
        <f>DERBYSHIRE!K30</f>
        <v>63105</v>
      </c>
      <c r="J138" s="7">
        <f>DERBYSHIRE!L30</f>
        <v>63972</v>
      </c>
      <c r="K138" s="7">
        <f>DERBYSHIRE!M30</f>
        <v>64035</v>
      </c>
      <c r="L138" s="7">
        <f>DERBYSHIRE!N30</f>
        <v>65339</v>
      </c>
      <c r="M138" s="7">
        <f>DERBYSHIRE!O30</f>
        <v>65240</v>
      </c>
      <c r="N138" s="34">
        <f t="shared" si="8"/>
        <v>1.9821171762646157E-2</v>
      </c>
      <c r="O138" s="34"/>
      <c r="P138" s="7">
        <f t="shared" si="9"/>
        <v>-8153</v>
      </c>
      <c r="Q138" s="1004">
        <f t="shared" si="10"/>
        <v>-0.11108688839535105</v>
      </c>
      <c r="R138" s="6">
        <v>484</v>
      </c>
      <c r="S138" s="6">
        <v>495</v>
      </c>
      <c r="T138" s="6">
        <v>493</v>
      </c>
      <c r="U138" s="6">
        <v>497</v>
      </c>
      <c r="V138" s="6">
        <v>492</v>
      </c>
      <c r="W138" s="6">
        <v>484</v>
      </c>
      <c r="X138" s="6">
        <v>492</v>
      </c>
      <c r="Y138" s="6">
        <v>482</v>
      </c>
      <c r="Z138" s="6">
        <v>479</v>
      </c>
      <c r="AA138" s="6">
        <v>467</v>
      </c>
      <c r="AB138" s="6">
        <v>469</v>
      </c>
      <c r="AC138" s="6">
        <v>478</v>
      </c>
      <c r="AD138" s="6">
        <f t="shared" si="11"/>
        <v>-9</v>
      </c>
      <c r="AE138" s="6" t="s">
        <v>15826</v>
      </c>
    </row>
    <row r="139" spans="1:31">
      <c r="A139" s="33" t="str">
        <f>WILTSHIRE!A9</f>
        <v>Devizes CC</v>
      </c>
      <c r="B139" s="7">
        <f>WILTSHIRE!D9</f>
        <v>66972</v>
      </c>
      <c r="C139" s="7">
        <f>WILTSHIRE!E9</f>
        <v>68846</v>
      </c>
      <c r="D139" s="7">
        <f>WILTSHIRE!F9</f>
        <v>68569</v>
      </c>
      <c r="E139" s="7">
        <f>WILTSHIRE!G9</f>
        <v>68795</v>
      </c>
      <c r="F139" s="7">
        <f>WILTSHIRE!H9</f>
        <v>68473</v>
      </c>
      <c r="G139" s="7">
        <f>WILTSHIRE!I9</f>
        <v>66399</v>
      </c>
      <c r="H139" s="7">
        <f>WILTSHIRE!J9</f>
        <v>67301</v>
      </c>
      <c r="I139" s="7">
        <f>WILTSHIRE!K9</f>
        <v>69598</v>
      </c>
      <c r="J139" s="7">
        <f>WILTSHIRE!L9</f>
        <v>70199</v>
      </c>
      <c r="K139" s="7">
        <f>WILTSHIRE!M9</f>
        <v>69682</v>
      </c>
      <c r="L139" s="7">
        <f>WILTSHIRE!N9</f>
        <v>73893</v>
      </c>
      <c r="M139" s="7">
        <f>WILTSHIRE!O9</f>
        <v>73734</v>
      </c>
      <c r="N139" s="34">
        <f t="shared" si="8"/>
        <v>0.10096756853610464</v>
      </c>
      <c r="O139" s="34"/>
      <c r="P139" s="7">
        <f t="shared" si="9"/>
        <v>341</v>
      </c>
      <c r="Q139" s="1004">
        <f t="shared" si="10"/>
        <v>4.6462196667257094E-3</v>
      </c>
      <c r="R139" s="6">
        <v>412</v>
      </c>
      <c r="S139" s="6">
        <v>372</v>
      </c>
      <c r="T139" s="6">
        <v>384</v>
      </c>
      <c r="U139" s="6">
        <v>393</v>
      </c>
      <c r="V139" s="6">
        <v>387</v>
      </c>
      <c r="W139" s="6">
        <v>408</v>
      </c>
      <c r="X139" s="6">
        <v>365</v>
      </c>
      <c r="Y139" s="6">
        <v>348</v>
      </c>
      <c r="Z139" s="6">
        <v>348</v>
      </c>
      <c r="AA139" s="6">
        <v>343</v>
      </c>
      <c r="AB139" s="6">
        <v>264</v>
      </c>
      <c r="AC139" s="6">
        <v>287</v>
      </c>
      <c r="AD139" s="6">
        <f t="shared" si="11"/>
        <v>-23</v>
      </c>
      <c r="AE139" s="6" t="s">
        <v>15830</v>
      </c>
    </row>
    <row r="140" spans="1:31">
      <c r="A140" s="33" t="str">
        <f>'WEST YORKSHIRE'!A25</f>
        <v>Dewsbury CC</v>
      </c>
      <c r="B140" s="7">
        <f>'WEST YORKSHIRE'!D25</f>
        <v>78610</v>
      </c>
      <c r="C140" s="7">
        <f>'WEST YORKSHIRE'!E25</f>
        <v>79634</v>
      </c>
      <c r="D140" s="7">
        <f>'WEST YORKSHIRE'!F25</f>
        <v>80344</v>
      </c>
      <c r="E140" s="7">
        <f>'WEST YORKSHIRE'!G25</f>
        <v>80999</v>
      </c>
      <c r="F140" s="7">
        <f>'WEST YORKSHIRE'!H25</f>
        <v>80820</v>
      </c>
      <c r="G140" s="7">
        <f>'WEST YORKSHIRE'!I25</f>
        <v>77525</v>
      </c>
      <c r="H140" s="7">
        <f>'WEST YORKSHIRE'!J25</f>
        <v>77065</v>
      </c>
      <c r="I140" s="7">
        <f>'WEST YORKSHIRE'!K25</f>
        <v>80018</v>
      </c>
      <c r="J140" s="7">
        <f>'WEST YORKSHIRE'!L25</f>
        <v>79219</v>
      </c>
      <c r="K140" s="7">
        <f>'WEST YORKSHIRE'!M25</f>
        <v>78813</v>
      </c>
      <c r="L140" s="7">
        <f>'WEST YORKSHIRE'!N25</f>
        <v>81912</v>
      </c>
      <c r="M140" s="7">
        <f>'WEST YORKSHIRE'!O25</f>
        <v>82003</v>
      </c>
      <c r="N140" s="34">
        <f t="shared" si="8"/>
        <v>4.3162447525760081E-2</v>
      </c>
      <c r="O140" s="34"/>
      <c r="P140" s="7">
        <f t="shared" si="9"/>
        <v>8610</v>
      </c>
      <c r="Q140" s="1004">
        <f t="shared" si="10"/>
        <v>0.1173136402654204</v>
      </c>
      <c r="R140" s="6">
        <v>52</v>
      </c>
      <c r="S140" s="6">
        <v>47</v>
      </c>
      <c r="T140" s="6">
        <v>43</v>
      </c>
      <c r="U140" s="6">
        <v>43</v>
      </c>
      <c r="V140" s="6">
        <v>43</v>
      </c>
      <c r="W140" s="6">
        <v>82</v>
      </c>
      <c r="X140" s="6">
        <v>76</v>
      </c>
      <c r="Y140" s="6">
        <v>66</v>
      </c>
      <c r="Z140" s="6">
        <v>91</v>
      </c>
      <c r="AA140" s="6">
        <v>90</v>
      </c>
      <c r="AB140" s="6">
        <v>74</v>
      </c>
      <c r="AC140" s="6">
        <v>90</v>
      </c>
      <c r="AD140" s="6">
        <f t="shared" si="11"/>
        <v>-16</v>
      </c>
      <c r="AE140" s="6" t="s">
        <v>15828</v>
      </c>
    </row>
    <row r="141" spans="1:31">
      <c r="A141" s="33" t="str">
        <f>'SOUTH YORKSHIRE'!A20</f>
        <v>Don Valley CC</v>
      </c>
      <c r="B141" s="7">
        <f>'SOUTH YORKSHIRE'!D20</f>
        <v>72880</v>
      </c>
      <c r="C141" s="7">
        <f>'SOUTH YORKSHIRE'!E20</f>
        <v>73674</v>
      </c>
      <c r="D141" s="7">
        <f>'SOUTH YORKSHIRE'!F20</f>
        <v>73675</v>
      </c>
      <c r="E141" s="7">
        <f>'SOUTH YORKSHIRE'!G20</f>
        <v>74087</v>
      </c>
      <c r="F141" s="7">
        <f>'SOUTH YORKSHIRE'!H20</f>
        <v>72985</v>
      </c>
      <c r="G141" s="7">
        <f>'SOUTH YORKSHIRE'!I20</f>
        <v>68872</v>
      </c>
      <c r="H141" s="7">
        <f>'SOUTH YORKSHIRE'!J20</f>
        <v>70730</v>
      </c>
      <c r="I141" s="7">
        <f>'SOUTH YORKSHIRE'!K20</f>
        <v>72897</v>
      </c>
      <c r="J141" s="7">
        <f>'SOUTH YORKSHIRE'!L20</f>
        <v>74203</v>
      </c>
      <c r="K141" s="7">
        <f>'SOUTH YORKSHIRE'!M20</f>
        <v>73649</v>
      </c>
      <c r="L141" s="7">
        <f>'SOUTH YORKSHIRE'!N20</f>
        <v>74456</v>
      </c>
      <c r="M141" s="7">
        <f>'SOUTH YORKSHIRE'!O20</f>
        <v>75425</v>
      </c>
      <c r="N141" s="34">
        <f t="shared" si="8"/>
        <v>3.4920417124039517E-2</v>
      </c>
      <c r="O141" s="34"/>
      <c r="P141" s="7">
        <f t="shared" si="9"/>
        <v>2032</v>
      </c>
      <c r="Q141" s="1004">
        <f t="shared" si="10"/>
        <v>2.7686564113743817E-2</v>
      </c>
      <c r="R141" s="6">
        <v>202</v>
      </c>
      <c r="S141" s="6">
        <v>199</v>
      </c>
      <c r="T141" s="6">
        <v>214</v>
      </c>
      <c r="U141" s="6">
        <v>207</v>
      </c>
      <c r="V141" s="6">
        <v>247</v>
      </c>
      <c r="W141" s="6">
        <v>336</v>
      </c>
      <c r="X141" s="6">
        <v>237</v>
      </c>
      <c r="Y141" s="6">
        <v>225</v>
      </c>
      <c r="Z141" s="6">
        <v>205</v>
      </c>
      <c r="AA141" s="6">
        <v>198</v>
      </c>
      <c r="AB141" s="6">
        <v>241</v>
      </c>
      <c r="AC141" s="6">
        <v>228</v>
      </c>
      <c r="AD141" s="6">
        <f t="shared" si="11"/>
        <v>13</v>
      </c>
      <c r="AE141" s="6" t="s">
        <v>15828</v>
      </c>
    </row>
    <row r="142" spans="1:31">
      <c r="A142" s="33" t="str">
        <f>'SOUTH YORKSHIRE'!A16</f>
        <v>Doncaster Central BC</v>
      </c>
      <c r="B142" s="7">
        <f>'SOUTH YORKSHIRE'!D16</f>
        <v>73189</v>
      </c>
      <c r="C142" s="7">
        <f>'SOUTH YORKSHIRE'!E16</f>
        <v>73874</v>
      </c>
      <c r="D142" s="7">
        <f>'SOUTH YORKSHIRE'!F16</f>
        <v>73730</v>
      </c>
      <c r="E142" s="7">
        <f>'SOUTH YORKSHIRE'!G16</f>
        <v>73808</v>
      </c>
      <c r="F142" s="7">
        <f>'SOUTH YORKSHIRE'!H16</f>
        <v>71866</v>
      </c>
      <c r="G142" s="7">
        <f>'SOUTH YORKSHIRE'!I16</f>
        <v>68829</v>
      </c>
      <c r="H142" s="7">
        <f>'SOUTH YORKSHIRE'!J16</f>
        <v>70200</v>
      </c>
      <c r="I142" s="7">
        <f>'SOUTH YORKSHIRE'!K16</f>
        <v>70778</v>
      </c>
      <c r="J142" s="7">
        <f>'SOUTH YORKSHIRE'!L16</f>
        <v>72242</v>
      </c>
      <c r="K142" s="7">
        <f>'SOUTH YORKSHIRE'!M16</f>
        <v>70552</v>
      </c>
      <c r="L142" s="7">
        <f>'SOUTH YORKSHIRE'!N16</f>
        <v>70446</v>
      </c>
      <c r="M142" s="7">
        <f>'SOUTH YORKSHIRE'!O16</f>
        <v>71229</v>
      </c>
      <c r="N142" s="34">
        <f t="shared" si="8"/>
        <v>-2.6779980598177322E-2</v>
      </c>
      <c r="O142" s="34"/>
      <c r="P142" s="7">
        <f t="shared" si="9"/>
        <v>-2164</v>
      </c>
      <c r="Q142" s="1004">
        <f t="shared" si="10"/>
        <v>-2.9485100758927962E-2</v>
      </c>
      <c r="R142" s="6">
        <v>191</v>
      </c>
      <c r="S142" s="6">
        <v>191</v>
      </c>
      <c r="T142" s="6">
        <v>211</v>
      </c>
      <c r="U142" s="6">
        <v>219</v>
      </c>
      <c r="V142" s="6">
        <v>289</v>
      </c>
      <c r="W142" s="6">
        <v>339</v>
      </c>
      <c r="X142" s="6">
        <v>264</v>
      </c>
      <c r="Y142" s="6">
        <v>307</v>
      </c>
      <c r="Z142" s="6">
        <v>267</v>
      </c>
      <c r="AA142" s="6">
        <v>308</v>
      </c>
      <c r="AB142" s="6">
        <v>367</v>
      </c>
      <c r="AC142" s="6">
        <v>365</v>
      </c>
      <c r="AD142" s="6">
        <f t="shared" si="11"/>
        <v>2</v>
      </c>
      <c r="AE142" s="6" t="s">
        <v>15828</v>
      </c>
    </row>
    <row r="143" spans="1:31">
      <c r="A143" s="33" t="str">
        <f>'SOUTH YORKSHIRE'!A18</f>
        <v>Doncaster North CC</v>
      </c>
      <c r="B143" s="7">
        <f>'SOUTH YORKSHIRE'!D18</f>
        <v>72040</v>
      </c>
      <c r="C143" s="7">
        <f>'SOUTH YORKSHIRE'!E18</f>
        <v>72855</v>
      </c>
      <c r="D143" s="7">
        <f>'SOUTH YORKSHIRE'!F18</f>
        <v>73234</v>
      </c>
      <c r="E143" s="7">
        <f>'SOUTH YORKSHIRE'!G18</f>
        <v>74073</v>
      </c>
      <c r="F143" s="7">
        <f>'SOUTH YORKSHIRE'!H18</f>
        <v>72375</v>
      </c>
      <c r="G143" s="7">
        <f>'SOUTH YORKSHIRE'!I18</f>
        <v>68608</v>
      </c>
      <c r="H143" s="7">
        <f>'SOUTH YORKSHIRE'!J18</f>
        <v>70337</v>
      </c>
      <c r="I143" s="7">
        <f>'SOUTH YORKSHIRE'!K18</f>
        <v>71430</v>
      </c>
      <c r="J143" s="7">
        <f>'SOUTH YORKSHIRE'!L18</f>
        <v>72613</v>
      </c>
      <c r="K143" s="7">
        <f>'SOUTH YORKSHIRE'!M18</f>
        <v>71202</v>
      </c>
      <c r="L143" s="7">
        <f>'SOUTH YORKSHIRE'!N18</f>
        <v>71348</v>
      </c>
      <c r="M143" s="7">
        <f>'SOUTH YORKSHIRE'!O18</f>
        <v>72354</v>
      </c>
      <c r="N143" s="34">
        <f t="shared" si="8"/>
        <v>4.3586896168795117E-3</v>
      </c>
      <c r="O143" s="34"/>
      <c r="P143" s="7">
        <f t="shared" si="9"/>
        <v>-1039</v>
      </c>
      <c r="Q143" s="1004">
        <f t="shared" si="10"/>
        <v>-1.4156663442017631E-2</v>
      </c>
      <c r="R143" s="6">
        <v>239</v>
      </c>
      <c r="S143" s="6">
        <v>235</v>
      </c>
      <c r="T143" s="6">
        <v>235</v>
      </c>
      <c r="U143" s="6">
        <v>208</v>
      </c>
      <c r="V143" s="6">
        <v>268</v>
      </c>
      <c r="W143" s="6">
        <v>348</v>
      </c>
      <c r="X143" s="6">
        <v>256</v>
      </c>
      <c r="Y143" s="6">
        <v>280</v>
      </c>
      <c r="Z143" s="6">
        <v>254</v>
      </c>
      <c r="AA143" s="6">
        <v>279</v>
      </c>
      <c r="AB143" s="6">
        <v>336</v>
      </c>
      <c r="AC143" s="6">
        <v>337</v>
      </c>
      <c r="AD143" s="6">
        <f t="shared" si="11"/>
        <v>-1</v>
      </c>
      <c r="AE143" s="6" t="s">
        <v>15828</v>
      </c>
    </row>
    <row r="144" spans="1:31">
      <c r="A144" s="33" t="str">
        <f>KENT!A36</f>
        <v>Dover CC</v>
      </c>
      <c r="B144" s="7">
        <f>KENT!D36</f>
        <v>71535</v>
      </c>
      <c r="C144" s="7">
        <f>KENT!E36</f>
        <v>71993</v>
      </c>
      <c r="D144" s="7">
        <f>KENT!F36</f>
        <v>72490</v>
      </c>
      <c r="E144" s="7">
        <f>KENT!G36</f>
        <v>72898</v>
      </c>
      <c r="F144" s="7">
        <f>KENT!H36</f>
        <v>73248</v>
      </c>
      <c r="G144" s="7">
        <f>KENT!I36</f>
        <v>72478</v>
      </c>
      <c r="H144" s="7">
        <f>KENT!J36</f>
        <v>72940</v>
      </c>
      <c r="I144" s="7">
        <f>KENT!K36</f>
        <v>74600</v>
      </c>
      <c r="J144" s="7">
        <f>KENT!L36</f>
        <v>74304</v>
      </c>
      <c r="K144" s="7">
        <f>KENT!M36</f>
        <v>73570</v>
      </c>
      <c r="L144" s="7">
        <f>KENT!N36</f>
        <v>75978</v>
      </c>
      <c r="M144" s="7">
        <f>KENT!O36</f>
        <v>75230</v>
      </c>
      <c r="N144" s="34">
        <f t="shared" si="8"/>
        <v>5.165303697490739E-2</v>
      </c>
      <c r="O144" s="34"/>
      <c r="P144" s="7">
        <f t="shared" si="9"/>
        <v>1837</v>
      </c>
      <c r="Q144" s="1004">
        <f t="shared" si="10"/>
        <v>2.5029634978812693E-2</v>
      </c>
      <c r="R144" s="6">
        <v>271</v>
      </c>
      <c r="S144" s="6">
        <v>272</v>
      </c>
      <c r="T144" s="6">
        <v>270</v>
      </c>
      <c r="U144" s="6">
        <v>265</v>
      </c>
      <c r="V144" s="6">
        <v>236</v>
      </c>
      <c r="W144" s="6">
        <v>215</v>
      </c>
      <c r="X144" s="6">
        <v>165</v>
      </c>
      <c r="Y144" s="6">
        <v>174</v>
      </c>
      <c r="Z144" s="6">
        <v>202</v>
      </c>
      <c r="AA144" s="6">
        <v>204</v>
      </c>
      <c r="AB144" s="6">
        <v>205</v>
      </c>
      <c r="AC144" s="6">
        <v>233</v>
      </c>
      <c r="AD144" s="6">
        <f t="shared" si="11"/>
        <v>-28</v>
      </c>
      <c r="AE144" s="6" t="s">
        <v>15823</v>
      </c>
    </row>
    <row r="145" spans="1:31">
      <c r="A145" s="33" t="str">
        <f>'WEST MIDLANDS'!A41</f>
        <v>Dudley North BC</v>
      </c>
      <c r="B145" s="7">
        <f>'WEST MIDLANDS'!D41</f>
        <v>60977</v>
      </c>
      <c r="C145" s="7">
        <f>'WEST MIDLANDS'!E41</f>
        <v>61714</v>
      </c>
      <c r="D145" s="7">
        <f>'WEST MIDLANDS'!F41</f>
        <v>61978</v>
      </c>
      <c r="E145" s="7">
        <f>'WEST MIDLANDS'!G41</f>
        <v>62137</v>
      </c>
      <c r="F145" s="7">
        <f>'WEST MIDLANDS'!H41</f>
        <v>60485</v>
      </c>
      <c r="G145" s="7">
        <f>'WEST MIDLANDS'!I41</f>
        <v>60462</v>
      </c>
      <c r="H145" s="7">
        <f>'WEST MIDLANDS'!J41</f>
        <v>61054</v>
      </c>
      <c r="I145" s="7">
        <f>'WEST MIDLANDS'!K41</f>
        <v>61719</v>
      </c>
      <c r="J145" s="7">
        <f>'WEST MIDLANDS'!L41</f>
        <v>60966</v>
      </c>
      <c r="K145" s="7">
        <f>'WEST MIDLANDS'!M41</f>
        <v>60543</v>
      </c>
      <c r="L145" s="7">
        <f>'WEST MIDLANDS'!N41</f>
        <v>62321</v>
      </c>
      <c r="M145" s="7">
        <f>'WEST MIDLANDS'!O41</f>
        <v>61333</v>
      </c>
      <c r="N145" s="34">
        <f t="shared" si="8"/>
        <v>5.8382668875149642E-3</v>
      </c>
      <c r="O145" s="34"/>
      <c r="P145" s="7">
        <f t="shared" si="9"/>
        <v>-12060</v>
      </c>
      <c r="Q145" s="1004">
        <f t="shared" si="10"/>
        <v>-0.16432084803727875</v>
      </c>
      <c r="R145" s="6">
        <v>519</v>
      </c>
      <c r="S145" s="6">
        <v>519</v>
      </c>
      <c r="T145" s="6">
        <v>515</v>
      </c>
      <c r="U145" s="6">
        <v>515</v>
      </c>
      <c r="V145" s="6">
        <v>520</v>
      </c>
      <c r="W145" s="6">
        <v>505</v>
      </c>
      <c r="X145" s="6">
        <v>490</v>
      </c>
      <c r="Y145" s="6">
        <v>501</v>
      </c>
      <c r="Z145" s="6">
        <v>509</v>
      </c>
      <c r="AA145" s="6">
        <v>503</v>
      </c>
      <c r="AB145" s="6">
        <v>506</v>
      </c>
      <c r="AC145" s="6">
        <v>519</v>
      </c>
      <c r="AD145" s="6">
        <f t="shared" si="11"/>
        <v>-13</v>
      </c>
      <c r="AE145" s="6" t="s">
        <v>15824</v>
      </c>
    </row>
    <row r="146" spans="1:31">
      <c r="A146" s="33" t="str">
        <f>'WEST MIDLANDS'!A43</f>
        <v>Dudley South BC</v>
      </c>
      <c r="B146" s="7">
        <f>'WEST MIDLANDS'!D43</f>
        <v>60887</v>
      </c>
      <c r="C146" s="7">
        <f>'WEST MIDLANDS'!E43</f>
        <v>61308</v>
      </c>
      <c r="D146" s="7">
        <f>'WEST MIDLANDS'!F43</f>
        <v>61506</v>
      </c>
      <c r="E146" s="7">
        <f>'WEST MIDLANDS'!G43</f>
        <v>61805</v>
      </c>
      <c r="F146" s="7">
        <f>'WEST MIDLANDS'!H43</f>
        <v>60171</v>
      </c>
      <c r="G146" s="7">
        <f>'WEST MIDLANDS'!I43</f>
        <v>60187</v>
      </c>
      <c r="H146" s="7">
        <f>'WEST MIDLANDS'!J43</f>
        <v>60284</v>
      </c>
      <c r="I146" s="7">
        <f>'WEST MIDLANDS'!K43</f>
        <v>60957</v>
      </c>
      <c r="J146" s="7">
        <f>'WEST MIDLANDS'!L43</f>
        <v>60491</v>
      </c>
      <c r="K146" s="7">
        <f>'WEST MIDLANDS'!M43</f>
        <v>60456</v>
      </c>
      <c r="L146" s="7">
        <f>'WEST MIDLANDS'!N43</f>
        <v>61083</v>
      </c>
      <c r="M146" s="7">
        <f>'WEST MIDLANDS'!O43</f>
        <v>60301</v>
      </c>
      <c r="N146" s="34">
        <f t="shared" si="8"/>
        <v>-9.6243861579647545E-3</v>
      </c>
      <c r="O146" s="34"/>
      <c r="P146" s="7">
        <f t="shared" si="9"/>
        <v>-13092</v>
      </c>
      <c r="Q146" s="1004">
        <f t="shared" si="10"/>
        <v>-0.17838213453599117</v>
      </c>
      <c r="R146" s="6">
        <v>521</v>
      </c>
      <c r="S146" s="6">
        <v>521</v>
      </c>
      <c r="T146" s="6">
        <v>523</v>
      </c>
      <c r="U146" s="6">
        <v>520</v>
      </c>
      <c r="V146" s="6">
        <v>524</v>
      </c>
      <c r="W146" s="6">
        <v>508</v>
      </c>
      <c r="X146" s="6">
        <v>502</v>
      </c>
      <c r="Y146" s="6">
        <v>508</v>
      </c>
      <c r="Z146" s="6">
        <v>517</v>
      </c>
      <c r="AA146" s="6">
        <v>505</v>
      </c>
      <c r="AB146" s="6">
        <v>515</v>
      </c>
      <c r="AC146" s="6">
        <v>523</v>
      </c>
      <c r="AD146" s="6">
        <f t="shared" si="11"/>
        <v>-8</v>
      </c>
      <c r="AE146" s="6" t="s">
        <v>15824</v>
      </c>
    </row>
    <row r="147" spans="1:31">
      <c r="A147" s="33" t="str">
        <f>LAMBETH!A7</f>
        <v>Dulwich and West Norwood BC</v>
      </c>
      <c r="B147" s="7">
        <f>LAMBETH!D9</f>
        <v>70786</v>
      </c>
      <c r="C147" s="7">
        <f>LAMBETH!E9</f>
        <v>71523</v>
      </c>
      <c r="D147" s="7">
        <f>LAMBETH!F9</f>
        <v>71916</v>
      </c>
      <c r="E147" s="7">
        <f>LAMBETH!G9</f>
        <v>71892</v>
      </c>
      <c r="F147" s="7">
        <f>LAMBETH!H9</f>
        <v>72530</v>
      </c>
      <c r="G147" s="7">
        <f>LAMBETH!I9</f>
        <v>72243</v>
      </c>
      <c r="H147" s="7">
        <f>LAMBETH!J9</f>
        <v>72576</v>
      </c>
      <c r="I147" s="7">
        <f>LAMBETH!K9</f>
        <v>73771</v>
      </c>
      <c r="J147" s="7">
        <f>LAMBETH!L9</f>
        <v>74864</v>
      </c>
      <c r="K147" s="7">
        <f>LAMBETH!M9</f>
        <v>73866</v>
      </c>
      <c r="L147" s="7">
        <f>LAMBETH!N9</f>
        <v>80181</v>
      </c>
      <c r="M147" s="7">
        <f>LAMBETH!O9</f>
        <v>79631</v>
      </c>
      <c r="N147" s="34">
        <f t="shared" si="8"/>
        <v>0.12495408696634928</v>
      </c>
      <c r="O147" s="34"/>
      <c r="P147" s="7">
        <f t="shared" si="9"/>
        <v>6238</v>
      </c>
      <c r="Q147" s="1004">
        <f t="shared" si="10"/>
        <v>8.499448176256591E-2</v>
      </c>
      <c r="R147" s="6">
        <v>302</v>
      </c>
      <c r="S147" s="6">
        <v>297</v>
      </c>
      <c r="T147" s="6">
        <v>296</v>
      </c>
      <c r="U147" s="6">
        <v>304</v>
      </c>
      <c r="V147" s="6">
        <v>259</v>
      </c>
      <c r="W147" s="6">
        <v>223</v>
      </c>
      <c r="X147" s="6">
        <v>177</v>
      </c>
      <c r="Y147" s="6">
        <v>201</v>
      </c>
      <c r="Z147" s="6">
        <v>182</v>
      </c>
      <c r="AA147" s="6">
        <v>192</v>
      </c>
      <c r="AB147" s="6">
        <v>105</v>
      </c>
      <c r="AC147" s="6">
        <v>137</v>
      </c>
      <c r="AD147" s="6">
        <f t="shared" si="11"/>
        <v>-32</v>
      </c>
      <c r="AE147" s="6" t="s">
        <v>15827</v>
      </c>
    </row>
    <row r="148" spans="1:31">
      <c r="A148" s="33" t="str">
        <f>EALING!A7</f>
        <v>Ealing Central and Acton BC</v>
      </c>
      <c r="B148" s="7">
        <f>EALING!D7</f>
        <v>69149</v>
      </c>
      <c r="C148" s="7">
        <f>EALING!E7</f>
        <v>69828</v>
      </c>
      <c r="D148" s="7">
        <f>EALING!F7</f>
        <v>70415</v>
      </c>
      <c r="E148" s="7">
        <f>EALING!G7</f>
        <v>70103</v>
      </c>
      <c r="F148" s="7">
        <f>EALING!H7</f>
        <v>71035</v>
      </c>
      <c r="G148" s="7">
        <f>EALING!I7</f>
        <v>68374</v>
      </c>
      <c r="H148" s="7">
        <f>EALING!J7</f>
        <v>70798</v>
      </c>
      <c r="I148" s="7">
        <f>EALING!K7</f>
        <v>70582</v>
      </c>
      <c r="J148" s="7">
        <f>EALING!L7</f>
        <v>68779</v>
      </c>
      <c r="K148" s="7">
        <f>EALING!M7</f>
        <v>68521</v>
      </c>
      <c r="L148" s="7">
        <f>EALING!N7</f>
        <v>70947</v>
      </c>
      <c r="M148" s="7">
        <f>EALING!O7</f>
        <v>74683</v>
      </c>
      <c r="N148" s="34">
        <f t="shared" si="8"/>
        <v>8.0030079972233867E-2</v>
      </c>
      <c r="O148" s="34"/>
      <c r="P148" s="7">
        <f t="shared" si="9"/>
        <v>1290</v>
      </c>
      <c r="Q148" s="1004">
        <f t="shared" si="10"/>
        <v>1.7576608123390514E-2</v>
      </c>
      <c r="R148" s="6">
        <v>345</v>
      </c>
      <c r="S148" s="6">
        <v>345</v>
      </c>
      <c r="T148" s="6">
        <v>335</v>
      </c>
      <c r="U148" s="6">
        <v>351</v>
      </c>
      <c r="V148" s="36">
        <v>311</v>
      </c>
      <c r="W148" s="6">
        <v>353</v>
      </c>
      <c r="X148" s="6">
        <v>235</v>
      </c>
      <c r="Y148" s="36">
        <v>311</v>
      </c>
      <c r="Z148" s="6">
        <v>380</v>
      </c>
      <c r="AA148" s="6">
        <v>380</v>
      </c>
      <c r="AB148" s="6">
        <v>355</v>
      </c>
      <c r="AC148" s="6">
        <v>249</v>
      </c>
      <c r="AD148" s="6">
        <f t="shared" si="11"/>
        <v>106</v>
      </c>
      <c r="AE148" s="6" t="s">
        <v>15827</v>
      </c>
    </row>
    <row r="149" spans="1:31">
      <c r="A149" s="33" t="str">
        <f>EALING!A9</f>
        <v>Ealing North BC</v>
      </c>
      <c r="B149" s="7">
        <f>EALING!D9</f>
        <v>72876</v>
      </c>
      <c r="C149" s="7">
        <f>EALING!E9</f>
        <v>73105</v>
      </c>
      <c r="D149" s="7">
        <f>EALING!F9</f>
        <v>73596</v>
      </c>
      <c r="E149" s="7">
        <f>EALING!G9</f>
        <v>72748</v>
      </c>
      <c r="F149" s="7">
        <f>EALING!H9</f>
        <v>73566</v>
      </c>
      <c r="G149" s="7">
        <f>EALING!I9</f>
        <v>72537</v>
      </c>
      <c r="H149" s="7">
        <f>EALING!J9</f>
        <v>73703</v>
      </c>
      <c r="I149" s="7">
        <f>EALING!K9</f>
        <v>72972</v>
      </c>
      <c r="J149" s="7">
        <f>EALING!L9</f>
        <v>71599</v>
      </c>
      <c r="K149" s="7">
        <f>EALING!M9</f>
        <v>71867</v>
      </c>
      <c r="L149" s="7">
        <f>EALING!N9</f>
        <v>72820</v>
      </c>
      <c r="M149" s="7">
        <f>EALING!O9</f>
        <v>74389</v>
      </c>
      <c r="N149" s="34">
        <f t="shared" si="8"/>
        <v>2.0761293155497008E-2</v>
      </c>
      <c r="O149" s="34"/>
      <c r="P149" s="7">
        <f t="shared" si="9"/>
        <v>996</v>
      </c>
      <c r="Q149" s="1004">
        <f t="shared" si="10"/>
        <v>1.357077650457128E-2</v>
      </c>
      <c r="R149" s="6">
        <v>204</v>
      </c>
      <c r="S149" s="6">
        <v>221</v>
      </c>
      <c r="T149" s="6">
        <v>219</v>
      </c>
      <c r="U149" s="6">
        <v>276</v>
      </c>
      <c r="V149" s="6">
        <v>227</v>
      </c>
      <c r="W149" s="6">
        <v>209</v>
      </c>
      <c r="X149" s="6">
        <v>149</v>
      </c>
      <c r="Y149" s="6">
        <v>220</v>
      </c>
      <c r="Z149" s="6">
        <v>293</v>
      </c>
      <c r="AA149" s="6">
        <v>256</v>
      </c>
      <c r="AB149" s="6">
        <v>294</v>
      </c>
      <c r="AC149" s="6">
        <v>260</v>
      </c>
      <c r="AD149" s="6">
        <f t="shared" si="11"/>
        <v>34</v>
      </c>
      <c r="AE149" s="6" t="s">
        <v>15827</v>
      </c>
    </row>
    <row r="150" spans="1:31">
      <c r="A150" s="33" t="str">
        <f>EALING!A11</f>
        <v>Ealing, Southall BC</v>
      </c>
      <c r="B150" s="7">
        <f>EALING!D11</f>
        <v>64253</v>
      </c>
      <c r="C150" s="7">
        <f>EALING!E11</f>
        <v>65768</v>
      </c>
      <c r="D150" s="7">
        <f>EALING!F11</f>
        <v>65819</v>
      </c>
      <c r="E150" s="7">
        <f>EALING!G11</f>
        <v>65562</v>
      </c>
      <c r="F150" s="7">
        <f>EALING!H11</f>
        <v>65609</v>
      </c>
      <c r="G150" s="7">
        <f>EALING!I11</f>
        <v>64266</v>
      </c>
      <c r="H150" s="7">
        <f>EALING!J11</f>
        <v>64475</v>
      </c>
      <c r="I150" s="7">
        <f>EALING!K11</f>
        <v>63282</v>
      </c>
      <c r="J150" s="7">
        <f>EALING!L11</f>
        <v>61752</v>
      </c>
      <c r="K150" s="7">
        <f>EALING!M11</f>
        <v>61946</v>
      </c>
      <c r="L150" s="7">
        <f>EALING!N11</f>
        <v>62816</v>
      </c>
      <c r="M150" s="7">
        <f>EALING!O11</f>
        <v>64221</v>
      </c>
      <c r="N150" s="34">
        <f t="shared" si="8"/>
        <v>-4.9803122033212452E-4</v>
      </c>
      <c r="O150" s="34"/>
      <c r="P150" s="7">
        <f t="shared" si="9"/>
        <v>-9172</v>
      </c>
      <c r="Q150" s="1004">
        <f t="shared" si="10"/>
        <v>-0.12497104628506805</v>
      </c>
      <c r="R150" s="6">
        <v>480</v>
      </c>
      <c r="S150" s="6">
        <v>459</v>
      </c>
      <c r="T150" s="6">
        <v>459</v>
      </c>
      <c r="U150" s="6">
        <v>476</v>
      </c>
      <c r="V150" s="6">
        <v>458</v>
      </c>
      <c r="W150" s="6">
        <v>455</v>
      </c>
      <c r="X150" s="6">
        <v>432</v>
      </c>
      <c r="Y150" s="6">
        <v>480</v>
      </c>
      <c r="Z150" s="6">
        <v>504</v>
      </c>
      <c r="AA150" s="6">
        <v>492</v>
      </c>
      <c r="AB150" s="6">
        <v>500</v>
      </c>
      <c r="AC150" s="6">
        <v>494</v>
      </c>
      <c r="AD150" s="6">
        <f t="shared" si="11"/>
        <v>6</v>
      </c>
      <c r="AE150" s="6" t="s">
        <v>15827</v>
      </c>
    </row>
    <row r="151" spans="1:31">
      <c r="A151" s="33" t="str">
        <f>DURHAM!A17</f>
        <v>Easington CC</v>
      </c>
      <c r="B151" s="7">
        <f>DURHAM!D17</f>
        <v>63387</v>
      </c>
      <c r="C151" s="7">
        <f>DURHAM!E17</f>
        <v>65618</v>
      </c>
      <c r="D151" s="7">
        <f>DURHAM!F17</f>
        <v>66096</v>
      </c>
      <c r="E151" s="7">
        <f>DURHAM!G17</f>
        <v>66164</v>
      </c>
      <c r="F151" s="7">
        <f>DURHAM!H17</f>
        <v>64884</v>
      </c>
      <c r="G151" s="7">
        <f>DURHAM!I17</f>
        <v>60820</v>
      </c>
      <c r="H151" s="7">
        <f>DURHAM!J17</f>
        <v>60833</v>
      </c>
      <c r="I151" s="7">
        <f>DURHAM!K17</f>
        <v>61870</v>
      </c>
      <c r="J151" s="7">
        <f>DURHAM!L17</f>
        <v>61851</v>
      </c>
      <c r="K151" s="7">
        <f>DURHAM!M17</f>
        <v>60895</v>
      </c>
      <c r="L151" s="7">
        <f>DURHAM!N17</f>
        <v>61535</v>
      </c>
      <c r="M151" s="7">
        <f>DURHAM!O17</f>
        <v>61335</v>
      </c>
      <c r="N151" s="34">
        <f t="shared" si="8"/>
        <v>-3.2372568507738182E-2</v>
      </c>
      <c r="O151" s="34"/>
      <c r="P151" s="7">
        <f t="shared" si="9"/>
        <v>-12058</v>
      </c>
      <c r="Q151" s="1004">
        <f t="shared" si="10"/>
        <v>-0.16429359748204869</v>
      </c>
      <c r="R151" s="6">
        <v>496</v>
      </c>
      <c r="S151" s="6">
        <v>462</v>
      </c>
      <c r="T151" s="6">
        <v>453</v>
      </c>
      <c r="U151" s="6">
        <v>459</v>
      </c>
      <c r="V151" s="6">
        <v>472</v>
      </c>
      <c r="W151" s="6">
        <v>503</v>
      </c>
      <c r="X151" s="6">
        <v>494</v>
      </c>
      <c r="Y151" s="6">
        <v>500</v>
      </c>
      <c r="Z151" s="6">
        <v>501</v>
      </c>
      <c r="AA151" s="6">
        <v>501</v>
      </c>
      <c r="AB151" s="6">
        <v>511</v>
      </c>
      <c r="AC151" s="6">
        <v>518</v>
      </c>
      <c r="AD151" s="6">
        <f t="shared" si="11"/>
        <v>-7</v>
      </c>
      <c r="AE151" s="6" t="s">
        <v>2901</v>
      </c>
    </row>
    <row r="152" spans="1:31">
      <c r="A152" s="33" t="str">
        <f>DEVON!A29</f>
        <v>East Devon CC</v>
      </c>
      <c r="B152" s="7">
        <f>DEVON!D31</f>
        <v>72754</v>
      </c>
      <c r="C152" s="7">
        <f>DEVON!E31</f>
        <v>72406</v>
      </c>
      <c r="D152" s="7">
        <f>DEVON!F31</f>
        <v>72806</v>
      </c>
      <c r="E152" s="7">
        <f>DEVON!G31</f>
        <v>72971</v>
      </c>
      <c r="F152" s="7">
        <f>DEVON!H31</f>
        <v>69334</v>
      </c>
      <c r="G152" s="7">
        <f>DEVON!I31</f>
        <v>72703</v>
      </c>
      <c r="H152" s="7">
        <f>DEVON!J31</f>
        <v>76406</v>
      </c>
      <c r="I152" s="7">
        <f>DEVON!K31</f>
        <v>80359</v>
      </c>
      <c r="J152" s="7">
        <f>DEVON!L31</f>
        <v>81950</v>
      </c>
      <c r="K152" s="7">
        <f>DEVON!M31</f>
        <v>84195</v>
      </c>
      <c r="L152" s="7">
        <f>DEVON!N31</f>
        <v>86097</v>
      </c>
      <c r="M152" s="7">
        <f>DEVON!O31</f>
        <v>86803</v>
      </c>
      <c r="N152" s="34">
        <f t="shared" si="8"/>
        <v>0.19310278472661296</v>
      </c>
      <c r="O152" s="34"/>
      <c r="P152" s="7">
        <f t="shared" si="9"/>
        <v>13410</v>
      </c>
      <c r="Q152" s="1004">
        <f t="shared" si="10"/>
        <v>0.18271497281757115</v>
      </c>
      <c r="R152" s="6">
        <v>210</v>
      </c>
      <c r="S152" s="6">
        <v>255</v>
      </c>
      <c r="T152" s="6">
        <v>258</v>
      </c>
      <c r="U152" s="6">
        <v>255</v>
      </c>
      <c r="V152" s="6">
        <v>361</v>
      </c>
      <c r="W152" s="6">
        <v>200</v>
      </c>
      <c r="X152" s="6">
        <v>89</v>
      </c>
      <c r="Y152" s="6">
        <v>62</v>
      </c>
      <c r="Z152" s="6">
        <v>47</v>
      </c>
      <c r="AA152" s="6">
        <v>19</v>
      </c>
      <c r="AB152" s="6">
        <v>26</v>
      </c>
      <c r="AC152" s="6">
        <v>29</v>
      </c>
      <c r="AD152" s="6">
        <f t="shared" si="11"/>
        <v>-3</v>
      </c>
      <c r="AE152" s="6" t="s">
        <v>15830</v>
      </c>
    </row>
    <row r="153" spans="1:31">
      <c r="A153" s="33" t="str">
        <f>NEWHAM!A7</f>
        <v>East Ham BC</v>
      </c>
      <c r="B153" s="7">
        <f>NEWHAM!D7</f>
        <v>87809</v>
      </c>
      <c r="C153" s="7">
        <f>NEWHAM!E7</f>
        <v>91531</v>
      </c>
      <c r="D153" s="7">
        <f>NEWHAM!F7</f>
        <v>92126</v>
      </c>
      <c r="E153" s="7">
        <f>NEWHAM!G7</f>
        <v>91194</v>
      </c>
      <c r="F153" s="7">
        <f>NEWHAM!H7</f>
        <v>84108</v>
      </c>
      <c r="G153" s="7">
        <f>NEWHAM!I7</f>
        <v>82616</v>
      </c>
      <c r="H153" s="7">
        <f>NEWHAM!J7</f>
        <v>82810</v>
      </c>
      <c r="I153" s="7">
        <f>NEWHAM!K7</f>
        <v>84377</v>
      </c>
      <c r="J153" s="7">
        <f>NEWHAM!L7</f>
        <v>82302</v>
      </c>
      <c r="K153" s="7">
        <f>NEWHAM!M7</f>
        <v>81899</v>
      </c>
      <c r="L153" s="7">
        <f>NEWHAM!N7</f>
        <v>85365</v>
      </c>
      <c r="M153" s="7">
        <f>NEWHAM!O7</f>
        <v>88324</v>
      </c>
      <c r="N153" s="34">
        <f t="shared" si="8"/>
        <v>5.8650024484961675E-3</v>
      </c>
      <c r="O153" s="34"/>
      <c r="P153" s="7">
        <f t="shared" si="9"/>
        <v>14931</v>
      </c>
      <c r="Q153" s="1004">
        <f t="shared" si="10"/>
        <v>0.20343902007003392</v>
      </c>
      <c r="R153" s="6">
        <v>2</v>
      </c>
      <c r="S153" s="6">
        <v>2</v>
      </c>
      <c r="T153" s="6">
        <v>2</v>
      </c>
      <c r="U153" s="6">
        <v>3</v>
      </c>
      <c r="V153" s="6">
        <v>19</v>
      </c>
      <c r="W153" s="6">
        <v>17</v>
      </c>
      <c r="X153" s="6">
        <v>13</v>
      </c>
      <c r="Y153" s="6">
        <v>16</v>
      </c>
      <c r="Z153" s="6">
        <v>42</v>
      </c>
      <c r="AA153" s="6">
        <v>41</v>
      </c>
      <c r="AB153" s="6">
        <v>33</v>
      </c>
      <c r="AC153" s="6">
        <v>23</v>
      </c>
      <c r="AD153" s="6">
        <f t="shared" si="11"/>
        <v>10</v>
      </c>
      <c r="AE153" s="6" t="s">
        <v>15827</v>
      </c>
    </row>
    <row r="154" spans="1:31">
      <c r="A154" s="33" t="str">
        <f>HAMPSHIRE!A29</f>
        <v>East Hampshire CC</v>
      </c>
      <c r="B154" s="7">
        <f>HAMPSHIRE!D29</f>
        <v>71779</v>
      </c>
      <c r="C154" s="7">
        <f>HAMPSHIRE!E29</f>
        <v>72648</v>
      </c>
      <c r="D154" s="7">
        <f>HAMPSHIRE!F29</f>
        <v>72833</v>
      </c>
      <c r="E154" s="7">
        <f>HAMPSHIRE!G29</f>
        <v>72951</v>
      </c>
      <c r="F154" s="7">
        <f>HAMPSHIRE!H29</f>
        <v>71145</v>
      </c>
      <c r="G154" s="7">
        <f>HAMPSHIRE!I29</f>
        <v>71316</v>
      </c>
      <c r="H154" s="7">
        <f>HAMPSHIRE!J29</f>
        <v>70063</v>
      </c>
      <c r="I154" s="7">
        <f>HAMPSHIRE!K29</f>
        <v>72808</v>
      </c>
      <c r="J154" s="7">
        <f>HAMPSHIRE!L29</f>
        <v>73450</v>
      </c>
      <c r="K154" s="7">
        <f>HAMPSHIRE!M29</f>
        <v>73496</v>
      </c>
      <c r="L154" s="7">
        <f>HAMPSHIRE!N29</f>
        <v>74478</v>
      </c>
      <c r="M154" s="7">
        <f>HAMPSHIRE!O29</f>
        <v>76943</v>
      </c>
      <c r="N154" s="34">
        <f t="shared" si="8"/>
        <v>7.1943047409409433E-2</v>
      </c>
      <c r="O154" s="34"/>
      <c r="P154" s="7">
        <f t="shared" si="9"/>
        <v>3550</v>
      </c>
      <c r="Q154" s="1004">
        <f t="shared" si="10"/>
        <v>4.8369735533361491E-2</v>
      </c>
      <c r="R154" s="6">
        <v>259</v>
      </c>
      <c r="S154" s="6">
        <v>247</v>
      </c>
      <c r="T154" s="6">
        <v>255</v>
      </c>
      <c r="U154" s="6">
        <v>258</v>
      </c>
      <c r="V154" s="6">
        <v>309</v>
      </c>
      <c r="W154" s="6">
        <v>257</v>
      </c>
      <c r="X154" s="6">
        <v>268</v>
      </c>
      <c r="Y154" s="6">
        <v>228</v>
      </c>
      <c r="Z154" s="6">
        <v>232</v>
      </c>
      <c r="AA154" s="6">
        <v>208</v>
      </c>
      <c r="AB154" s="6">
        <v>240</v>
      </c>
      <c r="AC154" s="6">
        <v>198</v>
      </c>
      <c r="AD154" s="6">
        <f t="shared" si="11"/>
        <v>42</v>
      </c>
      <c r="AE154" s="6" t="s">
        <v>15823</v>
      </c>
    </row>
    <row r="155" spans="1:31">
      <c r="A155" s="33" t="str">
        <f>SURREY!A19</f>
        <v>East Surrey CC</v>
      </c>
      <c r="B155" s="7">
        <f>SURREY!D21</f>
        <v>76847</v>
      </c>
      <c r="C155" s="7">
        <f>SURREY!E21</f>
        <v>77145</v>
      </c>
      <c r="D155" s="7">
        <f>SURREY!F21</f>
        <v>77373</v>
      </c>
      <c r="E155" s="7">
        <f>SURREY!G21</f>
        <v>77733</v>
      </c>
      <c r="F155" s="7">
        <f>SURREY!H21</f>
        <v>75386</v>
      </c>
      <c r="G155" s="7">
        <f>SURREY!I21</f>
        <v>76795</v>
      </c>
      <c r="H155" s="7">
        <f>SURREY!J21</f>
        <v>77146</v>
      </c>
      <c r="I155" s="7">
        <f>SURREY!K21</f>
        <v>80583</v>
      </c>
      <c r="J155" s="7">
        <f>SURREY!L21</f>
        <v>80835</v>
      </c>
      <c r="K155" s="7">
        <f>SURREY!M21</f>
        <v>80378</v>
      </c>
      <c r="L155" s="7">
        <f>SURREY!N21</f>
        <v>81454</v>
      </c>
      <c r="M155" s="7">
        <f>SURREY!O21</f>
        <v>83728</v>
      </c>
      <c r="N155" s="34">
        <f t="shared" si="8"/>
        <v>8.9541556599476879E-2</v>
      </c>
      <c r="O155" s="34"/>
      <c r="P155" s="7">
        <f t="shared" si="9"/>
        <v>10335</v>
      </c>
      <c r="Q155" s="1004">
        <f t="shared" si="10"/>
        <v>0.14081724415134958</v>
      </c>
      <c r="R155" s="6">
        <v>98</v>
      </c>
      <c r="S155" s="6">
        <v>105</v>
      </c>
      <c r="T155" s="6">
        <v>117</v>
      </c>
      <c r="U155" s="6">
        <v>119</v>
      </c>
      <c r="V155" s="6">
        <v>163</v>
      </c>
      <c r="W155" s="6">
        <v>101</v>
      </c>
      <c r="X155" s="6">
        <v>75</v>
      </c>
      <c r="Y155" s="6">
        <v>54</v>
      </c>
      <c r="Z155" s="6">
        <v>67</v>
      </c>
      <c r="AA155" s="6">
        <v>65</v>
      </c>
      <c r="AB155" s="6">
        <v>80</v>
      </c>
      <c r="AC155" s="6">
        <v>60</v>
      </c>
      <c r="AD155" s="6">
        <f t="shared" si="11"/>
        <v>20</v>
      </c>
      <c r="AE155" s="6" t="s">
        <v>15823</v>
      </c>
    </row>
    <row r="156" spans="1:31">
      <c r="A156" s="33" t="str">
        <f>'WEST SUSSEX'!A27</f>
        <v>East Worthing and Shoreham CC</v>
      </c>
      <c r="B156" s="7">
        <f>'WEST SUSSEX'!D29</f>
        <v>72524</v>
      </c>
      <c r="C156" s="7">
        <f>'WEST SUSSEX'!E29</f>
        <v>72996</v>
      </c>
      <c r="D156" s="7">
        <f>'WEST SUSSEX'!F29</f>
        <v>73670</v>
      </c>
      <c r="E156" s="7">
        <f>'WEST SUSSEX'!G29</f>
        <v>74161</v>
      </c>
      <c r="F156" s="7">
        <f>'WEST SUSSEX'!H29</f>
        <v>73396</v>
      </c>
      <c r="G156" s="7">
        <f>'WEST SUSSEX'!I29</f>
        <v>71647</v>
      </c>
      <c r="H156" s="7">
        <f>'WEST SUSSEX'!J29</f>
        <v>71723</v>
      </c>
      <c r="I156" s="7">
        <f>'WEST SUSSEX'!K29</f>
        <v>74416</v>
      </c>
      <c r="J156" s="7">
        <f>'WEST SUSSEX'!L29</f>
        <v>74605</v>
      </c>
      <c r="K156" s="7">
        <f>'WEST SUSSEX'!M29</f>
        <v>73700</v>
      </c>
      <c r="L156" s="7">
        <f>'WEST SUSSEX'!N29</f>
        <v>73971</v>
      </c>
      <c r="M156" s="7">
        <f>'WEST SUSSEX'!O29</f>
        <v>75466</v>
      </c>
      <c r="N156" s="34">
        <f t="shared" si="8"/>
        <v>4.0565881639181511E-2</v>
      </c>
      <c r="O156" s="34"/>
      <c r="P156" s="7">
        <f t="shared" si="9"/>
        <v>2073</v>
      </c>
      <c r="Q156" s="1004">
        <f t="shared" si="10"/>
        <v>2.8245200495960104E-2</v>
      </c>
      <c r="R156" s="6">
        <v>220</v>
      </c>
      <c r="S156" s="6">
        <v>230</v>
      </c>
      <c r="T156" s="6">
        <v>215</v>
      </c>
      <c r="U156" s="6">
        <v>205</v>
      </c>
      <c r="V156" s="6">
        <v>233</v>
      </c>
      <c r="W156" s="6">
        <v>245</v>
      </c>
      <c r="X156" s="6">
        <v>208</v>
      </c>
      <c r="Y156" s="6">
        <v>180</v>
      </c>
      <c r="Z156" s="6">
        <v>192</v>
      </c>
      <c r="AA156" s="6">
        <v>196</v>
      </c>
      <c r="AB156" s="6">
        <v>258</v>
      </c>
      <c r="AC156" s="6">
        <v>226</v>
      </c>
      <c r="AD156" s="6">
        <f t="shared" si="11"/>
        <v>32</v>
      </c>
      <c r="AE156" s="6" t="s">
        <v>15823</v>
      </c>
    </row>
    <row r="157" spans="1:31">
      <c r="A157" s="33" t="str">
        <f>'"HUMBERSIDE"'!A25</f>
        <v>East Yorkshire CC</v>
      </c>
      <c r="B157" s="7">
        <f>'"HUMBERSIDE"'!D25</f>
        <v>80513</v>
      </c>
      <c r="C157" s="7">
        <f>'"HUMBERSIDE"'!E25</f>
        <v>80435</v>
      </c>
      <c r="D157" s="7">
        <f>'"HUMBERSIDE"'!F25</f>
        <v>80771</v>
      </c>
      <c r="E157" s="7">
        <f>'"HUMBERSIDE"'!G25</f>
        <v>81234</v>
      </c>
      <c r="F157" s="7">
        <f>'"HUMBERSIDE"'!H25</f>
        <v>80976</v>
      </c>
      <c r="G157" s="7">
        <f>'"HUMBERSIDE"'!I25</f>
        <v>79250</v>
      </c>
      <c r="H157" s="7">
        <f>'"HUMBERSIDE"'!J25</f>
        <v>77061</v>
      </c>
      <c r="I157" s="7">
        <f>'"HUMBERSIDE"'!K25</f>
        <v>78344</v>
      </c>
      <c r="J157" s="7">
        <f>'"HUMBERSIDE"'!L25</f>
        <v>79349</v>
      </c>
      <c r="K157" s="7">
        <f>'"HUMBERSIDE"'!M25</f>
        <v>79849</v>
      </c>
      <c r="L157" s="7">
        <f>'"HUMBERSIDE"'!N25</f>
        <v>79701</v>
      </c>
      <c r="M157" s="7">
        <f>'"HUMBERSIDE"'!O25</f>
        <v>80713</v>
      </c>
      <c r="N157" s="34">
        <f t="shared" si="8"/>
        <v>2.4840708953833544E-3</v>
      </c>
      <c r="O157" s="34"/>
      <c r="P157" s="7">
        <f t="shared" si="9"/>
        <v>7320</v>
      </c>
      <c r="Q157" s="1004">
        <f t="shared" si="10"/>
        <v>9.9737032142029891E-2</v>
      </c>
      <c r="R157" s="6">
        <v>30</v>
      </c>
      <c r="S157" s="6">
        <v>39</v>
      </c>
      <c r="T157" s="6">
        <v>39</v>
      </c>
      <c r="U157" s="6">
        <v>39</v>
      </c>
      <c r="V157" s="6">
        <v>42</v>
      </c>
      <c r="W157" s="6">
        <v>50</v>
      </c>
      <c r="X157" s="6">
        <v>77</v>
      </c>
      <c r="Y157" s="6">
        <v>97</v>
      </c>
      <c r="Z157" s="6">
        <v>88</v>
      </c>
      <c r="AA157" s="6">
        <v>75</v>
      </c>
      <c r="AB157" s="6">
        <v>123</v>
      </c>
      <c r="AC157" s="6">
        <v>112</v>
      </c>
      <c r="AD157" s="6">
        <f t="shared" si="11"/>
        <v>11</v>
      </c>
      <c r="AE157" s="6" t="s">
        <v>15828</v>
      </c>
    </row>
    <row r="158" spans="1:31">
      <c r="A158" s="33" t="str">
        <f>'EAST SUSSEX'!A27</f>
        <v>Eastbourne BC</v>
      </c>
      <c r="B158" s="7">
        <f>'EAST SUSSEX'!D29</f>
        <v>77272</v>
      </c>
      <c r="C158" s="7">
        <f>'EAST SUSSEX'!E29</f>
        <v>76978</v>
      </c>
      <c r="D158" s="7">
        <f>'EAST SUSSEX'!F29</f>
        <v>77207</v>
      </c>
      <c r="E158" s="7">
        <f>'EAST SUSSEX'!G29</f>
        <v>78132</v>
      </c>
      <c r="F158" s="7">
        <f>'EAST SUSSEX'!H29</f>
        <v>76352</v>
      </c>
      <c r="G158" s="7">
        <f>'EAST SUSSEX'!I29</f>
        <v>76190</v>
      </c>
      <c r="H158" s="7">
        <f>'EAST SUSSEX'!J29</f>
        <v>74670</v>
      </c>
      <c r="I158" s="7">
        <f>'EAST SUSSEX'!K29</f>
        <v>76426</v>
      </c>
      <c r="J158" s="7">
        <f>'EAST SUSSEX'!L29</f>
        <v>76443</v>
      </c>
      <c r="K158" s="7">
        <f>'EAST SUSSEX'!M29</f>
        <v>77083</v>
      </c>
      <c r="L158" s="7">
        <f>'EAST SUSSEX'!N29</f>
        <v>77187</v>
      </c>
      <c r="M158" s="7">
        <f>'EAST SUSSEX'!O29</f>
        <v>79657</v>
      </c>
      <c r="N158" s="34">
        <f t="shared" si="8"/>
        <v>3.0864996376436485E-2</v>
      </c>
      <c r="O158" s="34"/>
      <c r="P158" s="7">
        <f t="shared" si="9"/>
        <v>6264</v>
      </c>
      <c r="Q158" s="1004">
        <f t="shared" si="10"/>
        <v>8.5348738980556726E-2</v>
      </c>
      <c r="R158" s="6">
        <v>83</v>
      </c>
      <c r="S158" s="6">
        <v>114</v>
      </c>
      <c r="T158" s="6">
        <v>127</v>
      </c>
      <c r="U158" s="6">
        <v>104</v>
      </c>
      <c r="V158" s="6">
        <v>140</v>
      </c>
      <c r="W158" s="6">
        <v>116</v>
      </c>
      <c r="X158" s="6">
        <v>127</v>
      </c>
      <c r="Y158" s="6">
        <v>141</v>
      </c>
      <c r="Z158" s="6">
        <v>152</v>
      </c>
      <c r="AA158" s="6">
        <v>133</v>
      </c>
      <c r="AB158" s="6">
        <v>183</v>
      </c>
      <c r="AC158" s="6">
        <v>136</v>
      </c>
      <c r="AD158" s="6">
        <f t="shared" si="11"/>
        <v>47</v>
      </c>
      <c r="AE158" s="6" t="s">
        <v>15823</v>
      </c>
    </row>
    <row r="159" spans="1:31">
      <c r="A159" s="33" t="str">
        <f>HAMPSHIRE!A31</f>
        <v>Eastleigh BC</v>
      </c>
      <c r="B159" s="7">
        <f>HAMPSHIRE!D31</f>
        <v>77320</v>
      </c>
      <c r="C159" s="7">
        <f>HAMPSHIRE!E31</f>
        <v>78313</v>
      </c>
      <c r="D159" s="7">
        <f>HAMPSHIRE!F31</f>
        <v>79272</v>
      </c>
      <c r="E159" s="7">
        <f>HAMPSHIRE!G31</f>
        <v>79719</v>
      </c>
      <c r="F159" s="7">
        <f>HAMPSHIRE!H31</f>
        <v>80686</v>
      </c>
      <c r="G159" s="7">
        <f>HAMPSHIRE!I31</f>
        <v>79100</v>
      </c>
      <c r="H159" s="7">
        <f>HAMPSHIRE!J31</f>
        <v>77814</v>
      </c>
      <c r="I159" s="7">
        <f>HAMPSHIRE!K31</f>
        <v>78989</v>
      </c>
      <c r="J159" s="7">
        <f>HAMPSHIRE!L31</f>
        <v>80559</v>
      </c>
      <c r="K159" s="7">
        <f>HAMPSHIRE!M31</f>
        <v>80493</v>
      </c>
      <c r="L159" s="7">
        <f>HAMPSHIRE!N31</f>
        <v>82080</v>
      </c>
      <c r="M159" s="7">
        <f>HAMPSHIRE!O31</f>
        <v>84499</v>
      </c>
      <c r="N159" s="34">
        <f t="shared" si="8"/>
        <v>9.2847904811174345E-2</v>
      </c>
      <c r="O159" s="34"/>
      <c r="P159" s="7">
        <f t="shared" si="9"/>
        <v>11106</v>
      </c>
      <c r="Q159" s="1004">
        <f t="shared" si="10"/>
        <v>0.15132233319253879</v>
      </c>
      <c r="R159" s="6">
        <v>81</v>
      </c>
      <c r="S159" s="6">
        <v>74</v>
      </c>
      <c r="T159" s="6">
        <v>59</v>
      </c>
      <c r="U159" s="6">
        <v>59</v>
      </c>
      <c r="V159" s="6">
        <v>47</v>
      </c>
      <c r="W159" s="6">
        <v>52</v>
      </c>
      <c r="X159" s="6">
        <v>62</v>
      </c>
      <c r="Y159" s="6">
        <v>86</v>
      </c>
      <c r="Z159" s="6">
        <v>70</v>
      </c>
      <c r="AA159" s="6">
        <v>60</v>
      </c>
      <c r="AB159" s="6">
        <v>72</v>
      </c>
      <c r="AC159" s="6">
        <v>50</v>
      </c>
      <c r="AD159" s="6">
        <f t="shared" si="11"/>
        <v>22</v>
      </c>
      <c r="AE159" s="6" t="s">
        <v>15823</v>
      </c>
    </row>
    <row r="160" spans="1:31">
      <c r="A160" s="33" t="str">
        <f>CHESHIRE!A19</f>
        <v>Eddisbury CC</v>
      </c>
      <c r="B160" s="7">
        <f>CHESHIRE!D21</f>
        <v>67296</v>
      </c>
      <c r="C160" s="7">
        <f>CHESHIRE!E21</f>
        <v>65914</v>
      </c>
      <c r="D160" s="7">
        <f>CHESHIRE!F21</f>
        <v>65360</v>
      </c>
      <c r="E160" s="7">
        <f>CHESHIRE!G21</f>
        <v>66374</v>
      </c>
      <c r="F160" s="7">
        <f>CHESHIRE!H21</f>
        <v>66731</v>
      </c>
      <c r="G160" s="7">
        <f>CHESHIRE!I21</f>
        <v>67465</v>
      </c>
      <c r="H160" s="7">
        <f>CHESHIRE!J21</f>
        <v>67635</v>
      </c>
      <c r="I160" s="7">
        <f>CHESHIRE!K21</f>
        <v>69757</v>
      </c>
      <c r="J160" s="7">
        <f>CHESHIRE!L21</f>
        <v>71468</v>
      </c>
      <c r="K160" s="7">
        <f>CHESHIRE!M21</f>
        <v>71674</v>
      </c>
      <c r="L160" s="7">
        <f>CHESHIRE!N21</f>
        <v>74357</v>
      </c>
      <c r="M160" s="7">
        <f>CHESHIRE!O21</f>
        <v>74172</v>
      </c>
      <c r="N160" s="34">
        <f t="shared" si="8"/>
        <v>0.10217546362339515</v>
      </c>
      <c r="O160" s="34"/>
      <c r="P160" s="7">
        <f t="shared" si="9"/>
        <v>779</v>
      </c>
      <c r="Q160" s="1004">
        <f t="shared" si="10"/>
        <v>1.0614091262109465E-2</v>
      </c>
      <c r="R160" s="6">
        <v>401</v>
      </c>
      <c r="S160" s="6">
        <v>456</v>
      </c>
      <c r="T160" s="6">
        <v>469</v>
      </c>
      <c r="U160" s="6">
        <v>455</v>
      </c>
      <c r="V160" s="6">
        <v>437</v>
      </c>
      <c r="W160" s="6">
        <v>379</v>
      </c>
      <c r="X160" s="6">
        <v>352</v>
      </c>
      <c r="Y160" s="6">
        <v>344</v>
      </c>
      <c r="Z160" s="6">
        <v>299</v>
      </c>
      <c r="AA160" s="6">
        <v>264</v>
      </c>
      <c r="AB160" s="6">
        <v>244</v>
      </c>
      <c r="AC160" s="6">
        <v>266</v>
      </c>
      <c r="AD160" s="6">
        <f t="shared" si="11"/>
        <v>-22</v>
      </c>
      <c r="AE160" s="6" t="s">
        <v>15825</v>
      </c>
    </row>
    <row r="161" spans="1:31">
      <c r="A161" s="33" t="str">
        <f>ENFIELD!A7</f>
        <v>Edmonton BC</v>
      </c>
      <c r="B161" s="7">
        <f>ENFIELD!D7</f>
        <v>63457</v>
      </c>
      <c r="C161" s="7">
        <f>ENFIELD!E7</f>
        <v>64356</v>
      </c>
      <c r="D161" s="7">
        <f>ENFIELD!F7</f>
        <v>65283</v>
      </c>
      <c r="E161" s="7">
        <f>ENFIELD!G7</f>
        <v>66669</v>
      </c>
      <c r="F161" s="7">
        <f>ENFIELD!H7</f>
        <v>63800</v>
      </c>
      <c r="G161" s="7">
        <f>ENFIELD!I7</f>
        <v>65007</v>
      </c>
      <c r="H161" s="7">
        <f>ENFIELD!J7</f>
        <v>63360</v>
      </c>
      <c r="I161" s="7">
        <f>ENFIELD!K7</f>
        <v>64396</v>
      </c>
      <c r="J161" s="7">
        <f>ENFIELD!L7</f>
        <v>64759</v>
      </c>
      <c r="K161" s="7">
        <f>ENFIELD!M7</f>
        <v>62857</v>
      </c>
      <c r="L161" s="7">
        <f>ENFIELD!N7</f>
        <v>66135</v>
      </c>
      <c r="M161" s="7">
        <f>ENFIELD!O7</f>
        <v>65501</v>
      </c>
      <c r="N161" s="34">
        <f t="shared" si="8"/>
        <v>3.2210788407898261E-2</v>
      </c>
      <c r="O161" s="34"/>
      <c r="P161" s="7">
        <f t="shared" si="9"/>
        <v>-7892</v>
      </c>
      <c r="Q161" s="1004">
        <f t="shared" si="10"/>
        <v>-0.10753069093782786</v>
      </c>
      <c r="R161" s="6">
        <v>494</v>
      </c>
      <c r="S161" s="6">
        <v>489</v>
      </c>
      <c r="T161" s="6">
        <v>476</v>
      </c>
      <c r="U161" s="6">
        <v>451</v>
      </c>
      <c r="V161" s="6">
        <v>484</v>
      </c>
      <c r="W161" s="6">
        <v>441</v>
      </c>
      <c r="X161" s="6">
        <v>454</v>
      </c>
      <c r="Y161" s="6">
        <v>466</v>
      </c>
      <c r="Z161" s="6">
        <v>466</v>
      </c>
      <c r="AA161" s="6">
        <v>482</v>
      </c>
      <c r="AB161" s="6">
        <v>455</v>
      </c>
      <c r="AC161" s="6">
        <v>474</v>
      </c>
      <c r="AD161" s="6">
        <f t="shared" si="11"/>
        <v>-19</v>
      </c>
      <c r="AE161" s="6" t="s">
        <v>15827</v>
      </c>
    </row>
    <row r="162" spans="1:31">
      <c r="A162" s="33" t="str">
        <f>CHESHIRE!A23</f>
        <v>Ellesmere Port and Neston CC</v>
      </c>
      <c r="B162" s="7">
        <f>CHESHIRE!D23</f>
        <v>65739</v>
      </c>
      <c r="C162" s="7">
        <f>CHESHIRE!E23</f>
        <v>66995</v>
      </c>
      <c r="D162" s="7">
        <f>CHESHIRE!F23</f>
        <v>66692</v>
      </c>
      <c r="E162" s="7">
        <f>CHESHIRE!G23</f>
        <v>67446</v>
      </c>
      <c r="F162" s="7">
        <f>CHESHIRE!H23</f>
        <v>67706</v>
      </c>
      <c r="G162" s="7">
        <f>CHESHIRE!I23</f>
        <v>68297</v>
      </c>
      <c r="H162" s="7">
        <f>CHESHIRE!J23</f>
        <v>67586</v>
      </c>
      <c r="I162" s="7">
        <f>CHESHIRE!K23</f>
        <v>68456</v>
      </c>
      <c r="J162" s="7">
        <f>CHESHIRE!L23</f>
        <v>69522</v>
      </c>
      <c r="K162" s="7">
        <f>CHESHIRE!M23</f>
        <v>69529</v>
      </c>
      <c r="L162" s="7">
        <f>CHESHIRE!N23</f>
        <v>70052</v>
      </c>
      <c r="M162" s="7">
        <f>CHESHIRE!O23</f>
        <v>69995</v>
      </c>
      <c r="N162" s="34">
        <f t="shared" si="8"/>
        <v>6.4740869194846284E-2</v>
      </c>
      <c r="O162" s="34"/>
      <c r="P162" s="7">
        <f t="shared" si="9"/>
        <v>-3398</v>
      </c>
      <c r="Q162" s="1004">
        <f t="shared" si="10"/>
        <v>-4.6298693335876717E-2</v>
      </c>
      <c r="R162" s="6">
        <v>445</v>
      </c>
      <c r="S162" s="6">
        <v>422</v>
      </c>
      <c r="T162" s="6">
        <v>441</v>
      </c>
      <c r="U162" s="6">
        <v>428</v>
      </c>
      <c r="V162" s="6">
        <v>405</v>
      </c>
      <c r="W162" s="6">
        <v>355</v>
      </c>
      <c r="X162" s="6">
        <v>355</v>
      </c>
      <c r="Y162" s="6">
        <v>377</v>
      </c>
      <c r="Z162" s="6">
        <v>368</v>
      </c>
      <c r="AA162" s="6">
        <v>346</v>
      </c>
      <c r="AB162" s="6">
        <v>386</v>
      </c>
      <c r="AC162" s="6">
        <v>397</v>
      </c>
      <c r="AD162" s="6">
        <f t="shared" si="11"/>
        <v>-11</v>
      </c>
      <c r="AE162" s="6" t="s">
        <v>15825</v>
      </c>
    </row>
    <row r="163" spans="1:31">
      <c r="A163" s="33" t="str">
        <f>'WEST YORKSHIRE'!A27</f>
        <v>Elmet and Rothwell CC</v>
      </c>
      <c r="B163" s="7">
        <f>'WEST YORKSHIRE'!D27</f>
        <v>77858</v>
      </c>
      <c r="C163" s="7">
        <f>'WEST YORKSHIRE'!E27</f>
        <v>77994</v>
      </c>
      <c r="D163" s="7">
        <f>'WEST YORKSHIRE'!F27</f>
        <v>78521</v>
      </c>
      <c r="E163" s="7">
        <f>'WEST YORKSHIRE'!G27</f>
        <v>78781</v>
      </c>
      <c r="F163" s="7">
        <f>'WEST YORKSHIRE'!H27</f>
        <v>77587</v>
      </c>
      <c r="G163" s="7">
        <f>'WEST YORKSHIRE'!I27</f>
        <v>78038</v>
      </c>
      <c r="H163" s="7">
        <f>'WEST YORKSHIRE'!J27</f>
        <v>77287</v>
      </c>
      <c r="I163" s="7">
        <f>'WEST YORKSHIRE'!K27</f>
        <v>78913</v>
      </c>
      <c r="J163" s="7">
        <f>'WEST YORKSHIRE'!L27</f>
        <v>78278</v>
      </c>
      <c r="K163" s="7">
        <f>'WEST YORKSHIRE'!M27</f>
        <v>78514</v>
      </c>
      <c r="L163" s="7">
        <f>'WEST YORKSHIRE'!N27</f>
        <v>79316</v>
      </c>
      <c r="M163" s="7">
        <f>'WEST YORKSHIRE'!O27</f>
        <v>81421</v>
      </c>
      <c r="N163" s="34">
        <f t="shared" si="8"/>
        <v>4.5762798941663026E-2</v>
      </c>
      <c r="O163" s="34"/>
      <c r="P163" s="7">
        <f t="shared" si="9"/>
        <v>8028</v>
      </c>
      <c r="Q163" s="1004">
        <f t="shared" si="10"/>
        <v>0.10938372869347213</v>
      </c>
      <c r="R163" s="6">
        <v>70</v>
      </c>
      <c r="S163" s="6">
        <v>80</v>
      </c>
      <c r="T163" s="6">
        <v>78</v>
      </c>
      <c r="U163" s="6">
        <v>84</v>
      </c>
      <c r="V163" s="6">
        <v>112</v>
      </c>
      <c r="W163" s="6">
        <v>72</v>
      </c>
      <c r="X163" s="6">
        <v>71</v>
      </c>
      <c r="Y163" s="6">
        <v>89</v>
      </c>
      <c r="Z163" s="6">
        <v>116</v>
      </c>
      <c r="AA163" s="6">
        <v>98</v>
      </c>
      <c r="AB163" s="6">
        <v>134</v>
      </c>
      <c r="AC163" s="6">
        <v>99</v>
      </c>
      <c r="AD163" s="6">
        <f t="shared" si="11"/>
        <v>35</v>
      </c>
      <c r="AE163" s="6" t="s">
        <v>15828</v>
      </c>
    </row>
    <row r="164" spans="1:31">
      <c r="A164" s="33" t="str">
        <f>GREENWICH!A7</f>
        <v>Eltham BC</v>
      </c>
      <c r="B164" s="7">
        <f>GREENWICH!D7</f>
        <v>62005</v>
      </c>
      <c r="C164" s="7">
        <f>GREENWICH!E7</f>
        <v>63059</v>
      </c>
      <c r="D164" s="7">
        <f>GREENWICH!F7</f>
        <v>61991</v>
      </c>
      <c r="E164" s="7">
        <f>GREENWICH!G7</f>
        <v>62204</v>
      </c>
      <c r="F164" s="7">
        <f>GREENWICH!H7</f>
        <v>61972</v>
      </c>
      <c r="G164" s="7">
        <f>GREENWICH!I7</f>
        <v>62156</v>
      </c>
      <c r="H164" s="7">
        <f>GREENWICH!J7</f>
        <v>61794</v>
      </c>
      <c r="I164" s="7">
        <f>GREENWICH!K7</f>
        <v>62575</v>
      </c>
      <c r="J164" s="7">
        <f>GREENWICH!L7</f>
        <v>62325</v>
      </c>
      <c r="K164" s="7">
        <f>GREENWICH!M7</f>
        <v>61794</v>
      </c>
      <c r="L164" s="7">
        <f>GREENWICH!N7</f>
        <v>61876</v>
      </c>
      <c r="M164" s="7">
        <f>GREENWICH!O7</f>
        <v>64213</v>
      </c>
      <c r="N164" s="34">
        <f t="shared" si="8"/>
        <v>3.5610031449076686E-2</v>
      </c>
      <c r="O164" s="34"/>
      <c r="P164" s="7">
        <f t="shared" si="9"/>
        <v>-9180</v>
      </c>
      <c r="Q164" s="1004">
        <f t="shared" si="10"/>
        <v>-0.12508004850598831</v>
      </c>
      <c r="R164" s="6">
        <v>514</v>
      </c>
      <c r="S164" s="6">
        <v>501</v>
      </c>
      <c r="T164" s="6">
        <v>514</v>
      </c>
      <c r="U164" s="6">
        <v>514</v>
      </c>
      <c r="V164" s="6">
        <v>505</v>
      </c>
      <c r="W164" s="6">
        <v>490</v>
      </c>
      <c r="X164" s="6">
        <v>486</v>
      </c>
      <c r="Y164" s="6">
        <v>490</v>
      </c>
      <c r="Z164" s="6">
        <v>497</v>
      </c>
      <c r="AA164" s="6">
        <v>494</v>
      </c>
      <c r="AB164" s="6">
        <v>509</v>
      </c>
      <c r="AC164" s="6">
        <v>495</v>
      </c>
      <c r="AD164" s="6">
        <f t="shared" si="11"/>
        <v>14</v>
      </c>
      <c r="AE164" s="6" t="s">
        <v>15827</v>
      </c>
    </row>
    <row r="165" spans="1:31">
      <c r="A165" s="33" t="str">
        <f>ENFIELD!A9</f>
        <v>Enfield North BC</v>
      </c>
      <c r="B165" s="7">
        <f>ENFIELD!D9</f>
        <v>66638</v>
      </c>
      <c r="C165" s="7">
        <f>ENFIELD!E9</f>
        <v>66761</v>
      </c>
      <c r="D165" s="7">
        <f>ENFIELD!F9</f>
        <v>67580</v>
      </c>
      <c r="E165" s="7">
        <f>ENFIELD!G9</f>
        <v>68463</v>
      </c>
      <c r="F165" s="7">
        <f>ENFIELD!H9</f>
        <v>66803</v>
      </c>
      <c r="G165" s="7">
        <f>ENFIELD!I9</f>
        <v>67528</v>
      </c>
      <c r="H165" s="7">
        <f>ENFIELD!J9</f>
        <v>65981</v>
      </c>
      <c r="I165" s="7">
        <f>ENFIELD!K9</f>
        <v>66828</v>
      </c>
      <c r="J165" s="7">
        <f>ENFIELD!L9</f>
        <v>67417</v>
      </c>
      <c r="K165" s="7">
        <f>ENFIELD!M9</f>
        <v>65699</v>
      </c>
      <c r="L165" s="7">
        <f>ENFIELD!N9</f>
        <v>68586</v>
      </c>
      <c r="M165" s="7">
        <f>ENFIELD!O9</f>
        <v>67858</v>
      </c>
      <c r="N165" s="34">
        <f t="shared" si="8"/>
        <v>1.8307872385125604E-2</v>
      </c>
      <c r="O165" s="34"/>
      <c r="P165" s="7">
        <f t="shared" si="9"/>
        <v>-5535</v>
      </c>
      <c r="Q165" s="1004">
        <f t="shared" si="10"/>
        <v>-7.5415911599198832E-2</v>
      </c>
      <c r="R165" s="6">
        <v>422</v>
      </c>
      <c r="S165" s="6">
        <v>426</v>
      </c>
      <c r="T165" s="6">
        <v>415</v>
      </c>
      <c r="U165" s="6">
        <v>402</v>
      </c>
      <c r="V165" s="6">
        <v>432</v>
      </c>
      <c r="W165" s="6">
        <v>374</v>
      </c>
      <c r="X165" s="6">
        <v>399</v>
      </c>
      <c r="Y165" s="6">
        <v>412</v>
      </c>
      <c r="Z165" s="6">
        <v>412</v>
      </c>
      <c r="AA165" s="6">
        <v>436</v>
      </c>
      <c r="AB165" s="6">
        <v>413</v>
      </c>
      <c r="AC165" s="6">
        <v>439</v>
      </c>
      <c r="AD165" s="6">
        <f t="shared" si="11"/>
        <v>-26</v>
      </c>
      <c r="AE165" s="6" t="s">
        <v>15827</v>
      </c>
    </row>
    <row r="166" spans="1:31">
      <c r="A166" s="33" t="str">
        <f>ENFIELD!A11</f>
        <v>Enfield, Southgate BC</v>
      </c>
      <c r="B166" s="7">
        <f>ENFIELD!D11</f>
        <v>63890</v>
      </c>
      <c r="C166" s="7">
        <f>ENFIELD!E11</f>
        <v>64932</v>
      </c>
      <c r="D166" s="7">
        <f>ENFIELD!F11</f>
        <v>65226</v>
      </c>
      <c r="E166" s="7">
        <f>ENFIELD!G11</f>
        <v>65425</v>
      </c>
      <c r="F166" s="7">
        <f>ENFIELD!H11</f>
        <v>63643</v>
      </c>
      <c r="G166" s="7">
        <f>ENFIELD!I11</f>
        <v>64051</v>
      </c>
      <c r="H166" s="7">
        <f>ENFIELD!J11</f>
        <v>62915</v>
      </c>
      <c r="I166" s="7">
        <f>ENFIELD!K11</f>
        <v>64010</v>
      </c>
      <c r="J166" s="7">
        <f>ENFIELD!L11</f>
        <v>64430</v>
      </c>
      <c r="K166" s="7">
        <f>ENFIELD!M11</f>
        <v>62291</v>
      </c>
      <c r="L166" s="7">
        <f>ENFIELD!N11</f>
        <v>65413</v>
      </c>
      <c r="M166" s="7">
        <f>ENFIELD!O11</f>
        <v>64755</v>
      </c>
      <c r="N166" s="34">
        <f t="shared" si="8"/>
        <v>1.3538894975739553E-2</v>
      </c>
      <c r="O166" s="34"/>
      <c r="P166" s="7">
        <f t="shared" si="9"/>
        <v>-8638</v>
      </c>
      <c r="Q166" s="1004">
        <f t="shared" si="10"/>
        <v>-0.11769514803864128</v>
      </c>
      <c r="R166" s="6">
        <v>486</v>
      </c>
      <c r="S166" s="6">
        <v>478</v>
      </c>
      <c r="T166" s="6">
        <v>479</v>
      </c>
      <c r="U166" s="6">
        <v>481</v>
      </c>
      <c r="V166" s="6">
        <v>487</v>
      </c>
      <c r="W166" s="6">
        <v>460</v>
      </c>
      <c r="X166" s="6">
        <v>466</v>
      </c>
      <c r="Y166" s="6">
        <v>473</v>
      </c>
      <c r="Z166" s="6">
        <v>470</v>
      </c>
      <c r="AA166" s="6">
        <v>487</v>
      </c>
      <c r="AB166" s="6">
        <v>466</v>
      </c>
      <c r="AC166" s="6">
        <v>486</v>
      </c>
      <c r="AD166" s="6">
        <f t="shared" si="11"/>
        <v>-20</v>
      </c>
      <c r="AE166" s="6" t="s">
        <v>15827</v>
      </c>
    </row>
    <row r="167" spans="1:31">
      <c r="A167" s="33" t="str">
        <f>ESSEX!A43</f>
        <v xml:space="preserve">Epping Forest CC </v>
      </c>
      <c r="B167" s="7">
        <f>ESSEX!D43</f>
        <v>72006</v>
      </c>
      <c r="C167" s="7">
        <f>ESSEX!E43</f>
        <v>72212</v>
      </c>
      <c r="D167" s="7">
        <f>ESSEX!F43</f>
        <v>73041</v>
      </c>
      <c r="E167" s="7">
        <f>ESSEX!G43</f>
        <v>73271</v>
      </c>
      <c r="F167" s="7">
        <f>ESSEX!H43</f>
        <v>72705</v>
      </c>
      <c r="G167" s="7">
        <f>ESSEX!I43</f>
        <v>72843</v>
      </c>
      <c r="H167" s="7">
        <f>ESSEX!J43</f>
        <v>73521</v>
      </c>
      <c r="I167" s="7">
        <f>ESSEX!K43</f>
        <v>74281</v>
      </c>
      <c r="J167" s="7">
        <f>ESSEX!L43</f>
        <v>73817</v>
      </c>
      <c r="K167" s="7">
        <f>ESSEX!M43</f>
        <v>73638</v>
      </c>
      <c r="L167" s="7">
        <f>ESSEX!N43</f>
        <v>74752</v>
      </c>
      <c r="M167" s="7">
        <f>ESSEX!O43</f>
        <v>74553</v>
      </c>
      <c r="N167" s="34">
        <f t="shared" si="8"/>
        <v>3.5372052328972586E-2</v>
      </c>
      <c r="O167" s="34"/>
      <c r="P167" s="7">
        <f t="shared" si="9"/>
        <v>1160</v>
      </c>
      <c r="Q167" s="1004">
        <f t="shared" si="10"/>
        <v>1.5805322033436431E-2</v>
      </c>
      <c r="R167" s="6">
        <v>242</v>
      </c>
      <c r="S167" s="6">
        <v>261</v>
      </c>
      <c r="T167" s="6">
        <v>246</v>
      </c>
      <c r="U167" s="6">
        <v>245</v>
      </c>
      <c r="V167" s="6">
        <v>252</v>
      </c>
      <c r="W167" s="6">
        <v>192</v>
      </c>
      <c r="X167" s="6">
        <v>152</v>
      </c>
      <c r="Y167" s="6">
        <v>190</v>
      </c>
      <c r="Z167" s="6">
        <v>216</v>
      </c>
      <c r="AA167" s="6">
        <v>200</v>
      </c>
      <c r="AB167" s="6">
        <v>233</v>
      </c>
      <c r="AC167" s="6">
        <v>252</v>
      </c>
      <c r="AD167" s="6">
        <f t="shared" si="11"/>
        <v>-19</v>
      </c>
      <c r="AE167" s="6" t="s">
        <v>15829</v>
      </c>
    </row>
    <row r="168" spans="1:31">
      <c r="A168" s="33" t="str">
        <f>SURREY!A23</f>
        <v>Epsom and Ewell BC</v>
      </c>
      <c r="B168" s="7">
        <f>SURREY!D26</f>
        <v>76052</v>
      </c>
      <c r="C168" s="7">
        <f>SURREY!E26</f>
        <v>76916</v>
      </c>
      <c r="D168" s="7">
        <f>SURREY!F26</f>
        <v>77426</v>
      </c>
      <c r="E168" s="7">
        <f>SURREY!G26</f>
        <v>77898</v>
      </c>
      <c r="F168" s="7">
        <f>SURREY!H26</f>
        <v>78503</v>
      </c>
      <c r="G168" s="7">
        <f>SURREY!I26</f>
        <v>77131</v>
      </c>
      <c r="H168" s="7">
        <f>SURREY!J26</f>
        <v>77417</v>
      </c>
      <c r="I168" s="7">
        <f>SURREY!K26</f>
        <v>78984</v>
      </c>
      <c r="J168" s="7">
        <f>SURREY!L26</f>
        <v>79289</v>
      </c>
      <c r="K168" s="7">
        <f>SURREY!M26</f>
        <v>78393</v>
      </c>
      <c r="L168" s="7">
        <f>SURREY!N26</f>
        <v>81706</v>
      </c>
      <c r="M168" s="7">
        <f>SURREY!O26</f>
        <v>80376</v>
      </c>
      <c r="N168" s="34">
        <f t="shared" si="8"/>
        <v>5.6855835480986695E-2</v>
      </c>
      <c r="O168" s="34"/>
      <c r="P168" s="7">
        <f t="shared" si="9"/>
        <v>6983</v>
      </c>
      <c r="Q168" s="1004">
        <f t="shared" si="10"/>
        <v>9.5145313585764307E-2</v>
      </c>
      <c r="R168" s="6">
        <v>123</v>
      </c>
      <c r="S168" s="6">
        <v>118</v>
      </c>
      <c r="T168" s="6">
        <v>115</v>
      </c>
      <c r="U168" s="6">
        <v>112</v>
      </c>
      <c r="V168" s="6">
        <v>88</v>
      </c>
      <c r="W168" s="6">
        <v>91</v>
      </c>
      <c r="X168" s="6">
        <v>68</v>
      </c>
      <c r="Y168" s="6">
        <v>87</v>
      </c>
      <c r="Z168" s="6">
        <v>90</v>
      </c>
      <c r="AA168" s="6">
        <v>100</v>
      </c>
      <c r="AB168" s="6">
        <v>77</v>
      </c>
      <c r="AC168" s="6">
        <v>121</v>
      </c>
      <c r="AD168" s="6">
        <f t="shared" si="11"/>
        <v>-44</v>
      </c>
      <c r="AE168" s="6" t="s">
        <v>15823</v>
      </c>
    </row>
    <row r="169" spans="1:31">
      <c r="A169" s="33" t="str">
        <f>DERBYSHIRE!A36</f>
        <v>Erewash CC</v>
      </c>
      <c r="B169" s="7">
        <f>DERBYSHIRE!D36</f>
        <v>69599</v>
      </c>
      <c r="C169" s="7">
        <f>DERBYSHIRE!E36</f>
        <v>70022</v>
      </c>
      <c r="D169" s="7">
        <f>DERBYSHIRE!F36</f>
        <v>70899</v>
      </c>
      <c r="E169" s="7">
        <f>DERBYSHIRE!G36</f>
        <v>71149</v>
      </c>
      <c r="F169" s="7">
        <f>DERBYSHIRE!H36</f>
        <v>70792</v>
      </c>
      <c r="G169" s="7">
        <f>DERBYSHIRE!I36</f>
        <v>70836</v>
      </c>
      <c r="H169" s="7">
        <f>DERBYSHIRE!J36</f>
        <v>70299</v>
      </c>
      <c r="I169" s="7">
        <f>DERBYSHIRE!K36</f>
        <v>71476</v>
      </c>
      <c r="J169" s="7">
        <f>DERBYSHIRE!L36</f>
        <v>71029</v>
      </c>
      <c r="K169" s="7">
        <f>DERBYSHIRE!M36</f>
        <v>71333</v>
      </c>
      <c r="L169" s="7">
        <f>DERBYSHIRE!N36</f>
        <v>71526</v>
      </c>
      <c r="M169" s="7">
        <f>DERBYSHIRE!O36</f>
        <v>71986</v>
      </c>
      <c r="N169" s="34">
        <f t="shared" si="8"/>
        <v>3.429646977686461E-2</v>
      </c>
      <c r="O169" s="34"/>
      <c r="P169" s="7">
        <f t="shared" si="9"/>
        <v>-1407</v>
      </c>
      <c r="Q169" s="1004">
        <f t="shared" si="10"/>
        <v>-1.9170765604349188E-2</v>
      </c>
      <c r="R169" s="6">
        <v>332</v>
      </c>
      <c r="S169" s="6">
        <v>338</v>
      </c>
      <c r="T169" s="6">
        <v>319</v>
      </c>
      <c r="U169" s="6">
        <v>322</v>
      </c>
      <c r="V169" s="6">
        <v>319</v>
      </c>
      <c r="W169" s="6">
        <v>270</v>
      </c>
      <c r="X169" s="6">
        <v>258</v>
      </c>
      <c r="Y169" s="6">
        <v>277</v>
      </c>
      <c r="Z169" s="6">
        <v>318</v>
      </c>
      <c r="AA169" s="6">
        <v>275</v>
      </c>
      <c r="AB169" s="6">
        <v>331</v>
      </c>
      <c r="AC169" s="6">
        <v>349</v>
      </c>
      <c r="AD169" s="6">
        <f t="shared" si="11"/>
        <v>-18</v>
      </c>
      <c r="AE169" s="6" t="s">
        <v>15826</v>
      </c>
    </row>
    <row r="170" spans="1:31">
      <c r="A170" s="33" t="str">
        <f>BEXLEY!A9</f>
        <v>Erith and Thamesmead BC</v>
      </c>
      <c r="B170" s="7">
        <f>BEXLEY!D11</f>
        <v>69010</v>
      </c>
      <c r="C170" s="7">
        <f>BEXLEY!E11</f>
        <v>69718</v>
      </c>
      <c r="D170" s="7">
        <f>BEXLEY!F11</f>
        <v>70321</v>
      </c>
      <c r="E170" s="7">
        <f>BEXLEY!G11</f>
        <v>70308</v>
      </c>
      <c r="F170" s="7">
        <f>BEXLEY!H11</f>
        <v>70613</v>
      </c>
      <c r="G170" s="7">
        <f>BEXLEY!I11</f>
        <v>69800</v>
      </c>
      <c r="H170" s="7">
        <f>BEXLEY!J11</f>
        <v>66755</v>
      </c>
      <c r="I170" s="7">
        <f>BEXLEY!K11</f>
        <v>67977</v>
      </c>
      <c r="J170" s="7">
        <f>BEXLEY!L11</f>
        <v>68381</v>
      </c>
      <c r="K170" s="7">
        <f>BEXLEY!M11</f>
        <v>67126</v>
      </c>
      <c r="L170" s="7">
        <f>BEXLEY!N11</f>
        <v>67566</v>
      </c>
      <c r="M170" s="7">
        <f>BEXLEY!O11</f>
        <v>69529</v>
      </c>
      <c r="N170" s="34">
        <f t="shared" si="8"/>
        <v>7.5206491812780758E-3</v>
      </c>
      <c r="O170" s="34"/>
      <c r="P170" s="7">
        <f t="shared" si="9"/>
        <v>-3864</v>
      </c>
      <c r="Q170" s="1004">
        <f t="shared" si="10"/>
        <v>-5.2648072704481352E-2</v>
      </c>
      <c r="R170" s="6">
        <v>349</v>
      </c>
      <c r="S170" s="6">
        <v>348</v>
      </c>
      <c r="T170" s="6">
        <v>339</v>
      </c>
      <c r="U170" s="6">
        <v>343</v>
      </c>
      <c r="V170" s="6">
        <v>325</v>
      </c>
      <c r="W170" s="6">
        <v>301</v>
      </c>
      <c r="X170" s="6">
        <v>381</v>
      </c>
      <c r="Y170" s="6">
        <v>389</v>
      </c>
      <c r="Z170" s="6">
        <v>392</v>
      </c>
      <c r="AA170" s="6">
        <v>405</v>
      </c>
      <c r="AB170" s="6">
        <v>429</v>
      </c>
      <c r="AC170" s="6">
        <v>404</v>
      </c>
      <c r="AD170" s="6">
        <f t="shared" si="11"/>
        <v>25</v>
      </c>
      <c r="AE170" s="6" t="s">
        <v>15827</v>
      </c>
    </row>
    <row r="171" spans="1:31">
      <c r="A171" s="33" t="str">
        <f>SURREY!A28</f>
        <v>Esher and Walton BC</v>
      </c>
      <c r="B171" s="7">
        <f>SURREY!D28</f>
        <v>75716</v>
      </c>
      <c r="C171" s="7">
        <f>SURREY!E28</f>
        <v>76962</v>
      </c>
      <c r="D171" s="7">
        <f>SURREY!F28</f>
        <v>77537</v>
      </c>
      <c r="E171" s="7">
        <f>SURREY!G28</f>
        <v>77681</v>
      </c>
      <c r="F171" s="7">
        <f>SURREY!H28</f>
        <v>78131</v>
      </c>
      <c r="G171" s="7">
        <f>SURREY!I28</f>
        <v>78216</v>
      </c>
      <c r="H171" s="7">
        <f>SURREY!J28</f>
        <v>78545</v>
      </c>
      <c r="I171" s="7">
        <f>SURREY!K28</f>
        <v>78303</v>
      </c>
      <c r="J171" s="7">
        <f>SURREY!L28</f>
        <v>79010</v>
      </c>
      <c r="K171" s="7">
        <f>SURREY!M28</f>
        <v>77896</v>
      </c>
      <c r="L171" s="7">
        <f>SURREY!N28</f>
        <v>79275</v>
      </c>
      <c r="M171" s="7">
        <f>SURREY!O28</f>
        <v>81816</v>
      </c>
      <c r="N171" s="34">
        <f t="shared" si="8"/>
        <v>8.0564213640445873E-2</v>
      </c>
      <c r="O171" s="34"/>
      <c r="P171" s="7">
        <f t="shared" si="9"/>
        <v>8423</v>
      </c>
      <c r="Q171" s="1004">
        <f t="shared" si="10"/>
        <v>0.11476571335140953</v>
      </c>
      <c r="R171" s="6">
        <v>135</v>
      </c>
      <c r="S171" s="6">
        <v>115</v>
      </c>
      <c r="T171" s="6">
        <v>108</v>
      </c>
      <c r="U171" s="6">
        <v>122</v>
      </c>
      <c r="V171" s="6">
        <v>99</v>
      </c>
      <c r="W171" s="6">
        <v>67</v>
      </c>
      <c r="X171" s="6">
        <v>43</v>
      </c>
      <c r="Y171" s="6">
        <v>98</v>
      </c>
      <c r="Z171" s="6">
        <v>96</v>
      </c>
      <c r="AA171" s="6">
        <v>116</v>
      </c>
      <c r="AB171" s="6">
        <v>136</v>
      </c>
      <c r="AC171" s="6">
        <v>94</v>
      </c>
      <c r="AD171" s="6">
        <f t="shared" si="11"/>
        <v>42</v>
      </c>
      <c r="AE171" s="6" t="s">
        <v>15823</v>
      </c>
    </row>
    <row r="172" spans="1:31">
      <c r="A172" s="33" t="str">
        <f>DEVON!A33</f>
        <v>Exeter BC</v>
      </c>
      <c r="B172" s="7">
        <f>DEVON!D33</f>
        <v>75936</v>
      </c>
      <c r="C172" s="7">
        <f>DEVON!E33</f>
        <v>76796</v>
      </c>
      <c r="D172" s="7">
        <f>DEVON!F33</f>
        <v>78036</v>
      </c>
      <c r="E172" s="7">
        <f>DEVON!G33</f>
        <v>77788</v>
      </c>
      <c r="F172" s="7">
        <f>DEVON!H33</f>
        <v>78826</v>
      </c>
      <c r="G172" s="7">
        <f>DEVON!I33</f>
        <v>74040</v>
      </c>
      <c r="H172" s="7">
        <f>DEVON!J33</f>
        <v>71404</v>
      </c>
      <c r="I172" s="7">
        <f>DEVON!K33</f>
        <v>73209</v>
      </c>
      <c r="J172" s="7">
        <f>DEVON!L33</f>
        <v>74767</v>
      </c>
      <c r="K172" s="7">
        <f>DEVON!M33</f>
        <v>74955</v>
      </c>
      <c r="L172" s="7">
        <f>DEVON!N33</f>
        <v>80984</v>
      </c>
      <c r="M172" s="7">
        <f>DEVON!O33</f>
        <v>80676</v>
      </c>
      <c r="N172" s="34">
        <f t="shared" si="8"/>
        <v>6.2420986093552462E-2</v>
      </c>
      <c r="O172" s="34"/>
      <c r="P172" s="7">
        <f t="shared" si="9"/>
        <v>7283</v>
      </c>
      <c r="Q172" s="1004">
        <f t="shared" si="10"/>
        <v>9.9232896870273729E-2</v>
      </c>
      <c r="R172" s="6">
        <v>128</v>
      </c>
      <c r="S172" s="6">
        <v>121</v>
      </c>
      <c r="T172" s="6">
        <v>90</v>
      </c>
      <c r="U172" s="6">
        <v>116</v>
      </c>
      <c r="V172" s="6">
        <v>78</v>
      </c>
      <c r="W172" s="6">
        <v>162</v>
      </c>
      <c r="X172" s="6">
        <v>219</v>
      </c>
      <c r="Y172" s="6">
        <v>215</v>
      </c>
      <c r="Z172" s="6">
        <v>185</v>
      </c>
      <c r="AA172" s="6">
        <v>170</v>
      </c>
      <c r="AB172" s="6">
        <v>89</v>
      </c>
      <c r="AC172" s="6">
        <v>113</v>
      </c>
      <c r="AD172" s="6">
        <f t="shared" si="11"/>
        <v>-24</v>
      </c>
      <c r="AE172" s="6" t="s">
        <v>15830</v>
      </c>
    </row>
    <row r="173" spans="1:31">
      <c r="A173" s="33" t="str">
        <f>HAMPSHIRE!A33</f>
        <v>Fareham CC</v>
      </c>
      <c r="B173" s="7">
        <f>HAMPSHIRE!D33</f>
        <v>75829</v>
      </c>
      <c r="C173" s="7">
        <f>HAMPSHIRE!E33</f>
        <v>76457</v>
      </c>
      <c r="D173" s="7">
        <f>HAMPSHIRE!F33</f>
        <v>77029</v>
      </c>
      <c r="E173" s="7">
        <f>HAMPSHIRE!G33</f>
        <v>77463</v>
      </c>
      <c r="F173" s="7">
        <f>HAMPSHIRE!H33</f>
        <v>78036</v>
      </c>
      <c r="G173" s="7">
        <f>HAMPSHIRE!I33</f>
        <v>76831</v>
      </c>
      <c r="H173" s="7">
        <f>HAMPSHIRE!J33</f>
        <v>75724</v>
      </c>
      <c r="I173" s="7">
        <f>HAMPSHIRE!K33</f>
        <v>77012</v>
      </c>
      <c r="J173" s="7">
        <f>HAMPSHIRE!L33</f>
        <v>77881</v>
      </c>
      <c r="K173" s="7">
        <f>HAMPSHIRE!M33</f>
        <v>77843</v>
      </c>
      <c r="L173" s="7">
        <f>HAMPSHIRE!N33</f>
        <v>78886</v>
      </c>
      <c r="M173" s="7">
        <f>HAMPSHIRE!O33</f>
        <v>78815</v>
      </c>
      <c r="N173" s="34">
        <f t="shared" si="8"/>
        <v>3.9378074351501403E-2</v>
      </c>
      <c r="O173" s="34"/>
      <c r="P173" s="7">
        <f t="shared" si="9"/>
        <v>5422</v>
      </c>
      <c r="Q173" s="1004">
        <f t="shared" si="10"/>
        <v>7.3876255228700283E-2</v>
      </c>
      <c r="R173" s="6">
        <v>133</v>
      </c>
      <c r="S173" s="6">
        <v>128</v>
      </c>
      <c r="T173" s="6">
        <v>129</v>
      </c>
      <c r="U173" s="6">
        <v>127</v>
      </c>
      <c r="V173" s="6">
        <v>100</v>
      </c>
      <c r="W173" s="6">
        <v>99</v>
      </c>
      <c r="X173" s="6">
        <v>105</v>
      </c>
      <c r="Y173" s="6">
        <v>129</v>
      </c>
      <c r="Z173" s="6">
        <v>125</v>
      </c>
      <c r="AA173" s="6">
        <v>117</v>
      </c>
      <c r="AB173" s="6">
        <v>140</v>
      </c>
      <c r="AC173" s="6">
        <v>155</v>
      </c>
      <c r="AD173" s="6">
        <f t="shared" si="11"/>
        <v>-15</v>
      </c>
      <c r="AE173" s="6" t="s">
        <v>15823</v>
      </c>
    </row>
    <row r="174" spans="1:31">
      <c r="A174" s="33" t="str">
        <f>KENT!A38</f>
        <v>Faversham and Mid Kent CC</v>
      </c>
      <c r="B174" s="7">
        <f>KENT!D40</f>
        <v>69075</v>
      </c>
      <c r="C174" s="7">
        <f>KENT!E40</f>
        <v>68521</v>
      </c>
      <c r="D174" s="7">
        <f>KENT!F40</f>
        <v>70400</v>
      </c>
      <c r="E174" s="7">
        <f>KENT!G40</f>
        <v>70906</v>
      </c>
      <c r="F174" s="7">
        <f>KENT!H40</f>
        <v>66854</v>
      </c>
      <c r="G174" s="7">
        <f>KENT!I40</f>
        <v>66630</v>
      </c>
      <c r="H174" s="7">
        <f>KENT!J40</f>
        <v>66647</v>
      </c>
      <c r="I174" s="7">
        <f>KENT!K40</f>
        <v>70294</v>
      </c>
      <c r="J174" s="7">
        <f>KENT!L40</f>
        <v>69954</v>
      </c>
      <c r="K174" s="7">
        <f>KENT!M40</f>
        <v>70737</v>
      </c>
      <c r="L174" s="7">
        <f>KENT!N40</f>
        <v>73165</v>
      </c>
      <c r="M174" s="7">
        <f>KENT!O40</f>
        <v>73477</v>
      </c>
      <c r="N174" s="34">
        <f t="shared" si="8"/>
        <v>6.3727832066594284E-2</v>
      </c>
      <c r="O174" s="34"/>
      <c r="P174" s="7">
        <f t="shared" si="9"/>
        <v>84</v>
      </c>
      <c r="Q174" s="1004">
        <f t="shared" si="10"/>
        <v>1.1445233196626381E-3</v>
      </c>
      <c r="R174" s="6">
        <v>347</v>
      </c>
      <c r="S174" s="6">
        <v>381</v>
      </c>
      <c r="T174" s="6">
        <v>336</v>
      </c>
      <c r="U174" s="6">
        <v>327</v>
      </c>
      <c r="V174" s="6">
        <v>430</v>
      </c>
      <c r="W174" s="6">
        <v>402</v>
      </c>
      <c r="X174" s="6">
        <v>384</v>
      </c>
      <c r="Y174" s="6">
        <v>325</v>
      </c>
      <c r="Z174" s="6">
        <v>360</v>
      </c>
      <c r="AA174" s="6">
        <v>300</v>
      </c>
      <c r="AB174" s="6">
        <v>284</v>
      </c>
      <c r="AC174" s="6">
        <v>297</v>
      </c>
      <c r="AD174" s="6">
        <f t="shared" si="11"/>
        <v>-13</v>
      </c>
      <c r="AE174" s="6" t="s">
        <v>15823</v>
      </c>
    </row>
    <row r="175" spans="1:31">
      <c r="A175" s="33" t="str">
        <f>HOUNSLOW!A9</f>
        <v>Feltham and Heston BC</v>
      </c>
      <c r="B175" s="7">
        <f>HOUNSLOW!D9</f>
        <v>80783</v>
      </c>
      <c r="C175" s="7">
        <f>HOUNSLOW!E9</f>
        <v>80437</v>
      </c>
      <c r="D175" s="7">
        <f>HOUNSLOW!F9</f>
        <v>81668</v>
      </c>
      <c r="E175" s="7">
        <f>HOUNSLOW!G9</f>
        <v>82145</v>
      </c>
      <c r="F175" s="7">
        <f>HOUNSLOW!H9</f>
        <v>83308</v>
      </c>
      <c r="G175" s="7">
        <f>HOUNSLOW!I9</f>
        <v>80948</v>
      </c>
      <c r="H175" s="7">
        <f>HOUNSLOW!J9</f>
        <v>79083</v>
      </c>
      <c r="I175" s="7">
        <f>HOUNSLOW!K9</f>
        <v>80378</v>
      </c>
      <c r="J175" s="7">
        <f>HOUNSLOW!L9</f>
        <v>80398</v>
      </c>
      <c r="K175" s="7">
        <f>HOUNSLOW!M9</f>
        <v>79102</v>
      </c>
      <c r="L175" s="7">
        <f>HOUNSLOW!N9</f>
        <v>79426</v>
      </c>
      <c r="M175" s="7">
        <f>HOUNSLOW!O9</f>
        <v>81998</v>
      </c>
      <c r="N175" s="34">
        <f t="shared" si="8"/>
        <v>1.5040293130980528E-2</v>
      </c>
      <c r="O175" s="34"/>
      <c r="P175" s="7">
        <f t="shared" si="9"/>
        <v>8605</v>
      </c>
      <c r="Q175" s="1004">
        <f t="shared" si="10"/>
        <v>0.11724551387734525</v>
      </c>
      <c r="R175" s="6">
        <v>28</v>
      </c>
      <c r="S175" s="6">
        <v>38</v>
      </c>
      <c r="T175" s="6">
        <v>35</v>
      </c>
      <c r="U175" s="6">
        <v>34</v>
      </c>
      <c r="V175" s="6">
        <v>23</v>
      </c>
      <c r="W175" s="6">
        <v>30</v>
      </c>
      <c r="X175" s="6">
        <v>38</v>
      </c>
      <c r="Y175" s="6">
        <v>61</v>
      </c>
      <c r="Z175" s="6">
        <v>73</v>
      </c>
      <c r="AA175" s="6">
        <v>85</v>
      </c>
      <c r="AB175" s="6">
        <v>129</v>
      </c>
      <c r="AC175" s="6">
        <v>91</v>
      </c>
      <c r="AD175" s="6">
        <f t="shared" si="11"/>
        <v>38</v>
      </c>
      <c r="AE175" s="6" t="s">
        <v>15827</v>
      </c>
    </row>
    <row r="176" spans="1:31">
      <c r="A176" s="33" t="str">
        <f>'SOUTH GLOUCESTERSHIRE'!A7</f>
        <v>Filton and Bradley Stoke CC</v>
      </c>
      <c r="B176" s="7">
        <f>'SOUTH GLOUCESTERSHIRE'!D7</f>
        <v>68763</v>
      </c>
      <c r="C176" s="7">
        <f>'SOUTH GLOUCESTERSHIRE'!E7</f>
        <v>69732</v>
      </c>
      <c r="D176" s="7">
        <f>'SOUTH GLOUCESTERSHIRE'!F7</f>
        <v>70574</v>
      </c>
      <c r="E176" s="7">
        <f>'SOUTH GLOUCESTERSHIRE'!G7</f>
        <v>70994</v>
      </c>
      <c r="F176" s="7">
        <f>'SOUTH GLOUCESTERSHIRE'!H7</f>
        <v>71670</v>
      </c>
      <c r="G176" s="7">
        <f>'SOUTH GLOUCESTERSHIRE'!I7</f>
        <v>69560</v>
      </c>
      <c r="H176" s="7">
        <f>'SOUTH GLOUCESTERSHIRE'!J7</f>
        <v>69455</v>
      </c>
      <c r="I176" s="7">
        <f>'SOUTH GLOUCESTERSHIRE'!K7</f>
        <v>70743</v>
      </c>
      <c r="J176" s="7">
        <f>'SOUTH GLOUCESTERSHIRE'!L7</f>
        <v>67062</v>
      </c>
      <c r="K176" s="7">
        <f>'SOUTH GLOUCESTERSHIRE'!M7</f>
        <v>69420</v>
      </c>
      <c r="L176" s="7">
        <f>'SOUTH GLOUCESTERSHIRE'!N7</f>
        <v>74355</v>
      </c>
      <c r="M176" s="7">
        <f>'SOUTH GLOUCESTERSHIRE'!O7</f>
        <v>74287</v>
      </c>
      <c r="N176" s="34">
        <f t="shared" si="8"/>
        <v>8.0333900498814767E-2</v>
      </c>
      <c r="O176" s="34"/>
      <c r="P176" s="7">
        <f t="shared" si="9"/>
        <v>894</v>
      </c>
      <c r="Q176" s="1004">
        <f t="shared" si="10"/>
        <v>1.2180998187838077E-2</v>
      </c>
      <c r="R176" s="6">
        <v>359</v>
      </c>
      <c r="S176" s="6">
        <v>347</v>
      </c>
      <c r="T176" s="6">
        <v>331</v>
      </c>
      <c r="U176" s="6">
        <v>325</v>
      </c>
      <c r="V176" s="6">
        <v>296</v>
      </c>
      <c r="W176" s="6">
        <v>310</v>
      </c>
      <c r="X176" s="6">
        <v>295</v>
      </c>
      <c r="Y176" s="6">
        <v>309</v>
      </c>
      <c r="Z176" s="6">
        <v>422</v>
      </c>
      <c r="AA176" s="6">
        <v>348</v>
      </c>
      <c r="AB176" s="6">
        <v>245</v>
      </c>
      <c r="AC176" s="6">
        <v>262</v>
      </c>
      <c r="AD176" s="6">
        <f t="shared" si="11"/>
        <v>-17</v>
      </c>
      <c r="AE176" s="6" t="s">
        <v>15830</v>
      </c>
    </row>
    <row r="177" spans="1:31">
      <c r="A177" s="33" t="str">
        <f>BARNET!A9</f>
        <v>Finchley and Golders Green BC</v>
      </c>
      <c r="B177" s="7">
        <f>BARNET!D9</f>
        <v>69862</v>
      </c>
      <c r="C177" s="7">
        <f>BARNET!E9</f>
        <v>71595</v>
      </c>
      <c r="D177" s="7">
        <f>BARNET!F9</f>
        <v>70918</v>
      </c>
      <c r="E177" s="7">
        <f>BARNET!G9</f>
        <v>70821</v>
      </c>
      <c r="F177" s="7">
        <f>BARNET!H9</f>
        <v>67340</v>
      </c>
      <c r="G177" s="7">
        <f>BARNET!I9</f>
        <v>68554</v>
      </c>
      <c r="H177" s="7">
        <f>BARNET!J9</f>
        <v>66631</v>
      </c>
      <c r="I177" s="7">
        <f>BARNET!K9</f>
        <v>69535</v>
      </c>
      <c r="J177" s="7">
        <f>BARNET!L9</f>
        <v>74821</v>
      </c>
      <c r="K177" s="7">
        <f>BARNET!M9</f>
        <v>73033</v>
      </c>
      <c r="L177" s="7">
        <f>BARNET!N9</f>
        <v>73533</v>
      </c>
      <c r="M177" s="7">
        <f>BARNET!O9</f>
        <v>75594</v>
      </c>
      <c r="N177" s="34">
        <f t="shared" si="8"/>
        <v>8.2047465002433373E-2</v>
      </c>
      <c r="O177" s="34"/>
      <c r="P177" s="7">
        <f t="shared" si="9"/>
        <v>2201</v>
      </c>
      <c r="Q177" s="1004">
        <f t="shared" si="10"/>
        <v>2.9989236030684124E-2</v>
      </c>
      <c r="R177" s="6">
        <v>325</v>
      </c>
      <c r="S177" s="6">
        <v>294</v>
      </c>
      <c r="T177" s="6">
        <v>318</v>
      </c>
      <c r="U177" s="6">
        <v>330</v>
      </c>
      <c r="V177" s="6">
        <v>417</v>
      </c>
      <c r="W177" s="6">
        <v>349</v>
      </c>
      <c r="X177" s="6">
        <v>385</v>
      </c>
      <c r="Y177" s="6">
        <v>352</v>
      </c>
      <c r="Z177" s="6">
        <v>183</v>
      </c>
      <c r="AA177" s="6">
        <v>219</v>
      </c>
      <c r="AB177" s="6">
        <v>278</v>
      </c>
      <c r="AC177" s="6">
        <v>222</v>
      </c>
      <c r="AD177" s="6">
        <f t="shared" si="11"/>
        <v>56</v>
      </c>
      <c r="AE177" s="6" t="s">
        <v>15827</v>
      </c>
    </row>
    <row r="178" spans="1:31">
      <c r="A178" s="33" t="str">
        <f>KENT!A42</f>
        <v>Folkestone and Hythe CC</v>
      </c>
      <c r="B178" s="7">
        <f>KENT!D44</f>
        <v>77573</v>
      </c>
      <c r="C178" s="7">
        <f>KENT!E44</f>
        <v>84156</v>
      </c>
      <c r="D178" s="7">
        <f>KENT!F44</f>
        <v>84930</v>
      </c>
      <c r="E178" s="7">
        <f>KENT!G44</f>
        <v>85548</v>
      </c>
      <c r="F178" s="7">
        <f>KENT!H44</f>
        <v>84683</v>
      </c>
      <c r="G178" s="7">
        <f>KENT!I44</f>
        <v>82000</v>
      </c>
      <c r="H178" s="7">
        <f>KENT!J44</f>
        <v>81416</v>
      </c>
      <c r="I178" s="7">
        <f>KENT!K44</f>
        <v>83995</v>
      </c>
      <c r="J178" s="7">
        <f>KENT!L44</f>
        <v>85518</v>
      </c>
      <c r="K178" s="7">
        <f>KENT!M44</f>
        <v>85855</v>
      </c>
      <c r="L178" s="7">
        <f>KENT!N44</f>
        <v>88958</v>
      </c>
      <c r="M178" s="7">
        <f>KENT!O44</f>
        <v>88563</v>
      </c>
      <c r="N178" s="34">
        <f t="shared" si="8"/>
        <v>0.14167300478259187</v>
      </c>
      <c r="O178" s="34"/>
      <c r="P178" s="7">
        <f t="shared" si="9"/>
        <v>15170</v>
      </c>
      <c r="Q178" s="1004">
        <f t="shared" si="10"/>
        <v>0.20669546142002643</v>
      </c>
      <c r="R178" s="6">
        <v>76</v>
      </c>
      <c r="S178" s="6">
        <v>12</v>
      </c>
      <c r="T178" s="6">
        <v>12</v>
      </c>
      <c r="U178" s="6">
        <v>12</v>
      </c>
      <c r="V178" s="6">
        <v>15</v>
      </c>
      <c r="W178" s="6">
        <v>23</v>
      </c>
      <c r="X178" s="6">
        <v>19</v>
      </c>
      <c r="Y178" s="6">
        <v>18</v>
      </c>
      <c r="Z178" s="6">
        <v>15</v>
      </c>
      <c r="AA178" s="6">
        <v>14</v>
      </c>
      <c r="AB178" s="6">
        <v>17</v>
      </c>
      <c r="AC178" s="6">
        <v>21</v>
      </c>
      <c r="AD178" s="6">
        <f t="shared" si="11"/>
        <v>-4</v>
      </c>
      <c r="AE178" s="6" t="s">
        <v>15823</v>
      </c>
    </row>
    <row r="179" spans="1:31">
      <c r="A179" s="33" t="str">
        <f>GLOUCESTERSHIRE!A16</f>
        <v>Forest of Dean CC</v>
      </c>
      <c r="B179" s="7">
        <f>GLOUCESTERSHIRE!D18</f>
        <v>68839</v>
      </c>
      <c r="C179" s="7">
        <f>GLOUCESTERSHIRE!E18</f>
        <v>68703</v>
      </c>
      <c r="D179" s="7">
        <f>GLOUCESTERSHIRE!F18</f>
        <v>69421</v>
      </c>
      <c r="E179" s="7">
        <f>GLOUCESTERSHIRE!G18</f>
        <v>69906</v>
      </c>
      <c r="F179" s="7">
        <f>GLOUCESTERSHIRE!H18</f>
        <v>69766</v>
      </c>
      <c r="G179" s="7">
        <f>GLOUCESTERSHIRE!I18</f>
        <v>68830</v>
      </c>
      <c r="H179" s="7">
        <f>GLOUCESTERSHIRE!J18</f>
        <v>68590</v>
      </c>
      <c r="I179" s="7">
        <f>GLOUCESTERSHIRE!K18</f>
        <v>71778</v>
      </c>
      <c r="J179" s="7">
        <f>GLOUCESTERSHIRE!L18</f>
        <v>70562</v>
      </c>
      <c r="K179" s="7">
        <f>GLOUCESTERSHIRE!M18</f>
        <v>70289</v>
      </c>
      <c r="L179" s="7">
        <f>GLOUCESTERSHIRE!N18</f>
        <v>71879</v>
      </c>
      <c r="M179" s="7">
        <f>GLOUCESTERSHIRE!O18</f>
        <v>71510</v>
      </c>
      <c r="N179" s="34">
        <f t="shared" si="8"/>
        <v>3.880067984717965E-2</v>
      </c>
      <c r="O179" s="34"/>
      <c r="P179" s="7">
        <f t="shared" si="9"/>
        <v>-1883</v>
      </c>
      <c r="Q179" s="1004">
        <f t="shared" si="10"/>
        <v>-2.5656397749104137E-2</v>
      </c>
      <c r="R179" s="6">
        <v>355</v>
      </c>
      <c r="S179" s="6">
        <v>375</v>
      </c>
      <c r="T179" s="6">
        <v>366</v>
      </c>
      <c r="U179" s="6">
        <v>359</v>
      </c>
      <c r="V179" s="6">
        <v>354</v>
      </c>
      <c r="W179" s="6">
        <v>338</v>
      </c>
      <c r="X179" s="6">
        <v>320</v>
      </c>
      <c r="Y179" s="6">
        <v>265</v>
      </c>
      <c r="Z179" s="6">
        <v>338</v>
      </c>
      <c r="AA179" s="6">
        <v>321</v>
      </c>
      <c r="AB179" s="6">
        <v>320</v>
      </c>
      <c r="AC179" s="6">
        <v>358</v>
      </c>
      <c r="AD179" s="6">
        <f t="shared" si="11"/>
        <v>-38</v>
      </c>
      <c r="AE179" s="6" t="s">
        <v>15830</v>
      </c>
    </row>
    <row r="180" spans="1:31">
      <c r="A180" s="33" t="str">
        <f>LANCASHIRE!A39</f>
        <v>Fylde CC</v>
      </c>
      <c r="B180" s="7">
        <f>LANCASHIRE!D41</f>
        <v>65933</v>
      </c>
      <c r="C180" s="7">
        <f>LANCASHIRE!E41</f>
        <v>66504</v>
      </c>
      <c r="D180" s="7">
        <f>LANCASHIRE!F41</f>
        <v>65315</v>
      </c>
      <c r="E180" s="7">
        <f>LANCASHIRE!G41</f>
        <v>65961</v>
      </c>
      <c r="F180" s="7">
        <f>LANCASHIRE!H41</f>
        <v>65222</v>
      </c>
      <c r="G180" s="7">
        <f>LANCASHIRE!I41</f>
        <v>63928</v>
      </c>
      <c r="H180" s="7">
        <f>LANCASHIRE!J41</f>
        <v>63943</v>
      </c>
      <c r="I180" s="7">
        <f>LANCASHIRE!K41</f>
        <v>64782</v>
      </c>
      <c r="J180" s="7">
        <f>LANCASHIRE!L41</f>
        <v>65188</v>
      </c>
      <c r="K180" s="7">
        <f>LANCASHIRE!M41</f>
        <v>65102</v>
      </c>
      <c r="L180" s="7">
        <f>LANCASHIRE!N41</f>
        <v>66600</v>
      </c>
      <c r="M180" s="7">
        <f>LANCASHIRE!O41</f>
        <v>67977</v>
      </c>
      <c r="N180" s="34">
        <f t="shared" si="8"/>
        <v>3.1001167852213612E-2</v>
      </c>
      <c r="O180" s="34"/>
      <c r="P180" s="7">
        <f t="shared" si="9"/>
        <v>-5416</v>
      </c>
      <c r="Q180" s="1004">
        <f t="shared" si="10"/>
        <v>-7.3794503563010094E-2</v>
      </c>
      <c r="R180" s="6">
        <v>440</v>
      </c>
      <c r="S180" s="6">
        <v>440</v>
      </c>
      <c r="T180" s="6">
        <v>474</v>
      </c>
      <c r="U180" s="6">
        <v>467</v>
      </c>
      <c r="V180" s="6">
        <v>466</v>
      </c>
      <c r="W180" s="6">
        <v>462</v>
      </c>
      <c r="X180" s="6">
        <v>444</v>
      </c>
      <c r="Y180" s="6">
        <v>457</v>
      </c>
      <c r="Z180" s="6">
        <v>455</v>
      </c>
      <c r="AA180" s="6">
        <v>450</v>
      </c>
      <c r="AB180" s="6">
        <v>448</v>
      </c>
      <c r="AC180" s="6">
        <v>437</v>
      </c>
      <c r="AD180" s="6">
        <f t="shared" si="11"/>
        <v>11</v>
      </c>
      <c r="AE180" s="6" t="s">
        <v>15825</v>
      </c>
    </row>
    <row r="181" spans="1:31">
      <c r="A181" s="33" t="str">
        <f>LINCOLNSHIRE!A19</f>
        <v>Gainsborough CC</v>
      </c>
      <c r="B181" s="7">
        <f>LINCOLNSHIRE!D21</f>
        <v>72833</v>
      </c>
      <c r="C181" s="7">
        <f>LINCOLNSHIRE!E21</f>
        <v>73795</v>
      </c>
      <c r="D181" s="7">
        <f>LINCOLNSHIRE!F21</f>
        <v>74076</v>
      </c>
      <c r="E181" s="7">
        <f>LINCOLNSHIRE!G21</f>
        <v>74595</v>
      </c>
      <c r="F181" s="7">
        <f>LINCOLNSHIRE!H21</f>
        <v>75290</v>
      </c>
      <c r="G181" s="7">
        <f>LINCOLNSHIRE!I21</f>
        <v>73691</v>
      </c>
      <c r="H181" s="7">
        <f>LINCOLNSHIRE!J21</f>
        <v>74332</v>
      </c>
      <c r="I181" s="7">
        <f>LINCOLNSHIRE!K21</f>
        <v>74903</v>
      </c>
      <c r="J181" s="7">
        <f>LINCOLNSHIRE!L21</f>
        <v>74980</v>
      </c>
      <c r="K181" s="7">
        <f>LINCOLNSHIRE!M21</f>
        <v>74415</v>
      </c>
      <c r="L181" s="7">
        <f>LINCOLNSHIRE!N21</f>
        <v>75846</v>
      </c>
      <c r="M181" s="7">
        <f>LINCOLNSHIRE!O21</f>
        <v>76801</v>
      </c>
      <c r="N181" s="34">
        <f t="shared" si="8"/>
        <v>5.448079853912375E-2</v>
      </c>
      <c r="O181" s="34"/>
      <c r="P181" s="7">
        <f t="shared" si="9"/>
        <v>3408</v>
      </c>
      <c r="Q181" s="1004">
        <f t="shared" si="10"/>
        <v>4.6434946112027031E-2</v>
      </c>
      <c r="R181" s="6">
        <v>206</v>
      </c>
      <c r="S181" s="6">
        <v>194</v>
      </c>
      <c r="T181" s="6">
        <v>196</v>
      </c>
      <c r="U181" s="6">
        <v>193</v>
      </c>
      <c r="V181" s="6">
        <v>168</v>
      </c>
      <c r="W181" s="6">
        <v>171</v>
      </c>
      <c r="X181" s="6">
        <v>135</v>
      </c>
      <c r="Y181" s="6">
        <v>161</v>
      </c>
      <c r="Z181" s="6">
        <v>177</v>
      </c>
      <c r="AA181" s="6">
        <v>177</v>
      </c>
      <c r="AB181" s="6">
        <v>208</v>
      </c>
      <c r="AC181" s="6">
        <v>203</v>
      </c>
      <c r="AD181" s="6">
        <f t="shared" si="11"/>
        <v>5</v>
      </c>
      <c r="AE181" s="6" t="s">
        <v>15826</v>
      </c>
    </row>
    <row r="182" spans="1:31">
      <c r="A182" s="33" t="str">
        <f>MERSEYSIDE!A17</f>
        <v>Garston and Halewood BC</v>
      </c>
      <c r="B182" s="7">
        <f>MERSEYSIDE!D19</f>
        <v>71346</v>
      </c>
      <c r="C182" s="7">
        <f>MERSEYSIDE!E19</f>
        <v>71618</v>
      </c>
      <c r="D182" s="7">
        <f>MERSEYSIDE!F19</f>
        <v>72053</v>
      </c>
      <c r="E182" s="7">
        <f>MERSEYSIDE!G19</f>
        <v>72677</v>
      </c>
      <c r="F182" s="7">
        <f>MERSEYSIDE!H19</f>
        <v>72948</v>
      </c>
      <c r="G182" s="7">
        <f>MERSEYSIDE!I19</f>
        <v>71748</v>
      </c>
      <c r="H182" s="7">
        <f>MERSEYSIDE!J19</f>
        <v>71942</v>
      </c>
      <c r="I182" s="7">
        <f>MERSEYSIDE!K19</f>
        <v>73524</v>
      </c>
      <c r="J182" s="7">
        <f>MERSEYSIDE!L19</f>
        <v>74432</v>
      </c>
      <c r="K182" s="7">
        <f>MERSEYSIDE!M19</f>
        <v>74218</v>
      </c>
      <c r="L182" s="7">
        <f>MERSEYSIDE!N19</f>
        <v>76598</v>
      </c>
      <c r="M182" s="7">
        <f>MERSEYSIDE!O19</f>
        <v>76406</v>
      </c>
      <c r="N182" s="34">
        <f t="shared" si="8"/>
        <v>7.0921985815602842E-2</v>
      </c>
      <c r="O182" s="34"/>
      <c r="P182" s="7">
        <f t="shared" si="9"/>
        <v>3013</v>
      </c>
      <c r="Q182" s="1004">
        <f t="shared" si="10"/>
        <v>4.1052961454089626E-2</v>
      </c>
      <c r="R182" s="6">
        <v>277</v>
      </c>
      <c r="S182" s="6">
        <v>292</v>
      </c>
      <c r="T182" s="6">
        <v>291</v>
      </c>
      <c r="U182" s="6">
        <v>280</v>
      </c>
      <c r="V182" s="6">
        <v>248</v>
      </c>
      <c r="W182" s="6">
        <v>239</v>
      </c>
      <c r="X182" s="6">
        <v>200</v>
      </c>
      <c r="Y182" s="6">
        <v>209</v>
      </c>
      <c r="Z182" s="6">
        <v>197</v>
      </c>
      <c r="AA182" s="6">
        <v>183</v>
      </c>
      <c r="AB182" s="6">
        <v>197</v>
      </c>
      <c r="AC182" s="6">
        <v>210</v>
      </c>
      <c r="AD182" s="6">
        <f t="shared" si="11"/>
        <v>-13</v>
      </c>
      <c r="AE182" s="6" t="s">
        <v>15825</v>
      </c>
    </row>
    <row r="183" spans="1:31">
      <c r="A183" s="33" t="str">
        <f>'TYNE &amp; WEAR'!A16</f>
        <v>Gateshead BC</v>
      </c>
      <c r="B183" s="7">
        <f>'TYNE &amp; WEAR'!D16</f>
        <v>66250</v>
      </c>
      <c r="C183" s="7">
        <f>'TYNE &amp; WEAR'!E16</f>
        <v>66066</v>
      </c>
      <c r="D183" s="7">
        <f>'TYNE &amp; WEAR'!F16</f>
        <v>65745</v>
      </c>
      <c r="E183" s="7">
        <f>'TYNE &amp; WEAR'!G16</f>
        <v>66395</v>
      </c>
      <c r="F183" s="7">
        <f>'TYNE &amp; WEAR'!H16</f>
        <v>65600</v>
      </c>
      <c r="G183" s="7">
        <f>'TYNE &amp; WEAR'!I16</f>
        <v>62048</v>
      </c>
      <c r="H183" s="7">
        <f>'TYNE &amp; WEAR'!J16</f>
        <v>62188</v>
      </c>
      <c r="I183" s="7">
        <f>'TYNE &amp; WEAR'!K16</f>
        <v>63769</v>
      </c>
      <c r="J183" s="7">
        <f>'TYNE &amp; WEAR'!L16</f>
        <v>64357</v>
      </c>
      <c r="K183" s="7">
        <f>'TYNE &amp; WEAR'!M16</f>
        <v>62935</v>
      </c>
      <c r="L183" s="7">
        <f>'TYNE &amp; WEAR'!N16</f>
        <v>64224</v>
      </c>
      <c r="M183" s="7">
        <f>'TYNE &amp; WEAR'!O16</f>
        <v>64154</v>
      </c>
      <c r="N183" s="34">
        <f t="shared" si="8"/>
        <v>-3.1637735849056603E-2</v>
      </c>
      <c r="O183" s="34"/>
      <c r="P183" s="7">
        <f t="shared" si="9"/>
        <v>-9239</v>
      </c>
      <c r="Q183" s="1004">
        <f t="shared" si="10"/>
        <v>-0.12588393988527516</v>
      </c>
      <c r="R183" s="6">
        <v>430</v>
      </c>
      <c r="S183" s="6">
        <v>451</v>
      </c>
      <c r="T183" s="6">
        <v>462</v>
      </c>
      <c r="U183" s="6">
        <v>454</v>
      </c>
      <c r="V183" s="6">
        <v>459</v>
      </c>
      <c r="W183" s="6">
        <v>492</v>
      </c>
      <c r="X183" s="6">
        <v>479</v>
      </c>
      <c r="Y183" s="6">
        <v>475</v>
      </c>
      <c r="Z183" s="6">
        <v>473</v>
      </c>
      <c r="AA183" s="6">
        <v>479</v>
      </c>
      <c r="AB183" s="6">
        <v>483</v>
      </c>
      <c r="AC183" s="6">
        <v>497</v>
      </c>
      <c r="AD183" s="6">
        <f t="shared" si="11"/>
        <v>-14</v>
      </c>
      <c r="AE183" s="6" t="s">
        <v>2901</v>
      </c>
    </row>
    <row r="184" spans="1:31">
      <c r="A184" s="33" t="str">
        <f>NOTTINGHAMSHIRE!A23</f>
        <v>Gedling CC</v>
      </c>
      <c r="B184" s="7">
        <f>NOTTINGHAMSHIRE!D23</f>
        <v>70989</v>
      </c>
      <c r="C184" s="7">
        <f>NOTTINGHAMSHIRE!E23</f>
        <v>70886</v>
      </c>
      <c r="D184" s="7">
        <f>NOTTINGHAMSHIRE!F23</f>
        <v>70420</v>
      </c>
      <c r="E184" s="7">
        <f>NOTTINGHAMSHIRE!G23</f>
        <v>71511</v>
      </c>
      <c r="F184" s="7">
        <f>NOTTINGHAMSHIRE!H23</f>
        <v>68307</v>
      </c>
      <c r="G184" s="7">
        <f>NOTTINGHAMSHIRE!I23</f>
        <v>68950</v>
      </c>
      <c r="H184" s="7">
        <f>NOTTINGHAMSHIRE!J23</f>
        <v>68900</v>
      </c>
      <c r="I184" s="7">
        <f>NOTTINGHAMSHIRE!K23</f>
        <v>70782</v>
      </c>
      <c r="J184" s="7">
        <f>NOTTINGHAMSHIRE!L23</f>
        <v>70818</v>
      </c>
      <c r="K184" s="7">
        <f>NOTTINGHAMSHIRE!M23</f>
        <v>70168</v>
      </c>
      <c r="L184" s="7">
        <f>NOTTINGHAMSHIRE!N23</f>
        <v>71839</v>
      </c>
      <c r="M184" s="7">
        <f>NOTTINGHAMSHIRE!O23</f>
        <v>70871</v>
      </c>
      <c r="N184" s="34">
        <f t="shared" si="8"/>
        <v>-1.662229359478229E-3</v>
      </c>
      <c r="O184" s="34"/>
      <c r="P184" s="7">
        <f t="shared" si="9"/>
        <v>-2522</v>
      </c>
      <c r="Q184" s="1004">
        <f t="shared" si="10"/>
        <v>-3.4362950145109206E-2</v>
      </c>
      <c r="R184" s="6">
        <v>294</v>
      </c>
      <c r="S184" s="6">
        <v>313</v>
      </c>
      <c r="T184" s="6">
        <v>334</v>
      </c>
      <c r="U184" s="6">
        <v>315</v>
      </c>
      <c r="V184" s="6">
        <v>393</v>
      </c>
      <c r="W184" s="6">
        <v>334</v>
      </c>
      <c r="X184" s="36">
        <v>311</v>
      </c>
      <c r="Y184" s="6">
        <v>305</v>
      </c>
      <c r="Z184" s="6">
        <v>327</v>
      </c>
      <c r="AA184" s="6">
        <v>328</v>
      </c>
      <c r="AB184" s="6">
        <v>323</v>
      </c>
      <c r="AC184" s="6">
        <v>374</v>
      </c>
      <c r="AD184" s="6">
        <f t="shared" si="11"/>
        <v>-51</v>
      </c>
      <c r="AE184" s="6" t="s">
        <v>15826</v>
      </c>
    </row>
    <row r="185" spans="1:31">
      <c r="A185" s="33" t="str">
        <f>KENT!A46</f>
        <v>Gillingham and Rainham BC</v>
      </c>
      <c r="B185" s="7">
        <f>KENT!D46</f>
        <v>71302</v>
      </c>
      <c r="C185" s="7">
        <f>KENT!E46</f>
        <v>71109</v>
      </c>
      <c r="D185" s="7">
        <f>KENT!F46</f>
        <v>72004</v>
      </c>
      <c r="E185" s="7">
        <f>KENT!G46</f>
        <v>72528</v>
      </c>
      <c r="F185" s="7">
        <f>KENT!H46</f>
        <v>73724</v>
      </c>
      <c r="G185" s="7">
        <f>KENT!I46</f>
        <v>70984</v>
      </c>
      <c r="H185" s="7">
        <f>KENT!J46</f>
        <v>68890</v>
      </c>
      <c r="I185" s="7">
        <f>KENT!K46</f>
        <v>71819</v>
      </c>
      <c r="J185" s="7">
        <f>KENT!L46</f>
        <v>71936</v>
      </c>
      <c r="K185" s="7">
        <f>KENT!M46</f>
        <v>73283</v>
      </c>
      <c r="L185" s="7">
        <f>KENT!N46</f>
        <v>71644</v>
      </c>
      <c r="M185" s="7">
        <f>KENT!O46</f>
        <v>73951</v>
      </c>
      <c r="N185" s="34">
        <f t="shared" si="8"/>
        <v>3.7151833048161345E-2</v>
      </c>
      <c r="O185" s="34"/>
      <c r="P185" s="7">
        <f t="shared" si="9"/>
        <v>558</v>
      </c>
      <c r="Q185" s="1004">
        <f t="shared" si="10"/>
        <v>7.6029049091875245E-3</v>
      </c>
      <c r="R185" s="6">
        <v>279</v>
      </c>
      <c r="S185" s="6">
        <v>309</v>
      </c>
      <c r="T185" s="6">
        <v>293</v>
      </c>
      <c r="U185" s="6">
        <v>288</v>
      </c>
      <c r="V185" s="6">
        <v>217</v>
      </c>
      <c r="W185" s="6">
        <v>267</v>
      </c>
      <c r="X185" s="6">
        <v>312</v>
      </c>
      <c r="Y185" s="6">
        <v>262</v>
      </c>
      <c r="Z185" s="6">
        <v>281</v>
      </c>
      <c r="AA185" s="6">
        <v>214</v>
      </c>
      <c r="AB185" s="6">
        <v>328</v>
      </c>
      <c r="AC185" s="6">
        <v>278</v>
      </c>
      <c r="AD185" s="6">
        <f t="shared" si="11"/>
        <v>50</v>
      </c>
      <c r="AE185" s="6" t="s">
        <v>15823</v>
      </c>
    </row>
    <row r="186" spans="1:31">
      <c r="A186" s="33" t="str">
        <f>GLOUCESTERSHIRE!A20</f>
        <v>Gloucester BC</v>
      </c>
      <c r="B186" s="7">
        <f>GLOUCESTERSHIRE!D20</f>
        <v>79972</v>
      </c>
      <c r="C186" s="7">
        <f>GLOUCESTERSHIRE!E20</f>
        <v>80788</v>
      </c>
      <c r="D186" s="7">
        <f>GLOUCESTERSHIRE!F20</f>
        <v>82214</v>
      </c>
      <c r="E186" s="7">
        <f>GLOUCESTERSHIRE!G20</f>
        <v>83183</v>
      </c>
      <c r="F186" s="7">
        <f>GLOUCESTERSHIRE!H20</f>
        <v>82626</v>
      </c>
      <c r="G186" s="7">
        <f>GLOUCESTERSHIRE!I20</f>
        <v>82066</v>
      </c>
      <c r="H186" s="7">
        <f>GLOUCESTERSHIRE!J20</f>
        <v>79129</v>
      </c>
      <c r="I186" s="7">
        <f>GLOUCESTERSHIRE!K20</f>
        <v>80427</v>
      </c>
      <c r="J186" s="7">
        <f>GLOUCESTERSHIRE!L20</f>
        <v>84650</v>
      </c>
      <c r="K186" s="7">
        <f>GLOUCESTERSHIRE!M20</f>
        <v>81365</v>
      </c>
      <c r="L186" s="7">
        <f>GLOUCESTERSHIRE!N20</f>
        <v>78312</v>
      </c>
      <c r="M186" s="7">
        <f>GLOUCESTERSHIRE!O20</f>
        <v>81509</v>
      </c>
      <c r="N186" s="34">
        <f t="shared" si="8"/>
        <v>1.9219226729355273E-2</v>
      </c>
      <c r="O186" s="34"/>
      <c r="P186" s="7">
        <f t="shared" si="9"/>
        <v>8116</v>
      </c>
      <c r="Q186" s="1004">
        <f t="shared" si="10"/>
        <v>0.11058275312359489</v>
      </c>
      <c r="R186" s="6">
        <v>36</v>
      </c>
      <c r="S186" s="6">
        <v>36</v>
      </c>
      <c r="T186" s="6">
        <v>29</v>
      </c>
      <c r="U186" s="6">
        <v>27</v>
      </c>
      <c r="V186" s="6">
        <v>28</v>
      </c>
      <c r="W186" s="6">
        <v>22</v>
      </c>
      <c r="X186" s="6">
        <v>35</v>
      </c>
      <c r="Y186" s="6">
        <v>59</v>
      </c>
      <c r="Z186" s="6">
        <v>19</v>
      </c>
      <c r="AA186" s="6">
        <v>51</v>
      </c>
      <c r="AB186" s="6">
        <v>153</v>
      </c>
      <c r="AC186" s="6">
        <v>97</v>
      </c>
      <c r="AD186" s="6">
        <f t="shared" si="11"/>
        <v>56</v>
      </c>
      <c r="AE186" s="6" t="s">
        <v>15830</v>
      </c>
    </row>
    <row r="187" spans="1:31">
      <c r="A187" s="33" t="str">
        <f>HAMPSHIRE!A35</f>
        <v>Gosport BC</v>
      </c>
      <c r="B187" s="7">
        <f>HAMPSHIRE!D37</f>
        <v>72880</v>
      </c>
      <c r="C187" s="7">
        <f>HAMPSHIRE!E37</f>
        <v>72845</v>
      </c>
      <c r="D187" s="7">
        <f>HAMPSHIRE!F37</f>
        <v>73641</v>
      </c>
      <c r="E187" s="7">
        <f>HAMPSHIRE!G37</f>
        <v>74373</v>
      </c>
      <c r="F187" s="7">
        <f>HAMPSHIRE!H37</f>
        <v>74763</v>
      </c>
      <c r="G187" s="7">
        <f>HAMPSHIRE!I37</f>
        <v>73448</v>
      </c>
      <c r="H187" s="7">
        <f>HAMPSHIRE!J37</f>
        <v>72357</v>
      </c>
      <c r="I187" s="7">
        <f>HAMPSHIRE!K37</f>
        <v>73737</v>
      </c>
      <c r="J187" s="7">
        <f>HAMPSHIRE!L37</f>
        <v>73691</v>
      </c>
      <c r="K187" s="7">
        <f>HAMPSHIRE!M37</f>
        <v>72607</v>
      </c>
      <c r="L187" s="7">
        <f>HAMPSHIRE!N37</f>
        <v>74104</v>
      </c>
      <c r="M187" s="7">
        <f>HAMPSHIRE!O37</f>
        <v>73763</v>
      </c>
      <c r="N187" s="34">
        <f t="shared" si="8"/>
        <v>1.2115806805708014E-2</v>
      </c>
      <c r="O187" s="34"/>
      <c r="P187" s="7">
        <f t="shared" si="9"/>
        <v>370</v>
      </c>
      <c r="Q187" s="1004">
        <f t="shared" si="10"/>
        <v>5.0413527175616202E-3</v>
      </c>
      <c r="R187" s="6">
        <v>203</v>
      </c>
      <c r="S187" s="6">
        <v>236</v>
      </c>
      <c r="T187" s="6">
        <v>217</v>
      </c>
      <c r="U187" s="6">
        <v>197</v>
      </c>
      <c r="V187" s="6">
        <v>176</v>
      </c>
      <c r="W187" s="6">
        <v>174</v>
      </c>
      <c r="X187" s="6">
        <v>183</v>
      </c>
      <c r="Y187" s="6">
        <v>203</v>
      </c>
      <c r="Z187" s="6">
        <v>220</v>
      </c>
      <c r="AA187" s="6">
        <v>233</v>
      </c>
      <c r="AB187" s="6">
        <v>254</v>
      </c>
      <c r="AC187" s="6">
        <v>286</v>
      </c>
      <c r="AD187" s="6">
        <f t="shared" si="11"/>
        <v>-32</v>
      </c>
      <c r="AE187" s="6" t="s">
        <v>15823</v>
      </c>
    </row>
    <row r="188" spans="1:31">
      <c r="A188" s="33" t="str">
        <f>LINCOLNSHIRE!A23</f>
        <v>Grantham and Stamford CC</v>
      </c>
      <c r="B188" s="7">
        <f>LINCOLNSHIRE!D23</f>
        <v>77694</v>
      </c>
      <c r="C188" s="7">
        <f>LINCOLNSHIRE!E23</f>
        <v>79118</v>
      </c>
      <c r="D188" s="7">
        <f>LINCOLNSHIRE!F23</f>
        <v>79144</v>
      </c>
      <c r="E188" s="7">
        <f>LINCOLNSHIRE!G23</f>
        <v>80528</v>
      </c>
      <c r="F188" s="7">
        <f>LINCOLNSHIRE!H23</f>
        <v>80750</v>
      </c>
      <c r="G188" s="7">
        <f>LINCOLNSHIRE!I23</f>
        <v>78679</v>
      </c>
      <c r="H188" s="7">
        <f>LINCOLNSHIRE!J23</f>
        <v>77983</v>
      </c>
      <c r="I188" s="7">
        <f>LINCOLNSHIRE!K23</f>
        <v>81105</v>
      </c>
      <c r="J188" s="7">
        <f>LINCOLNSHIRE!L23</f>
        <v>80347</v>
      </c>
      <c r="K188" s="7">
        <f>LINCOLNSHIRE!M23</f>
        <v>79293</v>
      </c>
      <c r="L188" s="7">
        <f>LINCOLNSHIRE!N23</f>
        <v>80822</v>
      </c>
      <c r="M188" s="7">
        <f>LINCOLNSHIRE!O23</f>
        <v>81844</v>
      </c>
      <c r="N188" s="34">
        <f t="shared" si="8"/>
        <v>5.3414678096120681E-2</v>
      </c>
      <c r="O188" s="34"/>
      <c r="P188" s="7">
        <f t="shared" si="9"/>
        <v>8451</v>
      </c>
      <c r="Q188" s="1004">
        <f t="shared" si="10"/>
        <v>0.11514722112463041</v>
      </c>
      <c r="R188" s="6">
        <v>73</v>
      </c>
      <c r="S188" s="6">
        <v>58</v>
      </c>
      <c r="T188" s="6">
        <v>63</v>
      </c>
      <c r="U188" s="6">
        <v>47</v>
      </c>
      <c r="V188" s="6">
        <v>46</v>
      </c>
      <c r="W188" s="6">
        <v>58</v>
      </c>
      <c r="X188" s="6">
        <v>60</v>
      </c>
      <c r="Y188" s="6">
        <v>43</v>
      </c>
      <c r="Z188" s="6">
        <v>74</v>
      </c>
      <c r="AA188" s="6">
        <v>82</v>
      </c>
      <c r="AB188" s="6">
        <v>94</v>
      </c>
      <c r="AC188" s="6">
        <v>93</v>
      </c>
      <c r="AD188" s="6">
        <f t="shared" si="11"/>
        <v>1</v>
      </c>
      <c r="AE188" s="6" t="s">
        <v>15826</v>
      </c>
    </row>
    <row r="189" spans="1:31">
      <c r="A189" s="33" t="str">
        <f>KENT!A48</f>
        <v>Gravesham CC</v>
      </c>
      <c r="B189" s="7">
        <f>KENT!D48</f>
        <v>69898</v>
      </c>
      <c r="C189" s="7">
        <f>KENT!E48</f>
        <v>70412</v>
      </c>
      <c r="D189" s="7">
        <f>KENT!F48</f>
        <v>71521</v>
      </c>
      <c r="E189" s="7">
        <f>KENT!G48</f>
        <v>72182</v>
      </c>
      <c r="F189" s="7">
        <f>KENT!H48</f>
        <v>72466</v>
      </c>
      <c r="G189" s="7">
        <f>KENT!I48</f>
        <v>70140</v>
      </c>
      <c r="H189" s="7">
        <f>KENT!J48</f>
        <v>70477</v>
      </c>
      <c r="I189" s="7">
        <f>KENT!K48</f>
        <v>73088</v>
      </c>
      <c r="J189" s="7">
        <f>KENT!L48</f>
        <v>71601</v>
      </c>
      <c r="K189" s="7">
        <f>KENT!M48</f>
        <v>71123</v>
      </c>
      <c r="L189" s="7">
        <f>KENT!N48</f>
        <v>72423</v>
      </c>
      <c r="M189" s="7">
        <f>KENT!O48</f>
        <v>72866</v>
      </c>
      <c r="N189" s="34">
        <f t="shared" si="8"/>
        <v>4.2461873014964666E-2</v>
      </c>
      <c r="O189" s="34"/>
      <c r="P189" s="7">
        <f t="shared" si="9"/>
        <v>-527</v>
      </c>
      <c r="Q189" s="1004">
        <f t="shared" si="10"/>
        <v>-7.1805213031215509E-3</v>
      </c>
      <c r="R189" s="6">
        <v>324</v>
      </c>
      <c r="S189" s="6">
        <v>329</v>
      </c>
      <c r="T189" s="6">
        <v>308</v>
      </c>
      <c r="U189" s="6">
        <v>297</v>
      </c>
      <c r="V189" s="6">
        <v>263</v>
      </c>
      <c r="W189" s="6">
        <v>286</v>
      </c>
      <c r="X189" s="6">
        <v>251</v>
      </c>
      <c r="Y189" s="6">
        <v>217</v>
      </c>
      <c r="Z189" s="6">
        <v>292</v>
      </c>
      <c r="AA189" s="6">
        <v>281</v>
      </c>
      <c r="AB189" s="6">
        <v>305</v>
      </c>
      <c r="AC189" s="6">
        <v>324</v>
      </c>
      <c r="AD189" s="6">
        <f t="shared" si="11"/>
        <v>-19</v>
      </c>
      <c r="AE189" s="6" t="s">
        <v>15823</v>
      </c>
    </row>
    <row r="190" spans="1:31">
      <c r="A190" s="33" t="str">
        <f>'"HUMBERSIDE"'!A27</f>
        <v>Great Grimsby BC</v>
      </c>
      <c r="B190" s="7">
        <f>'"HUMBERSIDE"'!D27</f>
        <v>61653</v>
      </c>
      <c r="C190" s="7">
        <f>'"HUMBERSIDE"'!E27</f>
        <v>61929</v>
      </c>
      <c r="D190" s="7">
        <f>'"HUMBERSIDE"'!F27</f>
        <v>62222</v>
      </c>
      <c r="E190" s="7">
        <f>'"HUMBERSIDE"'!G27</f>
        <v>61708</v>
      </c>
      <c r="F190" s="7">
        <f>'"HUMBERSIDE"'!H27</f>
        <v>60474</v>
      </c>
      <c r="G190" s="7">
        <f>'"HUMBERSIDE"'!I27</f>
        <v>57595</v>
      </c>
      <c r="H190" s="7">
        <f>'"HUMBERSIDE"'!J27</f>
        <v>58997</v>
      </c>
      <c r="I190" s="7">
        <f>'"HUMBERSIDE"'!K27</f>
        <v>61577</v>
      </c>
      <c r="J190" s="7">
        <f>'"HUMBERSIDE"'!L27</f>
        <v>60928</v>
      </c>
      <c r="K190" s="7">
        <f>'"HUMBERSIDE"'!M27</f>
        <v>60334</v>
      </c>
      <c r="L190" s="7">
        <f>'"HUMBERSIDE"'!N27</f>
        <v>60149</v>
      </c>
      <c r="M190" s="7">
        <f>'"HUMBERSIDE"'!O27</f>
        <v>60908</v>
      </c>
      <c r="N190" s="34">
        <f t="shared" si="8"/>
        <v>-1.2083759103368855E-2</v>
      </c>
      <c r="O190" s="34"/>
      <c r="P190" s="7">
        <f t="shared" si="9"/>
        <v>-12485</v>
      </c>
      <c r="Q190" s="1004">
        <f t="shared" si="10"/>
        <v>-0.1701115910236671</v>
      </c>
      <c r="R190" s="6">
        <v>516</v>
      </c>
      <c r="S190" s="6">
        <v>516</v>
      </c>
      <c r="T190" s="6">
        <v>512</v>
      </c>
      <c r="U190" s="6">
        <v>522</v>
      </c>
      <c r="V190" s="6">
        <v>521</v>
      </c>
      <c r="W190" s="6">
        <v>523</v>
      </c>
      <c r="X190" s="6">
        <v>509</v>
      </c>
      <c r="Y190" s="6">
        <v>502</v>
      </c>
      <c r="Z190" s="6">
        <v>510</v>
      </c>
      <c r="AA190" s="6">
        <v>506</v>
      </c>
      <c r="AB190" s="6">
        <v>521</v>
      </c>
      <c r="AC190" s="6">
        <v>520</v>
      </c>
      <c r="AD190" s="6">
        <f t="shared" si="11"/>
        <v>1</v>
      </c>
      <c r="AE190" s="6" t="s">
        <v>15828</v>
      </c>
    </row>
    <row r="191" spans="1:31">
      <c r="A191" s="33" t="str">
        <f>NORFOLK!A19</f>
        <v>Great Yarmouth CC</v>
      </c>
      <c r="B191" s="7">
        <f>NORFOLK!D19</f>
        <v>70196</v>
      </c>
      <c r="C191" s="7">
        <f>NORFOLK!E19</f>
        <v>70526</v>
      </c>
      <c r="D191" s="7">
        <f>NORFOLK!F19</f>
        <v>69872</v>
      </c>
      <c r="E191" s="7">
        <f>NORFOLK!G19</f>
        <v>69238</v>
      </c>
      <c r="F191" s="7">
        <f>NORFOLK!H19</f>
        <v>69616</v>
      </c>
      <c r="G191" s="7">
        <f>NORFOLK!I19</f>
        <v>68756</v>
      </c>
      <c r="H191" s="7">
        <f>NORFOLK!J19</f>
        <v>69691</v>
      </c>
      <c r="I191" s="7">
        <f>NORFOLK!K19</f>
        <v>70816</v>
      </c>
      <c r="J191" s="7">
        <f>NORFOLK!L19</f>
        <v>69332</v>
      </c>
      <c r="K191" s="7">
        <f>NORFOLK!M19</f>
        <v>69104</v>
      </c>
      <c r="L191" s="7">
        <f>NORFOLK!N19</f>
        <v>69808</v>
      </c>
      <c r="M191" s="7">
        <f>NORFOLK!O19</f>
        <v>70077</v>
      </c>
      <c r="N191" s="34">
        <f t="shared" si="8"/>
        <v>-1.6952532907857998E-3</v>
      </c>
      <c r="O191" s="34"/>
      <c r="P191" s="7">
        <f t="shared" si="9"/>
        <v>-3316</v>
      </c>
      <c r="Q191" s="1004">
        <f t="shared" si="10"/>
        <v>-4.5181420571444142E-2</v>
      </c>
      <c r="R191" s="6">
        <v>318</v>
      </c>
      <c r="S191" s="6">
        <v>327</v>
      </c>
      <c r="T191" s="6">
        <v>353</v>
      </c>
      <c r="U191" s="6">
        <v>379</v>
      </c>
      <c r="V191" s="6">
        <v>356</v>
      </c>
      <c r="W191" s="6">
        <v>344</v>
      </c>
      <c r="X191" s="6">
        <v>288</v>
      </c>
      <c r="Y191" s="6">
        <v>302</v>
      </c>
      <c r="Z191" s="6">
        <v>372</v>
      </c>
      <c r="AA191" s="6">
        <v>356</v>
      </c>
      <c r="AB191" s="6">
        <v>392</v>
      </c>
      <c r="AC191" s="6">
        <v>394</v>
      </c>
      <c r="AD191" s="6">
        <f t="shared" si="11"/>
        <v>-2</v>
      </c>
      <c r="AE191" s="6" t="s">
        <v>15829</v>
      </c>
    </row>
    <row r="192" spans="1:31">
      <c r="A192" s="33" t="str">
        <f>GREENWICH!A13</f>
        <v>Greenwich and Woolwich BC</v>
      </c>
      <c r="B192" s="7">
        <f>GREENWICH!D13</f>
        <v>62950</v>
      </c>
      <c r="C192" s="7">
        <f>GREENWICH!E13</f>
        <v>66982</v>
      </c>
      <c r="D192" s="7">
        <f>GREENWICH!F13</f>
        <v>67334</v>
      </c>
      <c r="E192" s="7">
        <f>GREENWICH!G13</f>
        <v>68203</v>
      </c>
      <c r="F192" s="7">
        <f>GREENWICH!H13</f>
        <v>68195</v>
      </c>
      <c r="G192" s="7">
        <f>GREENWICH!I13</f>
        <v>69120</v>
      </c>
      <c r="H192" s="7">
        <f>GREENWICH!J13</f>
        <v>69753</v>
      </c>
      <c r="I192" s="7">
        <f>GREENWICH!K13</f>
        <v>72412</v>
      </c>
      <c r="J192" s="7">
        <f>GREENWICH!L13</f>
        <v>73671</v>
      </c>
      <c r="K192" s="7">
        <f>GREENWICH!M13</f>
        <v>73514</v>
      </c>
      <c r="L192" s="7">
        <f>GREENWICH!N13</f>
        <v>74784</v>
      </c>
      <c r="M192" s="7">
        <f>GREENWICH!O13</f>
        <v>79909</v>
      </c>
      <c r="N192" s="34">
        <f t="shared" si="8"/>
        <v>0.26940428911834791</v>
      </c>
      <c r="O192" s="34"/>
      <c r="P192" s="7">
        <f t="shared" si="9"/>
        <v>6516</v>
      </c>
      <c r="Q192" s="1004">
        <f t="shared" si="10"/>
        <v>8.8782308939544641E-2</v>
      </c>
      <c r="R192" s="6">
        <v>504</v>
      </c>
      <c r="S192" s="6">
        <v>423</v>
      </c>
      <c r="T192" s="6">
        <v>421</v>
      </c>
      <c r="U192" s="6">
        <v>408</v>
      </c>
      <c r="V192" s="6">
        <v>395</v>
      </c>
      <c r="W192" s="6">
        <v>328</v>
      </c>
      <c r="X192" s="6">
        <v>279</v>
      </c>
      <c r="Y192" s="6">
        <v>240</v>
      </c>
      <c r="Z192" s="6">
        <v>223</v>
      </c>
      <c r="AA192" s="6">
        <v>206</v>
      </c>
      <c r="AB192" s="6">
        <v>230</v>
      </c>
      <c r="AC192" s="6">
        <v>133</v>
      </c>
      <c r="AD192" s="6">
        <f t="shared" si="11"/>
        <v>97</v>
      </c>
      <c r="AE192" s="6" t="s">
        <v>15827</v>
      </c>
    </row>
    <row r="193" spans="1:31">
      <c r="A193" s="33" t="str">
        <f>SURREY!A30</f>
        <v>Guildford CC</v>
      </c>
      <c r="B193" s="7">
        <f>SURREY!D32</f>
        <v>76836</v>
      </c>
      <c r="C193" s="7">
        <f>SURREY!E32</f>
        <v>77517</v>
      </c>
      <c r="D193" s="7">
        <f>SURREY!F32</f>
        <v>77965</v>
      </c>
      <c r="E193" s="7">
        <f>SURREY!G32</f>
        <v>77817</v>
      </c>
      <c r="F193" s="7">
        <f>SURREY!H32</f>
        <v>77950</v>
      </c>
      <c r="G193" s="7">
        <f>SURREY!I32</f>
        <v>72714</v>
      </c>
      <c r="H193" s="7">
        <f>SURREY!J32</f>
        <v>74077</v>
      </c>
      <c r="I193" s="7">
        <f>SURREY!K32</f>
        <v>74675</v>
      </c>
      <c r="J193" s="7">
        <f>SURREY!L32</f>
        <v>72932</v>
      </c>
      <c r="K193" s="7">
        <f>SURREY!M32</f>
        <v>72280</v>
      </c>
      <c r="L193" s="7">
        <f>SURREY!N32</f>
        <v>73208</v>
      </c>
      <c r="M193" s="7">
        <f>SURREY!O32</f>
        <v>77772</v>
      </c>
      <c r="N193" s="34">
        <f t="shared" si="8"/>
        <v>1.2181789786037794E-2</v>
      </c>
      <c r="O193" s="34"/>
      <c r="P193" s="7">
        <f t="shared" si="9"/>
        <v>4379</v>
      </c>
      <c r="Q193" s="1004">
        <f t="shared" si="10"/>
        <v>5.9665090676222526E-2</v>
      </c>
      <c r="R193" s="6">
        <v>99</v>
      </c>
      <c r="S193" s="6">
        <v>92</v>
      </c>
      <c r="T193" s="6">
        <v>92</v>
      </c>
      <c r="U193" s="6">
        <v>114</v>
      </c>
      <c r="V193" s="6">
        <v>104</v>
      </c>
      <c r="W193" s="6">
        <v>199</v>
      </c>
      <c r="X193" s="6">
        <v>142</v>
      </c>
      <c r="Y193" s="6">
        <v>170</v>
      </c>
      <c r="Z193" s="6">
        <v>245</v>
      </c>
      <c r="AA193" s="6">
        <v>245</v>
      </c>
      <c r="AB193" s="6">
        <v>283</v>
      </c>
      <c r="AC193" s="6">
        <v>175</v>
      </c>
      <c r="AD193" s="6">
        <f t="shared" si="11"/>
        <v>108</v>
      </c>
      <c r="AE193" s="6" t="s">
        <v>15823</v>
      </c>
    </row>
    <row r="194" spans="1:31">
      <c r="A194" s="33" t="str">
        <f>HACKNEY!A7</f>
        <v>Hackney North and Stoke Newington BC</v>
      </c>
      <c r="B194" s="7">
        <f>HACKNEY!D7</f>
        <v>72355</v>
      </c>
      <c r="C194" s="7">
        <f>HACKNEY!E7</f>
        <v>74780</v>
      </c>
      <c r="D194" s="7">
        <f>HACKNEY!F7</f>
        <v>76077</v>
      </c>
      <c r="E194" s="7">
        <f>HACKNEY!G7</f>
        <v>77972</v>
      </c>
      <c r="F194" s="7">
        <f>HACKNEY!H7</f>
        <v>78823</v>
      </c>
      <c r="G194" s="7">
        <f>HACKNEY!I7</f>
        <v>79334</v>
      </c>
      <c r="H194" s="7">
        <f>HACKNEY!J7</f>
        <v>75758</v>
      </c>
      <c r="I194" s="7">
        <f>HACKNEY!K7</f>
        <v>77806</v>
      </c>
      <c r="J194" s="7">
        <f>HACKNEY!L7</f>
        <v>80424</v>
      </c>
      <c r="K194" s="7">
        <f>HACKNEY!M7</f>
        <v>79002</v>
      </c>
      <c r="L194" s="7">
        <f>HACKNEY!N7</f>
        <v>85300</v>
      </c>
      <c r="M194" s="7">
        <f>HACKNEY!O7</f>
        <v>86274</v>
      </c>
      <c r="N194" s="34">
        <f t="shared" si="8"/>
        <v>0.19237094879414002</v>
      </c>
      <c r="O194" s="34"/>
      <c r="P194" s="7">
        <f t="shared" si="9"/>
        <v>12881</v>
      </c>
      <c r="Q194" s="1004">
        <f t="shared" si="10"/>
        <v>0.17550720095921954</v>
      </c>
      <c r="R194" s="6">
        <v>226</v>
      </c>
      <c r="S194" s="6">
        <v>172</v>
      </c>
      <c r="T194" s="6">
        <v>151</v>
      </c>
      <c r="U194" s="6">
        <v>109</v>
      </c>
      <c r="V194" s="6">
        <v>79</v>
      </c>
      <c r="W194" s="6">
        <v>47</v>
      </c>
      <c r="X194" s="6">
        <v>103</v>
      </c>
      <c r="Y194" s="6">
        <v>110</v>
      </c>
      <c r="Z194" s="6">
        <v>72</v>
      </c>
      <c r="AA194" s="6">
        <v>87</v>
      </c>
      <c r="AB194" s="6">
        <v>34</v>
      </c>
      <c r="AC194" s="6">
        <v>35</v>
      </c>
      <c r="AD194" s="6">
        <f t="shared" si="11"/>
        <v>-1</v>
      </c>
      <c r="AE194" s="6" t="s">
        <v>15827</v>
      </c>
    </row>
    <row r="195" spans="1:31">
      <c r="A195" s="33" t="str">
        <f>HACKNEY!A9</f>
        <v>Hackney South and Shoreditch BC</v>
      </c>
      <c r="B195" s="7">
        <f>HACKNEY!D9</f>
        <v>71245</v>
      </c>
      <c r="C195" s="7">
        <f>HACKNEY!E9</f>
        <v>73778</v>
      </c>
      <c r="D195" s="7">
        <f>HACKNEY!F9</f>
        <v>73955</v>
      </c>
      <c r="E195" s="7">
        <f>HACKNEY!G9</f>
        <v>75881</v>
      </c>
      <c r="F195" s="7">
        <f>HACKNEY!H9</f>
        <v>76608</v>
      </c>
      <c r="G195" s="7">
        <f>HACKNEY!I9</f>
        <v>76821</v>
      </c>
      <c r="H195" s="7">
        <f>HACKNEY!J9</f>
        <v>72586</v>
      </c>
      <c r="I195" s="7">
        <f>HACKNEY!K9</f>
        <v>75477</v>
      </c>
      <c r="J195" s="7">
        <f>HACKNEY!L9</f>
        <v>78027</v>
      </c>
      <c r="K195" s="7">
        <f>HACKNEY!M9</f>
        <v>75991</v>
      </c>
      <c r="L195" s="7">
        <f>HACKNEY!N9</f>
        <v>81911</v>
      </c>
      <c r="M195" s="7">
        <f>HACKNEY!O9</f>
        <v>83684</v>
      </c>
      <c r="N195" s="34">
        <f t="shared" si="8"/>
        <v>0.17459470840058952</v>
      </c>
      <c r="O195" s="34"/>
      <c r="P195" s="7">
        <f t="shared" si="9"/>
        <v>10291</v>
      </c>
      <c r="Q195" s="1004">
        <f t="shared" si="10"/>
        <v>0.1402177319362882</v>
      </c>
      <c r="R195" s="6">
        <v>280</v>
      </c>
      <c r="S195" s="6">
        <v>196</v>
      </c>
      <c r="T195" s="6">
        <v>201</v>
      </c>
      <c r="U195" s="6">
        <v>165</v>
      </c>
      <c r="V195" s="6">
        <v>135</v>
      </c>
      <c r="W195" s="6">
        <v>100</v>
      </c>
      <c r="X195" s="6">
        <v>176</v>
      </c>
      <c r="Y195" s="6">
        <v>148</v>
      </c>
      <c r="Z195" s="6">
        <v>122</v>
      </c>
      <c r="AA195" s="6">
        <v>152</v>
      </c>
      <c r="AB195" s="6">
        <v>75</v>
      </c>
      <c r="AC195" s="6">
        <v>61</v>
      </c>
      <c r="AD195" s="6">
        <f t="shared" si="11"/>
        <v>14</v>
      </c>
      <c r="AE195" s="6" t="s">
        <v>15827</v>
      </c>
    </row>
    <row r="196" spans="1:31">
      <c r="A196" s="33" t="str">
        <f>'WEST MIDLANDS'!A45</f>
        <v>Halesowen and Rowley Regis BC</v>
      </c>
      <c r="B196" s="7">
        <f>'WEST MIDLANDS'!D47</f>
        <v>67358</v>
      </c>
      <c r="C196" s="7">
        <f>'WEST MIDLANDS'!E47</f>
        <v>67656</v>
      </c>
      <c r="D196" s="7">
        <f>'WEST MIDLANDS'!F47</f>
        <v>68164</v>
      </c>
      <c r="E196" s="7">
        <f>'WEST MIDLANDS'!G47</f>
        <v>68576</v>
      </c>
      <c r="F196" s="7">
        <f>'WEST MIDLANDS'!H47</f>
        <v>67546</v>
      </c>
      <c r="G196" s="7">
        <f>'WEST MIDLANDS'!I47</f>
        <v>67502</v>
      </c>
      <c r="H196" s="7">
        <f>'WEST MIDLANDS'!J47</f>
        <v>67299</v>
      </c>
      <c r="I196" s="7">
        <f>'WEST MIDLANDS'!K47</f>
        <v>68130</v>
      </c>
      <c r="J196" s="7">
        <f>'WEST MIDLANDS'!L47</f>
        <v>68324</v>
      </c>
      <c r="K196" s="7">
        <f>'WEST MIDLANDS'!M47</f>
        <v>66827</v>
      </c>
      <c r="L196" s="7">
        <f>'WEST MIDLANDS'!N47</f>
        <v>68710</v>
      </c>
      <c r="M196" s="7">
        <f>'WEST MIDLANDS'!O47</f>
        <v>68128</v>
      </c>
      <c r="N196" s="34">
        <f t="shared" ref="N196:N259" si="12">(M196-B196)/B196</f>
        <v>1.1431455803319576E-2</v>
      </c>
      <c r="O196" s="34"/>
      <c r="P196" s="7">
        <f t="shared" ref="P196:P259" si="13">M196-$M$544</f>
        <v>-5265</v>
      </c>
      <c r="Q196" s="1004">
        <f t="shared" ref="Q196:Q259" si="14">(M196-$M$544)/$M$544</f>
        <v>-7.1737086643140352E-2</v>
      </c>
      <c r="R196" s="6">
        <v>400</v>
      </c>
      <c r="S196" s="6">
        <v>402</v>
      </c>
      <c r="T196" s="6">
        <v>394</v>
      </c>
      <c r="U196" s="6">
        <v>400</v>
      </c>
      <c r="V196" s="6">
        <v>411</v>
      </c>
      <c r="W196" s="6">
        <v>375</v>
      </c>
      <c r="X196" s="6">
        <v>366</v>
      </c>
      <c r="Y196" s="6">
        <v>385</v>
      </c>
      <c r="Z196" s="6">
        <v>395</v>
      </c>
      <c r="AA196" s="6">
        <v>413</v>
      </c>
      <c r="AB196" s="6">
        <v>411</v>
      </c>
      <c r="AC196" s="6">
        <v>434</v>
      </c>
      <c r="AD196" s="6">
        <f t="shared" ref="AD196:AD259" si="15">AB196-AC196</f>
        <v>-23</v>
      </c>
      <c r="AE196" s="6" t="s">
        <v>15824</v>
      </c>
    </row>
    <row r="197" spans="1:31">
      <c r="A197" s="33" t="str">
        <f>'WEST YORKSHIRE'!A29</f>
        <v>Halifax BC</v>
      </c>
      <c r="B197" s="7">
        <f>'WEST YORKSHIRE'!D29</f>
        <v>70622</v>
      </c>
      <c r="C197" s="7">
        <f>'WEST YORKSHIRE'!E29</f>
        <v>69126</v>
      </c>
      <c r="D197" s="7">
        <f>'WEST YORKSHIRE'!F29</f>
        <v>69990</v>
      </c>
      <c r="E197" s="7">
        <f>'WEST YORKSHIRE'!G29</f>
        <v>69986</v>
      </c>
      <c r="F197" s="7">
        <f>'WEST YORKSHIRE'!H29</f>
        <v>69164</v>
      </c>
      <c r="G197" s="7">
        <f>'WEST YORKSHIRE'!I29</f>
        <v>67923</v>
      </c>
      <c r="H197" s="7">
        <f>'WEST YORKSHIRE'!J29</f>
        <v>67805</v>
      </c>
      <c r="I197" s="7">
        <f>'WEST YORKSHIRE'!K29</f>
        <v>69620</v>
      </c>
      <c r="J197" s="7">
        <f>'WEST YORKSHIRE'!L29</f>
        <v>69960</v>
      </c>
      <c r="K197" s="7">
        <f>'WEST YORKSHIRE'!M29</f>
        <v>69954</v>
      </c>
      <c r="L197" s="7">
        <f>'WEST YORKSHIRE'!N29</f>
        <v>70413</v>
      </c>
      <c r="M197" s="7">
        <f>'WEST YORKSHIRE'!O29</f>
        <v>71726</v>
      </c>
      <c r="N197" s="34">
        <f t="shared" si="12"/>
        <v>1.5632522443431225E-2</v>
      </c>
      <c r="O197" s="34"/>
      <c r="P197" s="7">
        <f t="shared" si="13"/>
        <v>-1667</v>
      </c>
      <c r="Q197" s="1004">
        <f t="shared" si="14"/>
        <v>-2.2713337784257354E-2</v>
      </c>
      <c r="R197" s="6">
        <v>305</v>
      </c>
      <c r="S197" s="6">
        <v>363</v>
      </c>
      <c r="T197" s="6">
        <v>345</v>
      </c>
      <c r="U197" s="6">
        <v>357</v>
      </c>
      <c r="V197" s="6">
        <v>364</v>
      </c>
      <c r="W197" s="6">
        <v>367</v>
      </c>
      <c r="X197" s="6">
        <v>342</v>
      </c>
      <c r="Y197" s="6">
        <v>347</v>
      </c>
      <c r="Z197" s="6">
        <v>358</v>
      </c>
      <c r="AA197" s="6">
        <v>334</v>
      </c>
      <c r="AB197" s="6">
        <v>369</v>
      </c>
      <c r="AC197" s="6">
        <v>355</v>
      </c>
      <c r="AD197" s="6">
        <f t="shared" si="15"/>
        <v>14</v>
      </c>
      <c r="AE197" s="6" t="s">
        <v>15828</v>
      </c>
    </row>
    <row r="198" spans="1:31">
      <c r="A198" s="33" t="str">
        <f>'"HUMBERSIDE"'!A29</f>
        <v>Haltemprice and Howden CC</v>
      </c>
      <c r="B198" s="7">
        <f>'"HUMBERSIDE"'!D29</f>
        <v>70574</v>
      </c>
      <c r="C198" s="7">
        <f>'"HUMBERSIDE"'!E29</f>
        <v>70864</v>
      </c>
      <c r="D198" s="7">
        <f>'"HUMBERSIDE"'!F29</f>
        <v>69898</v>
      </c>
      <c r="E198" s="7">
        <f>'"HUMBERSIDE"'!G29</f>
        <v>71467</v>
      </c>
      <c r="F198" s="7">
        <f>'"HUMBERSIDE"'!H29</f>
        <v>70997</v>
      </c>
      <c r="G198" s="7">
        <f>'"HUMBERSIDE"'!I29</f>
        <v>69392</v>
      </c>
      <c r="H198" s="7">
        <f>'"HUMBERSIDE"'!J29</f>
        <v>68104</v>
      </c>
      <c r="I198" s="7">
        <f>'"HUMBERSIDE"'!K29</f>
        <v>69345</v>
      </c>
      <c r="J198" s="7">
        <f>'"HUMBERSIDE"'!L29</f>
        <v>69967</v>
      </c>
      <c r="K198" s="7">
        <f>'"HUMBERSIDE"'!M29</f>
        <v>70534</v>
      </c>
      <c r="L198" s="7">
        <f>'"HUMBERSIDE"'!N29</f>
        <v>70252</v>
      </c>
      <c r="M198" s="7">
        <f>'"HUMBERSIDE"'!O29</f>
        <v>70736</v>
      </c>
      <c r="N198" s="34">
        <f t="shared" si="12"/>
        <v>2.2954629183552016E-3</v>
      </c>
      <c r="O198" s="34"/>
      <c r="P198" s="7">
        <f t="shared" si="13"/>
        <v>-2657</v>
      </c>
      <c r="Q198" s="1004">
        <f t="shared" si="14"/>
        <v>-3.6202362623138445E-2</v>
      </c>
      <c r="R198" s="6">
        <v>308</v>
      </c>
      <c r="S198" s="6">
        <v>314</v>
      </c>
      <c r="T198" s="6">
        <v>352</v>
      </c>
      <c r="U198" s="6">
        <v>316</v>
      </c>
      <c r="V198" s="6">
        <v>312</v>
      </c>
      <c r="W198" s="6">
        <v>316</v>
      </c>
      <c r="X198" s="6">
        <v>336</v>
      </c>
      <c r="Y198" s="6">
        <v>355</v>
      </c>
      <c r="Z198" s="6">
        <v>357</v>
      </c>
      <c r="AA198" s="6">
        <v>309</v>
      </c>
      <c r="AB198" s="6">
        <v>378</v>
      </c>
      <c r="AC198" s="6">
        <v>376</v>
      </c>
      <c r="AD198" s="6">
        <f t="shared" si="15"/>
        <v>2</v>
      </c>
      <c r="AE198" s="6" t="s">
        <v>15828</v>
      </c>
    </row>
    <row r="199" spans="1:31">
      <c r="A199" s="33" t="str">
        <f>CHESHIRE!A25</f>
        <v>Halton CC</v>
      </c>
      <c r="B199" s="7">
        <f>CHESHIRE!D25</f>
        <v>69461</v>
      </c>
      <c r="C199" s="7">
        <f>CHESHIRE!E25</f>
        <v>70322</v>
      </c>
      <c r="D199" s="7">
        <f>CHESHIRE!F25</f>
        <v>71509</v>
      </c>
      <c r="E199" s="7">
        <f>CHESHIRE!G25</f>
        <v>71878</v>
      </c>
      <c r="F199" s="7">
        <f>CHESHIRE!H25</f>
        <v>71655</v>
      </c>
      <c r="G199" s="7">
        <f>CHESHIRE!I25</f>
        <v>72190</v>
      </c>
      <c r="H199" s="7">
        <f>CHESHIRE!J25</f>
        <v>70868</v>
      </c>
      <c r="I199" s="7">
        <f>CHESHIRE!K25</f>
        <v>71526</v>
      </c>
      <c r="J199" s="7">
        <f>CHESHIRE!L25</f>
        <v>72668</v>
      </c>
      <c r="K199" s="7">
        <f>CHESHIRE!M25</f>
        <v>69917</v>
      </c>
      <c r="L199" s="7">
        <f>CHESHIRE!N25</f>
        <v>72332</v>
      </c>
      <c r="M199" s="7">
        <f>CHESHIRE!O25</f>
        <v>72552</v>
      </c>
      <c r="N199" s="34">
        <f t="shared" si="12"/>
        <v>4.4499791249766059E-2</v>
      </c>
      <c r="O199" s="34"/>
      <c r="P199" s="7">
        <f t="shared" si="13"/>
        <v>-841</v>
      </c>
      <c r="Q199" s="1004">
        <f t="shared" si="14"/>
        <v>-1.1458858474241412E-2</v>
      </c>
      <c r="R199" s="6">
        <v>334</v>
      </c>
      <c r="S199" s="6">
        <v>330</v>
      </c>
      <c r="T199" s="6">
        <v>309</v>
      </c>
      <c r="U199" s="6">
        <v>306</v>
      </c>
      <c r="V199" s="6">
        <v>297</v>
      </c>
      <c r="W199" s="6">
        <v>228</v>
      </c>
      <c r="X199" s="6">
        <v>233</v>
      </c>
      <c r="Y199" s="6">
        <v>275</v>
      </c>
      <c r="Z199" s="6">
        <v>251</v>
      </c>
      <c r="AA199" s="6">
        <v>336</v>
      </c>
      <c r="AB199" s="6">
        <v>306</v>
      </c>
      <c r="AC199" s="6">
        <v>331</v>
      </c>
      <c r="AD199" s="6">
        <f t="shared" si="15"/>
        <v>-25</v>
      </c>
      <c r="AE199" s="6" t="s">
        <v>15825</v>
      </c>
    </row>
    <row r="200" spans="1:31">
      <c r="A200" s="33" t="str">
        <f>HAMMERSMITH!A11</f>
        <v>Hammersmith BC</v>
      </c>
      <c r="B200" s="7">
        <f>HAMMERSMITH!D11</f>
        <v>69774</v>
      </c>
      <c r="C200" s="7">
        <f>HAMMERSMITH!E11</f>
        <v>70008</v>
      </c>
      <c r="D200" s="7">
        <f>HAMMERSMITH!F11</f>
        <v>70769</v>
      </c>
      <c r="E200" s="7">
        <f>HAMMERSMITH!G11</f>
        <v>70814</v>
      </c>
      <c r="F200" s="7">
        <f>HAMMERSMITH!H11</f>
        <v>70860</v>
      </c>
      <c r="G200" s="7">
        <f>HAMMERSMITH!I11</f>
        <v>69449</v>
      </c>
      <c r="H200" s="7">
        <f>HAMMERSMITH!J11</f>
        <v>67526</v>
      </c>
      <c r="I200" s="7">
        <f>HAMMERSMITH!K11</f>
        <v>70277</v>
      </c>
      <c r="J200" s="7">
        <f>HAMMERSMITH!L11</f>
        <v>70233</v>
      </c>
      <c r="K200" s="7">
        <f>HAMMERSMITH!M11</f>
        <v>68846</v>
      </c>
      <c r="L200" s="7">
        <f>HAMMERSMITH!N11</f>
        <v>74105</v>
      </c>
      <c r="M200" s="7">
        <f>HAMMERSMITH!O11</f>
        <v>73582</v>
      </c>
      <c r="N200" s="34">
        <f t="shared" si="12"/>
        <v>5.457620317023533E-2</v>
      </c>
      <c r="O200" s="34"/>
      <c r="P200" s="7">
        <f t="shared" si="13"/>
        <v>189</v>
      </c>
      <c r="Q200" s="1004">
        <f t="shared" si="14"/>
        <v>2.5751774692409357E-3</v>
      </c>
      <c r="R200" s="6">
        <v>329</v>
      </c>
      <c r="S200" s="6">
        <v>340</v>
      </c>
      <c r="T200" s="6">
        <v>323</v>
      </c>
      <c r="U200" s="6">
        <v>331</v>
      </c>
      <c r="V200" s="6">
        <v>316</v>
      </c>
      <c r="W200" s="6">
        <v>314</v>
      </c>
      <c r="X200" s="6">
        <v>359</v>
      </c>
      <c r="Y200" s="6">
        <v>328</v>
      </c>
      <c r="Z200" s="6">
        <v>347</v>
      </c>
      <c r="AA200" s="6">
        <v>367</v>
      </c>
      <c r="AB200" s="6">
        <v>253</v>
      </c>
      <c r="AC200" s="6">
        <v>295</v>
      </c>
      <c r="AD200" s="6">
        <f t="shared" si="15"/>
        <v>-42</v>
      </c>
      <c r="AE200" s="6" t="s">
        <v>15827</v>
      </c>
    </row>
    <row r="201" spans="1:31">
      <c r="A201" s="33" t="str">
        <f>CAMDEN!A7</f>
        <v>Hampstead and Kilburn BC</v>
      </c>
      <c r="B201" s="7">
        <f>CAMDEN!D9</f>
        <v>77254</v>
      </c>
      <c r="C201" s="7">
        <f>CAMDEN!E9</f>
        <v>78552</v>
      </c>
      <c r="D201" s="7">
        <f>CAMDEN!F9</f>
        <v>78244</v>
      </c>
      <c r="E201" s="7">
        <f>CAMDEN!G9</f>
        <v>78459</v>
      </c>
      <c r="F201" s="7">
        <f>CAMDEN!H9</f>
        <v>76997</v>
      </c>
      <c r="G201" s="7">
        <f>CAMDEN!I9</f>
        <v>74764</v>
      </c>
      <c r="H201" s="7">
        <f>CAMDEN!J9</f>
        <v>74977</v>
      </c>
      <c r="I201" s="7">
        <f>CAMDEN!K9</f>
        <v>79461</v>
      </c>
      <c r="J201" s="7">
        <f>CAMDEN!L9</f>
        <v>79689</v>
      </c>
      <c r="K201" s="7">
        <f>CAMDEN!M9</f>
        <v>76902</v>
      </c>
      <c r="L201" s="7">
        <f>CAMDEN!N9</f>
        <v>78183</v>
      </c>
      <c r="M201" s="7">
        <f>CAMDEN!O9</f>
        <v>83051</v>
      </c>
      <c r="N201" s="34">
        <f t="shared" si="12"/>
        <v>7.5038185725011003E-2</v>
      </c>
      <c r="O201" s="34"/>
      <c r="P201" s="7">
        <f t="shared" si="13"/>
        <v>9658</v>
      </c>
      <c r="Q201" s="1004">
        <f t="shared" si="14"/>
        <v>0.13159293120597332</v>
      </c>
      <c r="R201" s="6">
        <v>84</v>
      </c>
      <c r="S201" s="6">
        <v>69</v>
      </c>
      <c r="T201" s="6">
        <v>85</v>
      </c>
      <c r="U201" s="6">
        <v>92</v>
      </c>
      <c r="V201" s="6">
        <v>123</v>
      </c>
      <c r="W201" s="6">
        <v>149</v>
      </c>
      <c r="X201" s="6">
        <v>119</v>
      </c>
      <c r="Y201" s="6">
        <v>78</v>
      </c>
      <c r="Z201" s="6">
        <v>83</v>
      </c>
      <c r="AA201" s="6">
        <v>137</v>
      </c>
      <c r="AB201" s="6">
        <v>154</v>
      </c>
      <c r="AC201" s="6">
        <v>72</v>
      </c>
      <c r="AD201" s="6">
        <f t="shared" si="15"/>
        <v>82</v>
      </c>
      <c r="AE201" s="6" t="s">
        <v>15827</v>
      </c>
    </row>
    <row r="202" spans="1:31">
      <c r="A202" s="33" t="str">
        <f>LEICESTERSHIRE!A26</f>
        <v>Harborough CC</v>
      </c>
      <c r="B202" s="7">
        <f>LEICESTERSHIRE!D28</f>
        <v>78125</v>
      </c>
      <c r="C202" s="7">
        <f>LEICESTERSHIRE!E28</f>
        <v>78753</v>
      </c>
      <c r="D202" s="7">
        <f>LEICESTERSHIRE!F28</f>
        <v>78600</v>
      </c>
      <c r="E202" s="7">
        <f>LEICESTERSHIRE!G28</f>
        <v>79380</v>
      </c>
      <c r="F202" s="7">
        <f>LEICESTERSHIRE!H28</f>
        <v>79769</v>
      </c>
      <c r="G202" s="7">
        <f>LEICESTERSHIRE!I28</f>
        <v>76614</v>
      </c>
      <c r="H202" s="7">
        <f>LEICESTERSHIRE!J28</f>
        <v>74967</v>
      </c>
      <c r="I202" s="7">
        <f>LEICESTERSHIRE!K28</f>
        <v>76542</v>
      </c>
      <c r="J202" s="7">
        <f>LEICESTERSHIRE!L28</f>
        <v>77395</v>
      </c>
      <c r="K202" s="7">
        <f>LEICESTERSHIRE!M28</f>
        <v>77837</v>
      </c>
      <c r="L202" s="7">
        <f>LEICESTERSHIRE!N28</f>
        <v>80674</v>
      </c>
      <c r="M202" s="7">
        <f>LEICESTERSHIRE!O28</f>
        <v>80639</v>
      </c>
      <c r="N202" s="34">
        <f t="shared" si="12"/>
        <v>3.2179199999999998E-2</v>
      </c>
      <c r="O202" s="34"/>
      <c r="P202" s="7">
        <f t="shared" si="13"/>
        <v>7246</v>
      </c>
      <c r="Q202" s="1004">
        <f t="shared" si="14"/>
        <v>9.8728761598517567E-2</v>
      </c>
      <c r="R202" s="6">
        <v>67</v>
      </c>
      <c r="S202" s="6">
        <v>62</v>
      </c>
      <c r="T202" s="6">
        <v>76</v>
      </c>
      <c r="U202" s="6">
        <v>68</v>
      </c>
      <c r="V202" s="6">
        <v>58</v>
      </c>
      <c r="W202" s="6">
        <v>107</v>
      </c>
      <c r="X202" s="6">
        <v>120</v>
      </c>
      <c r="Y202" s="6">
        <v>138</v>
      </c>
      <c r="Z202" s="6">
        <v>134</v>
      </c>
      <c r="AA202" s="6">
        <v>118</v>
      </c>
      <c r="AB202" s="6">
        <v>98</v>
      </c>
      <c r="AC202" s="6">
        <v>114</v>
      </c>
      <c r="AD202" s="6">
        <f t="shared" si="15"/>
        <v>-16</v>
      </c>
      <c r="AE202" s="6" t="s">
        <v>15826</v>
      </c>
    </row>
    <row r="203" spans="1:31">
      <c r="A203" s="33" t="str">
        <f>ESSEX!A45</f>
        <v>Harlow CC</v>
      </c>
      <c r="B203" s="7">
        <f>ESSEX!D47</f>
        <v>67425</v>
      </c>
      <c r="C203" s="7">
        <f>ESSEX!E47</f>
        <v>67700</v>
      </c>
      <c r="D203" s="7">
        <f>ESSEX!F47</f>
        <v>68595</v>
      </c>
      <c r="E203" s="7">
        <f>ESSEX!G47</f>
        <v>69161</v>
      </c>
      <c r="F203" s="7">
        <f>ESSEX!H47</f>
        <v>68777</v>
      </c>
      <c r="G203" s="7">
        <f>ESSEX!I47</f>
        <v>67363</v>
      </c>
      <c r="H203" s="7">
        <f>ESSEX!J47</f>
        <v>65971</v>
      </c>
      <c r="I203" s="7">
        <f>ESSEX!K47</f>
        <v>67362</v>
      </c>
      <c r="J203" s="7">
        <f>ESSEX!L47</f>
        <v>67164</v>
      </c>
      <c r="K203" s="7">
        <f>ESSEX!M47</f>
        <v>66191</v>
      </c>
      <c r="L203" s="7">
        <f>ESSEX!N47</f>
        <v>66990</v>
      </c>
      <c r="M203" s="7">
        <f>ESSEX!O47</f>
        <v>68244</v>
      </c>
      <c r="N203" s="34">
        <f t="shared" si="12"/>
        <v>1.2146829810901E-2</v>
      </c>
      <c r="O203" s="34"/>
      <c r="P203" s="7">
        <f t="shared" si="13"/>
        <v>-5149</v>
      </c>
      <c r="Q203" s="1004">
        <f t="shared" si="14"/>
        <v>-7.0156554439796709E-2</v>
      </c>
      <c r="R203" s="6">
        <v>396</v>
      </c>
      <c r="S203" s="6">
        <v>399</v>
      </c>
      <c r="T203" s="6">
        <v>382</v>
      </c>
      <c r="U203" s="6">
        <v>381</v>
      </c>
      <c r="V203" s="6">
        <v>376</v>
      </c>
      <c r="W203" s="6">
        <v>385</v>
      </c>
      <c r="X203" s="6">
        <v>400</v>
      </c>
      <c r="Y203" s="6">
        <v>405</v>
      </c>
      <c r="Z203" s="6">
        <v>419</v>
      </c>
      <c r="AA203" s="6">
        <v>427</v>
      </c>
      <c r="AB203" s="6">
        <v>441</v>
      </c>
      <c r="AC203" s="6">
        <v>432</v>
      </c>
      <c r="AD203" s="6">
        <f t="shared" si="15"/>
        <v>9</v>
      </c>
      <c r="AE203" s="6" t="s">
        <v>15829</v>
      </c>
    </row>
    <row r="204" spans="1:31">
      <c r="A204" s="33" t="str">
        <f>'NORTH YORKSHIRE'!A15</f>
        <v>Harrogate and Knaresborough CC</v>
      </c>
      <c r="B204" s="7">
        <f>'NORTH YORKSHIRE'!D15</f>
        <v>74560</v>
      </c>
      <c r="C204" s="7">
        <f>'NORTH YORKSHIRE'!E15</f>
        <v>75044</v>
      </c>
      <c r="D204" s="7">
        <f>'NORTH YORKSHIRE'!F15</f>
        <v>75020</v>
      </c>
      <c r="E204" s="7">
        <f>'NORTH YORKSHIRE'!G15</f>
        <v>76047</v>
      </c>
      <c r="F204" s="7">
        <f>'NORTH YORKSHIRE'!H15</f>
        <v>75563</v>
      </c>
      <c r="G204" s="7">
        <f>'NORTH YORKSHIRE'!I15</f>
        <v>75542</v>
      </c>
      <c r="H204" s="7">
        <f>'NORTH YORKSHIRE'!J15</f>
        <v>74319</v>
      </c>
      <c r="I204" s="7">
        <f>'NORTH YORKSHIRE'!K15</f>
        <v>76417</v>
      </c>
      <c r="J204" s="7">
        <f>'NORTH YORKSHIRE'!L15</f>
        <v>76053</v>
      </c>
      <c r="K204" s="7">
        <f>'NORTH YORKSHIRE'!M15</f>
        <v>75034</v>
      </c>
      <c r="L204" s="7">
        <f>'NORTH YORKSHIRE'!N15</f>
        <v>76777</v>
      </c>
      <c r="M204" s="7">
        <f>'NORTH YORKSHIRE'!O15</f>
        <v>78372</v>
      </c>
      <c r="N204" s="34">
        <f t="shared" si="12"/>
        <v>5.1126609442060086E-2</v>
      </c>
      <c r="O204" s="34"/>
      <c r="P204" s="7">
        <f t="shared" si="13"/>
        <v>4979</v>
      </c>
      <c r="Q204" s="1004">
        <f t="shared" si="14"/>
        <v>6.784025724524137E-2</v>
      </c>
      <c r="R204" s="6">
        <v>162</v>
      </c>
      <c r="S204" s="6">
        <v>164</v>
      </c>
      <c r="T204" s="6">
        <v>177</v>
      </c>
      <c r="U204" s="6">
        <v>159</v>
      </c>
      <c r="V204" s="6">
        <v>157</v>
      </c>
      <c r="W204" s="6">
        <v>132</v>
      </c>
      <c r="X204" s="6">
        <v>137</v>
      </c>
      <c r="Y204" s="6">
        <v>142</v>
      </c>
      <c r="Z204" s="6">
        <v>155</v>
      </c>
      <c r="AA204" s="6">
        <v>168</v>
      </c>
      <c r="AB204" s="6">
        <v>190</v>
      </c>
      <c r="AC204" s="6">
        <v>168</v>
      </c>
      <c r="AD204" s="6">
        <f t="shared" si="15"/>
        <v>22</v>
      </c>
      <c r="AE204" s="6" t="s">
        <v>15828</v>
      </c>
    </row>
    <row r="205" spans="1:31">
      <c r="A205" s="33" t="str">
        <f>HARROW!A7</f>
        <v>Harrow East BC</v>
      </c>
      <c r="B205" s="7">
        <f>HARROW!D7</f>
        <v>71533</v>
      </c>
      <c r="C205" s="7">
        <f>HARROW!E7</f>
        <v>72537</v>
      </c>
      <c r="D205" s="7">
        <f>HARROW!F7</f>
        <v>72465</v>
      </c>
      <c r="E205" s="7">
        <f>HARROW!G7</f>
        <v>71564</v>
      </c>
      <c r="F205" s="7">
        <f>HARROW!H7</f>
        <v>72390</v>
      </c>
      <c r="G205" s="7">
        <f>HARROW!I7</f>
        <v>69382</v>
      </c>
      <c r="H205" s="7">
        <f>HARROW!J7</f>
        <v>69864</v>
      </c>
      <c r="I205" s="7">
        <f>HARROW!K7</f>
        <v>70779</v>
      </c>
      <c r="J205" s="7">
        <f>HARROW!L7</f>
        <v>71585</v>
      </c>
      <c r="K205" s="7">
        <f>HARROW!M7</f>
        <v>70662</v>
      </c>
      <c r="L205" s="7">
        <f>HARROW!N7</f>
        <v>71274</v>
      </c>
      <c r="M205" s="7">
        <f>HARROW!O7</f>
        <v>71791</v>
      </c>
      <c r="N205" s="34">
        <f t="shared" si="12"/>
        <v>3.6067269651769113E-3</v>
      </c>
      <c r="O205" s="34"/>
      <c r="P205" s="7">
        <f t="shared" si="13"/>
        <v>-1602</v>
      </c>
      <c r="Q205" s="1004">
        <f t="shared" si="14"/>
        <v>-2.1827694739280312E-2</v>
      </c>
      <c r="R205" s="6">
        <v>272</v>
      </c>
      <c r="S205" s="6">
        <v>253</v>
      </c>
      <c r="T205" s="6">
        <v>272</v>
      </c>
      <c r="U205" s="6">
        <v>313</v>
      </c>
      <c r="V205" s="6">
        <v>266</v>
      </c>
      <c r="W205" s="6">
        <v>317</v>
      </c>
      <c r="X205" s="6">
        <v>275</v>
      </c>
      <c r="Y205" s="6">
        <v>306</v>
      </c>
      <c r="Z205" s="6">
        <v>294</v>
      </c>
      <c r="AA205" s="6">
        <v>301</v>
      </c>
      <c r="AB205" s="6">
        <v>339</v>
      </c>
      <c r="AC205" s="6">
        <v>354</v>
      </c>
      <c r="AD205" s="6">
        <f t="shared" si="15"/>
        <v>-15</v>
      </c>
      <c r="AE205" s="6" t="s">
        <v>15827</v>
      </c>
    </row>
    <row r="206" spans="1:31">
      <c r="A206" s="33" t="str">
        <f>HARROW!A9</f>
        <v>Harrow West BC</v>
      </c>
      <c r="B206" s="7">
        <f>HARROW!D9</f>
        <v>68264</v>
      </c>
      <c r="C206" s="7">
        <f>HARROW!E9</f>
        <v>69135</v>
      </c>
      <c r="D206" s="7">
        <f>HARROW!F9</f>
        <v>69701</v>
      </c>
      <c r="E206" s="7">
        <f>HARROW!G9</f>
        <v>69202</v>
      </c>
      <c r="F206" s="7">
        <f>HARROW!H9</f>
        <v>70487</v>
      </c>
      <c r="G206" s="7">
        <f>HARROW!I9</f>
        <v>67700</v>
      </c>
      <c r="H206" s="7">
        <f>HARROW!J9</f>
        <v>67425</v>
      </c>
      <c r="I206" s="7">
        <f>HARROW!K9</f>
        <v>68287</v>
      </c>
      <c r="J206" s="7">
        <f>HARROW!L9</f>
        <v>69370</v>
      </c>
      <c r="K206" s="7">
        <f>HARROW!M9</f>
        <v>68876</v>
      </c>
      <c r="L206" s="7">
        <f>HARROW!N9</f>
        <v>71055</v>
      </c>
      <c r="M206" s="7">
        <f>HARROW!O9</f>
        <v>72145</v>
      </c>
      <c r="N206" s="34">
        <f t="shared" si="12"/>
        <v>5.6852806750263683E-2</v>
      </c>
      <c r="O206" s="34"/>
      <c r="P206" s="7">
        <f t="shared" si="13"/>
        <v>-1248</v>
      </c>
      <c r="Q206" s="1004">
        <f t="shared" si="14"/>
        <v>-1.7004346463559195E-2</v>
      </c>
      <c r="R206" s="6">
        <v>371</v>
      </c>
      <c r="S206" s="6">
        <v>361</v>
      </c>
      <c r="T206" s="6">
        <v>359</v>
      </c>
      <c r="U206" s="6">
        <v>380</v>
      </c>
      <c r="V206" s="6">
        <v>331</v>
      </c>
      <c r="W206" s="6">
        <v>370</v>
      </c>
      <c r="X206" s="6">
        <v>361</v>
      </c>
      <c r="Y206" s="6">
        <v>381</v>
      </c>
      <c r="Z206" s="6">
        <v>371</v>
      </c>
      <c r="AA206" s="6">
        <v>366</v>
      </c>
      <c r="AB206" s="6">
        <v>354</v>
      </c>
      <c r="AC206" s="6">
        <v>345</v>
      </c>
      <c r="AD206" s="6">
        <f t="shared" si="15"/>
        <v>9</v>
      </c>
      <c r="AE206" s="6" t="s">
        <v>15827</v>
      </c>
    </row>
    <row r="207" spans="1:31">
      <c r="A207" s="33" t="str">
        <f>HARTLEPOOL!A7</f>
        <v>Hartlepool BC</v>
      </c>
      <c r="B207" s="7">
        <f>HARTLEPOOL!D7</f>
        <v>69284</v>
      </c>
      <c r="C207" s="7">
        <f>HARTLEPOOL!E7</f>
        <v>70010</v>
      </c>
      <c r="D207" s="7">
        <f>HARTLEPOOL!F7</f>
        <v>70203</v>
      </c>
      <c r="E207" s="7">
        <f>HARTLEPOOL!G7</f>
        <v>70426</v>
      </c>
      <c r="F207" s="7">
        <f>HARTLEPOOL!H7</f>
        <v>70463</v>
      </c>
      <c r="G207" s="7">
        <f>HARTLEPOOL!I7</f>
        <v>68796</v>
      </c>
      <c r="H207" s="7">
        <f>HARTLEPOOL!J7</f>
        <v>68201</v>
      </c>
      <c r="I207" s="7">
        <f>HARTLEPOOL!K7</f>
        <v>68801</v>
      </c>
      <c r="J207" s="7">
        <f>HARTLEPOOL!L7</f>
        <v>70032</v>
      </c>
      <c r="K207" s="7">
        <f>HARTLEPOOL!M7</f>
        <v>69713</v>
      </c>
      <c r="L207" s="7">
        <f>HARTLEPOOL!N7</f>
        <v>70235</v>
      </c>
      <c r="M207" s="7">
        <f>HARTLEPOOL!O7</f>
        <v>71228</v>
      </c>
      <c r="N207" s="34">
        <f t="shared" si="12"/>
        <v>2.8058426187864444E-2</v>
      </c>
      <c r="O207" s="34"/>
      <c r="P207" s="7">
        <f t="shared" si="13"/>
        <v>-2165</v>
      </c>
      <c r="Q207" s="1004">
        <f t="shared" si="14"/>
        <v>-2.9498726036542994E-2</v>
      </c>
      <c r="R207" s="6">
        <v>341</v>
      </c>
      <c r="S207" s="6">
        <v>339</v>
      </c>
      <c r="T207" s="6">
        <v>342</v>
      </c>
      <c r="U207" s="6">
        <v>336</v>
      </c>
      <c r="V207" s="6">
        <v>332</v>
      </c>
      <c r="W207" s="6">
        <v>340</v>
      </c>
      <c r="X207" s="6">
        <v>334</v>
      </c>
      <c r="Y207" s="6">
        <v>368</v>
      </c>
      <c r="Z207" s="6">
        <v>354</v>
      </c>
      <c r="AA207" s="6">
        <v>342</v>
      </c>
      <c r="AB207" s="6">
        <v>380</v>
      </c>
      <c r="AC207" s="6">
        <v>366</v>
      </c>
      <c r="AD207" s="6">
        <f t="shared" si="15"/>
        <v>14</v>
      </c>
      <c r="AE207" s="6" t="s">
        <v>2901</v>
      </c>
    </row>
    <row r="208" spans="1:31">
      <c r="A208" s="33" t="str">
        <f>ESSEX!A49</f>
        <v>Harwich and North Essex CC</v>
      </c>
      <c r="B208" s="7">
        <f>ESSEX!D51</f>
        <v>70681</v>
      </c>
      <c r="C208" s="7">
        <f>ESSEX!E51</f>
        <v>71087</v>
      </c>
      <c r="D208" s="7">
        <f>ESSEX!F51</f>
        <v>71223</v>
      </c>
      <c r="E208" s="7">
        <f>ESSEX!G51</f>
        <v>71616</v>
      </c>
      <c r="F208" s="7">
        <f>ESSEX!H51</f>
        <v>71190</v>
      </c>
      <c r="G208" s="7">
        <f>ESSEX!I51</f>
        <v>67494</v>
      </c>
      <c r="H208" s="7">
        <f>ESSEX!J51</f>
        <v>68440</v>
      </c>
      <c r="I208" s="7">
        <f>ESSEX!K51</f>
        <v>70497</v>
      </c>
      <c r="J208" s="7">
        <f>ESSEX!L51</f>
        <v>70984</v>
      </c>
      <c r="K208" s="7">
        <f>ESSEX!M51</f>
        <v>71104</v>
      </c>
      <c r="L208" s="7">
        <f>ESSEX!N51</f>
        <v>72664</v>
      </c>
      <c r="M208" s="7">
        <f>ESSEX!O51</f>
        <v>74083</v>
      </c>
      <c r="N208" s="34">
        <f t="shared" si="12"/>
        <v>4.8131746862664651E-2</v>
      </c>
      <c r="O208" s="34"/>
      <c r="P208" s="7">
        <f t="shared" si="13"/>
        <v>690</v>
      </c>
      <c r="Q208" s="1004">
        <f t="shared" si="14"/>
        <v>9.4014415543716701E-3</v>
      </c>
      <c r="R208" s="6">
        <v>304</v>
      </c>
      <c r="S208" s="6">
        <v>310</v>
      </c>
      <c r="T208" s="6">
        <v>313</v>
      </c>
      <c r="U208" s="6">
        <v>312</v>
      </c>
      <c r="V208" s="6">
        <v>307</v>
      </c>
      <c r="W208" s="6">
        <v>378</v>
      </c>
      <c r="X208" s="6">
        <v>327</v>
      </c>
      <c r="Y208" s="6">
        <v>315</v>
      </c>
      <c r="Z208" s="6">
        <v>319</v>
      </c>
      <c r="AA208" s="6">
        <v>282</v>
      </c>
      <c r="AB208" s="6">
        <v>300</v>
      </c>
      <c r="AC208" s="6">
        <v>273</v>
      </c>
      <c r="AD208" s="6">
        <f t="shared" si="15"/>
        <v>27</v>
      </c>
      <c r="AE208" s="6" t="s">
        <v>15829</v>
      </c>
    </row>
    <row r="209" spans="1:31">
      <c r="A209" s="33" t="str">
        <f>'EAST SUSSEX'!A31</f>
        <v>Hastings and Rye CC</v>
      </c>
      <c r="B209" s="7">
        <f>'EAST SUSSEX'!D33</f>
        <v>77022</v>
      </c>
      <c r="C209" s="7">
        <f>'EAST SUSSEX'!E33</f>
        <v>76422</v>
      </c>
      <c r="D209" s="7">
        <f>'EAST SUSSEX'!F33</f>
        <v>77542</v>
      </c>
      <c r="E209" s="7">
        <f>'EAST SUSSEX'!G33</f>
        <v>78326</v>
      </c>
      <c r="F209" s="7">
        <f>'EAST SUSSEX'!H33</f>
        <v>74126</v>
      </c>
      <c r="G209" s="7">
        <f>'EAST SUSSEX'!I33</f>
        <v>72760</v>
      </c>
      <c r="H209" s="7">
        <f>'EAST SUSSEX'!J33</f>
        <v>71672</v>
      </c>
      <c r="I209" s="7">
        <f>'EAST SUSSEX'!K33</f>
        <v>74924</v>
      </c>
      <c r="J209" s="7">
        <f>'EAST SUSSEX'!L33</f>
        <v>76549</v>
      </c>
      <c r="K209" s="7">
        <f>'EAST SUSSEX'!M33</f>
        <v>76063</v>
      </c>
      <c r="L209" s="7">
        <f>'EAST SUSSEX'!N33</f>
        <v>79390</v>
      </c>
      <c r="M209" s="7">
        <f>'EAST SUSSEX'!O33</f>
        <v>79165</v>
      </c>
      <c r="N209" s="34">
        <f t="shared" si="12"/>
        <v>2.7823219339928852E-2</v>
      </c>
      <c r="O209" s="34"/>
      <c r="P209" s="7">
        <f t="shared" si="13"/>
        <v>5772</v>
      </c>
      <c r="Q209" s="1004">
        <f t="shared" si="14"/>
        <v>7.8645102393961275E-2</v>
      </c>
      <c r="R209" s="6">
        <v>94</v>
      </c>
      <c r="S209" s="6">
        <v>130</v>
      </c>
      <c r="T209" s="6">
        <v>106</v>
      </c>
      <c r="U209" s="6">
        <v>99</v>
      </c>
      <c r="V209" s="6">
        <v>206</v>
      </c>
      <c r="W209" s="6">
        <v>197</v>
      </c>
      <c r="X209" s="6">
        <v>211</v>
      </c>
      <c r="Y209" s="6">
        <v>160</v>
      </c>
      <c r="Z209" s="6">
        <v>150</v>
      </c>
      <c r="AA209" s="6">
        <v>151</v>
      </c>
      <c r="AB209" s="6">
        <v>131</v>
      </c>
      <c r="AC209" s="6">
        <v>148</v>
      </c>
      <c r="AD209" s="6">
        <f t="shared" si="15"/>
        <v>-17</v>
      </c>
      <c r="AE209" s="6" t="s">
        <v>15823</v>
      </c>
    </row>
    <row r="210" spans="1:31">
      <c r="A210" s="33" t="str">
        <f>HAMPSHIRE!A39</f>
        <v>Havant BC</v>
      </c>
      <c r="B210" s="7">
        <f>HAMPSHIRE!D39</f>
        <v>70004</v>
      </c>
      <c r="C210" s="7">
        <f>HAMPSHIRE!E39</f>
        <v>70568</v>
      </c>
      <c r="D210" s="7">
        <f>HAMPSHIRE!F39</f>
        <v>70748</v>
      </c>
      <c r="E210" s="7">
        <f>HAMPSHIRE!G39</f>
        <v>71137</v>
      </c>
      <c r="F210" s="7">
        <f>HAMPSHIRE!H39</f>
        <v>71276</v>
      </c>
      <c r="G210" s="7">
        <f>HAMPSHIRE!I39</f>
        <v>70371</v>
      </c>
      <c r="H210" s="7">
        <f>HAMPSHIRE!J39</f>
        <v>69712</v>
      </c>
      <c r="I210" s="7">
        <f>HAMPSHIRE!K39</f>
        <v>71493</v>
      </c>
      <c r="J210" s="7">
        <f>HAMPSHIRE!L39</f>
        <v>71961</v>
      </c>
      <c r="K210" s="7">
        <f>HAMPSHIRE!M39</f>
        <v>71061</v>
      </c>
      <c r="L210" s="7">
        <f>HAMPSHIRE!N39</f>
        <v>71486</v>
      </c>
      <c r="M210" s="7">
        <f>HAMPSHIRE!O39</f>
        <v>72766</v>
      </c>
      <c r="N210" s="34">
        <f t="shared" si="12"/>
        <v>3.9454888292097597E-2</v>
      </c>
      <c r="O210" s="34"/>
      <c r="P210" s="7">
        <f t="shared" si="13"/>
        <v>-627</v>
      </c>
      <c r="Q210" s="1004">
        <f t="shared" si="14"/>
        <v>-8.5430490646246915E-3</v>
      </c>
      <c r="R210" s="6">
        <v>323</v>
      </c>
      <c r="S210" s="6">
        <v>324</v>
      </c>
      <c r="T210" s="6">
        <v>325</v>
      </c>
      <c r="U210" s="6">
        <v>323</v>
      </c>
      <c r="V210" s="6">
        <v>304</v>
      </c>
      <c r="W210" s="6">
        <v>279</v>
      </c>
      <c r="X210" s="6">
        <v>283</v>
      </c>
      <c r="Y210" s="6">
        <v>276</v>
      </c>
      <c r="Z210" s="6">
        <v>279</v>
      </c>
      <c r="AA210" s="6">
        <v>285</v>
      </c>
      <c r="AB210" s="6">
        <v>332</v>
      </c>
      <c r="AC210" s="6">
        <v>327</v>
      </c>
      <c r="AD210" s="6">
        <f t="shared" si="15"/>
        <v>5</v>
      </c>
      <c r="AE210" s="6" t="s">
        <v>15823</v>
      </c>
    </row>
    <row r="211" spans="1:31">
      <c r="A211" s="33" t="str">
        <f>HILLINGDON!A7</f>
        <v>Hayes and Harlington BC</v>
      </c>
      <c r="B211" s="7">
        <f>HILLINGDON!D7</f>
        <v>69811</v>
      </c>
      <c r="C211" s="7">
        <f>HILLINGDON!E7</f>
        <v>70589</v>
      </c>
      <c r="D211" s="7">
        <f>HILLINGDON!F7</f>
        <v>71849</v>
      </c>
      <c r="E211" s="7">
        <f>HILLINGDON!G7</f>
        <v>73191</v>
      </c>
      <c r="F211" s="7">
        <f>HILLINGDON!H7</f>
        <v>74347</v>
      </c>
      <c r="G211" s="7">
        <f>HILLINGDON!I7</f>
        <v>75090</v>
      </c>
      <c r="H211" s="7">
        <f>HILLINGDON!J7</f>
        <v>69700</v>
      </c>
      <c r="I211" s="7">
        <f>HILLINGDON!K7</f>
        <v>71756</v>
      </c>
      <c r="J211" s="7">
        <f>HILLINGDON!L7</f>
        <v>71666</v>
      </c>
      <c r="K211" s="7">
        <f>HILLINGDON!M7</f>
        <v>69422</v>
      </c>
      <c r="L211" s="7">
        <f>HILLINGDON!N7</f>
        <v>70277</v>
      </c>
      <c r="M211" s="7">
        <f>HILLINGDON!O7</f>
        <v>72896</v>
      </c>
      <c r="N211" s="34">
        <f t="shared" si="12"/>
        <v>4.4190743579092119E-2</v>
      </c>
      <c r="O211" s="34"/>
      <c r="P211" s="7">
        <f t="shared" si="13"/>
        <v>-497</v>
      </c>
      <c r="Q211" s="1004">
        <f t="shared" si="14"/>
        <v>-6.7717629746706087E-3</v>
      </c>
      <c r="R211" s="6">
        <v>328</v>
      </c>
      <c r="S211" s="6">
        <v>322</v>
      </c>
      <c r="T211" s="6">
        <v>299</v>
      </c>
      <c r="U211" s="6">
        <v>248</v>
      </c>
      <c r="V211" s="6">
        <v>191</v>
      </c>
      <c r="W211" s="6">
        <v>141</v>
      </c>
      <c r="X211" s="6">
        <v>286</v>
      </c>
      <c r="Y211" s="6">
        <v>266</v>
      </c>
      <c r="Z211" s="6">
        <v>289</v>
      </c>
      <c r="AA211" s="6">
        <v>347</v>
      </c>
      <c r="AB211" s="6">
        <v>377</v>
      </c>
      <c r="AC211" s="6">
        <v>323</v>
      </c>
      <c r="AD211" s="6">
        <f t="shared" si="15"/>
        <v>54</v>
      </c>
      <c r="AE211" s="6" t="s">
        <v>15827</v>
      </c>
    </row>
    <row r="212" spans="1:31">
      <c r="A212" s="33" t="str">
        <f>'GREATER MANCHESTER'!A47</f>
        <v>Hazel Grove CC</v>
      </c>
      <c r="B212" s="7">
        <f>'GREATER MANCHESTER'!D47</f>
        <v>62665</v>
      </c>
      <c r="C212" s="7">
        <f>'GREATER MANCHESTER'!E47</f>
        <v>62422</v>
      </c>
      <c r="D212" s="7">
        <f>'GREATER MANCHESTER'!F47</f>
        <v>62914</v>
      </c>
      <c r="E212" s="7">
        <f>'GREATER MANCHESTER'!G47</f>
        <v>63213</v>
      </c>
      <c r="F212" s="7">
        <f>'GREATER MANCHESTER'!H47</f>
        <v>62910</v>
      </c>
      <c r="G212" s="7">
        <f>'GREATER MANCHESTER'!I47</f>
        <v>63175</v>
      </c>
      <c r="H212" s="7">
        <f>'GREATER MANCHESTER'!J47</f>
        <v>60718</v>
      </c>
      <c r="I212" s="7">
        <f>'GREATER MANCHESTER'!K47</f>
        <v>61959</v>
      </c>
      <c r="J212" s="7">
        <f>'GREATER MANCHESTER'!L47</f>
        <v>62184</v>
      </c>
      <c r="K212" s="7">
        <f>'GREATER MANCHESTER'!M47</f>
        <v>61903</v>
      </c>
      <c r="L212" s="7">
        <f>'GREATER MANCHESTER'!N47</f>
        <v>63691</v>
      </c>
      <c r="M212" s="7">
        <f>'GREATER MANCHESTER'!O47</f>
        <v>62504</v>
      </c>
      <c r="N212" s="34">
        <f t="shared" si="12"/>
        <v>-2.5692172664166599E-3</v>
      </c>
      <c r="O212" s="34"/>
      <c r="P212" s="7">
        <f t="shared" si="13"/>
        <v>-10889</v>
      </c>
      <c r="Q212" s="1004">
        <f t="shared" si="14"/>
        <v>-0.14836564795007698</v>
      </c>
      <c r="R212" s="6">
        <v>509</v>
      </c>
      <c r="S212" s="6">
        <v>511</v>
      </c>
      <c r="T212" s="6">
        <v>505</v>
      </c>
      <c r="U212" s="6">
        <v>503</v>
      </c>
      <c r="V212" s="6">
        <v>498</v>
      </c>
      <c r="W212" s="6">
        <v>478</v>
      </c>
      <c r="X212" s="6">
        <v>497</v>
      </c>
      <c r="Y212" s="6">
        <v>499</v>
      </c>
      <c r="Z212" s="6">
        <v>499</v>
      </c>
      <c r="AA212" s="6">
        <v>493</v>
      </c>
      <c r="AB212" s="6">
        <v>491</v>
      </c>
      <c r="AC212" s="6">
        <v>509</v>
      </c>
      <c r="AD212" s="6">
        <f t="shared" si="15"/>
        <v>-18</v>
      </c>
      <c r="AE212" s="6" t="s">
        <v>15825</v>
      </c>
    </row>
    <row r="213" spans="1:31">
      <c r="A213" s="33" t="str">
        <f>HERTFORDSHIRE!A22</f>
        <v>Hemel Hempstead CC</v>
      </c>
      <c r="B213" s="7">
        <f>HERTFORDSHIRE!D22</f>
        <v>72682</v>
      </c>
      <c r="C213" s="7">
        <f>HERTFORDSHIRE!E22</f>
        <v>72561</v>
      </c>
      <c r="D213" s="7">
        <f>HERTFORDSHIRE!F22</f>
        <v>73382</v>
      </c>
      <c r="E213" s="7">
        <f>HERTFORDSHIRE!G22</f>
        <v>73848</v>
      </c>
      <c r="F213" s="7">
        <f>HERTFORDSHIRE!H22</f>
        <v>74445</v>
      </c>
      <c r="G213" s="7">
        <f>HERTFORDSHIRE!I22</f>
        <v>72388</v>
      </c>
      <c r="H213" s="7">
        <f>HERTFORDSHIRE!J22</f>
        <v>70695</v>
      </c>
      <c r="I213" s="7">
        <f>HERTFORDSHIRE!K22</f>
        <v>73051</v>
      </c>
      <c r="J213" s="7">
        <f>HERTFORDSHIRE!L22</f>
        <v>73736</v>
      </c>
      <c r="K213" s="7">
        <f>HERTFORDSHIRE!M22</f>
        <v>72667</v>
      </c>
      <c r="L213" s="7">
        <f>HERTFORDSHIRE!N22</f>
        <v>73715</v>
      </c>
      <c r="M213" s="7">
        <f>HERTFORDSHIRE!O22</f>
        <v>74535</v>
      </c>
      <c r="N213" s="34">
        <f t="shared" si="12"/>
        <v>2.5494620401199746E-2</v>
      </c>
      <c r="O213" s="34"/>
      <c r="P213" s="7">
        <f t="shared" si="13"/>
        <v>1142</v>
      </c>
      <c r="Q213" s="1004">
        <f t="shared" si="14"/>
        <v>1.5560067036365866E-2</v>
      </c>
      <c r="R213" s="6">
        <v>213</v>
      </c>
      <c r="S213" s="6">
        <v>250</v>
      </c>
      <c r="T213" s="6">
        <v>228</v>
      </c>
      <c r="U213" s="6">
        <v>217</v>
      </c>
      <c r="V213" s="6">
        <v>186</v>
      </c>
      <c r="W213" s="6">
        <v>220</v>
      </c>
      <c r="X213" s="6">
        <v>241</v>
      </c>
      <c r="Y213" s="6">
        <v>219</v>
      </c>
      <c r="Z213" s="6">
        <v>219</v>
      </c>
      <c r="AA213" s="6">
        <v>230</v>
      </c>
      <c r="AB213" s="6">
        <v>271</v>
      </c>
      <c r="AC213" s="6">
        <v>255</v>
      </c>
      <c r="AD213" s="6">
        <f t="shared" si="15"/>
        <v>16</v>
      </c>
      <c r="AE213" s="6" t="s">
        <v>15829</v>
      </c>
    </row>
    <row r="214" spans="1:31">
      <c r="A214" s="33" t="str">
        <f>'WEST YORKSHIRE'!A31</f>
        <v>Hemsworth CC</v>
      </c>
      <c r="B214" s="7">
        <f>'WEST YORKSHIRE'!D31</f>
        <v>73195</v>
      </c>
      <c r="C214" s="7">
        <f>'WEST YORKSHIRE'!E31</f>
        <v>73487</v>
      </c>
      <c r="D214" s="7">
        <f>'WEST YORKSHIRE'!F31</f>
        <v>73001</v>
      </c>
      <c r="E214" s="7">
        <f>'WEST YORKSHIRE'!G31</f>
        <v>72939</v>
      </c>
      <c r="F214" s="7">
        <f>'WEST YORKSHIRE'!H31</f>
        <v>71719</v>
      </c>
      <c r="G214" s="7">
        <f>'WEST YORKSHIRE'!I31</f>
        <v>72206</v>
      </c>
      <c r="H214" s="7">
        <f>'WEST YORKSHIRE'!J31</f>
        <v>69319</v>
      </c>
      <c r="I214" s="7">
        <f>'WEST YORKSHIRE'!K31</f>
        <v>70367</v>
      </c>
      <c r="J214" s="7">
        <f>'WEST YORKSHIRE'!L31</f>
        <v>72036</v>
      </c>
      <c r="K214" s="7">
        <f>'WEST YORKSHIRE'!M31</f>
        <v>71271</v>
      </c>
      <c r="L214" s="7">
        <f>'WEST YORKSHIRE'!N31</f>
        <v>74001</v>
      </c>
      <c r="M214" s="7">
        <f>'WEST YORKSHIRE'!O31</f>
        <v>73706</v>
      </c>
      <c r="N214" s="34">
        <f t="shared" si="12"/>
        <v>6.9813511851902453E-3</v>
      </c>
      <c r="O214" s="34"/>
      <c r="P214" s="7">
        <f t="shared" si="13"/>
        <v>313</v>
      </c>
      <c r="Q214" s="1004">
        <f t="shared" si="14"/>
        <v>4.26471189350483E-3</v>
      </c>
      <c r="R214" s="6">
        <v>190</v>
      </c>
      <c r="S214" s="6">
        <v>207</v>
      </c>
      <c r="T214" s="6">
        <v>248</v>
      </c>
      <c r="U214" s="6">
        <v>259</v>
      </c>
      <c r="V214" s="6">
        <v>294</v>
      </c>
      <c r="W214" s="6">
        <v>226</v>
      </c>
      <c r="X214" s="6">
        <v>298</v>
      </c>
      <c r="Y214" s="6">
        <v>323</v>
      </c>
      <c r="Z214" s="6">
        <v>275</v>
      </c>
      <c r="AA214" s="6">
        <v>277</v>
      </c>
      <c r="AB214" s="6">
        <v>257</v>
      </c>
      <c r="AC214" s="6">
        <v>290</v>
      </c>
      <c r="AD214" s="6">
        <f t="shared" si="15"/>
        <v>-33</v>
      </c>
      <c r="AE214" s="6" t="s">
        <v>15828</v>
      </c>
    </row>
    <row r="215" spans="1:31">
      <c r="A215" s="33" t="str">
        <f>BARNET!A11</f>
        <v>Hendon BC</v>
      </c>
      <c r="B215" s="7">
        <f>BARNET!D11</f>
        <v>72102</v>
      </c>
      <c r="C215" s="7">
        <f>BARNET!E11</f>
        <v>74329</v>
      </c>
      <c r="D215" s="7">
        <f>BARNET!F11</f>
        <v>74518</v>
      </c>
      <c r="E215" s="7">
        <f>BARNET!G11</f>
        <v>74581</v>
      </c>
      <c r="F215" s="7">
        <f>BARNET!H11</f>
        <v>69979</v>
      </c>
      <c r="G215" s="7">
        <f>BARNET!I11</f>
        <v>71694</v>
      </c>
      <c r="H215" s="7">
        <f>BARNET!J11</f>
        <v>69502</v>
      </c>
      <c r="I215" s="7">
        <f>BARNET!K11</f>
        <v>72782</v>
      </c>
      <c r="J215" s="7">
        <f>BARNET!L11</f>
        <v>78319</v>
      </c>
      <c r="K215" s="7">
        <f>BARNET!M11</f>
        <v>77481</v>
      </c>
      <c r="L215" s="7">
        <f>BARNET!N11</f>
        <v>78076</v>
      </c>
      <c r="M215" s="7">
        <f>BARNET!O11</f>
        <v>81026</v>
      </c>
      <c r="N215" s="34">
        <f t="shared" si="12"/>
        <v>0.12376910487919891</v>
      </c>
      <c r="O215" s="34"/>
      <c r="P215" s="7">
        <f t="shared" si="13"/>
        <v>7633</v>
      </c>
      <c r="Q215" s="1004">
        <f t="shared" si="14"/>
        <v>0.10400174403553472</v>
      </c>
      <c r="R215" s="6">
        <v>236</v>
      </c>
      <c r="S215" s="6">
        <v>179</v>
      </c>
      <c r="T215" s="6">
        <v>189</v>
      </c>
      <c r="U215" s="6">
        <v>194</v>
      </c>
      <c r="V215" s="6">
        <v>351</v>
      </c>
      <c r="W215" s="6">
        <v>241</v>
      </c>
      <c r="X215" s="6">
        <v>293</v>
      </c>
      <c r="Y215" s="6">
        <v>230</v>
      </c>
      <c r="Z215" s="6">
        <v>113</v>
      </c>
      <c r="AA215" s="6">
        <v>124</v>
      </c>
      <c r="AB215" s="6">
        <v>158</v>
      </c>
      <c r="AC215" s="6">
        <v>103</v>
      </c>
      <c r="AD215" s="6">
        <f t="shared" si="15"/>
        <v>55</v>
      </c>
      <c r="AE215" s="6" t="s">
        <v>15827</v>
      </c>
    </row>
    <row r="216" spans="1:31">
      <c r="A216" s="33" t="str">
        <f>OXFORDSHIRE!A15</f>
        <v>Henley CC</v>
      </c>
      <c r="B216" s="7">
        <f>OXFORDSHIRE!D17</f>
        <v>73538</v>
      </c>
      <c r="C216" s="7">
        <f>OXFORDSHIRE!E17</f>
        <v>73851</v>
      </c>
      <c r="D216" s="7">
        <f>OXFORDSHIRE!F17</f>
        <v>74259</v>
      </c>
      <c r="E216" s="7">
        <f>OXFORDSHIRE!G17</f>
        <v>74628</v>
      </c>
      <c r="F216" s="7">
        <f>OXFORDSHIRE!H17</f>
        <v>74983</v>
      </c>
      <c r="G216" s="7">
        <f>OXFORDSHIRE!I17</f>
        <v>76376</v>
      </c>
      <c r="H216" s="7">
        <f>OXFORDSHIRE!J17</f>
        <v>72682</v>
      </c>
      <c r="I216" s="7">
        <f>OXFORDSHIRE!K17</f>
        <v>74006</v>
      </c>
      <c r="J216" s="7">
        <f>OXFORDSHIRE!L17</f>
        <v>73509</v>
      </c>
      <c r="K216" s="7">
        <f>OXFORDSHIRE!M17</f>
        <v>74022</v>
      </c>
      <c r="L216" s="7">
        <f>OXFORDSHIRE!N17</f>
        <v>76298</v>
      </c>
      <c r="M216" s="7">
        <f>OXFORDSHIRE!O17</f>
        <v>77213</v>
      </c>
      <c r="N216" s="34">
        <f t="shared" si="12"/>
        <v>4.9974163017759525E-2</v>
      </c>
      <c r="O216" s="34"/>
      <c r="P216" s="7">
        <f t="shared" si="13"/>
        <v>3820</v>
      </c>
      <c r="Q216" s="1004">
        <f t="shared" si="14"/>
        <v>5.204856048941997E-2</v>
      </c>
      <c r="R216" s="6">
        <v>179</v>
      </c>
      <c r="S216" s="6">
        <v>192</v>
      </c>
      <c r="T216" s="6">
        <v>191</v>
      </c>
      <c r="U216" s="6">
        <v>191</v>
      </c>
      <c r="V216" s="6">
        <v>173</v>
      </c>
      <c r="W216" s="6">
        <v>111</v>
      </c>
      <c r="X216" s="6">
        <v>174</v>
      </c>
      <c r="Y216" s="6">
        <v>194</v>
      </c>
      <c r="Z216" s="6">
        <v>228</v>
      </c>
      <c r="AA216" s="6">
        <v>185</v>
      </c>
      <c r="AB216" s="6">
        <v>200</v>
      </c>
      <c r="AC216" s="6">
        <v>190</v>
      </c>
      <c r="AD216" s="6">
        <f t="shared" si="15"/>
        <v>10</v>
      </c>
      <c r="AE216" s="6" t="s">
        <v>15823</v>
      </c>
    </row>
    <row r="217" spans="1:31">
      <c r="A217" s="33" t="str">
        <f>HEREFORDSHIRE!A7</f>
        <v>Hereford and South Herefordshire CC</v>
      </c>
      <c r="B217" s="7">
        <f>HEREFORDSHIRE!D7</f>
        <v>72245</v>
      </c>
      <c r="C217" s="7">
        <f>HEREFORDSHIRE!E7</f>
        <v>71352</v>
      </c>
      <c r="D217" s="7">
        <f>HEREFORDSHIRE!F7</f>
        <v>71059</v>
      </c>
      <c r="E217" s="7">
        <f>HEREFORDSHIRE!G7</f>
        <v>71808</v>
      </c>
      <c r="F217" s="7">
        <f>HEREFORDSHIRE!H7</f>
        <v>68593</v>
      </c>
      <c r="G217" s="7">
        <f>HEREFORDSHIRE!I7</f>
        <v>68865</v>
      </c>
      <c r="H217" s="7">
        <f>HEREFORDSHIRE!J7</f>
        <v>68299</v>
      </c>
      <c r="I217" s="7">
        <f>HEREFORDSHIRE!K7</f>
        <v>69228</v>
      </c>
      <c r="J217" s="7">
        <f>HEREFORDSHIRE!L7</f>
        <v>70004</v>
      </c>
      <c r="K217" s="7">
        <f>HEREFORDSHIRE!M7</f>
        <v>69978</v>
      </c>
      <c r="L217" s="7">
        <f>HEREFORDSHIRE!N7</f>
        <v>72054</v>
      </c>
      <c r="M217" s="7">
        <f>HEREFORDSHIRE!O7</f>
        <v>71973</v>
      </c>
      <c r="N217" s="34">
        <f t="shared" si="12"/>
        <v>-3.7649664336632293E-3</v>
      </c>
      <c r="O217" s="34"/>
      <c r="P217" s="7">
        <f t="shared" si="13"/>
        <v>-1420</v>
      </c>
      <c r="Q217" s="1004">
        <f t="shared" si="14"/>
        <v>-1.9347894213344596E-2</v>
      </c>
      <c r="R217" s="6">
        <v>231</v>
      </c>
      <c r="S217" s="6">
        <v>299</v>
      </c>
      <c r="T217" s="6">
        <v>317</v>
      </c>
      <c r="U217" s="6">
        <v>308</v>
      </c>
      <c r="V217" s="6">
        <v>382</v>
      </c>
      <c r="W217" s="6">
        <v>337</v>
      </c>
      <c r="X217" s="6">
        <v>329</v>
      </c>
      <c r="Y217" s="6">
        <v>357</v>
      </c>
      <c r="Z217" s="6">
        <v>355</v>
      </c>
      <c r="AA217" s="6">
        <v>332</v>
      </c>
      <c r="AB217" s="6">
        <v>316</v>
      </c>
      <c r="AC217" s="6">
        <v>350</v>
      </c>
      <c r="AD217" s="6">
        <f t="shared" si="15"/>
        <v>-34</v>
      </c>
      <c r="AE217" s="6" t="s">
        <v>15824</v>
      </c>
    </row>
    <row r="218" spans="1:31">
      <c r="A218" s="33" t="str">
        <f>HERTFORDSHIRE!A24</f>
        <v>Hertford and Stortford CC</v>
      </c>
      <c r="B218" s="7">
        <f>HERTFORDSHIRE!D24</f>
        <v>78211</v>
      </c>
      <c r="C218" s="7">
        <f>HERTFORDSHIRE!E24</f>
        <v>79255</v>
      </c>
      <c r="D218" s="7">
        <f>HERTFORDSHIRE!F24</f>
        <v>78458</v>
      </c>
      <c r="E218" s="7">
        <f>HERTFORDSHIRE!G24</f>
        <v>79321</v>
      </c>
      <c r="F218" s="7">
        <f>HERTFORDSHIRE!H24</f>
        <v>77195</v>
      </c>
      <c r="G218" s="7">
        <f>HERTFORDSHIRE!I24</f>
        <v>77258</v>
      </c>
      <c r="H218" s="7">
        <f>HERTFORDSHIRE!J24</f>
        <v>77196</v>
      </c>
      <c r="I218" s="7">
        <f>HERTFORDSHIRE!K24</f>
        <v>81240</v>
      </c>
      <c r="J218" s="7">
        <f>HERTFORDSHIRE!L24</f>
        <v>81051</v>
      </c>
      <c r="K218" s="7">
        <f>HERTFORDSHIRE!M24</f>
        <v>79758</v>
      </c>
      <c r="L218" s="7">
        <f>HERTFORDSHIRE!N24</f>
        <v>80496</v>
      </c>
      <c r="M218" s="7">
        <f>HERTFORDSHIRE!O24</f>
        <v>82205</v>
      </c>
      <c r="N218" s="34">
        <f t="shared" si="12"/>
        <v>5.1066985462402986E-2</v>
      </c>
      <c r="O218" s="34"/>
      <c r="P218" s="7">
        <f t="shared" si="13"/>
        <v>8812</v>
      </c>
      <c r="Q218" s="1004">
        <f t="shared" si="14"/>
        <v>0.12006594634365675</v>
      </c>
      <c r="R218" s="6">
        <v>63</v>
      </c>
      <c r="S218" s="6">
        <v>53</v>
      </c>
      <c r="T218" s="6">
        <v>80</v>
      </c>
      <c r="U218" s="6">
        <v>70</v>
      </c>
      <c r="V218" s="6">
        <v>121</v>
      </c>
      <c r="W218" s="6">
        <v>86</v>
      </c>
      <c r="X218" s="6">
        <v>74</v>
      </c>
      <c r="Y218" s="6">
        <v>40</v>
      </c>
      <c r="Z218" s="6">
        <v>63</v>
      </c>
      <c r="AA218" s="6">
        <v>76</v>
      </c>
      <c r="AB218" s="6">
        <v>103</v>
      </c>
      <c r="AC218" s="6">
        <v>84</v>
      </c>
      <c r="AD218" s="6">
        <f t="shared" si="15"/>
        <v>19</v>
      </c>
      <c r="AE218" s="6" t="s">
        <v>15829</v>
      </c>
    </row>
    <row r="219" spans="1:31">
      <c r="A219" s="33" t="str">
        <f>HERTFORDSHIRE!A26</f>
        <v>Hertsmere CC</v>
      </c>
      <c r="B219" s="7">
        <f>HERTFORDSHIRE!D26</f>
        <v>69438</v>
      </c>
      <c r="C219" s="7">
        <f>HERTFORDSHIRE!E26</f>
        <v>70772</v>
      </c>
      <c r="D219" s="7">
        <f>HERTFORDSHIRE!F26</f>
        <v>71090</v>
      </c>
      <c r="E219" s="7">
        <f>HERTFORDSHIRE!G26</f>
        <v>73045</v>
      </c>
      <c r="F219" s="7">
        <f>HERTFORDSHIRE!H26</f>
        <v>75100</v>
      </c>
      <c r="G219" s="7">
        <f>HERTFORDSHIRE!I26</f>
        <v>72528</v>
      </c>
      <c r="H219" s="7">
        <f>HERTFORDSHIRE!J26</f>
        <v>69825</v>
      </c>
      <c r="I219" s="7">
        <f>HERTFORDSHIRE!K26</f>
        <v>71816</v>
      </c>
      <c r="J219" s="7">
        <f>HERTFORDSHIRE!L26</f>
        <v>72251</v>
      </c>
      <c r="K219" s="7">
        <f>HERTFORDSHIRE!M26</f>
        <v>71293</v>
      </c>
      <c r="L219" s="7">
        <f>HERTFORDSHIRE!N26</f>
        <v>72094</v>
      </c>
      <c r="M219" s="7">
        <f>HERTFORDSHIRE!O26</f>
        <v>74114</v>
      </c>
      <c r="N219" s="34">
        <f t="shared" si="12"/>
        <v>6.7340649212246903E-2</v>
      </c>
      <c r="O219" s="34"/>
      <c r="P219" s="7">
        <f t="shared" si="13"/>
        <v>721</v>
      </c>
      <c r="Q219" s="1004">
        <f t="shared" si="14"/>
        <v>9.8238251604376436E-3</v>
      </c>
      <c r="R219" s="6">
        <v>336</v>
      </c>
      <c r="S219" s="6">
        <v>316</v>
      </c>
      <c r="T219" s="6">
        <v>316</v>
      </c>
      <c r="U219" s="6">
        <v>254</v>
      </c>
      <c r="V219" s="6">
        <v>170</v>
      </c>
      <c r="W219" s="6">
        <v>210</v>
      </c>
      <c r="X219" s="6">
        <v>276</v>
      </c>
      <c r="Y219" s="6">
        <v>264</v>
      </c>
      <c r="Z219" s="6">
        <v>266</v>
      </c>
      <c r="AA219" s="6">
        <v>276</v>
      </c>
      <c r="AB219" s="6">
        <v>315</v>
      </c>
      <c r="AC219" s="6">
        <v>269</v>
      </c>
      <c r="AD219" s="6">
        <f t="shared" si="15"/>
        <v>46</v>
      </c>
      <c r="AE219" s="6" t="s">
        <v>15829</v>
      </c>
    </row>
    <row r="220" spans="1:31">
      <c r="A220" s="33" t="str">
        <f>NORTHUMBERLAND!A11</f>
        <v>Hexham CC</v>
      </c>
      <c r="B220" s="7">
        <f>NORTHUMBERLAND!D13</f>
        <v>61085</v>
      </c>
      <c r="C220" s="7">
        <f>NORTHUMBERLAND!E13</f>
        <v>60499</v>
      </c>
      <c r="D220" s="7">
        <f>NORTHUMBERLAND!F13</f>
        <v>60590</v>
      </c>
      <c r="E220" s="7">
        <f>NORTHUMBERLAND!G13</f>
        <v>60978</v>
      </c>
      <c r="F220" s="7">
        <f>NORTHUMBERLAND!H13</f>
        <v>60260</v>
      </c>
      <c r="G220" s="7">
        <f>NORTHUMBERLAND!I13</f>
        <v>60232</v>
      </c>
      <c r="H220" s="7">
        <f>NORTHUMBERLAND!J13</f>
        <v>58198</v>
      </c>
      <c r="I220" s="7">
        <f>NORTHUMBERLAND!K13</f>
        <v>58698</v>
      </c>
      <c r="J220" s="7">
        <f>NORTHUMBERLAND!L13</f>
        <v>59856</v>
      </c>
      <c r="K220" s="7">
        <f>NORTHUMBERLAND!M13</f>
        <v>59298</v>
      </c>
      <c r="L220" s="7">
        <f>NORTHUMBERLAND!N13</f>
        <v>60437</v>
      </c>
      <c r="M220" s="7">
        <f>NORTHUMBERLAND!O13</f>
        <v>61402</v>
      </c>
      <c r="N220" s="34">
        <f t="shared" si="12"/>
        <v>5.1894900548416145E-3</v>
      </c>
      <c r="O220" s="34"/>
      <c r="P220" s="7">
        <f t="shared" si="13"/>
        <v>-11991</v>
      </c>
      <c r="Q220" s="1004">
        <f t="shared" si="14"/>
        <v>-0.16338070388184159</v>
      </c>
      <c r="R220" s="6">
        <v>517</v>
      </c>
      <c r="S220" s="6">
        <v>525</v>
      </c>
      <c r="T220" s="6">
        <v>528</v>
      </c>
      <c r="U220" s="6">
        <v>526</v>
      </c>
      <c r="V220" s="6">
        <v>523</v>
      </c>
      <c r="W220" s="6">
        <v>506</v>
      </c>
      <c r="X220" s="6">
        <v>520</v>
      </c>
      <c r="Y220" s="6">
        <v>522</v>
      </c>
      <c r="Z220" s="6">
        <v>519</v>
      </c>
      <c r="AA220" s="6">
        <v>517</v>
      </c>
      <c r="AB220" s="6">
        <v>518</v>
      </c>
      <c r="AC220" s="6">
        <v>516</v>
      </c>
      <c r="AD220" s="6">
        <f t="shared" si="15"/>
        <v>2</v>
      </c>
      <c r="AE220" s="6" t="s">
        <v>2901</v>
      </c>
    </row>
    <row r="221" spans="1:31">
      <c r="A221" s="33" t="str">
        <f>'GREATER MANCHESTER'!A49</f>
        <v>Heywood and Middleton CC</v>
      </c>
      <c r="B221" s="7">
        <f>'GREATER MANCHESTER'!D49</f>
        <v>79031</v>
      </c>
      <c r="C221" s="7">
        <f>'GREATER MANCHESTER'!E49</f>
        <v>79636</v>
      </c>
      <c r="D221" s="7">
        <f>'GREATER MANCHESTER'!F49</f>
        <v>79020</v>
      </c>
      <c r="E221" s="7">
        <f>'GREATER MANCHESTER'!G49</f>
        <v>80503</v>
      </c>
      <c r="F221" s="7">
        <f>'GREATER MANCHESTER'!H49</f>
        <v>79885</v>
      </c>
      <c r="G221" s="7">
        <f>'GREATER MANCHESTER'!I49</f>
        <v>80059</v>
      </c>
      <c r="H221" s="7">
        <f>'GREATER MANCHESTER'!J49</f>
        <v>75880</v>
      </c>
      <c r="I221" s="7">
        <f>'GREATER MANCHESTER'!K49</f>
        <v>78625</v>
      </c>
      <c r="J221" s="7">
        <f>'GREATER MANCHESTER'!L49</f>
        <v>79317</v>
      </c>
      <c r="K221" s="7">
        <f>'GREATER MANCHESTER'!M49</f>
        <v>78922</v>
      </c>
      <c r="L221" s="7">
        <f>'GREATER MANCHESTER'!N49</f>
        <v>80822</v>
      </c>
      <c r="M221" s="7">
        <f>'GREATER MANCHESTER'!O49</f>
        <v>80869</v>
      </c>
      <c r="N221" s="34">
        <f t="shared" si="12"/>
        <v>2.3256696739254217E-2</v>
      </c>
      <c r="O221" s="34"/>
      <c r="P221" s="7">
        <f t="shared" si="13"/>
        <v>7476</v>
      </c>
      <c r="Q221" s="1004">
        <f t="shared" si="14"/>
        <v>0.10186257544997479</v>
      </c>
      <c r="R221" s="6">
        <v>45</v>
      </c>
      <c r="S221" s="6">
        <v>46</v>
      </c>
      <c r="T221" s="6">
        <v>68</v>
      </c>
      <c r="U221" s="6">
        <v>48</v>
      </c>
      <c r="V221" s="6">
        <v>56</v>
      </c>
      <c r="W221" s="6">
        <v>38</v>
      </c>
      <c r="X221" s="6">
        <v>99</v>
      </c>
      <c r="Y221" s="6">
        <v>92</v>
      </c>
      <c r="Z221" s="6">
        <v>89</v>
      </c>
      <c r="AA221" s="6">
        <v>89</v>
      </c>
      <c r="AB221" s="6">
        <v>95</v>
      </c>
      <c r="AC221" s="6">
        <v>106</v>
      </c>
      <c r="AD221" s="6">
        <f t="shared" si="15"/>
        <v>-11</v>
      </c>
      <c r="AE221" s="6" t="s">
        <v>15825</v>
      </c>
    </row>
    <row r="222" spans="1:31">
      <c r="A222" s="33" t="str">
        <f>DERBYSHIRE!A38</f>
        <v>High Peak CC</v>
      </c>
      <c r="B222" s="7">
        <f>DERBYSHIRE!D38</f>
        <v>71685</v>
      </c>
      <c r="C222" s="7">
        <f>DERBYSHIRE!E38</f>
        <v>72178</v>
      </c>
      <c r="D222" s="7">
        <f>DERBYSHIRE!F38</f>
        <v>72211</v>
      </c>
      <c r="E222" s="7">
        <f>DERBYSHIRE!G38</f>
        <v>72226</v>
      </c>
      <c r="F222" s="7">
        <f>DERBYSHIRE!H38</f>
        <v>72226</v>
      </c>
      <c r="G222" s="7">
        <f>DERBYSHIRE!I38</f>
        <v>71263</v>
      </c>
      <c r="H222" s="7">
        <f>DERBYSHIRE!J38</f>
        <v>71130</v>
      </c>
      <c r="I222" s="7">
        <f>DERBYSHIRE!K38</f>
        <v>72415</v>
      </c>
      <c r="J222" s="7">
        <f>DERBYSHIRE!L38</f>
        <v>71880</v>
      </c>
      <c r="K222" s="7">
        <f>DERBYSHIRE!M38</f>
        <v>72126</v>
      </c>
      <c r="L222" s="7">
        <f>DERBYSHIRE!N38</f>
        <v>74265</v>
      </c>
      <c r="M222" s="7">
        <f>DERBYSHIRE!O38</f>
        <v>73960</v>
      </c>
      <c r="N222" s="34">
        <f t="shared" si="12"/>
        <v>3.1736067517611773E-2</v>
      </c>
      <c r="O222" s="34"/>
      <c r="P222" s="7">
        <f t="shared" si="13"/>
        <v>567</v>
      </c>
      <c r="Q222" s="1004">
        <f t="shared" si="14"/>
        <v>7.7255324077228071E-3</v>
      </c>
      <c r="R222" s="6">
        <v>262</v>
      </c>
      <c r="S222" s="6">
        <v>263</v>
      </c>
      <c r="T222" s="6">
        <v>287</v>
      </c>
      <c r="U222" s="6">
        <v>296</v>
      </c>
      <c r="V222" s="6">
        <v>279</v>
      </c>
      <c r="W222" s="6">
        <v>259</v>
      </c>
      <c r="X222" s="6">
        <v>226</v>
      </c>
      <c r="Y222" s="6">
        <v>239</v>
      </c>
      <c r="Z222" s="6">
        <v>284</v>
      </c>
      <c r="AA222" s="6">
        <v>251</v>
      </c>
      <c r="AB222" s="6">
        <v>248</v>
      </c>
      <c r="AC222" s="6">
        <v>277</v>
      </c>
      <c r="AD222" s="6">
        <f t="shared" si="15"/>
        <v>-29</v>
      </c>
      <c r="AE222" s="6" t="s">
        <v>15826</v>
      </c>
    </row>
    <row r="223" spans="1:31">
      <c r="A223" s="33" t="str">
        <f>HERTFORDSHIRE!A28</f>
        <v>Hitchin and Harpenden CC</v>
      </c>
      <c r="B223" s="7">
        <f>HERTFORDSHIRE!D30</f>
        <v>73811</v>
      </c>
      <c r="C223" s="7">
        <f>HERTFORDSHIRE!E30</f>
        <v>74189</v>
      </c>
      <c r="D223" s="7">
        <f>HERTFORDSHIRE!F30</f>
        <v>74242</v>
      </c>
      <c r="E223" s="7">
        <f>HERTFORDSHIRE!G30</f>
        <v>74353</v>
      </c>
      <c r="F223" s="7">
        <f>HERTFORDSHIRE!H30</f>
        <v>74626</v>
      </c>
      <c r="G223" s="7">
        <f>HERTFORDSHIRE!I30</f>
        <v>74073</v>
      </c>
      <c r="H223" s="7">
        <f>HERTFORDSHIRE!J30</f>
        <v>73478</v>
      </c>
      <c r="I223" s="7">
        <f>HERTFORDSHIRE!K30</f>
        <v>74928</v>
      </c>
      <c r="J223" s="7">
        <f>HERTFORDSHIRE!L30</f>
        <v>75053</v>
      </c>
      <c r="K223" s="7">
        <f>HERTFORDSHIRE!M30</f>
        <v>74374</v>
      </c>
      <c r="L223" s="7">
        <f>HERTFORDSHIRE!N30</f>
        <v>76692</v>
      </c>
      <c r="M223" s="7">
        <f>HERTFORDSHIRE!O30</f>
        <v>76593</v>
      </c>
      <c r="N223" s="34">
        <f t="shared" si="12"/>
        <v>3.7690859086044089E-2</v>
      </c>
      <c r="O223" s="34"/>
      <c r="P223" s="7">
        <f t="shared" si="13"/>
        <v>3200</v>
      </c>
      <c r="Q223" s="1004">
        <f t="shared" si="14"/>
        <v>4.3600888368100499E-2</v>
      </c>
      <c r="R223" s="6">
        <v>175</v>
      </c>
      <c r="S223" s="6">
        <v>181</v>
      </c>
      <c r="T223" s="6">
        <v>193</v>
      </c>
      <c r="U223" s="6">
        <v>198</v>
      </c>
      <c r="V223" s="6">
        <v>181</v>
      </c>
      <c r="W223" s="6">
        <v>160</v>
      </c>
      <c r="X223" s="6">
        <v>154</v>
      </c>
      <c r="Y223" s="6">
        <v>159</v>
      </c>
      <c r="Z223" s="6">
        <v>176</v>
      </c>
      <c r="AA223" s="6">
        <v>179</v>
      </c>
      <c r="AB223" s="6">
        <v>193</v>
      </c>
      <c r="AC223" s="6">
        <v>208</v>
      </c>
      <c r="AD223" s="6">
        <f t="shared" si="15"/>
        <v>-15</v>
      </c>
      <c r="AE223" s="6" t="s">
        <v>15829</v>
      </c>
    </row>
    <row r="224" spans="1:31">
      <c r="A224" s="33" t="str">
        <f>CAMDEN!A11</f>
        <v>Holborn and St Pancras BC</v>
      </c>
      <c r="B224" s="7">
        <f>CAMDEN!D11</f>
        <v>84266</v>
      </c>
      <c r="C224" s="7">
        <f>CAMDEN!E11</f>
        <v>85243</v>
      </c>
      <c r="D224" s="7">
        <f>CAMDEN!F11</f>
        <v>84406</v>
      </c>
      <c r="E224" s="7">
        <f>CAMDEN!G11</f>
        <v>85400</v>
      </c>
      <c r="F224" s="7">
        <f>CAMDEN!H11</f>
        <v>85179</v>
      </c>
      <c r="G224" s="7">
        <f>CAMDEN!I11</f>
        <v>79479</v>
      </c>
      <c r="H224" s="7">
        <f>CAMDEN!J11</f>
        <v>80921</v>
      </c>
      <c r="I224" s="7">
        <f>CAMDEN!K11</f>
        <v>85850</v>
      </c>
      <c r="J224" s="7">
        <f>CAMDEN!L11</f>
        <v>85057</v>
      </c>
      <c r="K224" s="7">
        <f>CAMDEN!M11</f>
        <v>78956</v>
      </c>
      <c r="L224" s="7">
        <f>CAMDEN!N11</f>
        <v>81123</v>
      </c>
      <c r="M224" s="7">
        <f>CAMDEN!O11</f>
        <v>86298</v>
      </c>
      <c r="N224" s="34">
        <f t="shared" si="12"/>
        <v>2.4114114826857807E-2</v>
      </c>
      <c r="O224" s="34"/>
      <c r="P224" s="7">
        <f t="shared" si="13"/>
        <v>12905</v>
      </c>
      <c r="Q224" s="1004">
        <f t="shared" si="14"/>
        <v>0.17583420762198029</v>
      </c>
      <c r="R224" s="6">
        <v>9</v>
      </c>
      <c r="S224" s="6">
        <v>10</v>
      </c>
      <c r="T224" s="6">
        <v>14</v>
      </c>
      <c r="U224" s="6">
        <v>14</v>
      </c>
      <c r="V224" s="6">
        <v>13</v>
      </c>
      <c r="W224" s="6">
        <v>46</v>
      </c>
      <c r="X224" s="6">
        <v>23</v>
      </c>
      <c r="Y224" s="6">
        <v>11</v>
      </c>
      <c r="Z224" s="6">
        <v>17</v>
      </c>
      <c r="AA224" s="6">
        <v>88</v>
      </c>
      <c r="AB224" s="6">
        <v>86</v>
      </c>
      <c r="AC224" s="6">
        <v>34</v>
      </c>
      <c r="AD224" s="6">
        <f t="shared" si="15"/>
        <v>52</v>
      </c>
      <c r="AE224" s="6" t="s">
        <v>15827</v>
      </c>
    </row>
    <row r="225" spans="1:31">
      <c r="A225" s="33" t="str">
        <f>HAVERING!A7</f>
        <v>Hornchurch and Upminster BC</v>
      </c>
      <c r="B225" s="7">
        <f>HAVERING!D7</f>
        <v>78913</v>
      </c>
      <c r="C225" s="7">
        <f>HAVERING!E7</f>
        <v>79568</v>
      </c>
      <c r="D225" s="7">
        <f>HAVERING!F7</f>
        <v>80364</v>
      </c>
      <c r="E225" s="7">
        <f>HAVERING!G7</f>
        <v>80415</v>
      </c>
      <c r="F225" s="7">
        <f>HAVERING!H7</f>
        <v>80252</v>
      </c>
      <c r="G225" s="7">
        <f>HAVERING!I7</f>
        <v>78714</v>
      </c>
      <c r="H225" s="7">
        <f>HAVERING!J7</f>
        <v>78064</v>
      </c>
      <c r="I225" s="7">
        <f>HAVERING!K7</f>
        <v>79806</v>
      </c>
      <c r="J225" s="7">
        <f>HAVERING!L7</f>
        <v>81200</v>
      </c>
      <c r="K225" s="7">
        <f>HAVERING!M7</f>
        <v>80377</v>
      </c>
      <c r="L225" s="7">
        <f>HAVERING!N7</f>
        <v>79631</v>
      </c>
      <c r="M225" s="7">
        <f>HAVERING!O7</f>
        <v>80862</v>
      </c>
      <c r="N225" s="34">
        <f t="shared" si="12"/>
        <v>2.4698085233104811E-2</v>
      </c>
      <c r="O225" s="34"/>
      <c r="P225" s="7">
        <f t="shared" si="13"/>
        <v>7469</v>
      </c>
      <c r="Q225" s="1004">
        <f t="shared" si="14"/>
        <v>0.10176719850666957</v>
      </c>
      <c r="R225" s="6">
        <v>46</v>
      </c>
      <c r="S225" s="6">
        <v>49</v>
      </c>
      <c r="T225" s="6">
        <v>42</v>
      </c>
      <c r="U225" s="6">
        <v>49</v>
      </c>
      <c r="V225" s="6">
        <v>54</v>
      </c>
      <c r="W225" s="6">
        <v>57</v>
      </c>
      <c r="X225" s="6">
        <v>55</v>
      </c>
      <c r="Y225" s="6">
        <v>72</v>
      </c>
      <c r="Z225" s="6">
        <v>57</v>
      </c>
      <c r="AA225" s="6">
        <v>66</v>
      </c>
      <c r="AB225" s="6">
        <v>125</v>
      </c>
      <c r="AC225" s="6">
        <v>108</v>
      </c>
      <c r="AD225" s="6">
        <f t="shared" si="15"/>
        <v>17</v>
      </c>
      <c r="AE225" s="6" t="s">
        <v>15827</v>
      </c>
    </row>
    <row r="226" spans="1:31">
      <c r="A226" s="33" t="str">
        <f>HARINGEY!A7</f>
        <v>Hornsey and Wood Green BC</v>
      </c>
      <c r="B226" s="7">
        <f>HARINGEY!D7</f>
        <v>78505</v>
      </c>
      <c r="C226" s="7">
        <f>HARINGEY!E7</f>
        <v>79878</v>
      </c>
      <c r="D226" s="7">
        <f>HARINGEY!F7</f>
        <v>80028</v>
      </c>
      <c r="E226" s="7">
        <f>HARINGEY!G7</f>
        <v>79729</v>
      </c>
      <c r="F226" s="7">
        <f>HARINGEY!H7</f>
        <v>79596</v>
      </c>
      <c r="G226" s="7">
        <f>HARINGEY!I7</f>
        <v>73292</v>
      </c>
      <c r="H226" s="7">
        <f>HARINGEY!J7</f>
        <v>74641</v>
      </c>
      <c r="I226" s="7">
        <f>HARINGEY!K7</f>
        <v>77736</v>
      </c>
      <c r="J226" s="7">
        <f>HARINGEY!L7</f>
        <v>78887</v>
      </c>
      <c r="K226" s="7">
        <f>HARINGEY!M7</f>
        <v>77483</v>
      </c>
      <c r="L226" s="7">
        <f>HARINGEY!N7</f>
        <v>84009</v>
      </c>
      <c r="M226" s="7">
        <f>HARINGEY!O7</f>
        <v>84044</v>
      </c>
      <c r="N226" s="34">
        <f t="shared" si="12"/>
        <v>7.0556015540411438E-2</v>
      </c>
      <c r="O226" s="34"/>
      <c r="P226" s="7">
        <f t="shared" si="13"/>
        <v>10651</v>
      </c>
      <c r="Q226" s="1004">
        <f t="shared" si="14"/>
        <v>0.1451228318776995</v>
      </c>
      <c r="R226" s="6">
        <v>55</v>
      </c>
      <c r="S226" s="6">
        <v>42</v>
      </c>
      <c r="T226" s="6">
        <v>49</v>
      </c>
      <c r="U226" s="6">
        <v>58</v>
      </c>
      <c r="V226" s="6">
        <v>65</v>
      </c>
      <c r="W226" s="6">
        <v>179</v>
      </c>
      <c r="X226" s="6">
        <v>128</v>
      </c>
      <c r="Y226" s="6">
        <v>113</v>
      </c>
      <c r="Z226" s="6">
        <v>99</v>
      </c>
      <c r="AA226" s="6">
        <v>123</v>
      </c>
      <c r="AB226" s="6">
        <v>44</v>
      </c>
      <c r="AC226" s="6">
        <v>55</v>
      </c>
      <c r="AD226" s="6">
        <f t="shared" si="15"/>
        <v>-11</v>
      </c>
      <c r="AE226" s="6" t="s">
        <v>15827</v>
      </c>
    </row>
    <row r="227" spans="1:31">
      <c r="A227" s="33" t="str">
        <f>'WEST SUSSEX'!A31</f>
        <v>Horsham CC</v>
      </c>
      <c r="B227" s="7">
        <f>'WEST SUSSEX'!D33</f>
        <v>76224</v>
      </c>
      <c r="C227" s="7">
        <f>'WEST SUSSEX'!E33</f>
        <v>77001</v>
      </c>
      <c r="D227" s="7">
        <f>'WEST SUSSEX'!F33</f>
        <v>77460</v>
      </c>
      <c r="E227" s="7">
        <f>'WEST SUSSEX'!G33</f>
        <v>78168</v>
      </c>
      <c r="F227" s="7">
        <f>'WEST SUSSEX'!H33</f>
        <v>76483</v>
      </c>
      <c r="G227" s="7">
        <f>'WEST SUSSEX'!I33</f>
        <v>76979</v>
      </c>
      <c r="H227" s="7">
        <f>'WEST SUSSEX'!J33</f>
        <v>77400</v>
      </c>
      <c r="I227" s="7">
        <f>'WEST SUSSEX'!K33</f>
        <v>80984</v>
      </c>
      <c r="J227" s="7">
        <f>'WEST SUSSEX'!L33</f>
        <v>82362</v>
      </c>
      <c r="K227" s="7">
        <f>'WEST SUSSEX'!M33</f>
        <v>82893</v>
      </c>
      <c r="L227" s="7">
        <f>'WEST SUSSEX'!N33</f>
        <v>85416</v>
      </c>
      <c r="M227" s="7">
        <f>'WEST SUSSEX'!O33</f>
        <v>86973</v>
      </c>
      <c r="N227" s="34">
        <f t="shared" si="12"/>
        <v>0.14101857682619648</v>
      </c>
      <c r="O227" s="34"/>
      <c r="P227" s="7">
        <f t="shared" si="13"/>
        <v>13580</v>
      </c>
      <c r="Q227" s="1004">
        <f t="shared" si="14"/>
        <v>0.18503127001212649</v>
      </c>
      <c r="R227" s="6">
        <v>120</v>
      </c>
      <c r="S227" s="6">
        <v>111</v>
      </c>
      <c r="T227" s="6">
        <v>110</v>
      </c>
      <c r="U227" s="6">
        <v>103</v>
      </c>
      <c r="V227" s="6">
        <v>137</v>
      </c>
      <c r="W227" s="6">
        <v>96</v>
      </c>
      <c r="X227" s="6">
        <v>70</v>
      </c>
      <c r="Y227" s="6">
        <v>44</v>
      </c>
      <c r="Z227" s="6">
        <v>41</v>
      </c>
      <c r="AA227" s="6">
        <v>30</v>
      </c>
      <c r="AB227" s="6">
        <v>32</v>
      </c>
      <c r="AC227" s="6">
        <v>28</v>
      </c>
      <c r="AD227" s="6">
        <f t="shared" si="15"/>
        <v>4</v>
      </c>
      <c r="AE227" s="6" t="s">
        <v>15823</v>
      </c>
    </row>
    <row r="228" spans="1:31">
      <c r="A228" s="33" t="str">
        <f>'TYNE &amp; WEAR'!A22</f>
        <v>Houghton and Sunderland South BC</v>
      </c>
      <c r="B228" s="7">
        <f>'TYNE &amp; WEAR'!D22</f>
        <v>69190</v>
      </c>
      <c r="C228" s="7">
        <f>'TYNE &amp; WEAR'!E22</f>
        <v>70115</v>
      </c>
      <c r="D228" s="7">
        <f>'TYNE &amp; WEAR'!F22</f>
        <v>70685</v>
      </c>
      <c r="E228" s="7">
        <f>'TYNE &amp; WEAR'!G22</f>
        <v>70241</v>
      </c>
      <c r="F228" s="7">
        <f>'TYNE &amp; WEAR'!H22</f>
        <v>69780</v>
      </c>
      <c r="G228" s="7">
        <f>'TYNE &amp; WEAR'!I22</f>
        <v>68216</v>
      </c>
      <c r="H228" s="7">
        <f>'TYNE &amp; WEAR'!J22</f>
        <v>67329</v>
      </c>
      <c r="I228" s="7">
        <f>'TYNE &amp; WEAR'!K22</f>
        <v>66274</v>
      </c>
      <c r="J228" s="7">
        <f>'TYNE &amp; WEAR'!L22</f>
        <v>67391</v>
      </c>
      <c r="K228" s="7">
        <f>'TYNE &amp; WEAR'!M22</f>
        <v>67247</v>
      </c>
      <c r="L228" s="7">
        <f>'TYNE &amp; WEAR'!N22</f>
        <v>68903</v>
      </c>
      <c r="M228" s="7">
        <f>'TYNE &amp; WEAR'!O22</f>
        <v>68963</v>
      </c>
      <c r="N228" s="34">
        <f t="shared" si="12"/>
        <v>-3.2808209278797516E-3</v>
      </c>
      <c r="O228" s="34"/>
      <c r="P228" s="7">
        <f t="shared" si="13"/>
        <v>-4430</v>
      </c>
      <c r="Q228" s="1004">
        <f t="shared" si="14"/>
        <v>-6.0359979834589128E-2</v>
      </c>
      <c r="R228" s="6">
        <v>344</v>
      </c>
      <c r="S228" s="6">
        <v>336</v>
      </c>
      <c r="T228" s="6">
        <v>329</v>
      </c>
      <c r="U228" s="6">
        <v>344</v>
      </c>
      <c r="V228" s="6">
        <v>353</v>
      </c>
      <c r="W228" s="6">
        <v>358</v>
      </c>
      <c r="X228" s="6">
        <v>364</v>
      </c>
      <c r="Y228" s="6">
        <v>424</v>
      </c>
      <c r="Z228" s="6">
        <v>416</v>
      </c>
      <c r="AA228" s="6">
        <v>404</v>
      </c>
      <c r="AB228" s="6">
        <v>408</v>
      </c>
      <c r="AC228" s="6">
        <v>420</v>
      </c>
      <c r="AD228" s="6">
        <f t="shared" si="15"/>
        <v>-12</v>
      </c>
      <c r="AE228" s="6" t="s">
        <v>2901</v>
      </c>
    </row>
    <row r="229" spans="1:31">
      <c r="A229" s="33" t="str">
        <f>'EAST SUSSEX'!A35</f>
        <v>Hove BC</v>
      </c>
      <c r="B229" s="7">
        <f>'EAST SUSSEX'!D35</f>
        <v>70598</v>
      </c>
      <c r="C229" s="7">
        <f>'EAST SUSSEX'!E35</f>
        <v>71181</v>
      </c>
      <c r="D229" s="7">
        <f>'EAST SUSSEX'!F35</f>
        <v>71281</v>
      </c>
      <c r="E229" s="7">
        <f>'EAST SUSSEX'!G35</f>
        <v>72923</v>
      </c>
      <c r="F229" s="7">
        <f>'EAST SUSSEX'!H35</f>
        <v>72001</v>
      </c>
      <c r="G229" s="7">
        <f>'EAST SUSSEX'!I35</f>
        <v>69184</v>
      </c>
      <c r="H229" s="7">
        <f>'EAST SUSSEX'!J35</f>
        <v>68545</v>
      </c>
      <c r="I229" s="7">
        <f>'EAST SUSSEX'!K35</f>
        <v>70557</v>
      </c>
      <c r="J229" s="7">
        <f>'EAST SUSSEX'!L35</f>
        <v>71145</v>
      </c>
      <c r="K229" s="7">
        <f>'EAST SUSSEX'!M35</f>
        <v>69897</v>
      </c>
      <c r="L229" s="7">
        <f>'EAST SUSSEX'!N35</f>
        <v>74767</v>
      </c>
      <c r="M229" s="7">
        <f>'EAST SUSSEX'!O35</f>
        <v>73726</v>
      </c>
      <c r="N229" s="34">
        <f t="shared" si="12"/>
        <v>4.4307204170089806E-2</v>
      </c>
      <c r="O229" s="34"/>
      <c r="P229" s="7">
        <f t="shared" si="13"/>
        <v>333</v>
      </c>
      <c r="Q229" s="1004">
        <f t="shared" si="14"/>
        <v>4.5372174458054582E-3</v>
      </c>
      <c r="R229" s="6">
        <v>306</v>
      </c>
      <c r="S229" s="6">
        <v>307</v>
      </c>
      <c r="T229" s="36">
        <v>311</v>
      </c>
      <c r="U229" s="6">
        <v>262</v>
      </c>
      <c r="V229" s="6">
        <v>287</v>
      </c>
      <c r="W229" s="6">
        <v>324</v>
      </c>
      <c r="X229" s="6">
        <v>323</v>
      </c>
      <c r="Y229" s="6">
        <v>313</v>
      </c>
      <c r="Z229" s="6">
        <v>314</v>
      </c>
      <c r="AA229" s="6">
        <v>339</v>
      </c>
      <c r="AB229" s="6">
        <v>232</v>
      </c>
      <c r="AC229" s="6">
        <v>288</v>
      </c>
      <c r="AD229" s="6">
        <f t="shared" si="15"/>
        <v>-56</v>
      </c>
      <c r="AE229" s="6" t="s">
        <v>15823</v>
      </c>
    </row>
    <row r="230" spans="1:31">
      <c r="A230" s="33" t="str">
        <f>'WEST YORKSHIRE'!A33</f>
        <v>Huddersfield BC</v>
      </c>
      <c r="B230" s="7">
        <f>'WEST YORKSHIRE'!D33</f>
        <v>66206</v>
      </c>
      <c r="C230" s="7">
        <f>'WEST YORKSHIRE'!E33</f>
        <v>66681</v>
      </c>
      <c r="D230" s="7">
        <f>'WEST YORKSHIRE'!F33</f>
        <v>67443</v>
      </c>
      <c r="E230" s="7">
        <f>'WEST YORKSHIRE'!G33</f>
        <v>67360</v>
      </c>
      <c r="F230" s="7">
        <f>'WEST YORKSHIRE'!H33</f>
        <v>66800</v>
      </c>
      <c r="G230" s="7">
        <f>'WEST YORKSHIRE'!I33</f>
        <v>62318</v>
      </c>
      <c r="H230" s="7">
        <f>'WEST YORKSHIRE'!J33</f>
        <v>62400</v>
      </c>
      <c r="I230" s="7">
        <f>'WEST YORKSHIRE'!K33</f>
        <v>65045</v>
      </c>
      <c r="J230" s="7">
        <f>'WEST YORKSHIRE'!L33</f>
        <v>63751</v>
      </c>
      <c r="K230" s="7">
        <f>'WEST YORKSHIRE'!M33</f>
        <v>63007</v>
      </c>
      <c r="L230" s="7">
        <f>'WEST YORKSHIRE'!N33</f>
        <v>65917</v>
      </c>
      <c r="M230" s="7">
        <f>'WEST YORKSHIRE'!O33</f>
        <v>66012</v>
      </c>
      <c r="N230" s="34">
        <f t="shared" si="12"/>
        <v>-2.9302480137751866E-3</v>
      </c>
      <c r="O230" s="34"/>
      <c r="P230" s="7">
        <f t="shared" si="13"/>
        <v>-7381</v>
      </c>
      <c r="Q230" s="1004">
        <f t="shared" si="14"/>
        <v>-0.10056817407654681</v>
      </c>
      <c r="R230" s="6">
        <v>433</v>
      </c>
      <c r="S230" s="6">
        <v>434</v>
      </c>
      <c r="T230" s="6">
        <v>417</v>
      </c>
      <c r="U230" s="6">
        <v>433</v>
      </c>
      <c r="V230" s="6">
        <v>433</v>
      </c>
      <c r="W230" s="6">
        <v>487</v>
      </c>
      <c r="X230" s="6">
        <v>475</v>
      </c>
      <c r="Y230" s="6">
        <v>453</v>
      </c>
      <c r="Z230" s="6">
        <v>480</v>
      </c>
      <c r="AA230" s="6">
        <v>478</v>
      </c>
      <c r="AB230" s="6">
        <v>460</v>
      </c>
      <c r="AC230" s="6">
        <v>467</v>
      </c>
      <c r="AD230" s="6">
        <f t="shared" si="15"/>
        <v>-7</v>
      </c>
      <c r="AE230" s="6" t="s">
        <v>15828</v>
      </c>
    </row>
    <row r="231" spans="1:31">
      <c r="A231" s="33" t="str">
        <f>CAMBRIDGESHIRE!A19</f>
        <v>Huntingdon CC</v>
      </c>
      <c r="B231" s="7">
        <f>CAMBRIDGESHIRE!D19</f>
        <v>80273</v>
      </c>
      <c r="C231" s="7">
        <f>CAMBRIDGESHIRE!E19</f>
        <v>79134</v>
      </c>
      <c r="D231" s="7">
        <f>CAMBRIDGESHIRE!F19</f>
        <v>79193</v>
      </c>
      <c r="E231" s="7">
        <f>CAMBRIDGESHIRE!G19</f>
        <v>80044</v>
      </c>
      <c r="F231" s="7">
        <f>CAMBRIDGESHIRE!H19</f>
        <v>82892</v>
      </c>
      <c r="G231" s="7">
        <f>CAMBRIDGESHIRE!I19</f>
        <v>81475</v>
      </c>
      <c r="H231" s="7">
        <f>CAMBRIDGESHIRE!J19</f>
        <v>81303</v>
      </c>
      <c r="I231" s="7">
        <f>CAMBRIDGESHIRE!K19</f>
        <v>83209</v>
      </c>
      <c r="J231" s="7">
        <f>CAMBRIDGESHIRE!L19</f>
        <v>83371</v>
      </c>
      <c r="K231" s="7">
        <f>CAMBRIDGESHIRE!M19</f>
        <v>83328</v>
      </c>
      <c r="L231" s="7">
        <f>CAMBRIDGESHIRE!N19</f>
        <v>85270</v>
      </c>
      <c r="M231" s="7">
        <f>CAMBRIDGESHIRE!O19</f>
        <v>85109</v>
      </c>
      <c r="N231" s="34">
        <f t="shared" si="12"/>
        <v>6.0244415930636702E-2</v>
      </c>
      <c r="O231" s="34"/>
      <c r="P231" s="7">
        <f t="shared" si="13"/>
        <v>11716</v>
      </c>
      <c r="Q231" s="1004">
        <f t="shared" si="14"/>
        <v>0.15963375253770795</v>
      </c>
      <c r="R231" s="6">
        <v>31</v>
      </c>
      <c r="S231" s="6">
        <v>56</v>
      </c>
      <c r="T231" s="6">
        <v>60</v>
      </c>
      <c r="U231" s="6">
        <v>56</v>
      </c>
      <c r="V231" s="6">
        <v>26</v>
      </c>
      <c r="W231" s="6">
        <v>29</v>
      </c>
      <c r="X231" s="6">
        <v>22</v>
      </c>
      <c r="Y231" s="6">
        <v>24</v>
      </c>
      <c r="Z231" s="6">
        <v>30</v>
      </c>
      <c r="AA231" s="6">
        <v>24</v>
      </c>
      <c r="AB231" s="6">
        <v>35</v>
      </c>
      <c r="AC231" s="6">
        <v>42</v>
      </c>
      <c r="AD231" s="6">
        <f t="shared" si="15"/>
        <v>-7</v>
      </c>
      <c r="AE231" s="6" t="s">
        <v>15829</v>
      </c>
    </row>
    <row r="232" spans="1:31">
      <c r="A232" s="33" t="str">
        <f>LANCASHIRE!A43</f>
        <v>Hyndburn BC</v>
      </c>
      <c r="B232" s="7">
        <f>LANCASHIRE!D45</f>
        <v>66924</v>
      </c>
      <c r="C232" s="7">
        <f>LANCASHIRE!E45</f>
        <v>69617</v>
      </c>
      <c r="D232" s="7">
        <f>LANCASHIRE!F45</f>
        <v>69519</v>
      </c>
      <c r="E232" s="7">
        <f>LANCASHIRE!G45</f>
        <v>69020</v>
      </c>
      <c r="F232" s="7">
        <f>LANCASHIRE!H45</f>
        <v>69256</v>
      </c>
      <c r="G232" s="7">
        <f>LANCASHIRE!I45</f>
        <v>67552</v>
      </c>
      <c r="H232" s="7">
        <f>LANCASHIRE!J45</f>
        <v>68093</v>
      </c>
      <c r="I232" s="7">
        <f>LANCASHIRE!K45</f>
        <v>71658</v>
      </c>
      <c r="J232" s="7">
        <f>LANCASHIRE!L45</f>
        <v>67418</v>
      </c>
      <c r="K232" s="7">
        <f>LANCASHIRE!M45</f>
        <v>69257</v>
      </c>
      <c r="L232" s="7">
        <f>LANCASHIRE!N45</f>
        <v>71267</v>
      </c>
      <c r="M232" s="7">
        <f>LANCASHIRE!O45</f>
        <v>71145</v>
      </c>
      <c r="N232" s="34">
        <f t="shared" si="12"/>
        <v>6.307154384077461E-2</v>
      </c>
      <c r="O232" s="34"/>
      <c r="P232" s="7">
        <f t="shared" si="13"/>
        <v>-2248</v>
      </c>
      <c r="Q232" s="1004">
        <f t="shared" si="14"/>
        <v>-3.06296240785906E-2</v>
      </c>
      <c r="R232" s="6">
        <v>414</v>
      </c>
      <c r="S232" s="6">
        <v>349</v>
      </c>
      <c r="T232" s="6">
        <v>364</v>
      </c>
      <c r="U232" s="6">
        <v>388</v>
      </c>
      <c r="V232" s="6">
        <v>363</v>
      </c>
      <c r="W232" s="6">
        <v>373</v>
      </c>
      <c r="X232" s="6">
        <v>337</v>
      </c>
      <c r="Y232" s="6">
        <v>268</v>
      </c>
      <c r="Z232" s="6">
        <v>411</v>
      </c>
      <c r="AA232" s="6">
        <v>354</v>
      </c>
      <c r="AB232" s="6">
        <v>340</v>
      </c>
      <c r="AC232" s="6">
        <v>368</v>
      </c>
      <c r="AD232" s="6">
        <f t="shared" si="15"/>
        <v>-28</v>
      </c>
      <c r="AE232" s="6" t="s">
        <v>15825</v>
      </c>
    </row>
    <row r="233" spans="1:31">
      <c r="A233" s="33" t="str">
        <f>REDBRIDGE!A11</f>
        <v>Ilford North BC</v>
      </c>
      <c r="B233" s="7">
        <f>REDBRIDGE!D11</f>
        <v>72281</v>
      </c>
      <c r="C233" s="7">
        <f>REDBRIDGE!E11</f>
        <v>72702</v>
      </c>
      <c r="D233" s="7">
        <f>REDBRIDGE!F11</f>
        <v>73513</v>
      </c>
      <c r="E233" s="7">
        <f>REDBRIDGE!G11</f>
        <v>73360</v>
      </c>
      <c r="F233" s="7">
        <f>REDBRIDGE!H11</f>
        <v>74271</v>
      </c>
      <c r="G233" s="7">
        <f>REDBRIDGE!I11</f>
        <v>72947</v>
      </c>
      <c r="H233" s="7">
        <f>REDBRIDGE!J11</f>
        <v>67980</v>
      </c>
      <c r="I233" s="7">
        <f>REDBRIDGE!K11</f>
        <v>71090</v>
      </c>
      <c r="J233" s="7">
        <f>REDBRIDGE!L11</f>
        <v>73538</v>
      </c>
      <c r="K233" s="7">
        <f>REDBRIDGE!M11</f>
        <v>70159</v>
      </c>
      <c r="L233" s="7">
        <f>REDBRIDGE!N11</f>
        <v>72027</v>
      </c>
      <c r="M233" s="7">
        <f>REDBRIDGE!O11</f>
        <v>73037</v>
      </c>
      <c r="N233" s="34">
        <f t="shared" si="12"/>
        <v>1.0459180144159599E-2</v>
      </c>
      <c r="O233" s="34"/>
      <c r="P233" s="7">
        <f t="shared" si="13"/>
        <v>-356</v>
      </c>
      <c r="Q233" s="1004">
        <f t="shared" si="14"/>
        <v>-4.8505988309511805E-3</v>
      </c>
      <c r="R233" s="6">
        <v>230</v>
      </c>
      <c r="S233" s="6">
        <v>243</v>
      </c>
      <c r="T233" s="6">
        <v>222</v>
      </c>
      <c r="U233" s="6">
        <v>242</v>
      </c>
      <c r="V233" s="6">
        <v>195</v>
      </c>
      <c r="W233" s="6">
        <v>188</v>
      </c>
      <c r="X233" s="6">
        <v>338</v>
      </c>
      <c r="Y233" s="6">
        <v>289</v>
      </c>
      <c r="Z233" s="6">
        <v>227</v>
      </c>
      <c r="AA233" s="6">
        <v>329</v>
      </c>
      <c r="AB233" s="6">
        <v>317</v>
      </c>
      <c r="AC233" s="6">
        <v>314</v>
      </c>
      <c r="AD233" s="6">
        <f t="shared" si="15"/>
        <v>3</v>
      </c>
      <c r="AE233" s="6" t="s">
        <v>15827</v>
      </c>
    </row>
    <row r="234" spans="1:31">
      <c r="A234" s="33" t="str">
        <f>REDBRIDGE!A13</f>
        <v>Ilford South BC</v>
      </c>
      <c r="B234" s="7">
        <f>REDBRIDGE!D13</f>
        <v>84599</v>
      </c>
      <c r="C234" s="7">
        <f>REDBRIDGE!E13</f>
        <v>86401</v>
      </c>
      <c r="D234" s="7">
        <f>REDBRIDGE!F13</f>
        <v>88563</v>
      </c>
      <c r="E234" s="7">
        <f>REDBRIDGE!G13</f>
        <v>88125</v>
      </c>
      <c r="F234" s="7">
        <f>REDBRIDGE!H13</f>
        <v>89668</v>
      </c>
      <c r="G234" s="7">
        <f>REDBRIDGE!I13</f>
        <v>88135</v>
      </c>
      <c r="H234" s="7">
        <f>REDBRIDGE!J13</f>
        <v>78212</v>
      </c>
      <c r="I234" s="7">
        <f>REDBRIDGE!K13</f>
        <v>82975</v>
      </c>
      <c r="J234" s="7">
        <f>REDBRIDGE!L13</f>
        <v>86396</v>
      </c>
      <c r="K234" s="7">
        <f>REDBRIDGE!M13</f>
        <v>80492</v>
      </c>
      <c r="L234" s="7">
        <f>REDBRIDGE!N13</f>
        <v>83398</v>
      </c>
      <c r="M234" s="7">
        <f>REDBRIDGE!O13</f>
        <v>84797</v>
      </c>
      <c r="N234" s="34">
        <f t="shared" si="12"/>
        <v>2.3404531968462985E-3</v>
      </c>
      <c r="O234" s="34"/>
      <c r="P234" s="7">
        <f t="shared" si="13"/>
        <v>11404</v>
      </c>
      <c r="Q234" s="1004">
        <f t="shared" si="14"/>
        <v>0.15538266592181815</v>
      </c>
      <c r="R234" s="6">
        <v>7</v>
      </c>
      <c r="S234" s="6">
        <v>5</v>
      </c>
      <c r="T234" s="6">
        <v>5</v>
      </c>
      <c r="U234" s="6">
        <v>7</v>
      </c>
      <c r="V234" s="6">
        <v>5</v>
      </c>
      <c r="W234" s="6">
        <v>4</v>
      </c>
      <c r="X234" s="6">
        <v>49</v>
      </c>
      <c r="Y234" s="6">
        <v>27</v>
      </c>
      <c r="Z234" s="6">
        <v>12</v>
      </c>
      <c r="AA234" s="6">
        <v>61</v>
      </c>
      <c r="AB234" s="6">
        <v>54</v>
      </c>
      <c r="AC234" s="6">
        <v>43</v>
      </c>
      <c r="AD234" s="6">
        <f t="shared" si="15"/>
        <v>11</v>
      </c>
      <c r="AE234" s="6" t="s">
        <v>15827</v>
      </c>
    </row>
    <row r="235" spans="1:31">
      <c r="A235" s="33" t="str">
        <f>SUFFOLK!A22</f>
        <v>Ipswich BC</v>
      </c>
      <c r="B235" s="7">
        <f>SUFFOLK!D22</f>
        <v>76530</v>
      </c>
      <c r="C235" s="7">
        <f>SUFFOLK!E22</f>
        <v>75195</v>
      </c>
      <c r="D235" s="7">
        <f>SUFFOLK!F22</f>
        <v>76484</v>
      </c>
      <c r="E235" s="7">
        <f>SUFFOLK!G22</f>
        <v>76115</v>
      </c>
      <c r="F235" s="7">
        <f>SUFFOLK!H22</f>
        <v>76092</v>
      </c>
      <c r="G235" s="7">
        <f>SUFFOLK!I22</f>
        <v>73133</v>
      </c>
      <c r="H235" s="7">
        <f>SUFFOLK!J22</f>
        <v>70702</v>
      </c>
      <c r="I235" s="7">
        <f>SUFFOLK!K22</f>
        <v>72589</v>
      </c>
      <c r="J235" s="7">
        <f>SUFFOLK!L22</f>
        <v>73477</v>
      </c>
      <c r="K235" s="7">
        <f>SUFFOLK!M22</f>
        <v>72993</v>
      </c>
      <c r="L235" s="7">
        <f>SUFFOLK!N22</f>
        <v>75018</v>
      </c>
      <c r="M235" s="7">
        <f>SUFFOLK!O22</f>
        <v>75117</v>
      </c>
      <c r="N235" s="34">
        <f t="shared" si="12"/>
        <v>-1.8463347706781656E-2</v>
      </c>
      <c r="O235" s="34"/>
      <c r="P235" s="7">
        <f t="shared" si="13"/>
        <v>1724</v>
      </c>
      <c r="Q235" s="1004">
        <f t="shared" si="14"/>
        <v>2.3489978608314144E-2</v>
      </c>
      <c r="R235" s="6">
        <v>113</v>
      </c>
      <c r="S235" s="6">
        <v>157</v>
      </c>
      <c r="T235" s="6">
        <v>143</v>
      </c>
      <c r="U235" s="6">
        <v>156</v>
      </c>
      <c r="V235" s="6">
        <v>146</v>
      </c>
      <c r="W235" s="6">
        <v>183</v>
      </c>
      <c r="X235" s="6">
        <v>240</v>
      </c>
      <c r="Y235" s="6">
        <v>235</v>
      </c>
      <c r="Z235" s="6">
        <v>231</v>
      </c>
      <c r="AA235" s="6">
        <v>220</v>
      </c>
      <c r="AB235" s="6">
        <v>227</v>
      </c>
      <c r="AC235" s="6">
        <v>237</v>
      </c>
      <c r="AD235" s="6">
        <f t="shared" si="15"/>
        <v>-10</v>
      </c>
      <c r="AE235" s="6" t="s">
        <v>15829</v>
      </c>
    </row>
    <row r="236" spans="1:31">
      <c r="A236" s="33" t="str">
        <f>'ISLE OF WIGHT'!A8</f>
        <v>Isle of Wight CC</v>
      </c>
      <c r="B236" s="7">
        <f>'ISLE OF WIGHT'!D8</f>
        <v>110228</v>
      </c>
      <c r="C236" s="7">
        <f>'ISLE OF WIGHT'!E8</f>
        <v>110924</v>
      </c>
      <c r="D236" s="7">
        <f>'ISLE OF WIGHT'!F8</f>
        <v>110900</v>
      </c>
      <c r="E236" s="7">
        <f>'ISLE OF WIGHT'!G8</f>
        <v>111109</v>
      </c>
      <c r="F236" s="7">
        <f>'ISLE OF WIGHT'!H8</f>
        <v>111800</v>
      </c>
      <c r="G236" s="7">
        <f>'ISLE OF WIGHT'!I8</f>
        <v>107572</v>
      </c>
      <c r="H236" s="7">
        <f>'ISLE OF WIGHT'!J8</f>
        <v>105448</v>
      </c>
      <c r="I236" s="7">
        <f>'ISLE OF WIGHT'!K8</f>
        <v>108591</v>
      </c>
      <c r="J236" s="7">
        <f>'ISLE OF WIGHT'!L8</f>
        <v>109938</v>
      </c>
      <c r="K236" s="7">
        <f>'ISLE OF WIGHT'!M8</f>
        <v>108125</v>
      </c>
      <c r="L236" s="7">
        <f>'ISLE OF WIGHT'!N8</f>
        <v>111440</v>
      </c>
      <c r="M236" s="7">
        <f>'ISLE OF WIGHT'!O8</f>
        <v>111716</v>
      </c>
      <c r="N236" s="34">
        <f t="shared" si="12"/>
        <v>1.3499292375802881E-2</v>
      </c>
      <c r="O236" s="34"/>
      <c r="P236" s="7">
        <f t="shared" si="13"/>
        <v>38323</v>
      </c>
      <c r="Q236" s="1004">
        <f t="shared" si="14"/>
        <v>0.52216151404084854</v>
      </c>
      <c r="R236" s="6">
        <v>1</v>
      </c>
      <c r="S236" s="6">
        <v>1</v>
      </c>
      <c r="T236" s="6">
        <v>1</v>
      </c>
      <c r="U236" s="6">
        <v>1</v>
      </c>
      <c r="V236" s="6">
        <v>1</v>
      </c>
      <c r="W236" s="6">
        <v>1</v>
      </c>
      <c r="X236" s="6">
        <v>1</v>
      </c>
      <c r="Y236" s="6">
        <v>1</v>
      </c>
      <c r="Z236" s="6">
        <v>1</v>
      </c>
      <c r="AA236" s="6">
        <v>1</v>
      </c>
      <c r="AB236" s="6">
        <v>1</v>
      </c>
      <c r="AC236" s="6">
        <v>1</v>
      </c>
      <c r="AD236" s="6">
        <f t="shared" si="15"/>
        <v>0</v>
      </c>
      <c r="AE236" s="6" t="s">
        <v>15823</v>
      </c>
    </row>
    <row r="237" spans="1:31">
      <c r="A237" s="33" t="str">
        <f>ISLINGTON!A7</f>
        <v>Islington North BC</v>
      </c>
      <c r="B237" s="7">
        <f>ISLINGTON!D7</f>
        <v>66472</v>
      </c>
      <c r="C237" s="7">
        <f>ISLINGTON!E7</f>
        <v>68777</v>
      </c>
      <c r="D237" s="7">
        <f>ISLINGTON!F7</f>
        <v>69416</v>
      </c>
      <c r="E237" s="7">
        <f>ISLINGTON!G7</f>
        <v>69886</v>
      </c>
      <c r="F237" s="7">
        <f>ISLINGTON!H7</f>
        <v>70382</v>
      </c>
      <c r="G237" s="7">
        <f>ISLINGTON!I7</f>
        <v>68969</v>
      </c>
      <c r="H237" s="7">
        <f>ISLINGTON!J7</f>
        <v>69208</v>
      </c>
      <c r="I237" s="7">
        <f>ISLINGTON!K7</f>
        <v>71596</v>
      </c>
      <c r="J237" s="7">
        <f>ISLINGTON!L7</f>
        <v>71051</v>
      </c>
      <c r="K237" s="7">
        <f>ISLINGTON!M7</f>
        <v>68908</v>
      </c>
      <c r="L237" s="7">
        <f>ISLINGTON!N7</f>
        <v>70696</v>
      </c>
      <c r="M237" s="7">
        <f>ISLINGTON!O7</f>
        <v>73970</v>
      </c>
      <c r="N237" s="34">
        <f t="shared" si="12"/>
        <v>0.11279937417258394</v>
      </c>
      <c r="O237" s="34"/>
      <c r="P237" s="7">
        <f t="shared" si="13"/>
        <v>577</v>
      </c>
      <c r="Q237" s="1004">
        <f t="shared" si="14"/>
        <v>7.8617851838731212E-3</v>
      </c>
      <c r="R237" s="6">
        <v>424</v>
      </c>
      <c r="S237" s="6">
        <v>373</v>
      </c>
      <c r="T237" s="6">
        <v>367</v>
      </c>
      <c r="U237" s="6">
        <v>361</v>
      </c>
      <c r="V237" s="6">
        <v>339</v>
      </c>
      <c r="W237" s="6">
        <v>333</v>
      </c>
      <c r="X237" s="6">
        <v>303</v>
      </c>
      <c r="Y237" s="6">
        <v>272</v>
      </c>
      <c r="Z237" s="6">
        <v>316</v>
      </c>
      <c r="AA237" s="6">
        <v>363</v>
      </c>
      <c r="AB237" s="6">
        <v>361</v>
      </c>
      <c r="AC237" s="6">
        <v>276</v>
      </c>
      <c r="AD237" s="6">
        <f t="shared" si="15"/>
        <v>85</v>
      </c>
      <c r="AE237" s="6" t="s">
        <v>15827</v>
      </c>
    </row>
    <row r="238" spans="1:31">
      <c r="A238" s="33" t="str">
        <f>ISLINGTON!A9</f>
        <v>Islington South and Finsbury BC</v>
      </c>
      <c r="B238" s="7">
        <f>ISLINGTON!D9</f>
        <v>66184</v>
      </c>
      <c r="C238" s="7">
        <f>ISLINGTON!E9</f>
        <v>67613</v>
      </c>
      <c r="D238" s="7">
        <f>ISLINGTON!F9</f>
        <v>67397</v>
      </c>
      <c r="E238" s="7">
        <f>ISLINGTON!G9</f>
        <v>67561</v>
      </c>
      <c r="F238" s="7">
        <f>ISLINGTON!H9</f>
        <v>67242</v>
      </c>
      <c r="G238" s="7">
        <f>ISLINGTON!I9</f>
        <v>65038</v>
      </c>
      <c r="H238" s="7">
        <f>ISLINGTON!J9</f>
        <v>64929</v>
      </c>
      <c r="I238" s="7">
        <f>ISLINGTON!K9</f>
        <v>67324</v>
      </c>
      <c r="J238" s="7">
        <f>ISLINGTON!L9</f>
        <v>65852</v>
      </c>
      <c r="K238" s="7">
        <f>ISLINGTON!M9</f>
        <v>64268</v>
      </c>
      <c r="L238" s="7">
        <f>ISLINGTON!N9</f>
        <v>66096</v>
      </c>
      <c r="M238" s="7">
        <f>ISLINGTON!O9</f>
        <v>69456</v>
      </c>
      <c r="N238" s="34">
        <f t="shared" si="12"/>
        <v>4.9437930617671946E-2</v>
      </c>
      <c r="O238" s="34"/>
      <c r="P238" s="7">
        <f t="shared" si="13"/>
        <v>-3937</v>
      </c>
      <c r="Q238" s="1004">
        <f t="shared" si="14"/>
        <v>-5.3642717970378645E-2</v>
      </c>
      <c r="R238" s="6">
        <v>434</v>
      </c>
      <c r="S238" s="6">
        <v>403</v>
      </c>
      <c r="T238" s="6">
        <v>419</v>
      </c>
      <c r="U238" s="6">
        <v>423</v>
      </c>
      <c r="V238" s="6">
        <v>421</v>
      </c>
      <c r="W238" s="6">
        <v>439</v>
      </c>
      <c r="X238" s="6">
        <v>421</v>
      </c>
      <c r="Y238" s="6">
        <v>406</v>
      </c>
      <c r="Z238" s="6">
        <v>443</v>
      </c>
      <c r="AA238" s="6">
        <v>465</v>
      </c>
      <c r="AB238" s="6">
        <v>456</v>
      </c>
      <c r="AC238" s="6">
        <v>407</v>
      </c>
      <c r="AD238" s="6">
        <f t="shared" si="15"/>
        <v>49</v>
      </c>
      <c r="AE238" s="6" t="s">
        <v>15827</v>
      </c>
    </row>
    <row r="239" spans="1:31">
      <c r="A239" s="33" t="str">
        <f>'TYNE &amp; WEAR'!A24</f>
        <v>Jarrow BC</v>
      </c>
      <c r="B239" s="7">
        <f>'TYNE &amp; WEAR'!D26</f>
        <v>64826</v>
      </c>
      <c r="C239" s="7">
        <f>'TYNE &amp; WEAR'!E26</f>
        <v>65047</v>
      </c>
      <c r="D239" s="7">
        <f>'TYNE &amp; WEAR'!F26</f>
        <v>64915</v>
      </c>
      <c r="E239" s="7">
        <f>'TYNE &amp; WEAR'!G26</f>
        <v>65290</v>
      </c>
      <c r="F239" s="7">
        <f>'TYNE &amp; WEAR'!H26</f>
        <v>64682</v>
      </c>
      <c r="G239" s="7">
        <f>'TYNE &amp; WEAR'!I26</f>
        <v>63817</v>
      </c>
      <c r="H239" s="7">
        <f>'TYNE &amp; WEAR'!J26</f>
        <v>64212</v>
      </c>
      <c r="I239" s="7">
        <f>'TYNE &amp; WEAR'!K26</f>
        <v>64588</v>
      </c>
      <c r="J239" s="7">
        <f>'TYNE &amp; WEAR'!L26</f>
        <v>64777</v>
      </c>
      <c r="K239" s="7">
        <f>'TYNE &amp; WEAR'!M26</f>
        <v>64524</v>
      </c>
      <c r="L239" s="7">
        <f>'TYNE &amp; WEAR'!N26</f>
        <v>65495</v>
      </c>
      <c r="M239" s="7">
        <f>'TYNE &amp; WEAR'!O26</f>
        <v>65232</v>
      </c>
      <c r="N239" s="34">
        <f t="shared" si="12"/>
        <v>6.2629191990867866E-3</v>
      </c>
      <c r="O239" s="34"/>
      <c r="P239" s="7">
        <f t="shared" si="13"/>
        <v>-8161</v>
      </c>
      <c r="Q239" s="1004">
        <f t="shared" si="14"/>
        <v>-0.1111958906162713</v>
      </c>
      <c r="R239" s="6">
        <v>467</v>
      </c>
      <c r="S239" s="6">
        <v>475</v>
      </c>
      <c r="T239" s="6">
        <v>485</v>
      </c>
      <c r="U239" s="6">
        <v>482</v>
      </c>
      <c r="V239" s="6">
        <v>475</v>
      </c>
      <c r="W239" s="6">
        <v>466</v>
      </c>
      <c r="X239" s="6">
        <v>435</v>
      </c>
      <c r="Y239" s="6">
        <v>463</v>
      </c>
      <c r="Z239" s="6">
        <v>465</v>
      </c>
      <c r="AA239" s="6">
        <v>459</v>
      </c>
      <c r="AB239" s="6">
        <v>465</v>
      </c>
      <c r="AC239" s="6">
        <v>479</v>
      </c>
      <c r="AD239" s="6">
        <f t="shared" si="15"/>
        <v>-14</v>
      </c>
      <c r="AE239" s="6" t="s">
        <v>2901</v>
      </c>
    </row>
    <row r="240" spans="1:31">
      <c r="A240" s="33" t="str">
        <f>'WEST YORKSHIRE'!A35</f>
        <v>Keighley CC</v>
      </c>
      <c r="B240" s="7">
        <f>'WEST YORKSHIRE'!D35</f>
        <v>65277</v>
      </c>
      <c r="C240" s="7">
        <f>'WEST YORKSHIRE'!E35</f>
        <v>66967</v>
      </c>
      <c r="D240" s="7">
        <f>'WEST YORKSHIRE'!F35</f>
        <v>67406</v>
      </c>
      <c r="E240" s="7">
        <f>'WEST YORKSHIRE'!G35</f>
        <v>69031</v>
      </c>
      <c r="F240" s="7">
        <f>'WEST YORKSHIRE'!H35</f>
        <v>69807</v>
      </c>
      <c r="G240" s="7">
        <f>'WEST YORKSHIRE'!I35</f>
        <v>67391</v>
      </c>
      <c r="H240" s="7">
        <f>'WEST YORKSHIRE'!J35</f>
        <v>67409</v>
      </c>
      <c r="I240" s="7">
        <f>'WEST YORKSHIRE'!K35</f>
        <v>70088</v>
      </c>
      <c r="J240" s="7">
        <f>'WEST YORKSHIRE'!L35</f>
        <v>70602</v>
      </c>
      <c r="K240" s="7">
        <f>'WEST YORKSHIRE'!M35</f>
        <v>70471</v>
      </c>
      <c r="L240" s="7">
        <f>'WEST YORKSHIRE'!N35</f>
        <v>73384</v>
      </c>
      <c r="M240" s="7">
        <f>'WEST YORKSHIRE'!O35</f>
        <v>72954</v>
      </c>
      <c r="N240" s="34">
        <f t="shared" si="12"/>
        <v>0.11760650765200607</v>
      </c>
      <c r="O240" s="34"/>
      <c r="P240" s="7">
        <f t="shared" si="13"/>
        <v>-439</v>
      </c>
      <c r="Q240" s="1004">
        <f t="shared" si="14"/>
        <v>-5.9814968729987872E-3</v>
      </c>
      <c r="R240" s="6">
        <v>456</v>
      </c>
      <c r="S240" s="6">
        <v>424</v>
      </c>
      <c r="T240" s="6">
        <v>418</v>
      </c>
      <c r="U240" s="6">
        <v>387</v>
      </c>
      <c r="V240" s="6">
        <v>352</v>
      </c>
      <c r="W240" s="6">
        <v>382</v>
      </c>
      <c r="X240" s="6">
        <v>363</v>
      </c>
      <c r="Y240" s="6">
        <v>333</v>
      </c>
      <c r="Z240" s="6">
        <v>335</v>
      </c>
      <c r="AA240" s="6">
        <v>314</v>
      </c>
      <c r="AB240" s="6">
        <v>280</v>
      </c>
      <c r="AC240" s="6">
        <v>320</v>
      </c>
      <c r="AD240" s="6">
        <f t="shared" si="15"/>
        <v>-40</v>
      </c>
      <c r="AE240" s="6" t="s">
        <v>15828</v>
      </c>
    </row>
    <row r="241" spans="1:31">
      <c r="A241" s="33" t="str">
        <f>WARWICKSHIRE!A14</f>
        <v>Kenilworth and Southam CC</v>
      </c>
      <c r="B241" s="7">
        <f>WARWICKSHIRE!D17</f>
        <v>63931</v>
      </c>
      <c r="C241" s="7">
        <f>WARWICKSHIRE!E17</f>
        <v>63772</v>
      </c>
      <c r="D241" s="7">
        <f>WARWICKSHIRE!F17</f>
        <v>64037</v>
      </c>
      <c r="E241" s="7">
        <f>WARWICKSHIRE!G17</f>
        <v>64373</v>
      </c>
      <c r="F241" s="7">
        <f>WARWICKSHIRE!H17</f>
        <v>65087</v>
      </c>
      <c r="G241" s="7">
        <f>WARWICKSHIRE!I17</f>
        <v>63910</v>
      </c>
      <c r="H241" s="7">
        <f>WARWICKSHIRE!J17</f>
        <v>62992</v>
      </c>
      <c r="I241" s="7">
        <f>WARWICKSHIRE!K17</f>
        <v>64843</v>
      </c>
      <c r="J241" s="7">
        <f>WARWICKSHIRE!L17</f>
        <v>65349</v>
      </c>
      <c r="K241" s="7">
        <f>WARWICKSHIRE!M17</f>
        <v>65440</v>
      </c>
      <c r="L241" s="7">
        <f>WARWICKSHIRE!N17</f>
        <v>67252</v>
      </c>
      <c r="M241" s="7">
        <f>WARWICKSHIRE!O17</f>
        <v>69340</v>
      </c>
      <c r="N241" s="34">
        <f t="shared" si="12"/>
        <v>8.4606841751263082E-2</v>
      </c>
      <c r="O241" s="34"/>
      <c r="P241" s="7">
        <f t="shared" si="13"/>
        <v>-4053</v>
      </c>
      <c r="Q241" s="1004">
        <f t="shared" si="14"/>
        <v>-5.5223250173722288E-2</v>
      </c>
      <c r="R241" s="6">
        <v>485</v>
      </c>
      <c r="S241" s="6">
        <v>492</v>
      </c>
      <c r="T241" s="6">
        <v>491</v>
      </c>
      <c r="U241" s="6">
        <v>491</v>
      </c>
      <c r="V241" s="6">
        <v>468</v>
      </c>
      <c r="W241" s="6">
        <v>463</v>
      </c>
      <c r="X241" s="6">
        <v>463</v>
      </c>
      <c r="Y241" s="6">
        <v>456</v>
      </c>
      <c r="Z241" s="6">
        <v>451</v>
      </c>
      <c r="AA241" s="6">
        <v>442</v>
      </c>
      <c r="AB241" s="6">
        <v>434</v>
      </c>
      <c r="AC241" s="6">
        <v>411</v>
      </c>
      <c r="AD241" s="6">
        <f t="shared" si="15"/>
        <v>23</v>
      </c>
      <c r="AE241" s="6" t="s">
        <v>15824</v>
      </c>
    </row>
    <row r="242" spans="1:31">
      <c r="A242" s="33" t="str">
        <f>KENSINGTON!A11</f>
        <v>Kensington BC</v>
      </c>
      <c r="B242" s="7">
        <f>KENSINGTON!D11</f>
        <v>63134</v>
      </c>
      <c r="C242" s="7">
        <f>KENSINGTON!E11</f>
        <v>62784</v>
      </c>
      <c r="D242" s="7">
        <f>KENSINGTON!F11</f>
        <v>62346</v>
      </c>
      <c r="E242" s="7">
        <f>KENSINGTON!G11</f>
        <v>61803</v>
      </c>
      <c r="F242" s="7">
        <f>KENSINGTON!H11</f>
        <v>61507</v>
      </c>
      <c r="G242" s="7">
        <f>KENSINGTON!I11</f>
        <v>58316</v>
      </c>
      <c r="H242" s="7">
        <f>KENSINGTON!J11</f>
        <v>55432</v>
      </c>
      <c r="I242" s="7">
        <f>KENSINGTON!K11</f>
        <v>57221</v>
      </c>
      <c r="J242" s="7">
        <f>KENSINGTON!L11</f>
        <v>60674</v>
      </c>
      <c r="K242" s="7">
        <f>KENSINGTON!M11</f>
        <v>57627</v>
      </c>
      <c r="L242" s="7">
        <f>KENSINGTON!N11</f>
        <v>62686</v>
      </c>
      <c r="M242" s="7">
        <f>KENSINGTON!O11</f>
        <v>61761</v>
      </c>
      <c r="N242" s="34">
        <f t="shared" si="12"/>
        <v>-2.1747394430893022E-2</v>
      </c>
      <c r="O242" s="34"/>
      <c r="P242" s="7">
        <f t="shared" si="13"/>
        <v>-11632</v>
      </c>
      <c r="Q242" s="1004">
        <f t="shared" si="14"/>
        <v>-0.15848922921804531</v>
      </c>
      <c r="R242" s="6">
        <v>500</v>
      </c>
      <c r="S242" s="6">
        <v>506</v>
      </c>
      <c r="T242" s="6">
        <v>510</v>
      </c>
      <c r="U242" s="6">
        <v>521</v>
      </c>
      <c r="V242" s="6">
        <v>510</v>
      </c>
      <c r="W242" s="6">
        <v>518</v>
      </c>
      <c r="X242" s="6">
        <v>531</v>
      </c>
      <c r="Y242" s="6">
        <v>527</v>
      </c>
      <c r="Z242" s="6">
        <v>512</v>
      </c>
      <c r="AA242" s="6">
        <v>524</v>
      </c>
      <c r="AB242" s="6">
        <v>501</v>
      </c>
      <c r="AC242" s="6">
        <v>513</v>
      </c>
      <c r="AD242" s="6">
        <f t="shared" si="15"/>
        <v>-12</v>
      </c>
      <c r="AE242" s="6" t="s">
        <v>15827</v>
      </c>
    </row>
    <row r="243" spans="1:31">
      <c r="A243" s="33" t="str">
        <f>NORTHAMPTONSHIRE!A16</f>
        <v>Kettering CC</v>
      </c>
      <c r="B243" s="7">
        <f>NORTHAMPTONSHIRE!D16</f>
        <v>68786</v>
      </c>
      <c r="C243" s="7">
        <f>NORTHAMPTONSHIRE!E16</f>
        <v>69610</v>
      </c>
      <c r="D243" s="7">
        <f>NORTHAMPTONSHIRE!F16</f>
        <v>69842</v>
      </c>
      <c r="E243" s="7">
        <f>NORTHAMPTONSHIRE!G16</f>
        <v>70826</v>
      </c>
      <c r="F243" s="7">
        <f>NORTHAMPTONSHIRE!H16</f>
        <v>70431</v>
      </c>
      <c r="G243" s="7">
        <f>NORTHAMPTONSHIRE!I16</f>
        <v>69424</v>
      </c>
      <c r="H243" s="7">
        <f>NORTHAMPTONSHIRE!J16</f>
        <v>68279</v>
      </c>
      <c r="I243" s="7">
        <f>NORTHAMPTONSHIRE!K16</f>
        <v>69982</v>
      </c>
      <c r="J243" s="7">
        <f>NORTHAMPTONSHIRE!L16</f>
        <v>70589</v>
      </c>
      <c r="K243" s="7">
        <f>NORTHAMPTONSHIRE!M16</f>
        <v>70486</v>
      </c>
      <c r="L243" s="7">
        <f>NORTHAMPTONSHIRE!N16</f>
        <v>72839</v>
      </c>
      <c r="M243" s="7">
        <f>NORTHAMPTONSHIRE!O16</f>
        <v>72777</v>
      </c>
      <c r="N243" s="34">
        <f t="shared" si="12"/>
        <v>5.8020527432907858E-2</v>
      </c>
      <c r="O243" s="34"/>
      <c r="P243" s="7">
        <f t="shared" si="13"/>
        <v>-616</v>
      </c>
      <c r="Q243" s="1004">
        <f t="shared" si="14"/>
        <v>-8.393171010859346E-3</v>
      </c>
      <c r="R243" s="6">
        <v>358</v>
      </c>
      <c r="S243" s="6">
        <v>350</v>
      </c>
      <c r="T243" s="6">
        <v>354</v>
      </c>
      <c r="U243" s="6">
        <v>329</v>
      </c>
      <c r="V243" s="6">
        <v>333</v>
      </c>
      <c r="W243" s="6">
        <v>315</v>
      </c>
      <c r="X243" s="6">
        <v>330</v>
      </c>
      <c r="Y243" s="6">
        <v>339</v>
      </c>
      <c r="Z243" s="6">
        <v>337</v>
      </c>
      <c r="AA243" s="6">
        <v>312</v>
      </c>
      <c r="AB243" s="6">
        <v>293</v>
      </c>
      <c r="AC243" s="6">
        <v>326</v>
      </c>
      <c r="AD243" s="6">
        <f t="shared" si="15"/>
        <v>-33</v>
      </c>
      <c r="AE243" s="6" t="s">
        <v>15826</v>
      </c>
    </row>
    <row r="244" spans="1:31">
      <c r="A244" s="33" t="str">
        <f>KINGSTON!A7</f>
        <v>Kingston and Surbiton BC</v>
      </c>
      <c r="B244" s="8">
        <f>KINGSTON!D7</f>
        <v>80229</v>
      </c>
      <c r="C244" s="8">
        <f>KINGSTON!E7</f>
        <v>80639</v>
      </c>
      <c r="D244" s="8">
        <f>KINGSTON!F7</f>
        <v>81735</v>
      </c>
      <c r="E244" s="8">
        <f>KINGSTON!G7</f>
        <v>81293</v>
      </c>
      <c r="F244" s="8">
        <f>KINGSTON!H7</f>
        <v>81792</v>
      </c>
      <c r="G244" s="8">
        <f>KINGSTON!I7</f>
        <v>77932</v>
      </c>
      <c r="H244" s="8">
        <f>KINGSTON!J7</f>
        <v>77995</v>
      </c>
      <c r="I244" s="8">
        <f>KINGSTON!K7</f>
        <v>80379</v>
      </c>
      <c r="J244" s="8">
        <f>KINGSTON!L7</f>
        <v>79885</v>
      </c>
      <c r="K244" s="8">
        <f>KINGSTON!M7</f>
        <v>78097</v>
      </c>
      <c r="L244" s="8">
        <f>KINGSTON!N7</f>
        <v>79290</v>
      </c>
      <c r="M244" s="8">
        <f>KINGSTON!O7</f>
        <v>82037</v>
      </c>
      <c r="N244" s="34">
        <f t="shared" si="12"/>
        <v>2.2535492153710004E-2</v>
      </c>
      <c r="O244" s="34"/>
      <c r="P244" s="7">
        <f t="shared" si="13"/>
        <v>8644</v>
      </c>
      <c r="Q244" s="1004">
        <f t="shared" si="14"/>
        <v>0.11777689970433147</v>
      </c>
      <c r="R244" s="6">
        <v>33</v>
      </c>
      <c r="S244" s="6">
        <v>37</v>
      </c>
      <c r="T244" s="6">
        <v>34</v>
      </c>
      <c r="U244" s="6">
        <v>38</v>
      </c>
      <c r="V244" s="6">
        <v>37</v>
      </c>
      <c r="W244" s="6">
        <v>73</v>
      </c>
      <c r="X244" s="6">
        <v>59</v>
      </c>
      <c r="Y244" s="6">
        <v>60</v>
      </c>
      <c r="Z244" s="6">
        <v>80</v>
      </c>
      <c r="AA244" s="6">
        <v>110</v>
      </c>
      <c r="AB244" s="6">
        <v>135</v>
      </c>
      <c r="AC244" s="6">
        <v>88</v>
      </c>
      <c r="AD244" s="6">
        <f t="shared" si="15"/>
        <v>47</v>
      </c>
      <c r="AE244" s="6" t="s">
        <v>15827</v>
      </c>
    </row>
    <row r="245" spans="1:31">
      <c r="A245" s="33" t="str">
        <f>'"HUMBERSIDE"'!A31</f>
        <v>Kingston upon Hull East BC</v>
      </c>
      <c r="B245" s="7">
        <f>'"HUMBERSIDE"'!D31</f>
        <v>68024</v>
      </c>
      <c r="C245" s="7">
        <f>'"HUMBERSIDE"'!E31</f>
        <v>68150</v>
      </c>
      <c r="D245" s="7">
        <f>'"HUMBERSIDE"'!F31</f>
        <v>68361</v>
      </c>
      <c r="E245" s="7">
        <f>'"HUMBERSIDE"'!G31</f>
        <v>68365</v>
      </c>
      <c r="F245" s="7">
        <f>'"HUMBERSIDE"'!H31</f>
        <v>68101</v>
      </c>
      <c r="G245" s="7">
        <f>'"HUMBERSIDE"'!I31</f>
        <v>65376</v>
      </c>
      <c r="H245" s="7">
        <f>'"HUMBERSIDE"'!J31</f>
        <v>64970</v>
      </c>
      <c r="I245" s="7">
        <f>'"HUMBERSIDE"'!K31</f>
        <v>66142</v>
      </c>
      <c r="J245" s="7">
        <f>'"HUMBERSIDE"'!L31</f>
        <v>65032</v>
      </c>
      <c r="K245" s="7">
        <f>'"HUMBERSIDE"'!M31</f>
        <v>64593</v>
      </c>
      <c r="L245" s="7">
        <f>'"HUMBERSIDE"'!N31</f>
        <v>65116</v>
      </c>
      <c r="M245" s="7">
        <f>'"HUMBERSIDE"'!O31</f>
        <v>65325</v>
      </c>
      <c r="N245" s="34">
        <f t="shared" si="12"/>
        <v>-3.9677172762554391E-2</v>
      </c>
      <c r="O245" s="34"/>
      <c r="P245" s="7">
        <f t="shared" si="13"/>
        <v>-8068</v>
      </c>
      <c r="Q245" s="1004">
        <f t="shared" si="14"/>
        <v>-0.10992873979807338</v>
      </c>
      <c r="R245" s="6">
        <v>378</v>
      </c>
      <c r="S245" s="6">
        <v>393</v>
      </c>
      <c r="T245" s="6">
        <v>390</v>
      </c>
      <c r="U245" s="6">
        <v>404</v>
      </c>
      <c r="V245" s="6">
        <v>398</v>
      </c>
      <c r="W245" s="6">
        <v>427</v>
      </c>
      <c r="X245" s="6">
        <v>418</v>
      </c>
      <c r="Y245" s="6">
        <v>428</v>
      </c>
      <c r="Z245" s="6">
        <v>460</v>
      </c>
      <c r="AA245" s="6">
        <v>457</v>
      </c>
      <c r="AB245" s="6">
        <v>471</v>
      </c>
      <c r="AC245" s="6">
        <v>477</v>
      </c>
      <c r="AD245" s="6">
        <f t="shared" si="15"/>
        <v>-6</v>
      </c>
      <c r="AE245" s="6" t="s">
        <v>15828</v>
      </c>
    </row>
    <row r="246" spans="1:31">
      <c r="A246" s="33" t="str">
        <f>'"HUMBERSIDE"'!A33</f>
        <v>Kingston upon Hull North BC</v>
      </c>
      <c r="B246" s="7">
        <f>'"HUMBERSIDE"'!D33</f>
        <v>63473</v>
      </c>
      <c r="C246" s="7">
        <f>'"HUMBERSIDE"'!E33</f>
        <v>65219</v>
      </c>
      <c r="D246" s="7">
        <f>'"HUMBERSIDE"'!F33</f>
        <v>65774</v>
      </c>
      <c r="E246" s="7">
        <f>'"HUMBERSIDE"'!G33</f>
        <v>65976</v>
      </c>
      <c r="F246" s="7">
        <f>'"HUMBERSIDE"'!H33</f>
        <v>66370</v>
      </c>
      <c r="G246" s="7">
        <f>'"HUMBERSIDE"'!I33</f>
        <v>61831</v>
      </c>
      <c r="H246" s="7">
        <f>'"HUMBERSIDE"'!J33</f>
        <v>63112</v>
      </c>
      <c r="I246" s="7">
        <f>'"HUMBERSIDE"'!K33</f>
        <v>64085</v>
      </c>
      <c r="J246" s="7">
        <f>'"HUMBERSIDE"'!L33</f>
        <v>62738</v>
      </c>
      <c r="K246" s="7">
        <f>'"HUMBERSIDE"'!M33</f>
        <v>61400</v>
      </c>
      <c r="L246" s="7">
        <f>'"HUMBERSIDE"'!N33</f>
        <v>62917</v>
      </c>
      <c r="M246" s="7">
        <f>'"HUMBERSIDE"'!O33</f>
        <v>64940</v>
      </c>
      <c r="N246" s="34">
        <f t="shared" si="12"/>
        <v>2.3112189434877823E-2</v>
      </c>
      <c r="O246" s="34"/>
      <c r="P246" s="7">
        <f t="shared" si="13"/>
        <v>-8453</v>
      </c>
      <c r="Q246" s="1004">
        <f t="shared" si="14"/>
        <v>-0.11517447167986047</v>
      </c>
      <c r="R246" s="6">
        <v>492</v>
      </c>
      <c r="S246" s="6">
        <v>470</v>
      </c>
      <c r="T246" s="6">
        <v>461</v>
      </c>
      <c r="U246" s="6">
        <v>466</v>
      </c>
      <c r="V246" s="6">
        <v>446</v>
      </c>
      <c r="W246" s="6">
        <v>495</v>
      </c>
      <c r="X246" s="6">
        <v>462</v>
      </c>
      <c r="Y246" s="6">
        <v>472</v>
      </c>
      <c r="Z246" s="6">
        <v>492</v>
      </c>
      <c r="AA246" s="6">
        <v>495</v>
      </c>
      <c r="AB246" s="6">
        <v>498</v>
      </c>
      <c r="AC246" s="6">
        <v>483</v>
      </c>
      <c r="AD246" s="6">
        <f t="shared" si="15"/>
        <v>15</v>
      </c>
      <c r="AE246" s="6" t="s">
        <v>15828</v>
      </c>
    </row>
    <row r="247" spans="1:31">
      <c r="A247" s="33" t="str">
        <f>'"HUMBERSIDE"'!A35</f>
        <v>Kingston upon Hull West and Hessle BC</v>
      </c>
      <c r="B247" s="7">
        <f>'"HUMBERSIDE"'!D37</f>
        <v>60947</v>
      </c>
      <c r="C247" s="7">
        <f>'"HUMBERSIDE"'!E37</f>
        <v>61232</v>
      </c>
      <c r="D247" s="7">
        <f>'"HUMBERSIDE"'!F37</f>
        <v>61114</v>
      </c>
      <c r="E247" s="7">
        <f>'"HUMBERSIDE"'!G37</f>
        <v>61237</v>
      </c>
      <c r="F247" s="7">
        <f>'"HUMBERSIDE"'!H37</f>
        <v>61141</v>
      </c>
      <c r="G247" s="7">
        <f>'"HUMBERSIDE"'!I37</f>
        <v>58234</v>
      </c>
      <c r="H247" s="7">
        <f>'"HUMBERSIDE"'!J37</f>
        <v>58283</v>
      </c>
      <c r="I247" s="7">
        <f>'"HUMBERSIDE"'!K37</f>
        <v>59568</v>
      </c>
      <c r="J247" s="7">
        <f>'"HUMBERSIDE"'!L37</f>
        <v>59081</v>
      </c>
      <c r="K247" s="7">
        <f>'"HUMBERSIDE"'!M37</f>
        <v>58638</v>
      </c>
      <c r="L247" s="7">
        <f>'"HUMBERSIDE"'!N37</f>
        <v>59092</v>
      </c>
      <c r="M247" s="7">
        <f>'"HUMBERSIDE"'!O37</f>
        <v>60079</v>
      </c>
      <c r="N247" s="34">
        <f t="shared" si="12"/>
        <v>-1.4241882291171017E-2</v>
      </c>
      <c r="O247" s="34"/>
      <c r="P247" s="7">
        <f t="shared" si="13"/>
        <v>-13314</v>
      </c>
      <c r="Q247" s="1004">
        <f t="shared" si="14"/>
        <v>-0.18140694616652814</v>
      </c>
      <c r="R247" s="6">
        <v>520</v>
      </c>
      <c r="S247" s="6">
        <v>522</v>
      </c>
      <c r="T247" s="6">
        <v>526</v>
      </c>
      <c r="U247" s="6">
        <v>523</v>
      </c>
      <c r="V247" s="6">
        <v>514</v>
      </c>
      <c r="W247" s="6">
        <v>519</v>
      </c>
      <c r="X247" s="6">
        <v>517</v>
      </c>
      <c r="Y247" s="6">
        <v>517</v>
      </c>
      <c r="Z247" s="6">
        <v>523</v>
      </c>
      <c r="AA247" s="6">
        <v>520</v>
      </c>
      <c r="AB247" s="6">
        <v>525</v>
      </c>
      <c r="AC247" s="6">
        <v>524</v>
      </c>
      <c r="AD247" s="6">
        <f t="shared" si="15"/>
        <v>1</v>
      </c>
      <c r="AE247" s="6" t="s">
        <v>15828</v>
      </c>
    </row>
    <row r="248" spans="1:31">
      <c r="A248" s="33" t="str">
        <f>'SOUTH GLOUCESTERSHIRE'!A9</f>
        <v>Kingswood BC</v>
      </c>
      <c r="B248" s="7">
        <f>'SOUTH GLOUCESTERSHIRE'!D9</f>
        <v>66418</v>
      </c>
      <c r="C248" s="7">
        <f>'SOUTH GLOUCESTERSHIRE'!E9</f>
        <v>67199</v>
      </c>
      <c r="D248" s="7">
        <f>'SOUTH GLOUCESTERSHIRE'!F9</f>
        <v>67705</v>
      </c>
      <c r="E248" s="7">
        <f>'SOUTH GLOUCESTERSHIRE'!G9</f>
        <v>67937</v>
      </c>
      <c r="F248" s="7">
        <f>'SOUTH GLOUCESTERSHIRE'!H9</f>
        <v>67948</v>
      </c>
      <c r="G248" s="7">
        <f>'SOUTH GLOUCESTERSHIRE'!I9</f>
        <v>67366</v>
      </c>
      <c r="H248" s="7">
        <f>'SOUTH GLOUCESTERSHIRE'!J9</f>
        <v>67569</v>
      </c>
      <c r="I248" s="7">
        <f>'SOUTH GLOUCESTERSHIRE'!K9</f>
        <v>68625</v>
      </c>
      <c r="J248" s="7">
        <f>'SOUTH GLOUCESTERSHIRE'!L9</f>
        <v>65061</v>
      </c>
      <c r="K248" s="7">
        <f>'SOUTH GLOUCESTERSHIRE'!M9</f>
        <v>66943</v>
      </c>
      <c r="L248" s="7">
        <f>'SOUTH GLOUCESTERSHIRE'!N9</f>
        <v>69206</v>
      </c>
      <c r="M248" s="7">
        <f>'SOUTH GLOUCESTERSHIRE'!O9</f>
        <v>69058</v>
      </c>
      <c r="N248" s="34">
        <f t="shared" si="12"/>
        <v>3.9748261013580657E-2</v>
      </c>
      <c r="O248" s="34"/>
      <c r="P248" s="7">
        <f t="shared" si="13"/>
        <v>-4335</v>
      </c>
      <c r="Q248" s="1004">
        <f t="shared" si="14"/>
        <v>-5.9065578461161145E-2</v>
      </c>
      <c r="R248" s="6">
        <v>427</v>
      </c>
      <c r="S248" s="6">
        <v>415</v>
      </c>
      <c r="T248" s="6">
        <v>411</v>
      </c>
      <c r="U248" s="6">
        <v>416</v>
      </c>
      <c r="V248" s="6">
        <v>403</v>
      </c>
      <c r="W248" s="6">
        <v>384</v>
      </c>
      <c r="X248" s="6">
        <v>356</v>
      </c>
      <c r="Y248" s="6">
        <v>373</v>
      </c>
      <c r="Z248" s="6">
        <v>458</v>
      </c>
      <c r="AA248" s="6">
        <v>409</v>
      </c>
      <c r="AB248" s="6">
        <v>403</v>
      </c>
      <c r="AC248" s="6">
        <v>417</v>
      </c>
      <c r="AD248" s="6">
        <f t="shared" si="15"/>
        <v>-14</v>
      </c>
      <c r="AE248" s="6" t="s">
        <v>15830</v>
      </c>
    </row>
    <row r="249" spans="1:31">
      <c r="A249" s="33" t="str">
        <f>MERSEYSIDE!A21</f>
        <v>Knowsley BC</v>
      </c>
      <c r="B249" s="7">
        <f>MERSEYSIDE!D21</f>
        <v>79271</v>
      </c>
      <c r="C249" s="7">
        <f>MERSEYSIDE!E21</f>
        <v>79334</v>
      </c>
      <c r="D249" s="7">
        <f>MERSEYSIDE!F21</f>
        <v>79603</v>
      </c>
      <c r="E249" s="7">
        <f>MERSEYSIDE!G21</f>
        <v>80134</v>
      </c>
      <c r="F249" s="7">
        <f>MERSEYSIDE!H21</f>
        <v>79797</v>
      </c>
      <c r="G249" s="7">
        <f>MERSEYSIDE!I21</f>
        <v>78377</v>
      </c>
      <c r="H249" s="7">
        <f>MERSEYSIDE!J21</f>
        <v>77916</v>
      </c>
      <c r="I249" s="7">
        <f>MERSEYSIDE!K21</f>
        <v>80748</v>
      </c>
      <c r="J249" s="7">
        <f>MERSEYSIDE!L21</f>
        <v>81749</v>
      </c>
      <c r="K249" s="7">
        <f>MERSEYSIDE!M21</f>
        <v>82373</v>
      </c>
      <c r="L249" s="7">
        <f>MERSEYSIDE!N21</f>
        <v>84496</v>
      </c>
      <c r="M249" s="7">
        <f>MERSEYSIDE!O21</f>
        <v>84513</v>
      </c>
      <c r="N249" s="34">
        <f t="shared" si="12"/>
        <v>6.6127587642391294E-2</v>
      </c>
      <c r="O249" s="34"/>
      <c r="P249" s="7">
        <f t="shared" si="13"/>
        <v>11120</v>
      </c>
      <c r="Q249" s="1004">
        <f t="shared" si="14"/>
        <v>0.15151308707914923</v>
      </c>
      <c r="R249" s="6">
        <v>42</v>
      </c>
      <c r="S249" s="6">
        <v>52</v>
      </c>
      <c r="T249" s="6">
        <v>55</v>
      </c>
      <c r="U249" s="6">
        <v>53</v>
      </c>
      <c r="V249" s="6">
        <v>57</v>
      </c>
      <c r="W249" s="6">
        <v>64</v>
      </c>
      <c r="X249" s="6">
        <v>61</v>
      </c>
      <c r="Y249" s="6">
        <v>51</v>
      </c>
      <c r="Z249" s="6">
        <v>50</v>
      </c>
      <c r="AA249" s="6">
        <v>35</v>
      </c>
      <c r="AB249" s="6">
        <v>41</v>
      </c>
      <c r="AC249" s="6">
        <v>49</v>
      </c>
      <c r="AD249" s="6">
        <f t="shared" si="15"/>
        <v>-8</v>
      </c>
      <c r="AE249" s="6" t="s">
        <v>15825</v>
      </c>
    </row>
    <row r="250" spans="1:31">
      <c r="A250" s="33" t="str">
        <f>LANCASHIRE!A47</f>
        <v>Lancaster and Fleetwood CC</v>
      </c>
      <c r="B250" s="7">
        <f>LANCASHIRE!D49</f>
        <v>66260</v>
      </c>
      <c r="C250" s="7">
        <f>LANCASHIRE!E49</f>
        <v>67305</v>
      </c>
      <c r="D250" s="7">
        <f>LANCASHIRE!F49</f>
        <v>65420</v>
      </c>
      <c r="E250" s="7">
        <f>LANCASHIRE!G49</f>
        <v>64332</v>
      </c>
      <c r="F250" s="7">
        <f>LANCASHIRE!H49</f>
        <v>62035</v>
      </c>
      <c r="G250" s="7">
        <f>LANCASHIRE!I49</f>
        <v>58838</v>
      </c>
      <c r="H250" s="7">
        <f>LANCASHIRE!J49</f>
        <v>58789</v>
      </c>
      <c r="I250" s="7">
        <f>LANCASHIRE!K49</f>
        <v>64719</v>
      </c>
      <c r="J250" s="7">
        <f>LANCASHIRE!L49</f>
        <v>68601</v>
      </c>
      <c r="K250" s="7">
        <f>LANCASHIRE!M49</f>
        <v>66699</v>
      </c>
      <c r="L250" s="7">
        <f>LANCASHIRE!N49</f>
        <v>68243</v>
      </c>
      <c r="M250" s="7">
        <f>LANCASHIRE!O49</f>
        <v>69788</v>
      </c>
      <c r="N250" s="34">
        <f t="shared" si="12"/>
        <v>5.3244793238756416E-2</v>
      </c>
      <c r="O250" s="34"/>
      <c r="P250" s="7">
        <f t="shared" si="13"/>
        <v>-3605</v>
      </c>
      <c r="Q250" s="1004">
        <f t="shared" si="14"/>
        <v>-4.9119125802188218E-2</v>
      </c>
      <c r="R250" s="6">
        <v>429</v>
      </c>
      <c r="S250" s="6">
        <v>413</v>
      </c>
      <c r="T250" s="6">
        <v>467</v>
      </c>
      <c r="U250" s="6">
        <v>492</v>
      </c>
      <c r="V250" s="6">
        <v>503</v>
      </c>
      <c r="W250" s="6">
        <v>515</v>
      </c>
      <c r="X250" s="6">
        <v>512</v>
      </c>
      <c r="Y250" s="6">
        <v>459</v>
      </c>
      <c r="Z250" s="6">
        <v>384</v>
      </c>
      <c r="AA250" s="6">
        <v>420</v>
      </c>
      <c r="AB250" s="6">
        <v>420</v>
      </c>
      <c r="AC250" s="6">
        <v>400</v>
      </c>
      <c r="AD250" s="6">
        <f t="shared" si="15"/>
        <v>20</v>
      </c>
      <c r="AE250" s="6" t="s">
        <v>15825</v>
      </c>
    </row>
    <row r="251" spans="1:31">
      <c r="A251" s="33" t="str">
        <f>'WEST YORKSHIRE'!A37</f>
        <v>Leeds Central BC</v>
      </c>
      <c r="B251" s="7">
        <f>'WEST YORKSHIRE'!D37</f>
        <v>79696</v>
      </c>
      <c r="C251" s="7">
        <f>'WEST YORKSHIRE'!E37</f>
        <v>80912</v>
      </c>
      <c r="D251" s="7">
        <f>'WEST YORKSHIRE'!F37</f>
        <v>79025</v>
      </c>
      <c r="E251" s="7">
        <f>'WEST YORKSHIRE'!G37</f>
        <v>82737</v>
      </c>
      <c r="F251" s="7">
        <f>'WEST YORKSHIRE'!H37</f>
        <v>77542</v>
      </c>
      <c r="G251" s="7">
        <f>'WEST YORKSHIRE'!I37</f>
        <v>73489</v>
      </c>
      <c r="H251" s="7">
        <f>'WEST YORKSHIRE'!J37</f>
        <v>73767</v>
      </c>
      <c r="I251" s="7">
        <f>'WEST YORKSHIRE'!K37</f>
        <v>79095</v>
      </c>
      <c r="J251" s="7">
        <f>'WEST YORKSHIRE'!L37</f>
        <v>84272</v>
      </c>
      <c r="K251" s="7">
        <f>'WEST YORKSHIRE'!M37</f>
        <v>78095</v>
      </c>
      <c r="L251" s="7">
        <f>'WEST YORKSHIRE'!N37</f>
        <v>82211</v>
      </c>
      <c r="M251" s="7">
        <f>'WEST YORKSHIRE'!O37</f>
        <v>91069</v>
      </c>
      <c r="N251" s="34">
        <f t="shared" si="12"/>
        <v>0.14270477815699659</v>
      </c>
      <c r="O251" s="34"/>
      <c r="P251" s="7">
        <f t="shared" si="13"/>
        <v>17676</v>
      </c>
      <c r="Q251" s="1004">
        <f t="shared" si="14"/>
        <v>0.24084040712329513</v>
      </c>
      <c r="R251" s="6">
        <v>39</v>
      </c>
      <c r="S251" s="6">
        <v>34</v>
      </c>
      <c r="T251" s="6">
        <v>67</v>
      </c>
      <c r="U251" s="6">
        <v>31</v>
      </c>
      <c r="V251" s="6">
        <v>114</v>
      </c>
      <c r="W251" s="6">
        <v>173</v>
      </c>
      <c r="X251" s="6">
        <v>148</v>
      </c>
      <c r="Y251" s="6">
        <v>83</v>
      </c>
      <c r="Z251" s="6">
        <v>23</v>
      </c>
      <c r="AA251" s="6">
        <v>111</v>
      </c>
      <c r="AB251" s="6">
        <v>69</v>
      </c>
      <c r="AC251" s="6">
        <v>13</v>
      </c>
      <c r="AD251" s="6">
        <f t="shared" si="15"/>
        <v>56</v>
      </c>
      <c r="AE251" s="6" t="s">
        <v>15828</v>
      </c>
    </row>
    <row r="252" spans="1:31">
      <c r="A252" s="33" t="str">
        <f>'WEST YORKSHIRE'!A39</f>
        <v>Leeds East BC</v>
      </c>
      <c r="B252" s="7">
        <f>'WEST YORKSHIRE'!D39</f>
        <v>64479</v>
      </c>
      <c r="C252" s="7">
        <f>'WEST YORKSHIRE'!E39</f>
        <v>64742</v>
      </c>
      <c r="D252" s="7">
        <f>'WEST YORKSHIRE'!F39</f>
        <v>65401</v>
      </c>
      <c r="E252" s="7">
        <f>'WEST YORKSHIRE'!G39</f>
        <v>66055</v>
      </c>
      <c r="F252" s="7">
        <f>'WEST YORKSHIRE'!H39</f>
        <v>62646</v>
      </c>
      <c r="G252" s="7">
        <f>'WEST YORKSHIRE'!I39</f>
        <v>63581</v>
      </c>
      <c r="H252" s="7">
        <f>'WEST YORKSHIRE'!J39</f>
        <v>62608</v>
      </c>
      <c r="I252" s="7">
        <f>'WEST YORKSHIRE'!K39</f>
        <v>64655</v>
      </c>
      <c r="J252" s="7">
        <f>'WEST YORKSHIRE'!L39</f>
        <v>64623</v>
      </c>
      <c r="K252" s="7">
        <f>'WEST YORKSHIRE'!M39</f>
        <v>64579</v>
      </c>
      <c r="L252" s="7">
        <f>'WEST YORKSHIRE'!N39</f>
        <v>65693</v>
      </c>
      <c r="M252" s="7">
        <f>'WEST YORKSHIRE'!O39</f>
        <v>67883</v>
      </c>
      <c r="N252" s="34">
        <f t="shared" si="12"/>
        <v>5.2792382015850119E-2</v>
      </c>
      <c r="O252" s="34"/>
      <c r="P252" s="7">
        <f t="shared" si="13"/>
        <v>-5510</v>
      </c>
      <c r="Q252" s="1004">
        <f t="shared" si="14"/>
        <v>-7.5075279658823046E-2</v>
      </c>
      <c r="R252" s="6">
        <v>476</v>
      </c>
      <c r="S252" s="6">
        <v>481</v>
      </c>
      <c r="T252" s="6">
        <v>468</v>
      </c>
      <c r="U252" s="6">
        <v>464</v>
      </c>
      <c r="V252" s="6">
        <v>499</v>
      </c>
      <c r="W252" s="6">
        <v>474</v>
      </c>
      <c r="X252" s="6">
        <v>472</v>
      </c>
      <c r="Y252" s="6">
        <v>461</v>
      </c>
      <c r="Z252" s="6">
        <v>468</v>
      </c>
      <c r="AA252" s="6">
        <v>458</v>
      </c>
      <c r="AB252" s="6">
        <v>463</v>
      </c>
      <c r="AC252" s="6">
        <v>438</v>
      </c>
      <c r="AD252" s="6">
        <f t="shared" si="15"/>
        <v>25</v>
      </c>
      <c r="AE252" s="6" t="s">
        <v>15828</v>
      </c>
    </row>
    <row r="253" spans="1:31">
      <c r="A253" s="33" t="str">
        <f>'WEST YORKSHIRE'!A41</f>
        <v>Leeds North East BC</v>
      </c>
      <c r="B253" s="7">
        <f>'WEST YORKSHIRE'!D41</f>
        <v>67489</v>
      </c>
      <c r="C253" s="7">
        <f>'WEST YORKSHIRE'!E41</f>
        <v>68269</v>
      </c>
      <c r="D253" s="7">
        <f>'WEST YORKSHIRE'!F41</f>
        <v>68541</v>
      </c>
      <c r="E253" s="7">
        <f>'WEST YORKSHIRE'!G41</f>
        <v>69037</v>
      </c>
      <c r="F253" s="7">
        <f>'WEST YORKSHIRE'!H41</f>
        <v>66396</v>
      </c>
      <c r="G253" s="7">
        <f>'WEST YORKSHIRE'!I41</f>
        <v>67091</v>
      </c>
      <c r="H253" s="7">
        <f>'WEST YORKSHIRE'!J41</f>
        <v>65935</v>
      </c>
      <c r="I253" s="7">
        <f>'WEST YORKSHIRE'!K41</f>
        <v>67746</v>
      </c>
      <c r="J253" s="7">
        <f>'WEST YORKSHIRE'!L41</f>
        <v>67590</v>
      </c>
      <c r="K253" s="7">
        <f>'WEST YORKSHIRE'!M41</f>
        <v>67264</v>
      </c>
      <c r="L253" s="7">
        <f>'WEST YORKSHIRE'!N41</f>
        <v>68059</v>
      </c>
      <c r="M253" s="7">
        <f>'WEST YORKSHIRE'!O41</f>
        <v>71011</v>
      </c>
      <c r="N253" s="34">
        <f t="shared" si="12"/>
        <v>5.2186282208952571E-2</v>
      </c>
      <c r="O253" s="34"/>
      <c r="P253" s="7">
        <f t="shared" si="13"/>
        <v>-2382</v>
      </c>
      <c r="Q253" s="1004">
        <f t="shared" si="14"/>
        <v>-3.2455411279004809E-2</v>
      </c>
      <c r="R253" s="6">
        <v>394</v>
      </c>
      <c r="S253" s="6">
        <v>388</v>
      </c>
      <c r="T253" s="6">
        <v>385</v>
      </c>
      <c r="U253" s="6">
        <v>386</v>
      </c>
      <c r="V253" s="6">
        <v>444</v>
      </c>
      <c r="W253" s="6">
        <v>391</v>
      </c>
      <c r="X253" s="6">
        <v>403</v>
      </c>
      <c r="Y253" s="6">
        <v>396</v>
      </c>
      <c r="Z253" s="6">
        <v>407</v>
      </c>
      <c r="AA253" s="6">
        <v>402</v>
      </c>
      <c r="AB253" s="6">
        <v>421</v>
      </c>
      <c r="AC253" s="6">
        <v>371</v>
      </c>
      <c r="AD253" s="6">
        <f t="shared" si="15"/>
        <v>50</v>
      </c>
      <c r="AE253" s="6" t="s">
        <v>15828</v>
      </c>
    </row>
    <row r="254" spans="1:31">
      <c r="A254" s="33" t="str">
        <f>'WEST YORKSHIRE'!A43</f>
        <v>Leeds North West BC</v>
      </c>
      <c r="B254" s="7">
        <f>'WEST YORKSHIRE'!D43</f>
        <v>64822</v>
      </c>
      <c r="C254" s="7">
        <f>'WEST YORKSHIRE'!E43</f>
        <v>65047</v>
      </c>
      <c r="D254" s="7">
        <f>'WEST YORKSHIRE'!F43</f>
        <v>61811</v>
      </c>
      <c r="E254" s="7">
        <f>'WEST YORKSHIRE'!G43</f>
        <v>62907</v>
      </c>
      <c r="F254" s="7">
        <f>'WEST YORKSHIRE'!H43</f>
        <v>58511</v>
      </c>
      <c r="G254" s="7">
        <f>'WEST YORKSHIRE'!I43</f>
        <v>55213</v>
      </c>
      <c r="H254" s="7">
        <f>'WEST YORKSHIRE'!J43</f>
        <v>55650</v>
      </c>
      <c r="I254" s="7">
        <f>'WEST YORKSHIRE'!K43</f>
        <v>58694</v>
      </c>
      <c r="J254" s="7">
        <f>'WEST YORKSHIRE'!L43</f>
        <v>60552</v>
      </c>
      <c r="K254" s="7">
        <f>'WEST YORKSHIRE'!M43</f>
        <v>58553</v>
      </c>
      <c r="L254" s="7">
        <f>'WEST YORKSHIRE'!N43</f>
        <v>60641</v>
      </c>
      <c r="M254" s="7">
        <f>'WEST YORKSHIRE'!O43</f>
        <v>67856</v>
      </c>
      <c r="N254" s="34">
        <f t="shared" si="12"/>
        <v>4.680509703495727E-2</v>
      </c>
      <c r="O254" s="34"/>
      <c r="P254" s="7">
        <f t="shared" si="13"/>
        <v>-5537</v>
      </c>
      <c r="Q254" s="1004">
        <f t="shared" si="14"/>
        <v>-7.5443162154428894E-2</v>
      </c>
      <c r="R254" s="6">
        <v>468</v>
      </c>
      <c r="S254" s="6">
        <v>476</v>
      </c>
      <c r="T254" s="6">
        <v>519</v>
      </c>
      <c r="U254" s="6">
        <v>505</v>
      </c>
      <c r="V254" s="6">
        <v>527</v>
      </c>
      <c r="W254" s="6">
        <v>532</v>
      </c>
      <c r="X254" s="6">
        <v>528</v>
      </c>
      <c r="Y254" s="6">
        <v>523</v>
      </c>
      <c r="Z254" s="6">
        <v>514</v>
      </c>
      <c r="AA254" s="6">
        <v>521</v>
      </c>
      <c r="AB254" s="6">
        <v>517</v>
      </c>
      <c r="AC254" s="6">
        <v>440</v>
      </c>
      <c r="AD254" s="6">
        <f t="shared" si="15"/>
        <v>77</v>
      </c>
      <c r="AE254" s="6" t="s">
        <v>15828</v>
      </c>
    </row>
    <row r="255" spans="1:31">
      <c r="A255" s="33" t="str">
        <f>'WEST YORKSHIRE'!A45</f>
        <v>Leeds West BC</v>
      </c>
      <c r="B255" s="7">
        <f>'WEST YORKSHIRE'!D45</f>
        <v>67243</v>
      </c>
      <c r="C255" s="7">
        <f>'WEST YORKSHIRE'!E45</f>
        <v>67222</v>
      </c>
      <c r="D255" s="7">
        <f>'WEST YORKSHIRE'!F45</f>
        <v>67196</v>
      </c>
      <c r="E255" s="7">
        <f>'WEST YORKSHIRE'!G45</f>
        <v>67226</v>
      </c>
      <c r="F255" s="7">
        <f>'WEST YORKSHIRE'!H45</f>
        <v>61760</v>
      </c>
      <c r="G255" s="7">
        <f>'WEST YORKSHIRE'!I45</f>
        <v>62295</v>
      </c>
      <c r="H255" s="7">
        <f>'WEST YORKSHIRE'!J45</f>
        <v>61508</v>
      </c>
      <c r="I255" s="7">
        <f>'WEST YORKSHIRE'!K45</f>
        <v>64155</v>
      </c>
      <c r="J255" s="7">
        <f>'WEST YORKSHIRE'!L45</f>
        <v>65021</v>
      </c>
      <c r="K255" s="7">
        <f>'WEST YORKSHIRE'!M45</f>
        <v>63954</v>
      </c>
      <c r="L255" s="7">
        <f>'WEST YORKSHIRE'!N45</f>
        <v>64470</v>
      </c>
      <c r="M255" s="7">
        <f>'WEST YORKSHIRE'!O45</f>
        <v>68113</v>
      </c>
      <c r="N255" s="34">
        <f t="shared" si="12"/>
        <v>1.2938149695879125E-2</v>
      </c>
      <c r="O255" s="34"/>
      <c r="P255" s="7">
        <f t="shared" si="13"/>
        <v>-5280</v>
      </c>
      <c r="Q255" s="1004">
        <f t="shared" si="14"/>
        <v>-7.1941465807365823E-2</v>
      </c>
      <c r="R255" s="6">
        <v>405</v>
      </c>
      <c r="S255" s="6">
        <v>414</v>
      </c>
      <c r="T255" s="6">
        <v>425</v>
      </c>
      <c r="U255" s="6">
        <v>437</v>
      </c>
      <c r="V255" s="6">
        <v>507</v>
      </c>
      <c r="W255" s="6">
        <v>488</v>
      </c>
      <c r="X255" s="6">
        <v>488</v>
      </c>
      <c r="Y255" s="6">
        <v>469</v>
      </c>
      <c r="Z255" s="6">
        <v>462</v>
      </c>
      <c r="AA255" s="6">
        <v>469</v>
      </c>
      <c r="AB255" s="6">
        <v>478</v>
      </c>
      <c r="AC255" s="6">
        <v>435</v>
      </c>
      <c r="AD255" s="6">
        <f t="shared" si="15"/>
        <v>43</v>
      </c>
      <c r="AE255" s="6" t="s">
        <v>15828</v>
      </c>
    </row>
    <row r="256" spans="1:31">
      <c r="A256" s="33" t="str">
        <f>LEICESTER!A7</f>
        <v>Leicester East BC</v>
      </c>
      <c r="B256" s="7">
        <f>LEICESTER!D7</f>
        <v>73320</v>
      </c>
      <c r="C256" s="7">
        <f>LEICESTER!E7</f>
        <v>74377</v>
      </c>
      <c r="D256" s="7">
        <f>LEICESTER!F7</f>
        <v>76009</v>
      </c>
      <c r="E256" s="7">
        <f>LEICESTER!G7</f>
        <v>76741</v>
      </c>
      <c r="F256" s="7">
        <f>LEICESTER!H7</f>
        <v>76347</v>
      </c>
      <c r="G256" s="7">
        <f>LEICESTER!I7</f>
        <v>74819</v>
      </c>
      <c r="H256" s="7">
        <f>LEICESTER!J7</f>
        <v>75755</v>
      </c>
      <c r="I256" s="7">
        <f>LEICESTER!K7</f>
        <v>78283</v>
      </c>
      <c r="J256" s="7">
        <f>LEICESTER!L7</f>
        <v>78895</v>
      </c>
      <c r="K256" s="7">
        <f>LEICESTER!M7</f>
        <v>78176</v>
      </c>
      <c r="L256" s="7">
        <f>LEICESTER!N7</f>
        <v>78647</v>
      </c>
      <c r="M256" s="7">
        <f>LEICESTER!O7</f>
        <v>78754</v>
      </c>
      <c r="N256" s="34">
        <f t="shared" si="12"/>
        <v>7.411347517730496E-2</v>
      </c>
      <c r="O256" s="34"/>
      <c r="P256" s="7">
        <f t="shared" si="13"/>
        <v>5361</v>
      </c>
      <c r="Q256" s="1004">
        <f t="shared" si="14"/>
        <v>7.3045113294183367E-2</v>
      </c>
      <c r="R256" s="6">
        <v>186</v>
      </c>
      <c r="S256" s="6">
        <v>178</v>
      </c>
      <c r="T256" s="6">
        <v>155</v>
      </c>
      <c r="U256" s="6">
        <v>146</v>
      </c>
      <c r="V256" s="6">
        <v>141</v>
      </c>
      <c r="W256" s="6">
        <v>148</v>
      </c>
      <c r="X256" s="6">
        <v>104</v>
      </c>
      <c r="Y256" s="6">
        <v>101</v>
      </c>
      <c r="Z256" s="6">
        <v>98</v>
      </c>
      <c r="AA256" s="6">
        <v>108</v>
      </c>
      <c r="AB256" s="6">
        <v>144</v>
      </c>
      <c r="AC256" s="6">
        <v>159</v>
      </c>
      <c r="AD256" s="6">
        <f t="shared" si="15"/>
        <v>-15</v>
      </c>
      <c r="AE256" s="6" t="s">
        <v>15826</v>
      </c>
    </row>
    <row r="257" spans="1:31">
      <c r="A257" s="33" t="str">
        <f>LEICESTER!A9</f>
        <v>Leicester South BC</v>
      </c>
      <c r="B257" s="7">
        <f>LEICESTER!D9</f>
        <v>77156</v>
      </c>
      <c r="C257" s="7">
        <f>LEICESTER!E9</f>
        <v>78433</v>
      </c>
      <c r="D257" s="7">
        <f>LEICESTER!F9</f>
        <v>80038</v>
      </c>
      <c r="E257" s="7">
        <f>LEICESTER!G9</f>
        <v>78404</v>
      </c>
      <c r="F257" s="7">
        <f>LEICESTER!H9</f>
        <v>77879</v>
      </c>
      <c r="G257" s="7">
        <f>LEICESTER!I9</f>
        <v>70055</v>
      </c>
      <c r="H257" s="7">
        <f>LEICESTER!J9</f>
        <v>72227</v>
      </c>
      <c r="I257" s="7">
        <f>LEICESTER!K9</f>
        <v>74554</v>
      </c>
      <c r="J257" s="7">
        <f>LEICESTER!L9</f>
        <v>75341</v>
      </c>
      <c r="K257" s="7">
        <f>LEICESTER!M9</f>
        <v>73097</v>
      </c>
      <c r="L257" s="7">
        <f>LEICESTER!N9</f>
        <v>75616</v>
      </c>
      <c r="M257" s="7">
        <f>LEICESTER!O9</f>
        <v>77012</v>
      </c>
      <c r="N257" s="34">
        <f t="shared" si="12"/>
        <v>-1.8663486961480638E-3</v>
      </c>
      <c r="O257" s="34"/>
      <c r="P257" s="7">
        <f t="shared" si="13"/>
        <v>3619</v>
      </c>
      <c r="Q257" s="1004">
        <f t="shared" si="14"/>
        <v>4.9309879688798658E-2</v>
      </c>
      <c r="R257" s="6">
        <v>87</v>
      </c>
      <c r="S257" s="6">
        <v>72</v>
      </c>
      <c r="T257" s="6">
        <v>48</v>
      </c>
      <c r="U257" s="6">
        <v>96</v>
      </c>
      <c r="V257" s="6">
        <v>105</v>
      </c>
      <c r="W257" s="6">
        <v>288</v>
      </c>
      <c r="X257" s="6">
        <v>188</v>
      </c>
      <c r="Y257" s="6">
        <v>175</v>
      </c>
      <c r="Z257" s="6">
        <v>170</v>
      </c>
      <c r="AA257" s="6">
        <v>218</v>
      </c>
      <c r="AB257" s="6">
        <v>213</v>
      </c>
      <c r="AC257" s="6">
        <v>193</v>
      </c>
      <c r="AD257" s="6">
        <f t="shared" si="15"/>
        <v>20</v>
      </c>
      <c r="AE257" s="6" t="s">
        <v>15826</v>
      </c>
    </row>
    <row r="258" spans="1:31">
      <c r="A258" s="33" t="str">
        <f>LEICESTER!A11</f>
        <v>Leicester West BC</v>
      </c>
      <c r="B258" s="7">
        <f>LEICESTER!D11</f>
        <v>65058</v>
      </c>
      <c r="C258" s="7">
        <f>LEICESTER!E11</f>
        <v>65432</v>
      </c>
      <c r="D258" s="7">
        <f>LEICESTER!F11</f>
        <v>65574</v>
      </c>
      <c r="E258" s="7">
        <f>LEICESTER!G11</f>
        <v>65792</v>
      </c>
      <c r="F258" s="7">
        <f>LEICESTER!H11</f>
        <v>65647</v>
      </c>
      <c r="G258" s="7">
        <f>LEICESTER!I11</f>
        <v>61919</v>
      </c>
      <c r="H258" s="7">
        <f>LEICESTER!J11</f>
        <v>62793</v>
      </c>
      <c r="I258" s="7">
        <f>LEICESTER!K11</f>
        <v>65001</v>
      </c>
      <c r="J258" s="7">
        <f>LEICESTER!L11</f>
        <v>65035</v>
      </c>
      <c r="K258" s="7">
        <f>LEICESTER!M11</f>
        <v>63542</v>
      </c>
      <c r="L258" s="7">
        <f>LEICESTER!N11</f>
        <v>64178</v>
      </c>
      <c r="M258" s="7">
        <f>LEICESTER!O11</f>
        <v>64554</v>
      </c>
      <c r="N258" s="34">
        <f t="shared" si="12"/>
        <v>-7.7469335054874116E-3</v>
      </c>
      <c r="O258" s="34"/>
      <c r="P258" s="7">
        <f t="shared" si="13"/>
        <v>-8839</v>
      </c>
      <c r="Q258" s="1004">
        <f t="shared" si="14"/>
        <v>-0.1204338288392626</v>
      </c>
      <c r="R258" s="6">
        <v>459</v>
      </c>
      <c r="S258" s="6">
        <v>466</v>
      </c>
      <c r="T258" s="6">
        <v>464</v>
      </c>
      <c r="U258" s="6">
        <v>470</v>
      </c>
      <c r="V258" s="6">
        <v>457</v>
      </c>
      <c r="W258" s="6">
        <v>493</v>
      </c>
      <c r="X258" s="6">
        <v>469</v>
      </c>
      <c r="Y258" s="6">
        <v>454</v>
      </c>
      <c r="Z258" s="6">
        <v>459</v>
      </c>
      <c r="AA258" s="6">
        <v>472</v>
      </c>
      <c r="AB258" s="6">
        <v>485</v>
      </c>
      <c r="AC258" s="6">
        <v>489</v>
      </c>
      <c r="AD258" s="6">
        <f t="shared" si="15"/>
        <v>-4</v>
      </c>
      <c r="AE258" s="6" t="s">
        <v>15826</v>
      </c>
    </row>
    <row r="259" spans="1:31">
      <c r="A259" s="33" t="str">
        <f>'GREATER MANCHESTER'!A51</f>
        <v>Leigh CC</v>
      </c>
      <c r="B259" s="7">
        <f>'GREATER MANCHESTER'!D51</f>
        <v>75330</v>
      </c>
      <c r="C259" s="7">
        <f>'GREATER MANCHESTER'!E51</f>
        <v>77001</v>
      </c>
      <c r="D259" s="7">
        <f>'GREATER MANCHESTER'!F51</f>
        <v>77900</v>
      </c>
      <c r="E259" s="7">
        <f>'GREATER MANCHESTER'!G51</f>
        <v>78529</v>
      </c>
      <c r="F259" s="7">
        <f>'GREATER MANCHESTER'!H51</f>
        <v>78661</v>
      </c>
      <c r="G259" s="7">
        <f>'GREATER MANCHESTER'!I51</f>
        <v>74008</v>
      </c>
      <c r="H259" s="7">
        <f>'GREATER MANCHESTER'!J51</f>
        <v>73070</v>
      </c>
      <c r="I259" s="7">
        <f>'GREATER MANCHESTER'!K51</f>
        <v>74448</v>
      </c>
      <c r="J259" s="7">
        <f>'GREATER MANCHESTER'!L51</f>
        <v>74941</v>
      </c>
      <c r="K259" s="7">
        <f>'GREATER MANCHESTER'!M51</f>
        <v>74672</v>
      </c>
      <c r="L259" s="7">
        <f>'GREATER MANCHESTER'!N51</f>
        <v>77374</v>
      </c>
      <c r="M259" s="7">
        <f>'GREATER MANCHESTER'!O51</f>
        <v>77416</v>
      </c>
      <c r="N259" s="34">
        <f t="shared" si="12"/>
        <v>2.7691490773928049E-2</v>
      </c>
      <c r="O259" s="34"/>
      <c r="P259" s="7">
        <f t="shared" si="13"/>
        <v>4023</v>
      </c>
      <c r="Q259" s="1004">
        <f t="shared" si="14"/>
        <v>5.4814491845271346E-2</v>
      </c>
      <c r="R259" s="6">
        <v>142</v>
      </c>
      <c r="S259" s="6">
        <v>112</v>
      </c>
      <c r="T259" s="6">
        <v>95</v>
      </c>
      <c r="U259" s="6">
        <v>88</v>
      </c>
      <c r="V259" s="6">
        <v>85</v>
      </c>
      <c r="W259" s="6">
        <v>163</v>
      </c>
      <c r="X259" s="6">
        <v>164</v>
      </c>
      <c r="Y259" s="6">
        <v>178</v>
      </c>
      <c r="Z259" s="6">
        <v>179</v>
      </c>
      <c r="AA259" s="6">
        <v>174</v>
      </c>
      <c r="AB259" s="6">
        <v>174</v>
      </c>
      <c r="AC259" s="6">
        <v>183</v>
      </c>
      <c r="AD259" s="6">
        <f t="shared" si="15"/>
        <v>-9</v>
      </c>
      <c r="AE259" s="6" t="s">
        <v>15825</v>
      </c>
    </row>
    <row r="260" spans="1:31">
      <c r="A260" s="33" t="str">
        <f>'EAST SUSSEX'!A37</f>
        <v>Lewes CC</v>
      </c>
      <c r="B260" s="7">
        <f>'EAST SUSSEX'!D39</f>
        <v>68125</v>
      </c>
      <c r="C260" s="7">
        <f>'EAST SUSSEX'!E39</f>
        <v>68515</v>
      </c>
      <c r="D260" s="7">
        <f>'EAST SUSSEX'!F39</f>
        <v>67971</v>
      </c>
      <c r="E260" s="7">
        <f>'EAST SUSSEX'!G39</f>
        <v>68740</v>
      </c>
      <c r="F260" s="7">
        <f>'EAST SUSSEX'!H39</f>
        <v>68401</v>
      </c>
      <c r="G260" s="7">
        <f>'EAST SUSSEX'!I39</f>
        <v>67232</v>
      </c>
      <c r="H260" s="7">
        <f>'EAST SUSSEX'!J39</f>
        <v>65707</v>
      </c>
      <c r="I260" s="7">
        <f>'EAST SUSSEX'!K39</f>
        <v>67483</v>
      </c>
      <c r="J260" s="7">
        <f>'EAST SUSSEX'!L39</f>
        <v>68694</v>
      </c>
      <c r="K260" s="7">
        <f>'EAST SUSSEX'!M39</f>
        <v>68584</v>
      </c>
      <c r="L260" s="7">
        <f>'EAST SUSSEX'!N39</f>
        <v>71744</v>
      </c>
      <c r="M260" s="7">
        <f>'EAST SUSSEX'!O39</f>
        <v>71826</v>
      </c>
      <c r="N260" s="34">
        <f t="shared" ref="N260:N323" si="16">(M260-B260)/B260</f>
        <v>5.4326605504587157E-2</v>
      </c>
      <c r="O260" s="34"/>
      <c r="P260" s="7">
        <f t="shared" ref="P260:P323" si="17">M260-$M$544</f>
        <v>-1567</v>
      </c>
      <c r="Q260" s="1004">
        <f t="shared" ref="Q260:Q323" si="18">(M260-$M$544)/$M$544</f>
        <v>-2.1350810022754213E-2</v>
      </c>
      <c r="R260" s="6">
        <v>375</v>
      </c>
      <c r="S260" s="6">
        <v>382</v>
      </c>
      <c r="T260" s="6">
        <v>401</v>
      </c>
      <c r="U260" s="6">
        <v>395</v>
      </c>
      <c r="V260" s="6">
        <v>389</v>
      </c>
      <c r="W260" s="6">
        <v>388</v>
      </c>
      <c r="X260" s="6">
        <v>409</v>
      </c>
      <c r="Y260" s="6">
        <v>402</v>
      </c>
      <c r="Z260" s="6">
        <v>382</v>
      </c>
      <c r="AA260" s="6">
        <v>377</v>
      </c>
      <c r="AB260" s="6">
        <v>325</v>
      </c>
      <c r="AC260" s="6">
        <v>353</v>
      </c>
      <c r="AD260" s="6">
        <f t="shared" ref="AD260:AD323" si="19">AB260-AC260</f>
        <v>-28</v>
      </c>
      <c r="AE260" s="6" t="s">
        <v>15823</v>
      </c>
    </row>
    <row r="261" spans="1:31">
      <c r="A261" s="33" t="str">
        <f>LEWISHAM!A9</f>
        <v>Lewisham East BC</v>
      </c>
      <c r="B261" s="7">
        <f>LEWISHAM!D9</f>
        <v>64937</v>
      </c>
      <c r="C261" s="7">
        <f>LEWISHAM!E9</f>
        <v>65508</v>
      </c>
      <c r="D261" s="7">
        <f>LEWISHAM!F9</f>
        <v>65797</v>
      </c>
      <c r="E261" s="7">
        <f>LEWISHAM!G9</f>
        <v>66116</v>
      </c>
      <c r="F261" s="7">
        <f>LEWISHAM!H9</f>
        <v>66939</v>
      </c>
      <c r="G261" s="7">
        <f>LEWISHAM!I9</f>
        <v>64984</v>
      </c>
      <c r="H261" s="7">
        <f>LEWISHAM!J9</f>
        <v>62366</v>
      </c>
      <c r="I261" s="7">
        <f>LEWISHAM!K9</f>
        <v>65099</v>
      </c>
      <c r="J261" s="7">
        <f>LEWISHAM!L9</f>
        <v>65970</v>
      </c>
      <c r="K261" s="7">
        <f>LEWISHAM!M9</f>
        <v>65020</v>
      </c>
      <c r="L261" s="7">
        <f>LEWISHAM!N9</f>
        <v>65657</v>
      </c>
      <c r="M261" s="7">
        <f>LEWISHAM!O9</f>
        <v>70528</v>
      </c>
      <c r="N261" s="34">
        <f t="shared" si="16"/>
        <v>8.6098834254739215E-2</v>
      </c>
      <c r="O261" s="34"/>
      <c r="P261" s="7">
        <f t="shared" si="17"/>
        <v>-2865</v>
      </c>
      <c r="Q261" s="1004">
        <f t="shared" si="18"/>
        <v>-3.9036420367064978E-2</v>
      </c>
      <c r="R261" s="6">
        <v>463</v>
      </c>
      <c r="S261" s="6">
        <v>464</v>
      </c>
      <c r="T261" s="6">
        <v>460</v>
      </c>
      <c r="U261" s="6">
        <v>462</v>
      </c>
      <c r="V261" s="6">
        <v>427</v>
      </c>
      <c r="W261" s="6">
        <v>442</v>
      </c>
      <c r="X261" s="6">
        <v>476</v>
      </c>
      <c r="Y261" s="6">
        <v>450</v>
      </c>
      <c r="Z261" s="6">
        <v>440</v>
      </c>
      <c r="AA261" s="6">
        <v>453</v>
      </c>
      <c r="AB261" s="6">
        <v>464</v>
      </c>
      <c r="AC261" s="6">
        <v>383</v>
      </c>
      <c r="AD261" s="6">
        <f t="shared" si="19"/>
        <v>81</v>
      </c>
      <c r="AE261" s="6" t="s">
        <v>15827</v>
      </c>
    </row>
    <row r="262" spans="1:31">
      <c r="A262" s="33" t="str">
        <f>LEWISHAM!A11</f>
        <v>Lewisham West and Penge BC</v>
      </c>
      <c r="B262" s="7">
        <f>LEWISHAM!D13</f>
        <v>68352</v>
      </c>
      <c r="C262" s="7">
        <f>LEWISHAM!E13</f>
        <v>69399</v>
      </c>
      <c r="D262" s="7">
        <f>LEWISHAM!F13</f>
        <v>69936</v>
      </c>
      <c r="E262" s="7">
        <f>LEWISHAM!G13</f>
        <v>70001</v>
      </c>
      <c r="F262" s="7">
        <f>LEWISHAM!H13</f>
        <v>70298</v>
      </c>
      <c r="G262" s="7">
        <f>LEWISHAM!I13</f>
        <v>69534</v>
      </c>
      <c r="H262" s="7">
        <f>LEWISHAM!J13</f>
        <v>67653</v>
      </c>
      <c r="I262" s="7">
        <f>LEWISHAM!K13</f>
        <v>70281</v>
      </c>
      <c r="J262" s="7">
        <f>LEWISHAM!L13</f>
        <v>71150</v>
      </c>
      <c r="K262" s="7">
        <f>LEWISHAM!M13</f>
        <v>70426</v>
      </c>
      <c r="L262" s="7">
        <f>LEWISHAM!N13</f>
        <v>71863</v>
      </c>
      <c r="M262" s="7">
        <f>LEWISHAM!O13</f>
        <v>73995</v>
      </c>
      <c r="N262" s="34">
        <f t="shared" si="16"/>
        <v>8.2557935393258425E-2</v>
      </c>
      <c r="O262" s="34"/>
      <c r="P262" s="7">
        <f t="shared" si="17"/>
        <v>602</v>
      </c>
      <c r="Q262" s="1004">
        <f t="shared" si="18"/>
        <v>8.2024171242489063E-3</v>
      </c>
      <c r="R262" s="6">
        <v>368</v>
      </c>
      <c r="S262" s="6">
        <v>354</v>
      </c>
      <c r="T262" s="6">
        <v>350</v>
      </c>
      <c r="U262" s="6">
        <v>354</v>
      </c>
      <c r="V262" s="6">
        <v>343</v>
      </c>
      <c r="W262" s="36">
        <v>311</v>
      </c>
      <c r="X262" s="6">
        <v>349</v>
      </c>
      <c r="Y262" s="6">
        <v>327</v>
      </c>
      <c r="Z262" s="6">
        <v>313</v>
      </c>
      <c r="AA262" s="6">
        <v>317</v>
      </c>
      <c r="AB262" s="6">
        <v>321</v>
      </c>
      <c r="AC262" s="6">
        <v>275</v>
      </c>
      <c r="AD262" s="6">
        <f t="shared" si="19"/>
        <v>46</v>
      </c>
      <c r="AE262" s="6" t="s">
        <v>15827</v>
      </c>
    </row>
    <row r="263" spans="1:31">
      <c r="A263" s="33" t="str">
        <f>LEWISHAM!A7</f>
        <v>Lewisham, Deptford BC</v>
      </c>
      <c r="B263" s="7">
        <f>LEWISHAM!D7</f>
        <v>64809</v>
      </c>
      <c r="C263" s="7">
        <f>LEWISHAM!E7</f>
        <v>67590</v>
      </c>
      <c r="D263" s="7">
        <f>LEWISHAM!F7</f>
        <v>68405</v>
      </c>
      <c r="E263" s="7">
        <f>LEWISHAM!G7</f>
        <v>70178</v>
      </c>
      <c r="F263" s="7">
        <f>LEWISHAM!H7</f>
        <v>71651</v>
      </c>
      <c r="G263" s="7">
        <f>LEWISHAM!I7</f>
        <v>69292</v>
      </c>
      <c r="H263" s="7">
        <f>LEWISHAM!J7</f>
        <v>67166</v>
      </c>
      <c r="I263" s="7">
        <f>LEWISHAM!K7</f>
        <v>72220</v>
      </c>
      <c r="J263" s="7">
        <f>LEWISHAM!L7</f>
        <v>74576</v>
      </c>
      <c r="K263" s="7">
        <f>LEWISHAM!M7</f>
        <v>72385</v>
      </c>
      <c r="L263" s="7">
        <f>LEWISHAM!N7</f>
        <v>75716</v>
      </c>
      <c r="M263" s="7">
        <f>LEWISHAM!O7</f>
        <v>78547</v>
      </c>
      <c r="N263" s="34">
        <f t="shared" si="16"/>
        <v>0.21197673162678024</v>
      </c>
      <c r="O263" s="34"/>
      <c r="P263" s="7">
        <f t="shared" si="17"/>
        <v>5154</v>
      </c>
      <c r="Q263" s="1004">
        <f t="shared" si="18"/>
        <v>7.0224680827871866E-2</v>
      </c>
      <c r="R263" s="6">
        <v>469</v>
      </c>
      <c r="S263" s="6">
        <v>405</v>
      </c>
      <c r="T263" s="6">
        <v>389</v>
      </c>
      <c r="U263" s="6">
        <v>346</v>
      </c>
      <c r="V263" s="6">
        <v>298</v>
      </c>
      <c r="W263" s="6">
        <v>321</v>
      </c>
      <c r="X263" s="6">
        <v>371</v>
      </c>
      <c r="Y263" s="6">
        <v>247</v>
      </c>
      <c r="Z263" s="6">
        <v>194</v>
      </c>
      <c r="AA263" s="6">
        <v>242</v>
      </c>
      <c r="AB263" s="6">
        <v>209</v>
      </c>
      <c r="AC263" s="6">
        <v>163</v>
      </c>
      <c r="AD263" s="6">
        <f t="shared" si="19"/>
        <v>46</v>
      </c>
      <c r="AE263" s="6" t="s">
        <v>15827</v>
      </c>
    </row>
    <row r="264" spans="1:31">
      <c r="A264" s="33" t="str">
        <f>'WALTHAM FOREST'!A11</f>
        <v xml:space="preserve">Leyton and Wanstead BC </v>
      </c>
      <c r="B264" s="7">
        <f>'WALTHAM FOREST'!D13</f>
        <v>62102</v>
      </c>
      <c r="C264" s="7">
        <f>'WALTHAM FOREST'!E13</f>
        <v>63021</v>
      </c>
      <c r="D264" s="7">
        <f>'WALTHAM FOREST'!F13</f>
        <v>63430</v>
      </c>
      <c r="E264" s="7">
        <f>'WALTHAM FOREST'!G13</f>
        <v>63354</v>
      </c>
      <c r="F264" s="7">
        <f>'WALTHAM FOREST'!H13</f>
        <v>63476</v>
      </c>
      <c r="G264" s="7">
        <f>'WALTHAM FOREST'!I13</f>
        <v>61135</v>
      </c>
      <c r="H264" s="7">
        <f>'WALTHAM FOREST'!J13</f>
        <v>60150</v>
      </c>
      <c r="I264" s="7">
        <f>'WALTHAM FOREST'!K13</f>
        <v>62196</v>
      </c>
      <c r="J264" s="7">
        <f>'WALTHAM FOREST'!L13</f>
        <v>63702</v>
      </c>
      <c r="K264" s="7">
        <f>'WALTHAM FOREST'!M13</f>
        <v>61375</v>
      </c>
      <c r="L264" s="7">
        <f>'WALTHAM FOREST'!N13</f>
        <v>62625</v>
      </c>
      <c r="M264" s="7">
        <f>'WALTHAM FOREST'!O13</f>
        <v>65082</v>
      </c>
      <c r="N264" s="34">
        <f t="shared" si="16"/>
        <v>4.7985572123281056E-2</v>
      </c>
      <c r="O264" s="34"/>
      <c r="P264" s="7">
        <f t="shared" si="17"/>
        <v>-8311</v>
      </c>
      <c r="Q264" s="1004">
        <f t="shared" si="18"/>
        <v>-0.11323968225852601</v>
      </c>
      <c r="R264" s="6">
        <v>513</v>
      </c>
      <c r="S264" s="6">
        <v>503</v>
      </c>
      <c r="T264" s="6">
        <v>502</v>
      </c>
      <c r="U264" s="6">
        <v>501</v>
      </c>
      <c r="V264" s="6">
        <v>493</v>
      </c>
      <c r="W264" s="6">
        <v>501</v>
      </c>
      <c r="X264" s="6">
        <v>503</v>
      </c>
      <c r="Y264" s="6">
        <v>496</v>
      </c>
      <c r="Z264" s="6">
        <v>481</v>
      </c>
      <c r="AA264" s="6">
        <v>496</v>
      </c>
      <c r="AB264" s="6">
        <v>502</v>
      </c>
      <c r="AC264" s="6">
        <v>480</v>
      </c>
      <c r="AD264" s="6">
        <f t="shared" si="19"/>
        <v>22</v>
      </c>
      <c r="AE264" s="6" t="s">
        <v>15827</v>
      </c>
    </row>
    <row r="265" spans="1:31">
      <c r="A265" s="33" t="str">
        <f>STAFFORDSHIRE!A24</f>
        <v>Lichfield CC</v>
      </c>
      <c r="B265" s="7">
        <f>STAFFORDSHIRE!D26</f>
        <v>72504</v>
      </c>
      <c r="C265" s="7">
        <f>STAFFORDSHIRE!E26</f>
        <v>73085</v>
      </c>
      <c r="D265" s="7">
        <f>STAFFORDSHIRE!F26</f>
        <v>73444</v>
      </c>
      <c r="E265" s="7">
        <f>STAFFORDSHIRE!G26</f>
        <v>74112</v>
      </c>
      <c r="F265" s="7">
        <f>STAFFORDSHIRE!H26</f>
        <v>74367</v>
      </c>
      <c r="G265" s="7">
        <f>STAFFORDSHIRE!I26</f>
        <v>73786</v>
      </c>
      <c r="H265" s="7">
        <f>STAFFORDSHIRE!J26</f>
        <v>72038</v>
      </c>
      <c r="I265" s="7">
        <f>STAFFORDSHIRE!K26</f>
        <v>73796</v>
      </c>
      <c r="J265" s="7">
        <f>STAFFORDSHIRE!L26</f>
        <v>73486</v>
      </c>
      <c r="K265" s="7">
        <f>STAFFORDSHIRE!M26</f>
        <v>73876</v>
      </c>
      <c r="L265" s="7">
        <f>STAFFORDSHIRE!N26</f>
        <v>77370</v>
      </c>
      <c r="M265" s="7">
        <f>STAFFORDSHIRE!O26</f>
        <v>76902</v>
      </c>
      <c r="N265" s="34">
        <f t="shared" si="16"/>
        <v>6.0658722277391594E-2</v>
      </c>
      <c r="O265" s="34"/>
      <c r="P265" s="7">
        <f t="shared" si="17"/>
        <v>3509</v>
      </c>
      <c r="Q265" s="1004">
        <f t="shared" si="18"/>
        <v>4.7811099151145203E-2</v>
      </c>
      <c r="R265" s="6">
        <v>222</v>
      </c>
      <c r="S265" s="6">
        <v>222</v>
      </c>
      <c r="T265" s="6">
        <v>226</v>
      </c>
      <c r="U265" s="6">
        <v>206</v>
      </c>
      <c r="V265" s="6">
        <v>189</v>
      </c>
      <c r="W265" s="6">
        <v>168</v>
      </c>
      <c r="X265" s="6">
        <v>198</v>
      </c>
      <c r="Y265" s="6">
        <v>200</v>
      </c>
      <c r="Z265" s="6">
        <v>230</v>
      </c>
      <c r="AA265" s="6">
        <v>191</v>
      </c>
      <c r="AB265" s="6">
        <v>175</v>
      </c>
      <c r="AC265" s="6">
        <v>199</v>
      </c>
      <c r="AD265" s="6">
        <f t="shared" si="19"/>
        <v>-24</v>
      </c>
      <c r="AE265" s="6" t="s">
        <v>15824</v>
      </c>
    </row>
    <row r="266" spans="1:31">
      <c r="A266" s="33" t="str">
        <f>LINCOLNSHIRE!A25</f>
        <v>Lincoln BC</v>
      </c>
      <c r="B266" s="7">
        <f>LINCOLNSHIRE!D27</f>
        <v>72839</v>
      </c>
      <c r="C266" s="7">
        <f>LINCOLNSHIRE!E27</f>
        <v>72662</v>
      </c>
      <c r="D266" s="7">
        <f>LINCOLNSHIRE!F27</f>
        <v>72891</v>
      </c>
      <c r="E266" s="7">
        <f>LINCOLNSHIRE!G27</f>
        <v>72069</v>
      </c>
      <c r="F266" s="7">
        <f>LINCOLNSHIRE!H27</f>
        <v>70979</v>
      </c>
      <c r="G266" s="7">
        <f>LINCOLNSHIRE!I27</f>
        <v>69372</v>
      </c>
      <c r="H266" s="7">
        <f>LINCOLNSHIRE!J27</f>
        <v>67115</v>
      </c>
      <c r="I266" s="7">
        <f>LINCOLNSHIRE!K27</f>
        <v>68729</v>
      </c>
      <c r="J266" s="7">
        <f>LINCOLNSHIRE!L27</f>
        <v>68484</v>
      </c>
      <c r="K266" s="7">
        <f>LINCOLNSHIRE!M27</f>
        <v>66987</v>
      </c>
      <c r="L266" s="7">
        <f>LINCOLNSHIRE!N27</f>
        <v>74773</v>
      </c>
      <c r="M266" s="7">
        <f>LINCOLNSHIRE!O27</f>
        <v>74128</v>
      </c>
      <c r="N266" s="34">
        <f t="shared" si="16"/>
        <v>1.7696563654086409E-2</v>
      </c>
      <c r="O266" s="34"/>
      <c r="P266" s="7">
        <f t="shared" si="17"/>
        <v>735</v>
      </c>
      <c r="Q266" s="1004">
        <f t="shared" si="18"/>
        <v>1.0014579047048083E-2</v>
      </c>
      <c r="R266" s="6">
        <v>205</v>
      </c>
      <c r="S266" s="6">
        <v>244</v>
      </c>
      <c r="T266" s="6">
        <v>253</v>
      </c>
      <c r="U266" s="6">
        <v>299</v>
      </c>
      <c r="V266" s="6">
        <v>313</v>
      </c>
      <c r="W266" s="6">
        <v>318</v>
      </c>
      <c r="X266" s="6">
        <v>374</v>
      </c>
      <c r="Y266" s="6">
        <v>370</v>
      </c>
      <c r="Z266" s="6">
        <v>389</v>
      </c>
      <c r="AA266" s="6">
        <v>408</v>
      </c>
      <c r="AB266" s="6">
        <v>231</v>
      </c>
      <c r="AC266" s="6">
        <v>268</v>
      </c>
      <c r="AD266" s="6">
        <f t="shared" si="19"/>
        <v>-37</v>
      </c>
      <c r="AE266" s="6" t="s">
        <v>15826</v>
      </c>
    </row>
    <row r="267" spans="1:31">
      <c r="A267" s="33" t="str">
        <f>MERSEYSIDE!A23</f>
        <v>Liverpool, Riverside BC</v>
      </c>
      <c r="B267" s="7">
        <f>MERSEYSIDE!D23</f>
        <v>73310</v>
      </c>
      <c r="C267" s="7">
        <f>MERSEYSIDE!E23</f>
        <v>73406</v>
      </c>
      <c r="D267" s="7">
        <f>MERSEYSIDE!F23</f>
        <v>73891</v>
      </c>
      <c r="E267" s="7">
        <f>MERSEYSIDE!G23</f>
        <v>73880</v>
      </c>
      <c r="F267" s="7">
        <f>MERSEYSIDE!H23</f>
        <v>74602</v>
      </c>
      <c r="G267" s="7">
        <f>MERSEYSIDE!I23</f>
        <v>63264</v>
      </c>
      <c r="H267" s="7">
        <f>MERSEYSIDE!J23</f>
        <v>67054</v>
      </c>
      <c r="I267" s="7">
        <f>MERSEYSIDE!K23</f>
        <v>70950</v>
      </c>
      <c r="J267" s="7">
        <f>MERSEYSIDE!L23</f>
        <v>69419</v>
      </c>
      <c r="K267" s="7">
        <f>MERSEYSIDE!M23</f>
        <v>68526</v>
      </c>
      <c r="L267" s="7">
        <f>MERSEYSIDE!N23</f>
        <v>80583</v>
      </c>
      <c r="M267" s="7">
        <f>MERSEYSIDE!O23</f>
        <v>79956</v>
      </c>
      <c r="N267" s="34">
        <f t="shared" si="16"/>
        <v>9.0656117855681354E-2</v>
      </c>
      <c r="O267" s="34"/>
      <c r="P267" s="7">
        <f t="shared" si="17"/>
        <v>6563</v>
      </c>
      <c r="Q267" s="1004">
        <f t="shared" si="18"/>
        <v>8.9422696987451117E-2</v>
      </c>
      <c r="R267" s="6">
        <v>187</v>
      </c>
      <c r="S267" s="6">
        <v>213</v>
      </c>
      <c r="T267" s="6">
        <v>206</v>
      </c>
      <c r="U267" s="6">
        <v>216</v>
      </c>
      <c r="V267" s="6">
        <v>183</v>
      </c>
      <c r="W267" s="6">
        <v>477</v>
      </c>
      <c r="X267" s="6">
        <v>375</v>
      </c>
      <c r="Y267" s="6">
        <v>295</v>
      </c>
      <c r="Z267" s="6">
        <v>370</v>
      </c>
      <c r="AA267" s="6">
        <v>379</v>
      </c>
      <c r="AB267" s="6">
        <v>100</v>
      </c>
      <c r="AC267" s="6">
        <v>132</v>
      </c>
      <c r="AD267" s="6">
        <f t="shared" si="19"/>
        <v>-32</v>
      </c>
      <c r="AE267" s="6" t="s">
        <v>15825</v>
      </c>
    </row>
    <row r="268" spans="1:31">
      <c r="A268" s="33" t="str">
        <f>MERSEYSIDE!A25</f>
        <v>Liverpool, Walton BC</v>
      </c>
      <c r="B268" s="7">
        <f>MERSEYSIDE!D25</f>
        <v>62746</v>
      </c>
      <c r="C268" s="7">
        <f>MERSEYSIDE!E25</f>
        <v>61974</v>
      </c>
      <c r="D268" s="7">
        <f>MERSEYSIDE!F25</f>
        <v>61948</v>
      </c>
      <c r="E268" s="7">
        <f>MERSEYSIDE!G25</f>
        <v>62328</v>
      </c>
      <c r="F268" s="7">
        <f>MERSEYSIDE!H25</f>
        <v>62274</v>
      </c>
      <c r="G268" s="7">
        <f>MERSEYSIDE!I25</f>
        <v>60078</v>
      </c>
      <c r="H268" s="7">
        <f>MERSEYSIDE!J25</f>
        <v>59917</v>
      </c>
      <c r="I268" s="7">
        <f>MERSEYSIDE!K25</f>
        <v>60878</v>
      </c>
      <c r="J268" s="7">
        <f>MERSEYSIDE!L25</f>
        <v>61318</v>
      </c>
      <c r="K268" s="7">
        <f>MERSEYSIDE!M25</f>
        <v>60265</v>
      </c>
      <c r="L268" s="7">
        <f>MERSEYSIDE!N25</f>
        <v>63047</v>
      </c>
      <c r="M268" s="7">
        <f>MERSEYSIDE!O25</f>
        <v>62875</v>
      </c>
      <c r="N268" s="34">
        <f t="shared" si="16"/>
        <v>2.0559079463232715E-3</v>
      </c>
      <c r="O268" s="34"/>
      <c r="P268" s="7">
        <f t="shared" si="17"/>
        <v>-10518</v>
      </c>
      <c r="Q268" s="1004">
        <f t="shared" si="18"/>
        <v>-0.14331066995490033</v>
      </c>
      <c r="R268" s="6">
        <v>508</v>
      </c>
      <c r="S268" s="6">
        <v>515</v>
      </c>
      <c r="T268" s="6">
        <v>516</v>
      </c>
      <c r="U268" s="6">
        <v>513</v>
      </c>
      <c r="V268" s="6">
        <v>502</v>
      </c>
      <c r="W268" s="6">
        <v>509</v>
      </c>
      <c r="X268" s="6">
        <v>505</v>
      </c>
      <c r="Y268" s="6">
        <v>509</v>
      </c>
      <c r="Z268" s="6">
        <v>505</v>
      </c>
      <c r="AA268" s="6">
        <v>508</v>
      </c>
      <c r="AB268" s="6">
        <v>497</v>
      </c>
      <c r="AC268" s="6">
        <v>503</v>
      </c>
      <c r="AD268" s="6">
        <f t="shared" si="19"/>
        <v>-6</v>
      </c>
      <c r="AE268" s="6" t="s">
        <v>15825</v>
      </c>
    </row>
    <row r="269" spans="1:31">
      <c r="A269" s="33" t="str">
        <f>MERSEYSIDE!A27</f>
        <v>Liverpool, Wavertree BC</v>
      </c>
      <c r="B269" s="7">
        <f>MERSEYSIDE!D27</f>
        <v>62112</v>
      </c>
      <c r="C269" s="7">
        <f>MERSEYSIDE!E27</f>
        <v>61679</v>
      </c>
      <c r="D269" s="7">
        <f>MERSEYSIDE!F27</f>
        <v>61404</v>
      </c>
      <c r="E269" s="7">
        <f>MERSEYSIDE!G27</f>
        <v>61137</v>
      </c>
      <c r="F269" s="7">
        <f>MERSEYSIDE!H27</f>
        <v>61334</v>
      </c>
      <c r="G269" s="7">
        <f>MERSEYSIDE!I27</f>
        <v>58790</v>
      </c>
      <c r="H269" s="7">
        <f>MERSEYSIDE!J27</f>
        <v>58601</v>
      </c>
      <c r="I269" s="7">
        <f>MERSEYSIDE!K27</f>
        <v>59901</v>
      </c>
      <c r="J269" s="7">
        <f>MERSEYSIDE!L27</f>
        <v>60506</v>
      </c>
      <c r="K269" s="7">
        <f>MERSEYSIDE!M27</f>
        <v>59759</v>
      </c>
      <c r="L269" s="7">
        <f>MERSEYSIDE!N27</f>
        <v>63876</v>
      </c>
      <c r="M269" s="7">
        <f>MERSEYSIDE!O27</f>
        <v>63568</v>
      </c>
      <c r="N269" s="34">
        <f t="shared" si="16"/>
        <v>2.344152498712004E-2</v>
      </c>
      <c r="O269" s="34"/>
      <c r="P269" s="7">
        <f t="shared" si="17"/>
        <v>-9825</v>
      </c>
      <c r="Q269" s="1004">
        <f t="shared" si="18"/>
        <v>-0.13386835256768356</v>
      </c>
      <c r="R269" s="6">
        <v>512</v>
      </c>
      <c r="S269" s="6">
        <v>520</v>
      </c>
      <c r="T269" s="6">
        <v>524</v>
      </c>
      <c r="U269" s="6">
        <v>525</v>
      </c>
      <c r="V269" s="6">
        <v>513</v>
      </c>
      <c r="W269" s="6">
        <v>516</v>
      </c>
      <c r="X269" s="6">
        <v>513</v>
      </c>
      <c r="Y269" s="6">
        <v>515</v>
      </c>
      <c r="Z269" s="6">
        <v>515</v>
      </c>
      <c r="AA269" s="6">
        <v>510</v>
      </c>
      <c r="AB269" s="6">
        <v>488</v>
      </c>
      <c r="AC269" s="6">
        <v>499</v>
      </c>
      <c r="AD269" s="6">
        <f t="shared" si="19"/>
        <v>-11</v>
      </c>
      <c r="AE269" s="6" t="s">
        <v>15825</v>
      </c>
    </row>
    <row r="270" spans="1:31">
      <c r="A270" s="33" t="str">
        <f>MERSEYSIDE!A29</f>
        <v>Liverpool, West Derby BC</v>
      </c>
      <c r="B270" s="7">
        <f>MERSEYSIDE!D29</f>
        <v>63130</v>
      </c>
      <c r="C270" s="7">
        <f>MERSEYSIDE!E29</f>
        <v>62709</v>
      </c>
      <c r="D270" s="7">
        <f>MERSEYSIDE!F29</f>
        <v>62751</v>
      </c>
      <c r="E270" s="7">
        <f>MERSEYSIDE!G29</f>
        <v>63315</v>
      </c>
      <c r="F270" s="7">
        <f>MERSEYSIDE!H29</f>
        <v>63625</v>
      </c>
      <c r="G270" s="7">
        <f>MERSEYSIDE!I29</f>
        <v>61699</v>
      </c>
      <c r="H270" s="7">
        <f>MERSEYSIDE!J29</f>
        <v>62153</v>
      </c>
      <c r="I270" s="7">
        <f>MERSEYSIDE!K29</f>
        <v>63378</v>
      </c>
      <c r="J270" s="7">
        <f>MERSEYSIDE!L29</f>
        <v>64351</v>
      </c>
      <c r="K270" s="7">
        <f>MERSEYSIDE!M29</f>
        <v>63902</v>
      </c>
      <c r="L270" s="7">
        <f>MERSEYSIDE!N29</f>
        <v>66136</v>
      </c>
      <c r="M270" s="7">
        <f>MERSEYSIDE!O29</f>
        <v>66008</v>
      </c>
      <c r="N270" s="34">
        <f t="shared" si="16"/>
        <v>4.5588468240139395E-2</v>
      </c>
      <c r="O270" s="34"/>
      <c r="P270" s="7">
        <f t="shared" si="17"/>
        <v>-7385</v>
      </c>
      <c r="Q270" s="1004">
        <f t="shared" si="18"/>
        <v>-0.10062267518700693</v>
      </c>
      <c r="R270" s="6">
        <v>501</v>
      </c>
      <c r="S270" s="6">
        <v>508</v>
      </c>
      <c r="T270" s="6">
        <v>507</v>
      </c>
      <c r="U270" s="6">
        <v>502</v>
      </c>
      <c r="V270" s="6">
        <v>491</v>
      </c>
      <c r="W270" s="6">
        <v>496</v>
      </c>
      <c r="X270" s="6">
        <v>480</v>
      </c>
      <c r="Y270" s="6">
        <v>477</v>
      </c>
      <c r="Z270" s="6">
        <v>474</v>
      </c>
      <c r="AA270" s="6">
        <v>470</v>
      </c>
      <c r="AB270" s="6">
        <v>454</v>
      </c>
      <c r="AC270" s="6">
        <v>468</v>
      </c>
      <c r="AD270" s="6">
        <f t="shared" si="19"/>
        <v>-14</v>
      </c>
      <c r="AE270" s="6" t="s">
        <v>15825</v>
      </c>
    </row>
    <row r="271" spans="1:31">
      <c r="A271" s="33" t="str">
        <f>LEICESTERSHIRE!A30</f>
        <v>Loughborough CC</v>
      </c>
      <c r="B271" s="7">
        <f>LEICESTERSHIRE!D30</f>
        <v>77464</v>
      </c>
      <c r="C271" s="7">
        <f>LEICESTERSHIRE!E30</f>
        <v>77884</v>
      </c>
      <c r="D271" s="7">
        <f>LEICESTERSHIRE!F30</f>
        <v>78069</v>
      </c>
      <c r="E271" s="7">
        <f>LEICESTERSHIRE!G30</f>
        <v>78274</v>
      </c>
      <c r="F271" s="7">
        <f>LEICESTERSHIRE!H30</f>
        <v>78423</v>
      </c>
      <c r="G271" s="7">
        <f>LEICESTERSHIRE!I30</f>
        <v>69933</v>
      </c>
      <c r="H271" s="7">
        <f>LEICESTERSHIRE!J30</f>
        <v>74069</v>
      </c>
      <c r="I271" s="7">
        <f>LEICESTERSHIRE!K30</f>
        <v>77106</v>
      </c>
      <c r="J271" s="7">
        <f>LEICESTERSHIRE!L30</f>
        <v>73863</v>
      </c>
      <c r="K271" s="7">
        <f>LEICESTERSHIRE!M30</f>
        <v>73927</v>
      </c>
      <c r="L271" s="7">
        <f>LEICESTERSHIRE!N30</f>
        <v>79944</v>
      </c>
      <c r="M271" s="7">
        <f>LEICESTERSHIRE!O30</f>
        <v>80073</v>
      </c>
      <c r="N271" s="34">
        <f t="shared" si="16"/>
        <v>3.3680161107094909E-2</v>
      </c>
      <c r="O271" s="34"/>
      <c r="P271" s="7">
        <f t="shared" si="17"/>
        <v>6680</v>
      </c>
      <c r="Q271" s="1004">
        <f t="shared" si="18"/>
        <v>9.1016854468409791E-2</v>
      </c>
      <c r="R271" s="6">
        <v>78</v>
      </c>
      <c r="S271" s="6">
        <v>83</v>
      </c>
      <c r="T271" s="6">
        <v>88</v>
      </c>
      <c r="U271" s="6">
        <v>101</v>
      </c>
      <c r="V271" s="6">
        <v>91</v>
      </c>
      <c r="W271" s="6">
        <v>294</v>
      </c>
      <c r="X271" s="6">
        <v>143</v>
      </c>
      <c r="Y271" s="6">
        <v>126</v>
      </c>
      <c r="Z271" s="6">
        <v>213</v>
      </c>
      <c r="AA271" s="6">
        <v>188</v>
      </c>
      <c r="AB271" s="6">
        <v>112</v>
      </c>
      <c r="AC271" s="6">
        <v>128</v>
      </c>
      <c r="AD271" s="6">
        <f t="shared" si="19"/>
        <v>-16</v>
      </c>
      <c r="AE271" s="6" t="s">
        <v>15826</v>
      </c>
    </row>
    <row r="272" spans="1:31">
      <c r="A272" s="33" t="str">
        <f>LINCOLNSHIRE!A29</f>
        <v>Louth and Horncastle CC</v>
      </c>
      <c r="B272" s="7">
        <f>LINCOLNSHIRE!D29</f>
        <v>77210</v>
      </c>
      <c r="C272" s="7">
        <f>LINCOLNSHIRE!E29</f>
        <v>76233</v>
      </c>
      <c r="D272" s="7">
        <f>LINCOLNSHIRE!F29</f>
        <v>76217</v>
      </c>
      <c r="E272" s="7">
        <f>LINCOLNSHIRE!G29</f>
        <v>73803</v>
      </c>
      <c r="F272" s="7">
        <f>LINCOLNSHIRE!H29</f>
        <v>76866</v>
      </c>
      <c r="G272" s="7">
        <f>LINCOLNSHIRE!I29</f>
        <v>72791</v>
      </c>
      <c r="H272" s="7">
        <f>LINCOLNSHIRE!J29</f>
        <v>74617</v>
      </c>
      <c r="I272" s="7">
        <f>LINCOLNSHIRE!K29</f>
        <v>77337</v>
      </c>
      <c r="J272" s="7">
        <f>LINCOLNSHIRE!L29</f>
        <v>78472</v>
      </c>
      <c r="K272" s="7">
        <f>LINCOLNSHIRE!M29</f>
        <v>78101</v>
      </c>
      <c r="L272" s="7">
        <f>LINCOLNSHIRE!N29</f>
        <v>80070</v>
      </c>
      <c r="M272" s="7">
        <f>LINCOLNSHIRE!O29</f>
        <v>79534</v>
      </c>
      <c r="N272" s="34">
        <f t="shared" si="16"/>
        <v>3.0099728014505892E-2</v>
      </c>
      <c r="O272" s="34"/>
      <c r="P272" s="7">
        <f t="shared" si="17"/>
        <v>6141</v>
      </c>
      <c r="Q272" s="1004">
        <f t="shared" si="18"/>
        <v>8.3672829833907864E-2</v>
      </c>
      <c r="R272" s="6">
        <v>85</v>
      </c>
      <c r="S272" s="6">
        <v>133</v>
      </c>
      <c r="T272" s="6">
        <v>149</v>
      </c>
      <c r="U272" s="6">
        <v>220</v>
      </c>
      <c r="V272" s="6">
        <v>126</v>
      </c>
      <c r="W272" s="6">
        <v>194</v>
      </c>
      <c r="X272" s="6">
        <v>131</v>
      </c>
      <c r="Y272" s="6">
        <v>122</v>
      </c>
      <c r="Z272" s="6">
        <v>110</v>
      </c>
      <c r="AA272" s="6">
        <v>109</v>
      </c>
      <c r="AB272" s="6">
        <v>108</v>
      </c>
      <c r="AC272" s="6">
        <v>141</v>
      </c>
      <c r="AD272" s="6">
        <f t="shared" si="19"/>
        <v>-33</v>
      </c>
      <c r="AE272" s="6" t="s">
        <v>15826</v>
      </c>
    </row>
    <row r="273" spans="1:31">
      <c r="A273" s="33" t="str">
        <f>'SHROPSHIRE &amp; TELFORD &amp; WREKIN '!A11</f>
        <v>Ludlow CC</v>
      </c>
      <c r="B273" s="7">
        <f>'SHROPSHIRE &amp; TELFORD &amp; WREKIN '!D11</f>
        <v>66285</v>
      </c>
      <c r="C273" s="7">
        <f>'SHROPSHIRE &amp; TELFORD &amp; WREKIN '!E11</f>
        <v>66199</v>
      </c>
      <c r="D273" s="7">
        <f>'SHROPSHIRE &amp; TELFORD &amp; WREKIN '!F11</f>
        <v>65184</v>
      </c>
      <c r="E273" s="7">
        <f>'SHROPSHIRE &amp; TELFORD &amp; WREKIN '!G11</f>
        <v>67320</v>
      </c>
      <c r="F273" s="7">
        <f>'SHROPSHIRE &amp; TELFORD &amp; WREKIN '!H11</f>
        <v>63633</v>
      </c>
      <c r="G273" s="7">
        <f>'SHROPSHIRE &amp; TELFORD &amp; WREKIN '!I11</f>
        <v>65208</v>
      </c>
      <c r="H273" s="7">
        <f>'SHROPSHIRE &amp; TELFORD &amp; WREKIN '!J11</f>
        <v>65787</v>
      </c>
      <c r="I273" s="7">
        <f>'SHROPSHIRE &amp; TELFORD &amp; WREKIN '!K11</f>
        <v>67975</v>
      </c>
      <c r="J273" s="7">
        <f>'SHROPSHIRE &amp; TELFORD &amp; WREKIN '!L11</f>
        <v>67403</v>
      </c>
      <c r="K273" s="7">
        <f>'SHROPSHIRE &amp; TELFORD &amp; WREKIN '!M11</f>
        <v>66675</v>
      </c>
      <c r="L273" s="7">
        <f>'SHROPSHIRE &amp; TELFORD &amp; WREKIN '!N11</f>
        <v>69895</v>
      </c>
      <c r="M273" s="7">
        <f>'SHROPSHIRE &amp; TELFORD &amp; WREKIN '!O11</f>
        <v>69524</v>
      </c>
      <c r="N273" s="34">
        <f t="shared" si="16"/>
        <v>4.886475069774459E-2</v>
      </c>
      <c r="O273" s="34"/>
      <c r="P273" s="7">
        <f t="shared" si="17"/>
        <v>-3869</v>
      </c>
      <c r="Q273" s="1004">
        <f t="shared" si="18"/>
        <v>-5.2716199092556509E-2</v>
      </c>
      <c r="R273" s="6">
        <v>428</v>
      </c>
      <c r="S273" s="6">
        <v>447</v>
      </c>
      <c r="T273" s="6">
        <v>481</v>
      </c>
      <c r="U273" s="6">
        <v>434</v>
      </c>
      <c r="V273" s="6">
        <v>490</v>
      </c>
      <c r="W273" s="6">
        <v>432</v>
      </c>
      <c r="X273" s="6">
        <v>406</v>
      </c>
      <c r="Y273" s="6">
        <v>390</v>
      </c>
      <c r="Z273" s="6">
        <v>414</v>
      </c>
      <c r="AA273" s="6">
        <v>421</v>
      </c>
      <c r="AB273" s="6">
        <v>391</v>
      </c>
      <c r="AC273" s="6">
        <v>405</v>
      </c>
      <c r="AD273" s="6">
        <f t="shared" si="19"/>
        <v>-14</v>
      </c>
      <c r="AE273" s="6" t="s">
        <v>15824</v>
      </c>
    </row>
    <row r="274" spans="1:31">
      <c r="A274" s="33" t="str">
        <f>BEDFORDSHIRE!A15</f>
        <v>Luton North BC</v>
      </c>
      <c r="B274" s="7">
        <f>BEDFORDSHIRE!D15</f>
        <v>65721</v>
      </c>
      <c r="C274" s="7">
        <f>BEDFORDSHIRE!E15</f>
        <v>66273</v>
      </c>
      <c r="D274" s="7">
        <f>BEDFORDSHIRE!F15</f>
        <v>67949</v>
      </c>
      <c r="E274" s="7">
        <f>BEDFORDSHIRE!G15</f>
        <v>68673</v>
      </c>
      <c r="F274" s="7">
        <f>BEDFORDSHIRE!H15</f>
        <v>68072</v>
      </c>
      <c r="G274" s="7">
        <f>BEDFORDSHIRE!I15</f>
        <v>65918</v>
      </c>
      <c r="H274" s="7">
        <f>BEDFORDSHIRE!J15</f>
        <v>64552</v>
      </c>
      <c r="I274" s="7">
        <f>BEDFORDSHIRE!K15</f>
        <v>66145</v>
      </c>
      <c r="J274" s="7">
        <f>BEDFORDSHIRE!L15</f>
        <v>66272</v>
      </c>
      <c r="K274" s="7">
        <f>BEDFORDSHIRE!M15</f>
        <v>66828</v>
      </c>
      <c r="L274" s="7">
        <f>BEDFORDSHIRE!N15</f>
        <v>67670</v>
      </c>
      <c r="M274" s="7">
        <f>BEDFORDSHIRE!O15</f>
        <v>68080</v>
      </c>
      <c r="N274" s="34">
        <f t="shared" si="16"/>
        <v>3.589415864031284E-2</v>
      </c>
      <c r="O274" s="34"/>
      <c r="P274" s="7">
        <f t="shared" si="17"/>
        <v>-5313</v>
      </c>
      <c r="Q274" s="1004">
        <f t="shared" si="18"/>
        <v>-7.2391099968661859E-2</v>
      </c>
      <c r="R274" s="6">
        <v>447</v>
      </c>
      <c r="S274" s="6">
        <v>446</v>
      </c>
      <c r="T274" s="6">
        <v>402</v>
      </c>
      <c r="U274" s="6">
        <v>397</v>
      </c>
      <c r="V274" s="6">
        <v>400</v>
      </c>
      <c r="W274" s="6">
        <v>417</v>
      </c>
      <c r="X274" s="6">
        <v>431</v>
      </c>
      <c r="Y274" s="6">
        <v>427</v>
      </c>
      <c r="Z274" s="6">
        <v>434</v>
      </c>
      <c r="AA274" s="6">
        <v>412</v>
      </c>
      <c r="AB274" s="6">
        <v>427</v>
      </c>
      <c r="AC274" s="6">
        <v>436</v>
      </c>
      <c r="AD274" s="6">
        <f t="shared" si="19"/>
        <v>-9</v>
      </c>
      <c r="AE274" s="6" t="s">
        <v>15829</v>
      </c>
    </row>
    <row r="275" spans="1:31">
      <c r="A275" s="33" t="str">
        <f>BEDFORDSHIRE!A17</f>
        <v>Luton South BC</v>
      </c>
      <c r="B275" s="7">
        <f>BEDFORDSHIRE!D19</f>
        <v>65184</v>
      </c>
      <c r="C275" s="7">
        <f>BEDFORDSHIRE!E19</f>
        <v>65889</v>
      </c>
      <c r="D275" s="7">
        <f>BEDFORDSHIRE!F19</f>
        <v>68038</v>
      </c>
      <c r="E275" s="7">
        <f>BEDFORDSHIRE!G19</f>
        <v>70409</v>
      </c>
      <c r="F275" s="7">
        <f>BEDFORDSHIRE!H19</f>
        <v>68334</v>
      </c>
      <c r="G275" s="7">
        <f>BEDFORDSHIRE!I19</f>
        <v>64872</v>
      </c>
      <c r="H275" s="7">
        <f>BEDFORDSHIRE!J19</f>
        <v>64136</v>
      </c>
      <c r="I275" s="7">
        <f>BEDFORDSHIRE!K19</f>
        <v>65777</v>
      </c>
      <c r="J275" s="7">
        <f>BEDFORDSHIRE!L19</f>
        <v>66055</v>
      </c>
      <c r="K275" s="7">
        <f>BEDFORDSHIRE!M19</f>
        <v>66627</v>
      </c>
      <c r="L275" s="7">
        <f>BEDFORDSHIRE!N19</f>
        <v>68401</v>
      </c>
      <c r="M275" s="7">
        <f>BEDFORDSHIRE!O19</f>
        <v>69450</v>
      </c>
      <c r="N275" s="34">
        <f t="shared" si="16"/>
        <v>6.5445508100147279E-2</v>
      </c>
      <c r="O275" s="34"/>
      <c r="P275" s="7">
        <f t="shared" si="17"/>
        <v>-3943</v>
      </c>
      <c r="Q275" s="1004">
        <f t="shared" si="18"/>
        <v>-5.3724469636068833E-2</v>
      </c>
      <c r="R275" s="6">
        <v>458</v>
      </c>
      <c r="S275" s="6">
        <v>457</v>
      </c>
      <c r="T275" s="6">
        <v>397</v>
      </c>
      <c r="U275" s="6">
        <v>338</v>
      </c>
      <c r="V275" s="6">
        <v>390</v>
      </c>
      <c r="W275" s="6">
        <v>446</v>
      </c>
      <c r="X275" s="6">
        <v>438</v>
      </c>
      <c r="Y275" s="6">
        <v>434</v>
      </c>
      <c r="Z275" s="6">
        <v>437</v>
      </c>
      <c r="AA275" s="6">
        <v>422</v>
      </c>
      <c r="AB275" s="6">
        <v>419</v>
      </c>
      <c r="AC275" s="6">
        <v>408</v>
      </c>
      <c r="AD275" s="6">
        <f t="shared" si="19"/>
        <v>11</v>
      </c>
      <c r="AE275" s="6" t="s">
        <v>15829</v>
      </c>
    </row>
    <row r="276" spans="1:31">
      <c r="A276" s="33" t="str">
        <f>CHESHIRE!A27</f>
        <v>Macclesfield CC</v>
      </c>
      <c r="B276" s="7">
        <f>CHESHIRE!D27</f>
        <v>74595</v>
      </c>
      <c r="C276" s="7">
        <f>CHESHIRE!E27</f>
        <v>73613</v>
      </c>
      <c r="D276" s="7">
        <f>CHESHIRE!F27</f>
        <v>73713</v>
      </c>
      <c r="E276" s="7">
        <f>CHESHIRE!G27</f>
        <v>73463</v>
      </c>
      <c r="F276" s="7">
        <f>CHESHIRE!H27</f>
        <v>73250</v>
      </c>
      <c r="G276" s="7">
        <f>CHESHIRE!I27</f>
        <v>69165</v>
      </c>
      <c r="H276" s="7">
        <f>CHESHIRE!J27</f>
        <v>69582</v>
      </c>
      <c r="I276" s="7">
        <f>CHESHIRE!K27</f>
        <v>74817</v>
      </c>
      <c r="J276" s="7">
        <f>CHESHIRE!L27</f>
        <v>75098</v>
      </c>
      <c r="K276" s="7">
        <f>CHESHIRE!M27</f>
        <v>75004</v>
      </c>
      <c r="L276" s="7">
        <f>CHESHIRE!N27</f>
        <v>76626</v>
      </c>
      <c r="M276" s="7">
        <f>CHESHIRE!O27</f>
        <v>75881</v>
      </c>
      <c r="N276" s="34">
        <f t="shared" si="16"/>
        <v>1.7239761378108454E-2</v>
      </c>
      <c r="O276" s="34"/>
      <c r="P276" s="7">
        <f t="shared" si="17"/>
        <v>2488</v>
      </c>
      <c r="Q276" s="1004">
        <f t="shared" si="18"/>
        <v>3.3899690706198138E-2</v>
      </c>
      <c r="R276" s="6">
        <v>161</v>
      </c>
      <c r="S276" s="6">
        <v>202</v>
      </c>
      <c r="T276" s="6">
        <v>213</v>
      </c>
      <c r="U276" s="6">
        <v>236</v>
      </c>
      <c r="V276" s="6">
        <v>235</v>
      </c>
      <c r="W276" s="6">
        <v>325</v>
      </c>
      <c r="X276" s="6">
        <v>291</v>
      </c>
      <c r="Y276" s="6">
        <v>164</v>
      </c>
      <c r="Z276" s="6">
        <v>175</v>
      </c>
      <c r="AA276" s="6">
        <v>169</v>
      </c>
      <c r="AB276" s="6">
        <v>195</v>
      </c>
      <c r="AC276" s="6">
        <v>217</v>
      </c>
      <c r="AD276" s="6">
        <f t="shared" si="19"/>
        <v>-22</v>
      </c>
      <c r="AE276" s="6" t="s">
        <v>15825</v>
      </c>
    </row>
    <row r="277" spans="1:31">
      <c r="A277" s="33" t="str">
        <f>BERKSHIRE!A23</f>
        <v>Maidenhead CC</v>
      </c>
      <c r="B277" s="7">
        <f>BERKSHIRE!D25</f>
        <v>72568</v>
      </c>
      <c r="C277" s="7">
        <f>BERKSHIRE!E25</f>
        <v>74028</v>
      </c>
      <c r="D277" s="7">
        <f>BERKSHIRE!F25</f>
        <v>74876</v>
      </c>
      <c r="E277" s="7">
        <f>BERKSHIRE!G25</f>
        <v>75199</v>
      </c>
      <c r="F277" s="7">
        <f>BERKSHIRE!H25</f>
        <v>74314</v>
      </c>
      <c r="G277" s="7">
        <f>BERKSHIRE!I25</f>
        <v>73109</v>
      </c>
      <c r="H277" s="7">
        <f>BERKSHIRE!J25</f>
        <v>71834</v>
      </c>
      <c r="I277" s="7">
        <f>BERKSHIRE!K25</f>
        <v>74843</v>
      </c>
      <c r="J277" s="7">
        <f>BERKSHIRE!L25</f>
        <v>74951</v>
      </c>
      <c r="K277" s="7">
        <f>BERKSHIRE!M25</f>
        <v>73784</v>
      </c>
      <c r="L277" s="7">
        <f>BERKSHIRE!N25</f>
        <v>77743</v>
      </c>
      <c r="M277" s="7">
        <f>BERKSHIRE!O25</f>
        <v>77553</v>
      </c>
      <c r="N277" s="34">
        <f t="shared" si="16"/>
        <v>6.869419027670598E-2</v>
      </c>
      <c r="O277" s="34"/>
      <c r="P277" s="7">
        <f t="shared" si="17"/>
        <v>4160</v>
      </c>
      <c r="Q277" s="1004">
        <f t="shared" si="18"/>
        <v>5.6681154878530648E-2</v>
      </c>
      <c r="R277" s="6">
        <v>216</v>
      </c>
      <c r="S277" s="6">
        <v>185</v>
      </c>
      <c r="T277" s="6">
        <v>180</v>
      </c>
      <c r="U277" s="6">
        <v>178</v>
      </c>
      <c r="V277" s="6">
        <v>194</v>
      </c>
      <c r="W277" s="6">
        <v>184</v>
      </c>
      <c r="X277" s="6">
        <v>204</v>
      </c>
      <c r="Y277" s="6">
        <v>163</v>
      </c>
      <c r="Z277" s="6">
        <v>178</v>
      </c>
      <c r="AA277" s="6">
        <v>194</v>
      </c>
      <c r="AB277" s="6">
        <v>162</v>
      </c>
      <c r="AC277" s="6">
        <v>178</v>
      </c>
      <c r="AD277" s="6">
        <f t="shared" si="19"/>
        <v>-16</v>
      </c>
      <c r="AE277" s="6" t="s">
        <v>15823</v>
      </c>
    </row>
    <row r="278" spans="1:31">
      <c r="A278" s="33" t="str">
        <f>KENT!A50</f>
        <v>Maidstone and The Weald CC</v>
      </c>
      <c r="B278" s="7">
        <f>KENT!D52</f>
        <v>71199</v>
      </c>
      <c r="C278" s="7">
        <f>KENT!E52</f>
        <v>70576</v>
      </c>
      <c r="D278" s="7">
        <f>KENT!F52</f>
        <v>72972</v>
      </c>
      <c r="E278" s="7">
        <f>KENT!G52</f>
        <v>73791</v>
      </c>
      <c r="F278" s="7">
        <f>KENT!H52</f>
        <v>68826</v>
      </c>
      <c r="G278" s="7">
        <f>KENT!I52</f>
        <v>69815</v>
      </c>
      <c r="H278" s="7">
        <f>KENT!J52</f>
        <v>68787</v>
      </c>
      <c r="I278" s="7">
        <f>KENT!K52</f>
        <v>72713</v>
      </c>
      <c r="J278" s="7">
        <f>KENT!L52</f>
        <v>71956</v>
      </c>
      <c r="K278" s="7">
        <f>KENT!M52</f>
        <v>73166</v>
      </c>
      <c r="L278" s="7">
        <f>KENT!N52</f>
        <v>76495</v>
      </c>
      <c r="M278" s="7">
        <f>KENT!O52</f>
        <v>75862</v>
      </c>
      <c r="N278" s="34">
        <f t="shared" si="16"/>
        <v>6.5492492872090899E-2</v>
      </c>
      <c r="O278" s="34"/>
      <c r="P278" s="7">
        <f t="shared" si="17"/>
        <v>2469</v>
      </c>
      <c r="Q278" s="1004">
        <f t="shared" si="18"/>
        <v>3.3640810431512541E-2</v>
      </c>
      <c r="R278" s="6">
        <v>284</v>
      </c>
      <c r="S278" s="6">
        <v>323</v>
      </c>
      <c r="T278" s="6">
        <v>249</v>
      </c>
      <c r="U278" s="6">
        <v>221</v>
      </c>
      <c r="V278" s="6">
        <v>374</v>
      </c>
      <c r="W278" s="6">
        <v>300</v>
      </c>
      <c r="X278" s="6">
        <v>315</v>
      </c>
      <c r="Y278" s="6">
        <v>232</v>
      </c>
      <c r="Z278" s="6">
        <v>280</v>
      </c>
      <c r="AA278" s="6">
        <v>216</v>
      </c>
      <c r="AB278" s="6">
        <v>198</v>
      </c>
      <c r="AC278" s="6">
        <v>218</v>
      </c>
      <c r="AD278" s="6">
        <f t="shared" si="19"/>
        <v>-20</v>
      </c>
      <c r="AE278" s="6" t="s">
        <v>15823</v>
      </c>
    </row>
    <row r="279" spans="1:31">
      <c r="A279" s="33" t="str">
        <f>'GREATER MANCHESTER'!A53</f>
        <v>Makerfield CC</v>
      </c>
      <c r="B279" s="7">
        <f>'GREATER MANCHESTER'!D53</f>
        <v>73447</v>
      </c>
      <c r="C279" s="7">
        <f>'GREATER MANCHESTER'!E53</f>
        <v>74856</v>
      </c>
      <c r="D279" s="7">
        <f>'GREATER MANCHESTER'!F53</f>
        <v>75307</v>
      </c>
      <c r="E279" s="7">
        <f>'GREATER MANCHESTER'!G53</f>
        <v>75725</v>
      </c>
      <c r="F279" s="7">
        <f>'GREATER MANCHESTER'!H53</f>
        <v>75758</v>
      </c>
      <c r="G279" s="7">
        <f>'GREATER MANCHESTER'!I53</f>
        <v>72835</v>
      </c>
      <c r="H279" s="7">
        <f>'GREATER MANCHESTER'!J53</f>
        <v>71857</v>
      </c>
      <c r="I279" s="7">
        <f>'GREATER MANCHESTER'!K53</f>
        <v>72636</v>
      </c>
      <c r="J279" s="7">
        <f>'GREATER MANCHESTER'!L53</f>
        <v>73355</v>
      </c>
      <c r="K279" s="7">
        <f>'GREATER MANCHESTER'!M53</f>
        <v>72966</v>
      </c>
      <c r="L279" s="7">
        <f>'GREATER MANCHESTER'!N53</f>
        <v>74400</v>
      </c>
      <c r="M279" s="7">
        <f>'GREATER MANCHESTER'!O53</f>
        <v>74400</v>
      </c>
      <c r="N279" s="34">
        <f t="shared" si="16"/>
        <v>1.2975342764170082E-2</v>
      </c>
      <c r="O279" s="34"/>
      <c r="P279" s="7">
        <f t="shared" si="17"/>
        <v>1007</v>
      </c>
      <c r="Q279" s="1004">
        <f t="shared" si="18"/>
        <v>1.3720654558336626E-2</v>
      </c>
      <c r="R279" s="6">
        <v>181</v>
      </c>
      <c r="S279" s="6">
        <v>170</v>
      </c>
      <c r="T279" s="6">
        <v>173</v>
      </c>
      <c r="U279" s="6">
        <v>167</v>
      </c>
      <c r="V279" s="6">
        <v>152</v>
      </c>
      <c r="W279" s="6">
        <v>193</v>
      </c>
      <c r="X279" s="6">
        <v>203</v>
      </c>
      <c r="Y279" s="6">
        <v>234</v>
      </c>
      <c r="Z279" s="6">
        <v>237</v>
      </c>
      <c r="AA279" s="6">
        <v>221</v>
      </c>
      <c r="AB279" s="6">
        <v>243</v>
      </c>
      <c r="AC279" s="6">
        <v>259</v>
      </c>
      <c r="AD279" s="6">
        <f t="shared" si="19"/>
        <v>-16</v>
      </c>
      <c r="AE279" s="6" t="s">
        <v>15825</v>
      </c>
    </row>
    <row r="280" spans="1:31">
      <c r="A280" s="33" t="str">
        <f>ESSEX!A53</f>
        <v>Maldon CC</v>
      </c>
      <c r="B280" s="7">
        <f>ESSEX!D55</f>
        <v>68872</v>
      </c>
      <c r="C280" s="7">
        <f>ESSEX!E55</f>
        <v>69539</v>
      </c>
      <c r="D280" s="7">
        <f>ESSEX!F55</f>
        <v>68941</v>
      </c>
      <c r="E280" s="7">
        <f>ESSEX!G55</f>
        <v>69015</v>
      </c>
      <c r="F280" s="7">
        <f>ESSEX!H55</f>
        <v>69084</v>
      </c>
      <c r="G280" s="7">
        <f>ESSEX!I55</f>
        <v>68624</v>
      </c>
      <c r="H280" s="7">
        <f>ESSEX!J55</f>
        <v>68924</v>
      </c>
      <c r="I280" s="7">
        <f>ESSEX!K55</f>
        <v>70447</v>
      </c>
      <c r="J280" s="7">
        <f>ESSEX!L55</f>
        <v>70981</v>
      </c>
      <c r="K280" s="7">
        <f>ESSEX!M55</f>
        <v>70782</v>
      </c>
      <c r="L280" s="7">
        <f>ESSEX!N55</f>
        <v>72930</v>
      </c>
      <c r="M280" s="7">
        <f>ESSEX!O55</f>
        <v>72455</v>
      </c>
      <c r="N280" s="34">
        <f t="shared" si="16"/>
        <v>5.2024044604483677E-2</v>
      </c>
      <c r="O280" s="34"/>
      <c r="P280" s="7">
        <f t="shared" si="17"/>
        <v>-938</v>
      </c>
      <c r="Q280" s="1004">
        <f t="shared" si="18"/>
        <v>-1.2780510402899459E-2</v>
      </c>
      <c r="R280" s="6">
        <v>353</v>
      </c>
      <c r="S280" s="6">
        <v>352</v>
      </c>
      <c r="T280" s="6">
        <v>373</v>
      </c>
      <c r="U280" s="6">
        <v>389</v>
      </c>
      <c r="V280" s="6">
        <v>368</v>
      </c>
      <c r="W280" s="6">
        <v>346</v>
      </c>
      <c r="X280" s="6">
        <v>310</v>
      </c>
      <c r="Y280" s="6">
        <v>319</v>
      </c>
      <c r="Z280" s="6">
        <v>320</v>
      </c>
      <c r="AA280" s="6">
        <v>299</v>
      </c>
      <c r="AB280" s="6">
        <v>289</v>
      </c>
      <c r="AC280" s="6">
        <v>335</v>
      </c>
      <c r="AD280" s="6">
        <f t="shared" si="19"/>
        <v>-46</v>
      </c>
      <c r="AE280" s="6" t="s">
        <v>15829</v>
      </c>
    </row>
    <row r="281" spans="1:31">
      <c r="A281" s="33" t="str">
        <f>'GREATER MANCHESTER'!A55</f>
        <v>Manchester Central BC</v>
      </c>
      <c r="B281" s="7">
        <f>'GREATER MANCHESTER'!D55</f>
        <v>85522</v>
      </c>
      <c r="C281" s="7">
        <f>'GREATER MANCHESTER'!E55</f>
        <v>89519</v>
      </c>
      <c r="D281" s="7">
        <f>'GREATER MANCHESTER'!F55</f>
        <v>91216</v>
      </c>
      <c r="E281" s="7">
        <f>'GREATER MANCHESTER'!G55</f>
        <v>92334</v>
      </c>
      <c r="F281" s="7">
        <f>'GREATER MANCHESTER'!H55</f>
        <v>95373</v>
      </c>
      <c r="G281" s="7">
        <f>'GREATER MANCHESTER'!I55</f>
        <v>89845</v>
      </c>
      <c r="H281" s="7">
        <f>'GREATER MANCHESTER'!J55</f>
        <v>87339</v>
      </c>
      <c r="I281" s="7">
        <f>'GREATER MANCHESTER'!K55</f>
        <v>85370</v>
      </c>
      <c r="J281" s="7">
        <f>'GREATER MANCHESTER'!L55</f>
        <v>88488</v>
      </c>
      <c r="K281" s="7">
        <f>'GREATER MANCHESTER'!M55</f>
        <v>86233</v>
      </c>
      <c r="L281" s="7">
        <f>'GREATER MANCHESTER'!N55</f>
        <v>94937</v>
      </c>
      <c r="M281" s="7">
        <f>'GREATER MANCHESTER'!O55</f>
        <v>94952</v>
      </c>
      <c r="N281" s="34">
        <f t="shared" si="16"/>
        <v>0.11026402563083183</v>
      </c>
      <c r="O281" s="34"/>
      <c r="P281" s="7">
        <f t="shared" si="17"/>
        <v>21559</v>
      </c>
      <c r="Q281" s="1004">
        <f t="shared" si="18"/>
        <v>0.29374736010246211</v>
      </c>
      <c r="R281" s="6">
        <v>5</v>
      </c>
      <c r="S281" s="6">
        <v>3</v>
      </c>
      <c r="T281" s="6">
        <v>3</v>
      </c>
      <c r="U281" s="6">
        <v>2</v>
      </c>
      <c r="V281" s="6">
        <v>2</v>
      </c>
      <c r="W281" s="6">
        <v>3</v>
      </c>
      <c r="X281" s="6">
        <v>3</v>
      </c>
      <c r="Y281" s="6">
        <v>13</v>
      </c>
      <c r="Z281" s="6">
        <v>7</v>
      </c>
      <c r="AA281" s="6">
        <v>13</v>
      </c>
      <c r="AB281" s="6">
        <v>4</v>
      </c>
      <c r="AC281" s="6">
        <v>6</v>
      </c>
      <c r="AD281" s="6">
        <f t="shared" si="19"/>
        <v>-2</v>
      </c>
      <c r="AE281" s="6" t="s">
        <v>15825</v>
      </c>
    </row>
    <row r="282" spans="1:31">
      <c r="A282" s="33" t="str">
        <f>'GREATER MANCHESTER'!A57</f>
        <v>Manchester, Gorton BC</v>
      </c>
      <c r="B282" s="7">
        <f>'GREATER MANCHESTER'!D57</f>
        <v>72535</v>
      </c>
      <c r="C282" s="7">
        <f>'GREATER MANCHESTER'!E57</f>
        <v>74681</v>
      </c>
      <c r="D282" s="7">
        <f>'GREATER MANCHESTER'!F57</f>
        <v>76497</v>
      </c>
      <c r="E282" s="7">
        <f>'GREATER MANCHESTER'!G57</f>
        <v>76384</v>
      </c>
      <c r="F282" s="7">
        <f>'GREATER MANCHESTER'!H57</f>
        <v>76807</v>
      </c>
      <c r="G282" s="7">
        <f>'GREATER MANCHESTER'!I57</f>
        <v>72518</v>
      </c>
      <c r="H282" s="7">
        <f>'GREATER MANCHESTER'!J57</f>
        <v>74227</v>
      </c>
      <c r="I282" s="7">
        <f>'GREATER MANCHESTER'!K57</f>
        <v>70873</v>
      </c>
      <c r="J282" s="7">
        <f>'GREATER MANCHESTER'!L57</f>
        <v>73951</v>
      </c>
      <c r="K282" s="7">
        <f>'GREATER MANCHESTER'!M57</f>
        <v>72577</v>
      </c>
      <c r="L282" s="7">
        <f>'GREATER MANCHESTER'!N57</f>
        <v>77248</v>
      </c>
      <c r="M282" s="7">
        <f>'GREATER MANCHESTER'!O57</f>
        <v>77230</v>
      </c>
      <c r="N282" s="34">
        <f t="shared" si="16"/>
        <v>6.4727372992348528E-2</v>
      </c>
      <c r="O282" s="34"/>
      <c r="P282" s="7">
        <f t="shared" si="17"/>
        <v>3837</v>
      </c>
      <c r="Q282" s="1004">
        <f t="shared" si="18"/>
        <v>5.2280190208875504E-2</v>
      </c>
      <c r="R282" s="6">
        <v>218</v>
      </c>
      <c r="S282" s="6">
        <v>174</v>
      </c>
      <c r="T282" s="6">
        <v>141</v>
      </c>
      <c r="U282" s="6">
        <v>152</v>
      </c>
      <c r="V282" s="6">
        <v>129</v>
      </c>
      <c r="W282" s="6">
        <v>212</v>
      </c>
      <c r="X282" s="6">
        <v>139</v>
      </c>
      <c r="Y282" s="6">
        <v>299</v>
      </c>
      <c r="Z282" s="6">
        <v>211</v>
      </c>
      <c r="AA282" s="6">
        <v>234</v>
      </c>
      <c r="AB282" s="6">
        <v>180</v>
      </c>
      <c r="AC282" s="6">
        <v>189</v>
      </c>
      <c r="AD282" s="6">
        <f t="shared" si="19"/>
        <v>-9</v>
      </c>
      <c r="AE282" s="6" t="s">
        <v>15825</v>
      </c>
    </row>
    <row r="283" spans="1:31">
      <c r="A283" s="33" t="str">
        <f>'GREATER MANCHESTER'!A59</f>
        <v>Manchester, Withington BC</v>
      </c>
      <c r="B283" s="7">
        <f>'GREATER MANCHESTER'!D59</f>
        <v>72514</v>
      </c>
      <c r="C283" s="7">
        <f>'GREATER MANCHESTER'!E59</f>
        <v>73656</v>
      </c>
      <c r="D283" s="7">
        <f>'GREATER MANCHESTER'!F59</f>
        <v>74964</v>
      </c>
      <c r="E283" s="7">
        <f>'GREATER MANCHESTER'!G59</f>
        <v>75170</v>
      </c>
      <c r="F283" s="7">
        <f>'GREATER MANCHESTER'!H59</f>
        <v>75560</v>
      </c>
      <c r="G283" s="7">
        <f>'GREATER MANCHESTER'!I59</f>
        <v>74396</v>
      </c>
      <c r="H283" s="7">
        <f>'GREATER MANCHESTER'!J59</f>
        <v>74616</v>
      </c>
      <c r="I283" s="7">
        <f>'GREATER MANCHESTER'!K59</f>
        <v>69707</v>
      </c>
      <c r="J283" s="7">
        <f>'GREATER MANCHESTER'!L59</f>
        <v>71330</v>
      </c>
      <c r="K283" s="7">
        <f>'GREATER MANCHESTER'!M59</f>
        <v>69948</v>
      </c>
      <c r="L283" s="7">
        <f>'GREATER MANCHESTER'!N59</f>
        <v>77021</v>
      </c>
      <c r="M283" s="7">
        <f>'GREATER MANCHESTER'!O59</f>
        <v>76993</v>
      </c>
      <c r="N283" s="34">
        <f t="shared" si="16"/>
        <v>6.1767382850208233E-2</v>
      </c>
      <c r="O283" s="34"/>
      <c r="P283" s="7">
        <f t="shared" si="17"/>
        <v>3600</v>
      </c>
      <c r="Q283" s="1004">
        <f t="shared" si="18"/>
        <v>4.9050999414113061E-2</v>
      </c>
      <c r="R283" s="6">
        <v>221</v>
      </c>
      <c r="S283" s="6">
        <v>200</v>
      </c>
      <c r="T283" s="6">
        <v>179</v>
      </c>
      <c r="U283" s="6">
        <v>179</v>
      </c>
      <c r="V283" s="6">
        <v>158</v>
      </c>
      <c r="W283" s="6">
        <v>154</v>
      </c>
      <c r="X283" s="6">
        <v>132</v>
      </c>
      <c r="Y283" s="6">
        <v>345</v>
      </c>
      <c r="Z283" s="6">
        <v>304</v>
      </c>
      <c r="AA283" s="6">
        <v>335</v>
      </c>
      <c r="AB283" s="6">
        <v>186</v>
      </c>
      <c r="AC283" s="6">
        <v>195</v>
      </c>
      <c r="AD283" s="6">
        <f t="shared" si="19"/>
        <v>-9</v>
      </c>
      <c r="AE283" s="6" t="s">
        <v>15825</v>
      </c>
    </row>
    <row r="284" spans="1:31">
      <c r="A284" s="33" t="str">
        <f>NOTTINGHAMSHIRE!A25</f>
        <v>Mansfield CC</v>
      </c>
      <c r="B284" s="7">
        <f>NOTTINGHAMSHIRE!D25</f>
        <v>80247</v>
      </c>
      <c r="C284" s="7">
        <f>NOTTINGHAMSHIRE!E25</f>
        <v>79849</v>
      </c>
      <c r="D284" s="7">
        <f>NOTTINGHAMSHIRE!F25</f>
        <v>79748</v>
      </c>
      <c r="E284" s="7">
        <f>NOTTINGHAMSHIRE!G25</f>
        <v>79714</v>
      </c>
      <c r="F284" s="7">
        <f>NOTTINGHAMSHIRE!H25</f>
        <v>75412</v>
      </c>
      <c r="G284" s="7">
        <f>NOTTINGHAMSHIRE!I25</f>
        <v>77022</v>
      </c>
      <c r="H284" s="7">
        <f>NOTTINGHAMSHIRE!J25</f>
        <v>74066</v>
      </c>
      <c r="I284" s="7">
        <f>NOTTINGHAMSHIRE!K25</f>
        <v>76353</v>
      </c>
      <c r="J284" s="7">
        <f>NOTTINGHAMSHIRE!L25</f>
        <v>76181</v>
      </c>
      <c r="K284" s="7">
        <f>NOTTINGHAMSHIRE!M25</f>
        <v>76202</v>
      </c>
      <c r="L284" s="7">
        <f>NOTTINGHAMSHIRE!N25</f>
        <v>76269</v>
      </c>
      <c r="M284" s="7">
        <f>NOTTINGHAMSHIRE!O25</f>
        <v>77409</v>
      </c>
      <c r="N284" s="34">
        <f t="shared" si="16"/>
        <v>-3.5365808067591313E-2</v>
      </c>
      <c r="O284" s="34"/>
      <c r="P284" s="7">
        <f t="shared" si="17"/>
        <v>4016</v>
      </c>
      <c r="Q284" s="1004">
        <f t="shared" si="18"/>
        <v>5.4719114901966126E-2</v>
      </c>
      <c r="R284" s="6">
        <v>32</v>
      </c>
      <c r="S284" s="6">
        <v>43</v>
      </c>
      <c r="T284" s="6">
        <v>53</v>
      </c>
      <c r="U284" s="6">
        <v>60</v>
      </c>
      <c r="V284" s="6">
        <v>162</v>
      </c>
      <c r="W284" s="6">
        <v>95</v>
      </c>
      <c r="X284" s="6">
        <v>144</v>
      </c>
      <c r="Y284" s="6">
        <v>143</v>
      </c>
      <c r="Z284" s="6">
        <v>154</v>
      </c>
      <c r="AA284" s="6">
        <v>148</v>
      </c>
      <c r="AB284" s="6">
        <v>201</v>
      </c>
      <c r="AC284" s="6">
        <v>184</v>
      </c>
      <c r="AD284" s="6">
        <f t="shared" si="19"/>
        <v>17</v>
      </c>
      <c r="AE284" s="6" t="s">
        <v>15826</v>
      </c>
    </row>
    <row r="285" spans="1:31">
      <c r="A285" s="33" t="str">
        <f>HAMPSHIRE!A41</f>
        <v>Meon Valley CC</v>
      </c>
      <c r="B285" s="7">
        <f>HAMPSHIRE!D44</f>
        <v>70306</v>
      </c>
      <c r="C285" s="7">
        <f>HAMPSHIRE!E44</f>
        <v>71291</v>
      </c>
      <c r="D285" s="7">
        <f>HAMPSHIRE!F44</f>
        <v>71559</v>
      </c>
      <c r="E285" s="7">
        <f>HAMPSHIRE!G44</f>
        <v>71977</v>
      </c>
      <c r="F285" s="7">
        <f>HAMPSHIRE!H44</f>
        <v>72236</v>
      </c>
      <c r="G285" s="7">
        <f>HAMPSHIRE!I44</f>
        <v>71718</v>
      </c>
      <c r="H285" s="7">
        <f>HAMPSHIRE!J44</f>
        <v>71131</v>
      </c>
      <c r="I285" s="7">
        <f>HAMPSHIRE!K44</f>
        <v>72935</v>
      </c>
      <c r="J285" s="7">
        <f>HAMPSHIRE!L44</f>
        <v>73491</v>
      </c>
      <c r="K285" s="7">
        <f>HAMPSHIRE!M44</f>
        <v>73406</v>
      </c>
      <c r="L285" s="7">
        <f>HAMPSHIRE!N44</f>
        <v>74056</v>
      </c>
      <c r="M285" s="7">
        <f>HAMPSHIRE!O44</f>
        <v>75591</v>
      </c>
      <c r="N285" s="34">
        <f t="shared" si="16"/>
        <v>7.5171393622165961E-2</v>
      </c>
      <c r="O285" s="34"/>
      <c r="P285" s="7">
        <f t="shared" si="17"/>
        <v>2198</v>
      </c>
      <c r="Q285" s="1004">
        <f t="shared" si="18"/>
        <v>2.994836019783903E-2</v>
      </c>
      <c r="R285" s="6">
        <v>317</v>
      </c>
      <c r="S285" s="6">
        <v>303</v>
      </c>
      <c r="T285" s="6">
        <v>306</v>
      </c>
      <c r="U285" s="6">
        <v>301</v>
      </c>
      <c r="V285" s="6">
        <v>277</v>
      </c>
      <c r="W285" s="6">
        <v>240</v>
      </c>
      <c r="X285" s="6">
        <v>225</v>
      </c>
      <c r="Y285" s="6">
        <v>224</v>
      </c>
      <c r="Z285" s="6">
        <v>229</v>
      </c>
      <c r="AA285" s="6">
        <v>212</v>
      </c>
      <c r="AB285" s="6">
        <v>255</v>
      </c>
      <c r="AC285" s="6">
        <v>223</v>
      </c>
      <c r="AD285" s="6">
        <f t="shared" si="19"/>
        <v>32</v>
      </c>
      <c r="AE285" s="6" t="s">
        <v>15823</v>
      </c>
    </row>
    <row r="286" spans="1:31">
      <c r="A286" s="33" t="str">
        <f>'WEST MIDLANDS'!A49</f>
        <v>Meriden CC</v>
      </c>
      <c r="B286" s="7">
        <f>'WEST MIDLANDS'!D49</f>
        <v>82400</v>
      </c>
      <c r="C286" s="7">
        <f>'WEST MIDLANDS'!E49</f>
        <v>83428</v>
      </c>
      <c r="D286" s="7">
        <f>'WEST MIDLANDS'!F49</f>
        <v>81568</v>
      </c>
      <c r="E286" s="7">
        <f>'WEST MIDLANDS'!G49</f>
        <v>82083</v>
      </c>
      <c r="F286" s="7">
        <f>'WEST MIDLANDS'!H49</f>
        <v>82599</v>
      </c>
      <c r="G286" s="7">
        <f>'WEST MIDLANDS'!I49</f>
        <v>80076</v>
      </c>
      <c r="H286" s="7">
        <f>'WEST MIDLANDS'!J49</f>
        <v>78752</v>
      </c>
      <c r="I286" s="7">
        <f>'WEST MIDLANDS'!K49</f>
        <v>82268</v>
      </c>
      <c r="J286" s="7">
        <f>'WEST MIDLANDS'!L49</f>
        <v>81525</v>
      </c>
      <c r="K286" s="7">
        <f>'WEST MIDLANDS'!M49</f>
        <v>81415</v>
      </c>
      <c r="L286" s="7">
        <f>'WEST MIDLANDS'!N49</f>
        <v>83643</v>
      </c>
      <c r="M286" s="7">
        <f>'WEST MIDLANDS'!O49</f>
        <v>84545</v>
      </c>
      <c r="N286" s="34">
        <f t="shared" si="16"/>
        <v>2.6031553398058252E-2</v>
      </c>
      <c r="O286" s="34"/>
      <c r="P286" s="7">
        <f t="shared" si="17"/>
        <v>11152</v>
      </c>
      <c r="Q286" s="1004">
        <f t="shared" si="18"/>
        <v>0.15194909596283024</v>
      </c>
      <c r="R286" s="6">
        <v>17</v>
      </c>
      <c r="S286" s="6">
        <v>15</v>
      </c>
      <c r="T286" s="6">
        <v>37</v>
      </c>
      <c r="U286" s="6">
        <v>35</v>
      </c>
      <c r="V286" s="6">
        <v>29</v>
      </c>
      <c r="W286" s="6">
        <v>37</v>
      </c>
      <c r="X286" s="6">
        <v>40</v>
      </c>
      <c r="Y286" s="6">
        <v>35</v>
      </c>
      <c r="Z286" s="6">
        <v>53</v>
      </c>
      <c r="AA286" s="6">
        <v>50</v>
      </c>
      <c r="AB286" s="6">
        <v>51</v>
      </c>
      <c r="AC286" s="6">
        <v>48</v>
      </c>
      <c r="AD286" s="6">
        <f t="shared" si="19"/>
        <v>3</v>
      </c>
      <c r="AE286" s="6" t="s">
        <v>15824</v>
      </c>
    </row>
    <row r="287" spans="1:31">
      <c r="A287" s="33" t="str">
        <f>BEDFORDSHIRE!A21</f>
        <v>Mid Bedfordshire CC</v>
      </c>
      <c r="B287" s="7">
        <f>BEDFORDSHIRE!D23</f>
        <v>75914</v>
      </c>
      <c r="C287" s="7">
        <f>BEDFORDSHIRE!E23</f>
        <v>76381</v>
      </c>
      <c r="D287" s="7">
        <f>BEDFORDSHIRE!F23</f>
        <v>77810</v>
      </c>
      <c r="E287" s="7">
        <f>BEDFORDSHIRE!G23</f>
        <v>79072</v>
      </c>
      <c r="F287" s="7">
        <f>BEDFORDSHIRE!H23</f>
        <v>80489</v>
      </c>
      <c r="G287" s="7">
        <f>BEDFORDSHIRE!I23</f>
        <v>80018</v>
      </c>
      <c r="H287" s="7">
        <f>BEDFORDSHIRE!J23</f>
        <v>80069</v>
      </c>
      <c r="I287" s="7">
        <f>BEDFORDSHIRE!K23</f>
        <v>82362</v>
      </c>
      <c r="J287" s="7">
        <f>BEDFORDSHIRE!L23</f>
        <v>84212</v>
      </c>
      <c r="K287" s="7">
        <f>BEDFORDSHIRE!M23</f>
        <v>84055</v>
      </c>
      <c r="L287" s="7">
        <f>BEDFORDSHIRE!N23</f>
        <v>87666</v>
      </c>
      <c r="M287" s="7">
        <f>BEDFORDSHIRE!O23</f>
        <v>88789</v>
      </c>
      <c r="N287" s="34">
        <f t="shared" si="16"/>
        <v>0.16959981031166846</v>
      </c>
      <c r="O287" s="34"/>
      <c r="P287" s="7">
        <f t="shared" si="17"/>
        <v>15396</v>
      </c>
      <c r="Q287" s="1004">
        <f t="shared" si="18"/>
        <v>0.20977477416102353</v>
      </c>
      <c r="R287" s="6">
        <v>129</v>
      </c>
      <c r="S287" s="6">
        <v>131</v>
      </c>
      <c r="T287" s="6">
        <v>98</v>
      </c>
      <c r="U287" s="6">
        <v>77</v>
      </c>
      <c r="V287" s="6">
        <v>49</v>
      </c>
      <c r="W287" s="6">
        <v>39</v>
      </c>
      <c r="X287" s="6">
        <v>30</v>
      </c>
      <c r="Y287" s="6">
        <v>33</v>
      </c>
      <c r="Z287" s="6">
        <v>24</v>
      </c>
      <c r="AA287" s="6">
        <v>20</v>
      </c>
      <c r="AB287" s="6">
        <v>21</v>
      </c>
      <c r="AC287" s="6">
        <v>19</v>
      </c>
      <c r="AD287" s="6">
        <f t="shared" si="19"/>
        <v>2</v>
      </c>
      <c r="AE287" s="6" t="s">
        <v>15829</v>
      </c>
    </row>
    <row r="288" spans="1:31">
      <c r="A288" s="33" t="str">
        <f>DERBYSHIRE!A40</f>
        <v>Mid Derbyshire CC</v>
      </c>
      <c r="B288" s="7">
        <f>DERBYSHIRE!D43</f>
        <v>65929</v>
      </c>
      <c r="C288" s="7">
        <f>DERBYSHIRE!E43</f>
        <v>66572</v>
      </c>
      <c r="D288" s="7">
        <f>DERBYSHIRE!F43</f>
        <v>66963</v>
      </c>
      <c r="E288" s="7">
        <f>DERBYSHIRE!G43</f>
        <v>67417</v>
      </c>
      <c r="F288" s="7">
        <f>DERBYSHIRE!H43</f>
        <v>67358</v>
      </c>
      <c r="G288" s="7">
        <f>DERBYSHIRE!I43</f>
        <v>66855</v>
      </c>
      <c r="H288" s="7">
        <f>DERBYSHIRE!J43</f>
        <v>65959</v>
      </c>
      <c r="I288" s="7">
        <f>DERBYSHIRE!K43</f>
        <v>66490</v>
      </c>
      <c r="J288" s="7">
        <f>DERBYSHIRE!L43</f>
        <v>66957</v>
      </c>
      <c r="K288" s="7">
        <f>DERBYSHIRE!M43</f>
        <v>66555</v>
      </c>
      <c r="L288" s="7">
        <f>DERBYSHIRE!N43</f>
        <v>67464</v>
      </c>
      <c r="M288" s="7">
        <f>DERBYSHIRE!O43</f>
        <v>67036</v>
      </c>
      <c r="N288" s="34">
        <f t="shared" si="16"/>
        <v>1.6790790092372096E-2</v>
      </c>
      <c r="O288" s="34"/>
      <c r="P288" s="7">
        <f t="shared" si="17"/>
        <v>-6357</v>
      </c>
      <c r="Q288" s="1004">
        <f t="shared" si="18"/>
        <v>-8.6615889798754647E-2</v>
      </c>
      <c r="R288" s="6">
        <v>441</v>
      </c>
      <c r="S288" s="6">
        <v>437</v>
      </c>
      <c r="T288" s="6">
        <v>435</v>
      </c>
      <c r="U288" s="6">
        <v>432</v>
      </c>
      <c r="V288" s="6">
        <v>416</v>
      </c>
      <c r="W288" s="6">
        <v>397</v>
      </c>
      <c r="X288" s="6">
        <v>401</v>
      </c>
      <c r="Y288" s="6">
        <v>420</v>
      </c>
      <c r="Z288" s="6">
        <v>423</v>
      </c>
      <c r="AA288" s="6">
        <v>423</v>
      </c>
      <c r="AB288" s="6">
        <v>431</v>
      </c>
      <c r="AC288" s="6">
        <v>450</v>
      </c>
      <c r="AD288" s="6">
        <f t="shared" si="19"/>
        <v>-19</v>
      </c>
      <c r="AE288" s="6" t="s">
        <v>15826</v>
      </c>
    </row>
    <row r="289" spans="1:31">
      <c r="A289" s="33" t="str">
        <f>DORSET!A19</f>
        <v>Mid Dorset and North Poole CC</v>
      </c>
      <c r="B289" s="7">
        <f>DORSET!D21</f>
        <v>64776</v>
      </c>
      <c r="C289" s="7">
        <f>DORSET!E21</f>
        <v>64705</v>
      </c>
      <c r="D289" s="7">
        <f>DORSET!F21</f>
        <v>64768</v>
      </c>
      <c r="E289" s="7">
        <f>DORSET!G21</f>
        <v>64755</v>
      </c>
      <c r="F289" s="7">
        <f>DORSET!H21</f>
        <v>64816</v>
      </c>
      <c r="G289" s="7">
        <f>DORSET!I21</f>
        <v>63749</v>
      </c>
      <c r="H289" s="7">
        <f>DORSET!J21</f>
        <v>62503</v>
      </c>
      <c r="I289" s="7">
        <f>DORSET!K21</f>
        <v>64316</v>
      </c>
      <c r="J289" s="7">
        <f>DORSET!L21</f>
        <v>64277</v>
      </c>
      <c r="K289" s="7">
        <f>DORSET!M21</f>
        <v>63546</v>
      </c>
      <c r="L289" s="7">
        <f>DORSET!N21</f>
        <v>65995</v>
      </c>
      <c r="M289" s="7">
        <f>DORSET!O21</f>
        <v>65428</v>
      </c>
      <c r="N289" s="34">
        <f t="shared" si="16"/>
        <v>1.0065456341855008E-2</v>
      </c>
      <c r="O289" s="34"/>
      <c r="P289" s="7">
        <f t="shared" si="17"/>
        <v>-7965</v>
      </c>
      <c r="Q289" s="1004">
        <f t="shared" si="18"/>
        <v>-0.10852533620372515</v>
      </c>
      <c r="R289" s="6">
        <v>472</v>
      </c>
      <c r="S289" s="6">
        <v>485</v>
      </c>
      <c r="T289" s="6">
        <v>486</v>
      </c>
      <c r="U289" s="6">
        <v>487</v>
      </c>
      <c r="V289" s="6">
        <v>473</v>
      </c>
      <c r="W289" s="6">
        <v>468</v>
      </c>
      <c r="X289" s="6">
        <v>474</v>
      </c>
      <c r="Y289" s="6">
        <v>467</v>
      </c>
      <c r="Z289" s="6">
        <v>476</v>
      </c>
      <c r="AA289" s="6">
        <v>471</v>
      </c>
      <c r="AB289" s="6">
        <v>457</v>
      </c>
      <c r="AC289" s="6">
        <v>476</v>
      </c>
      <c r="AD289" s="6">
        <f t="shared" si="19"/>
        <v>-19</v>
      </c>
      <c r="AE289" s="6" t="s">
        <v>15830</v>
      </c>
    </row>
    <row r="290" spans="1:31">
      <c r="A290" s="33" t="str">
        <f>NORFOLK!A21</f>
        <v>Mid Norfolk CC</v>
      </c>
      <c r="B290" s="7">
        <f>NORFOLK!D23</f>
        <v>74465</v>
      </c>
      <c r="C290" s="7">
        <f>NORFOLK!E23</f>
        <v>75080</v>
      </c>
      <c r="D290" s="7">
        <f>NORFOLK!F23</f>
        <v>75703</v>
      </c>
      <c r="E290" s="7">
        <f>NORFOLK!G23</f>
        <v>77319</v>
      </c>
      <c r="F290" s="7">
        <f>NORFOLK!H23</f>
        <v>75296</v>
      </c>
      <c r="G290" s="7">
        <f>NORFOLK!I23</f>
        <v>75941</v>
      </c>
      <c r="H290" s="7">
        <f>NORFOLK!J23</f>
        <v>77629</v>
      </c>
      <c r="I290" s="7">
        <f>NORFOLK!K23</f>
        <v>80107</v>
      </c>
      <c r="J290" s="7">
        <f>NORFOLK!L23</f>
        <v>80060</v>
      </c>
      <c r="K290" s="7">
        <f>NORFOLK!M23</f>
        <v>78191</v>
      </c>
      <c r="L290" s="7">
        <f>NORFOLK!N23</f>
        <v>82723</v>
      </c>
      <c r="M290" s="7">
        <f>NORFOLK!O23</f>
        <v>82060</v>
      </c>
      <c r="N290" s="34">
        <f t="shared" si="16"/>
        <v>0.10199422547505539</v>
      </c>
      <c r="O290" s="34"/>
      <c r="P290" s="7">
        <f t="shared" si="17"/>
        <v>8667</v>
      </c>
      <c r="Q290" s="1004">
        <f t="shared" si="18"/>
        <v>0.11809028108947719</v>
      </c>
      <c r="R290" s="6">
        <v>164</v>
      </c>
      <c r="S290" s="6">
        <v>163</v>
      </c>
      <c r="T290" s="6">
        <v>162</v>
      </c>
      <c r="U290" s="6">
        <v>130</v>
      </c>
      <c r="V290" s="6">
        <v>167</v>
      </c>
      <c r="W290" s="6">
        <v>123</v>
      </c>
      <c r="X290" s="6">
        <v>65</v>
      </c>
      <c r="Y290" s="6">
        <v>64</v>
      </c>
      <c r="Z290" s="6">
        <v>76</v>
      </c>
      <c r="AA290" s="6">
        <v>104</v>
      </c>
      <c r="AB290" s="6">
        <v>62</v>
      </c>
      <c r="AC290" s="6">
        <v>86</v>
      </c>
      <c r="AD290" s="6">
        <f t="shared" si="19"/>
        <v>-24</v>
      </c>
      <c r="AE290" s="6" t="s">
        <v>15829</v>
      </c>
    </row>
    <row r="291" spans="1:31">
      <c r="A291" s="33" t="str">
        <f>'WEST SUSSEX'!A35</f>
        <v>Mid Sussex CC</v>
      </c>
      <c r="B291" s="7">
        <f>'WEST SUSSEX'!D35</f>
        <v>75954</v>
      </c>
      <c r="C291" s="7">
        <f>'WEST SUSSEX'!E35</f>
        <v>77044</v>
      </c>
      <c r="D291" s="7">
        <f>'WEST SUSSEX'!F35</f>
        <v>77809</v>
      </c>
      <c r="E291" s="7">
        <f>'WEST SUSSEX'!G35</f>
        <v>78434</v>
      </c>
      <c r="F291" s="7">
        <f>'WEST SUSSEX'!H35</f>
        <v>80545</v>
      </c>
      <c r="G291" s="7">
        <f>'WEST SUSSEX'!I35</f>
        <v>79290</v>
      </c>
      <c r="H291" s="7">
        <f>'WEST SUSSEX'!J35</f>
        <v>79149</v>
      </c>
      <c r="I291" s="7">
        <f>'WEST SUSSEX'!K35</f>
        <v>83553</v>
      </c>
      <c r="J291" s="7">
        <f>'WEST SUSSEX'!L35</f>
        <v>83395</v>
      </c>
      <c r="K291" s="7">
        <f>'WEST SUSSEX'!M35</f>
        <v>83064</v>
      </c>
      <c r="L291" s="7">
        <f>'WEST SUSSEX'!N35</f>
        <v>84125</v>
      </c>
      <c r="M291" s="7">
        <f>'WEST SUSSEX'!O35</f>
        <v>85160</v>
      </c>
      <c r="N291" s="34">
        <f t="shared" si="16"/>
        <v>0.12120493983200357</v>
      </c>
      <c r="O291" s="34"/>
      <c r="P291" s="7">
        <f t="shared" si="17"/>
        <v>11767</v>
      </c>
      <c r="Q291" s="1004">
        <f t="shared" si="18"/>
        <v>0.16032864169607455</v>
      </c>
      <c r="R291" s="6">
        <v>127</v>
      </c>
      <c r="S291" s="6">
        <v>109</v>
      </c>
      <c r="T291" s="6">
        <v>99</v>
      </c>
      <c r="U291" s="6">
        <v>94</v>
      </c>
      <c r="V291" s="6">
        <v>48</v>
      </c>
      <c r="W291" s="6">
        <v>48</v>
      </c>
      <c r="X291" s="6">
        <v>34</v>
      </c>
      <c r="Y291" s="6">
        <v>22</v>
      </c>
      <c r="Z291" s="6">
        <v>29</v>
      </c>
      <c r="AA291" s="6">
        <v>27</v>
      </c>
      <c r="AB291" s="6">
        <v>43</v>
      </c>
      <c r="AC291" s="6">
        <v>41</v>
      </c>
      <c r="AD291" s="6">
        <f t="shared" si="19"/>
        <v>2</v>
      </c>
      <c r="AE291" s="6" t="s">
        <v>15823</v>
      </c>
    </row>
    <row r="292" spans="1:31">
      <c r="A292" s="33" t="str">
        <f>WORCESTERSHIRE!A16</f>
        <v>Mid Worcestershire CC</v>
      </c>
      <c r="B292" s="7">
        <f>WORCESTERSHIRE!D16</f>
        <v>71858</v>
      </c>
      <c r="C292" s="7">
        <f>WORCESTERSHIRE!E16</f>
        <v>71660</v>
      </c>
      <c r="D292" s="7">
        <f>WORCESTERSHIRE!F16</f>
        <v>72641</v>
      </c>
      <c r="E292" s="7">
        <f>WORCESTERSHIRE!G16</f>
        <v>73227</v>
      </c>
      <c r="F292" s="7">
        <f>WORCESTERSHIRE!H16</f>
        <v>72649</v>
      </c>
      <c r="G292" s="7">
        <f>WORCESTERSHIRE!I16</f>
        <v>71461</v>
      </c>
      <c r="H292" s="7">
        <f>WORCESTERSHIRE!J16</f>
        <v>73420</v>
      </c>
      <c r="I292" s="7">
        <f>WORCESTERSHIRE!K16</f>
        <v>75378</v>
      </c>
      <c r="J292" s="7">
        <f>WORCESTERSHIRE!L16</f>
        <v>75796</v>
      </c>
      <c r="K292" s="7">
        <f>WORCESTERSHIRE!M16</f>
        <v>76171</v>
      </c>
      <c r="L292" s="7">
        <f>WORCESTERSHIRE!N16</f>
        <v>77299</v>
      </c>
      <c r="M292" s="7">
        <f>WORCESTERSHIRE!O16</f>
        <v>78759</v>
      </c>
      <c r="N292" s="34">
        <f t="shared" si="16"/>
        <v>9.6036627793704255E-2</v>
      </c>
      <c r="O292" s="34"/>
      <c r="P292" s="7">
        <f t="shared" si="17"/>
        <v>5366</v>
      </c>
      <c r="Q292" s="1004">
        <f t="shared" si="18"/>
        <v>7.3113239682258524E-2</v>
      </c>
      <c r="R292" s="6">
        <v>256</v>
      </c>
      <c r="S292" s="6">
        <v>291</v>
      </c>
      <c r="T292" s="6">
        <v>264</v>
      </c>
      <c r="U292" s="6">
        <v>246</v>
      </c>
      <c r="V292" s="6">
        <v>255</v>
      </c>
      <c r="W292" s="6">
        <v>249</v>
      </c>
      <c r="X292" s="6">
        <v>157</v>
      </c>
      <c r="Y292" s="6">
        <v>151</v>
      </c>
      <c r="Z292" s="6">
        <v>161</v>
      </c>
      <c r="AA292" s="6">
        <v>149</v>
      </c>
      <c r="AB292" s="6">
        <v>176</v>
      </c>
      <c r="AC292" s="6">
        <v>157</v>
      </c>
      <c r="AD292" s="6">
        <f t="shared" si="19"/>
        <v>19</v>
      </c>
      <c r="AE292" s="6" t="s">
        <v>15824</v>
      </c>
    </row>
    <row r="293" spans="1:31">
      <c r="A293" s="33" t="str">
        <f>'MIDD &amp; R &amp; C'!A11</f>
        <v>Middlesbrough BC</v>
      </c>
      <c r="B293" s="7">
        <f>'MIDD &amp; R &amp; C'!D11</f>
        <v>65726</v>
      </c>
      <c r="C293" s="7">
        <f>'MIDD &amp; R &amp; C'!E11</f>
        <v>65851</v>
      </c>
      <c r="D293" s="7">
        <f>'MIDD &amp; R &amp; C'!F11</f>
        <v>65910</v>
      </c>
      <c r="E293" s="7">
        <f>'MIDD &amp; R &amp; C'!G11</f>
        <v>65720</v>
      </c>
      <c r="F293" s="7">
        <f>'MIDD &amp; R &amp; C'!H11</f>
        <v>64395</v>
      </c>
      <c r="G293" s="7">
        <f>'MIDD &amp; R &amp; C'!I11</f>
        <v>64144</v>
      </c>
      <c r="H293" s="7">
        <f>'MIDD &amp; R &amp; C'!J11</f>
        <v>57532</v>
      </c>
      <c r="I293" s="7">
        <f>'MIDD &amp; R &amp; C'!K11</f>
        <v>59718</v>
      </c>
      <c r="J293" s="7">
        <f>'MIDD &amp; R &amp; C'!L11</f>
        <v>59744</v>
      </c>
      <c r="K293" s="7">
        <f>'MIDD &amp; R &amp; C'!M11</f>
        <v>58518</v>
      </c>
      <c r="L293" s="7">
        <f>'MIDD &amp; R &amp; C'!N11</f>
        <v>59456</v>
      </c>
      <c r="M293" s="7">
        <f>'MIDD &amp; R &amp; C'!O11</f>
        <v>61630</v>
      </c>
      <c r="N293" s="34">
        <f t="shared" si="16"/>
        <v>-6.2319325685421298E-2</v>
      </c>
      <c r="O293" s="34"/>
      <c r="P293" s="7">
        <f t="shared" si="17"/>
        <v>-11763</v>
      </c>
      <c r="Q293" s="1004">
        <f t="shared" si="18"/>
        <v>-0.16027414058561443</v>
      </c>
      <c r="R293" s="6">
        <v>446</v>
      </c>
      <c r="S293" s="6">
        <v>458</v>
      </c>
      <c r="T293" s="6">
        <v>457</v>
      </c>
      <c r="U293" s="6">
        <v>473</v>
      </c>
      <c r="V293" s="6">
        <v>480</v>
      </c>
      <c r="W293" s="6">
        <v>458</v>
      </c>
      <c r="X293" s="6">
        <v>522</v>
      </c>
      <c r="Y293" s="6">
        <v>516</v>
      </c>
      <c r="Z293" s="6">
        <v>521</v>
      </c>
      <c r="AA293" s="6">
        <v>522</v>
      </c>
      <c r="AB293" s="6">
        <v>523</v>
      </c>
      <c r="AC293" s="6">
        <v>515</v>
      </c>
      <c r="AD293" s="6">
        <f t="shared" si="19"/>
        <v>8</v>
      </c>
      <c r="AE293" s="6" t="s">
        <v>2901</v>
      </c>
    </row>
    <row r="294" spans="1:31">
      <c r="A294" s="33" t="str">
        <f>'MIDD &amp; R &amp; C'!A13</f>
        <v>Middlesbrough South and East Cleveland CC</v>
      </c>
      <c r="B294" s="7">
        <f>'MIDD &amp; R &amp; C'!D15</f>
        <v>73123</v>
      </c>
      <c r="C294" s="7">
        <f>'MIDD &amp; R &amp; C'!E15</f>
        <v>72876</v>
      </c>
      <c r="D294" s="7">
        <f>'MIDD &amp; R &amp; C'!F15</f>
        <v>72691</v>
      </c>
      <c r="E294" s="7">
        <f>'MIDD &amp; R &amp; C'!G15</f>
        <v>72965</v>
      </c>
      <c r="F294" s="7">
        <f>'MIDD &amp; R &amp; C'!H15</f>
        <v>72500</v>
      </c>
      <c r="G294" s="7">
        <f>'MIDD &amp; R &amp; C'!I15</f>
        <v>71050</v>
      </c>
      <c r="H294" s="7">
        <f>'MIDD &amp; R &amp; C'!J15</f>
        <v>68970</v>
      </c>
      <c r="I294" s="7">
        <f>'MIDD &amp; R &amp; C'!K15</f>
        <v>71079</v>
      </c>
      <c r="J294" s="7">
        <f>'MIDD &amp; R &amp; C'!L15</f>
        <v>71264</v>
      </c>
      <c r="K294" s="7">
        <f>'MIDD &amp; R &amp; C'!M15</f>
        <v>70900</v>
      </c>
      <c r="L294" s="7">
        <f>'MIDD &amp; R &amp; C'!N15</f>
        <v>71131</v>
      </c>
      <c r="M294" s="7">
        <f>'MIDD &amp; R &amp; C'!O15</f>
        <v>73041</v>
      </c>
      <c r="N294" s="34">
        <f t="shared" si="16"/>
        <v>-1.1213981920873051E-3</v>
      </c>
      <c r="O294" s="34"/>
      <c r="P294" s="7">
        <f t="shared" si="17"/>
        <v>-352</v>
      </c>
      <c r="Q294" s="1004">
        <f t="shared" si="18"/>
        <v>-4.7960977204910549E-3</v>
      </c>
      <c r="R294" s="6">
        <v>194</v>
      </c>
      <c r="S294" s="6">
        <v>233</v>
      </c>
      <c r="T294" s="6">
        <v>262</v>
      </c>
      <c r="U294" s="6">
        <v>256</v>
      </c>
      <c r="V294" s="6">
        <v>260</v>
      </c>
      <c r="W294" s="6">
        <v>264</v>
      </c>
      <c r="X294" s="6">
        <v>308</v>
      </c>
      <c r="Y294" s="6">
        <v>290</v>
      </c>
      <c r="Z294" s="6">
        <v>308</v>
      </c>
      <c r="AA294" s="6">
        <v>292</v>
      </c>
      <c r="AB294" s="6">
        <v>349</v>
      </c>
      <c r="AC294" s="6">
        <v>313</v>
      </c>
      <c r="AD294" s="6">
        <f t="shared" si="19"/>
        <v>36</v>
      </c>
      <c r="AE294" s="6" t="s">
        <v>2901</v>
      </c>
    </row>
    <row r="295" spans="1:31">
      <c r="A295" s="33" t="str">
        <f>'MILTON KEYNES'!A7</f>
        <v>Milton Keynes North CC</v>
      </c>
      <c r="B295" s="7">
        <f>'MILTON KEYNES'!D7</f>
        <v>81991</v>
      </c>
      <c r="C295" s="7">
        <f>'MILTON KEYNES'!E7</f>
        <v>81226</v>
      </c>
      <c r="D295" s="7">
        <f>'MILTON KEYNES'!F7</f>
        <v>83919</v>
      </c>
      <c r="E295" s="7">
        <f>'MILTON KEYNES'!G7</f>
        <v>85537</v>
      </c>
      <c r="F295" s="7">
        <f>'MILTON KEYNES'!H7</f>
        <v>87028</v>
      </c>
      <c r="G295" s="7">
        <f>'MILTON KEYNES'!I7</f>
        <v>84679</v>
      </c>
      <c r="H295" s="7">
        <f>'MILTON KEYNES'!J7</f>
        <v>83348</v>
      </c>
      <c r="I295" s="7">
        <f>'MILTON KEYNES'!K7</f>
        <v>87756</v>
      </c>
      <c r="J295" s="7">
        <f>'MILTON KEYNES'!L7</f>
        <v>88630</v>
      </c>
      <c r="K295" s="7">
        <f>'MILTON KEYNES'!M7</f>
        <v>87654</v>
      </c>
      <c r="L295" s="7">
        <f>'MILTON KEYNES'!N7</f>
        <v>91891</v>
      </c>
      <c r="M295" s="7">
        <f>'MILTON KEYNES'!O7</f>
        <v>91730</v>
      </c>
      <c r="N295" s="34">
        <f t="shared" si="16"/>
        <v>0.11878132965813321</v>
      </c>
      <c r="O295" s="34"/>
      <c r="P295" s="7">
        <f t="shared" si="17"/>
        <v>18337</v>
      </c>
      <c r="Q295" s="1004">
        <f t="shared" si="18"/>
        <v>0.24984671562683089</v>
      </c>
      <c r="R295" s="6">
        <v>20</v>
      </c>
      <c r="S295" s="6">
        <v>31</v>
      </c>
      <c r="T295" s="6">
        <v>18</v>
      </c>
      <c r="U295" s="6">
        <v>13</v>
      </c>
      <c r="V295" s="6">
        <v>7</v>
      </c>
      <c r="W295" s="6">
        <v>8</v>
      </c>
      <c r="X295" s="6">
        <v>11</v>
      </c>
      <c r="Y295" s="6">
        <v>8</v>
      </c>
      <c r="Z295" s="6">
        <v>6</v>
      </c>
      <c r="AA295" s="6">
        <v>7</v>
      </c>
      <c r="AB295" s="6">
        <v>9</v>
      </c>
      <c r="AC295" s="6">
        <v>11</v>
      </c>
      <c r="AD295" s="6">
        <f t="shared" si="19"/>
        <v>-2</v>
      </c>
      <c r="AE295" s="6" t="s">
        <v>15823</v>
      </c>
    </row>
    <row r="296" spans="1:31">
      <c r="A296" s="33" t="str">
        <f>'MILTON KEYNES'!A9</f>
        <v>Milton Keynes South BC</v>
      </c>
      <c r="B296" s="7">
        <f>'MILTON KEYNES'!D9</f>
        <v>86901</v>
      </c>
      <c r="C296" s="7">
        <f>'MILTON KEYNES'!E9</f>
        <v>85552</v>
      </c>
      <c r="D296" s="7">
        <f>'MILTON KEYNES'!F9</f>
        <v>87302</v>
      </c>
      <c r="E296" s="7">
        <f>'MILTON KEYNES'!G9</f>
        <v>88960</v>
      </c>
      <c r="F296" s="7">
        <f>'MILTON KEYNES'!H9</f>
        <v>90057</v>
      </c>
      <c r="G296" s="7">
        <f>'MILTON KEYNES'!I9</f>
        <v>88033</v>
      </c>
      <c r="H296" s="7">
        <f>'MILTON KEYNES'!J9</f>
        <v>86585</v>
      </c>
      <c r="I296" s="7">
        <f>'MILTON KEYNES'!K9</f>
        <v>90993</v>
      </c>
      <c r="J296" s="7">
        <f>'MILTON KEYNES'!L9</f>
        <v>92011</v>
      </c>
      <c r="K296" s="7">
        <f>'MILTON KEYNES'!M9</f>
        <v>92000</v>
      </c>
      <c r="L296" s="7">
        <f>'MILTON KEYNES'!N9</f>
        <v>96671</v>
      </c>
      <c r="M296" s="7">
        <f>'MILTON KEYNES'!O9</f>
        <v>96543</v>
      </c>
      <c r="N296" s="34">
        <f t="shared" si="16"/>
        <v>0.11095384402941277</v>
      </c>
      <c r="O296" s="34"/>
      <c r="P296" s="7">
        <f t="shared" si="17"/>
        <v>23150</v>
      </c>
      <c r="Q296" s="1004">
        <f t="shared" si="18"/>
        <v>0.31542517678797705</v>
      </c>
      <c r="R296" s="6">
        <v>4</v>
      </c>
      <c r="S296" s="6">
        <v>9</v>
      </c>
      <c r="T296" s="6">
        <v>7</v>
      </c>
      <c r="U296" s="6">
        <v>5</v>
      </c>
      <c r="V296" s="6">
        <v>4</v>
      </c>
      <c r="W296" s="6">
        <v>5</v>
      </c>
      <c r="X296" s="6">
        <v>6</v>
      </c>
      <c r="Y296" s="6">
        <v>4</v>
      </c>
      <c r="Z296" s="6">
        <v>2</v>
      </c>
      <c r="AA296" s="6">
        <v>2</v>
      </c>
      <c r="AB296" s="6">
        <v>2</v>
      </c>
      <c r="AC296" s="6">
        <v>4</v>
      </c>
      <c r="AD296" s="6">
        <f t="shared" si="19"/>
        <v>-2</v>
      </c>
      <c r="AE296" s="6" t="s">
        <v>15823</v>
      </c>
    </row>
    <row r="297" spans="1:31">
      <c r="A297" s="33" t="str">
        <f>MERTON!A7</f>
        <v>Mitcham and Morden BC</v>
      </c>
      <c r="B297" s="7">
        <f>MERTON!D7</f>
        <v>65390</v>
      </c>
      <c r="C297" s="7">
        <f>MERTON!E7</f>
        <v>67074</v>
      </c>
      <c r="D297" s="7">
        <f>MERTON!F7</f>
        <v>66615</v>
      </c>
      <c r="E297" s="7">
        <f>MERTON!G7</f>
        <v>67488</v>
      </c>
      <c r="F297" s="7">
        <f>MERTON!H7</f>
        <v>67036</v>
      </c>
      <c r="G297" s="7">
        <f>MERTON!I7</f>
        <v>66342</v>
      </c>
      <c r="H297" s="7">
        <f>MERTON!J7</f>
        <v>66320</v>
      </c>
      <c r="I297" s="7">
        <f>MERTON!K7</f>
        <v>67858</v>
      </c>
      <c r="J297" s="7">
        <f>MERTON!L7</f>
        <v>67669</v>
      </c>
      <c r="K297" s="7">
        <f>MERTON!M7</f>
        <v>67449</v>
      </c>
      <c r="L297" s="7">
        <f>MERTON!N7</f>
        <v>68492</v>
      </c>
      <c r="M297" s="7">
        <f>MERTON!O7</f>
        <v>70040</v>
      </c>
      <c r="N297" s="34">
        <f t="shared" si="16"/>
        <v>7.1111790793699337E-2</v>
      </c>
      <c r="O297" s="34"/>
      <c r="P297" s="7">
        <f t="shared" si="17"/>
        <v>-3353</v>
      </c>
      <c r="Q297" s="1004">
        <f t="shared" si="18"/>
        <v>-4.5685555843200304E-2</v>
      </c>
      <c r="R297" s="6">
        <v>452</v>
      </c>
      <c r="S297" s="6">
        <v>419</v>
      </c>
      <c r="T297" s="6">
        <v>444</v>
      </c>
      <c r="U297" s="6">
        <v>426</v>
      </c>
      <c r="V297" s="6">
        <v>423</v>
      </c>
      <c r="W297" s="6">
        <v>411</v>
      </c>
      <c r="X297" s="6">
        <v>392</v>
      </c>
      <c r="Y297" s="6">
        <v>394</v>
      </c>
      <c r="Z297" s="6">
        <v>406</v>
      </c>
      <c r="AA297" s="6">
        <v>400</v>
      </c>
      <c r="AB297" s="6">
        <v>416</v>
      </c>
      <c r="AC297" s="6">
        <v>396</v>
      </c>
      <c r="AD297" s="6">
        <f t="shared" si="19"/>
        <v>20</v>
      </c>
      <c r="AE297" s="6" t="s">
        <v>15827</v>
      </c>
    </row>
    <row r="298" spans="1:31">
      <c r="A298" s="33" t="str">
        <f>SURREY!A34</f>
        <v>Mole Valley CC</v>
      </c>
      <c r="B298" s="7">
        <f>SURREY!D36</f>
        <v>72110</v>
      </c>
      <c r="C298" s="7">
        <f>SURREY!E36</f>
        <v>72568</v>
      </c>
      <c r="D298" s="7">
        <f>SURREY!F36</f>
        <v>73315</v>
      </c>
      <c r="E298" s="7">
        <f>SURREY!G36</f>
        <v>73388</v>
      </c>
      <c r="F298" s="7">
        <f>SURREY!H36</f>
        <v>74032</v>
      </c>
      <c r="G298" s="7">
        <f>SURREY!I36</f>
        <v>72976</v>
      </c>
      <c r="H298" s="7">
        <f>SURREY!J36</f>
        <v>72400</v>
      </c>
      <c r="I298" s="7">
        <f>SURREY!K36</f>
        <v>74224</v>
      </c>
      <c r="J298" s="7">
        <f>SURREY!L36</f>
        <v>73677</v>
      </c>
      <c r="K298" s="7">
        <f>SURREY!M36</f>
        <v>72615</v>
      </c>
      <c r="L298" s="7">
        <f>SURREY!N36</f>
        <v>74697</v>
      </c>
      <c r="M298" s="7">
        <f>SURREY!O36</f>
        <v>74922</v>
      </c>
      <c r="N298" s="34">
        <f t="shared" si="16"/>
        <v>3.8995978366384687E-2</v>
      </c>
      <c r="O298" s="34"/>
      <c r="P298" s="7">
        <f t="shared" si="17"/>
        <v>1529</v>
      </c>
      <c r="Q298" s="1004">
        <f t="shared" si="18"/>
        <v>2.083304947338302E-2</v>
      </c>
      <c r="R298" s="6">
        <v>235</v>
      </c>
      <c r="S298" s="6">
        <v>249</v>
      </c>
      <c r="T298" s="6">
        <v>232</v>
      </c>
      <c r="U298" s="6">
        <v>241</v>
      </c>
      <c r="V298" s="6">
        <v>208</v>
      </c>
      <c r="W298" s="6">
        <v>186</v>
      </c>
      <c r="X298" s="6">
        <v>181</v>
      </c>
      <c r="Y298" s="6">
        <v>192</v>
      </c>
      <c r="Z298" s="6">
        <v>222</v>
      </c>
      <c r="AA298" s="6">
        <v>232</v>
      </c>
      <c r="AB298" s="6">
        <v>235</v>
      </c>
      <c r="AC298" s="6">
        <v>242</v>
      </c>
      <c r="AD298" s="6">
        <f t="shared" si="19"/>
        <v>-7</v>
      </c>
      <c r="AE298" s="6" t="s">
        <v>15823</v>
      </c>
    </row>
    <row r="299" spans="1:31">
      <c r="A299" s="33" t="str">
        <f>LANCASHIRE!A51</f>
        <v>Morecambe and Lunesdale CC</v>
      </c>
      <c r="B299" s="7">
        <f>LANCASHIRE!D51</f>
        <v>68750</v>
      </c>
      <c r="C299" s="7">
        <f>LANCASHIRE!E51</f>
        <v>69254</v>
      </c>
      <c r="D299" s="7">
        <f>LANCASHIRE!F51</f>
        <v>68503</v>
      </c>
      <c r="E299" s="7">
        <f>LANCASHIRE!G51</f>
        <v>68281</v>
      </c>
      <c r="F299" s="7">
        <f>LANCASHIRE!H51</f>
        <v>64339</v>
      </c>
      <c r="G299" s="7">
        <f>LANCASHIRE!I51</f>
        <v>65465</v>
      </c>
      <c r="H299" s="7">
        <f>LANCASHIRE!J51</f>
        <v>63283</v>
      </c>
      <c r="I299" s="7">
        <f>LANCASHIRE!K51</f>
        <v>65060</v>
      </c>
      <c r="J299" s="7">
        <f>LANCASHIRE!L51</f>
        <v>68246</v>
      </c>
      <c r="K299" s="7">
        <f>LANCASHIRE!M51</f>
        <v>65474</v>
      </c>
      <c r="L299" s="7">
        <f>LANCASHIRE!N51</f>
        <v>66382</v>
      </c>
      <c r="M299" s="7">
        <f>LANCASHIRE!O51</f>
        <v>67602</v>
      </c>
      <c r="N299" s="34">
        <f t="shared" si="16"/>
        <v>-1.6698181818181817E-2</v>
      </c>
      <c r="O299" s="34"/>
      <c r="P299" s="7">
        <f t="shared" si="17"/>
        <v>-5791</v>
      </c>
      <c r="Q299" s="1004">
        <f t="shared" si="18"/>
        <v>-7.8903982668646871E-2</v>
      </c>
      <c r="R299" s="6">
        <v>361</v>
      </c>
      <c r="S299" s="6">
        <v>357</v>
      </c>
      <c r="T299" s="6">
        <v>386</v>
      </c>
      <c r="U299" s="6">
        <v>406</v>
      </c>
      <c r="V299" s="6">
        <v>481</v>
      </c>
      <c r="W299" s="6">
        <v>425</v>
      </c>
      <c r="X299" s="6">
        <v>457</v>
      </c>
      <c r="Y299" s="6">
        <v>452</v>
      </c>
      <c r="Z299" s="6">
        <v>396</v>
      </c>
      <c r="AA299" s="6">
        <v>439</v>
      </c>
      <c r="AB299" s="6">
        <v>450</v>
      </c>
      <c r="AC299" s="6">
        <v>444</v>
      </c>
      <c r="AD299" s="6">
        <f t="shared" si="19"/>
        <v>6</v>
      </c>
      <c r="AE299" s="6" t="s">
        <v>15825</v>
      </c>
    </row>
    <row r="300" spans="1:31">
      <c r="A300" s="33" t="str">
        <f>'WEST YORKSHIRE'!A47</f>
        <v>Morley and Outwood CC</v>
      </c>
      <c r="B300" s="7">
        <f>'WEST YORKSHIRE'!D49</f>
        <v>74487</v>
      </c>
      <c r="C300" s="7">
        <f>'WEST YORKSHIRE'!E49</f>
        <v>75163</v>
      </c>
      <c r="D300" s="7">
        <f>'WEST YORKSHIRE'!F49</f>
        <v>75431</v>
      </c>
      <c r="E300" s="7">
        <f>'WEST YORKSHIRE'!G49</f>
        <v>75721</v>
      </c>
      <c r="F300" s="7">
        <f>'WEST YORKSHIRE'!H49</f>
        <v>74258</v>
      </c>
      <c r="G300" s="7">
        <f>'WEST YORKSHIRE'!I49</f>
        <v>75062</v>
      </c>
      <c r="H300" s="7">
        <f>'WEST YORKSHIRE'!J49</f>
        <v>73256</v>
      </c>
      <c r="I300" s="7">
        <f>'WEST YORKSHIRE'!K49</f>
        <v>75250</v>
      </c>
      <c r="J300" s="7">
        <f>'WEST YORKSHIRE'!L49</f>
        <v>75424</v>
      </c>
      <c r="K300" s="7">
        <f>'WEST YORKSHIRE'!M49</f>
        <v>76337</v>
      </c>
      <c r="L300" s="7">
        <f>'WEST YORKSHIRE'!N49</f>
        <v>77814</v>
      </c>
      <c r="M300" s="7">
        <f>'WEST YORKSHIRE'!O49</f>
        <v>79330</v>
      </c>
      <c r="N300" s="34">
        <f t="shared" si="16"/>
        <v>6.501805684213352E-2</v>
      </c>
      <c r="O300" s="34"/>
      <c r="P300" s="7">
        <f t="shared" si="17"/>
        <v>5937</v>
      </c>
      <c r="Q300" s="1004">
        <f t="shared" si="18"/>
        <v>8.0893273200441457E-2</v>
      </c>
      <c r="R300" s="6">
        <v>163</v>
      </c>
      <c r="S300" s="6">
        <v>158</v>
      </c>
      <c r="T300" s="6">
        <v>169</v>
      </c>
      <c r="U300" s="6">
        <v>168</v>
      </c>
      <c r="V300" s="6">
        <v>197</v>
      </c>
      <c r="W300" s="6">
        <v>143</v>
      </c>
      <c r="X300" s="6">
        <v>159</v>
      </c>
      <c r="Y300" s="6">
        <v>155</v>
      </c>
      <c r="Z300" s="6">
        <v>166</v>
      </c>
      <c r="AA300" s="6">
        <v>145</v>
      </c>
      <c r="AB300" s="6">
        <v>160</v>
      </c>
      <c r="AC300" s="6">
        <v>144</v>
      </c>
      <c r="AD300" s="6">
        <f t="shared" si="19"/>
        <v>16</v>
      </c>
      <c r="AE300" s="6" t="s">
        <v>15828</v>
      </c>
    </row>
    <row r="301" spans="1:31">
      <c r="A301" s="33" t="str">
        <f>HAMPSHIRE!A46</f>
        <v>New Forest East CC</v>
      </c>
      <c r="B301" s="7">
        <f>HAMPSHIRE!D46</f>
        <v>72955</v>
      </c>
      <c r="C301" s="7">
        <f>HAMPSHIRE!E46</f>
        <v>73542</v>
      </c>
      <c r="D301" s="7">
        <f>HAMPSHIRE!F46</f>
        <v>73362</v>
      </c>
      <c r="E301" s="7">
        <f>HAMPSHIRE!G46</f>
        <v>73437</v>
      </c>
      <c r="F301" s="7">
        <f>HAMPSHIRE!H46</f>
        <v>73690</v>
      </c>
      <c r="G301" s="7">
        <f>HAMPSHIRE!I46</f>
        <v>72552</v>
      </c>
      <c r="H301" s="7">
        <f>HAMPSHIRE!J46</f>
        <v>71102</v>
      </c>
      <c r="I301" s="7">
        <f>HAMPSHIRE!K46</f>
        <v>72274</v>
      </c>
      <c r="J301" s="7">
        <f>HAMPSHIRE!L46</f>
        <v>72256</v>
      </c>
      <c r="K301" s="7">
        <f>HAMPSHIRE!M46</f>
        <v>72167</v>
      </c>
      <c r="L301" s="7">
        <f>HAMPSHIRE!N46</f>
        <v>73334</v>
      </c>
      <c r="M301" s="7">
        <f>HAMPSHIRE!O46</f>
        <v>73823</v>
      </c>
      <c r="N301" s="34">
        <f t="shared" si="16"/>
        <v>1.1897745185388253E-2</v>
      </c>
      <c r="O301" s="34"/>
      <c r="P301" s="7">
        <f t="shared" si="17"/>
        <v>430</v>
      </c>
      <c r="Q301" s="1004">
        <f t="shared" si="18"/>
        <v>5.8588693744635045E-3</v>
      </c>
      <c r="R301" s="6">
        <v>201</v>
      </c>
      <c r="S301" s="6">
        <v>205</v>
      </c>
      <c r="T301" s="6">
        <v>229</v>
      </c>
      <c r="U301" s="6">
        <v>237</v>
      </c>
      <c r="V301" s="6">
        <v>220</v>
      </c>
      <c r="W301" s="6">
        <v>208</v>
      </c>
      <c r="X301" s="6">
        <v>228</v>
      </c>
      <c r="Y301" s="6">
        <v>244</v>
      </c>
      <c r="Z301" s="6">
        <v>264</v>
      </c>
      <c r="AA301" s="6">
        <v>249</v>
      </c>
      <c r="AB301" s="6">
        <v>281</v>
      </c>
      <c r="AC301" s="6">
        <v>284</v>
      </c>
      <c r="AD301" s="6">
        <f t="shared" si="19"/>
        <v>-3</v>
      </c>
      <c r="AE301" s="6" t="s">
        <v>15823</v>
      </c>
    </row>
    <row r="302" spans="1:31">
      <c r="A302" s="33" t="str">
        <f>HAMPSHIRE!A48</f>
        <v>New Forest West CC</v>
      </c>
      <c r="B302" s="7">
        <f>HAMPSHIRE!D48</f>
        <v>68239</v>
      </c>
      <c r="C302" s="7">
        <f>HAMPSHIRE!E48</f>
        <v>68987</v>
      </c>
      <c r="D302" s="7">
        <f>HAMPSHIRE!F48</f>
        <v>68867</v>
      </c>
      <c r="E302" s="7">
        <f>HAMPSHIRE!G48</f>
        <v>69072</v>
      </c>
      <c r="F302" s="7">
        <f>HAMPSHIRE!H48</f>
        <v>69164</v>
      </c>
      <c r="G302" s="7">
        <f>HAMPSHIRE!I48</f>
        <v>68216</v>
      </c>
      <c r="H302" s="7">
        <f>HAMPSHIRE!J48</f>
        <v>66871</v>
      </c>
      <c r="I302" s="7">
        <f>HAMPSHIRE!K48</f>
        <v>68166</v>
      </c>
      <c r="J302" s="7">
        <f>HAMPSHIRE!L48</f>
        <v>68559</v>
      </c>
      <c r="K302" s="7">
        <f>HAMPSHIRE!M48</f>
        <v>68765</v>
      </c>
      <c r="L302" s="7">
        <f>HAMPSHIRE!N48</f>
        <v>70487</v>
      </c>
      <c r="M302" s="7">
        <f>HAMPSHIRE!O48</f>
        <v>71009</v>
      </c>
      <c r="N302" s="34">
        <f t="shared" si="16"/>
        <v>4.0592622986855023E-2</v>
      </c>
      <c r="O302" s="34"/>
      <c r="P302" s="7">
        <f t="shared" si="17"/>
        <v>-2384</v>
      </c>
      <c r="Q302" s="1004">
        <f t="shared" si="18"/>
        <v>-3.2482661834234872E-2</v>
      </c>
      <c r="R302" s="6">
        <v>372</v>
      </c>
      <c r="S302" s="6">
        <v>370</v>
      </c>
      <c r="T302" s="6">
        <v>375</v>
      </c>
      <c r="U302" s="6">
        <v>384</v>
      </c>
      <c r="V302" s="6">
        <v>365</v>
      </c>
      <c r="W302" s="6">
        <v>359</v>
      </c>
      <c r="X302" s="6">
        <v>378</v>
      </c>
      <c r="Y302" s="6">
        <v>384</v>
      </c>
      <c r="Z302" s="6">
        <v>385</v>
      </c>
      <c r="AA302" s="6">
        <v>369</v>
      </c>
      <c r="AB302" s="6">
        <v>366</v>
      </c>
      <c r="AC302" s="6">
        <v>372</v>
      </c>
      <c r="AD302" s="6">
        <f t="shared" si="19"/>
        <v>-6</v>
      </c>
      <c r="AE302" s="6" t="s">
        <v>15823</v>
      </c>
    </row>
    <row r="303" spans="1:31">
      <c r="A303" s="33" t="str">
        <f>NOTTINGHAMSHIRE!A27</f>
        <v>Newark CC</v>
      </c>
      <c r="B303" s="7">
        <f>NOTTINGHAMSHIRE!D30</f>
        <v>71650</v>
      </c>
      <c r="C303" s="7">
        <f>NOTTINGHAMSHIRE!E30</f>
        <v>72407</v>
      </c>
      <c r="D303" s="7">
        <f>NOTTINGHAMSHIRE!F30</f>
        <v>72626</v>
      </c>
      <c r="E303" s="7">
        <f>NOTTINGHAMSHIRE!G30</f>
        <v>73061</v>
      </c>
      <c r="F303" s="7">
        <f>NOTTINGHAMSHIRE!H30</f>
        <v>73655</v>
      </c>
      <c r="G303" s="7">
        <f>NOTTINGHAMSHIRE!I30</f>
        <v>72193</v>
      </c>
      <c r="H303" s="7">
        <f>NOTTINGHAMSHIRE!J30</f>
        <v>71783</v>
      </c>
      <c r="I303" s="7">
        <f>NOTTINGHAMSHIRE!K30</f>
        <v>73752</v>
      </c>
      <c r="J303" s="7">
        <f>NOTTINGHAMSHIRE!L30</f>
        <v>74447</v>
      </c>
      <c r="K303" s="7">
        <f>NOTTINGHAMSHIRE!M30</f>
        <v>73963</v>
      </c>
      <c r="L303" s="7">
        <f>NOTTINGHAMSHIRE!N30</f>
        <v>76189</v>
      </c>
      <c r="M303" s="7">
        <f>NOTTINGHAMSHIRE!O30</f>
        <v>75628</v>
      </c>
      <c r="N303" s="34">
        <f t="shared" si="16"/>
        <v>5.5519888346127005E-2</v>
      </c>
      <c r="O303" s="34"/>
      <c r="P303" s="7">
        <f t="shared" si="17"/>
        <v>2235</v>
      </c>
      <c r="Q303" s="1004">
        <f t="shared" si="18"/>
        <v>3.0452495469595192E-2</v>
      </c>
      <c r="R303" s="6">
        <v>264</v>
      </c>
      <c r="S303" s="6">
        <v>254</v>
      </c>
      <c r="T303" s="6">
        <v>265</v>
      </c>
      <c r="U303" s="6">
        <v>252</v>
      </c>
      <c r="V303" s="6">
        <v>223</v>
      </c>
      <c r="W303" s="6">
        <v>227</v>
      </c>
      <c r="X303" s="6">
        <v>205</v>
      </c>
      <c r="Y303" s="6">
        <v>202</v>
      </c>
      <c r="Z303" s="6">
        <v>196</v>
      </c>
      <c r="AA303" s="6">
        <v>187</v>
      </c>
      <c r="AB303" s="6">
        <v>203</v>
      </c>
      <c r="AC303" s="6">
        <v>220</v>
      </c>
      <c r="AD303" s="6">
        <f t="shared" si="19"/>
        <v>-17</v>
      </c>
      <c r="AE303" s="6" t="s">
        <v>15826</v>
      </c>
    </row>
    <row r="304" spans="1:31">
      <c r="A304" s="33" t="str">
        <f>BERKSHIRE!A27</f>
        <v>Newbury CC</v>
      </c>
      <c r="B304" s="7">
        <f>BERKSHIRE!D27</f>
        <v>78468</v>
      </c>
      <c r="C304" s="7">
        <f>BERKSHIRE!E27</f>
        <v>77898</v>
      </c>
      <c r="D304" s="7">
        <f>BERKSHIRE!F27</f>
        <v>77293</v>
      </c>
      <c r="E304" s="7">
        <f>BERKSHIRE!G27</f>
        <v>79351</v>
      </c>
      <c r="F304" s="7">
        <f>BERKSHIRE!H27</f>
        <v>78760</v>
      </c>
      <c r="G304" s="7">
        <f>BERKSHIRE!I27</f>
        <v>77463</v>
      </c>
      <c r="H304" s="7">
        <f>BERKSHIRE!J27</f>
        <v>78963</v>
      </c>
      <c r="I304" s="7">
        <f>BERKSHIRE!K27</f>
        <v>81818</v>
      </c>
      <c r="J304" s="7">
        <f>BERKSHIRE!L27</f>
        <v>82034</v>
      </c>
      <c r="K304" s="7">
        <f>BERKSHIRE!M27</f>
        <v>81728</v>
      </c>
      <c r="L304" s="7">
        <f>BERKSHIRE!N27</f>
        <v>83878</v>
      </c>
      <c r="M304" s="7">
        <f>BERKSHIRE!O27</f>
        <v>83638</v>
      </c>
      <c r="N304" s="34">
        <f t="shared" si="16"/>
        <v>6.5886730896671256E-2</v>
      </c>
      <c r="O304" s="34"/>
      <c r="P304" s="7">
        <f t="shared" si="17"/>
        <v>10245</v>
      </c>
      <c r="Q304" s="1004">
        <f t="shared" si="18"/>
        <v>0.13959096916599675</v>
      </c>
      <c r="R304" s="6">
        <v>59</v>
      </c>
      <c r="S304" s="6">
        <v>82</v>
      </c>
      <c r="T304" s="6">
        <v>120</v>
      </c>
      <c r="U304" s="6">
        <v>69</v>
      </c>
      <c r="V304" s="6">
        <v>82</v>
      </c>
      <c r="W304" s="6">
        <v>83</v>
      </c>
      <c r="X304" s="6">
        <v>39</v>
      </c>
      <c r="Y304" s="6">
        <v>39</v>
      </c>
      <c r="Z304" s="6">
        <v>45</v>
      </c>
      <c r="AA304" s="6">
        <v>44</v>
      </c>
      <c r="AB304" s="6">
        <v>46</v>
      </c>
      <c r="AC304" s="6">
        <v>62</v>
      </c>
      <c r="AD304" s="6">
        <f t="shared" si="19"/>
        <v>-16</v>
      </c>
      <c r="AE304" s="6" t="s">
        <v>15823</v>
      </c>
    </row>
    <row r="305" spans="1:31">
      <c r="A305" s="33" t="str">
        <f>'TYNE &amp; WEAR'!A28</f>
        <v>Newcastle upon Tyne Central BC</v>
      </c>
      <c r="B305" s="7">
        <f>'TYNE &amp; WEAR'!D28</f>
        <v>60565</v>
      </c>
      <c r="C305" s="7">
        <f>'TYNE &amp; WEAR'!E28</f>
        <v>60795</v>
      </c>
      <c r="D305" s="7">
        <f>'TYNE &amp; WEAR'!F28</f>
        <v>61943</v>
      </c>
      <c r="E305" s="7">
        <f>'TYNE &amp; WEAR'!G28</f>
        <v>62464</v>
      </c>
      <c r="F305" s="7">
        <f>'TYNE &amp; WEAR'!H28</f>
        <v>60853</v>
      </c>
      <c r="G305" s="7">
        <f>'TYNE &amp; WEAR'!I28</f>
        <v>55337</v>
      </c>
      <c r="H305" s="7">
        <f>'TYNE &amp; WEAR'!J28</f>
        <v>55483</v>
      </c>
      <c r="I305" s="7">
        <f>'TYNE &amp; WEAR'!K28</f>
        <v>58571</v>
      </c>
      <c r="J305" s="7">
        <f>'TYNE &amp; WEAR'!L28</f>
        <v>53420</v>
      </c>
      <c r="K305" s="7">
        <f>'TYNE &amp; WEAR'!M28</f>
        <v>53362</v>
      </c>
      <c r="L305" s="7">
        <f>'TYNE &amp; WEAR'!N28</f>
        <v>54057</v>
      </c>
      <c r="M305" s="7">
        <f>'TYNE &amp; WEAR'!O28</f>
        <v>58302</v>
      </c>
      <c r="N305" s="34">
        <f t="shared" si="16"/>
        <v>-3.7364814661933463E-2</v>
      </c>
      <c r="O305" s="34"/>
      <c r="P305" s="7">
        <f t="shared" si="17"/>
        <v>-15091</v>
      </c>
      <c r="Q305" s="1004">
        <f t="shared" si="18"/>
        <v>-0.20561906448843895</v>
      </c>
      <c r="R305" s="6">
        <v>524</v>
      </c>
      <c r="S305" s="6">
        <v>524</v>
      </c>
      <c r="T305" s="6">
        <v>517</v>
      </c>
      <c r="U305" s="6">
        <v>510</v>
      </c>
      <c r="V305" s="6">
        <v>519</v>
      </c>
      <c r="W305" s="6">
        <v>530</v>
      </c>
      <c r="X305" s="6">
        <v>530</v>
      </c>
      <c r="Y305" s="6">
        <v>525</v>
      </c>
      <c r="Z305" s="6">
        <v>533</v>
      </c>
      <c r="AA305" s="6">
        <v>533</v>
      </c>
      <c r="AB305" s="6">
        <v>532</v>
      </c>
      <c r="AC305" s="6">
        <v>529</v>
      </c>
      <c r="AD305" s="6">
        <f t="shared" si="19"/>
        <v>3</v>
      </c>
      <c r="AE305" s="6" t="s">
        <v>2901</v>
      </c>
    </row>
    <row r="306" spans="1:31">
      <c r="A306" s="33" t="str">
        <f>'TYNE &amp; WEAR'!A30</f>
        <v>Newcastle upon Tyne East BC</v>
      </c>
      <c r="B306" s="7">
        <f>'TYNE &amp; WEAR'!D30</f>
        <v>64647</v>
      </c>
      <c r="C306" s="7">
        <f>'TYNE &amp; WEAR'!E30</f>
        <v>65203</v>
      </c>
      <c r="D306" s="7">
        <f>'TYNE &amp; WEAR'!F30</f>
        <v>68908</v>
      </c>
      <c r="E306" s="7">
        <f>'TYNE &amp; WEAR'!G30</f>
        <v>69589</v>
      </c>
      <c r="F306" s="7">
        <f>'TYNE &amp; WEAR'!H30</f>
        <v>67945</v>
      </c>
      <c r="G306" s="7">
        <f>'TYNE &amp; WEAR'!I30</f>
        <v>58557</v>
      </c>
      <c r="H306" s="7">
        <f>'TYNE &amp; WEAR'!J30</f>
        <v>58407</v>
      </c>
      <c r="I306" s="7">
        <f>'TYNE &amp; WEAR'!K30</f>
        <v>62469</v>
      </c>
      <c r="J306" s="7">
        <f>'TYNE &amp; WEAR'!L30</f>
        <v>58877</v>
      </c>
      <c r="K306" s="7">
        <f>'TYNE &amp; WEAR'!M30</f>
        <v>55459</v>
      </c>
      <c r="L306" s="7">
        <f>'TYNE &amp; WEAR'!N30</f>
        <v>54042</v>
      </c>
      <c r="M306" s="7">
        <f>'TYNE &amp; WEAR'!O30</f>
        <v>63723</v>
      </c>
      <c r="N306" s="34">
        <f t="shared" si="16"/>
        <v>-1.4293006636038795E-2</v>
      </c>
      <c r="O306" s="34"/>
      <c r="P306" s="7">
        <f t="shared" si="17"/>
        <v>-9670</v>
      </c>
      <c r="Q306" s="1004">
        <f t="shared" si="18"/>
        <v>-0.13175643453735369</v>
      </c>
      <c r="R306" s="6">
        <v>474</v>
      </c>
      <c r="S306" s="6">
        <v>471</v>
      </c>
      <c r="T306" s="6">
        <v>374</v>
      </c>
      <c r="U306" s="6">
        <v>370</v>
      </c>
      <c r="V306" s="6">
        <v>404</v>
      </c>
      <c r="W306" s="6">
        <v>517</v>
      </c>
      <c r="X306" s="6">
        <v>514</v>
      </c>
      <c r="Y306" s="6">
        <v>493</v>
      </c>
      <c r="Z306" s="6">
        <v>525</v>
      </c>
      <c r="AA306" s="6">
        <v>531</v>
      </c>
      <c r="AB306" s="6">
        <v>533</v>
      </c>
      <c r="AC306" s="6">
        <v>498</v>
      </c>
      <c r="AD306" s="6">
        <f t="shared" si="19"/>
        <v>35</v>
      </c>
      <c r="AE306" s="6" t="s">
        <v>2901</v>
      </c>
    </row>
    <row r="307" spans="1:31">
      <c r="A307" s="33" t="str">
        <f>'TYNE &amp; WEAR'!A32</f>
        <v>Newcastle upon Tyne North BC</v>
      </c>
      <c r="B307" s="7">
        <f>'TYNE &amp; WEAR'!D32</f>
        <v>67285</v>
      </c>
      <c r="C307" s="7">
        <f>'TYNE &amp; WEAR'!E32</f>
        <v>67401</v>
      </c>
      <c r="D307" s="7">
        <f>'TYNE &amp; WEAR'!F32</f>
        <v>68112</v>
      </c>
      <c r="E307" s="7">
        <f>'TYNE &amp; WEAR'!G32</f>
        <v>68639</v>
      </c>
      <c r="F307" s="7">
        <f>'TYNE &amp; WEAR'!H32</f>
        <v>68188</v>
      </c>
      <c r="G307" s="7">
        <f>'TYNE &amp; WEAR'!I32</f>
        <v>66587</v>
      </c>
      <c r="H307" s="7">
        <f>'TYNE &amp; WEAR'!J32</f>
        <v>66293</v>
      </c>
      <c r="I307" s="7">
        <f>'TYNE &amp; WEAR'!K32</f>
        <v>68202</v>
      </c>
      <c r="J307" s="7">
        <f>'TYNE &amp; WEAR'!L32</f>
        <v>66064</v>
      </c>
      <c r="K307" s="7">
        <f>'TYNE &amp; WEAR'!M32</f>
        <v>66146</v>
      </c>
      <c r="L307" s="7">
        <f>'TYNE &amp; WEAR'!N32</f>
        <v>66721</v>
      </c>
      <c r="M307" s="7">
        <f>'TYNE &amp; WEAR'!O32</f>
        <v>69032</v>
      </c>
      <c r="N307" s="34">
        <f t="shared" si="16"/>
        <v>2.596418221000223E-2</v>
      </c>
      <c r="O307" s="34"/>
      <c r="P307" s="7">
        <f t="shared" si="17"/>
        <v>-4361</v>
      </c>
      <c r="Q307" s="1004">
        <f t="shared" si="18"/>
        <v>-5.9419835679151961E-2</v>
      </c>
      <c r="R307" s="6">
        <v>402</v>
      </c>
      <c r="S307" s="6">
        <v>410</v>
      </c>
      <c r="T307" s="6">
        <v>395</v>
      </c>
      <c r="U307" s="6">
        <v>399</v>
      </c>
      <c r="V307" s="6">
        <v>396</v>
      </c>
      <c r="W307" s="6">
        <v>404</v>
      </c>
      <c r="X307" s="6">
        <v>393</v>
      </c>
      <c r="Y307" s="6">
        <v>383</v>
      </c>
      <c r="Z307" s="6">
        <v>436</v>
      </c>
      <c r="AA307" s="6">
        <v>428</v>
      </c>
      <c r="AB307" s="6">
        <v>444</v>
      </c>
      <c r="AC307" s="6">
        <v>418</v>
      </c>
      <c r="AD307" s="6">
        <f t="shared" si="19"/>
        <v>26</v>
      </c>
      <c r="AE307" s="6" t="s">
        <v>2901</v>
      </c>
    </row>
    <row r="308" spans="1:31">
      <c r="A308" s="33" t="str">
        <f>STAFFORDSHIRE!A28</f>
        <v>Newcastle-under-Lyme BC</v>
      </c>
      <c r="B308" s="7">
        <f>STAFFORDSHIRE!D28</f>
        <v>68819</v>
      </c>
      <c r="C308" s="7">
        <f>STAFFORDSHIRE!E28</f>
        <v>68692</v>
      </c>
      <c r="D308" s="7">
        <f>STAFFORDSHIRE!F28</f>
        <v>69154</v>
      </c>
      <c r="E308" s="7">
        <f>STAFFORDSHIRE!G28</f>
        <v>68901</v>
      </c>
      <c r="F308" s="7">
        <f>STAFFORDSHIRE!H28</f>
        <v>68782</v>
      </c>
      <c r="G308" s="7">
        <f>STAFFORDSHIRE!I28</f>
        <v>65957</v>
      </c>
      <c r="H308" s="7">
        <f>STAFFORDSHIRE!J28</f>
        <v>62936</v>
      </c>
      <c r="I308" s="7">
        <f>STAFFORDSHIRE!K28</f>
        <v>62879</v>
      </c>
      <c r="J308" s="7">
        <f>STAFFORDSHIRE!L28</f>
        <v>65173</v>
      </c>
      <c r="K308" s="7">
        <f>STAFFORDSHIRE!M28</f>
        <v>65984</v>
      </c>
      <c r="L308" s="7">
        <f>STAFFORDSHIRE!N28</f>
        <v>67204</v>
      </c>
      <c r="M308" s="7">
        <f>STAFFORDSHIRE!O28</f>
        <v>66658</v>
      </c>
      <c r="N308" s="34">
        <f t="shared" si="16"/>
        <v>-3.1401211874627646E-2</v>
      </c>
      <c r="O308" s="34"/>
      <c r="P308" s="7">
        <f t="shared" si="17"/>
        <v>-6735</v>
      </c>
      <c r="Q308" s="1004">
        <f t="shared" si="18"/>
        <v>-9.1766244737236519E-2</v>
      </c>
      <c r="R308" s="6">
        <v>357</v>
      </c>
      <c r="S308" s="6">
        <v>376</v>
      </c>
      <c r="T308" s="6">
        <v>370</v>
      </c>
      <c r="U308" s="6">
        <v>391</v>
      </c>
      <c r="V308" s="6">
        <v>375</v>
      </c>
      <c r="W308" s="6">
        <v>416</v>
      </c>
      <c r="X308" s="6">
        <v>465</v>
      </c>
      <c r="Y308" s="6">
        <v>486</v>
      </c>
      <c r="Z308" s="6">
        <v>456</v>
      </c>
      <c r="AA308" s="6">
        <v>431</v>
      </c>
      <c r="AB308" s="6">
        <v>435</v>
      </c>
      <c r="AC308" s="6">
        <v>458</v>
      </c>
      <c r="AD308" s="6">
        <f t="shared" si="19"/>
        <v>-23</v>
      </c>
      <c r="AE308" s="6" t="s">
        <v>15824</v>
      </c>
    </row>
    <row r="309" spans="1:31">
      <c r="A309" s="33" t="str">
        <f>DEVON!A35</f>
        <v>Newton Abbot CC</v>
      </c>
      <c r="B309" s="7">
        <f>DEVON!D35</f>
        <v>69406</v>
      </c>
      <c r="C309" s="7">
        <f>DEVON!E35</f>
        <v>69600</v>
      </c>
      <c r="D309" s="7">
        <f>DEVON!F35</f>
        <v>69921</v>
      </c>
      <c r="E309" s="7">
        <f>DEVON!G35</f>
        <v>70170</v>
      </c>
      <c r="F309" s="7">
        <f>DEVON!H35</f>
        <v>70554</v>
      </c>
      <c r="G309" s="7">
        <f>DEVON!I35</f>
        <v>69320</v>
      </c>
      <c r="H309" s="7">
        <f>DEVON!J35</f>
        <v>67896</v>
      </c>
      <c r="I309" s="7">
        <f>DEVON!K35</f>
        <v>69813</v>
      </c>
      <c r="J309" s="7">
        <f>DEVON!L35</f>
        <v>70724</v>
      </c>
      <c r="K309" s="7">
        <f>DEVON!M35</f>
        <v>70252</v>
      </c>
      <c r="L309" s="7">
        <f>DEVON!N35</f>
        <v>70745</v>
      </c>
      <c r="M309" s="7">
        <f>DEVON!O35</f>
        <v>73094</v>
      </c>
      <c r="N309" s="34">
        <f t="shared" si="16"/>
        <v>5.3136616430856119E-2</v>
      </c>
      <c r="O309" s="34"/>
      <c r="P309" s="7">
        <f t="shared" si="17"/>
        <v>-299</v>
      </c>
      <c r="Q309" s="1004">
        <f t="shared" si="18"/>
        <v>-4.0739580068943904E-3</v>
      </c>
      <c r="R309" s="6">
        <v>337</v>
      </c>
      <c r="S309" s="6">
        <v>351</v>
      </c>
      <c r="T309" s="6">
        <v>351</v>
      </c>
      <c r="U309" s="6">
        <v>348</v>
      </c>
      <c r="V309" s="6">
        <v>329</v>
      </c>
      <c r="W309" s="6">
        <v>320</v>
      </c>
      <c r="X309" s="6">
        <v>340</v>
      </c>
      <c r="Y309" s="6">
        <v>342</v>
      </c>
      <c r="Z309" s="6">
        <v>330</v>
      </c>
      <c r="AA309" s="6">
        <v>324</v>
      </c>
      <c r="AB309" s="6">
        <v>358</v>
      </c>
      <c r="AC309" s="6">
        <v>309</v>
      </c>
      <c r="AD309" s="6">
        <f t="shared" si="19"/>
        <v>49</v>
      </c>
      <c r="AE309" s="6" t="s">
        <v>15830</v>
      </c>
    </row>
    <row r="310" spans="1:31">
      <c r="A310" s="33" t="str">
        <f>'WEST YORKSHIRE'!A51</f>
        <v>Normanton, Pontefract and Castleford CC</v>
      </c>
      <c r="B310" s="7">
        <f>'WEST YORKSHIRE'!D51</f>
        <v>82834</v>
      </c>
      <c r="C310" s="7">
        <f>'WEST YORKSHIRE'!E51</f>
        <v>83284</v>
      </c>
      <c r="D310" s="7">
        <f>'WEST YORKSHIRE'!F51</f>
        <v>83308</v>
      </c>
      <c r="E310" s="7">
        <f>'WEST YORKSHIRE'!G51</f>
        <v>82944</v>
      </c>
      <c r="F310" s="7">
        <f>'WEST YORKSHIRE'!H51</f>
        <v>81379</v>
      </c>
      <c r="G310" s="7">
        <f>'WEST YORKSHIRE'!I51</f>
        <v>81799</v>
      </c>
      <c r="H310" s="7">
        <f>'WEST YORKSHIRE'!J51</f>
        <v>78097</v>
      </c>
      <c r="I310" s="7">
        <f>'WEST YORKSHIRE'!K51</f>
        <v>79661</v>
      </c>
      <c r="J310" s="7">
        <f>'WEST YORKSHIRE'!L51</f>
        <v>81589</v>
      </c>
      <c r="K310" s="7">
        <f>'WEST YORKSHIRE'!M51</f>
        <v>81043</v>
      </c>
      <c r="L310" s="7">
        <f>'WEST YORKSHIRE'!N51</f>
        <v>84874</v>
      </c>
      <c r="M310" s="7">
        <f>'WEST YORKSHIRE'!O51</f>
        <v>84627</v>
      </c>
      <c r="N310" s="34">
        <f t="shared" si="16"/>
        <v>2.1645701040635488E-2</v>
      </c>
      <c r="O310" s="34"/>
      <c r="P310" s="7">
        <f t="shared" si="17"/>
        <v>11234</v>
      </c>
      <c r="Q310" s="1004">
        <f t="shared" si="18"/>
        <v>0.15306636872726281</v>
      </c>
      <c r="R310" s="6">
        <v>13</v>
      </c>
      <c r="S310" s="6">
        <v>17</v>
      </c>
      <c r="T310" s="6">
        <v>21</v>
      </c>
      <c r="U310" s="6">
        <v>30</v>
      </c>
      <c r="V310" s="6">
        <v>40</v>
      </c>
      <c r="W310" s="6">
        <v>27</v>
      </c>
      <c r="X310" s="6">
        <v>54</v>
      </c>
      <c r="Y310" s="6">
        <v>74</v>
      </c>
      <c r="Z310" s="6">
        <v>51</v>
      </c>
      <c r="AA310" s="6">
        <v>55</v>
      </c>
      <c r="AB310" s="6">
        <v>38</v>
      </c>
      <c r="AC310" s="6">
        <v>45</v>
      </c>
      <c r="AD310" s="6">
        <f t="shared" si="19"/>
        <v>-7</v>
      </c>
      <c r="AE310" s="6" t="s">
        <v>15828</v>
      </c>
    </row>
    <row r="311" spans="1:31">
      <c r="A311" s="33" t="str">
        <f>CORNWALL!A12</f>
        <v>North Cornwall CC</v>
      </c>
      <c r="B311" s="7">
        <f>CORNWALL!D12</f>
        <v>68055</v>
      </c>
      <c r="C311" s="7">
        <f>CORNWALL!E12</f>
        <v>68206</v>
      </c>
      <c r="D311" s="7">
        <f>CORNWALL!F12</f>
        <v>66983</v>
      </c>
      <c r="E311" s="7">
        <f>CORNWALL!G12</f>
        <v>67593</v>
      </c>
      <c r="F311" s="7">
        <f>CORNWALL!H12</f>
        <v>63718</v>
      </c>
      <c r="G311" s="7">
        <f>CORNWALL!I12</f>
        <v>65464</v>
      </c>
      <c r="H311" s="7">
        <f>CORNWALL!J12</f>
        <v>63501</v>
      </c>
      <c r="I311" s="7">
        <f>CORNWALL!K12</f>
        <v>65863</v>
      </c>
      <c r="J311" s="7">
        <f>CORNWALL!L12</f>
        <v>67505</v>
      </c>
      <c r="K311" s="7">
        <f>CORNWALL!M12</f>
        <v>67603</v>
      </c>
      <c r="L311" s="7">
        <f>CORNWALL!N12</f>
        <v>70378</v>
      </c>
      <c r="M311" s="7">
        <f>CORNWALL!O12</f>
        <v>70327</v>
      </c>
      <c r="N311" s="34">
        <f t="shared" si="16"/>
        <v>3.3384762324590402E-2</v>
      </c>
      <c r="O311" s="34"/>
      <c r="P311" s="7">
        <f t="shared" si="17"/>
        <v>-3066</v>
      </c>
      <c r="Q311" s="1004">
        <f t="shared" si="18"/>
        <v>-4.177510116768629E-2</v>
      </c>
      <c r="R311" s="6">
        <v>377</v>
      </c>
      <c r="S311" s="6">
        <v>391</v>
      </c>
      <c r="T311" s="6">
        <v>434</v>
      </c>
      <c r="U311" s="6">
        <v>422</v>
      </c>
      <c r="V311" s="6">
        <v>485</v>
      </c>
      <c r="W311" s="6">
        <v>426</v>
      </c>
      <c r="X311" s="6">
        <v>452</v>
      </c>
      <c r="Y311" s="6">
        <v>433</v>
      </c>
      <c r="Z311" s="6">
        <v>410</v>
      </c>
      <c r="AA311" s="6">
        <v>396</v>
      </c>
      <c r="AB311" s="6">
        <v>371</v>
      </c>
      <c r="AC311" s="6">
        <v>388</v>
      </c>
      <c r="AD311" s="6">
        <f t="shared" si="19"/>
        <v>-17</v>
      </c>
      <c r="AE311" s="6" t="s">
        <v>15830</v>
      </c>
    </row>
    <row r="312" spans="1:31">
      <c r="A312" s="33" t="str">
        <f>DEVON!A37</f>
        <v>North Devon CC</v>
      </c>
      <c r="B312" s="7">
        <f>DEVON!D37</f>
        <v>74408</v>
      </c>
      <c r="C312" s="7">
        <f>DEVON!E37</f>
        <v>75098</v>
      </c>
      <c r="D312" s="7">
        <f>DEVON!F37</f>
        <v>75353</v>
      </c>
      <c r="E312" s="7">
        <f>DEVON!G37</f>
        <v>75744</v>
      </c>
      <c r="F312" s="7">
        <f>DEVON!H37</f>
        <v>74228</v>
      </c>
      <c r="G312" s="7">
        <f>DEVON!I37</f>
        <v>73358</v>
      </c>
      <c r="H312" s="7">
        <f>DEVON!J37</f>
        <v>73240</v>
      </c>
      <c r="I312" s="7">
        <f>DEVON!K37</f>
        <v>75489</v>
      </c>
      <c r="J312" s="7">
        <f>DEVON!L37</f>
        <v>74101</v>
      </c>
      <c r="K312" s="7">
        <f>DEVON!M37</f>
        <v>73462</v>
      </c>
      <c r="L312" s="7">
        <f>DEVON!N37</f>
        <v>74112</v>
      </c>
      <c r="M312" s="7">
        <f>DEVON!O37</f>
        <v>76455</v>
      </c>
      <c r="N312" s="34">
        <f t="shared" si="16"/>
        <v>2.751048274379099E-2</v>
      </c>
      <c r="O312" s="34"/>
      <c r="P312" s="7">
        <f t="shared" si="17"/>
        <v>3062</v>
      </c>
      <c r="Q312" s="1004">
        <f t="shared" si="18"/>
        <v>4.1720600057226165E-2</v>
      </c>
      <c r="R312" s="6">
        <v>165</v>
      </c>
      <c r="S312" s="6">
        <v>162</v>
      </c>
      <c r="T312" s="6">
        <v>171</v>
      </c>
      <c r="U312" s="6">
        <v>166</v>
      </c>
      <c r="V312" s="6">
        <v>200</v>
      </c>
      <c r="W312" s="6">
        <v>177</v>
      </c>
      <c r="X312" s="6">
        <v>160</v>
      </c>
      <c r="Y312" s="6">
        <v>147</v>
      </c>
      <c r="Z312" s="6">
        <v>209</v>
      </c>
      <c r="AA312" s="6">
        <v>210</v>
      </c>
      <c r="AB312" s="6">
        <v>252</v>
      </c>
      <c r="AC312" s="6">
        <v>209</v>
      </c>
      <c r="AD312" s="6">
        <f t="shared" si="19"/>
        <v>43</v>
      </c>
      <c r="AE312" s="6" t="s">
        <v>15830</v>
      </c>
    </row>
    <row r="313" spans="1:31">
      <c r="A313" s="33" t="str">
        <f>DORSET!A23</f>
        <v>North Dorset CC</v>
      </c>
      <c r="B313" s="7">
        <f>DORSET!D23</f>
        <v>74031</v>
      </c>
      <c r="C313" s="7">
        <f>DORSET!E23</f>
        <v>73010</v>
      </c>
      <c r="D313" s="7">
        <f>DORSET!F23</f>
        <v>73935</v>
      </c>
      <c r="E313" s="7">
        <f>DORSET!G23</f>
        <v>74863</v>
      </c>
      <c r="F313" s="7">
        <f>DORSET!H23</f>
        <v>74477</v>
      </c>
      <c r="G313" s="7">
        <f>DORSET!I23</f>
        <v>72591</v>
      </c>
      <c r="H313" s="7">
        <f>DORSET!J23</f>
        <v>70440</v>
      </c>
      <c r="I313" s="7">
        <f>DORSET!K23</f>
        <v>74295</v>
      </c>
      <c r="J313" s="7">
        <f>DORSET!L23</f>
        <v>74687</v>
      </c>
      <c r="K313" s="7">
        <f>DORSET!M23</f>
        <v>73591</v>
      </c>
      <c r="L313" s="7">
        <f>DORSET!N23</f>
        <v>77277</v>
      </c>
      <c r="M313" s="7">
        <f>DORSET!O23</f>
        <v>76258</v>
      </c>
      <c r="N313" s="34">
        <f t="shared" si="16"/>
        <v>3.0081992678742689E-2</v>
      </c>
      <c r="O313" s="34"/>
      <c r="P313" s="7">
        <f t="shared" si="17"/>
        <v>2865</v>
      </c>
      <c r="Q313" s="1004">
        <f t="shared" si="18"/>
        <v>3.9036420367064978E-2</v>
      </c>
      <c r="R313" s="6">
        <v>171</v>
      </c>
      <c r="S313" s="6">
        <v>228</v>
      </c>
      <c r="T313" s="6">
        <v>203</v>
      </c>
      <c r="U313" s="6">
        <v>187</v>
      </c>
      <c r="V313" s="6">
        <v>185</v>
      </c>
      <c r="W313" s="6">
        <v>204</v>
      </c>
      <c r="X313" s="6">
        <v>252</v>
      </c>
      <c r="Y313" s="6">
        <v>188</v>
      </c>
      <c r="Z313" s="6">
        <v>187</v>
      </c>
      <c r="AA313" s="6">
        <v>202</v>
      </c>
      <c r="AB313" s="6">
        <v>177</v>
      </c>
      <c r="AC313" s="6">
        <v>211</v>
      </c>
      <c r="AD313" s="6">
        <f t="shared" si="19"/>
        <v>-34</v>
      </c>
      <c r="AE313" s="6" t="s">
        <v>15830</v>
      </c>
    </row>
    <row r="314" spans="1:31">
      <c r="A314" s="33" t="str">
        <f>DURHAM!A19</f>
        <v>North Durham CC</v>
      </c>
      <c r="B314" s="7">
        <f>DURHAM!D19</f>
        <v>67284</v>
      </c>
      <c r="C314" s="7">
        <f>DURHAM!E19</f>
        <v>68959</v>
      </c>
      <c r="D314" s="7">
        <f>DURHAM!F19</f>
        <v>69697</v>
      </c>
      <c r="E314" s="7">
        <f>DURHAM!G19</f>
        <v>69808</v>
      </c>
      <c r="F314" s="7">
        <f>DURHAM!H19</f>
        <v>68294</v>
      </c>
      <c r="G314" s="7">
        <f>DURHAM!I19</f>
        <v>64406</v>
      </c>
      <c r="H314" s="7">
        <f>DURHAM!J19</f>
        <v>64810</v>
      </c>
      <c r="I314" s="7">
        <f>DURHAM!K19</f>
        <v>66404</v>
      </c>
      <c r="J314" s="7">
        <f>DURHAM!L19</f>
        <v>66386</v>
      </c>
      <c r="K314" s="7">
        <f>DURHAM!M19</f>
        <v>66050</v>
      </c>
      <c r="L314" s="7">
        <f>DURHAM!N19</f>
        <v>67173</v>
      </c>
      <c r="M314" s="7">
        <f>DURHAM!O19</f>
        <v>66994</v>
      </c>
      <c r="N314" s="34">
        <f t="shared" si="16"/>
        <v>-4.3100885797515013E-3</v>
      </c>
      <c r="O314" s="34"/>
      <c r="P314" s="7">
        <f t="shared" si="17"/>
        <v>-6399</v>
      </c>
      <c r="Q314" s="1004">
        <f t="shared" si="18"/>
        <v>-8.7188151458585966E-2</v>
      </c>
      <c r="R314" s="6">
        <v>403</v>
      </c>
      <c r="S314" s="6">
        <v>371</v>
      </c>
      <c r="T314" s="6">
        <v>360</v>
      </c>
      <c r="U314" s="6">
        <v>364</v>
      </c>
      <c r="V314" s="6">
        <v>394</v>
      </c>
      <c r="W314" s="6">
        <v>453</v>
      </c>
      <c r="X314" s="6">
        <v>424</v>
      </c>
      <c r="Y314" s="6">
        <v>422</v>
      </c>
      <c r="Z314" s="6">
        <v>431</v>
      </c>
      <c r="AA314" s="6">
        <v>429</v>
      </c>
      <c r="AB314" s="6">
        <v>436</v>
      </c>
      <c r="AC314" s="6">
        <v>451</v>
      </c>
      <c r="AD314" s="6">
        <f t="shared" si="19"/>
        <v>-15</v>
      </c>
      <c r="AE314" s="6" t="s">
        <v>2901</v>
      </c>
    </row>
    <row r="315" spans="1:31">
      <c r="A315" s="33" t="str">
        <f>BEDFORDSHIRE!A25</f>
        <v>North East Bedfordshire CC</v>
      </c>
      <c r="B315" s="7">
        <f>BEDFORDSHIRE!D27</f>
        <v>77191</v>
      </c>
      <c r="C315" s="7">
        <f>BEDFORDSHIRE!E27</f>
        <v>78350</v>
      </c>
      <c r="D315" s="7">
        <f>BEDFORDSHIRE!F27</f>
        <v>80211</v>
      </c>
      <c r="E315" s="7">
        <f>BEDFORDSHIRE!G27</f>
        <v>81923</v>
      </c>
      <c r="F315" s="7">
        <f>BEDFORDSHIRE!H27</f>
        <v>83603</v>
      </c>
      <c r="G315" s="7">
        <f>BEDFORDSHIRE!I27</f>
        <v>82722</v>
      </c>
      <c r="H315" s="7">
        <f>BEDFORDSHIRE!J27</f>
        <v>83599</v>
      </c>
      <c r="I315" s="7">
        <f>BEDFORDSHIRE!K27</f>
        <v>85543</v>
      </c>
      <c r="J315" s="7">
        <f>BEDFORDSHIRE!L27</f>
        <v>87143</v>
      </c>
      <c r="K315" s="7">
        <f>BEDFORDSHIRE!M27</f>
        <v>86990</v>
      </c>
      <c r="L315" s="7">
        <f>BEDFORDSHIRE!N27</f>
        <v>89517</v>
      </c>
      <c r="M315" s="7">
        <f>BEDFORDSHIRE!O27</f>
        <v>90468</v>
      </c>
      <c r="N315" s="34">
        <f t="shared" si="16"/>
        <v>0.1720019173219676</v>
      </c>
      <c r="O315" s="34"/>
      <c r="P315" s="7">
        <f t="shared" si="17"/>
        <v>17075</v>
      </c>
      <c r="Q315" s="1004">
        <f t="shared" si="18"/>
        <v>0.23265161527666126</v>
      </c>
      <c r="R315" s="6">
        <v>86</v>
      </c>
      <c r="S315" s="6">
        <v>73</v>
      </c>
      <c r="T315" s="6">
        <v>45</v>
      </c>
      <c r="U315" s="6">
        <v>37</v>
      </c>
      <c r="V315" s="6">
        <v>21</v>
      </c>
      <c r="W315" s="6">
        <v>16</v>
      </c>
      <c r="X315" s="6">
        <v>9</v>
      </c>
      <c r="Y315" s="6">
        <v>12</v>
      </c>
      <c r="Z315" s="6">
        <v>10</v>
      </c>
      <c r="AA315" s="6">
        <v>9</v>
      </c>
      <c r="AB315" s="6">
        <v>14</v>
      </c>
      <c r="AC315" s="6">
        <v>15</v>
      </c>
      <c r="AD315" s="6">
        <f t="shared" si="19"/>
        <v>-1</v>
      </c>
      <c r="AE315" s="6" t="s">
        <v>15829</v>
      </c>
    </row>
    <row r="316" spans="1:31">
      <c r="A316" s="33" t="str">
        <f>CAMBRIDGESHIRE!A21</f>
        <v>North East Cambridgeshire CC</v>
      </c>
      <c r="B316" s="7">
        <f>CAMBRIDGESHIRE!D23</f>
        <v>82787</v>
      </c>
      <c r="C316" s="7">
        <f>CAMBRIDGESHIRE!E23</f>
        <v>83661</v>
      </c>
      <c r="D316" s="7">
        <f>CAMBRIDGESHIRE!F23</f>
        <v>84046</v>
      </c>
      <c r="E316" s="7">
        <f>CAMBRIDGESHIRE!G23</f>
        <v>84338</v>
      </c>
      <c r="F316" s="7">
        <f>CAMBRIDGESHIRE!H23</f>
        <v>82956</v>
      </c>
      <c r="G316" s="7">
        <f>CAMBRIDGESHIRE!I23</f>
        <v>81495</v>
      </c>
      <c r="H316" s="7">
        <f>CAMBRIDGESHIRE!J23</f>
        <v>81779</v>
      </c>
      <c r="I316" s="7">
        <f>CAMBRIDGESHIRE!K23</f>
        <v>83291</v>
      </c>
      <c r="J316" s="7">
        <f>CAMBRIDGESHIRE!L23</f>
        <v>83286</v>
      </c>
      <c r="K316" s="7">
        <f>CAMBRIDGESHIRE!M23</f>
        <v>83223</v>
      </c>
      <c r="L316" s="7">
        <f>CAMBRIDGESHIRE!N23</f>
        <v>83833</v>
      </c>
      <c r="M316" s="7">
        <f>CAMBRIDGESHIRE!O23</f>
        <v>83993</v>
      </c>
      <c r="N316" s="34">
        <f t="shared" si="16"/>
        <v>1.4567504559894669E-2</v>
      </c>
      <c r="O316" s="34"/>
      <c r="P316" s="7">
        <f t="shared" si="17"/>
        <v>10600</v>
      </c>
      <c r="Q316" s="1004">
        <f t="shared" si="18"/>
        <v>0.1444279427193329</v>
      </c>
      <c r="R316" s="6">
        <v>14</v>
      </c>
      <c r="S316" s="6">
        <v>14</v>
      </c>
      <c r="T316" s="6">
        <v>15</v>
      </c>
      <c r="U316" s="6">
        <v>18</v>
      </c>
      <c r="V316" s="6">
        <v>25</v>
      </c>
      <c r="W316" s="6">
        <v>28</v>
      </c>
      <c r="X316" s="6">
        <v>18</v>
      </c>
      <c r="Y316" s="6">
        <v>23</v>
      </c>
      <c r="Z316" s="6">
        <v>31</v>
      </c>
      <c r="AA316" s="6">
        <v>25</v>
      </c>
      <c r="AB316" s="6">
        <v>47</v>
      </c>
      <c r="AC316" s="6">
        <v>56</v>
      </c>
      <c r="AD316" s="6">
        <f t="shared" si="19"/>
        <v>-9</v>
      </c>
      <c r="AE316" s="6" t="s">
        <v>15829</v>
      </c>
    </row>
    <row r="317" spans="1:31">
      <c r="A317" s="33" t="str">
        <f>DERBYSHIRE!A45</f>
        <v>North East Derbyshire CC</v>
      </c>
      <c r="B317" s="7">
        <f>DERBYSHIRE!D47</f>
        <v>71637</v>
      </c>
      <c r="C317" s="7">
        <f>DERBYSHIRE!E47</f>
        <v>72374</v>
      </c>
      <c r="D317" s="7">
        <f>DERBYSHIRE!F47</f>
        <v>72731</v>
      </c>
      <c r="E317" s="7">
        <f>DERBYSHIRE!G47</f>
        <v>72871</v>
      </c>
      <c r="F317" s="7">
        <f>DERBYSHIRE!H47</f>
        <v>72912</v>
      </c>
      <c r="G317" s="7">
        <f>DERBYSHIRE!I47</f>
        <v>70940</v>
      </c>
      <c r="H317" s="7">
        <f>DERBYSHIRE!J47</f>
        <v>70640</v>
      </c>
      <c r="I317" s="7">
        <f>DERBYSHIRE!K47</f>
        <v>71630</v>
      </c>
      <c r="J317" s="7">
        <f>DERBYSHIRE!L47</f>
        <v>71563</v>
      </c>
      <c r="K317" s="7">
        <f>DERBYSHIRE!M47</f>
        <v>70949</v>
      </c>
      <c r="L317" s="7">
        <f>DERBYSHIRE!N47</f>
        <v>72192</v>
      </c>
      <c r="M317" s="7">
        <f>DERBYSHIRE!O47</f>
        <v>72476</v>
      </c>
      <c r="N317" s="34">
        <f t="shared" si="16"/>
        <v>1.1711824894956516E-2</v>
      </c>
      <c r="O317" s="34"/>
      <c r="P317" s="7">
        <f t="shared" si="17"/>
        <v>-917</v>
      </c>
      <c r="Q317" s="1004">
        <f t="shared" si="18"/>
        <v>-1.2494379572983799E-2</v>
      </c>
      <c r="R317" s="6">
        <v>266</v>
      </c>
      <c r="S317" s="6">
        <v>257</v>
      </c>
      <c r="T317" s="6">
        <v>259</v>
      </c>
      <c r="U317" s="6">
        <v>268</v>
      </c>
      <c r="V317" s="6">
        <v>249</v>
      </c>
      <c r="W317" s="6">
        <v>268</v>
      </c>
      <c r="X317" s="6">
        <v>243</v>
      </c>
      <c r="Y317" s="6">
        <v>269</v>
      </c>
      <c r="Z317" s="6">
        <v>296</v>
      </c>
      <c r="AA317" s="6">
        <v>291</v>
      </c>
      <c r="AB317" s="6">
        <v>308</v>
      </c>
      <c r="AC317" s="6">
        <v>334</v>
      </c>
      <c r="AD317" s="6">
        <f t="shared" si="19"/>
        <v>-26</v>
      </c>
      <c r="AE317" s="6" t="s">
        <v>15826</v>
      </c>
    </row>
    <row r="318" spans="1:31">
      <c r="A318" s="33" t="str">
        <f>HAMPSHIRE!A50</f>
        <v>North East Hampshire CC</v>
      </c>
      <c r="B318" s="7">
        <f>HAMPSHIRE!D52</f>
        <v>71580</v>
      </c>
      <c r="C318" s="7">
        <f>HAMPSHIRE!E52</f>
        <v>72548</v>
      </c>
      <c r="D318" s="7">
        <f>HAMPSHIRE!F52</f>
        <v>73449</v>
      </c>
      <c r="E318" s="7">
        <f>HAMPSHIRE!G52</f>
        <v>74191</v>
      </c>
      <c r="F318" s="7">
        <f>HAMPSHIRE!H52</f>
        <v>73543</v>
      </c>
      <c r="G318" s="7">
        <f>HAMPSHIRE!I52</f>
        <v>73362</v>
      </c>
      <c r="H318" s="7">
        <f>HAMPSHIRE!J52</f>
        <v>72046</v>
      </c>
      <c r="I318" s="7">
        <f>HAMPSHIRE!K52</f>
        <v>73965</v>
      </c>
      <c r="J318" s="7">
        <f>HAMPSHIRE!L52</f>
        <v>74912</v>
      </c>
      <c r="K318" s="7">
        <f>HAMPSHIRE!M52</f>
        <v>76152</v>
      </c>
      <c r="L318" s="7">
        <f>HAMPSHIRE!N52</f>
        <v>78464</v>
      </c>
      <c r="M318" s="7">
        <f>HAMPSHIRE!O52</f>
        <v>76615</v>
      </c>
      <c r="N318" s="34">
        <f t="shared" si="16"/>
        <v>7.0340877340039118E-2</v>
      </c>
      <c r="O318" s="34"/>
      <c r="P318" s="7">
        <f t="shared" si="17"/>
        <v>3222</v>
      </c>
      <c r="Q318" s="1004">
        <f t="shared" si="18"/>
        <v>4.390064447563119E-2</v>
      </c>
      <c r="R318" s="6">
        <v>270</v>
      </c>
      <c r="S318" s="6">
        <v>251</v>
      </c>
      <c r="T318" s="6">
        <v>225</v>
      </c>
      <c r="U318" s="6">
        <v>203</v>
      </c>
      <c r="V318" s="6">
        <v>229</v>
      </c>
      <c r="W318" s="6">
        <v>176</v>
      </c>
      <c r="X318" s="6">
        <v>196</v>
      </c>
      <c r="Y318" s="6">
        <v>195</v>
      </c>
      <c r="Z318" s="6">
        <v>181</v>
      </c>
      <c r="AA318" s="6">
        <v>150</v>
      </c>
      <c r="AB318" s="6">
        <v>149</v>
      </c>
      <c r="AC318" s="6">
        <v>207</v>
      </c>
      <c r="AD318" s="6">
        <f t="shared" si="19"/>
        <v>-58</v>
      </c>
      <c r="AE318" s="6" t="s">
        <v>15823</v>
      </c>
    </row>
    <row r="319" spans="1:31">
      <c r="A319" s="33" t="str">
        <f>HERTFORDSHIRE!A32</f>
        <v>North East Hertfordshire CC</v>
      </c>
      <c r="B319" s="7">
        <f>HERTFORDSHIRE!D35</f>
        <v>71993</v>
      </c>
      <c r="C319" s="7">
        <f>HERTFORDSHIRE!E35</f>
        <v>72658</v>
      </c>
      <c r="D319" s="7">
        <f>HERTFORDSHIRE!F35</f>
        <v>72729</v>
      </c>
      <c r="E319" s="7">
        <f>HERTFORDSHIRE!G35</f>
        <v>73050</v>
      </c>
      <c r="F319" s="7">
        <f>HERTFORDSHIRE!H35</f>
        <v>72995</v>
      </c>
      <c r="G319" s="7">
        <f>HERTFORDSHIRE!I35</f>
        <v>72520</v>
      </c>
      <c r="H319" s="7">
        <f>HERTFORDSHIRE!J35</f>
        <v>72769</v>
      </c>
      <c r="I319" s="7">
        <f>HERTFORDSHIRE!K35</f>
        <v>74851</v>
      </c>
      <c r="J319" s="7">
        <f>HERTFORDSHIRE!L35</f>
        <v>75356</v>
      </c>
      <c r="K319" s="7">
        <f>HERTFORDSHIRE!M35</f>
        <v>74535</v>
      </c>
      <c r="L319" s="7">
        <f>HERTFORDSHIRE!N35</f>
        <v>76700</v>
      </c>
      <c r="M319" s="7">
        <f>HERTFORDSHIRE!O35</f>
        <v>76849</v>
      </c>
      <c r="N319" s="34">
        <f t="shared" si="16"/>
        <v>6.7451002180767577E-2</v>
      </c>
      <c r="O319" s="34"/>
      <c r="P319" s="7">
        <f t="shared" si="17"/>
        <v>3456</v>
      </c>
      <c r="Q319" s="1004">
        <f t="shared" si="18"/>
        <v>4.7088959437548539E-2</v>
      </c>
      <c r="R319" s="6">
        <v>244</v>
      </c>
      <c r="S319" s="6">
        <v>246</v>
      </c>
      <c r="T319" s="6">
        <v>260</v>
      </c>
      <c r="U319" s="6">
        <v>253</v>
      </c>
      <c r="V319" s="6">
        <v>246</v>
      </c>
      <c r="W319" s="6">
        <v>211</v>
      </c>
      <c r="X319" s="6">
        <v>171</v>
      </c>
      <c r="Y319" s="6">
        <v>165</v>
      </c>
      <c r="Z319" s="6">
        <v>169</v>
      </c>
      <c r="AA319" s="6">
        <v>175</v>
      </c>
      <c r="AB319" s="6">
        <v>192</v>
      </c>
      <c r="AC319" s="6">
        <v>201</v>
      </c>
      <c r="AD319" s="6">
        <f t="shared" si="19"/>
        <v>-9</v>
      </c>
      <c r="AE319" s="6" t="s">
        <v>15829</v>
      </c>
    </row>
    <row r="320" spans="1:31">
      <c r="A320" s="33" t="str">
        <f>'BATH &amp; NE SOMERSET'!A9</f>
        <v>North East Somerset CC</v>
      </c>
      <c r="B320" s="7">
        <f>'BATH &amp; NE SOMERSET'!D9</f>
        <v>68024</v>
      </c>
      <c r="C320" s="7">
        <f>'BATH &amp; NE SOMERSET'!E9</f>
        <v>68546</v>
      </c>
      <c r="D320" s="7">
        <f>'BATH &amp; NE SOMERSET'!F9</f>
        <v>68022</v>
      </c>
      <c r="E320" s="7">
        <f>'BATH &amp; NE SOMERSET'!G9</f>
        <v>69096</v>
      </c>
      <c r="F320" s="7">
        <f>'BATH &amp; NE SOMERSET'!H9</f>
        <v>69108</v>
      </c>
      <c r="G320" s="7">
        <f>'BATH &amp; NE SOMERSET'!I9</f>
        <v>68221</v>
      </c>
      <c r="H320" s="7">
        <f>'BATH &amp; NE SOMERSET'!J9</f>
        <v>68441</v>
      </c>
      <c r="I320" s="7">
        <f>'BATH &amp; NE SOMERSET'!K9</f>
        <v>69893</v>
      </c>
      <c r="J320" s="7">
        <f>'BATH &amp; NE SOMERSET'!L9</f>
        <v>70070</v>
      </c>
      <c r="K320" s="7">
        <f>'BATH &amp; NE SOMERSET'!M9</f>
        <v>70989</v>
      </c>
      <c r="L320" s="7">
        <f>'BATH &amp; NE SOMERSET'!N9</f>
        <v>71452</v>
      </c>
      <c r="M320" s="7">
        <f>'BATH &amp; NE SOMERSET'!O9</f>
        <v>73932</v>
      </c>
      <c r="N320" s="34">
        <f t="shared" si="16"/>
        <v>8.6851699400211688E-2</v>
      </c>
      <c r="O320" s="34"/>
      <c r="P320" s="7">
        <f t="shared" si="17"/>
        <v>539</v>
      </c>
      <c r="Q320" s="1004">
        <f t="shared" si="18"/>
        <v>7.3440246345019278E-3</v>
      </c>
      <c r="R320" s="6">
        <v>379</v>
      </c>
      <c r="S320" s="6">
        <v>380</v>
      </c>
      <c r="T320" s="6">
        <v>399</v>
      </c>
      <c r="U320" s="6">
        <v>383</v>
      </c>
      <c r="V320" s="6">
        <v>366</v>
      </c>
      <c r="W320" s="6">
        <v>357</v>
      </c>
      <c r="X320" s="6">
        <v>326</v>
      </c>
      <c r="Y320" s="6">
        <v>341</v>
      </c>
      <c r="Z320" s="6">
        <v>352</v>
      </c>
      <c r="AA320" s="6">
        <v>290</v>
      </c>
      <c r="AB320" s="6">
        <v>333</v>
      </c>
      <c r="AC320" s="6">
        <v>280</v>
      </c>
      <c r="AD320" s="6">
        <f t="shared" si="19"/>
        <v>53</v>
      </c>
      <c r="AE320" s="6" t="s">
        <v>15830</v>
      </c>
    </row>
    <row r="321" spans="1:31">
      <c r="A321" s="33" t="str">
        <f>HEREFORDSHIRE!A9</f>
        <v>North Herefordshire CC</v>
      </c>
      <c r="B321" s="7">
        <f>HEREFORDSHIRE!D9</f>
        <v>67280</v>
      </c>
      <c r="C321" s="7">
        <f>HEREFORDSHIRE!E9</f>
        <v>66711</v>
      </c>
      <c r="D321" s="7">
        <f>HEREFORDSHIRE!F9</f>
        <v>67001</v>
      </c>
      <c r="E321" s="7">
        <f>HEREFORDSHIRE!G9</f>
        <v>67438</v>
      </c>
      <c r="F321" s="7">
        <f>HEREFORDSHIRE!H9</f>
        <v>65055</v>
      </c>
      <c r="G321" s="7">
        <f>HEREFORDSHIRE!I9</f>
        <v>65268</v>
      </c>
      <c r="H321" s="7">
        <f>HEREFORDSHIRE!J9</f>
        <v>64727</v>
      </c>
      <c r="I321" s="7">
        <f>HEREFORDSHIRE!K9</f>
        <v>66087</v>
      </c>
      <c r="J321" s="7">
        <f>HEREFORDSHIRE!L9</f>
        <v>67081</v>
      </c>
      <c r="K321" s="7">
        <f>HEREFORDSHIRE!M9</f>
        <v>67729</v>
      </c>
      <c r="L321" s="7">
        <f>HEREFORDSHIRE!N9</f>
        <v>70194</v>
      </c>
      <c r="M321" s="7">
        <f>HEREFORDSHIRE!O9</f>
        <v>70046</v>
      </c>
      <c r="N321" s="34">
        <f t="shared" si="16"/>
        <v>4.1111771700356715E-2</v>
      </c>
      <c r="O321" s="34"/>
      <c r="P321" s="7">
        <f t="shared" si="17"/>
        <v>-3347</v>
      </c>
      <c r="Q321" s="1004">
        <f t="shared" si="18"/>
        <v>-4.5603804177510116E-2</v>
      </c>
      <c r="R321" s="6">
        <v>404</v>
      </c>
      <c r="S321" s="6">
        <v>431</v>
      </c>
      <c r="T321" s="6">
        <v>432</v>
      </c>
      <c r="U321" s="6">
        <v>430</v>
      </c>
      <c r="V321" s="6">
        <v>469</v>
      </c>
      <c r="W321" s="6">
        <v>430</v>
      </c>
      <c r="X321" s="6">
        <v>426</v>
      </c>
      <c r="Y321" s="6">
        <v>429</v>
      </c>
      <c r="Z321" s="6">
        <v>421</v>
      </c>
      <c r="AA321" s="6">
        <v>393</v>
      </c>
      <c r="AB321" s="6">
        <v>382</v>
      </c>
      <c r="AC321" s="6">
        <v>395</v>
      </c>
      <c r="AD321" s="6">
        <f t="shared" si="19"/>
        <v>-13</v>
      </c>
      <c r="AE321" s="6" t="s">
        <v>15824</v>
      </c>
    </row>
    <row r="322" spans="1:31">
      <c r="A322" s="33" t="str">
        <f>NORFOLK!A25</f>
        <v>North Norfolk CC</v>
      </c>
      <c r="B322" s="7">
        <f>NORFOLK!D25</f>
        <v>67977</v>
      </c>
      <c r="C322" s="7">
        <f>NORFOLK!E25</f>
        <v>68277</v>
      </c>
      <c r="D322" s="7">
        <f>NORFOLK!F25</f>
        <v>68409</v>
      </c>
      <c r="E322" s="7">
        <f>NORFOLK!G25</f>
        <v>69005</v>
      </c>
      <c r="F322" s="7">
        <f>NORFOLK!H25</f>
        <v>68707</v>
      </c>
      <c r="G322" s="7">
        <f>NORFOLK!I25</f>
        <v>68195</v>
      </c>
      <c r="H322" s="7">
        <f>NORFOLK!J25</f>
        <v>67640</v>
      </c>
      <c r="I322" s="7">
        <f>NORFOLK!K25</f>
        <v>68223</v>
      </c>
      <c r="J322" s="7">
        <f>NORFOLK!L25</f>
        <v>68976</v>
      </c>
      <c r="K322" s="7">
        <f>NORFOLK!M25</f>
        <v>68440</v>
      </c>
      <c r="L322" s="7">
        <f>NORFOLK!N25</f>
        <v>69945</v>
      </c>
      <c r="M322" s="7">
        <f>NORFOLK!O25</f>
        <v>69654</v>
      </c>
      <c r="N322" s="34">
        <f t="shared" si="16"/>
        <v>2.4670109007458405E-2</v>
      </c>
      <c r="O322" s="34"/>
      <c r="P322" s="7">
        <f t="shared" si="17"/>
        <v>-3739</v>
      </c>
      <c r="Q322" s="1004">
        <f t="shared" si="18"/>
        <v>-5.0944913002602427E-2</v>
      </c>
      <c r="R322" s="6">
        <v>381</v>
      </c>
      <c r="S322" s="6">
        <v>387</v>
      </c>
      <c r="T322" s="6">
        <v>388</v>
      </c>
      <c r="U322" s="6">
        <v>390</v>
      </c>
      <c r="V322" s="6">
        <v>380</v>
      </c>
      <c r="W322" s="6">
        <v>360</v>
      </c>
      <c r="X322" s="6">
        <v>351</v>
      </c>
      <c r="Y322" s="6">
        <v>382</v>
      </c>
      <c r="Z322" s="6">
        <v>379</v>
      </c>
      <c r="AA322" s="6">
        <v>382</v>
      </c>
      <c r="AB322" s="6">
        <v>390</v>
      </c>
      <c r="AC322" s="6">
        <v>403</v>
      </c>
      <c r="AD322" s="6">
        <f t="shared" si="19"/>
        <v>-13</v>
      </c>
      <c r="AE322" s="6" t="s">
        <v>15829</v>
      </c>
    </row>
    <row r="323" spans="1:31">
      <c r="A323" s="33" t="str">
        <f>'SHROPSHIRE &amp; TELFORD &amp; WREKIN '!A13</f>
        <v>North Shropshire CC</v>
      </c>
      <c r="B323" s="7">
        <f>'SHROPSHIRE &amp; TELFORD &amp; WREKIN '!D13</f>
        <v>78611</v>
      </c>
      <c r="C323" s="7">
        <f>'SHROPSHIRE &amp; TELFORD &amp; WREKIN '!E13</f>
        <v>77673</v>
      </c>
      <c r="D323" s="7">
        <f>'SHROPSHIRE &amp; TELFORD &amp; WREKIN '!F13</f>
        <v>76696</v>
      </c>
      <c r="E323" s="7">
        <f>'SHROPSHIRE &amp; TELFORD &amp; WREKIN '!G13</f>
        <v>79068</v>
      </c>
      <c r="F323" s="7">
        <f>'SHROPSHIRE &amp; TELFORD &amp; WREKIN '!H13</f>
        <v>76317</v>
      </c>
      <c r="G323" s="7">
        <f>'SHROPSHIRE &amp; TELFORD &amp; WREKIN '!I13</f>
        <v>77602</v>
      </c>
      <c r="H323" s="7">
        <f>'SHROPSHIRE &amp; TELFORD &amp; WREKIN '!J13</f>
        <v>77768</v>
      </c>
      <c r="I323" s="7">
        <f>'SHROPSHIRE &amp; TELFORD &amp; WREKIN '!K13</f>
        <v>80507</v>
      </c>
      <c r="J323" s="7">
        <f>'SHROPSHIRE &amp; TELFORD &amp; WREKIN '!L13</f>
        <v>79954</v>
      </c>
      <c r="K323" s="7">
        <f>'SHROPSHIRE &amp; TELFORD &amp; WREKIN '!M13</f>
        <v>80427</v>
      </c>
      <c r="L323" s="7">
        <f>'SHROPSHIRE &amp; TELFORD &amp; WREKIN '!N13</f>
        <v>83881</v>
      </c>
      <c r="M323" s="7">
        <f>'SHROPSHIRE &amp; TELFORD &amp; WREKIN '!O13</f>
        <v>83555</v>
      </c>
      <c r="N323" s="34">
        <f t="shared" si="16"/>
        <v>6.2891961684751502E-2</v>
      </c>
      <c r="O323" s="34"/>
      <c r="P323" s="7">
        <f t="shared" si="17"/>
        <v>10162</v>
      </c>
      <c r="Q323" s="1004">
        <f t="shared" si="18"/>
        <v>0.13846007112394915</v>
      </c>
      <c r="R323" s="6">
        <v>51</v>
      </c>
      <c r="S323" s="6">
        <v>89</v>
      </c>
      <c r="T323" s="6">
        <v>136</v>
      </c>
      <c r="U323" s="6">
        <v>78</v>
      </c>
      <c r="V323" s="6">
        <v>142</v>
      </c>
      <c r="W323" s="6">
        <v>80</v>
      </c>
      <c r="X323" s="6">
        <v>64</v>
      </c>
      <c r="Y323" s="6">
        <v>56</v>
      </c>
      <c r="Z323" s="6">
        <v>78</v>
      </c>
      <c r="AA323" s="6">
        <v>63</v>
      </c>
      <c r="AB323" s="6">
        <v>45</v>
      </c>
      <c r="AC323" s="6">
        <v>67</v>
      </c>
      <c r="AD323" s="6">
        <f t="shared" si="19"/>
        <v>-22</v>
      </c>
      <c r="AE323" s="6" t="s">
        <v>15824</v>
      </c>
    </row>
    <row r="324" spans="1:31">
      <c r="A324" s="33" t="str">
        <f>'NORTH SOMERSET'!A7</f>
        <v>North Somerset CC</v>
      </c>
      <c r="B324" s="7">
        <f>'NORTH SOMERSET'!D7</f>
        <v>77150</v>
      </c>
      <c r="C324" s="7">
        <f>'NORTH SOMERSET'!E7</f>
        <v>78223</v>
      </c>
      <c r="D324" s="7">
        <f>'NORTH SOMERSET'!F7</f>
        <v>78687</v>
      </c>
      <c r="E324" s="7">
        <f>'NORTH SOMERSET'!G7</f>
        <v>79500</v>
      </c>
      <c r="F324" s="7">
        <f>'NORTH SOMERSET'!H7</f>
        <v>79281</v>
      </c>
      <c r="G324" s="7">
        <f>'NORTH SOMERSET'!I7</f>
        <v>78808</v>
      </c>
      <c r="H324" s="7">
        <f>'NORTH SOMERSET'!J7</f>
        <v>75979</v>
      </c>
      <c r="I324" s="7">
        <f>'NORTH SOMERSET'!K7</f>
        <v>79191</v>
      </c>
      <c r="J324" s="7">
        <f>'NORTH SOMERSET'!L7</f>
        <v>78469</v>
      </c>
      <c r="K324" s="7">
        <f>'NORTH SOMERSET'!M7</f>
        <v>78600</v>
      </c>
      <c r="L324" s="7">
        <f>'NORTH SOMERSET'!N7</f>
        <v>80898</v>
      </c>
      <c r="M324" s="7">
        <f>'NORTH SOMERSET'!O7</f>
        <v>80869</v>
      </c>
      <c r="N324" s="34">
        <f t="shared" ref="N324:N387" si="20">(M324-B324)/B324</f>
        <v>4.8204795852235902E-2</v>
      </c>
      <c r="O324" s="34"/>
      <c r="P324" s="7">
        <f t="shared" ref="P324:P387" si="21">M324-$M$544</f>
        <v>7476</v>
      </c>
      <c r="Q324" s="1004">
        <f t="shared" ref="Q324:Q387" si="22">(M324-$M$544)/$M$544</f>
        <v>0.10186257544997479</v>
      </c>
      <c r="R324" s="6">
        <v>88</v>
      </c>
      <c r="S324" s="6">
        <v>77</v>
      </c>
      <c r="T324" s="6">
        <v>73</v>
      </c>
      <c r="U324" s="6">
        <v>66</v>
      </c>
      <c r="V324" s="6">
        <v>71</v>
      </c>
      <c r="W324" s="6">
        <v>56</v>
      </c>
      <c r="X324" s="6">
        <v>95</v>
      </c>
      <c r="Y324" s="6">
        <v>80</v>
      </c>
      <c r="Z324" s="6">
        <v>111</v>
      </c>
      <c r="AA324" s="6">
        <v>95</v>
      </c>
      <c r="AB324" s="6">
        <v>92</v>
      </c>
      <c r="AC324" s="6">
        <v>107</v>
      </c>
      <c r="AD324" s="6">
        <f t="shared" ref="AD324:AD387" si="23">AB324-AC324</f>
        <v>-15</v>
      </c>
      <c r="AE324" s="6" t="s">
        <v>15830</v>
      </c>
    </row>
    <row r="325" spans="1:31">
      <c r="A325" s="33" t="str">
        <f>SWINDON!A7</f>
        <v>North Swindon CC</v>
      </c>
      <c r="B325" s="7">
        <f>SWINDON!D7</f>
        <v>78583</v>
      </c>
      <c r="C325" s="7">
        <f>SWINDON!E7</f>
        <v>79488</v>
      </c>
      <c r="D325" s="7">
        <f>SWINDON!F7</f>
        <v>80224</v>
      </c>
      <c r="E325" s="7">
        <f>SWINDON!G7</f>
        <v>81183</v>
      </c>
      <c r="F325" s="7">
        <f>SWINDON!H7</f>
        <v>80774</v>
      </c>
      <c r="G325" s="7">
        <f>SWINDON!I7</f>
        <v>80129</v>
      </c>
      <c r="H325" s="7">
        <f>SWINDON!J7</f>
        <v>78158</v>
      </c>
      <c r="I325" s="7">
        <f>SWINDON!K7</f>
        <v>79063</v>
      </c>
      <c r="J325" s="7">
        <f>SWINDON!L7</f>
        <v>80620</v>
      </c>
      <c r="K325" s="7">
        <f>SWINDON!M7</f>
        <v>82642</v>
      </c>
      <c r="L325" s="7">
        <f>SWINDON!N7</f>
        <v>80239</v>
      </c>
      <c r="M325" s="7">
        <f>SWINDON!O7</f>
        <v>82561</v>
      </c>
      <c r="N325" s="34">
        <f t="shared" si="20"/>
        <v>5.0621635722739013E-2</v>
      </c>
      <c r="O325" s="34"/>
      <c r="P325" s="7">
        <f t="shared" si="21"/>
        <v>9168</v>
      </c>
      <c r="Q325" s="1004">
        <f t="shared" si="22"/>
        <v>0.12491654517460793</v>
      </c>
      <c r="R325" s="6">
        <v>53</v>
      </c>
      <c r="S325" s="6">
        <v>50</v>
      </c>
      <c r="T325" s="6">
        <v>44</v>
      </c>
      <c r="U325" s="6">
        <v>40</v>
      </c>
      <c r="V325" s="6">
        <v>45</v>
      </c>
      <c r="W325" s="6">
        <v>36</v>
      </c>
      <c r="X325" s="6">
        <v>52</v>
      </c>
      <c r="Y325" s="6">
        <v>85</v>
      </c>
      <c r="Z325" s="6">
        <v>69</v>
      </c>
      <c r="AA325" s="6">
        <v>32</v>
      </c>
      <c r="AB325" s="6">
        <v>104</v>
      </c>
      <c r="AC325" s="6">
        <v>80</v>
      </c>
      <c r="AD325" s="6">
        <f t="shared" si="23"/>
        <v>24</v>
      </c>
      <c r="AE325" s="6" t="s">
        <v>15830</v>
      </c>
    </row>
    <row r="326" spans="1:31">
      <c r="A326" s="33" t="str">
        <f>KENT!A54</f>
        <v>North Thanet CC</v>
      </c>
      <c r="B326" s="7">
        <f>KENT!D56</f>
        <v>68568</v>
      </c>
      <c r="C326" s="7">
        <f>KENT!E56</f>
        <v>67110</v>
      </c>
      <c r="D326" s="7">
        <f>KENT!F56</f>
        <v>67673</v>
      </c>
      <c r="E326" s="7">
        <f>KENT!G56</f>
        <v>70194</v>
      </c>
      <c r="F326" s="7">
        <f>KENT!H56</f>
        <v>71142</v>
      </c>
      <c r="G326" s="7">
        <f>KENT!I56</f>
        <v>69864</v>
      </c>
      <c r="H326" s="7">
        <f>KENT!J56</f>
        <v>69780</v>
      </c>
      <c r="I326" s="7">
        <f>KENT!K56</f>
        <v>71070</v>
      </c>
      <c r="J326" s="7">
        <f>KENT!L56</f>
        <v>71552</v>
      </c>
      <c r="K326" s="7">
        <f>KENT!M56</f>
        <v>71261</v>
      </c>
      <c r="L326" s="7">
        <f>KENT!N56</f>
        <v>73920</v>
      </c>
      <c r="M326" s="7">
        <f>KENT!O56</f>
        <v>73270</v>
      </c>
      <c r="N326" s="34">
        <f t="shared" si="20"/>
        <v>6.8574262046435658E-2</v>
      </c>
      <c r="O326" s="34"/>
      <c r="P326" s="7">
        <f t="shared" si="21"/>
        <v>-123</v>
      </c>
      <c r="Q326" s="1004">
        <f t="shared" si="22"/>
        <v>-1.6759091466488629E-3</v>
      </c>
      <c r="R326" s="6">
        <v>365</v>
      </c>
      <c r="S326" s="6">
        <v>418</v>
      </c>
      <c r="T326" s="6">
        <v>412</v>
      </c>
      <c r="U326" s="6">
        <v>345</v>
      </c>
      <c r="V326" s="6">
        <v>310</v>
      </c>
      <c r="W326" s="6">
        <v>298</v>
      </c>
      <c r="X326" s="6">
        <v>277</v>
      </c>
      <c r="Y326" s="6">
        <v>291</v>
      </c>
      <c r="Z326" s="6">
        <v>297</v>
      </c>
      <c r="AA326" s="6">
        <v>278</v>
      </c>
      <c r="AB326" s="6">
        <v>261</v>
      </c>
      <c r="AC326" s="6">
        <v>303</v>
      </c>
      <c r="AD326" s="6">
        <f t="shared" si="23"/>
        <v>-42</v>
      </c>
      <c r="AE326" s="6" t="s">
        <v>15823</v>
      </c>
    </row>
    <row r="327" spans="1:31">
      <c r="A327" s="33" t="str">
        <f>'TYNE &amp; WEAR'!A34</f>
        <v>North Tyneside BC</v>
      </c>
      <c r="B327" s="7">
        <f>'TYNE &amp; WEAR'!D34</f>
        <v>78389</v>
      </c>
      <c r="C327" s="7">
        <f>'TYNE &amp; WEAR'!E34</f>
        <v>78617</v>
      </c>
      <c r="D327" s="7">
        <f>'TYNE &amp; WEAR'!F34</f>
        <v>79376</v>
      </c>
      <c r="E327" s="7">
        <f>'TYNE &amp; WEAR'!G34</f>
        <v>79681</v>
      </c>
      <c r="F327" s="7">
        <f>'TYNE &amp; WEAR'!H34</f>
        <v>79565</v>
      </c>
      <c r="G327" s="7">
        <f>'TYNE &amp; WEAR'!I34</f>
        <v>78182</v>
      </c>
      <c r="H327" s="7">
        <f>'TYNE &amp; WEAR'!J34</f>
        <v>76427</v>
      </c>
      <c r="I327" s="7">
        <f>'TYNE &amp; WEAR'!K34</f>
        <v>78191</v>
      </c>
      <c r="J327" s="7">
        <f>'TYNE &amp; WEAR'!L34</f>
        <v>77252</v>
      </c>
      <c r="K327" s="7">
        <f>'TYNE &amp; WEAR'!M34</f>
        <v>76873</v>
      </c>
      <c r="L327" s="7">
        <f>'TYNE &amp; WEAR'!N34</f>
        <v>77477</v>
      </c>
      <c r="M327" s="7">
        <f>'TYNE &amp; WEAR'!O34</f>
        <v>79033</v>
      </c>
      <c r="N327" s="34">
        <f t="shared" si="20"/>
        <v>8.2154383905905168E-3</v>
      </c>
      <c r="O327" s="34"/>
      <c r="P327" s="7">
        <f t="shared" si="21"/>
        <v>5640</v>
      </c>
      <c r="Q327" s="1004">
        <f t="shared" si="22"/>
        <v>7.6846565748777129E-2</v>
      </c>
      <c r="R327" s="6">
        <v>60</v>
      </c>
      <c r="S327" s="6">
        <v>65</v>
      </c>
      <c r="T327" s="6">
        <v>57</v>
      </c>
      <c r="U327" s="6">
        <v>61</v>
      </c>
      <c r="V327" s="6">
        <v>67</v>
      </c>
      <c r="W327" s="6">
        <v>68</v>
      </c>
      <c r="X327" s="6">
        <v>88</v>
      </c>
      <c r="Y327" s="6">
        <v>102</v>
      </c>
      <c r="Z327" s="6">
        <v>139</v>
      </c>
      <c r="AA327" s="6">
        <v>138</v>
      </c>
      <c r="AB327" s="6">
        <v>172</v>
      </c>
      <c r="AC327" s="6">
        <v>152</v>
      </c>
      <c r="AD327" s="6">
        <f t="shared" si="23"/>
        <v>20</v>
      </c>
      <c r="AE327" s="6" t="s">
        <v>2901</v>
      </c>
    </row>
    <row r="328" spans="1:31">
      <c r="A328" s="33" t="str">
        <f>WARWICKSHIRE!A19</f>
        <v>North Warwickshire CC</v>
      </c>
      <c r="B328" s="7">
        <f>WARWICKSHIRE!D21</f>
        <v>70415</v>
      </c>
      <c r="C328" s="7">
        <f>WARWICKSHIRE!E21</f>
        <v>70544</v>
      </c>
      <c r="D328" s="7">
        <f>WARWICKSHIRE!F21</f>
        <v>70825</v>
      </c>
      <c r="E328" s="7">
        <f>WARWICKSHIRE!G21</f>
        <v>71271</v>
      </c>
      <c r="F328" s="7">
        <f>WARWICKSHIRE!H21</f>
        <v>70414</v>
      </c>
      <c r="G328" s="7">
        <f>WARWICKSHIRE!I21</f>
        <v>69088</v>
      </c>
      <c r="H328" s="7">
        <f>WARWICKSHIRE!J21</f>
        <v>67237</v>
      </c>
      <c r="I328" s="7">
        <f>WARWICKSHIRE!K21</f>
        <v>69158</v>
      </c>
      <c r="J328" s="7">
        <f>WARWICKSHIRE!L21</f>
        <v>69639</v>
      </c>
      <c r="K328" s="7">
        <f>WARWICKSHIRE!M21</f>
        <v>68909</v>
      </c>
      <c r="L328" s="7">
        <f>WARWICKSHIRE!N21</f>
        <v>68889</v>
      </c>
      <c r="M328" s="7">
        <f>WARWICKSHIRE!O21</f>
        <v>70245</v>
      </c>
      <c r="N328" s="34">
        <f t="shared" si="20"/>
        <v>-2.4142583256408436E-3</v>
      </c>
      <c r="O328" s="34"/>
      <c r="P328" s="7">
        <f t="shared" si="21"/>
        <v>-3148</v>
      </c>
      <c r="Q328" s="1004">
        <f t="shared" si="22"/>
        <v>-4.2892373932118866E-2</v>
      </c>
      <c r="R328" s="6">
        <v>312</v>
      </c>
      <c r="S328" s="6">
        <v>325</v>
      </c>
      <c r="T328" s="6">
        <v>321</v>
      </c>
      <c r="U328" s="6">
        <v>320</v>
      </c>
      <c r="V328" s="6">
        <v>336</v>
      </c>
      <c r="W328" s="6">
        <v>329</v>
      </c>
      <c r="X328" s="6">
        <v>368</v>
      </c>
      <c r="Y328" s="6">
        <v>358</v>
      </c>
      <c r="Z328" s="6">
        <v>366</v>
      </c>
      <c r="AA328" s="6">
        <v>362</v>
      </c>
      <c r="AB328" s="6">
        <v>409</v>
      </c>
      <c r="AC328" s="6">
        <v>389</v>
      </c>
      <c r="AD328" s="6">
        <f t="shared" si="23"/>
        <v>20</v>
      </c>
      <c r="AE328" s="6" t="s">
        <v>15824</v>
      </c>
    </row>
    <row r="329" spans="1:31">
      <c r="A329" s="33" t="str">
        <f>CAMBRIDGESHIRE!A25</f>
        <v>North West Cambridgeshire CC</v>
      </c>
      <c r="B329" s="7">
        <f>CAMBRIDGESHIRE!D27</f>
        <v>87358</v>
      </c>
      <c r="C329" s="7">
        <f>CAMBRIDGESHIRE!E27</f>
        <v>89419</v>
      </c>
      <c r="D329" s="7">
        <f>CAMBRIDGESHIRE!F27</f>
        <v>89868</v>
      </c>
      <c r="E329" s="7">
        <f>CAMBRIDGESHIRE!G27</f>
        <v>89803</v>
      </c>
      <c r="F329" s="7">
        <f>CAMBRIDGESHIRE!H27</f>
        <v>91189</v>
      </c>
      <c r="G329" s="7">
        <f>CAMBRIDGESHIRE!I27</f>
        <v>90993</v>
      </c>
      <c r="H329" s="7">
        <f>CAMBRIDGESHIRE!J27</f>
        <v>89991</v>
      </c>
      <c r="I329" s="7">
        <f>CAMBRIDGESHIRE!K27</f>
        <v>92698</v>
      </c>
      <c r="J329" s="7">
        <f>CAMBRIDGESHIRE!L27</f>
        <v>91982</v>
      </c>
      <c r="K329" s="7">
        <f>CAMBRIDGESHIRE!M27</f>
        <v>91121</v>
      </c>
      <c r="L329" s="7">
        <f>CAMBRIDGESHIRE!N27</f>
        <v>95690</v>
      </c>
      <c r="M329" s="7">
        <f>CAMBRIDGESHIRE!O27</f>
        <v>95684</v>
      </c>
      <c r="N329" s="34">
        <f t="shared" si="20"/>
        <v>9.5308958538428079E-2</v>
      </c>
      <c r="O329" s="34"/>
      <c r="P329" s="7">
        <f t="shared" si="21"/>
        <v>22291</v>
      </c>
      <c r="Q329" s="1004">
        <f t="shared" si="22"/>
        <v>0.3037210633166651</v>
      </c>
      <c r="R329" s="6">
        <v>3</v>
      </c>
      <c r="S329" s="6">
        <v>4</v>
      </c>
      <c r="T329" s="6">
        <v>4</v>
      </c>
      <c r="U329" s="6">
        <v>4</v>
      </c>
      <c r="V329" s="6">
        <v>3</v>
      </c>
      <c r="W329" s="6">
        <v>2</v>
      </c>
      <c r="X329" s="6">
        <v>2</v>
      </c>
      <c r="Y329" s="6">
        <v>2</v>
      </c>
      <c r="Z329" s="6">
        <v>3</v>
      </c>
      <c r="AA329" s="6">
        <v>3</v>
      </c>
      <c r="AB329" s="6">
        <v>3</v>
      </c>
      <c r="AC329" s="6">
        <v>5</v>
      </c>
      <c r="AD329" s="6">
        <f t="shared" si="23"/>
        <v>-2</v>
      </c>
      <c r="AE329" s="6" t="s">
        <v>15829</v>
      </c>
    </row>
    <row r="330" spans="1:31">
      <c r="A330" s="33" t="str">
        <f>DURHAM!A21</f>
        <v>North West Durham CC</v>
      </c>
      <c r="B330" s="7">
        <f>DURHAM!D21</f>
        <v>70167</v>
      </c>
      <c r="C330" s="7">
        <f>DURHAM!E21</f>
        <v>72760</v>
      </c>
      <c r="D330" s="7">
        <f>DURHAM!F21</f>
        <v>72615</v>
      </c>
      <c r="E330" s="7">
        <f>DURHAM!G21</f>
        <v>72742</v>
      </c>
      <c r="F330" s="7">
        <f>DURHAM!H21</f>
        <v>71776</v>
      </c>
      <c r="G330" s="7">
        <f>DURHAM!I21</f>
        <v>68615</v>
      </c>
      <c r="H330" s="7">
        <f>DURHAM!J21</f>
        <v>69094</v>
      </c>
      <c r="I330" s="7">
        <f>DURHAM!K21</f>
        <v>71244</v>
      </c>
      <c r="J330" s="7">
        <f>DURHAM!L21</f>
        <v>71567</v>
      </c>
      <c r="K330" s="7">
        <f>DURHAM!M21</f>
        <v>70842</v>
      </c>
      <c r="L330" s="7">
        <f>DURHAM!N21</f>
        <v>72560</v>
      </c>
      <c r="M330" s="7">
        <f>DURHAM!O21</f>
        <v>72432</v>
      </c>
      <c r="N330" s="34">
        <f t="shared" si="20"/>
        <v>3.2280131685835219E-2</v>
      </c>
      <c r="O330" s="34"/>
      <c r="P330" s="7">
        <f t="shared" si="21"/>
        <v>-961</v>
      </c>
      <c r="Q330" s="1004">
        <f t="shared" si="22"/>
        <v>-1.3093891788045181E-2</v>
      </c>
      <c r="R330" s="6">
        <v>319</v>
      </c>
      <c r="S330" s="6">
        <v>240</v>
      </c>
      <c r="T330" s="6">
        <v>266</v>
      </c>
      <c r="U330" s="6">
        <v>278</v>
      </c>
      <c r="V330" s="6">
        <v>292</v>
      </c>
      <c r="W330" s="6">
        <v>347</v>
      </c>
      <c r="X330" s="6">
        <v>305</v>
      </c>
      <c r="Y330" s="6">
        <v>285</v>
      </c>
      <c r="Z330" s="6">
        <v>295</v>
      </c>
      <c r="AA330" s="6">
        <v>294</v>
      </c>
      <c r="AB330" s="6">
        <v>304</v>
      </c>
      <c r="AC330" s="6">
        <v>336</v>
      </c>
      <c r="AD330" s="6">
        <f t="shared" si="23"/>
        <v>-32</v>
      </c>
      <c r="AE330" s="6" t="s">
        <v>2901</v>
      </c>
    </row>
    <row r="331" spans="1:31">
      <c r="A331" s="33" t="str">
        <f>HAMPSHIRE!A54</f>
        <v>North West Hampshire CC</v>
      </c>
      <c r="B331" s="7">
        <f>HAMPSHIRE!D56</f>
        <v>76608</v>
      </c>
      <c r="C331" s="7">
        <f>HAMPSHIRE!E56</f>
        <v>77020</v>
      </c>
      <c r="D331" s="7">
        <f>HAMPSHIRE!F56</f>
        <v>77435</v>
      </c>
      <c r="E331" s="7">
        <f>HAMPSHIRE!G56</f>
        <v>78387</v>
      </c>
      <c r="F331" s="7">
        <f>HAMPSHIRE!H56</f>
        <v>79769</v>
      </c>
      <c r="G331" s="7">
        <f>HAMPSHIRE!I56</f>
        <v>78575</v>
      </c>
      <c r="H331" s="7">
        <f>HAMPSHIRE!J56</f>
        <v>78019</v>
      </c>
      <c r="I331" s="7">
        <f>HAMPSHIRE!K56</f>
        <v>80447</v>
      </c>
      <c r="J331" s="7">
        <f>HAMPSHIRE!L56</f>
        <v>80902</v>
      </c>
      <c r="K331" s="7">
        <f>HAMPSHIRE!M56</f>
        <v>80165</v>
      </c>
      <c r="L331" s="7">
        <f>HAMPSHIRE!N56</f>
        <v>83297</v>
      </c>
      <c r="M331" s="7">
        <f>HAMPSHIRE!O56</f>
        <v>83303</v>
      </c>
      <c r="N331" s="34">
        <f t="shared" si="20"/>
        <v>8.7392961570593147E-2</v>
      </c>
      <c r="O331" s="34"/>
      <c r="P331" s="7">
        <f t="shared" si="21"/>
        <v>9910</v>
      </c>
      <c r="Q331" s="1004">
        <f t="shared" si="22"/>
        <v>0.13502650116496123</v>
      </c>
      <c r="R331" s="6">
        <v>110</v>
      </c>
      <c r="S331" s="6">
        <v>110</v>
      </c>
      <c r="T331" s="6">
        <v>114</v>
      </c>
      <c r="U331" s="6">
        <v>97</v>
      </c>
      <c r="V331" s="6">
        <v>59</v>
      </c>
      <c r="W331" s="6">
        <v>60</v>
      </c>
      <c r="X331" s="6">
        <v>58</v>
      </c>
      <c r="Y331" s="6">
        <v>58</v>
      </c>
      <c r="Z331" s="6">
        <v>66</v>
      </c>
      <c r="AA331" s="6">
        <v>71</v>
      </c>
      <c r="AB331" s="6">
        <v>56</v>
      </c>
      <c r="AC331" s="6">
        <v>69</v>
      </c>
      <c r="AD331" s="6">
        <f t="shared" si="23"/>
        <v>-13</v>
      </c>
      <c r="AE331" s="6" t="s">
        <v>15823</v>
      </c>
    </row>
    <row r="332" spans="1:31">
      <c r="A332" s="33" t="str">
        <f>LEICESTERSHIRE!A32</f>
        <v>North West Leicestershire CC</v>
      </c>
      <c r="B332" s="7">
        <f>LEICESTERSHIRE!D32</f>
        <v>71108</v>
      </c>
      <c r="C332" s="7">
        <f>LEICESTERSHIRE!E32</f>
        <v>72022</v>
      </c>
      <c r="D332" s="7">
        <f>LEICESTERSHIRE!F32</f>
        <v>72392</v>
      </c>
      <c r="E332" s="7">
        <f>LEICESTERSHIRE!G32</f>
        <v>72823</v>
      </c>
      <c r="F332" s="7">
        <f>LEICESTERSHIRE!H32</f>
        <v>72678</v>
      </c>
      <c r="G332" s="7">
        <f>LEICESTERSHIRE!I32</f>
        <v>70231</v>
      </c>
      <c r="H332" s="7">
        <f>LEICESTERSHIRE!J32</f>
        <v>71377</v>
      </c>
      <c r="I332" s="7">
        <f>LEICESTERSHIRE!K32</f>
        <v>74767</v>
      </c>
      <c r="J332" s="7">
        <f>LEICESTERSHIRE!L32</f>
        <v>76225</v>
      </c>
      <c r="K332" s="7">
        <f>LEICESTERSHIRE!M32</f>
        <v>77909</v>
      </c>
      <c r="L332" s="7">
        <f>LEICESTERSHIRE!N32</f>
        <v>78748</v>
      </c>
      <c r="M332" s="7">
        <f>LEICESTERSHIRE!O32</f>
        <v>79551</v>
      </c>
      <c r="N332" s="34">
        <f t="shared" si="20"/>
        <v>0.11873488215109411</v>
      </c>
      <c r="O332" s="34"/>
      <c r="P332" s="7">
        <f t="shared" si="21"/>
        <v>6158</v>
      </c>
      <c r="Q332" s="1004">
        <f t="shared" si="22"/>
        <v>8.3904459553363397E-2</v>
      </c>
      <c r="R332" s="6">
        <v>288</v>
      </c>
      <c r="S332" s="6">
        <v>270</v>
      </c>
      <c r="T332" s="6">
        <v>278</v>
      </c>
      <c r="U332" s="6">
        <v>272</v>
      </c>
      <c r="V332" s="6">
        <v>253</v>
      </c>
      <c r="W332" s="6">
        <v>283</v>
      </c>
      <c r="X332" s="6">
        <v>220</v>
      </c>
      <c r="Y332" s="6">
        <v>167</v>
      </c>
      <c r="Z332" s="6">
        <v>153</v>
      </c>
      <c r="AA332" s="6">
        <v>115</v>
      </c>
      <c r="AB332" s="6">
        <v>141</v>
      </c>
      <c r="AC332" s="6">
        <v>139</v>
      </c>
      <c r="AD332" s="6">
        <f t="shared" si="23"/>
        <v>2</v>
      </c>
      <c r="AE332" s="6" t="s">
        <v>15826</v>
      </c>
    </row>
    <row r="333" spans="1:31">
      <c r="A333" s="33" t="str">
        <f>NORFOLK!A27</f>
        <v>North West Norfolk CC</v>
      </c>
      <c r="B333" s="7">
        <f>NORFOLK!D27</f>
        <v>73397</v>
      </c>
      <c r="C333" s="7">
        <f>NORFOLK!E27</f>
        <v>73269</v>
      </c>
      <c r="D333" s="7">
        <f>NORFOLK!F27</f>
        <v>73415</v>
      </c>
      <c r="E333" s="7">
        <f>NORFOLK!G27</f>
        <v>73663</v>
      </c>
      <c r="F333" s="7">
        <f>NORFOLK!H27</f>
        <v>72137</v>
      </c>
      <c r="G333" s="7">
        <f>NORFOLK!I27</f>
        <v>70892</v>
      </c>
      <c r="H333" s="7">
        <f>NORFOLK!J27</f>
        <v>70679</v>
      </c>
      <c r="I333" s="7">
        <f>NORFOLK!K27</f>
        <v>70789</v>
      </c>
      <c r="J333" s="7">
        <f>NORFOLK!L27</f>
        <v>71241</v>
      </c>
      <c r="K333" s="7">
        <f>NORFOLK!M27</f>
        <v>70507</v>
      </c>
      <c r="L333" s="7">
        <f>NORFOLK!N27</f>
        <v>72586</v>
      </c>
      <c r="M333" s="7">
        <f>NORFOLK!O27</f>
        <v>71719</v>
      </c>
      <c r="N333" s="34">
        <f t="shared" si="20"/>
        <v>-2.2861969835279373E-2</v>
      </c>
      <c r="O333" s="34"/>
      <c r="P333" s="7">
        <f t="shared" si="21"/>
        <v>-1674</v>
      </c>
      <c r="Q333" s="1004">
        <f t="shared" si="22"/>
        <v>-2.2808714727562573E-2</v>
      </c>
      <c r="R333" s="6">
        <v>183</v>
      </c>
      <c r="S333" s="6">
        <v>218</v>
      </c>
      <c r="T333" s="6">
        <v>227</v>
      </c>
      <c r="U333" s="6">
        <v>227</v>
      </c>
      <c r="V333" s="6">
        <v>283</v>
      </c>
      <c r="W333" s="6">
        <v>269</v>
      </c>
      <c r="X333" s="6">
        <v>242</v>
      </c>
      <c r="Y333" s="6">
        <v>304</v>
      </c>
      <c r="Z333" s="36">
        <v>311</v>
      </c>
      <c r="AA333" s="6">
        <v>311</v>
      </c>
      <c r="AB333" s="6">
        <v>302</v>
      </c>
      <c r="AC333" s="6">
        <v>356</v>
      </c>
      <c r="AD333" s="6">
        <f t="shared" si="23"/>
        <v>-54</v>
      </c>
      <c r="AE333" s="6" t="s">
        <v>15829</v>
      </c>
    </row>
    <row r="334" spans="1:31">
      <c r="A334" s="33" t="str">
        <f>WILTSHIRE!A11</f>
        <v>North Wiltshire CC</v>
      </c>
      <c r="B334" s="7">
        <f>WILTSHIRE!D11</f>
        <v>65762</v>
      </c>
      <c r="C334" s="7">
        <f>WILTSHIRE!E11</f>
        <v>67154</v>
      </c>
      <c r="D334" s="7">
        <f>WILTSHIRE!F11</f>
        <v>66986</v>
      </c>
      <c r="E334" s="7">
        <f>WILTSHIRE!G11</f>
        <v>67313</v>
      </c>
      <c r="F334" s="7">
        <f>WILTSHIRE!H11</f>
        <v>67648</v>
      </c>
      <c r="G334" s="7">
        <f>WILTSHIRE!I11</f>
        <v>65506</v>
      </c>
      <c r="H334" s="7">
        <f>WILTSHIRE!J11</f>
        <v>66692</v>
      </c>
      <c r="I334" s="7">
        <f>WILTSHIRE!K11</f>
        <v>69032</v>
      </c>
      <c r="J334" s="7">
        <f>WILTSHIRE!L11</f>
        <v>70473</v>
      </c>
      <c r="K334" s="7">
        <f>WILTSHIRE!M11</f>
        <v>69978</v>
      </c>
      <c r="L334" s="7">
        <f>WILTSHIRE!N11</f>
        <v>73818</v>
      </c>
      <c r="M334" s="7">
        <f>WILTSHIRE!O11</f>
        <v>73678</v>
      </c>
      <c r="N334" s="34">
        <f t="shared" si="20"/>
        <v>0.12037346796022019</v>
      </c>
      <c r="O334" s="34"/>
      <c r="P334" s="7">
        <f t="shared" si="21"/>
        <v>285</v>
      </c>
      <c r="Q334" s="1004">
        <f t="shared" si="22"/>
        <v>3.8832041202839507E-3</v>
      </c>
      <c r="R334" s="6">
        <v>443</v>
      </c>
      <c r="S334" s="6">
        <v>417</v>
      </c>
      <c r="T334" s="6">
        <v>433</v>
      </c>
      <c r="U334" s="6">
        <v>435</v>
      </c>
      <c r="V334" s="6">
        <v>407</v>
      </c>
      <c r="W334" s="6">
        <v>424</v>
      </c>
      <c r="X334" s="6">
        <v>383</v>
      </c>
      <c r="Y334" s="6">
        <v>363</v>
      </c>
      <c r="Z334" s="6">
        <v>342</v>
      </c>
      <c r="AA334" s="6">
        <v>333</v>
      </c>
      <c r="AB334" s="6">
        <v>268</v>
      </c>
      <c r="AC334" s="6">
        <v>292</v>
      </c>
      <c r="AD334" s="6">
        <f t="shared" si="23"/>
        <v>-24</v>
      </c>
      <c r="AE334" s="6" t="s">
        <v>15830</v>
      </c>
    </row>
    <row r="335" spans="1:31">
      <c r="A335" s="33" t="str">
        <f>NORTHAMPTONSHIRE!A18</f>
        <v>Northampton North BC</v>
      </c>
      <c r="B335" s="7">
        <f>NORTHAMPTONSHIRE!D18</f>
        <v>61749</v>
      </c>
      <c r="C335" s="7">
        <f>NORTHAMPTONSHIRE!E18</f>
        <v>62095</v>
      </c>
      <c r="D335" s="7">
        <f>NORTHAMPTONSHIRE!F18</f>
        <v>61808</v>
      </c>
      <c r="E335" s="7">
        <f>NORTHAMPTONSHIRE!G18</f>
        <v>62032</v>
      </c>
      <c r="F335" s="7">
        <f>NORTHAMPTONSHIRE!H18</f>
        <v>58295</v>
      </c>
      <c r="G335" s="7">
        <f>NORTHAMPTONSHIRE!I18</f>
        <v>57749</v>
      </c>
      <c r="H335" s="7">
        <f>NORTHAMPTONSHIRE!J18</f>
        <v>56005</v>
      </c>
      <c r="I335" s="7">
        <f>NORTHAMPTONSHIRE!K18</f>
        <v>57463</v>
      </c>
      <c r="J335" s="7">
        <f>NORTHAMPTONSHIRE!L18</f>
        <v>58324</v>
      </c>
      <c r="K335" s="7">
        <f>NORTHAMPTONSHIRE!M18</f>
        <v>58398</v>
      </c>
      <c r="L335" s="7">
        <f>NORTHAMPTONSHIRE!N18</f>
        <v>59188</v>
      </c>
      <c r="M335" s="7">
        <f>NORTHAMPTONSHIRE!O18</f>
        <v>59114</v>
      </c>
      <c r="N335" s="34">
        <f t="shared" si="20"/>
        <v>-4.2672755834102578E-2</v>
      </c>
      <c r="O335" s="34"/>
      <c r="P335" s="7">
        <f t="shared" si="21"/>
        <v>-14279</v>
      </c>
      <c r="Q335" s="1004">
        <f t="shared" si="22"/>
        <v>-0.19455533906503344</v>
      </c>
      <c r="R335" s="6">
        <v>515</v>
      </c>
      <c r="S335" s="6">
        <v>514</v>
      </c>
      <c r="T335" s="6">
        <v>520</v>
      </c>
      <c r="U335" s="6">
        <v>516</v>
      </c>
      <c r="V335" s="6">
        <v>528</v>
      </c>
      <c r="W335" s="6">
        <v>521</v>
      </c>
      <c r="X335" s="6">
        <v>525</v>
      </c>
      <c r="Y335" s="6">
        <v>526</v>
      </c>
      <c r="Z335" s="6">
        <v>526</v>
      </c>
      <c r="AA335" s="6">
        <v>523</v>
      </c>
      <c r="AB335" s="6">
        <v>524</v>
      </c>
      <c r="AC335" s="6">
        <v>527</v>
      </c>
      <c r="AD335" s="6">
        <f t="shared" si="23"/>
        <v>-3</v>
      </c>
      <c r="AE335" s="6" t="s">
        <v>15826</v>
      </c>
    </row>
    <row r="336" spans="1:31">
      <c r="A336" s="33" t="str">
        <f>NORTHAMPTONSHIRE!A20</f>
        <v>Northampton South BC</v>
      </c>
      <c r="B336" s="7">
        <f>NORTHAMPTONSHIRE!D20</f>
        <v>62852</v>
      </c>
      <c r="C336" s="7">
        <f>NORTHAMPTONSHIRE!E20</f>
        <v>63748</v>
      </c>
      <c r="D336" s="7">
        <f>NORTHAMPTONSHIRE!F20</f>
        <v>63638</v>
      </c>
      <c r="E336" s="7">
        <f>NORTHAMPTONSHIRE!G20</f>
        <v>63935</v>
      </c>
      <c r="F336" s="7">
        <f>NORTHAMPTONSHIRE!H20</f>
        <v>57476</v>
      </c>
      <c r="G336" s="7">
        <f>NORTHAMPTONSHIRE!I20</f>
        <v>59411</v>
      </c>
      <c r="H336" s="7">
        <f>NORTHAMPTONSHIRE!J20</f>
        <v>58416</v>
      </c>
      <c r="I336" s="7">
        <f>NORTHAMPTONSHIRE!K20</f>
        <v>60204</v>
      </c>
      <c r="J336" s="7">
        <f>NORTHAMPTONSHIRE!L20</f>
        <v>60993</v>
      </c>
      <c r="K336" s="7">
        <f>NORTHAMPTONSHIRE!M20</f>
        <v>60927</v>
      </c>
      <c r="L336" s="7">
        <f>NORTHAMPTONSHIRE!N20</f>
        <v>62553</v>
      </c>
      <c r="M336" s="7">
        <f>NORTHAMPTONSHIRE!O20</f>
        <v>62516</v>
      </c>
      <c r="N336" s="34">
        <f t="shared" si="20"/>
        <v>-5.3458919366129957E-3</v>
      </c>
      <c r="O336" s="34"/>
      <c r="P336" s="7">
        <f t="shared" si="21"/>
        <v>-10877</v>
      </c>
      <c r="Q336" s="1004">
        <f t="shared" si="22"/>
        <v>-0.1482021446186966</v>
      </c>
      <c r="R336" s="6">
        <v>507</v>
      </c>
      <c r="S336" s="6">
        <v>494</v>
      </c>
      <c r="T336" s="6">
        <v>498</v>
      </c>
      <c r="U336" s="6">
        <v>498</v>
      </c>
      <c r="V336" s="6">
        <v>529</v>
      </c>
      <c r="W336" s="6">
        <v>514</v>
      </c>
      <c r="X336" s="6">
        <v>523</v>
      </c>
      <c r="Y336" s="6">
        <v>513</v>
      </c>
      <c r="Z336" s="6">
        <v>508</v>
      </c>
      <c r="AA336" s="6">
        <v>499</v>
      </c>
      <c r="AB336" s="6">
        <v>503</v>
      </c>
      <c r="AC336" s="6">
        <v>507</v>
      </c>
      <c r="AD336" s="6">
        <f t="shared" si="23"/>
        <v>-4</v>
      </c>
      <c r="AE336" s="6" t="s">
        <v>15826</v>
      </c>
    </row>
    <row r="337" spans="1:31">
      <c r="A337" s="33" t="str">
        <f>NORFOLK!A29</f>
        <v>Norwich North BC</v>
      </c>
      <c r="B337" s="7">
        <f>NORFOLK!D31</f>
        <v>64496</v>
      </c>
      <c r="C337" s="7">
        <f>NORFOLK!E31</f>
        <v>64982</v>
      </c>
      <c r="D337" s="7">
        <f>NORFOLK!F31</f>
        <v>65336</v>
      </c>
      <c r="E337" s="7">
        <f>NORFOLK!G31</f>
        <v>65887</v>
      </c>
      <c r="F337" s="7">
        <f>NORFOLK!H31</f>
        <v>65834</v>
      </c>
      <c r="G337" s="7">
        <f>NORFOLK!I31</f>
        <v>63550</v>
      </c>
      <c r="H337" s="7">
        <f>NORFOLK!J31</f>
        <v>63487</v>
      </c>
      <c r="I337" s="7">
        <f>NORFOLK!K31</f>
        <v>65293</v>
      </c>
      <c r="J337" s="7">
        <f>NORFOLK!L31</f>
        <v>65593</v>
      </c>
      <c r="K337" s="7">
        <f>NORFOLK!M31</f>
        <v>65043</v>
      </c>
      <c r="L337" s="7">
        <f>NORFOLK!N31</f>
        <v>66716</v>
      </c>
      <c r="M337" s="7">
        <f>NORFOLK!O31</f>
        <v>66294</v>
      </c>
      <c r="N337" s="34">
        <f t="shared" si="20"/>
        <v>2.7877697841726619E-2</v>
      </c>
      <c r="O337" s="34"/>
      <c r="P337" s="7">
        <f t="shared" si="21"/>
        <v>-7099</v>
      </c>
      <c r="Q337" s="1004">
        <f t="shared" si="22"/>
        <v>-9.672584578910795E-2</v>
      </c>
      <c r="R337" s="6">
        <v>475</v>
      </c>
      <c r="S337" s="6">
        <v>477</v>
      </c>
      <c r="T337" s="6">
        <v>471</v>
      </c>
      <c r="U337" s="6">
        <v>469</v>
      </c>
      <c r="V337" s="6">
        <v>451</v>
      </c>
      <c r="W337" s="6">
        <v>475</v>
      </c>
      <c r="X337" s="6">
        <v>453</v>
      </c>
      <c r="Y337" s="6">
        <v>445</v>
      </c>
      <c r="Z337" s="6">
        <v>446</v>
      </c>
      <c r="AA337" s="6">
        <v>452</v>
      </c>
      <c r="AB337" s="6">
        <v>445</v>
      </c>
      <c r="AC337" s="6">
        <v>464</v>
      </c>
      <c r="AD337" s="6">
        <f t="shared" si="23"/>
        <v>-19</v>
      </c>
      <c r="AE337" s="6" t="s">
        <v>15829</v>
      </c>
    </row>
    <row r="338" spans="1:31">
      <c r="A338" s="33" t="str">
        <f>NORFOLK!A33</f>
        <v>Norwich South BC</v>
      </c>
      <c r="B338" s="7">
        <f>NORFOLK!D35</f>
        <v>72538</v>
      </c>
      <c r="C338" s="7">
        <f>NORFOLK!E35</f>
        <v>73569</v>
      </c>
      <c r="D338" s="7">
        <f>NORFOLK!F35</f>
        <v>73735</v>
      </c>
      <c r="E338" s="7">
        <f>NORFOLK!G35</f>
        <v>72744</v>
      </c>
      <c r="F338" s="7">
        <f>NORFOLK!H35</f>
        <v>73220</v>
      </c>
      <c r="G338" s="7">
        <f>NORFOLK!I35</f>
        <v>69606</v>
      </c>
      <c r="H338" s="7">
        <f>NORFOLK!J35</f>
        <v>68963</v>
      </c>
      <c r="I338" s="7">
        <f>NORFOLK!K35</f>
        <v>69361</v>
      </c>
      <c r="J338" s="7">
        <f>NORFOLK!L35</f>
        <v>71321</v>
      </c>
      <c r="K338" s="7">
        <f>NORFOLK!M35</f>
        <v>68713</v>
      </c>
      <c r="L338" s="7">
        <f>NORFOLK!N35</f>
        <v>78565</v>
      </c>
      <c r="M338" s="7">
        <f>NORFOLK!O35</f>
        <v>73481</v>
      </c>
      <c r="N338" s="34">
        <f t="shared" si="20"/>
        <v>1.3000082715266481E-2</v>
      </c>
      <c r="O338" s="34"/>
      <c r="P338" s="7">
        <f t="shared" si="21"/>
        <v>88</v>
      </c>
      <c r="Q338" s="1004">
        <f t="shared" si="22"/>
        <v>1.1990244301227637E-3</v>
      </c>
      <c r="R338" s="6">
        <v>217</v>
      </c>
      <c r="S338" s="6">
        <v>204</v>
      </c>
      <c r="T338" s="6">
        <v>210</v>
      </c>
      <c r="U338" s="6">
        <v>277</v>
      </c>
      <c r="V338" s="6">
        <v>237</v>
      </c>
      <c r="W338" s="6">
        <v>309</v>
      </c>
      <c r="X338" s="6">
        <v>309</v>
      </c>
      <c r="Y338" s="6">
        <v>354</v>
      </c>
      <c r="Z338" s="6">
        <v>306</v>
      </c>
      <c r="AA338" s="6">
        <v>371</v>
      </c>
      <c r="AB338" s="6">
        <v>148</v>
      </c>
      <c r="AC338" s="6">
        <v>296</v>
      </c>
      <c r="AD338" s="6">
        <f t="shared" si="23"/>
        <v>-148</v>
      </c>
      <c r="AE338" s="6" t="s">
        <v>15829</v>
      </c>
    </row>
    <row r="339" spans="1:31">
      <c r="A339" s="33" t="str">
        <f>NOTTINGHAM!A7</f>
        <v>Nottingham East BC</v>
      </c>
      <c r="B339" s="7">
        <f>NOTTINGHAM!D7</f>
        <v>57353</v>
      </c>
      <c r="C339" s="7">
        <f>NOTTINGHAM!E7</f>
        <v>59489</v>
      </c>
      <c r="D339" s="7">
        <f>NOTTINGHAM!F7</f>
        <v>61851</v>
      </c>
      <c r="E339" s="7">
        <f>NOTTINGHAM!G7</f>
        <v>60933</v>
      </c>
      <c r="F339" s="7">
        <f>NOTTINGHAM!H7</f>
        <v>59119</v>
      </c>
      <c r="G339" s="7">
        <f>NOTTINGHAM!I7</f>
        <v>55250</v>
      </c>
      <c r="H339" s="7">
        <f>NOTTINGHAM!J7</f>
        <v>57132</v>
      </c>
      <c r="I339" s="7">
        <f>NOTTINGHAM!K7</f>
        <v>59207</v>
      </c>
      <c r="J339" s="7">
        <f>NOTTINGHAM!L7</f>
        <v>63628</v>
      </c>
      <c r="K339" s="7">
        <f>NOTTINGHAM!M7</f>
        <v>58930</v>
      </c>
      <c r="L339" s="7">
        <f>NOTTINGHAM!N7</f>
        <v>66623</v>
      </c>
      <c r="M339" s="7">
        <f>NOTTINGHAM!O7</f>
        <v>66279</v>
      </c>
      <c r="N339" s="34">
        <f t="shared" si="20"/>
        <v>0.15563266088957858</v>
      </c>
      <c r="O339" s="34"/>
      <c r="P339" s="7">
        <f t="shared" si="21"/>
        <v>-7114</v>
      </c>
      <c r="Q339" s="1004">
        <f t="shared" si="22"/>
        <v>-9.6930224953333421E-2</v>
      </c>
      <c r="R339" s="6">
        <v>530</v>
      </c>
      <c r="S339" s="6">
        <v>529</v>
      </c>
      <c r="T339" s="6">
        <v>518</v>
      </c>
      <c r="U339" s="6">
        <v>527</v>
      </c>
      <c r="V339" s="6">
        <v>526</v>
      </c>
      <c r="W339" s="6">
        <v>531</v>
      </c>
      <c r="X339" s="6">
        <v>524</v>
      </c>
      <c r="Y339" s="6">
        <v>520</v>
      </c>
      <c r="Z339" s="6">
        <v>482</v>
      </c>
      <c r="AA339" s="6">
        <v>518</v>
      </c>
      <c r="AB339" s="6">
        <v>447</v>
      </c>
      <c r="AC339" s="6">
        <v>465</v>
      </c>
      <c r="AD339" s="6">
        <f t="shared" si="23"/>
        <v>-18</v>
      </c>
      <c r="AE339" s="6" t="s">
        <v>15826</v>
      </c>
    </row>
    <row r="340" spans="1:31">
      <c r="A340" s="33" t="str">
        <f>NOTTINGHAM!A9</f>
        <v>Nottingham North BC</v>
      </c>
      <c r="B340" s="7">
        <f>NOTTINGHAM!D9</f>
        <v>63271</v>
      </c>
      <c r="C340" s="7">
        <f>NOTTINGHAM!E9</f>
        <v>64578</v>
      </c>
      <c r="D340" s="7">
        <f>NOTTINGHAM!F9</f>
        <v>65248</v>
      </c>
      <c r="E340" s="7">
        <f>NOTTINGHAM!G9</f>
        <v>65434</v>
      </c>
      <c r="F340" s="7">
        <f>NOTTINGHAM!H9</f>
        <v>64436</v>
      </c>
      <c r="G340" s="7">
        <f>NOTTINGHAM!I9</f>
        <v>64090</v>
      </c>
      <c r="H340" s="7">
        <f>NOTTINGHAM!J9</f>
        <v>64727</v>
      </c>
      <c r="I340" s="7">
        <f>NOTTINGHAM!K9</f>
        <v>66426</v>
      </c>
      <c r="J340" s="7">
        <f>NOTTINGHAM!L9</f>
        <v>68434</v>
      </c>
      <c r="K340" s="7">
        <f>NOTTINGHAM!M9</f>
        <v>65727</v>
      </c>
      <c r="L340" s="7">
        <f>NOTTINGHAM!N9</f>
        <v>67119</v>
      </c>
      <c r="M340" s="7">
        <f>NOTTINGHAM!O9</f>
        <v>66914</v>
      </c>
      <c r="N340" s="34">
        <f t="shared" si="20"/>
        <v>5.7577721230895669E-2</v>
      </c>
      <c r="O340" s="34"/>
      <c r="P340" s="7">
        <f t="shared" si="21"/>
        <v>-6479</v>
      </c>
      <c r="Q340" s="1004">
        <f t="shared" si="22"/>
        <v>-8.8278173667788479E-2</v>
      </c>
      <c r="R340" s="6">
        <v>497</v>
      </c>
      <c r="S340" s="6">
        <v>486</v>
      </c>
      <c r="T340" s="6">
        <v>478</v>
      </c>
      <c r="U340" s="6">
        <v>480</v>
      </c>
      <c r="V340" s="6">
        <v>478</v>
      </c>
      <c r="W340" s="6">
        <v>459</v>
      </c>
      <c r="X340" s="6">
        <v>427</v>
      </c>
      <c r="Y340" s="6">
        <v>421</v>
      </c>
      <c r="Z340" s="6">
        <v>390</v>
      </c>
      <c r="AA340" s="6">
        <v>435</v>
      </c>
      <c r="AB340" s="6">
        <v>437</v>
      </c>
      <c r="AC340" s="6">
        <v>453</v>
      </c>
      <c r="AD340" s="6">
        <f t="shared" si="23"/>
        <v>-16</v>
      </c>
      <c r="AE340" s="6" t="s">
        <v>15826</v>
      </c>
    </row>
    <row r="341" spans="1:31">
      <c r="A341" s="33" t="str">
        <f>NOTTINGHAM!A11</f>
        <v>Nottingham South BC</v>
      </c>
      <c r="B341" s="7">
        <f>NOTTINGHAM!D11</f>
        <v>66100</v>
      </c>
      <c r="C341" s="7">
        <f>NOTTINGHAM!E11</f>
        <v>69154</v>
      </c>
      <c r="D341" s="7">
        <f>NOTTINGHAM!F11</f>
        <v>72021</v>
      </c>
      <c r="E341" s="7">
        <f>NOTTINGHAM!G11</f>
        <v>71755</v>
      </c>
      <c r="F341" s="7">
        <f>NOTTINGHAM!H11</f>
        <v>70787</v>
      </c>
      <c r="G341" s="7">
        <f>NOTTINGHAM!I11</f>
        <v>61884</v>
      </c>
      <c r="H341" s="7">
        <f>NOTTINGHAM!J11</f>
        <v>65512</v>
      </c>
      <c r="I341" s="7">
        <f>NOTTINGHAM!K11</f>
        <v>66653</v>
      </c>
      <c r="J341" s="7">
        <f>NOTTINGHAM!L11</f>
        <v>74362</v>
      </c>
      <c r="K341" s="7">
        <f>NOTTINGHAM!M11</f>
        <v>67583</v>
      </c>
      <c r="L341" s="7">
        <f>NOTTINGHAM!N11</f>
        <v>79928</v>
      </c>
      <c r="M341" s="7">
        <f>NOTTINGHAM!O11</f>
        <v>79684</v>
      </c>
      <c r="N341" s="34">
        <f t="shared" si="20"/>
        <v>0.20550680786686837</v>
      </c>
      <c r="O341" s="34"/>
      <c r="P341" s="7">
        <f t="shared" si="21"/>
        <v>6291</v>
      </c>
      <c r="Q341" s="1004">
        <f t="shared" si="22"/>
        <v>8.5716621476162574E-2</v>
      </c>
      <c r="R341" s="6">
        <v>435</v>
      </c>
      <c r="S341" s="6">
        <v>359</v>
      </c>
      <c r="T341" s="6">
        <v>292</v>
      </c>
      <c r="U341" s="6">
        <v>309</v>
      </c>
      <c r="V341" s="6">
        <v>320</v>
      </c>
      <c r="W341" s="6">
        <v>494</v>
      </c>
      <c r="X341" s="6">
        <v>412</v>
      </c>
      <c r="Y341" s="6">
        <v>417</v>
      </c>
      <c r="Z341" s="6">
        <v>201</v>
      </c>
      <c r="AA341" s="6">
        <v>398</v>
      </c>
      <c r="AB341" s="6">
        <v>114</v>
      </c>
      <c r="AC341" s="6">
        <v>135</v>
      </c>
      <c r="AD341" s="6">
        <f t="shared" si="23"/>
        <v>-21</v>
      </c>
      <c r="AE341" s="6" t="s">
        <v>15826</v>
      </c>
    </row>
    <row r="342" spans="1:31">
      <c r="A342" s="33" t="str">
        <f>WARWICKSHIRE!A23</f>
        <v>Nuneaton CC</v>
      </c>
      <c r="B342" s="7">
        <f>WARWICKSHIRE!D25</f>
        <v>68117</v>
      </c>
      <c r="C342" s="7">
        <f>WARWICKSHIRE!E25</f>
        <v>68288</v>
      </c>
      <c r="D342" s="7">
        <f>WARWICKSHIRE!F25</f>
        <v>68580</v>
      </c>
      <c r="E342" s="7">
        <f>WARWICKSHIRE!G25</f>
        <v>69320</v>
      </c>
      <c r="F342" s="7">
        <f>WARWICKSHIRE!H25</f>
        <v>68037</v>
      </c>
      <c r="G342" s="7">
        <f>WARWICKSHIRE!I25</f>
        <v>66878</v>
      </c>
      <c r="H342" s="7">
        <f>WARWICKSHIRE!J25</f>
        <v>65757</v>
      </c>
      <c r="I342" s="7">
        <f>WARWICKSHIRE!K25</f>
        <v>67594</v>
      </c>
      <c r="J342" s="7">
        <f>WARWICKSHIRE!L25</f>
        <v>68637</v>
      </c>
      <c r="K342" s="7">
        <f>WARWICKSHIRE!M25</f>
        <v>68404</v>
      </c>
      <c r="L342" s="7">
        <f>WARWICKSHIRE!N25</f>
        <v>69103</v>
      </c>
      <c r="M342" s="7">
        <f>WARWICKSHIRE!O25</f>
        <v>70335</v>
      </c>
      <c r="N342" s="34">
        <f t="shared" si="20"/>
        <v>3.2561621915234082E-2</v>
      </c>
      <c r="O342" s="34"/>
      <c r="P342" s="7">
        <f t="shared" si="21"/>
        <v>-3058</v>
      </c>
      <c r="Q342" s="1004">
        <f t="shared" si="22"/>
        <v>-4.1666098946766039E-2</v>
      </c>
      <c r="R342" s="6">
        <v>376</v>
      </c>
      <c r="S342" s="6">
        <v>385</v>
      </c>
      <c r="T342" s="6">
        <v>383</v>
      </c>
      <c r="U342" s="6">
        <v>377</v>
      </c>
      <c r="V342" s="6">
        <v>401</v>
      </c>
      <c r="W342" s="6">
        <v>396</v>
      </c>
      <c r="X342" s="6">
        <v>407</v>
      </c>
      <c r="Y342" s="6">
        <v>399</v>
      </c>
      <c r="Z342" s="6">
        <v>383</v>
      </c>
      <c r="AA342" s="6">
        <v>383</v>
      </c>
      <c r="AB342" s="6">
        <v>407</v>
      </c>
      <c r="AC342" s="6">
        <v>387</v>
      </c>
      <c r="AD342" s="6">
        <f t="shared" si="23"/>
        <v>20</v>
      </c>
      <c r="AE342" s="6" t="s">
        <v>15824</v>
      </c>
    </row>
    <row r="343" spans="1:31">
      <c r="A343" s="33" t="str">
        <f>BEXLEY!A13</f>
        <v>Old Bexley and Sidcup BC</v>
      </c>
      <c r="B343" s="7">
        <f>BEXLEY!D13</f>
        <v>65379</v>
      </c>
      <c r="C343" s="7">
        <f>BEXLEY!E13</f>
        <v>65161</v>
      </c>
      <c r="D343" s="7">
        <f>BEXLEY!F13</f>
        <v>66371</v>
      </c>
      <c r="E343" s="7">
        <f>BEXLEY!G13</f>
        <v>66801</v>
      </c>
      <c r="F343" s="7">
        <f>BEXLEY!H13</f>
        <v>67254</v>
      </c>
      <c r="G343" s="7">
        <f>BEXLEY!I13</f>
        <v>66142</v>
      </c>
      <c r="H343" s="7">
        <f>BEXLEY!J13</f>
        <v>64196</v>
      </c>
      <c r="I343" s="7">
        <f>BEXLEY!K13</f>
        <v>65285</v>
      </c>
      <c r="J343" s="7">
        <f>BEXLEY!L13</f>
        <v>65559</v>
      </c>
      <c r="K343" s="7">
        <f>BEXLEY!M13</f>
        <v>64598</v>
      </c>
      <c r="L343" s="7">
        <f>BEXLEY!N13</f>
        <v>65103</v>
      </c>
      <c r="M343" s="7">
        <f>BEXLEY!O13</f>
        <v>66407</v>
      </c>
      <c r="N343" s="34">
        <f t="shared" si="20"/>
        <v>1.5723703329815385E-2</v>
      </c>
      <c r="O343" s="34"/>
      <c r="P343" s="7">
        <f t="shared" si="21"/>
        <v>-6986</v>
      </c>
      <c r="Q343" s="1004">
        <f t="shared" si="22"/>
        <v>-9.5186189418609402E-2</v>
      </c>
      <c r="R343" s="6">
        <v>453</v>
      </c>
      <c r="S343" s="6">
        <v>473</v>
      </c>
      <c r="T343" s="6">
        <v>449</v>
      </c>
      <c r="U343" s="6">
        <v>446</v>
      </c>
      <c r="V343" s="6">
        <v>420</v>
      </c>
      <c r="W343" s="6">
        <v>415</v>
      </c>
      <c r="X343" s="6">
        <v>436</v>
      </c>
      <c r="Y343" s="6">
        <v>446</v>
      </c>
      <c r="Z343" s="6">
        <v>447</v>
      </c>
      <c r="AA343" s="6">
        <v>456</v>
      </c>
      <c r="AB343" s="6">
        <v>472</v>
      </c>
      <c r="AC343" s="6">
        <v>462</v>
      </c>
      <c r="AD343" s="6">
        <f t="shared" si="23"/>
        <v>10</v>
      </c>
      <c r="AE343" s="6" t="s">
        <v>15827</v>
      </c>
    </row>
    <row r="344" spans="1:31">
      <c r="A344" s="33" t="str">
        <f>'GREATER MANCHESTER'!A61</f>
        <v>Oldham East and Saddleworth CC</v>
      </c>
      <c r="B344" s="7">
        <f>'GREATER MANCHESTER'!D61</f>
        <v>72307</v>
      </c>
      <c r="C344" s="7">
        <f>'GREATER MANCHESTER'!E61</f>
        <v>72249</v>
      </c>
      <c r="D344" s="7">
        <f>'GREATER MANCHESTER'!F61</f>
        <v>71211</v>
      </c>
      <c r="E344" s="7">
        <f>'GREATER MANCHESTER'!G61</f>
        <v>72260</v>
      </c>
      <c r="F344" s="7">
        <f>'GREATER MANCHESTER'!H61</f>
        <v>72168</v>
      </c>
      <c r="G344" s="7">
        <f>'GREATER MANCHESTER'!I61</f>
        <v>70237</v>
      </c>
      <c r="H344" s="7">
        <f>'GREATER MANCHESTER'!J61</f>
        <v>69222</v>
      </c>
      <c r="I344" s="7">
        <f>'GREATER MANCHESTER'!K61</f>
        <v>70446</v>
      </c>
      <c r="J344" s="7">
        <f>'GREATER MANCHESTER'!L61</f>
        <v>70897</v>
      </c>
      <c r="K344" s="7">
        <f>'GREATER MANCHESTER'!M61</f>
        <v>70508</v>
      </c>
      <c r="L344" s="7">
        <f>'GREATER MANCHESTER'!N61</f>
        <v>72731</v>
      </c>
      <c r="M344" s="7">
        <f>'GREATER MANCHESTER'!O61</f>
        <v>72997</v>
      </c>
      <c r="N344" s="34">
        <f t="shared" si="20"/>
        <v>9.5426445572351221E-3</v>
      </c>
      <c r="O344" s="34"/>
      <c r="P344" s="7">
        <f t="shared" si="21"/>
        <v>-396</v>
      </c>
      <c r="Q344" s="1004">
        <f t="shared" si="22"/>
        <v>-5.3956099355524367E-3</v>
      </c>
      <c r="R344" s="6">
        <v>229</v>
      </c>
      <c r="S344" s="6">
        <v>259</v>
      </c>
      <c r="T344" s="6">
        <v>314</v>
      </c>
      <c r="U344" s="6">
        <v>295</v>
      </c>
      <c r="V344" s="6">
        <v>280</v>
      </c>
      <c r="W344" s="6">
        <v>282</v>
      </c>
      <c r="X344" s="6">
        <v>301</v>
      </c>
      <c r="Y344" s="6">
        <v>320</v>
      </c>
      <c r="Z344" s="6">
        <v>325</v>
      </c>
      <c r="AA344" s="6">
        <v>310</v>
      </c>
      <c r="AB344" s="6">
        <v>296</v>
      </c>
      <c r="AC344" s="6">
        <v>318</v>
      </c>
      <c r="AD344" s="6">
        <f t="shared" si="23"/>
        <v>-22</v>
      </c>
      <c r="AE344" s="6" t="s">
        <v>15825</v>
      </c>
    </row>
    <row r="345" spans="1:31">
      <c r="A345" s="33" t="str">
        <f>'GREATER MANCHESTER'!A63</f>
        <v>Oldham West and Royton BC</v>
      </c>
      <c r="B345" s="7">
        <f>'GREATER MANCHESTER'!D63</f>
        <v>72066</v>
      </c>
      <c r="C345" s="7">
        <f>'GREATER MANCHESTER'!E63</f>
        <v>72402</v>
      </c>
      <c r="D345" s="7">
        <f>'GREATER MANCHESTER'!F63</f>
        <v>71968</v>
      </c>
      <c r="E345" s="7">
        <f>'GREATER MANCHESTER'!G63</f>
        <v>72544</v>
      </c>
      <c r="F345" s="7">
        <f>'GREATER MANCHESTER'!H63</f>
        <v>72437</v>
      </c>
      <c r="G345" s="7">
        <f>'GREATER MANCHESTER'!I63</f>
        <v>70440</v>
      </c>
      <c r="H345" s="7">
        <f>'GREATER MANCHESTER'!J63</f>
        <v>69456</v>
      </c>
      <c r="I345" s="7">
        <f>'GREATER MANCHESTER'!K63</f>
        <v>70917</v>
      </c>
      <c r="J345" s="7">
        <f>'GREATER MANCHESTER'!L63</f>
        <v>70945</v>
      </c>
      <c r="K345" s="7">
        <f>'GREATER MANCHESTER'!M63</f>
        <v>71072</v>
      </c>
      <c r="L345" s="7">
        <f>'GREATER MANCHESTER'!N63</f>
        <v>73715</v>
      </c>
      <c r="M345" s="7">
        <f>'GREATER MANCHESTER'!O63</f>
        <v>74183</v>
      </c>
      <c r="N345" s="34">
        <f t="shared" si="20"/>
        <v>2.937584991535537E-2</v>
      </c>
      <c r="O345" s="34"/>
      <c r="P345" s="7">
        <f t="shared" si="21"/>
        <v>790</v>
      </c>
      <c r="Q345" s="1004">
        <f t="shared" si="22"/>
        <v>1.0763969315874811E-2</v>
      </c>
      <c r="R345" s="6">
        <v>238</v>
      </c>
      <c r="S345" s="6">
        <v>256</v>
      </c>
      <c r="T345" s="6">
        <v>295</v>
      </c>
      <c r="U345" s="6">
        <v>286</v>
      </c>
      <c r="V345" s="6">
        <v>264</v>
      </c>
      <c r="W345" s="6">
        <v>277</v>
      </c>
      <c r="X345" s="6">
        <v>294</v>
      </c>
      <c r="Y345" s="6">
        <v>297</v>
      </c>
      <c r="Z345" s="6">
        <v>322</v>
      </c>
      <c r="AA345" s="6">
        <v>283</v>
      </c>
      <c r="AB345" s="6">
        <v>272</v>
      </c>
      <c r="AC345" s="6">
        <v>265</v>
      </c>
      <c r="AD345" s="6">
        <f t="shared" si="23"/>
        <v>7</v>
      </c>
      <c r="AE345" s="6" t="s">
        <v>15825</v>
      </c>
    </row>
    <row r="346" spans="1:31">
      <c r="A346" s="33" t="str">
        <f>BROMLEY!A11</f>
        <v>Orpington BC</v>
      </c>
      <c r="B346" s="7">
        <f>BROMLEY!D11</f>
        <v>67765</v>
      </c>
      <c r="C346" s="7">
        <f>BROMLEY!E11</f>
        <v>68221</v>
      </c>
      <c r="D346" s="7">
        <f>BROMLEY!F11</f>
        <v>68282</v>
      </c>
      <c r="E346" s="7">
        <f>BROMLEY!G11</f>
        <v>68023</v>
      </c>
      <c r="F346" s="7">
        <f>BROMLEY!H11</f>
        <v>67592</v>
      </c>
      <c r="G346" s="7">
        <f>BROMLEY!I11</f>
        <v>67623</v>
      </c>
      <c r="H346" s="7">
        <f>BROMLEY!J11</f>
        <v>66724</v>
      </c>
      <c r="I346" s="7">
        <f>BROMLEY!K11</f>
        <v>67837</v>
      </c>
      <c r="J346" s="7">
        <f>BROMLEY!L11</f>
        <v>67821</v>
      </c>
      <c r="K346" s="7">
        <f>BROMLEY!M11</f>
        <v>67928</v>
      </c>
      <c r="L346" s="7">
        <f>BROMLEY!N11</f>
        <v>67989</v>
      </c>
      <c r="M346" s="7">
        <f>BROMLEY!O11</f>
        <v>69102</v>
      </c>
      <c r="N346" s="34">
        <f t="shared" si="20"/>
        <v>1.9729949088762636E-2</v>
      </c>
      <c r="O346" s="34"/>
      <c r="P346" s="7">
        <f t="shared" si="21"/>
        <v>-4291</v>
      </c>
      <c r="Q346" s="1004">
        <f t="shared" si="22"/>
        <v>-5.8466066246099763E-2</v>
      </c>
      <c r="R346" s="6">
        <v>387</v>
      </c>
      <c r="S346" s="6">
        <v>390</v>
      </c>
      <c r="T346" s="6">
        <v>391</v>
      </c>
      <c r="U346" s="6">
        <v>412</v>
      </c>
      <c r="V346" s="6">
        <v>410</v>
      </c>
      <c r="W346" s="6">
        <v>372</v>
      </c>
      <c r="X346" s="6">
        <v>382</v>
      </c>
      <c r="Y346" s="6">
        <v>395</v>
      </c>
      <c r="Z346" s="6">
        <v>400</v>
      </c>
      <c r="AA346" s="6">
        <v>390</v>
      </c>
      <c r="AB346" s="6">
        <v>423</v>
      </c>
      <c r="AC346" s="6">
        <v>416</v>
      </c>
      <c r="AD346" s="6">
        <f t="shared" si="23"/>
        <v>7</v>
      </c>
      <c r="AE346" s="6" t="s">
        <v>15827</v>
      </c>
    </row>
    <row r="347" spans="1:31">
      <c r="A347" s="33" t="str">
        <f>OXFORDSHIRE!A19</f>
        <v>Oxford East BC</v>
      </c>
      <c r="B347" s="7">
        <f>OXFORDSHIRE!D19</f>
        <v>80113</v>
      </c>
      <c r="C347" s="7">
        <f>OXFORDSHIRE!E19</f>
        <v>81644</v>
      </c>
      <c r="D347" s="7">
        <f>OXFORDSHIRE!F19</f>
        <v>81848</v>
      </c>
      <c r="E347" s="7">
        <f>OXFORDSHIRE!G19</f>
        <v>80909</v>
      </c>
      <c r="F347" s="7">
        <f>OXFORDSHIRE!H19</f>
        <v>80818</v>
      </c>
      <c r="G347" s="7">
        <f>OXFORDSHIRE!I19</f>
        <v>72738</v>
      </c>
      <c r="H347" s="7">
        <f>OXFORDSHIRE!J19</f>
        <v>70293</v>
      </c>
      <c r="I347" s="7">
        <f>OXFORDSHIRE!K19</f>
        <v>73139</v>
      </c>
      <c r="J347" s="7">
        <f>OXFORDSHIRE!L19</f>
        <v>72492</v>
      </c>
      <c r="K347" s="7">
        <f>OXFORDSHIRE!M19</f>
        <v>71040</v>
      </c>
      <c r="L347" s="7">
        <f>OXFORDSHIRE!N19</f>
        <v>71304</v>
      </c>
      <c r="M347" s="7">
        <f>OXFORDSHIRE!O19</f>
        <v>79145</v>
      </c>
      <c r="N347" s="34">
        <f t="shared" si="20"/>
        <v>-1.2082932857339008E-2</v>
      </c>
      <c r="O347" s="34"/>
      <c r="P347" s="7">
        <f t="shared" si="21"/>
        <v>5752</v>
      </c>
      <c r="Q347" s="1004">
        <f t="shared" si="22"/>
        <v>7.8372596841660647E-2</v>
      </c>
      <c r="R347" s="6">
        <v>34</v>
      </c>
      <c r="S347" s="6">
        <v>28</v>
      </c>
      <c r="T347" s="6">
        <v>33</v>
      </c>
      <c r="U347" s="6">
        <v>44</v>
      </c>
      <c r="V347" s="6">
        <v>44</v>
      </c>
      <c r="W347" s="6">
        <v>198</v>
      </c>
      <c r="X347" s="6">
        <v>260</v>
      </c>
      <c r="Y347" s="6">
        <v>216</v>
      </c>
      <c r="Z347" s="6">
        <v>259</v>
      </c>
      <c r="AA347" s="6">
        <v>286</v>
      </c>
      <c r="AB347" s="6">
        <v>337</v>
      </c>
      <c r="AC347" s="6">
        <v>151</v>
      </c>
      <c r="AD347" s="6">
        <f t="shared" si="23"/>
        <v>186</v>
      </c>
      <c r="AE347" s="6" t="s">
        <v>15823</v>
      </c>
    </row>
    <row r="348" spans="1:31">
      <c r="A348" s="33" t="str">
        <f>OXFORDSHIRE!A21</f>
        <v>Oxford West and Abingdon CC</v>
      </c>
      <c r="B348" s="7">
        <f>OXFORDSHIRE!D24</f>
        <v>77826</v>
      </c>
      <c r="C348" s="7">
        <f>OXFORDSHIRE!E24</f>
        <v>77811</v>
      </c>
      <c r="D348" s="7">
        <f>OXFORDSHIRE!F24</f>
        <v>78649</v>
      </c>
      <c r="E348" s="7">
        <f>OXFORDSHIRE!G24</f>
        <v>78520</v>
      </c>
      <c r="F348" s="7">
        <f>OXFORDSHIRE!H24</f>
        <v>78404</v>
      </c>
      <c r="G348" s="7">
        <f>OXFORDSHIRE!I24</f>
        <v>76677</v>
      </c>
      <c r="H348" s="7">
        <f>OXFORDSHIRE!J24</f>
        <v>73647</v>
      </c>
      <c r="I348" s="7">
        <f>OXFORDSHIRE!K24</f>
        <v>75206</v>
      </c>
      <c r="J348" s="7">
        <f>OXFORDSHIRE!L24</f>
        <v>74248</v>
      </c>
      <c r="K348" s="7">
        <f>OXFORDSHIRE!M24</f>
        <v>73474</v>
      </c>
      <c r="L348" s="7">
        <f>OXFORDSHIRE!N24</f>
        <v>74353</v>
      </c>
      <c r="M348" s="7">
        <f>OXFORDSHIRE!O24</f>
        <v>77421</v>
      </c>
      <c r="N348" s="34">
        <f t="shared" si="20"/>
        <v>-5.2039164289569041E-3</v>
      </c>
      <c r="O348" s="34"/>
      <c r="P348" s="7">
        <f t="shared" si="21"/>
        <v>4028</v>
      </c>
      <c r="Q348" s="1004">
        <f t="shared" si="22"/>
        <v>5.4882618233346503E-2</v>
      </c>
      <c r="R348" s="6">
        <v>71</v>
      </c>
      <c r="S348" s="6">
        <v>85</v>
      </c>
      <c r="T348" s="6">
        <v>74</v>
      </c>
      <c r="U348" s="6">
        <v>90</v>
      </c>
      <c r="V348" s="6">
        <v>93</v>
      </c>
      <c r="W348" s="6">
        <v>104</v>
      </c>
      <c r="X348" s="6">
        <v>150</v>
      </c>
      <c r="Y348" s="6">
        <v>156</v>
      </c>
      <c r="Z348" s="6">
        <v>203</v>
      </c>
      <c r="AA348" s="6">
        <v>209</v>
      </c>
      <c r="AB348" s="6">
        <v>246</v>
      </c>
      <c r="AC348" s="6">
        <v>182</v>
      </c>
      <c r="AD348" s="6">
        <f t="shared" si="23"/>
        <v>64</v>
      </c>
      <c r="AE348" s="6" t="s">
        <v>15823</v>
      </c>
    </row>
    <row r="349" spans="1:31">
      <c r="A349" s="33" t="str">
        <f>LANCASHIRE!A53</f>
        <v>Pendle BC</v>
      </c>
      <c r="B349" s="7">
        <f>LANCASHIRE!D53</f>
        <v>66461</v>
      </c>
      <c r="C349" s="7">
        <f>LANCASHIRE!E53</f>
        <v>66735</v>
      </c>
      <c r="D349" s="7">
        <f>LANCASHIRE!F53</f>
        <v>66918</v>
      </c>
      <c r="E349" s="7">
        <f>LANCASHIRE!G53</f>
        <v>66780</v>
      </c>
      <c r="F349" s="7">
        <f>LANCASHIRE!H53</f>
        <v>66688</v>
      </c>
      <c r="G349" s="7">
        <f>LANCASHIRE!I53</f>
        <v>64241</v>
      </c>
      <c r="H349" s="7">
        <f>LANCASHIRE!J53</f>
        <v>62891</v>
      </c>
      <c r="I349" s="7">
        <f>LANCASHIRE!K53</f>
        <v>63972</v>
      </c>
      <c r="J349" s="7">
        <f>LANCASHIRE!L53</f>
        <v>64257</v>
      </c>
      <c r="K349" s="7">
        <f>LANCASHIRE!M53</f>
        <v>63996</v>
      </c>
      <c r="L349" s="7">
        <f>LANCASHIRE!N53</f>
        <v>64543</v>
      </c>
      <c r="M349" s="7">
        <f>LANCASHIRE!O53</f>
        <v>65784</v>
      </c>
      <c r="N349" s="34">
        <f t="shared" si="20"/>
        <v>-1.0186425121499827E-2</v>
      </c>
      <c r="O349" s="34"/>
      <c r="P349" s="7">
        <f t="shared" si="21"/>
        <v>-7609</v>
      </c>
      <c r="Q349" s="1004">
        <f t="shared" si="22"/>
        <v>-0.10367473737277397</v>
      </c>
      <c r="R349" s="6">
        <v>425</v>
      </c>
      <c r="S349" s="6">
        <v>427</v>
      </c>
      <c r="T349" s="6">
        <v>437</v>
      </c>
      <c r="U349" s="6">
        <v>449</v>
      </c>
      <c r="V349" s="6">
        <v>439</v>
      </c>
      <c r="W349" s="6">
        <v>456</v>
      </c>
      <c r="X349" s="6">
        <v>467</v>
      </c>
      <c r="Y349" s="6">
        <v>474</v>
      </c>
      <c r="Z349" s="6">
        <v>477</v>
      </c>
      <c r="AA349" s="6">
        <v>468</v>
      </c>
      <c r="AB349" s="6">
        <v>476</v>
      </c>
      <c r="AC349" s="6">
        <v>470</v>
      </c>
      <c r="AD349" s="6">
        <f t="shared" si="23"/>
        <v>6</v>
      </c>
      <c r="AE349" s="6" t="s">
        <v>15825</v>
      </c>
    </row>
    <row r="350" spans="1:31">
      <c r="A350" s="33" t="str">
        <f>'SOUTH YORKSHIRE'!A22</f>
        <v>Penistone and Stocksbridge CC</v>
      </c>
      <c r="B350" s="7">
        <f>'SOUTH YORKSHIRE'!D24</f>
        <v>68628</v>
      </c>
      <c r="C350" s="7">
        <f>'SOUTH YORKSHIRE'!E24</f>
        <v>69133</v>
      </c>
      <c r="D350" s="7">
        <f>'SOUTH YORKSHIRE'!F24</f>
        <v>69555</v>
      </c>
      <c r="E350" s="7">
        <f>'SOUTH YORKSHIRE'!G24</f>
        <v>70172</v>
      </c>
      <c r="F350" s="7">
        <f>'SOUTH YORKSHIRE'!H24</f>
        <v>70188</v>
      </c>
      <c r="G350" s="7">
        <f>'SOUTH YORKSHIRE'!I24</f>
        <v>69919</v>
      </c>
      <c r="H350" s="7">
        <f>'SOUTH YORKSHIRE'!J24</f>
        <v>68579</v>
      </c>
      <c r="I350" s="7">
        <f>'SOUTH YORKSHIRE'!K24</f>
        <v>70872</v>
      </c>
      <c r="J350" s="7">
        <f>'SOUTH YORKSHIRE'!L24</f>
        <v>71531</v>
      </c>
      <c r="K350" s="7">
        <f>'SOUTH YORKSHIRE'!M24</f>
        <v>69985</v>
      </c>
      <c r="L350" s="7">
        <f>'SOUTH YORKSHIRE'!N24</f>
        <v>70311</v>
      </c>
      <c r="M350" s="7">
        <f>'SOUTH YORKSHIRE'!O24</f>
        <v>71377</v>
      </c>
      <c r="N350" s="34">
        <f t="shared" si="20"/>
        <v>4.0056536690563617E-2</v>
      </c>
      <c r="O350" s="34"/>
      <c r="P350" s="7">
        <f t="shared" si="21"/>
        <v>-2016</v>
      </c>
      <c r="Q350" s="1004">
        <f t="shared" si="22"/>
        <v>-2.7468559671903314E-2</v>
      </c>
      <c r="R350" s="6">
        <v>364</v>
      </c>
      <c r="S350" s="6">
        <v>362</v>
      </c>
      <c r="T350" s="6">
        <v>363</v>
      </c>
      <c r="U350" s="6">
        <v>347</v>
      </c>
      <c r="V350" s="6">
        <v>350</v>
      </c>
      <c r="W350" s="6">
        <v>295</v>
      </c>
      <c r="X350" s="6">
        <v>321</v>
      </c>
      <c r="Y350" s="6">
        <v>300</v>
      </c>
      <c r="Z350" s="6">
        <v>298</v>
      </c>
      <c r="AA350" s="6">
        <v>331</v>
      </c>
      <c r="AB350" s="6">
        <v>374</v>
      </c>
      <c r="AC350" s="6">
        <v>363</v>
      </c>
      <c r="AD350" s="6">
        <f t="shared" si="23"/>
        <v>11</v>
      </c>
      <c r="AE350" s="6" t="s">
        <v>15828</v>
      </c>
    </row>
    <row r="351" spans="1:31">
      <c r="A351" s="33" t="str">
        <f>CUMBRIA!A24</f>
        <v>Penrith and The Border CC</v>
      </c>
      <c r="B351" s="7">
        <f>CUMBRIA!D27</f>
        <v>65041</v>
      </c>
      <c r="C351" s="7">
        <f>CUMBRIA!E27</f>
        <v>65234</v>
      </c>
      <c r="D351" s="7">
        <f>CUMBRIA!F27</f>
        <v>65191</v>
      </c>
      <c r="E351" s="7">
        <f>CUMBRIA!G27</f>
        <v>65141</v>
      </c>
      <c r="F351" s="7">
        <f>CUMBRIA!H27</f>
        <v>64199</v>
      </c>
      <c r="G351" s="7">
        <f>CUMBRIA!I27</f>
        <v>64036</v>
      </c>
      <c r="H351" s="7">
        <f>CUMBRIA!J27</f>
        <v>62676</v>
      </c>
      <c r="I351" s="7">
        <f>CUMBRIA!K27</f>
        <v>63676</v>
      </c>
      <c r="J351" s="7">
        <f>CUMBRIA!L27</f>
        <v>65549</v>
      </c>
      <c r="K351" s="7">
        <f>CUMBRIA!M27</f>
        <v>65471</v>
      </c>
      <c r="L351" s="7">
        <f>CUMBRIA!N27</f>
        <v>66231</v>
      </c>
      <c r="M351" s="7">
        <f>CUMBRIA!O27</f>
        <v>66564</v>
      </c>
      <c r="N351" s="34">
        <f t="shared" si="20"/>
        <v>2.3415999139004627E-2</v>
      </c>
      <c r="O351" s="34"/>
      <c r="P351" s="7">
        <f t="shared" si="21"/>
        <v>-6829</v>
      </c>
      <c r="Q351" s="1004">
        <f t="shared" si="22"/>
        <v>-9.3047020833049471E-2</v>
      </c>
      <c r="R351" s="6">
        <v>461</v>
      </c>
      <c r="S351" s="6">
        <v>469</v>
      </c>
      <c r="T351" s="6">
        <v>480</v>
      </c>
      <c r="U351" s="6">
        <v>486</v>
      </c>
      <c r="V351" s="6">
        <v>482</v>
      </c>
      <c r="W351" s="6">
        <v>461</v>
      </c>
      <c r="X351" s="6">
        <v>471</v>
      </c>
      <c r="Y351" s="6">
        <v>476</v>
      </c>
      <c r="Z351" s="6">
        <v>448</v>
      </c>
      <c r="AA351" s="6">
        <v>440</v>
      </c>
      <c r="AB351" s="6">
        <v>452</v>
      </c>
      <c r="AC351" s="6">
        <v>459</v>
      </c>
      <c r="AD351" s="6">
        <f t="shared" si="23"/>
        <v>-7</v>
      </c>
      <c r="AE351" s="6" t="s">
        <v>15825</v>
      </c>
    </row>
    <row r="352" spans="1:31">
      <c r="A352" s="33" t="str">
        <f>CAMBRIDGESHIRE!A29</f>
        <v>Peterborough BC</v>
      </c>
      <c r="B352" s="7">
        <f>CAMBRIDGESHIRE!D29</f>
        <v>69732</v>
      </c>
      <c r="C352" s="7">
        <f>CAMBRIDGESHIRE!E29</f>
        <v>72787</v>
      </c>
      <c r="D352" s="7">
        <f>CAMBRIDGESHIRE!F29</f>
        <v>73721</v>
      </c>
      <c r="E352" s="7">
        <f>CAMBRIDGESHIRE!G29</f>
        <v>73416</v>
      </c>
      <c r="F352" s="7">
        <f>CAMBRIDGESHIRE!H29</f>
        <v>72301</v>
      </c>
      <c r="G352" s="7">
        <f>CAMBRIDGESHIRE!I29</f>
        <v>72040</v>
      </c>
      <c r="H352" s="7">
        <f>CAMBRIDGESHIRE!J29</f>
        <v>70623</v>
      </c>
      <c r="I352" s="7">
        <f>CAMBRIDGESHIRE!K29</f>
        <v>72207</v>
      </c>
      <c r="J352" s="7">
        <f>CAMBRIDGESHIRE!L29</f>
        <v>70424</v>
      </c>
      <c r="K352" s="7">
        <f>CAMBRIDGESHIRE!M29</f>
        <v>69224</v>
      </c>
      <c r="L352" s="7">
        <f>CAMBRIDGESHIRE!N29</f>
        <v>73062</v>
      </c>
      <c r="M352" s="7">
        <f>CAMBRIDGESHIRE!O29</f>
        <v>73241</v>
      </c>
      <c r="N352" s="34">
        <f t="shared" si="20"/>
        <v>5.0321229851431191E-2</v>
      </c>
      <c r="O352" s="34"/>
      <c r="P352" s="7">
        <f t="shared" si="21"/>
        <v>-152</v>
      </c>
      <c r="Q352" s="1004">
        <f t="shared" si="22"/>
        <v>-2.0710421974847737E-3</v>
      </c>
      <c r="R352" s="6">
        <v>330</v>
      </c>
      <c r="S352" s="6">
        <v>238</v>
      </c>
      <c r="T352" s="6">
        <v>212</v>
      </c>
      <c r="U352" s="6">
        <v>238</v>
      </c>
      <c r="V352" s="6">
        <v>274</v>
      </c>
      <c r="W352" s="6">
        <v>230</v>
      </c>
      <c r="X352" s="6">
        <v>245</v>
      </c>
      <c r="Y352" s="6">
        <v>249</v>
      </c>
      <c r="Z352" s="6">
        <v>343</v>
      </c>
      <c r="AA352" s="6">
        <v>355</v>
      </c>
      <c r="AB352" s="6">
        <v>287</v>
      </c>
      <c r="AC352" s="6">
        <v>305</v>
      </c>
      <c r="AD352" s="6">
        <f t="shared" si="23"/>
        <v>-18</v>
      </c>
      <c r="AE352" s="6" t="s">
        <v>15829</v>
      </c>
    </row>
    <row r="353" spans="1:31">
      <c r="A353" s="33" t="str">
        <f>DEVON!A39</f>
        <v>Plymouth, Moor View BC</v>
      </c>
      <c r="B353" s="7">
        <f>DEVON!D39</f>
        <v>67501</v>
      </c>
      <c r="C353" s="7">
        <f>DEVON!E39</f>
        <v>68556</v>
      </c>
      <c r="D353" s="7">
        <f>DEVON!F39</f>
        <v>67843</v>
      </c>
      <c r="E353" s="7">
        <f>DEVON!G39</f>
        <v>67966</v>
      </c>
      <c r="F353" s="7">
        <f>DEVON!H39</f>
        <v>67024</v>
      </c>
      <c r="G353" s="7">
        <f>DEVON!I39</f>
        <v>66426</v>
      </c>
      <c r="H353" s="7">
        <f>DEVON!J39</f>
        <v>65905</v>
      </c>
      <c r="I353" s="7">
        <f>DEVON!K39</f>
        <v>67209</v>
      </c>
      <c r="J353" s="7">
        <f>DEVON!L39</f>
        <v>68035</v>
      </c>
      <c r="K353" s="7">
        <f>DEVON!M39</f>
        <v>68057</v>
      </c>
      <c r="L353" s="7">
        <f>DEVON!N39</f>
        <v>69369</v>
      </c>
      <c r="M353" s="7">
        <f>DEVON!O39</f>
        <v>69368</v>
      </c>
      <c r="N353" s="34">
        <f t="shared" si="20"/>
        <v>2.7658849498525949E-2</v>
      </c>
      <c r="O353" s="34"/>
      <c r="P353" s="7">
        <f t="shared" si="21"/>
        <v>-4025</v>
      </c>
      <c r="Q353" s="1004">
        <f t="shared" si="22"/>
        <v>-5.4841742400501409E-2</v>
      </c>
      <c r="R353" s="6">
        <v>393</v>
      </c>
      <c r="S353" s="6">
        <v>378</v>
      </c>
      <c r="T353" s="6">
        <v>404</v>
      </c>
      <c r="U353" s="6">
        <v>415</v>
      </c>
      <c r="V353" s="6">
        <v>425</v>
      </c>
      <c r="W353" s="6">
        <v>407</v>
      </c>
      <c r="X353" s="6">
        <v>404</v>
      </c>
      <c r="Y353" s="6">
        <v>408</v>
      </c>
      <c r="Z353" s="6">
        <v>398</v>
      </c>
      <c r="AA353" s="6">
        <v>389</v>
      </c>
      <c r="AB353" s="6">
        <v>399</v>
      </c>
      <c r="AC353" s="6">
        <v>409</v>
      </c>
      <c r="AD353" s="6">
        <f t="shared" si="23"/>
        <v>-10</v>
      </c>
      <c r="AE353" s="6" t="s">
        <v>15830</v>
      </c>
    </row>
    <row r="354" spans="1:31">
      <c r="A354" s="33" t="str">
        <f>DEVON!A41</f>
        <v>Plymouth, Sutton and Devonport BC</v>
      </c>
      <c r="B354" s="7">
        <f>DEVON!D41</f>
        <v>69474</v>
      </c>
      <c r="C354" s="7">
        <f>DEVON!E41</f>
        <v>71236</v>
      </c>
      <c r="D354" s="7">
        <f>DEVON!F41</f>
        <v>67781</v>
      </c>
      <c r="E354" s="7">
        <f>DEVON!G41</f>
        <v>70020</v>
      </c>
      <c r="F354" s="7">
        <f>DEVON!H41</f>
        <v>69069</v>
      </c>
      <c r="G354" s="7">
        <f>DEVON!I41</f>
        <v>65754</v>
      </c>
      <c r="H354" s="7">
        <f>DEVON!J41</f>
        <v>68987</v>
      </c>
      <c r="I354" s="7">
        <f>DEVON!K41</f>
        <v>70530</v>
      </c>
      <c r="J354" s="7">
        <f>DEVON!L41</f>
        <v>72304</v>
      </c>
      <c r="K354" s="7">
        <f>DEVON!M41</f>
        <v>71693</v>
      </c>
      <c r="L354" s="7">
        <f>DEVON!N41</f>
        <v>77507</v>
      </c>
      <c r="M354" s="7">
        <f>DEVON!O41</f>
        <v>77505</v>
      </c>
      <c r="N354" s="34">
        <f t="shared" si="20"/>
        <v>0.11559720183090078</v>
      </c>
      <c r="O354" s="34"/>
      <c r="P354" s="7">
        <f t="shared" si="21"/>
        <v>4112</v>
      </c>
      <c r="Q354" s="1004">
        <f t="shared" si="22"/>
        <v>5.6027141553009141E-2</v>
      </c>
      <c r="R354" s="6">
        <v>333</v>
      </c>
      <c r="S354" s="6">
        <v>305</v>
      </c>
      <c r="T354" s="6">
        <v>406</v>
      </c>
      <c r="U354" s="6">
        <v>353</v>
      </c>
      <c r="V354" s="6">
        <v>371</v>
      </c>
      <c r="W354" s="6">
        <v>419</v>
      </c>
      <c r="X354" s="6">
        <v>307</v>
      </c>
      <c r="Y354" s="6">
        <v>314</v>
      </c>
      <c r="Z354" s="6">
        <v>263</v>
      </c>
      <c r="AA354" s="6">
        <v>262</v>
      </c>
      <c r="AB354" s="6">
        <v>170</v>
      </c>
      <c r="AC354" s="6">
        <v>179</v>
      </c>
      <c r="AD354" s="6">
        <f t="shared" si="23"/>
        <v>-9</v>
      </c>
      <c r="AE354" s="6" t="s">
        <v>15830</v>
      </c>
    </row>
    <row r="355" spans="1:31">
      <c r="A355" s="33" t="str">
        <f>DORSET!A25</f>
        <v>Poole BC</v>
      </c>
      <c r="B355" s="7">
        <f>DORSET!D25</f>
        <v>72314</v>
      </c>
      <c r="C355" s="7">
        <f>DORSET!E25</f>
        <v>72773</v>
      </c>
      <c r="D355" s="7">
        <f>DORSET!F25</f>
        <v>73130</v>
      </c>
      <c r="E355" s="7">
        <f>DORSET!G25</f>
        <v>72933</v>
      </c>
      <c r="F355" s="7">
        <f>DORSET!H25</f>
        <v>73205</v>
      </c>
      <c r="G355" s="7">
        <f>DORSET!I25</f>
        <v>71469</v>
      </c>
      <c r="H355" s="7">
        <f>DORSET!J25</f>
        <v>69636</v>
      </c>
      <c r="I355" s="7">
        <f>DORSET!K25</f>
        <v>71885</v>
      </c>
      <c r="J355" s="7">
        <f>DORSET!L25</f>
        <v>72665</v>
      </c>
      <c r="K355" s="7">
        <f>DORSET!M25</f>
        <v>72432</v>
      </c>
      <c r="L355" s="7">
        <f>DORSET!N25</f>
        <v>74492</v>
      </c>
      <c r="M355" s="7">
        <f>DORSET!O25</f>
        <v>74240</v>
      </c>
      <c r="N355" s="34">
        <f t="shared" si="20"/>
        <v>2.663384683463783E-2</v>
      </c>
      <c r="O355" s="34"/>
      <c r="P355" s="7">
        <f t="shared" si="21"/>
        <v>847</v>
      </c>
      <c r="Q355" s="1004">
        <f t="shared" si="22"/>
        <v>1.1540610139931601E-2</v>
      </c>
      <c r="R355" s="6">
        <v>228</v>
      </c>
      <c r="S355" s="6">
        <v>239</v>
      </c>
      <c r="T355" s="6">
        <v>239</v>
      </c>
      <c r="U355" s="6">
        <v>261</v>
      </c>
      <c r="V355" s="6">
        <v>238</v>
      </c>
      <c r="W355" s="6">
        <v>248</v>
      </c>
      <c r="X355" s="6">
        <v>290</v>
      </c>
      <c r="Y355" s="6">
        <v>257</v>
      </c>
      <c r="Z355" s="6">
        <v>252</v>
      </c>
      <c r="AA355" s="6">
        <v>241</v>
      </c>
      <c r="AB355" s="6">
        <v>239</v>
      </c>
      <c r="AC355" s="6">
        <v>264</v>
      </c>
      <c r="AD355" s="6">
        <f t="shared" si="23"/>
        <v>-25</v>
      </c>
      <c r="AE355" s="6" t="s">
        <v>15830</v>
      </c>
    </row>
    <row r="356" spans="1:31">
      <c r="A356" s="33" t="str">
        <f>'TOWER HAMLETS'!A9</f>
        <v>Poplar and Limehouse BC</v>
      </c>
      <c r="B356" s="7">
        <f>'TOWER HAMLETS'!D9</f>
        <v>70880</v>
      </c>
      <c r="C356" s="7">
        <f>'TOWER HAMLETS'!E9</f>
        <v>74919</v>
      </c>
      <c r="D356" s="7">
        <f>'TOWER HAMLETS'!F9</f>
        <v>76061</v>
      </c>
      <c r="E356" s="7">
        <f>'TOWER HAMLETS'!G9</f>
        <v>71946</v>
      </c>
      <c r="F356" s="7">
        <f>'TOWER HAMLETS'!H9</f>
        <v>77863</v>
      </c>
      <c r="G356" s="7">
        <f>'TOWER HAMLETS'!I9</f>
        <v>77421</v>
      </c>
      <c r="H356" s="7">
        <f>'TOWER HAMLETS'!J9</f>
        <v>76149</v>
      </c>
      <c r="I356" s="7">
        <f>'TOWER HAMLETS'!K9</f>
        <v>76295</v>
      </c>
      <c r="J356" s="7">
        <f>'TOWER HAMLETS'!L9</f>
        <v>85211</v>
      </c>
      <c r="K356" s="7">
        <f>'TOWER HAMLETS'!M9</f>
        <v>84355</v>
      </c>
      <c r="L356" s="7">
        <f>'TOWER HAMLETS'!N9</f>
        <v>92905</v>
      </c>
      <c r="M356" s="7">
        <f>'TOWER HAMLETS'!O9</f>
        <v>92893</v>
      </c>
      <c r="N356" s="34">
        <f t="shared" si="20"/>
        <v>0.31056715575620769</v>
      </c>
      <c r="O356" s="34"/>
      <c r="P356" s="7">
        <f t="shared" si="21"/>
        <v>19500</v>
      </c>
      <c r="Q356" s="1004">
        <f t="shared" si="22"/>
        <v>0.26569291349311241</v>
      </c>
      <c r="R356" s="6">
        <v>301</v>
      </c>
      <c r="S356" s="6">
        <v>168</v>
      </c>
      <c r="T356" s="6">
        <v>152</v>
      </c>
      <c r="U356" s="6">
        <v>302</v>
      </c>
      <c r="V356" s="6">
        <v>106</v>
      </c>
      <c r="W356" s="6">
        <v>85</v>
      </c>
      <c r="X356" s="6">
        <v>94</v>
      </c>
      <c r="Y356" s="6">
        <v>144</v>
      </c>
      <c r="Z356" s="6">
        <v>16</v>
      </c>
      <c r="AA356" s="6">
        <v>18</v>
      </c>
      <c r="AB356" s="6">
        <v>8</v>
      </c>
      <c r="AC356" s="6">
        <v>8</v>
      </c>
      <c r="AD356" s="6">
        <f t="shared" si="23"/>
        <v>0</v>
      </c>
      <c r="AE356" s="6" t="s">
        <v>15827</v>
      </c>
    </row>
    <row r="357" spans="1:31">
      <c r="A357" s="33" t="str">
        <f>PORTSMOUTH!A7</f>
        <v>Portsmouth North BC</v>
      </c>
      <c r="B357" s="7">
        <f>PORTSMOUTH!D7</f>
        <v>70464</v>
      </c>
      <c r="C357" s="7">
        <f>PORTSMOUTH!E7</f>
        <v>71798</v>
      </c>
      <c r="D357" s="7">
        <f>PORTSMOUTH!F7</f>
        <v>72474</v>
      </c>
      <c r="E357" s="7">
        <f>PORTSMOUTH!G7</f>
        <v>72724</v>
      </c>
      <c r="F357" s="7">
        <f>PORTSMOUTH!H7</f>
        <v>72330</v>
      </c>
      <c r="G357" s="7">
        <f>PORTSMOUTH!I7</f>
        <v>72909</v>
      </c>
      <c r="H357" s="7">
        <f>PORTSMOUTH!J7</f>
        <v>70315</v>
      </c>
      <c r="I357" s="7">
        <f>PORTSMOUTH!K7</f>
        <v>70879</v>
      </c>
      <c r="J357" s="7">
        <f>PORTSMOUTH!L7</f>
        <v>70748</v>
      </c>
      <c r="K357" s="7">
        <f>PORTSMOUTH!M7</f>
        <v>70108</v>
      </c>
      <c r="L357" s="7">
        <f>PORTSMOUTH!N7</f>
        <v>70213</v>
      </c>
      <c r="M357" s="7">
        <f>PORTSMOUTH!O7</f>
        <v>71844</v>
      </c>
      <c r="N357" s="34">
        <f t="shared" si="20"/>
        <v>1.9584468664850137E-2</v>
      </c>
      <c r="O357" s="34"/>
      <c r="P357" s="7">
        <f t="shared" si="21"/>
        <v>-1549</v>
      </c>
      <c r="Q357" s="1004">
        <f t="shared" si="22"/>
        <v>-2.1105555025683648E-2</v>
      </c>
      <c r="R357" s="6">
        <v>310</v>
      </c>
      <c r="S357" s="6">
        <v>285</v>
      </c>
      <c r="T357" s="6">
        <v>271</v>
      </c>
      <c r="U357" s="6">
        <v>279</v>
      </c>
      <c r="V357" s="6">
        <v>272</v>
      </c>
      <c r="W357" s="6">
        <v>190</v>
      </c>
      <c r="X357" s="6">
        <v>257</v>
      </c>
      <c r="Y357" s="6">
        <v>298</v>
      </c>
      <c r="Z357" s="6">
        <v>328</v>
      </c>
      <c r="AA357" s="6">
        <v>330</v>
      </c>
      <c r="AB357" s="6">
        <v>381</v>
      </c>
      <c r="AC357" s="6">
        <v>352</v>
      </c>
      <c r="AD357" s="6">
        <f t="shared" si="23"/>
        <v>29</v>
      </c>
      <c r="AE357" s="6" t="s">
        <v>15823</v>
      </c>
    </row>
    <row r="358" spans="1:31">
      <c r="A358" s="33" t="str">
        <f>PORTSMOUTH!A9</f>
        <v>Portsmouth South BC</v>
      </c>
      <c r="B358" s="7">
        <f>PORTSMOUTH!D9</f>
        <v>69456</v>
      </c>
      <c r="C358" s="7">
        <f>PORTSMOUTH!E9</f>
        <v>71947</v>
      </c>
      <c r="D358" s="7">
        <f>PORTSMOUTH!F9</f>
        <v>72447</v>
      </c>
      <c r="E358" s="7">
        <f>PORTSMOUTH!G9</f>
        <v>70923</v>
      </c>
      <c r="F358" s="7">
        <f>PORTSMOUTH!H9</f>
        <v>70562</v>
      </c>
      <c r="G358" s="7">
        <f>PORTSMOUTH!I9</f>
        <v>68792</v>
      </c>
      <c r="H358" s="7">
        <f>PORTSMOUTH!J9</f>
        <v>64577</v>
      </c>
      <c r="I358" s="7">
        <f>PORTSMOUTH!K9</f>
        <v>68741</v>
      </c>
      <c r="J358" s="7">
        <f>PORTSMOUTH!L9</f>
        <v>71266</v>
      </c>
      <c r="K358" s="7">
        <f>PORTSMOUTH!M9</f>
        <v>67696</v>
      </c>
      <c r="L358" s="7">
        <f>PORTSMOUTH!N9</f>
        <v>70098</v>
      </c>
      <c r="M358" s="7">
        <f>PORTSMOUTH!O9</f>
        <v>74253</v>
      </c>
      <c r="N358" s="34">
        <f t="shared" si="20"/>
        <v>6.9065307532826539E-2</v>
      </c>
      <c r="O358" s="34"/>
      <c r="P358" s="7">
        <f t="shared" si="21"/>
        <v>860</v>
      </c>
      <c r="Q358" s="1004">
        <f t="shared" si="22"/>
        <v>1.1717738748927009E-2</v>
      </c>
      <c r="R358" s="6">
        <v>335</v>
      </c>
      <c r="S358" s="6">
        <v>277</v>
      </c>
      <c r="T358" s="6">
        <v>275</v>
      </c>
      <c r="U358" s="6">
        <v>326</v>
      </c>
      <c r="V358" s="6">
        <v>327</v>
      </c>
      <c r="W358" s="6">
        <v>342</v>
      </c>
      <c r="X358" s="6">
        <v>429</v>
      </c>
      <c r="Y358" s="6">
        <v>369</v>
      </c>
      <c r="Z358" s="6">
        <v>307</v>
      </c>
      <c r="AA358" s="6">
        <v>394</v>
      </c>
      <c r="AB358" s="6">
        <v>385</v>
      </c>
      <c r="AC358" s="6">
        <v>263</v>
      </c>
      <c r="AD358" s="6">
        <f t="shared" si="23"/>
        <v>122</v>
      </c>
      <c r="AE358" s="6" t="s">
        <v>15823</v>
      </c>
    </row>
    <row r="359" spans="1:31">
      <c r="A359" s="33" t="str">
        <f>LANCASHIRE!A55</f>
        <v>Preston BC</v>
      </c>
      <c r="B359" s="7">
        <f>LANCASHIRE!D55</f>
        <v>60746</v>
      </c>
      <c r="C359" s="7">
        <f>LANCASHIRE!E55</f>
        <v>61025</v>
      </c>
      <c r="D359" s="7">
        <f>LANCASHIRE!F55</f>
        <v>61548</v>
      </c>
      <c r="E359" s="7">
        <f>LANCASHIRE!G55</f>
        <v>61844</v>
      </c>
      <c r="F359" s="7">
        <f>LANCASHIRE!H55</f>
        <v>60948</v>
      </c>
      <c r="G359" s="7">
        <f>LANCASHIRE!I55</f>
        <v>57542</v>
      </c>
      <c r="H359" s="7">
        <f>LANCASHIRE!J55</f>
        <v>56110</v>
      </c>
      <c r="I359" s="7">
        <f>LANCASHIRE!K55</f>
        <v>56623</v>
      </c>
      <c r="J359" s="7">
        <f>LANCASHIRE!L55</f>
        <v>55937</v>
      </c>
      <c r="K359" s="7">
        <f>LANCASHIRE!M55</f>
        <v>55512</v>
      </c>
      <c r="L359" s="7">
        <f>LANCASHIRE!N55</f>
        <v>57077</v>
      </c>
      <c r="M359" s="7">
        <f>LANCASHIRE!O55</f>
        <v>58679</v>
      </c>
      <c r="N359" s="34">
        <f t="shared" si="20"/>
        <v>-3.4026931814440456E-2</v>
      </c>
      <c r="O359" s="34"/>
      <c r="P359" s="7">
        <f t="shared" si="21"/>
        <v>-14714</v>
      </c>
      <c r="Q359" s="1004">
        <f t="shared" si="22"/>
        <v>-0.20048233482757211</v>
      </c>
      <c r="R359" s="6">
        <v>522</v>
      </c>
      <c r="S359" s="6">
        <v>523</v>
      </c>
      <c r="T359" s="6">
        <v>522</v>
      </c>
      <c r="U359" s="6">
        <v>518</v>
      </c>
      <c r="V359" s="6">
        <v>516</v>
      </c>
      <c r="W359" s="6">
        <v>524</v>
      </c>
      <c r="X359" s="6">
        <v>526</v>
      </c>
      <c r="Y359" s="6">
        <v>529</v>
      </c>
      <c r="Z359" s="6">
        <v>531</v>
      </c>
      <c r="AA359" s="6">
        <v>529</v>
      </c>
      <c r="AB359" s="6">
        <v>529</v>
      </c>
      <c r="AC359" s="6">
        <v>528</v>
      </c>
      <c r="AD359" s="6">
        <f t="shared" si="23"/>
        <v>1</v>
      </c>
      <c r="AE359" s="6" t="s">
        <v>15825</v>
      </c>
    </row>
    <row r="360" spans="1:31">
      <c r="A360" s="33" t="str">
        <f>'WEST YORKSHIRE'!A53</f>
        <v>Pudsey BC</v>
      </c>
      <c r="B360" s="7">
        <f>'WEST YORKSHIRE'!D53</f>
        <v>69207</v>
      </c>
      <c r="C360" s="7">
        <f>'WEST YORKSHIRE'!E53</f>
        <v>69738</v>
      </c>
      <c r="D360" s="7">
        <f>'WEST YORKSHIRE'!F53</f>
        <v>69657</v>
      </c>
      <c r="E360" s="7">
        <f>'WEST YORKSHIRE'!G53</f>
        <v>69991</v>
      </c>
      <c r="F360" s="7">
        <f>'WEST YORKSHIRE'!H53</f>
        <v>69102</v>
      </c>
      <c r="G360" s="7">
        <f>'WEST YORKSHIRE'!I53</f>
        <v>69338</v>
      </c>
      <c r="H360" s="7">
        <f>'WEST YORKSHIRE'!J53</f>
        <v>68624</v>
      </c>
      <c r="I360" s="7">
        <f>'WEST YORKSHIRE'!K53</f>
        <v>70863</v>
      </c>
      <c r="J360" s="7">
        <f>'WEST YORKSHIRE'!L53</f>
        <v>70517</v>
      </c>
      <c r="K360" s="7">
        <f>'WEST YORKSHIRE'!M53</f>
        <v>70447</v>
      </c>
      <c r="L360" s="7">
        <f>'WEST YORKSHIRE'!N53</f>
        <v>71166</v>
      </c>
      <c r="M360" s="7">
        <f>'WEST YORKSHIRE'!O53</f>
        <v>73700</v>
      </c>
      <c r="N360" s="34">
        <f t="shared" si="20"/>
        <v>6.4921178493504997E-2</v>
      </c>
      <c r="O360" s="34"/>
      <c r="P360" s="7">
        <f t="shared" si="21"/>
        <v>307</v>
      </c>
      <c r="Q360" s="1004">
        <f t="shared" si="22"/>
        <v>4.1829602278146416E-3</v>
      </c>
      <c r="R360" s="6">
        <v>343</v>
      </c>
      <c r="S360" s="6">
        <v>346</v>
      </c>
      <c r="T360" s="6">
        <v>361</v>
      </c>
      <c r="U360" s="6">
        <v>355</v>
      </c>
      <c r="V360" s="6">
        <v>367</v>
      </c>
      <c r="W360" s="6">
        <v>319</v>
      </c>
      <c r="X360" s="6">
        <v>319</v>
      </c>
      <c r="Y360" s="6">
        <v>301</v>
      </c>
      <c r="Z360" s="6">
        <v>341</v>
      </c>
      <c r="AA360" s="6">
        <v>316</v>
      </c>
      <c r="AB360" s="6">
        <v>346</v>
      </c>
      <c r="AC360" s="6">
        <v>291</v>
      </c>
      <c r="AD360" s="6">
        <f t="shared" si="23"/>
        <v>55</v>
      </c>
      <c r="AE360" s="6" t="s">
        <v>15828</v>
      </c>
    </row>
    <row r="361" spans="1:31">
      <c r="A361" s="33" t="str">
        <f>WANDSWORTH!A9</f>
        <v>Putney BC</v>
      </c>
      <c r="B361" s="7">
        <f>WANDSWORTH!D9</f>
        <v>62223</v>
      </c>
      <c r="C361" s="7">
        <f>WANDSWORTH!E9</f>
        <v>62153</v>
      </c>
      <c r="D361" s="7">
        <f>WANDSWORTH!F9</f>
        <v>62006</v>
      </c>
      <c r="E361" s="7">
        <f>WANDSWORTH!G9</f>
        <v>61984</v>
      </c>
      <c r="F361" s="7">
        <f>WANDSWORTH!H9</f>
        <v>62007</v>
      </c>
      <c r="G361" s="7">
        <f>WANDSWORTH!I9</f>
        <v>59417</v>
      </c>
      <c r="H361" s="7">
        <f>WANDSWORTH!J9</f>
        <v>59822</v>
      </c>
      <c r="I361" s="7">
        <f>WANDSWORTH!K9</f>
        <v>60652</v>
      </c>
      <c r="J361" s="7">
        <f>WANDSWORTH!L9</f>
        <v>61765</v>
      </c>
      <c r="K361" s="7">
        <f>WANDSWORTH!M9</f>
        <v>59382</v>
      </c>
      <c r="L361" s="7">
        <f>WANDSWORTH!N9</f>
        <v>61211</v>
      </c>
      <c r="M361" s="7">
        <f>WANDSWORTH!O9</f>
        <v>65665</v>
      </c>
      <c r="N361" s="34">
        <f t="shared" si="20"/>
        <v>5.5317165678286165E-2</v>
      </c>
      <c r="O361" s="34"/>
      <c r="P361" s="7">
        <f t="shared" si="21"/>
        <v>-7728</v>
      </c>
      <c r="Q361" s="1004">
        <f t="shared" si="22"/>
        <v>-0.1052961454089627</v>
      </c>
      <c r="R361" s="6">
        <v>511</v>
      </c>
      <c r="S361" s="6">
        <v>513</v>
      </c>
      <c r="T361" s="6">
        <v>513</v>
      </c>
      <c r="U361" s="6">
        <v>517</v>
      </c>
      <c r="V361" s="6">
        <v>504</v>
      </c>
      <c r="W361" s="6">
        <v>513</v>
      </c>
      <c r="X361" s="6">
        <v>506</v>
      </c>
      <c r="Y361" s="6">
        <v>510</v>
      </c>
      <c r="Z361" s="6">
        <v>503</v>
      </c>
      <c r="AA361" s="6">
        <v>515</v>
      </c>
      <c r="AB361" s="6">
        <v>513</v>
      </c>
      <c r="AC361" s="6">
        <v>472</v>
      </c>
      <c r="AD361" s="6">
        <f t="shared" si="23"/>
        <v>41</v>
      </c>
      <c r="AE361" s="6" t="s">
        <v>15827</v>
      </c>
    </row>
    <row r="362" spans="1:31">
      <c r="A362" s="33" t="str">
        <f>ESSEX!A57</f>
        <v>Rayleigh and Wickford CC</v>
      </c>
      <c r="B362" s="7">
        <f>ESSEX!D59</f>
        <v>75694</v>
      </c>
      <c r="C362" s="7">
        <f>ESSEX!E59</f>
        <v>76089</v>
      </c>
      <c r="D362" s="7">
        <f>ESSEX!F59</f>
        <v>76488</v>
      </c>
      <c r="E362" s="7">
        <f>ESSEX!G59</f>
        <v>77422</v>
      </c>
      <c r="F362" s="7">
        <f>ESSEX!H59</f>
        <v>77646</v>
      </c>
      <c r="G362" s="7">
        <f>ESSEX!I59</f>
        <v>77255</v>
      </c>
      <c r="H362" s="7">
        <f>ESSEX!J59</f>
        <v>75456</v>
      </c>
      <c r="I362" s="7">
        <f>ESSEX!K59</f>
        <v>77782</v>
      </c>
      <c r="J362" s="7">
        <f>ESSEX!L59</f>
        <v>78120</v>
      </c>
      <c r="K362" s="7">
        <f>ESSEX!M59</f>
        <v>77977</v>
      </c>
      <c r="L362" s="7">
        <f>ESSEX!N59</f>
        <v>79538</v>
      </c>
      <c r="M362" s="7">
        <f>ESSEX!O59</f>
        <v>79158</v>
      </c>
      <c r="N362" s="34">
        <f t="shared" si="20"/>
        <v>4.5763204481200623E-2</v>
      </c>
      <c r="O362" s="34"/>
      <c r="P362" s="7">
        <f t="shared" si="21"/>
        <v>5765</v>
      </c>
      <c r="Q362" s="1004">
        <f t="shared" si="22"/>
        <v>7.8549725450656055E-2</v>
      </c>
      <c r="R362" s="6">
        <v>136</v>
      </c>
      <c r="S362" s="6">
        <v>138</v>
      </c>
      <c r="T362" s="6">
        <v>142</v>
      </c>
      <c r="U362" s="6">
        <v>128</v>
      </c>
      <c r="V362" s="6">
        <v>109</v>
      </c>
      <c r="W362" s="6">
        <v>87</v>
      </c>
      <c r="X362" s="6">
        <v>110</v>
      </c>
      <c r="Y362" s="6">
        <v>111</v>
      </c>
      <c r="Z362" s="6">
        <v>119</v>
      </c>
      <c r="AA362" s="6">
        <v>113</v>
      </c>
      <c r="AB362" s="6">
        <v>127</v>
      </c>
      <c r="AC362" s="6">
        <v>150</v>
      </c>
      <c r="AD362" s="6">
        <f t="shared" si="23"/>
        <v>-23</v>
      </c>
      <c r="AE362" s="6" t="s">
        <v>15829</v>
      </c>
    </row>
    <row r="363" spans="1:31">
      <c r="A363" s="33" t="str">
        <f>BERKSHIRE!A29</f>
        <v>Reading East BC</v>
      </c>
      <c r="B363" s="7">
        <f>BERKSHIRE!D31</f>
        <v>74855</v>
      </c>
      <c r="C363" s="7">
        <f>BERKSHIRE!E31</f>
        <v>78170</v>
      </c>
      <c r="D363" s="7">
        <f>BERKSHIRE!F31</f>
        <v>79640</v>
      </c>
      <c r="E363" s="7">
        <f>BERKSHIRE!G31</f>
        <v>77722</v>
      </c>
      <c r="F363" s="7">
        <f>BERKSHIRE!H31</f>
        <v>77966</v>
      </c>
      <c r="G363" s="7">
        <f>BERKSHIRE!I31</f>
        <v>70361</v>
      </c>
      <c r="H363" s="7">
        <f>BERKSHIRE!J31</f>
        <v>67846</v>
      </c>
      <c r="I363" s="7">
        <f>BERKSHIRE!K31</f>
        <v>71600</v>
      </c>
      <c r="J363" s="7">
        <f>BERKSHIRE!L31</f>
        <v>72647</v>
      </c>
      <c r="K363" s="7">
        <f>BERKSHIRE!M31</f>
        <v>70817</v>
      </c>
      <c r="L363" s="7">
        <f>BERKSHIRE!N31</f>
        <v>77741</v>
      </c>
      <c r="M363" s="7">
        <f>BERKSHIRE!O31</f>
        <v>76655</v>
      </c>
      <c r="N363" s="34">
        <f t="shared" si="20"/>
        <v>2.404648988043551E-2</v>
      </c>
      <c r="O363" s="34"/>
      <c r="P363" s="7">
        <f t="shared" si="21"/>
        <v>3262</v>
      </c>
      <c r="Q363" s="1004">
        <f t="shared" si="22"/>
        <v>4.4445655580232446E-2</v>
      </c>
      <c r="R363" s="6">
        <v>153</v>
      </c>
      <c r="S363" s="6">
        <v>79</v>
      </c>
      <c r="T363" s="6">
        <v>54</v>
      </c>
      <c r="U363" s="6">
        <v>120</v>
      </c>
      <c r="V363" s="6">
        <v>102</v>
      </c>
      <c r="W363" s="6">
        <v>280</v>
      </c>
      <c r="X363" s="6">
        <v>341</v>
      </c>
      <c r="Y363" s="6">
        <v>271</v>
      </c>
      <c r="Z363" s="6">
        <v>253</v>
      </c>
      <c r="AA363" s="6">
        <v>296</v>
      </c>
      <c r="AB363" s="6">
        <v>163</v>
      </c>
      <c r="AC363" s="6">
        <v>205</v>
      </c>
      <c r="AD363" s="6">
        <f t="shared" si="23"/>
        <v>-42</v>
      </c>
      <c r="AE363" s="6" t="s">
        <v>15823</v>
      </c>
    </row>
    <row r="364" spans="1:31">
      <c r="A364" s="33" t="str">
        <f>BERKSHIRE!A33</f>
        <v>Reading West CC</v>
      </c>
      <c r="B364" s="7">
        <f>BERKSHIRE!D35</f>
        <v>71584</v>
      </c>
      <c r="C364" s="7">
        <f>BERKSHIRE!E35</f>
        <v>73216</v>
      </c>
      <c r="D364" s="7">
        <f>BERKSHIRE!F35</f>
        <v>73148</v>
      </c>
      <c r="E364" s="7">
        <f>BERKSHIRE!G35</f>
        <v>73637</v>
      </c>
      <c r="F364" s="7">
        <f>BERKSHIRE!H35</f>
        <v>73720</v>
      </c>
      <c r="G364" s="7">
        <f>BERKSHIRE!I35</f>
        <v>70681</v>
      </c>
      <c r="H364" s="7">
        <f>BERKSHIRE!J35</f>
        <v>69709</v>
      </c>
      <c r="I364" s="7">
        <f>BERKSHIRE!K35</f>
        <v>72272</v>
      </c>
      <c r="J364" s="7">
        <f>BERKSHIRE!L35</f>
        <v>73006</v>
      </c>
      <c r="K364" s="7">
        <f>BERKSHIRE!M35</f>
        <v>72458</v>
      </c>
      <c r="L364" s="7">
        <f>BERKSHIRE!N35</f>
        <v>75140</v>
      </c>
      <c r="M364" s="7">
        <f>BERKSHIRE!O35</f>
        <v>74838</v>
      </c>
      <c r="N364" s="34">
        <f t="shared" si="20"/>
        <v>4.5457085382208315E-2</v>
      </c>
      <c r="O364" s="34"/>
      <c r="P364" s="7">
        <f t="shared" si="21"/>
        <v>1445</v>
      </c>
      <c r="Q364" s="1004">
        <f t="shared" si="22"/>
        <v>1.9688526153720382E-2</v>
      </c>
      <c r="R364" s="6">
        <v>268</v>
      </c>
      <c r="S364" s="6">
        <v>220</v>
      </c>
      <c r="T364" s="6">
        <v>238</v>
      </c>
      <c r="U364" s="6">
        <v>229</v>
      </c>
      <c r="V364" s="6">
        <v>218</v>
      </c>
      <c r="W364" s="6">
        <v>272</v>
      </c>
      <c r="X364" s="6">
        <v>284</v>
      </c>
      <c r="Y364" s="6">
        <v>245</v>
      </c>
      <c r="Z364" s="6">
        <v>243</v>
      </c>
      <c r="AA364" s="6">
        <v>240</v>
      </c>
      <c r="AB364" s="6">
        <v>221</v>
      </c>
      <c r="AC364" s="6">
        <v>244</v>
      </c>
      <c r="AD364" s="6">
        <f t="shared" si="23"/>
        <v>-23</v>
      </c>
      <c r="AE364" s="6" t="s">
        <v>15823</v>
      </c>
    </row>
    <row r="365" spans="1:31">
      <c r="A365" s="33" t="str">
        <f>'MIDD &amp; R &amp; C'!A17</f>
        <v>Redcar BC</v>
      </c>
      <c r="B365" s="7">
        <f>'MIDD &amp; R &amp; C'!D17</f>
        <v>67405</v>
      </c>
      <c r="C365" s="7">
        <f>'MIDD &amp; R &amp; C'!E17</f>
        <v>67195</v>
      </c>
      <c r="D365" s="7">
        <f>'MIDD &amp; R &amp; C'!F17</f>
        <v>67558</v>
      </c>
      <c r="E365" s="7">
        <f>'MIDD &amp; R &amp; C'!G17</f>
        <v>67539</v>
      </c>
      <c r="F365" s="7">
        <f>'MIDD &amp; R &amp; C'!H17</f>
        <v>66375</v>
      </c>
      <c r="G365" s="7">
        <f>'MIDD &amp; R &amp; C'!I17</f>
        <v>63768</v>
      </c>
      <c r="H365" s="7">
        <f>'MIDD &amp; R &amp; C'!J17</f>
        <v>64025</v>
      </c>
      <c r="I365" s="7">
        <f>'MIDD &amp; R &amp; C'!K17</f>
        <v>65589</v>
      </c>
      <c r="J365" s="7">
        <f>'MIDD &amp; R &amp; C'!L17</f>
        <v>65524</v>
      </c>
      <c r="K365" s="7">
        <f>'MIDD &amp; R &amp; C'!M17</f>
        <v>65270</v>
      </c>
      <c r="L365" s="7">
        <f>'MIDD &amp; R &amp; C'!N17</f>
        <v>64805</v>
      </c>
      <c r="M365" s="7">
        <f>'MIDD &amp; R &amp; C'!O17</f>
        <v>66423</v>
      </c>
      <c r="N365" s="34">
        <f t="shared" si="20"/>
        <v>-1.4568652177138194E-2</v>
      </c>
      <c r="O365" s="34"/>
      <c r="P365" s="7">
        <f t="shared" si="21"/>
        <v>-6970</v>
      </c>
      <c r="Q365" s="1004">
        <f t="shared" si="22"/>
        <v>-9.4968184976768899E-2</v>
      </c>
      <c r="R365" s="6">
        <v>398</v>
      </c>
      <c r="S365" s="6">
        <v>416</v>
      </c>
      <c r="T365" s="6">
        <v>416</v>
      </c>
      <c r="U365" s="6">
        <v>424</v>
      </c>
      <c r="V365" s="6">
        <v>445</v>
      </c>
      <c r="W365" s="6">
        <v>467</v>
      </c>
      <c r="X365" s="6">
        <v>440</v>
      </c>
      <c r="Y365" s="6">
        <v>438</v>
      </c>
      <c r="Z365" s="6">
        <v>450</v>
      </c>
      <c r="AA365" s="6">
        <v>448</v>
      </c>
      <c r="AB365" s="6">
        <v>474</v>
      </c>
      <c r="AC365" s="6">
        <v>461</v>
      </c>
      <c r="AD365" s="6">
        <f t="shared" si="23"/>
        <v>13</v>
      </c>
      <c r="AE365" s="6" t="s">
        <v>2901</v>
      </c>
    </row>
    <row r="366" spans="1:31">
      <c r="A366" s="33" t="str">
        <f>WORCESTERSHIRE!A18</f>
        <v>Redditch CC</v>
      </c>
      <c r="B366" s="7">
        <f>WORCESTERSHIRE!D20</f>
        <v>66977</v>
      </c>
      <c r="C366" s="7">
        <f>WORCESTERSHIRE!E20</f>
        <v>66492</v>
      </c>
      <c r="D366" s="7">
        <f>WORCESTERSHIRE!F20</f>
        <v>66571</v>
      </c>
      <c r="E366" s="7">
        <f>WORCESTERSHIRE!G20</f>
        <v>66801</v>
      </c>
      <c r="F366" s="7">
        <f>WORCESTERSHIRE!H20</f>
        <v>64927</v>
      </c>
      <c r="G366" s="7">
        <f>WORCESTERSHIRE!I20</f>
        <v>64921</v>
      </c>
      <c r="H366" s="7">
        <f>WORCESTERSHIRE!J20</f>
        <v>64071</v>
      </c>
      <c r="I366" s="7">
        <f>WORCESTERSHIRE!K20</f>
        <v>64682</v>
      </c>
      <c r="J366" s="7">
        <f>WORCESTERSHIRE!L20</f>
        <v>63385</v>
      </c>
      <c r="K366" s="7">
        <f>WORCESTERSHIRE!M20</f>
        <v>62863</v>
      </c>
      <c r="L366" s="7">
        <f>WORCESTERSHIRE!N20</f>
        <v>64460</v>
      </c>
      <c r="M366" s="7">
        <f>WORCESTERSHIRE!O20</f>
        <v>65507</v>
      </c>
      <c r="N366" s="34">
        <f t="shared" si="20"/>
        <v>-2.1947832838138465E-2</v>
      </c>
      <c r="O366" s="34"/>
      <c r="P366" s="7">
        <f t="shared" si="21"/>
        <v>-7886</v>
      </c>
      <c r="Q366" s="1004">
        <f t="shared" si="22"/>
        <v>-0.10744893927213767</v>
      </c>
      <c r="R366" s="6">
        <v>411</v>
      </c>
      <c r="S366" s="6">
        <v>441</v>
      </c>
      <c r="T366" s="6">
        <v>446</v>
      </c>
      <c r="U366" s="6">
        <v>447</v>
      </c>
      <c r="V366" s="6">
        <v>471</v>
      </c>
      <c r="W366" s="6">
        <v>444</v>
      </c>
      <c r="X366" s="6">
        <v>439</v>
      </c>
      <c r="Y366" s="6">
        <v>460</v>
      </c>
      <c r="Z366" s="6">
        <v>486</v>
      </c>
      <c r="AA366" s="6">
        <v>481</v>
      </c>
      <c r="AB366" s="6">
        <v>479</v>
      </c>
      <c r="AC366" s="6">
        <v>473</v>
      </c>
      <c r="AD366" s="6">
        <f t="shared" si="23"/>
        <v>6</v>
      </c>
      <c r="AE366" s="6" t="s">
        <v>15824</v>
      </c>
    </row>
    <row r="367" spans="1:31">
      <c r="A367" s="33" t="str">
        <f>SURREY!A38</f>
        <v>Reigate BC</v>
      </c>
      <c r="B367" s="7">
        <f>SURREY!D38</f>
        <v>71233</v>
      </c>
      <c r="C367" s="7">
        <f>SURREY!E38</f>
        <v>72043</v>
      </c>
      <c r="D367" s="7">
        <f>SURREY!F38</f>
        <v>72438</v>
      </c>
      <c r="E367" s="7">
        <f>SURREY!G38</f>
        <v>72769</v>
      </c>
      <c r="F367" s="7">
        <f>SURREY!H38</f>
        <v>71816</v>
      </c>
      <c r="G367" s="7">
        <f>SURREY!I38</f>
        <v>72786</v>
      </c>
      <c r="H367" s="7">
        <f>SURREY!J38</f>
        <v>71778</v>
      </c>
      <c r="I367" s="7">
        <f>SURREY!K38</f>
        <v>72840</v>
      </c>
      <c r="J367" s="7">
        <f>SURREY!L38</f>
        <v>72855</v>
      </c>
      <c r="K367" s="7">
        <f>SURREY!M38</f>
        <v>72322</v>
      </c>
      <c r="L367" s="7">
        <f>SURREY!N38</f>
        <v>73801</v>
      </c>
      <c r="M367" s="7">
        <f>SURREY!O38</f>
        <v>74602</v>
      </c>
      <c r="N367" s="34">
        <f t="shared" si="20"/>
        <v>4.7295495065489308E-2</v>
      </c>
      <c r="O367" s="34"/>
      <c r="P367" s="7">
        <f t="shared" si="21"/>
        <v>1209</v>
      </c>
      <c r="Q367" s="1004">
        <f t="shared" si="22"/>
        <v>1.647296063657297E-2</v>
      </c>
      <c r="R367" s="6">
        <v>281</v>
      </c>
      <c r="S367" s="6">
        <v>269</v>
      </c>
      <c r="T367" s="6">
        <v>276</v>
      </c>
      <c r="U367" s="6">
        <v>275</v>
      </c>
      <c r="V367" s="6">
        <v>291</v>
      </c>
      <c r="W367" s="6">
        <v>195</v>
      </c>
      <c r="X367" s="6">
        <v>206</v>
      </c>
      <c r="Y367" s="6">
        <v>226</v>
      </c>
      <c r="Z367" s="6">
        <v>246</v>
      </c>
      <c r="AA367" s="6">
        <v>244</v>
      </c>
      <c r="AB367" s="6">
        <v>269</v>
      </c>
      <c r="AC367" s="6">
        <v>250</v>
      </c>
      <c r="AD367" s="6">
        <f t="shared" si="23"/>
        <v>19</v>
      </c>
      <c r="AE367" s="6" t="s">
        <v>15823</v>
      </c>
    </row>
    <row r="368" spans="1:31">
      <c r="A368" s="33" t="str">
        <f>LANCASHIRE!A57</f>
        <v>Ribble Valley CC</v>
      </c>
      <c r="B368" s="7">
        <f>LANCASHIRE!D59</f>
        <v>77282</v>
      </c>
      <c r="C368" s="7">
        <f>LANCASHIRE!E59</f>
        <v>77437</v>
      </c>
      <c r="D368" s="7">
        <f>LANCASHIRE!F59</f>
        <v>77216</v>
      </c>
      <c r="E368" s="7">
        <f>LANCASHIRE!G59</f>
        <v>77315</v>
      </c>
      <c r="F368" s="7">
        <f>LANCASHIRE!H59</f>
        <v>77362</v>
      </c>
      <c r="G368" s="7">
        <f>LANCASHIRE!I59</f>
        <v>76413</v>
      </c>
      <c r="H368" s="7">
        <f>LANCASHIRE!J59</f>
        <v>75348</v>
      </c>
      <c r="I368" s="7">
        <f>LANCASHIRE!K59</f>
        <v>75365</v>
      </c>
      <c r="J368" s="7">
        <f>LANCASHIRE!L59</f>
        <v>76974</v>
      </c>
      <c r="K368" s="7">
        <f>LANCASHIRE!M59</f>
        <v>75883</v>
      </c>
      <c r="L368" s="7">
        <f>LANCASHIRE!N59</f>
        <v>78626</v>
      </c>
      <c r="M368" s="7">
        <f>LANCASHIRE!O59</f>
        <v>80285</v>
      </c>
      <c r="N368" s="34">
        <f t="shared" si="20"/>
        <v>3.8857690018374268E-2</v>
      </c>
      <c r="O368" s="34"/>
      <c r="P368" s="7">
        <f t="shared" si="21"/>
        <v>6892</v>
      </c>
      <c r="Q368" s="1004">
        <f t="shared" si="22"/>
        <v>9.3905413322796449E-2</v>
      </c>
      <c r="R368" s="6">
        <v>82</v>
      </c>
      <c r="S368" s="6">
        <v>95</v>
      </c>
      <c r="T368" s="6">
        <v>125</v>
      </c>
      <c r="U368" s="6">
        <v>131</v>
      </c>
      <c r="V368" s="6">
        <v>119</v>
      </c>
      <c r="W368" s="6">
        <v>110</v>
      </c>
      <c r="X368" s="6">
        <v>111</v>
      </c>
      <c r="Y368" s="6">
        <v>152</v>
      </c>
      <c r="Z368" s="6">
        <v>144</v>
      </c>
      <c r="AA368" s="6">
        <v>153</v>
      </c>
      <c r="AB368" s="6">
        <v>146</v>
      </c>
      <c r="AC368" s="6">
        <v>123</v>
      </c>
      <c r="AD368" s="6">
        <f t="shared" si="23"/>
        <v>23</v>
      </c>
      <c r="AE368" s="6" t="s">
        <v>15825</v>
      </c>
    </row>
    <row r="369" spans="1:31">
      <c r="A369" s="33" t="str">
        <f>'NORTH YORKSHIRE'!A17</f>
        <v>Richmond (Yorks) CC</v>
      </c>
      <c r="B369" s="7">
        <f>'NORTH YORKSHIRE'!D19</f>
        <v>81314</v>
      </c>
      <c r="C369" s="7">
        <f>'NORTH YORKSHIRE'!E19</f>
        <v>78902</v>
      </c>
      <c r="D369" s="7">
        <f>'NORTH YORKSHIRE'!F19</f>
        <v>78902</v>
      </c>
      <c r="E369" s="7">
        <f>'NORTH YORKSHIRE'!G19</f>
        <v>79242</v>
      </c>
      <c r="F369" s="7">
        <f>'NORTH YORKSHIRE'!H19</f>
        <v>79763</v>
      </c>
      <c r="G369" s="7">
        <f>'NORTH YORKSHIRE'!I19</f>
        <v>77603</v>
      </c>
      <c r="H369" s="7">
        <f>'NORTH YORKSHIRE'!J19</f>
        <v>76357</v>
      </c>
      <c r="I369" s="7">
        <f>'NORTH YORKSHIRE'!K19</f>
        <v>80137</v>
      </c>
      <c r="J369" s="7">
        <f>'NORTH YORKSHIRE'!L19</f>
        <v>80215</v>
      </c>
      <c r="K369" s="7">
        <f>'NORTH YORKSHIRE'!M19</f>
        <v>80399</v>
      </c>
      <c r="L369" s="7">
        <f>'NORTH YORKSHIRE'!N19</f>
        <v>83219</v>
      </c>
      <c r="M369" s="7">
        <f>'NORTH YORKSHIRE'!O19</f>
        <v>82031</v>
      </c>
      <c r="N369" s="34">
        <f t="shared" si="20"/>
        <v>8.8176697739626633E-3</v>
      </c>
      <c r="O369" s="34"/>
      <c r="P369" s="7">
        <f t="shared" si="21"/>
        <v>8638</v>
      </c>
      <c r="Q369" s="1004">
        <f t="shared" si="22"/>
        <v>0.11769514803864128</v>
      </c>
      <c r="R369" s="6">
        <v>24</v>
      </c>
      <c r="S369" s="6">
        <v>59</v>
      </c>
      <c r="T369" s="6">
        <v>70</v>
      </c>
      <c r="U369" s="6">
        <v>73</v>
      </c>
      <c r="V369" s="6">
        <v>61</v>
      </c>
      <c r="W369" s="6">
        <v>79</v>
      </c>
      <c r="X369" s="6">
        <v>90</v>
      </c>
      <c r="Y369" s="6">
        <v>63</v>
      </c>
      <c r="Z369" s="6">
        <v>75</v>
      </c>
      <c r="AA369" s="6">
        <v>64</v>
      </c>
      <c r="AB369" s="6">
        <v>57</v>
      </c>
      <c r="AC369" s="6">
        <v>89</v>
      </c>
      <c r="AD369" s="6">
        <f t="shared" si="23"/>
        <v>-32</v>
      </c>
      <c r="AE369" s="6" t="s">
        <v>15828</v>
      </c>
    </row>
    <row r="370" spans="1:31">
      <c r="A370" s="33" t="str">
        <f>KINGSTON!A9</f>
        <v>Richmond Park BC</v>
      </c>
      <c r="B370" s="7">
        <f>KINGSTON!D11</f>
        <v>75495</v>
      </c>
      <c r="C370" s="7">
        <f>KINGSTON!E11</f>
        <v>76650</v>
      </c>
      <c r="D370" s="7">
        <f>KINGSTON!F11</f>
        <v>76778</v>
      </c>
      <c r="E370" s="7">
        <f>KINGSTON!G11</f>
        <v>76862</v>
      </c>
      <c r="F370" s="7">
        <f>KINGSTON!H11</f>
        <v>76393</v>
      </c>
      <c r="G370" s="7">
        <f>KINGSTON!I11</f>
        <v>74057</v>
      </c>
      <c r="H370" s="7">
        <f>KINGSTON!J11</f>
        <v>74740</v>
      </c>
      <c r="I370" s="7">
        <f>KINGSTON!K11</f>
        <v>77934</v>
      </c>
      <c r="J370" s="7">
        <f>KINGSTON!L11</f>
        <v>78107</v>
      </c>
      <c r="K370" s="7">
        <f>KINGSTON!M11</f>
        <v>77207</v>
      </c>
      <c r="L370" s="7">
        <f>KINGSTON!N11</f>
        <v>79791</v>
      </c>
      <c r="M370" s="7">
        <f>KINGSTON!O11</f>
        <v>81743</v>
      </c>
      <c r="N370" s="34">
        <f t="shared" si="20"/>
        <v>8.2760447711768992E-2</v>
      </c>
      <c r="O370" s="34"/>
      <c r="P370" s="7">
        <f t="shared" si="21"/>
        <v>8350</v>
      </c>
      <c r="Q370" s="1004">
        <f t="shared" si="22"/>
        <v>0.11377106808551224</v>
      </c>
      <c r="R370" s="6">
        <v>140</v>
      </c>
      <c r="S370" s="6">
        <v>125</v>
      </c>
      <c r="T370" s="6">
        <v>133</v>
      </c>
      <c r="U370" s="6">
        <v>141</v>
      </c>
      <c r="V370" s="6">
        <v>138</v>
      </c>
      <c r="W370" s="6">
        <v>161</v>
      </c>
      <c r="X370" s="6">
        <v>125</v>
      </c>
      <c r="Y370" s="6">
        <v>108</v>
      </c>
      <c r="Z370" s="6">
        <v>120</v>
      </c>
      <c r="AA370" s="6">
        <v>130</v>
      </c>
      <c r="AB370" s="6">
        <v>117</v>
      </c>
      <c r="AC370" s="6">
        <v>95</v>
      </c>
      <c r="AD370" s="6">
        <f t="shared" si="23"/>
        <v>22</v>
      </c>
      <c r="AE370" s="6" t="s">
        <v>15827</v>
      </c>
    </row>
    <row r="371" spans="1:31">
      <c r="A371" s="33" t="str">
        <f>'GREATER MANCHESTER'!A65</f>
        <v>Rochdale CC</v>
      </c>
      <c r="B371" s="7">
        <f>'GREATER MANCHESTER'!D65</f>
        <v>77471</v>
      </c>
      <c r="C371" s="7">
        <f>'GREATER MANCHESTER'!E65</f>
        <v>77699</v>
      </c>
      <c r="D371" s="7">
        <f>'GREATER MANCHESTER'!F65</f>
        <v>78035</v>
      </c>
      <c r="E371" s="7">
        <f>'GREATER MANCHESTER'!G65</f>
        <v>78320</v>
      </c>
      <c r="F371" s="7">
        <f>'GREATER MANCHESTER'!H65</f>
        <v>77397</v>
      </c>
      <c r="G371" s="7">
        <f>'GREATER MANCHESTER'!I65</f>
        <v>77219</v>
      </c>
      <c r="H371" s="7">
        <f>'GREATER MANCHESTER'!J65</f>
        <v>72530</v>
      </c>
      <c r="I371" s="7">
        <f>'GREATER MANCHESTER'!K65</f>
        <v>76576</v>
      </c>
      <c r="J371" s="7">
        <f>'GREATER MANCHESTER'!L65</f>
        <v>78002</v>
      </c>
      <c r="K371" s="7">
        <f>'GREATER MANCHESTER'!M65</f>
        <v>77929</v>
      </c>
      <c r="L371" s="7">
        <f>'GREATER MANCHESTER'!N65</f>
        <v>79735</v>
      </c>
      <c r="M371" s="7">
        <f>'GREATER MANCHESTER'!O65</f>
        <v>79901</v>
      </c>
      <c r="N371" s="34">
        <f t="shared" si="20"/>
        <v>3.1366575880006714E-2</v>
      </c>
      <c r="O371" s="34"/>
      <c r="P371" s="7">
        <f t="shared" si="21"/>
        <v>6508</v>
      </c>
      <c r="Q371" s="1004">
        <f t="shared" si="22"/>
        <v>8.867330671862439E-2</v>
      </c>
      <c r="R371" s="6">
        <v>77</v>
      </c>
      <c r="S371" s="6">
        <v>88</v>
      </c>
      <c r="T371" s="6">
        <v>91</v>
      </c>
      <c r="U371" s="6">
        <v>100</v>
      </c>
      <c r="V371" s="6">
        <v>117</v>
      </c>
      <c r="W371" s="6">
        <v>89</v>
      </c>
      <c r="X371" s="6">
        <v>179</v>
      </c>
      <c r="Y371" s="6">
        <v>137</v>
      </c>
      <c r="Z371" s="6">
        <v>124</v>
      </c>
      <c r="AA371" s="6">
        <v>114</v>
      </c>
      <c r="AB371" s="6">
        <v>120</v>
      </c>
      <c r="AC371" s="6">
        <v>134</v>
      </c>
      <c r="AD371" s="6">
        <f t="shared" si="23"/>
        <v>-14</v>
      </c>
      <c r="AE371" s="6" t="s">
        <v>15825</v>
      </c>
    </row>
    <row r="372" spans="1:31">
      <c r="A372" s="33" t="str">
        <f>KENT!A58</f>
        <v>Rochester and Strood CC</v>
      </c>
      <c r="B372" s="7">
        <f>KENT!D58</f>
        <v>74269</v>
      </c>
      <c r="C372" s="7">
        <f>KENT!E58</f>
        <v>75001</v>
      </c>
      <c r="D372" s="7">
        <f>KENT!F58</f>
        <v>76334</v>
      </c>
      <c r="E372" s="7">
        <f>KENT!G58</f>
        <v>76707</v>
      </c>
      <c r="F372" s="7">
        <f>KENT!H58</f>
        <v>78852</v>
      </c>
      <c r="G372" s="7">
        <f>KENT!I58</f>
        <v>77119</v>
      </c>
      <c r="H372" s="7">
        <f>KENT!J58</f>
        <v>75317</v>
      </c>
      <c r="I372" s="7">
        <f>KENT!K58</f>
        <v>79084</v>
      </c>
      <c r="J372" s="7">
        <f>KENT!L58</f>
        <v>79484</v>
      </c>
      <c r="K372" s="7">
        <f>KENT!M58</f>
        <v>80271</v>
      </c>
      <c r="L372" s="7">
        <f>KENT!N58</f>
        <v>79744</v>
      </c>
      <c r="M372" s="7">
        <f>KENT!O58</f>
        <v>82493</v>
      </c>
      <c r="N372" s="34">
        <f t="shared" si="20"/>
        <v>0.11073260714429978</v>
      </c>
      <c r="O372" s="34"/>
      <c r="P372" s="7">
        <f t="shared" si="21"/>
        <v>9100</v>
      </c>
      <c r="Q372" s="1004">
        <f t="shared" si="22"/>
        <v>0.12399002629678579</v>
      </c>
      <c r="R372" s="6">
        <v>168</v>
      </c>
      <c r="S372" s="6">
        <v>167</v>
      </c>
      <c r="T372" s="6">
        <v>147</v>
      </c>
      <c r="U372" s="6">
        <v>148</v>
      </c>
      <c r="V372" s="6">
        <v>77</v>
      </c>
      <c r="W372" s="6">
        <v>92</v>
      </c>
      <c r="X372" s="6">
        <v>114</v>
      </c>
      <c r="Y372" s="6">
        <v>84</v>
      </c>
      <c r="Z372" s="6">
        <v>87</v>
      </c>
      <c r="AA372" s="6">
        <v>69</v>
      </c>
      <c r="AB372" s="6">
        <v>119</v>
      </c>
      <c r="AC372" s="6">
        <v>82</v>
      </c>
      <c r="AD372" s="6">
        <f t="shared" si="23"/>
        <v>37</v>
      </c>
      <c r="AE372" s="6" t="s">
        <v>15823</v>
      </c>
    </row>
    <row r="373" spans="1:31">
      <c r="A373" s="33" t="str">
        <f>ESSEX!A61</f>
        <v>Rochford and Southend East CC</v>
      </c>
      <c r="B373" s="7">
        <f>ESSEX!D63</f>
        <v>71582</v>
      </c>
      <c r="C373" s="7">
        <f>ESSEX!E63</f>
        <v>71131</v>
      </c>
      <c r="D373" s="7">
        <f>ESSEX!F63</f>
        <v>71908</v>
      </c>
      <c r="E373" s="7">
        <f>ESSEX!G63</f>
        <v>72917</v>
      </c>
      <c r="F373" s="7">
        <f>ESSEX!H63</f>
        <v>73498</v>
      </c>
      <c r="G373" s="7">
        <f>ESSEX!I63</f>
        <v>70391</v>
      </c>
      <c r="H373" s="7">
        <f>ESSEX!J63</f>
        <v>69533</v>
      </c>
      <c r="I373" s="7">
        <f>ESSEX!K63</f>
        <v>71552</v>
      </c>
      <c r="J373" s="7">
        <f>ESSEX!L63</f>
        <v>72203</v>
      </c>
      <c r="K373" s="7">
        <f>ESSEX!M63</f>
        <v>72568</v>
      </c>
      <c r="L373" s="7">
        <f>ESSEX!N63</f>
        <v>75117</v>
      </c>
      <c r="M373" s="7">
        <f>ESSEX!O63</f>
        <v>75404</v>
      </c>
      <c r="N373" s="34">
        <f t="shared" si="20"/>
        <v>5.3393311167611972E-2</v>
      </c>
      <c r="O373" s="34"/>
      <c r="P373" s="7">
        <f t="shared" si="21"/>
        <v>2011</v>
      </c>
      <c r="Q373" s="1004">
        <f t="shared" si="22"/>
        <v>2.7400433283828157E-2</v>
      </c>
      <c r="R373" s="6">
        <v>269</v>
      </c>
      <c r="S373" s="6">
        <v>308</v>
      </c>
      <c r="T373" s="6">
        <v>297</v>
      </c>
      <c r="U373" s="6">
        <v>263</v>
      </c>
      <c r="V373" s="6">
        <v>230</v>
      </c>
      <c r="W373" s="6">
        <v>278</v>
      </c>
      <c r="X373" s="6">
        <v>292</v>
      </c>
      <c r="Y373" s="6">
        <v>274</v>
      </c>
      <c r="Z373" s="6">
        <v>272</v>
      </c>
      <c r="AA373" s="6">
        <v>235</v>
      </c>
      <c r="AB373" s="6">
        <v>223</v>
      </c>
      <c r="AC373" s="6">
        <v>229</v>
      </c>
      <c r="AD373" s="6">
        <f t="shared" si="23"/>
        <v>-6</v>
      </c>
      <c r="AE373" s="6" t="s">
        <v>15829</v>
      </c>
    </row>
    <row r="374" spans="1:31">
      <c r="A374" s="33" t="str">
        <f>HAVERING!A9</f>
        <v>Romford BC</v>
      </c>
      <c r="B374" s="7">
        <f>HAVERING!D9</f>
        <v>71306</v>
      </c>
      <c r="C374" s="7">
        <f>HAVERING!E9</f>
        <v>71978</v>
      </c>
      <c r="D374" s="7">
        <f>HAVERING!F9</f>
        <v>72608</v>
      </c>
      <c r="E374" s="7">
        <f>HAVERING!G9</f>
        <v>73129</v>
      </c>
      <c r="F374" s="7">
        <f>HAVERING!H9</f>
        <v>73574</v>
      </c>
      <c r="G374" s="7">
        <f>HAVERING!I9</f>
        <v>71790</v>
      </c>
      <c r="H374" s="7">
        <f>HAVERING!J9</f>
        <v>70953</v>
      </c>
      <c r="I374" s="7">
        <f>HAVERING!K9</f>
        <v>72309</v>
      </c>
      <c r="J374" s="7">
        <f>HAVERING!L9</f>
        <v>73415</v>
      </c>
      <c r="K374" s="7">
        <f>HAVERING!M9</f>
        <v>72046</v>
      </c>
      <c r="L374" s="7">
        <f>HAVERING!N9</f>
        <v>71247</v>
      </c>
      <c r="M374" s="7">
        <f>HAVERING!O9</f>
        <v>72267</v>
      </c>
      <c r="N374" s="34">
        <f t="shared" si="20"/>
        <v>1.3477126749502145E-2</v>
      </c>
      <c r="O374" s="34"/>
      <c r="P374" s="7">
        <f t="shared" si="21"/>
        <v>-1126</v>
      </c>
      <c r="Q374" s="1004">
        <f t="shared" si="22"/>
        <v>-1.5342062594525363E-2</v>
      </c>
      <c r="R374" s="6">
        <v>278</v>
      </c>
      <c r="S374" s="6">
        <v>274</v>
      </c>
      <c r="T374" s="6">
        <v>268</v>
      </c>
      <c r="U374" s="6">
        <v>250</v>
      </c>
      <c r="V374" s="6">
        <v>226</v>
      </c>
      <c r="W374" s="6">
        <v>238</v>
      </c>
      <c r="X374" s="6">
        <v>231</v>
      </c>
      <c r="Y374" s="6">
        <v>243</v>
      </c>
      <c r="Z374" s="6">
        <v>235</v>
      </c>
      <c r="AA374" s="6">
        <v>252</v>
      </c>
      <c r="AB374" s="6">
        <v>341</v>
      </c>
      <c r="AC374" s="6">
        <v>341</v>
      </c>
      <c r="AD374" s="6">
        <f t="shared" si="23"/>
        <v>0</v>
      </c>
      <c r="AE374" s="6" t="s">
        <v>15827</v>
      </c>
    </row>
    <row r="375" spans="1:31">
      <c r="A375" s="33" t="str">
        <f>HAMPSHIRE!A58</f>
        <v>Romsey and Southampton North CC</v>
      </c>
      <c r="B375" s="7">
        <f>HAMPSHIRE!D60</f>
        <v>67397</v>
      </c>
      <c r="C375" s="7">
        <f>HAMPSHIRE!E60</f>
        <v>67696</v>
      </c>
      <c r="D375" s="7">
        <f>HAMPSHIRE!F60</f>
        <v>67724</v>
      </c>
      <c r="E375" s="7">
        <f>HAMPSHIRE!G60</f>
        <v>67419</v>
      </c>
      <c r="F375" s="7">
        <f>HAMPSHIRE!H60</f>
        <v>68318</v>
      </c>
      <c r="G375" s="7">
        <f>HAMPSHIRE!I60</f>
        <v>64580</v>
      </c>
      <c r="H375" s="7">
        <f>HAMPSHIRE!J60</f>
        <v>63901</v>
      </c>
      <c r="I375" s="7">
        <f>HAMPSHIRE!K60</f>
        <v>65116</v>
      </c>
      <c r="J375" s="7">
        <f>HAMPSHIRE!L60</f>
        <v>65289</v>
      </c>
      <c r="K375" s="7">
        <f>HAMPSHIRE!M60</f>
        <v>64295</v>
      </c>
      <c r="L375" s="7">
        <f>HAMPSHIRE!N60</f>
        <v>68447</v>
      </c>
      <c r="M375" s="7">
        <f>HAMPSHIRE!O60</f>
        <v>68430</v>
      </c>
      <c r="N375" s="34">
        <f t="shared" si="20"/>
        <v>1.5327091710313516E-2</v>
      </c>
      <c r="O375" s="34"/>
      <c r="P375" s="7">
        <f t="shared" si="21"/>
        <v>-4963</v>
      </c>
      <c r="Q375" s="1004">
        <f t="shared" si="22"/>
        <v>-6.7622252803400867E-2</v>
      </c>
      <c r="R375" s="6">
        <v>399</v>
      </c>
      <c r="S375" s="6">
        <v>400</v>
      </c>
      <c r="T375" s="6">
        <v>409</v>
      </c>
      <c r="U375" s="6">
        <v>431</v>
      </c>
      <c r="V375" s="6">
        <v>392</v>
      </c>
      <c r="W375" s="6">
        <v>451</v>
      </c>
      <c r="X375" s="6">
        <v>446</v>
      </c>
      <c r="Y375" s="6">
        <v>449</v>
      </c>
      <c r="Z375" s="6">
        <v>453</v>
      </c>
      <c r="AA375" s="6">
        <v>464</v>
      </c>
      <c r="AB375" s="6">
        <v>418</v>
      </c>
      <c r="AC375" s="6">
        <v>430</v>
      </c>
      <c r="AD375" s="6">
        <f t="shared" si="23"/>
        <v>-12</v>
      </c>
      <c r="AE375" s="6" t="s">
        <v>15823</v>
      </c>
    </row>
    <row r="376" spans="1:31">
      <c r="A376" s="33" t="str">
        <f>LANCASHIRE!A61</f>
        <v>Rossendale and Darwen BC</v>
      </c>
      <c r="B376" s="7">
        <f>LANCASHIRE!D63</f>
        <v>73092</v>
      </c>
      <c r="C376" s="7">
        <f>LANCASHIRE!E63</f>
        <v>73443</v>
      </c>
      <c r="D376" s="7">
        <f>LANCASHIRE!F63</f>
        <v>73958</v>
      </c>
      <c r="E376" s="7">
        <f>LANCASHIRE!G63</f>
        <v>74185</v>
      </c>
      <c r="F376" s="7">
        <f>LANCASHIRE!H63</f>
        <v>74134</v>
      </c>
      <c r="G376" s="7">
        <f>LANCASHIRE!I63</f>
        <v>73137</v>
      </c>
      <c r="H376" s="7">
        <f>LANCASHIRE!J63</f>
        <v>70738</v>
      </c>
      <c r="I376" s="7">
        <f>LANCASHIRE!K63</f>
        <v>72406</v>
      </c>
      <c r="J376" s="7">
        <f>LANCASHIRE!L63</f>
        <v>71616</v>
      </c>
      <c r="K376" s="7">
        <f>LANCASHIRE!M63</f>
        <v>71461</v>
      </c>
      <c r="L376" s="7">
        <f>LANCASHIRE!N63</f>
        <v>72668</v>
      </c>
      <c r="M376" s="7">
        <f>LANCASHIRE!O63</f>
        <v>73133</v>
      </c>
      <c r="N376" s="34">
        <f t="shared" si="20"/>
        <v>5.60936901439282E-4</v>
      </c>
      <c r="O376" s="34"/>
      <c r="P376" s="7">
        <f t="shared" si="21"/>
        <v>-260</v>
      </c>
      <c r="Q376" s="1004">
        <f t="shared" si="22"/>
        <v>-3.5425721799081655E-3</v>
      </c>
      <c r="R376" s="6">
        <v>196</v>
      </c>
      <c r="S376" s="6">
        <v>209</v>
      </c>
      <c r="T376" s="6">
        <v>200</v>
      </c>
      <c r="U376" s="6">
        <v>204</v>
      </c>
      <c r="V376" s="6">
        <v>205</v>
      </c>
      <c r="W376" s="6">
        <v>182</v>
      </c>
      <c r="X376" s="6">
        <v>236</v>
      </c>
      <c r="Y376" s="6">
        <v>241</v>
      </c>
      <c r="Z376" s="6">
        <v>290</v>
      </c>
      <c r="AA376" s="6">
        <v>272</v>
      </c>
      <c r="AB376" s="6">
        <v>299</v>
      </c>
      <c r="AC376" s="6">
        <v>308</v>
      </c>
      <c r="AD376" s="6">
        <f t="shared" si="23"/>
        <v>-9</v>
      </c>
      <c r="AE376" s="6" t="s">
        <v>15825</v>
      </c>
    </row>
    <row r="377" spans="1:31">
      <c r="A377" s="33" t="str">
        <f>'SOUTH YORKSHIRE'!A26</f>
        <v>Rother Valley CC</v>
      </c>
      <c r="B377" s="7">
        <f>'SOUTH YORKSHIRE'!D26</f>
        <v>72168</v>
      </c>
      <c r="C377" s="7">
        <f>'SOUTH YORKSHIRE'!E26</f>
        <v>73068</v>
      </c>
      <c r="D377" s="7">
        <f>'SOUTH YORKSHIRE'!F26</f>
        <v>73220</v>
      </c>
      <c r="E377" s="7">
        <f>'SOUTH YORKSHIRE'!G26</f>
        <v>73755</v>
      </c>
      <c r="F377" s="7">
        <f>'SOUTH YORKSHIRE'!H26</f>
        <v>74189</v>
      </c>
      <c r="G377" s="7">
        <f>'SOUTH YORKSHIRE'!I26</f>
        <v>74259</v>
      </c>
      <c r="H377" s="7">
        <f>'SOUTH YORKSHIRE'!J26</f>
        <v>73511</v>
      </c>
      <c r="I377" s="7">
        <f>'SOUTH YORKSHIRE'!K26</f>
        <v>74387</v>
      </c>
      <c r="J377" s="7">
        <f>'SOUTH YORKSHIRE'!L26</f>
        <v>74654</v>
      </c>
      <c r="K377" s="7">
        <f>'SOUTH YORKSHIRE'!M26</f>
        <v>73996</v>
      </c>
      <c r="L377" s="7">
        <f>'SOUTH YORKSHIRE'!N26</f>
        <v>74050</v>
      </c>
      <c r="M377" s="7">
        <f>'SOUTH YORKSHIRE'!O26</f>
        <v>75469</v>
      </c>
      <c r="N377" s="34">
        <f t="shared" si="20"/>
        <v>4.5740494401951E-2</v>
      </c>
      <c r="O377" s="34"/>
      <c r="P377" s="7">
        <f t="shared" si="21"/>
        <v>2076</v>
      </c>
      <c r="Q377" s="1004">
        <f t="shared" si="22"/>
        <v>2.8286076328805199E-2</v>
      </c>
      <c r="R377" s="6">
        <v>234</v>
      </c>
      <c r="S377" s="6">
        <v>223</v>
      </c>
      <c r="T377" s="6">
        <v>236</v>
      </c>
      <c r="U377" s="6">
        <v>222</v>
      </c>
      <c r="V377" s="6">
        <v>204</v>
      </c>
      <c r="W377" s="6">
        <v>155</v>
      </c>
      <c r="X377" s="6">
        <v>153</v>
      </c>
      <c r="Y377" s="6">
        <v>181</v>
      </c>
      <c r="Z377" s="6">
        <v>189</v>
      </c>
      <c r="AA377" s="6">
        <v>186</v>
      </c>
      <c r="AB377" s="6">
        <v>256</v>
      </c>
      <c r="AC377" s="6">
        <v>225</v>
      </c>
      <c r="AD377" s="6">
        <f t="shared" si="23"/>
        <v>31</v>
      </c>
      <c r="AE377" s="6" t="s">
        <v>15828</v>
      </c>
    </row>
    <row r="378" spans="1:31">
      <c r="A378" s="33" t="str">
        <f>'SOUTH YORKSHIRE'!A28</f>
        <v>Rotherham BC</v>
      </c>
      <c r="B378" s="7">
        <f>'SOUTH YORKSHIRE'!D28</f>
        <v>62977</v>
      </c>
      <c r="C378" s="7">
        <f>'SOUTH YORKSHIRE'!E28</f>
        <v>63131</v>
      </c>
      <c r="D378" s="7">
        <f>'SOUTH YORKSHIRE'!F28</f>
        <v>63464</v>
      </c>
      <c r="E378" s="7">
        <f>'SOUTH YORKSHIRE'!G28</f>
        <v>64156</v>
      </c>
      <c r="F378" s="7">
        <f>'SOUTH YORKSHIRE'!H28</f>
        <v>64425</v>
      </c>
      <c r="G378" s="7">
        <f>'SOUTH YORKSHIRE'!I28</f>
        <v>63843</v>
      </c>
      <c r="H378" s="7">
        <f>'SOUTH YORKSHIRE'!J28</f>
        <v>62017</v>
      </c>
      <c r="I378" s="7">
        <f>'SOUTH YORKSHIRE'!K28</f>
        <v>62714</v>
      </c>
      <c r="J378" s="7">
        <f>'SOUTH YORKSHIRE'!L28</f>
        <v>62058</v>
      </c>
      <c r="K378" s="7">
        <f>'SOUTH YORKSHIRE'!M28</f>
        <v>61218</v>
      </c>
      <c r="L378" s="7">
        <f>'SOUTH YORKSHIRE'!N28</f>
        <v>61119</v>
      </c>
      <c r="M378" s="7">
        <f>'SOUTH YORKSHIRE'!O28</f>
        <v>62303</v>
      </c>
      <c r="N378" s="34">
        <f t="shared" si="20"/>
        <v>-1.0702319894564683E-2</v>
      </c>
      <c r="O378" s="34"/>
      <c r="P378" s="7">
        <f t="shared" si="21"/>
        <v>-11090</v>
      </c>
      <c r="Q378" s="1004">
        <f t="shared" si="22"/>
        <v>-0.15110432875069829</v>
      </c>
      <c r="R378" s="6">
        <v>502</v>
      </c>
      <c r="S378" s="6">
        <v>500</v>
      </c>
      <c r="T378" s="6">
        <v>501</v>
      </c>
      <c r="U378" s="6">
        <v>496</v>
      </c>
      <c r="V378" s="6">
        <v>479</v>
      </c>
      <c r="W378" s="6">
        <v>464</v>
      </c>
      <c r="X378" s="6">
        <v>485</v>
      </c>
      <c r="Y378" s="6">
        <v>487</v>
      </c>
      <c r="Z378" s="6">
        <v>500</v>
      </c>
      <c r="AA378" s="6">
        <v>498</v>
      </c>
      <c r="AB378" s="6">
        <v>514</v>
      </c>
      <c r="AC378" s="6">
        <v>511</v>
      </c>
      <c r="AD378" s="6">
        <f t="shared" si="23"/>
        <v>3</v>
      </c>
      <c r="AE378" s="6" t="s">
        <v>15828</v>
      </c>
    </row>
    <row r="379" spans="1:31">
      <c r="A379" s="33" t="str">
        <f>WARWICKSHIRE!A27</f>
        <v>Rugby CC</v>
      </c>
      <c r="B379" s="7">
        <f>WARWICKSHIRE!D29</f>
        <v>68759</v>
      </c>
      <c r="C379" s="7">
        <f>WARWICKSHIRE!E29</f>
        <v>69932</v>
      </c>
      <c r="D379" s="7">
        <f>WARWICKSHIRE!F29</f>
        <v>69771</v>
      </c>
      <c r="E379" s="7">
        <f>WARWICKSHIRE!G29</f>
        <v>70401</v>
      </c>
      <c r="F379" s="7">
        <f>WARWICKSHIRE!H29</f>
        <v>70672</v>
      </c>
      <c r="G379" s="7">
        <f>WARWICKSHIRE!I29</f>
        <v>70555</v>
      </c>
      <c r="H379" s="7">
        <f>WARWICKSHIRE!J29</f>
        <v>68478</v>
      </c>
      <c r="I379" s="7">
        <f>WARWICKSHIRE!K29</f>
        <v>70751</v>
      </c>
      <c r="J379" s="7">
        <f>WARWICKSHIRE!L29</f>
        <v>71252</v>
      </c>
      <c r="K379" s="7">
        <f>WARWICKSHIRE!M29</f>
        <v>70390</v>
      </c>
      <c r="L379" s="7">
        <f>WARWICKSHIRE!N29</f>
        <v>70917</v>
      </c>
      <c r="M379" s="7">
        <f>WARWICKSHIRE!O29</f>
        <v>72323</v>
      </c>
      <c r="N379" s="34">
        <f t="shared" si="20"/>
        <v>5.183321456100292E-2</v>
      </c>
      <c r="O379" s="34"/>
      <c r="P379" s="7">
        <f t="shared" si="21"/>
        <v>-1070</v>
      </c>
      <c r="Q379" s="1004">
        <f t="shared" si="22"/>
        <v>-1.4579047048083604E-2</v>
      </c>
      <c r="R379" s="6">
        <v>360</v>
      </c>
      <c r="S379" s="6">
        <v>342</v>
      </c>
      <c r="T379" s="6">
        <v>356</v>
      </c>
      <c r="U379" s="6">
        <v>339</v>
      </c>
      <c r="V379" s="6">
        <v>323</v>
      </c>
      <c r="W379" s="6">
        <v>274</v>
      </c>
      <c r="X379" s="6">
        <v>324</v>
      </c>
      <c r="Y379" s="6">
        <v>308</v>
      </c>
      <c r="Z379" s="6">
        <v>310</v>
      </c>
      <c r="AA379" s="6">
        <v>319</v>
      </c>
      <c r="AB379" s="6">
        <v>356</v>
      </c>
      <c r="AC379" s="6">
        <v>338</v>
      </c>
      <c r="AD379" s="6">
        <f t="shared" si="23"/>
        <v>18</v>
      </c>
      <c r="AE379" s="6" t="s">
        <v>15824</v>
      </c>
    </row>
    <row r="380" spans="1:31">
      <c r="A380" s="33" t="str">
        <f>HILLINGDON!A9</f>
        <v>Ruislip, Northwood and Pinner BC</v>
      </c>
      <c r="B380" s="7">
        <f>HILLINGDON!D11</f>
        <v>70979</v>
      </c>
      <c r="C380" s="7">
        <f>HILLINGDON!E11</f>
        <v>71706</v>
      </c>
      <c r="D380" s="7">
        <f>HILLINGDON!F11</f>
        <v>72148</v>
      </c>
      <c r="E380" s="7">
        <f>HILLINGDON!G11</f>
        <v>72965</v>
      </c>
      <c r="F380" s="7">
        <f>HILLINGDON!H11</f>
        <v>73491</v>
      </c>
      <c r="G380" s="7">
        <f>HILLINGDON!I11</f>
        <v>73240</v>
      </c>
      <c r="H380" s="7">
        <f>HILLINGDON!J11</f>
        <v>71331</v>
      </c>
      <c r="I380" s="7">
        <f>HILLINGDON!K11</f>
        <v>72458</v>
      </c>
      <c r="J380" s="7">
        <f>HILLINGDON!L11</f>
        <v>72357</v>
      </c>
      <c r="K380" s="7">
        <f>HILLINGDON!M11</f>
        <v>71356</v>
      </c>
      <c r="L380" s="7">
        <f>HILLINGDON!N11</f>
        <v>71843</v>
      </c>
      <c r="M380" s="7">
        <f>HILLINGDON!O11</f>
        <v>73053</v>
      </c>
      <c r="N380" s="34">
        <f t="shared" si="20"/>
        <v>2.9219910114259146E-2</v>
      </c>
      <c r="O380" s="34"/>
      <c r="P380" s="7">
        <f t="shared" si="21"/>
        <v>-340</v>
      </c>
      <c r="Q380" s="1004">
        <f t="shared" si="22"/>
        <v>-4.632594389110678E-3</v>
      </c>
      <c r="R380" s="6">
        <v>295</v>
      </c>
      <c r="S380" s="6">
        <v>290</v>
      </c>
      <c r="T380" s="6">
        <v>288</v>
      </c>
      <c r="U380" s="6">
        <v>257</v>
      </c>
      <c r="V380" s="6">
        <v>231</v>
      </c>
      <c r="W380" s="6">
        <v>180</v>
      </c>
      <c r="X380" s="6">
        <v>222</v>
      </c>
      <c r="Y380" s="6">
        <v>238</v>
      </c>
      <c r="Z380" s="6">
        <v>261</v>
      </c>
      <c r="AA380" s="6">
        <v>273</v>
      </c>
      <c r="AB380" s="6">
        <v>322</v>
      </c>
      <c r="AC380" s="6">
        <v>312</v>
      </c>
      <c r="AD380" s="6">
        <f t="shared" si="23"/>
        <v>10</v>
      </c>
      <c r="AE380" s="6" t="s">
        <v>15827</v>
      </c>
    </row>
    <row r="381" spans="1:31">
      <c r="A381" s="33" t="str">
        <f>SURREY!A40</f>
        <v>Runnymede and Weybridge CC</v>
      </c>
      <c r="B381" s="7">
        <f>SURREY!D42</f>
        <v>72455</v>
      </c>
      <c r="C381" s="7">
        <f>SURREY!E42</f>
        <v>73680</v>
      </c>
      <c r="D381" s="7">
        <f>SURREY!F42</f>
        <v>74053</v>
      </c>
      <c r="E381" s="7">
        <f>SURREY!G42</f>
        <v>74459</v>
      </c>
      <c r="F381" s="7">
        <f>SURREY!H42</f>
        <v>75344</v>
      </c>
      <c r="G381" s="7">
        <f>SURREY!I42</f>
        <v>71388</v>
      </c>
      <c r="H381" s="7">
        <f>SURREY!J42</f>
        <v>70639</v>
      </c>
      <c r="I381" s="7">
        <f>SURREY!K42</f>
        <v>73078</v>
      </c>
      <c r="J381" s="7">
        <f>SURREY!L42</f>
        <v>71694</v>
      </c>
      <c r="K381" s="7">
        <f>SURREY!M42</f>
        <v>71961</v>
      </c>
      <c r="L381" s="7">
        <f>SURREY!N42</f>
        <v>73604</v>
      </c>
      <c r="M381" s="7">
        <f>SURREY!O42</f>
        <v>76671</v>
      </c>
      <c r="N381" s="34">
        <f t="shared" si="20"/>
        <v>5.8187840728728173E-2</v>
      </c>
      <c r="O381" s="34"/>
      <c r="P381" s="7">
        <f t="shared" si="21"/>
        <v>3278</v>
      </c>
      <c r="Q381" s="1004">
        <f t="shared" si="22"/>
        <v>4.4663660022072948E-2</v>
      </c>
      <c r="R381" s="6">
        <v>224</v>
      </c>
      <c r="S381" s="6">
        <v>198</v>
      </c>
      <c r="T381" s="6">
        <v>197</v>
      </c>
      <c r="U381" s="6">
        <v>196</v>
      </c>
      <c r="V381" s="6">
        <v>165</v>
      </c>
      <c r="W381" s="6">
        <v>253</v>
      </c>
      <c r="X381" s="6">
        <v>244</v>
      </c>
      <c r="Y381" s="6">
        <v>218</v>
      </c>
      <c r="Z381" s="6">
        <v>288</v>
      </c>
      <c r="AA381" s="6">
        <v>253</v>
      </c>
      <c r="AB381" s="6">
        <v>275</v>
      </c>
      <c r="AC381" s="6">
        <v>204</v>
      </c>
      <c r="AD381" s="6">
        <f t="shared" si="23"/>
        <v>71</v>
      </c>
      <c r="AE381" s="6" t="s">
        <v>15823</v>
      </c>
    </row>
    <row r="382" spans="1:31">
      <c r="A382" s="33" t="str">
        <f>NOTTINGHAMSHIRE!A32</f>
        <v>Rushcliffe CC</v>
      </c>
      <c r="B382" s="7">
        <f>NOTTINGHAMSHIRE!D32</f>
        <v>72774</v>
      </c>
      <c r="C382" s="7">
        <f>NOTTINGHAMSHIRE!E32</f>
        <v>73430</v>
      </c>
      <c r="D382" s="7">
        <f>NOTTINGHAMSHIRE!F32</f>
        <v>73785</v>
      </c>
      <c r="E382" s="7">
        <f>NOTTINGHAMSHIRE!G32</f>
        <v>74324</v>
      </c>
      <c r="F382" s="7">
        <f>NOTTINGHAMSHIRE!H32</f>
        <v>74197</v>
      </c>
      <c r="G382" s="7">
        <f>NOTTINGHAMSHIRE!I32</f>
        <v>71910</v>
      </c>
      <c r="H382" s="7">
        <f>NOTTINGHAMSHIRE!J32</f>
        <v>71897</v>
      </c>
      <c r="I382" s="7">
        <f>NOTTINGHAMSHIRE!K32</f>
        <v>73282</v>
      </c>
      <c r="J382" s="7">
        <f>NOTTINGHAMSHIRE!L32</f>
        <v>73951</v>
      </c>
      <c r="K382" s="7">
        <f>NOTTINGHAMSHIRE!M32</f>
        <v>73411</v>
      </c>
      <c r="L382" s="7">
        <f>NOTTINGHAMSHIRE!N32</f>
        <v>76669</v>
      </c>
      <c r="M382" s="7">
        <f>NOTTINGHAMSHIRE!O32</f>
        <v>77338</v>
      </c>
      <c r="N382" s="34">
        <f t="shared" si="20"/>
        <v>6.2714705801522524E-2</v>
      </c>
      <c r="O382" s="34"/>
      <c r="P382" s="7">
        <f t="shared" si="21"/>
        <v>3945</v>
      </c>
      <c r="Q382" s="1004">
        <f t="shared" si="22"/>
        <v>5.3751720191298896E-2</v>
      </c>
      <c r="R382" s="6">
        <v>209</v>
      </c>
      <c r="S382" s="6">
        <v>211</v>
      </c>
      <c r="T382" s="6">
        <v>209</v>
      </c>
      <c r="U382" s="6">
        <v>199</v>
      </c>
      <c r="V382" s="6">
        <v>202</v>
      </c>
      <c r="W382" s="6">
        <v>236</v>
      </c>
      <c r="X382" s="6">
        <v>201</v>
      </c>
      <c r="Y382" s="6">
        <v>213</v>
      </c>
      <c r="Z382" s="6">
        <v>212</v>
      </c>
      <c r="AA382" s="6">
        <v>211</v>
      </c>
      <c r="AB382" s="6">
        <v>194</v>
      </c>
      <c r="AC382" s="6">
        <v>187</v>
      </c>
      <c r="AD382" s="6">
        <f t="shared" si="23"/>
        <v>7</v>
      </c>
      <c r="AE382" s="6" t="s">
        <v>15826</v>
      </c>
    </row>
    <row r="383" spans="1:31">
      <c r="A383" s="33" t="str">
        <f>LEICESTERSHIRE!A34</f>
        <v>Rutland and Melton CC</v>
      </c>
      <c r="B383" s="7">
        <f>LEICESTERSHIRE!D37</f>
        <v>77096</v>
      </c>
      <c r="C383" s="7">
        <f>LEICESTERSHIRE!E37</f>
        <v>77324</v>
      </c>
      <c r="D383" s="7">
        <f>LEICESTERSHIRE!F37</f>
        <v>77365</v>
      </c>
      <c r="E383" s="7">
        <f>LEICESTERSHIRE!G37</f>
        <v>77819</v>
      </c>
      <c r="F383" s="7">
        <f>LEICESTERSHIRE!H37</f>
        <v>78168</v>
      </c>
      <c r="G383" s="7">
        <f>LEICESTERSHIRE!I37</f>
        <v>77071</v>
      </c>
      <c r="H383" s="7">
        <f>LEICESTERSHIRE!J37</f>
        <v>73995</v>
      </c>
      <c r="I383" s="7">
        <f>LEICESTERSHIRE!K37</f>
        <v>77432</v>
      </c>
      <c r="J383" s="7">
        <f>LEICESTERSHIRE!L37</f>
        <v>77784</v>
      </c>
      <c r="K383" s="7">
        <f>LEICESTERSHIRE!M37</f>
        <v>78190</v>
      </c>
      <c r="L383" s="7">
        <f>LEICESTERSHIRE!N37</f>
        <v>79841</v>
      </c>
      <c r="M383" s="7">
        <f>LEICESTERSHIRE!O37</f>
        <v>80764</v>
      </c>
      <c r="N383" s="34">
        <f t="shared" si="20"/>
        <v>4.7577046798796305E-2</v>
      </c>
      <c r="O383" s="34"/>
      <c r="P383" s="7">
        <f t="shared" si="21"/>
        <v>7371</v>
      </c>
      <c r="Q383" s="1004">
        <f t="shared" si="22"/>
        <v>0.10043192130039649</v>
      </c>
      <c r="R383" s="6">
        <v>91</v>
      </c>
      <c r="S383" s="6">
        <v>99</v>
      </c>
      <c r="T383" s="6">
        <v>118</v>
      </c>
      <c r="U383" s="6">
        <v>113</v>
      </c>
      <c r="V383" s="6">
        <v>96</v>
      </c>
      <c r="W383" s="6">
        <v>94</v>
      </c>
      <c r="X383" s="6">
        <v>145</v>
      </c>
      <c r="Y383" s="6">
        <v>118</v>
      </c>
      <c r="Z383" s="6">
        <v>127</v>
      </c>
      <c r="AA383" s="6">
        <v>105</v>
      </c>
      <c r="AB383" s="6">
        <v>116</v>
      </c>
      <c r="AC383" s="6">
        <v>111</v>
      </c>
      <c r="AD383" s="6">
        <f t="shared" si="23"/>
        <v>5</v>
      </c>
      <c r="AE383" s="6" t="s">
        <v>15826</v>
      </c>
    </row>
    <row r="384" spans="1:31">
      <c r="A384" s="33" t="str">
        <f>ESSEX!A65</f>
        <v>Saffron Walden CC</v>
      </c>
      <c r="B384" s="7">
        <f>ESSEX!D67</f>
        <v>75871</v>
      </c>
      <c r="C384" s="7">
        <f>ESSEX!E67</f>
        <v>77109</v>
      </c>
      <c r="D384" s="7">
        <f>ESSEX!F67</f>
        <v>78390</v>
      </c>
      <c r="E384" s="7">
        <f>ESSEX!G67</f>
        <v>79319</v>
      </c>
      <c r="F384" s="7">
        <f>ESSEX!H67</f>
        <v>80064</v>
      </c>
      <c r="G384" s="7">
        <f>ESSEX!I67</f>
        <v>79565</v>
      </c>
      <c r="H384" s="7">
        <f>ESSEX!J67</f>
        <v>79092</v>
      </c>
      <c r="I384" s="7">
        <f>ESSEX!K67</f>
        <v>81988</v>
      </c>
      <c r="J384" s="7">
        <f>ESSEX!L67</f>
        <v>81581</v>
      </c>
      <c r="K384" s="7">
        <f>ESSEX!M67</f>
        <v>82534</v>
      </c>
      <c r="L384" s="7">
        <f>ESSEX!N67</f>
        <v>85417</v>
      </c>
      <c r="M384" s="7">
        <f>ESSEX!O67</f>
        <v>86605</v>
      </c>
      <c r="N384" s="34">
        <f t="shared" si="20"/>
        <v>0.14147698066454903</v>
      </c>
      <c r="O384" s="34"/>
      <c r="P384" s="7">
        <f t="shared" si="21"/>
        <v>13212</v>
      </c>
      <c r="Q384" s="1004">
        <f t="shared" si="22"/>
        <v>0.18001716784979493</v>
      </c>
      <c r="R384" s="6">
        <v>130</v>
      </c>
      <c r="S384" s="6">
        <v>106</v>
      </c>
      <c r="T384" s="6">
        <v>83</v>
      </c>
      <c r="U384" s="6">
        <v>71</v>
      </c>
      <c r="V384" s="6">
        <v>55</v>
      </c>
      <c r="W384" s="6">
        <v>43</v>
      </c>
      <c r="X384" s="6">
        <v>37</v>
      </c>
      <c r="Y384" s="6">
        <v>36</v>
      </c>
      <c r="Z384" s="6">
        <v>52</v>
      </c>
      <c r="AA384" s="6">
        <v>33</v>
      </c>
      <c r="AB384" s="6">
        <v>31</v>
      </c>
      <c r="AC384" s="6">
        <v>31</v>
      </c>
      <c r="AD384" s="6">
        <f t="shared" si="23"/>
        <v>0</v>
      </c>
      <c r="AE384" s="6" t="s">
        <v>15829</v>
      </c>
    </row>
    <row r="385" spans="1:31">
      <c r="A385" s="33" t="str">
        <f>'GREATER MANCHESTER'!A67</f>
        <v>Salford and Eccles BC</v>
      </c>
      <c r="B385" s="7">
        <f>'GREATER MANCHESTER'!D67</f>
        <v>74817</v>
      </c>
      <c r="C385" s="7">
        <f>'GREATER MANCHESTER'!E67</f>
        <v>76863</v>
      </c>
      <c r="D385" s="7">
        <f>'GREATER MANCHESTER'!F67</f>
        <v>78217</v>
      </c>
      <c r="E385" s="7">
        <f>'GREATER MANCHESTER'!G67</f>
        <v>78545</v>
      </c>
      <c r="F385" s="7">
        <f>'GREATER MANCHESTER'!H67</f>
        <v>78803</v>
      </c>
      <c r="G385" s="7">
        <f>'GREATER MANCHESTER'!I67</f>
        <v>72464</v>
      </c>
      <c r="H385" s="7">
        <f>'GREATER MANCHESTER'!J67</f>
        <v>74161</v>
      </c>
      <c r="I385" s="7">
        <f>'GREATER MANCHESTER'!K67</f>
        <v>74300</v>
      </c>
      <c r="J385" s="7">
        <f>'GREATER MANCHESTER'!L67</f>
        <v>75775</v>
      </c>
      <c r="K385" s="7">
        <f>'GREATER MANCHESTER'!M67</f>
        <v>75255</v>
      </c>
      <c r="L385" s="7">
        <f>'GREATER MANCHESTER'!N67</f>
        <v>86306</v>
      </c>
      <c r="M385" s="7">
        <f>'GREATER MANCHESTER'!O67</f>
        <v>82834</v>
      </c>
      <c r="N385" s="34">
        <f t="shared" si="20"/>
        <v>0.10715479102343051</v>
      </c>
      <c r="O385" s="34"/>
      <c r="P385" s="7">
        <f t="shared" si="21"/>
        <v>9441</v>
      </c>
      <c r="Q385" s="1004">
        <f t="shared" si="22"/>
        <v>0.1286362459635115</v>
      </c>
      <c r="R385" s="6">
        <v>155</v>
      </c>
      <c r="S385" s="6">
        <v>119</v>
      </c>
      <c r="T385" s="6">
        <v>87</v>
      </c>
      <c r="U385" s="6">
        <v>87</v>
      </c>
      <c r="V385" s="6">
        <v>80</v>
      </c>
      <c r="W385" s="6">
        <v>216</v>
      </c>
      <c r="X385" s="6">
        <v>140</v>
      </c>
      <c r="Y385" s="6">
        <v>187</v>
      </c>
      <c r="Z385" s="6">
        <v>163</v>
      </c>
      <c r="AA385" s="6">
        <v>165</v>
      </c>
      <c r="AB385" s="6">
        <v>25</v>
      </c>
      <c r="AC385" s="6">
        <v>76</v>
      </c>
      <c r="AD385" s="6">
        <f t="shared" si="23"/>
        <v>-51</v>
      </c>
      <c r="AE385" s="6" t="s">
        <v>15825</v>
      </c>
    </row>
    <row r="386" spans="1:31">
      <c r="A386" s="33" t="str">
        <f>WILTSHIRE!A13</f>
        <v>Salisbury CC</v>
      </c>
      <c r="B386" s="7">
        <f>WILTSHIRE!D13</f>
        <v>67080</v>
      </c>
      <c r="C386" s="7">
        <f>WILTSHIRE!E13</f>
        <v>68731</v>
      </c>
      <c r="D386" s="7">
        <f>WILTSHIRE!F13</f>
        <v>68757</v>
      </c>
      <c r="E386" s="7">
        <f>WILTSHIRE!G13</f>
        <v>69442</v>
      </c>
      <c r="F386" s="7">
        <f>WILTSHIRE!H13</f>
        <v>69448</v>
      </c>
      <c r="G386" s="7">
        <f>WILTSHIRE!I13</f>
        <v>67122</v>
      </c>
      <c r="H386" s="7">
        <f>WILTSHIRE!J13</f>
        <v>68261</v>
      </c>
      <c r="I386" s="7">
        <f>WILTSHIRE!K13</f>
        <v>70247</v>
      </c>
      <c r="J386" s="7">
        <f>WILTSHIRE!L13</f>
        <v>71614</v>
      </c>
      <c r="K386" s="7">
        <f>WILTSHIRE!M13</f>
        <v>71142</v>
      </c>
      <c r="L386" s="7">
        <f>WILTSHIRE!N13</f>
        <v>75023</v>
      </c>
      <c r="M386" s="7">
        <f>WILTSHIRE!O13</f>
        <v>74865</v>
      </c>
      <c r="N386" s="34">
        <f t="shared" si="20"/>
        <v>0.11605545617173524</v>
      </c>
      <c r="O386" s="34"/>
      <c r="P386" s="7">
        <f t="shared" si="21"/>
        <v>1472</v>
      </c>
      <c r="Q386" s="1004">
        <f t="shared" si="22"/>
        <v>2.0056408649326229E-2</v>
      </c>
      <c r="R386" s="6">
        <v>407</v>
      </c>
      <c r="S386" s="6">
        <v>374</v>
      </c>
      <c r="T386" s="6">
        <v>379</v>
      </c>
      <c r="U386" s="6">
        <v>373</v>
      </c>
      <c r="V386" s="6">
        <v>359</v>
      </c>
      <c r="W386" s="6">
        <v>390</v>
      </c>
      <c r="X386" s="6">
        <v>331</v>
      </c>
      <c r="Y386" s="6">
        <v>330</v>
      </c>
      <c r="Z386" s="6">
        <v>291</v>
      </c>
      <c r="AA386" s="6">
        <v>280</v>
      </c>
      <c r="AB386" s="6">
        <v>226</v>
      </c>
      <c r="AC386" s="6">
        <v>243</v>
      </c>
      <c r="AD386" s="6">
        <f t="shared" si="23"/>
        <v>-17</v>
      </c>
      <c r="AE386" s="6" t="s">
        <v>15830</v>
      </c>
    </row>
    <row r="387" spans="1:31">
      <c r="A387" s="33" t="str">
        <f>'NORTH YORKSHIRE'!A21</f>
        <v>Scarborough and Whitby CC</v>
      </c>
      <c r="B387" s="7">
        <f>'NORTH YORKSHIRE'!D21</f>
        <v>76032</v>
      </c>
      <c r="C387" s="7">
        <f>'NORTH YORKSHIRE'!E21</f>
        <v>76078</v>
      </c>
      <c r="D387" s="7">
        <f>'NORTH YORKSHIRE'!F21</f>
        <v>75613</v>
      </c>
      <c r="E387" s="7">
        <f>'NORTH YORKSHIRE'!G21</f>
        <v>75521</v>
      </c>
      <c r="F387" s="7">
        <f>'NORTH YORKSHIRE'!H21</f>
        <v>74997</v>
      </c>
      <c r="G387" s="7">
        <f>'NORTH YORKSHIRE'!I21</f>
        <v>72763</v>
      </c>
      <c r="H387" s="7">
        <f>'NORTH YORKSHIRE'!J21</f>
        <v>70708</v>
      </c>
      <c r="I387" s="7">
        <f>'NORTH YORKSHIRE'!K21</f>
        <v>71857</v>
      </c>
      <c r="J387" s="7">
        <f>'NORTH YORKSHIRE'!L21</f>
        <v>72357</v>
      </c>
      <c r="K387" s="7">
        <f>'NORTH YORKSHIRE'!M21</f>
        <v>71546</v>
      </c>
      <c r="L387" s="7">
        <f>'NORTH YORKSHIRE'!N21</f>
        <v>72191</v>
      </c>
      <c r="M387" s="7">
        <f>'NORTH YORKSHIRE'!O21</f>
        <v>73862</v>
      </c>
      <c r="N387" s="34">
        <f t="shared" si="20"/>
        <v>-2.8540614478114477E-2</v>
      </c>
      <c r="O387" s="34"/>
      <c r="P387" s="7">
        <f t="shared" si="21"/>
        <v>469</v>
      </c>
      <c r="Q387" s="1004">
        <f t="shared" si="22"/>
        <v>6.3902552014497294E-3</v>
      </c>
      <c r="R387" s="6">
        <v>124</v>
      </c>
      <c r="S387" s="6">
        <v>139</v>
      </c>
      <c r="T387" s="6">
        <v>165</v>
      </c>
      <c r="U387" s="6">
        <v>173</v>
      </c>
      <c r="V387" s="6">
        <v>171</v>
      </c>
      <c r="W387" s="6">
        <v>196</v>
      </c>
      <c r="X387" s="6">
        <v>239</v>
      </c>
      <c r="Y387" s="6">
        <v>259</v>
      </c>
      <c r="Z387" s="6">
        <v>262</v>
      </c>
      <c r="AA387" s="6">
        <v>269</v>
      </c>
      <c r="AB387" s="6">
        <v>310</v>
      </c>
      <c r="AC387" s="6">
        <v>283</v>
      </c>
      <c r="AD387" s="6">
        <f t="shared" si="23"/>
        <v>27</v>
      </c>
      <c r="AE387" s="6" t="s">
        <v>15828</v>
      </c>
    </row>
    <row r="388" spans="1:31">
      <c r="A388" s="33" t="str">
        <f>'"HUMBERSIDE"'!A39</f>
        <v>Scunthorpe CC</v>
      </c>
      <c r="B388" s="7">
        <f>'"HUMBERSIDE"'!D39</f>
        <v>63427</v>
      </c>
      <c r="C388" s="7">
        <f>'"HUMBERSIDE"'!E39</f>
        <v>63489</v>
      </c>
      <c r="D388" s="7">
        <f>'"HUMBERSIDE"'!F39</f>
        <v>63329</v>
      </c>
      <c r="E388" s="7">
        <f>'"HUMBERSIDE"'!G39</f>
        <v>63590</v>
      </c>
      <c r="F388" s="7">
        <f>'"HUMBERSIDE"'!H39</f>
        <v>63297</v>
      </c>
      <c r="G388" s="7">
        <f>'"HUMBERSIDE"'!I39</f>
        <v>61445</v>
      </c>
      <c r="H388" s="7">
        <f>'"HUMBERSIDE"'!J39</f>
        <v>60411</v>
      </c>
      <c r="I388" s="7">
        <f>'"HUMBERSIDE"'!K39</f>
        <v>61335</v>
      </c>
      <c r="J388" s="7">
        <f>'"HUMBERSIDE"'!L39</f>
        <v>61138</v>
      </c>
      <c r="K388" s="7">
        <f>'"HUMBERSIDE"'!M39</f>
        <v>63071</v>
      </c>
      <c r="L388" s="7">
        <f>'"HUMBERSIDE"'!N39</f>
        <v>60345</v>
      </c>
      <c r="M388" s="7">
        <f>'"HUMBERSIDE"'!O39</f>
        <v>62511</v>
      </c>
      <c r="N388" s="34">
        <f t="shared" ref="N388:N451" si="24">(M388-B388)/B388</f>
        <v>-1.4441799233764801E-2</v>
      </c>
      <c r="O388" s="34"/>
      <c r="P388" s="7">
        <f t="shared" ref="P388:P451" si="25">M388-$M$544</f>
        <v>-10882</v>
      </c>
      <c r="Q388" s="1004">
        <f t="shared" ref="Q388:Q451" si="26">(M388-$M$544)/$M$544</f>
        <v>-0.14827027100677176</v>
      </c>
      <c r="R388" s="6">
        <v>495</v>
      </c>
      <c r="S388" s="6">
        <v>497</v>
      </c>
      <c r="T388" s="6">
        <v>503</v>
      </c>
      <c r="U388" s="6">
        <v>499</v>
      </c>
      <c r="V388" s="6">
        <v>495</v>
      </c>
      <c r="W388" s="6">
        <v>499</v>
      </c>
      <c r="X388" s="6">
        <v>500</v>
      </c>
      <c r="Y388" s="6">
        <v>503</v>
      </c>
      <c r="Z388" s="6">
        <v>507</v>
      </c>
      <c r="AA388" s="6">
        <v>477</v>
      </c>
      <c r="AB388" s="6">
        <v>519</v>
      </c>
      <c r="AC388" s="6">
        <v>508</v>
      </c>
      <c r="AD388" s="6">
        <f t="shared" ref="AD388:AD451" si="27">AB388-AC388</f>
        <v>11</v>
      </c>
      <c r="AE388" s="6" t="s">
        <v>15828</v>
      </c>
    </row>
    <row r="389" spans="1:31">
      <c r="A389" s="33" t="str">
        <f>DURHAM!A23</f>
        <v>Sedgefield CC</v>
      </c>
      <c r="B389" s="7">
        <f>DURHAM!D25</f>
        <v>65746</v>
      </c>
      <c r="C389" s="7">
        <f>DURHAM!E25</f>
        <v>67386</v>
      </c>
      <c r="D389" s="7">
        <f>DURHAM!F25</f>
        <v>67022</v>
      </c>
      <c r="E389" s="7">
        <f>DURHAM!G25</f>
        <v>66913</v>
      </c>
      <c r="F389" s="7">
        <f>DURHAM!H25</f>
        <v>65469</v>
      </c>
      <c r="G389" s="7">
        <f>DURHAM!I25</f>
        <v>62118</v>
      </c>
      <c r="H389" s="7">
        <f>DURHAM!J25</f>
        <v>62060</v>
      </c>
      <c r="I389" s="7">
        <f>DURHAM!K25</f>
        <v>63294</v>
      </c>
      <c r="J389" s="7">
        <f>DURHAM!L25</f>
        <v>63518</v>
      </c>
      <c r="K389" s="7">
        <f>DURHAM!M25</f>
        <v>63196</v>
      </c>
      <c r="L389" s="7">
        <f>DURHAM!N25</f>
        <v>64533</v>
      </c>
      <c r="M389" s="7">
        <f>DURHAM!O25</f>
        <v>64581</v>
      </c>
      <c r="N389" s="34">
        <f t="shared" si="24"/>
        <v>-1.7719709183828675E-2</v>
      </c>
      <c r="O389" s="34"/>
      <c r="P389" s="7">
        <f t="shared" si="25"/>
        <v>-8812</v>
      </c>
      <c r="Q389" s="1004">
        <f t="shared" si="26"/>
        <v>-0.12006594634365675</v>
      </c>
      <c r="R389" s="6">
        <v>444</v>
      </c>
      <c r="S389" s="6">
        <v>411</v>
      </c>
      <c r="T389" s="6">
        <v>431</v>
      </c>
      <c r="U389" s="6">
        <v>444</v>
      </c>
      <c r="V389" s="6">
        <v>464</v>
      </c>
      <c r="W389" s="6">
        <v>491</v>
      </c>
      <c r="X389" s="6">
        <v>482</v>
      </c>
      <c r="Y389" s="6">
        <v>479</v>
      </c>
      <c r="Z389" s="6">
        <v>484</v>
      </c>
      <c r="AA389" s="6">
        <v>476</v>
      </c>
      <c r="AB389" s="6">
        <v>477</v>
      </c>
      <c r="AC389" s="6">
        <v>488</v>
      </c>
      <c r="AD389" s="6">
        <f t="shared" si="27"/>
        <v>-11</v>
      </c>
      <c r="AE389" s="6" t="s">
        <v>2901</v>
      </c>
    </row>
    <row r="390" spans="1:31">
      <c r="A390" s="33" t="str">
        <f>MERSEYSIDE!A37</f>
        <v>Sefton Central CC</v>
      </c>
      <c r="B390" s="7">
        <f>MERSEYSIDE!D37</f>
        <v>67766</v>
      </c>
      <c r="C390" s="7">
        <f>MERSEYSIDE!E37</f>
        <v>67696</v>
      </c>
      <c r="D390" s="7">
        <f>MERSEYSIDE!F37</f>
        <v>67189</v>
      </c>
      <c r="E390" s="7">
        <f>MERSEYSIDE!G37</f>
        <v>66565</v>
      </c>
      <c r="F390" s="7">
        <f>MERSEYSIDE!H37</f>
        <v>67292</v>
      </c>
      <c r="G390" s="7">
        <f>MERSEYSIDE!I37</f>
        <v>66386</v>
      </c>
      <c r="H390" s="7">
        <f>MERSEYSIDE!J37</f>
        <v>66208</v>
      </c>
      <c r="I390" s="7">
        <f>MERSEYSIDE!K37</f>
        <v>67961</v>
      </c>
      <c r="J390" s="7">
        <f>MERSEYSIDE!L37</f>
        <v>69428</v>
      </c>
      <c r="K390" s="7">
        <f>MERSEYSIDE!M37</f>
        <v>68803</v>
      </c>
      <c r="L390" s="7">
        <f>MERSEYSIDE!N37</f>
        <v>70239</v>
      </c>
      <c r="M390" s="7">
        <f>MERSEYSIDE!O37</f>
        <v>70085</v>
      </c>
      <c r="N390" s="34">
        <f t="shared" si="24"/>
        <v>3.422070064634182E-2</v>
      </c>
      <c r="O390" s="34"/>
      <c r="P390" s="7">
        <f t="shared" si="25"/>
        <v>-3308</v>
      </c>
      <c r="Q390" s="1004">
        <f t="shared" si="26"/>
        <v>-4.5072418350523891E-2</v>
      </c>
      <c r="R390" s="6">
        <v>386</v>
      </c>
      <c r="S390" s="6">
        <v>401</v>
      </c>
      <c r="T390" s="6">
        <v>426</v>
      </c>
      <c r="U390" s="6">
        <v>452</v>
      </c>
      <c r="V390" s="6">
        <v>418</v>
      </c>
      <c r="W390" s="6">
        <v>410</v>
      </c>
      <c r="X390" s="6">
        <v>397</v>
      </c>
      <c r="Y390" s="6">
        <v>391</v>
      </c>
      <c r="Z390" s="6">
        <v>369</v>
      </c>
      <c r="AA390" s="6">
        <v>368</v>
      </c>
      <c r="AB390" s="6">
        <v>379</v>
      </c>
      <c r="AC390" s="6">
        <v>393</v>
      </c>
      <c r="AD390" s="6">
        <f t="shared" si="27"/>
        <v>-14</v>
      </c>
      <c r="AE390" s="6" t="s">
        <v>15825</v>
      </c>
    </row>
    <row r="391" spans="1:31">
      <c r="A391" s="33" t="str">
        <f>'NORTH YORKSHIRE'!A23</f>
        <v>Selby and Ainsty CC</v>
      </c>
      <c r="B391" s="7">
        <f>'NORTH YORKSHIRE'!D25</f>
        <v>72532</v>
      </c>
      <c r="C391" s="7">
        <f>'NORTH YORKSHIRE'!E25</f>
        <v>73580</v>
      </c>
      <c r="D391" s="7">
        <f>'NORTH YORKSHIRE'!F25</f>
        <v>73486</v>
      </c>
      <c r="E391" s="7">
        <f>'NORTH YORKSHIRE'!G25</f>
        <v>75359</v>
      </c>
      <c r="F391" s="7">
        <f>'NORTH YORKSHIRE'!H25</f>
        <v>75683</v>
      </c>
      <c r="G391" s="7">
        <f>'NORTH YORKSHIRE'!I25</f>
        <v>75453</v>
      </c>
      <c r="H391" s="7">
        <f>'NORTH YORKSHIRE'!J25</f>
        <v>72685</v>
      </c>
      <c r="I391" s="7">
        <f>'NORTH YORKSHIRE'!K25</f>
        <v>74872</v>
      </c>
      <c r="J391" s="7">
        <f>'NORTH YORKSHIRE'!L25</f>
        <v>75424</v>
      </c>
      <c r="K391" s="7">
        <f>'NORTH YORKSHIRE'!M25</f>
        <v>75700</v>
      </c>
      <c r="L391" s="7">
        <f>'NORTH YORKSHIRE'!N25</f>
        <v>77654</v>
      </c>
      <c r="M391" s="7">
        <f>'NORTH YORKSHIRE'!O25</f>
        <v>78678</v>
      </c>
      <c r="N391" s="34">
        <f t="shared" si="24"/>
        <v>8.4735013511277782E-2</v>
      </c>
      <c r="O391" s="34"/>
      <c r="P391" s="7">
        <f t="shared" si="25"/>
        <v>5285</v>
      </c>
      <c r="Q391" s="1004">
        <f t="shared" si="26"/>
        <v>7.200959219544098E-2</v>
      </c>
      <c r="R391" s="6">
        <v>219</v>
      </c>
      <c r="S391" s="6">
        <v>203</v>
      </c>
      <c r="T391" s="6">
        <v>223</v>
      </c>
      <c r="U391" s="6">
        <v>176</v>
      </c>
      <c r="V391" s="6">
        <v>155</v>
      </c>
      <c r="W391" s="6">
        <v>134</v>
      </c>
      <c r="X391" s="6">
        <v>173</v>
      </c>
      <c r="Y391" s="6">
        <v>162</v>
      </c>
      <c r="Z391" s="6">
        <v>167</v>
      </c>
      <c r="AA391" s="6">
        <v>159</v>
      </c>
      <c r="AB391" s="6">
        <v>167</v>
      </c>
      <c r="AC391" s="6">
        <v>162</v>
      </c>
      <c r="AD391" s="6">
        <f t="shared" si="27"/>
        <v>5</v>
      </c>
      <c r="AE391" s="6" t="s">
        <v>15828</v>
      </c>
    </row>
    <row r="392" spans="1:31">
      <c r="A392" s="33" t="str">
        <f>KENT!A60</f>
        <v>Sevenoaks CC</v>
      </c>
      <c r="B392" s="7">
        <f>KENT!D60</f>
        <v>70079</v>
      </c>
      <c r="C392" s="7">
        <f>KENT!E60</f>
        <v>69925</v>
      </c>
      <c r="D392" s="7">
        <f>KENT!F60</f>
        <v>70533</v>
      </c>
      <c r="E392" s="7">
        <f>KENT!G60</f>
        <v>70689</v>
      </c>
      <c r="F392" s="7">
        <f>KENT!H60</f>
        <v>69071</v>
      </c>
      <c r="G392" s="7">
        <f>KENT!I60</f>
        <v>69158</v>
      </c>
      <c r="H392" s="7">
        <f>KENT!J60</f>
        <v>69288</v>
      </c>
      <c r="I392" s="7">
        <f>KENT!K60</f>
        <v>70289</v>
      </c>
      <c r="J392" s="7">
        <f>KENT!L60</f>
        <v>70620</v>
      </c>
      <c r="K392" s="7">
        <f>KENT!M60</f>
        <v>70271</v>
      </c>
      <c r="L392" s="7">
        <f>KENT!N60</f>
        <v>71060</v>
      </c>
      <c r="M392" s="7">
        <f>KENT!O60</f>
        <v>72173</v>
      </c>
      <c r="N392" s="34">
        <f t="shared" si="24"/>
        <v>2.9880563364203257E-2</v>
      </c>
      <c r="O392" s="34"/>
      <c r="P392" s="7">
        <f t="shared" si="25"/>
        <v>-1220</v>
      </c>
      <c r="Q392" s="1004">
        <f t="shared" si="26"/>
        <v>-1.6622838690338315E-2</v>
      </c>
      <c r="R392" s="6">
        <v>320</v>
      </c>
      <c r="S392" s="6">
        <v>343</v>
      </c>
      <c r="T392" s="6">
        <v>332</v>
      </c>
      <c r="U392" s="6">
        <v>333</v>
      </c>
      <c r="V392" s="6">
        <v>370</v>
      </c>
      <c r="W392" s="6">
        <v>326</v>
      </c>
      <c r="X392" s="6">
        <v>300</v>
      </c>
      <c r="Y392" s="6">
        <v>326</v>
      </c>
      <c r="Z392" s="6">
        <v>332</v>
      </c>
      <c r="AA392" s="6">
        <v>322</v>
      </c>
      <c r="AB392" s="6">
        <v>353</v>
      </c>
      <c r="AC392" s="6">
        <v>343</v>
      </c>
      <c r="AD392" s="6">
        <f t="shared" si="27"/>
        <v>10</v>
      </c>
      <c r="AE392" s="6" t="s">
        <v>15823</v>
      </c>
    </row>
    <row r="393" spans="1:31">
      <c r="A393" s="33" t="str">
        <f>'SOUTH YORKSHIRE'!A32</f>
        <v>Sheffield Central BC</v>
      </c>
      <c r="B393" s="7">
        <f>'SOUTH YORKSHIRE'!D32</f>
        <v>65515</v>
      </c>
      <c r="C393" s="7">
        <f>'SOUTH YORKSHIRE'!E32</f>
        <v>69975</v>
      </c>
      <c r="D393" s="7">
        <f>'SOUTH YORKSHIRE'!F32</f>
        <v>71652</v>
      </c>
      <c r="E393" s="7">
        <f>'SOUTH YORKSHIRE'!G32</f>
        <v>74020</v>
      </c>
      <c r="F393" s="7">
        <f>'SOUTH YORKSHIRE'!H32</f>
        <v>70842</v>
      </c>
      <c r="G393" s="7">
        <f>'SOUTH YORKSHIRE'!I32</f>
        <v>68091</v>
      </c>
      <c r="H393" s="7">
        <f>'SOUTH YORKSHIRE'!J32</f>
        <v>67917</v>
      </c>
      <c r="I393" s="7">
        <f>'SOUTH YORKSHIRE'!K32</f>
        <v>72703</v>
      </c>
      <c r="J393" s="7">
        <f>'SOUTH YORKSHIRE'!L32</f>
        <v>78490</v>
      </c>
      <c r="K393" s="7">
        <f>'SOUTH YORKSHIRE'!M32</f>
        <v>79375</v>
      </c>
      <c r="L393" s="7">
        <f>'SOUTH YORKSHIRE'!N32</f>
        <v>79414</v>
      </c>
      <c r="M393" s="7">
        <f>'SOUTH YORKSHIRE'!O32</f>
        <v>89266</v>
      </c>
      <c r="N393" s="34">
        <f t="shared" si="24"/>
        <v>0.36252766542013282</v>
      </c>
      <c r="O393" s="34"/>
      <c r="P393" s="7">
        <f t="shared" si="25"/>
        <v>15873</v>
      </c>
      <c r="Q393" s="1004">
        <f t="shared" si="26"/>
        <v>0.21627403158339351</v>
      </c>
      <c r="R393" s="6">
        <v>449</v>
      </c>
      <c r="S393" s="6">
        <v>341</v>
      </c>
      <c r="T393" s="6">
        <v>303</v>
      </c>
      <c r="U393" s="6">
        <v>211</v>
      </c>
      <c r="V393" s="6">
        <v>317</v>
      </c>
      <c r="W393" s="6">
        <v>363</v>
      </c>
      <c r="X393" s="6">
        <v>339</v>
      </c>
      <c r="Y393" s="6">
        <v>233</v>
      </c>
      <c r="Z393" s="6">
        <v>109</v>
      </c>
      <c r="AA393" s="6">
        <v>81</v>
      </c>
      <c r="AB393" s="6">
        <v>130</v>
      </c>
      <c r="AC393" s="6">
        <v>17</v>
      </c>
      <c r="AD393" s="6">
        <f t="shared" si="27"/>
        <v>113</v>
      </c>
      <c r="AE393" s="6" t="s">
        <v>15828</v>
      </c>
    </row>
    <row r="394" spans="1:31">
      <c r="A394" s="33" t="str">
        <f>'SOUTH YORKSHIRE'!A38</f>
        <v>Sheffield South East BC</v>
      </c>
      <c r="B394" s="7">
        <f>'SOUTH YORKSHIRE'!D38</f>
        <v>67559</v>
      </c>
      <c r="C394" s="7">
        <f>'SOUTH YORKSHIRE'!E38</f>
        <v>67792</v>
      </c>
      <c r="D394" s="7">
        <f>'SOUTH YORKSHIRE'!F38</f>
        <v>68196</v>
      </c>
      <c r="E394" s="7">
        <f>'SOUTH YORKSHIRE'!G38</f>
        <v>68718</v>
      </c>
      <c r="F394" s="7">
        <f>'SOUTH YORKSHIRE'!H38</f>
        <v>69002</v>
      </c>
      <c r="G394" s="7">
        <f>'SOUTH YORKSHIRE'!I38</f>
        <v>68537</v>
      </c>
      <c r="H394" s="7">
        <f>'SOUTH YORKSHIRE'!J38</f>
        <v>66987</v>
      </c>
      <c r="I394" s="7">
        <f>'SOUTH YORKSHIRE'!K38</f>
        <v>69039</v>
      </c>
      <c r="J394" s="7">
        <f>'SOUTH YORKSHIRE'!L38</f>
        <v>69784</v>
      </c>
      <c r="K394" s="7">
        <f>'SOUTH YORKSHIRE'!M38</f>
        <v>67029</v>
      </c>
      <c r="L394" s="7">
        <f>'SOUTH YORKSHIRE'!N38</f>
        <v>67031</v>
      </c>
      <c r="M394" s="7">
        <f>'SOUTH YORKSHIRE'!O38</f>
        <v>68719</v>
      </c>
      <c r="N394" s="34">
        <f t="shared" si="24"/>
        <v>1.717017717846623E-2</v>
      </c>
      <c r="O394" s="34"/>
      <c r="P394" s="7">
        <f t="shared" si="25"/>
        <v>-4674</v>
      </c>
      <c r="Q394" s="1004">
        <f t="shared" si="26"/>
        <v>-6.3684547572656791E-2</v>
      </c>
      <c r="R394" s="6">
        <v>392</v>
      </c>
      <c r="S394" s="6">
        <v>398</v>
      </c>
      <c r="T394" s="6">
        <v>392</v>
      </c>
      <c r="U394" s="6">
        <v>396</v>
      </c>
      <c r="V394" s="6">
        <v>372</v>
      </c>
      <c r="W394" s="6">
        <v>350</v>
      </c>
      <c r="X394" s="6">
        <v>376</v>
      </c>
      <c r="Y394" s="6">
        <v>361</v>
      </c>
      <c r="Z394" s="6">
        <v>362</v>
      </c>
      <c r="AA394" s="6">
        <v>407</v>
      </c>
      <c r="AB394" s="6">
        <v>440</v>
      </c>
      <c r="AC394" s="6">
        <v>426</v>
      </c>
      <c r="AD394" s="6">
        <f t="shared" si="27"/>
        <v>14</v>
      </c>
      <c r="AE394" s="6" t="s">
        <v>15828</v>
      </c>
    </row>
    <row r="395" spans="1:31">
      <c r="A395" s="33" t="str">
        <f>'SOUTH YORKSHIRE'!A30</f>
        <v>Sheffield, Brightside and Hillsborough BC</v>
      </c>
      <c r="B395" s="7">
        <f>'SOUTH YORKSHIRE'!D30</f>
        <v>68194</v>
      </c>
      <c r="C395" s="7">
        <f>'SOUTH YORKSHIRE'!E30</f>
        <v>69206</v>
      </c>
      <c r="D395" s="7">
        <f>'SOUTH YORKSHIRE'!F30</f>
        <v>69954</v>
      </c>
      <c r="E395" s="7">
        <f>'SOUTH YORKSHIRE'!G30</f>
        <v>71442</v>
      </c>
      <c r="F395" s="7">
        <f>'SOUTH YORKSHIRE'!H30</f>
        <v>70422</v>
      </c>
      <c r="G395" s="7">
        <f>'SOUTH YORKSHIRE'!I30</f>
        <v>69679</v>
      </c>
      <c r="H395" s="7">
        <f>'SOUTH YORKSHIRE'!J30</f>
        <v>67717</v>
      </c>
      <c r="I395" s="7">
        <f>'SOUTH YORKSHIRE'!K30</f>
        <v>70095</v>
      </c>
      <c r="J395" s="7">
        <f>'SOUTH YORKSHIRE'!L30</f>
        <v>71359</v>
      </c>
      <c r="K395" s="7">
        <f>'SOUTH YORKSHIRE'!M30</f>
        <v>67879</v>
      </c>
      <c r="L395" s="7">
        <f>'SOUTH YORKSHIRE'!N30</f>
        <v>67888</v>
      </c>
      <c r="M395" s="7">
        <f>'SOUTH YORKSHIRE'!O30</f>
        <v>70200</v>
      </c>
      <c r="N395" s="34">
        <f t="shared" si="24"/>
        <v>2.9416077660791271E-2</v>
      </c>
      <c r="O395" s="34"/>
      <c r="P395" s="7">
        <f t="shared" si="25"/>
        <v>-3193</v>
      </c>
      <c r="Q395" s="1004">
        <f t="shared" si="26"/>
        <v>-4.3505511424795279E-2</v>
      </c>
      <c r="R395" s="6">
        <v>373</v>
      </c>
      <c r="S395" s="6">
        <v>358</v>
      </c>
      <c r="T395" s="6">
        <v>347</v>
      </c>
      <c r="U395" s="6">
        <v>318</v>
      </c>
      <c r="V395" s="6">
        <v>335</v>
      </c>
      <c r="W395" s="6">
        <v>306</v>
      </c>
      <c r="X395" s="6">
        <v>345</v>
      </c>
      <c r="Y395" s="6">
        <v>332</v>
      </c>
      <c r="Z395" s="6">
        <v>303</v>
      </c>
      <c r="AA395" s="6">
        <v>391</v>
      </c>
      <c r="AB395" s="6">
        <v>425</v>
      </c>
      <c r="AC395" s="6">
        <v>390</v>
      </c>
      <c r="AD395" s="6">
        <f t="shared" si="27"/>
        <v>35</v>
      </c>
      <c r="AE395" s="6" t="s">
        <v>15828</v>
      </c>
    </row>
    <row r="396" spans="1:31">
      <c r="A396" s="33" t="str">
        <f>'SOUTH YORKSHIRE'!A34</f>
        <v>Sheffield, Hallam CC</v>
      </c>
      <c r="B396" s="7">
        <f>'SOUTH YORKSHIRE'!D34</f>
        <v>68863</v>
      </c>
      <c r="C396" s="7">
        <f>'SOUTH YORKSHIRE'!E34</f>
        <v>70032</v>
      </c>
      <c r="D396" s="7">
        <f>'SOUTH YORKSHIRE'!F34</f>
        <v>69795</v>
      </c>
      <c r="E396" s="7">
        <f>'SOUTH YORKSHIRE'!G34</f>
        <v>70430</v>
      </c>
      <c r="F396" s="7">
        <f>'SOUTH YORKSHIRE'!H34</f>
        <v>70296</v>
      </c>
      <c r="G396" s="7">
        <f>'SOUTH YORKSHIRE'!I34</f>
        <v>68794</v>
      </c>
      <c r="H396" s="7">
        <f>'SOUTH YORKSHIRE'!J34</f>
        <v>70415</v>
      </c>
      <c r="I396" s="7">
        <f>'SOUTH YORKSHIRE'!K34</f>
        <v>72821</v>
      </c>
      <c r="J396" s="7">
        <f>'SOUTH YORKSHIRE'!L34</f>
        <v>74626</v>
      </c>
      <c r="K396" s="7">
        <f>'SOUTH YORKSHIRE'!M34</f>
        <v>69285</v>
      </c>
      <c r="L396" s="7">
        <f>'SOUTH YORKSHIRE'!N34</f>
        <v>69323</v>
      </c>
      <c r="M396" s="7">
        <f>'SOUTH YORKSHIRE'!O34</f>
        <v>73269</v>
      </c>
      <c r="N396" s="34">
        <f t="shared" si="24"/>
        <v>6.3982109405631468E-2</v>
      </c>
      <c r="O396" s="34"/>
      <c r="P396" s="7">
        <f t="shared" si="25"/>
        <v>-124</v>
      </c>
      <c r="Q396" s="1004">
        <f t="shared" si="26"/>
        <v>-1.6895344242638943E-3</v>
      </c>
      <c r="R396" s="6">
        <v>354</v>
      </c>
      <c r="S396" s="6">
        <v>337</v>
      </c>
      <c r="T396" s="6">
        <v>355</v>
      </c>
      <c r="U396" s="6">
        <v>335</v>
      </c>
      <c r="V396" s="6">
        <v>344</v>
      </c>
      <c r="W396" s="6">
        <v>341</v>
      </c>
      <c r="X396" s="6">
        <v>255</v>
      </c>
      <c r="Y396" s="6">
        <v>227</v>
      </c>
      <c r="Z396" s="6">
        <v>191</v>
      </c>
      <c r="AA396" s="6">
        <v>353</v>
      </c>
      <c r="AB396" s="6">
        <v>402</v>
      </c>
      <c r="AC396" s="6">
        <v>304</v>
      </c>
      <c r="AD396" s="6">
        <f t="shared" si="27"/>
        <v>98</v>
      </c>
      <c r="AE396" s="6" t="s">
        <v>15828</v>
      </c>
    </row>
    <row r="397" spans="1:31">
      <c r="A397" s="33" t="str">
        <f>'SOUTH YORKSHIRE'!A36</f>
        <v>Sheffield, Heeley BC</v>
      </c>
      <c r="B397" s="7">
        <f>'SOUTH YORKSHIRE'!D36</f>
        <v>65904</v>
      </c>
      <c r="C397" s="7">
        <f>'SOUTH YORKSHIRE'!E36</f>
        <v>66432</v>
      </c>
      <c r="D397" s="7">
        <f>'SOUTH YORKSHIRE'!F36</f>
        <v>67068</v>
      </c>
      <c r="E397" s="7">
        <f>'SOUTH YORKSHIRE'!G36</f>
        <v>67911</v>
      </c>
      <c r="F397" s="7">
        <f>'SOUTH YORKSHIRE'!H36</f>
        <v>67646</v>
      </c>
      <c r="G397" s="7">
        <f>'SOUTH YORKSHIRE'!I36</f>
        <v>66987</v>
      </c>
      <c r="H397" s="7">
        <f>'SOUTH YORKSHIRE'!J36</f>
        <v>65857</v>
      </c>
      <c r="I397" s="7">
        <f>'SOUTH YORKSHIRE'!K36</f>
        <v>67993</v>
      </c>
      <c r="J397" s="7">
        <f>'SOUTH YORKSHIRE'!L36</f>
        <v>68394</v>
      </c>
      <c r="K397" s="7">
        <f>'SOUTH YORKSHIRE'!M36</f>
        <v>65373</v>
      </c>
      <c r="L397" s="7">
        <f>'SOUTH YORKSHIRE'!N36</f>
        <v>65391</v>
      </c>
      <c r="M397" s="7">
        <f>'SOUTH YORKSHIRE'!O36</f>
        <v>67627</v>
      </c>
      <c r="N397" s="34">
        <f t="shared" si="24"/>
        <v>2.6144088370963825E-2</v>
      </c>
      <c r="O397" s="34"/>
      <c r="P397" s="7">
        <f t="shared" si="25"/>
        <v>-5766</v>
      </c>
      <c r="Q397" s="1004">
        <f t="shared" si="26"/>
        <v>-7.8563350728271086E-2</v>
      </c>
      <c r="R397" s="6">
        <v>442</v>
      </c>
      <c r="S397" s="6">
        <v>443</v>
      </c>
      <c r="T397" s="6">
        <v>430</v>
      </c>
      <c r="U397" s="6">
        <v>417</v>
      </c>
      <c r="V397" s="6">
        <v>409</v>
      </c>
      <c r="W397" s="6">
        <v>394</v>
      </c>
      <c r="X397" s="6">
        <v>405</v>
      </c>
      <c r="Y397" s="6">
        <v>388</v>
      </c>
      <c r="Z397" s="6">
        <v>391</v>
      </c>
      <c r="AA397" s="6">
        <v>443</v>
      </c>
      <c r="AB397" s="6">
        <v>467</v>
      </c>
      <c r="AC397" s="6">
        <v>443</v>
      </c>
      <c r="AD397" s="6">
        <f t="shared" si="27"/>
        <v>24</v>
      </c>
      <c r="AE397" s="6" t="s">
        <v>15828</v>
      </c>
    </row>
    <row r="398" spans="1:31">
      <c r="A398" s="33" t="str">
        <f>NOTTINGHAMSHIRE!A34</f>
        <v>Sherwood CC</v>
      </c>
      <c r="B398" s="7">
        <f>NOTTINGHAMSHIRE!D37</f>
        <v>71671</v>
      </c>
      <c r="C398" s="7">
        <f>NOTTINGHAMSHIRE!E37</f>
        <v>72111</v>
      </c>
      <c r="D398" s="7">
        <f>NOTTINGHAMSHIRE!F37</f>
        <v>72897</v>
      </c>
      <c r="E398" s="7">
        <f>NOTTINGHAMSHIRE!G37</f>
        <v>73124</v>
      </c>
      <c r="F398" s="7">
        <f>NOTTINGHAMSHIRE!H37</f>
        <v>71705</v>
      </c>
      <c r="G398" s="7">
        <f>NOTTINGHAMSHIRE!I37</f>
        <v>71662</v>
      </c>
      <c r="H398" s="7">
        <f>NOTTINGHAMSHIRE!J37</f>
        <v>72051</v>
      </c>
      <c r="I398" s="7">
        <f>NOTTINGHAMSHIRE!K37</f>
        <v>74381</v>
      </c>
      <c r="J398" s="7">
        <f>NOTTINGHAMSHIRE!L37</f>
        <v>75797</v>
      </c>
      <c r="K398" s="7">
        <f>NOTTINGHAMSHIRE!M37</f>
        <v>76220</v>
      </c>
      <c r="L398" s="7">
        <f>NOTTINGHAMSHIRE!N37</f>
        <v>78358</v>
      </c>
      <c r="M398" s="7">
        <f>NOTTINGHAMSHIRE!O37</f>
        <v>77759</v>
      </c>
      <c r="N398" s="34">
        <f t="shared" si="24"/>
        <v>8.4943701078539435E-2</v>
      </c>
      <c r="O398" s="34"/>
      <c r="P398" s="7">
        <f t="shared" si="25"/>
        <v>4366</v>
      </c>
      <c r="Q398" s="1004">
        <f t="shared" si="26"/>
        <v>5.9487962067227118E-2</v>
      </c>
      <c r="R398" s="6">
        <v>263</v>
      </c>
      <c r="S398" s="6">
        <v>266</v>
      </c>
      <c r="T398" s="6">
        <v>252</v>
      </c>
      <c r="U398" s="6">
        <v>251</v>
      </c>
      <c r="V398" s="6">
        <v>295</v>
      </c>
      <c r="W398" s="6">
        <v>243</v>
      </c>
      <c r="X398" s="6">
        <v>195</v>
      </c>
      <c r="Y398" s="6">
        <v>182</v>
      </c>
      <c r="Z398" s="6">
        <v>160</v>
      </c>
      <c r="AA398" s="6">
        <v>146</v>
      </c>
      <c r="AB398" s="6">
        <v>152</v>
      </c>
      <c r="AC398" s="6">
        <v>176</v>
      </c>
      <c r="AD398" s="6">
        <f t="shared" si="27"/>
        <v>-24</v>
      </c>
      <c r="AE398" s="6" t="s">
        <v>15826</v>
      </c>
    </row>
    <row r="399" spans="1:31">
      <c r="A399" s="33" t="str">
        <f>'WEST YORKSHIRE'!A55</f>
        <v>Shipley CC</v>
      </c>
      <c r="B399" s="7">
        <f>'WEST YORKSHIRE'!D55</f>
        <v>67489</v>
      </c>
      <c r="C399" s="7">
        <f>'WEST YORKSHIRE'!E55</f>
        <v>68129</v>
      </c>
      <c r="D399" s="7">
        <f>'WEST YORKSHIRE'!F55</f>
        <v>68944</v>
      </c>
      <c r="E399" s="7">
        <f>'WEST YORKSHIRE'!G55</f>
        <v>70360</v>
      </c>
      <c r="F399" s="7">
        <f>'WEST YORKSHIRE'!H55</f>
        <v>71208</v>
      </c>
      <c r="G399" s="7">
        <f>'WEST YORKSHIRE'!I55</f>
        <v>69248</v>
      </c>
      <c r="H399" s="7">
        <f>'WEST YORKSHIRE'!J55</f>
        <v>69358</v>
      </c>
      <c r="I399" s="7">
        <f>'WEST YORKSHIRE'!K55</f>
        <v>71841</v>
      </c>
      <c r="J399" s="7">
        <f>'WEST YORKSHIRE'!L55</f>
        <v>72244</v>
      </c>
      <c r="K399" s="7">
        <f>'WEST YORKSHIRE'!M55</f>
        <v>71682</v>
      </c>
      <c r="L399" s="7">
        <f>'WEST YORKSHIRE'!N55</f>
        <v>74522</v>
      </c>
      <c r="M399" s="7">
        <f>'WEST YORKSHIRE'!O55</f>
        <v>74095</v>
      </c>
      <c r="N399" s="34">
        <f t="shared" si="24"/>
        <v>9.7882617908103542E-2</v>
      </c>
      <c r="O399" s="34"/>
      <c r="P399" s="7">
        <f t="shared" si="25"/>
        <v>702</v>
      </c>
      <c r="Q399" s="1004">
        <f t="shared" si="26"/>
        <v>9.5649448857520469E-3</v>
      </c>
      <c r="R399" s="6">
        <v>395</v>
      </c>
      <c r="S399" s="6">
        <v>394</v>
      </c>
      <c r="T399" s="6">
        <v>372</v>
      </c>
      <c r="U399" s="6">
        <v>340</v>
      </c>
      <c r="V399" s="6">
        <v>306</v>
      </c>
      <c r="W399" s="6">
        <v>323</v>
      </c>
      <c r="X399" s="6">
        <v>297</v>
      </c>
      <c r="Y399" s="6">
        <v>260</v>
      </c>
      <c r="Z399" s="6">
        <v>268</v>
      </c>
      <c r="AA399" s="6">
        <v>263</v>
      </c>
      <c r="AB399" s="6">
        <v>238</v>
      </c>
      <c r="AC399" s="6">
        <v>271</v>
      </c>
      <c r="AD399" s="6">
        <f t="shared" si="27"/>
        <v>-33</v>
      </c>
      <c r="AE399" s="6" t="s">
        <v>15828</v>
      </c>
    </row>
    <row r="400" spans="1:31">
      <c r="A400" s="33" t="str">
        <f>'SHROPSHIRE &amp; TELFORD &amp; WREKIN '!A15</f>
        <v>Shrewsbury and Atcham CC</v>
      </c>
      <c r="B400" s="7">
        <f>'SHROPSHIRE &amp; TELFORD &amp; WREKIN '!D15</f>
        <v>75076</v>
      </c>
      <c r="C400" s="7">
        <f>'SHROPSHIRE &amp; TELFORD &amp; WREKIN '!E15</f>
        <v>73978</v>
      </c>
      <c r="D400" s="7">
        <f>'SHROPSHIRE &amp; TELFORD &amp; WREKIN '!F15</f>
        <v>74750</v>
      </c>
      <c r="E400" s="7">
        <f>'SHROPSHIRE &amp; TELFORD &amp; WREKIN '!G15</f>
        <v>77266</v>
      </c>
      <c r="F400" s="7">
        <f>'SHROPSHIRE &amp; TELFORD &amp; WREKIN '!H15</f>
        <v>73169</v>
      </c>
      <c r="G400" s="7">
        <f>'SHROPSHIRE &amp; TELFORD &amp; WREKIN '!I15</f>
        <v>74881</v>
      </c>
      <c r="H400" s="7">
        <f>'SHROPSHIRE &amp; TELFORD &amp; WREKIN '!J15</f>
        <v>75528</v>
      </c>
      <c r="I400" s="7">
        <f>'SHROPSHIRE &amp; TELFORD &amp; WREKIN '!K15</f>
        <v>78641</v>
      </c>
      <c r="J400" s="7">
        <f>'SHROPSHIRE &amp; TELFORD &amp; WREKIN '!L15</f>
        <v>78625</v>
      </c>
      <c r="K400" s="7">
        <f>'SHROPSHIRE &amp; TELFORD &amp; WREKIN '!M15</f>
        <v>78564</v>
      </c>
      <c r="L400" s="7">
        <f>'SHROPSHIRE &amp; TELFORD &amp; WREKIN '!N15</f>
        <v>82897</v>
      </c>
      <c r="M400" s="7">
        <f>'SHROPSHIRE &amp; TELFORD &amp; WREKIN '!O15</f>
        <v>82649</v>
      </c>
      <c r="N400" s="34">
        <f t="shared" si="24"/>
        <v>0.10087111726783526</v>
      </c>
      <c r="O400" s="34"/>
      <c r="P400" s="7">
        <f t="shared" si="25"/>
        <v>9256</v>
      </c>
      <c r="Q400" s="1004">
        <f t="shared" si="26"/>
        <v>0.12611556960473069</v>
      </c>
      <c r="R400" s="6">
        <v>148</v>
      </c>
      <c r="S400" s="6">
        <v>188</v>
      </c>
      <c r="T400" s="6">
        <v>185</v>
      </c>
      <c r="U400" s="6">
        <v>134</v>
      </c>
      <c r="V400" s="6">
        <v>240</v>
      </c>
      <c r="W400" s="6">
        <v>147</v>
      </c>
      <c r="X400" s="6">
        <v>108</v>
      </c>
      <c r="Y400" s="6">
        <v>91</v>
      </c>
      <c r="Z400" s="6">
        <v>106</v>
      </c>
      <c r="AA400" s="6">
        <v>96</v>
      </c>
      <c r="AB400" s="6">
        <v>60</v>
      </c>
      <c r="AC400" s="6">
        <v>79</v>
      </c>
      <c r="AD400" s="6">
        <f t="shared" si="27"/>
        <v>-19</v>
      </c>
      <c r="AE400" s="6" t="s">
        <v>15824</v>
      </c>
    </row>
    <row r="401" spans="1:31">
      <c r="A401" s="33" t="str">
        <f>KENT!A62</f>
        <v>Sittingbourne and Sheppey CC</v>
      </c>
      <c r="B401" s="7">
        <f>KENT!D62</f>
        <v>75509</v>
      </c>
      <c r="C401" s="7">
        <f>KENT!E62</f>
        <v>74796</v>
      </c>
      <c r="D401" s="7">
        <f>KENT!F62</f>
        <v>75770</v>
      </c>
      <c r="E401" s="7">
        <f>KENT!G62</f>
        <v>76111</v>
      </c>
      <c r="F401" s="7">
        <f>KENT!H62</f>
        <v>76839</v>
      </c>
      <c r="G401" s="7">
        <f>KENT!I62</f>
        <v>72615</v>
      </c>
      <c r="H401" s="7">
        <f>KENT!J62</f>
        <v>75638</v>
      </c>
      <c r="I401" s="7">
        <f>KENT!K62</f>
        <v>79966</v>
      </c>
      <c r="J401" s="7">
        <f>KENT!L62</f>
        <v>81092</v>
      </c>
      <c r="K401" s="7">
        <f>KENT!M62</f>
        <v>81552</v>
      </c>
      <c r="L401" s="7">
        <f>KENT!N62</f>
        <v>82045</v>
      </c>
      <c r="M401" s="7">
        <f>KENT!O62</f>
        <v>83845</v>
      </c>
      <c r="N401" s="34">
        <f t="shared" si="24"/>
        <v>0.11039743606722377</v>
      </c>
      <c r="O401" s="34"/>
      <c r="P401" s="7">
        <f t="shared" si="25"/>
        <v>10452</v>
      </c>
      <c r="Q401" s="1004">
        <f t="shared" si="26"/>
        <v>0.14241140163230825</v>
      </c>
      <c r="R401" s="6">
        <v>139</v>
      </c>
      <c r="S401" s="6">
        <v>171</v>
      </c>
      <c r="T401" s="6">
        <v>160</v>
      </c>
      <c r="U401" s="6">
        <v>157</v>
      </c>
      <c r="V401" s="6">
        <v>127</v>
      </c>
      <c r="W401" s="6">
        <v>203</v>
      </c>
      <c r="X401" s="6">
        <v>107</v>
      </c>
      <c r="Y401" s="6">
        <v>69</v>
      </c>
      <c r="Z401" s="6">
        <v>60</v>
      </c>
      <c r="AA401" s="6">
        <v>48</v>
      </c>
      <c r="AB401" s="6">
        <v>73</v>
      </c>
      <c r="AC401" s="6">
        <v>58</v>
      </c>
      <c r="AD401" s="6">
        <f t="shared" si="27"/>
        <v>15</v>
      </c>
      <c r="AE401" s="6" t="s">
        <v>15823</v>
      </c>
    </row>
    <row r="402" spans="1:31">
      <c r="A402" s="33" t="str">
        <f>'NORTH YORKSHIRE'!A27</f>
        <v>Skipton and Ripon CC</v>
      </c>
      <c r="B402" s="7">
        <f>'NORTH YORKSHIRE'!D29</f>
        <v>76654</v>
      </c>
      <c r="C402" s="7">
        <f>'NORTH YORKSHIRE'!E29</f>
        <v>77098</v>
      </c>
      <c r="D402" s="7">
        <f>'NORTH YORKSHIRE'!F29</f>
        <v>77329</v>
      </c>
      <c r="E402" s="7">
        <f>'NORTH YORKSHIRE'!G29</f>
        <v>78008</v>
      </c>
      <c r="F402" s="7">
        <f>'NORTH YORKSHIRE'!H29</f>
        <v>77255</v>
      </c>
      <c r="G402" s="7">
        <f>'NORTH YORKSHIRE'!I29</f>
        <v>76065</v>
      </c>
      <c r="H402" s="7">
        <f>'NORTH YORKSHIRE'!J29</f>
        <v>74270</v>
      </c>
      <c r="I402" s="7">
        <f>'NORTH YORKSHIRE'!K29</f>
        <v>76841</v>
      </c>
      <c r="J402" s="7">
        <f>'NORTH YORKSHIRE'!L29</f>
        <v>77167</v>
      </c>
      <c r="K402" s="7">
        <f>'NORTH YORKSHIRE'!M29</f>
        <v>76632</v>
      </c>
      <c r="L402" s="7">
        <f>'NORTH YORKSHIRE'!N29</f>
        <v>77541</v>
      </c>
      <c r="M402" s="7">
        <f>'NORTH YORKSHIRE'!O29</f>
        <v>79295</v>
      </c>
      <c r="N402" s="34">
        <f t="shared" si="24"/>
        <v>3.4453518407389049E-2</v>
      </c>
      <c r="O402" s="34"/>
      <c r="P402" s="7">
        <f t="shared" si="25"/>
        <v>5902</v>
      </c>
      <c r="Q402" s="1004">
        <f t="shared" si="26"/>
        <v>8.0416388483915358E-2</v>
      </c>
      <c r="R402" s="6">
        <v>107</v>
      </c>
      <c r="S402" s="6">
        <v>107</v>
      </c>
      <c r="T402" s="6">
        <v>119</v>
      </c>
      <c r="U402" s="6">
        <v>106</v>
      </c>
      <c r="V402" s="6">
        <v>120</v>
      </c>
      <c r="W402" s="6">
        <v>120</v>
      </c>
      <c r="X402" s="6">
        <v>138</v>
      </c>
      <c r="Y402" s="6">
        <v>132</v>
      </c>
      <c r="Z402" s="6">
        <v>142</v>
      </c>
      <c r="AA402" s="6">
        <v>141</v>
      </c>
      <c r="AB402" s="6">
        <v>168</v>
      </c>
      <c r="AC402" s="6">
        <v>147</v>
      </c>
      <c r="AD402" s="6">
        <f t="shared" si="27"/>
        <v>21</v>
      </c>
      <c r="AE402" s="6" t="s">
        <v>15828</v>
      </c>
    </row>
    <row r="403" spans="1:31">
      <c r="A403" s="33" t="str">
        <f>LINCOLNSHIRE!A31</f>
        <v>Sleaford and North Hykeham CC</v>
      </c>
      <c r="B403" s="7">
        <f>LINCOLNSHIRE!D33</f>
        <v>84627</v>
      </c>
      <c r="C403" s="7">
        <f>LINCOLNSHIRE!E33</f>
        <v>85561</v>
      </c>
      <c r="D403" s="7">
        <f>LINCOLNSHIRE!F33</f>
        <v>86497</v>
      </c>
      <c r="E403" s="7">
        <f>LINCOLNSHIRE!G33</f>
        <v>87353</v>
      </c>
      <c r="F403" s="7">
        <f>LINCOLNSHIRE!H33</f>
        <v>88214</v>
      </c>
      <c r="G403" s="7">
        <f>LINCOLNSHIRE!I33</f>
        <v>85449</v>
      </c>
      <c r="H403" s="7">
        <f>LINCOLNSHIRE!J33</f>
        <v>86652</v>
      </c>
      <c r="I403" s="7">
        <f>LINCOLNSHIRE!K33</f>
        <v>89167</v>
      </c>
      <c r="J403" s="7">
        <f>LINCOLNSHIRE!L33</f>
        <v>90229</v>
      </c>
      <c r="K403" s="7">
        <f>LINCOLNSHIRE!M33</f>
        <v>90874</v>
      </c>
      <c r="L403" s="7">
        <f>LINCOLNSHIRE!N33</f>
        <v>94619</v>
      </c>
      <c r="M403" s="7">
        <f>LINCOLNSHIRE!O33</f>
        <v>93278</v>
      </c>
      <c r="N403" s="34">
        <f t="shared" si="24"/>
        <v>0.10222505819655665</v>
      </c>
      <c r="O403" s="34"/>
      <c r="P403" s="7">
        <f t="shared" si="25"/>
        <v>19885</v>
      </c>
      <c r="Q403" s="1004">
        <f t="shared" si="26"/>
        <v>0.27093864537489953</v>
      </c>
      <c r="R403" s="6">
        <v>6</v>
      </c>
      <c r="S403" s="6">
        <v>8</v>
      </c>
      <c r="T403" s="6">
        <v>8</v>
      </c>
      <c r="U403" s="6">
        <v>8</v>
      </c>
      <c r="V403" s="6">
        <v>6</v>
      </c>
      <c r="W403" s="6">
        <v>6</v>
      </c>
      <c r="X403" s="6">
        <v>5</v>
      </c>
      <c r="Y403" s="6">
        <v>6</v>
      </c>
      <c r="Z403" s="6">
        <v>5</v>
      </c>
      <c r="AA403" s="6">
        <v>4</v>
      </c>
      <c r="AB403" s="6">
        <v>5</v>
      </c>
      <c r="AC403" s="6">
        <v>7</v>
      </c>
      <c r="AD403" s="6">
        <f t="shared" si="27"/>
        <v>-2</v>
      </c>
      <c r="AE403" s="6" t="s">
        <v>15826</v>
      </c>
    </row>
    <row r="404" spans="1:31">
      <c r="A404" s="33" t="str">
        <f>BERKSHIRE!A37</f>
        <v>Slough BC</v>
      </c>
      <c r="B404" s="7">
        <f>BERKSHIRE!D37</f>
        <v>78477</v>
      </c>
      <c r="C404" s="7">
        <f>BERKSHIRE!E37</f>
        <v>81327</v>
      </c>
      <c r="D404" s="7">
        <f>BERKSHIRE!F37</f>
        <v>81937</v>
      </c>
      <c r="E404" s="7">
        <f>BERKSHIRE!G37</f>
        <v>83197</v>
      </c>
      <c r="F404" s="7">
        <f>BERKSHIRE!H37</f>
        <v>84564</v>
      </c>
      <c r="G404" s="7">
        <f>BERKSHIRE!I37</f>
        <v>83990</v>
      </c>
      <c r="H404" s="7">
        <f>BERKSHIRE!J37</f>
        <v>76668</v>
      </c>
      <c r="I404" s="7">
        <f>BERKSHIRE!K37</f>
        <v>80827</v>
      </c>
      <c r="J404" s="7">
        <f>BERKSHIRE!L37</f>
        <v>80679</v>
      </c>
      <c r="K404" s="7">
        <f>BERKSHIRE!M37</f>
        <v>81950</v>
      </c>
      <c r="L404" s="7">
        <f>BERKSHIRE!N37</f>
        <v>83162</v>
      </c>
      <c r="M404" s="7">
        <f>BERKSHIRE!O37</f>
        <v>84222</v>
      </c>
      <c r="N404" s="34">
        <f t="shared" si="24"/>
        <v>7.3206162315073209E-2</v>
      </c>
      <c r="O404" s="34"/>
      <c r="P404" s="7">
        <f t="shared" si="25"/>
        <v>10829</v>
      </c>
      <c r="Q404" s="1004">
        <f t="shared" si="26"/>
        <v>0.14754813129317509</v>
      </c>
      <c r="R404" s="6">
        <v>56</v>
      </c>
      <c r="S404" s="6">
        <v>30</v>
      </c>
      <c r="T404" s="6">
        <v>32</v>
      </c>
      <c r="U404" s="6">
        <v>26</v>
      </c>
      <c r="V404" s="6">
        <v>16</v>
      </c>
      <c r="W404" s="6">
        <v>12</v>
      </c>
      <c r="X404" s="6">
        <v>85</v>
      </c>
      <c r="Y404" s="6">
        <v>48</v>
      </c>
      <c r="Z404" s="6">
        <v>68</v>
      </c>
      <c r="AA404" s="6">
        <v>39</v>
      </c>
      <c r="AB404" s="6">
        <v>58</v>
      </c>
      <c r="AC404" s="6">
        <v>54</v>
      </c>
      <c r="AD404" s="6">
        <f t="shared" si="27"/>
        <v>4</v>
      </c>
      <c r="AE404" s="6" t="s">
        <v>15823</v>
      </c>
    </row>
    <row r="405" spans="1:31">
      <c r="A405" s="33" t="str">
        <f>'WEST MIDLANDS'!A51</f>
        <v>Solihull BC</v>
      </c>
      <c r="B405" s="7">
        <f>'WEST MIDLANDS'!D51</f>
        <v>76638</v>
      </c>
      <c r="C405" s="7">
        <f>'WEST MIDLANDS'!E51</f>
        <v>77354</v>
      </c>
      <c r="D405" s="7">
        <f>'WEST MIDLANDS'!F51</f>
        <v>75634</v>
      </c>
      <c r="E405" s="7">
        <f>'WEST MIDLANDS'!G51</f>
        <v>77132</v>
      </c>
      <c r="F405" s="7">
        <f>'WEST MIDLANDS'!H51</f>
        <v>78153</v>
      </c>
      <c r="G405" s="7">
        <f>'WEST MIDLANDS'!I51</f>
        <v>76638</v>
      </c>
      <c r="H405" s="7">
        <f>'WEST MIDLANDS'!J51</f>
        <v>75121</v>
      </c>
      <c r="I405" s="7">
        <f>'WEST MIDLANDS'!K51</f>
        <v>78112</v>
      </c>
      <c r="J405" s="7">
        <f>'WEST MIDLANDS'!L51</f>
        <v>77078</v>
      </c>
      <c r="K405" s="7">
        <f>'WEST MIDLANDS'!M51</f>
        <v>76205</v>
      </c>
      <c r="L405" s="7">
        <f>'WEST MIDLANDS'!N51</f>
        <v>77513</v>
      </c>
      <c r="M405" s="7">
        <f>'WEST MIDLANDS'!O51</f>
        <v>78069</v>
      </c>
      <c r="N405" s="34">
        <f t="shared" si="24"/>
        <v>1.8672199170124481E-2</v>
      </c>
      <c r="O405" s="34"/>
      <c r="P405" s="7">
        <f t="shared" si="25"/>
        <v>4676</v>
      </c>
      <c r="Q405" s="1004">
        <f t="shared" si="26"/>
        <v>6.3711798127886854E-2</v>
      </c>
      <c r="R405" s="6">
        <v>108</v>
      </c>
      <c r="S405" s="6">
        <v>98</v>
      </c>
      <c r="T405" s="6">
        <v>164</v>
      </c>
      <c r="U405" s="6">
        <v>139</v>
      </c>
      <c r="V405" s="6">
        <v>97</v>
      </c>
      <c r="W405" s="6">
        <v>105</v>
      </c>
      <c r="X405" s="6">
        <v>116</v>
      </c>
      <c r="Y405" s="6">
        <v>104</v>
      </c>
      <c r="Z405" s="6">
        <v>143</v>
      </c>
      <c r="AA405" s="6">
        <v>147</v>
      </c>
      <c r="AB405" s="6">
        <v>169</v>
      </c>
      <c r="AC405" s="6">
        <v>171</v>
      </c>
      <c r="AD405" s="6">
        <f t="shared" si="27"/>
        <v>-2</v>
      </c>
      <c r="AE405" s="6" t="s">
        <v>15824</v>
      </c>
    </row>
    <row r="406" spans="1:31">
      <c r="A406" s="33" t="str">
        <f>SOMERSET!A16</f>
        <v>Somerton and Frome CC</v>
      </c>
      <c r="B406" s="7">
        <f>SOMERSET!D18</f>
        <v>81566</v>
      </c>
      <c r="C406" s="7">
        <f>SOMERSET!E18</f>
        <v>82150</v>
      </c>
      <c r="D406" s="7">
        <f>SOMERSET!F18</f>
        <v>82370</v>
      </c>
      <c r="E406" s="7">
        <f>SOMERSET!G18</f>
        <v>83174</v>
      </c>
      <c r="F406" s="7">
        <f>SOMERSET!H18</f>
        <v>82650</v>
      </c>
      <c r="G406" s="7">
        <f>SOMERSET!I18</f>
        <v>82166</v>
      </c>
      <c r="H406" s="7">
        <f>SOMERSET!J18</f>
        <v>77797</v>
      </c>
      <c r="I406" s="7">
        <f>SOMERSET!K18</f>
        <v>81932</v>
      </c>
      <c r="J406" s="7">
        <f>SOMERSET!L18</f>
        <v>82487</v>
      </c>
      <c r="K406" s="7">
        <f>SOMERSET!M18</f>
        <v>82345</v>
      </c>
      <c r="L406" s="7">
        <f>SOMERSET!N18</f>
        <v>85142</v>
      </c>
      <c r="M406" s="7">
        <f>SOMERSET!O18</f>
        <v>85945</v>
      </c>
      <c r="N406" s="34">
        <f t="shared" si="24"/>
        <v>5.3686585096731479E-2</v>
      </c>
      <c r="O406" s="34"/>
      <c r="P406" s="7">
        <f t="shared" si="25"/>
        <v>12552</v>
      </c>
      <c r="Q406" s="1004">
        <f t="shared" si="26"/>
        <v>0.17102448462387421</v>
      </c>
      <c r="R406" s="6">
        <v>23</v>
      </c>
      <c r="S406" s="6">
        <v>25</v>
      </c>
      <c r="T406" s="6">
        <v>26</v>
      </c>
      <c r="U406" s="6">
        <v>28</v>
      </c>
      <c r="V406" s="6">
        <v>27</v>
      </c>
      <c r="W406" s="6">
        <v>20</v>
      </c>
      <c r="X406" s="6">
        <v>63</v>
      </c>
      <c r="Y406" s="6">
        <v>37</v>
      </c>
      <c r="Z406" s="6">
        <v>37</v>
      </c>
      <c r="AA406" s="6">
        <v>36</v>
      </c>
      <c r="AB406" s="6">
        <v>36</v>
      </c>
      <c r="AC406" s="6">
        <v>39</v>
      </c>
      <c r="AD406" s="6">
        <f t="shared" si="27"/>
        <v>-3</v>
      </c>
      <c r="AE406" s="6" t="s">
        <v>15830</v>
      </c>
    </row>
    <row r="407" spans="1:31">
      <c r="A407" s="33" t="str">
        <f>ESSEX!A69</f>
        <v>South Basildon and East Thurrock CC</v>
      </c>
      <c r="B407" s="7">
        <f>ESSEX!D71</f>
        <v>71947</v>
      </c>
      <c r="C407" s="7">
        <f>ESSEX!E71</f>
        <v>71819</v>
      </c>
      <c r="D407" s="7">
        <f>ESSEX!F71</f>
        <v>71897</v>
      </c>
      <c r="E407" s="7">
        <f>ESSEX!G71</f>
        <v>72598</v>
      </c>
      <c r="F407" s="7">
        <f>ESSEX!H71</f>
        <v>72405</v>
      </c>
      <c r="G407" s="7">
        <f>ESSEX!I71</f>
        <v>72379</v>
      </c>
      <c r="H407" s="7">
        <f>ESSEX!J71</f>
        <v>70192</v>
      </c>
      <c r="I407" s="7">
        <f>ESSEX!K71</f>
        <v>71888</v>
      </c>
      <c r="J407" s="7">
        <f>ESSEX!L71</f>
        <v>73617</v>
      </c>
      <c r="K407" s="7">
        <f>ESSEX!M71</f>
        <v>73271</v>
      </c>
      <c r="L407" s="7">
        <f>ESSEX!N71</f>
        <v>74435</v>
      </c>
      <c r="M407" s="7">
        <f>ESSEX!O71</f>
        <v>74689</v>
      </c>
      <c r="N407" s="34">
        <f t="shared" si="24"/>
        <v>3.8111387549168138E-2</v>
      </c>
      <c r="O407" s="34"/>
      <c r="P407" s="7">
        <f t="shared" si="25"/>
        <v>1296</v>
      </c>
      <c r="Q407" s="1004">
        <f t="shared" si="26"/>
        <v>1.7658359789080702E-2</v>
      </c>
      <c r="R407" s="6">
        <v>248</v>
      </c>
      <c r="S407" s="6">
        <v>284</v>
      </c>
      <c r="T407" s="6">
        <v>298</v>
      </c>
      <c r="U407" s="6">
        <v>284</v>
      </c>
      <c r="V407" s="6">
        <v>265</v>
      </c>
      <c r="W407" s="6">
        <v>221</v>
      </c>
      <c r="X407" s="6">
        <v>265</v>
      </c>
      <c r="Y407" s="6">
        <v>256</v>
      </c>
      <c r="Z407" s="6">
        <v>225</v>
      </c>
      <c r="AA407" s="6">
        <v>215</v>
      </c>
      <c r="AB407" s="6">
        <v>242</v>
      </c>
      <c r="AC407" s="6">
        <v>247</v>
      </c>
      <c r="AD407" s="6">
        <f t="shared" si="27"/>
        <v>-5</v>
      </c>
      <c r="AE407" s="6" t="s">
        <v>15829</v>
      </c>
    </row>
    <row r="408" spans="1:31">
      <c r="A408" s="33" t="str">
        <f>CAMBRIDGESHIRE!A31</f>
        <v>South Cambridgeshire CC</v>
      </c>
      <c r="B408" s="7">
        <f>CAMBRIDGESHIRE!D33</f>
        <v>78612</v>
      </c>
      <c r="C408" s="7">
        <f>CAMBRIDGESHIRE!E33</f>
        <v>80001</v>
      </c>
      <c r="D408" s="7">
        <f>CAMBRIDGESHIRE!F33</f>
        <v>81028</v>
      </c>
      <c r="E408" s="7">
        <f>CAMBRIDGESHIRE!G33</f>
        <v>81086</v>
      </c>
      <c r="F408" s="7">
        <f>CAMBRIDGESHIRE!H33</f>
        <v>82514</v>
      </c>
      <c r="G408" s="7">
        <f>CAMBRIDGESHIRE!I33</f>
        <v>82288</v>
      </c>
      <c r="H408" s="7">
        <f>CAMBRIDGESHIRE!J33</f>
        <v>81368</v>
      </c>
      <c r="I408" s="7">
        <f>CAMBRIDGESHIRE!K33</f>
        <v>83721</v>
      </c>
      <c r="J408" s="7">
        <f>CAMBRIDGESHIRE!L33</f>
        <v>83790</v>
      </c>
      <c r="K408" s="7">
        <f>CAMBRIDGESHIRE!M33</f>
        <v>83069</v>
      </c>
      <c r="L408" s="7">
        <f>CAMBRIDGESHIRE!N33</f>
        <v>87988</v>
      </c>
      <c r="M408" s="7">
        <f>CAMBRIDGESHIRE!O33</f>
        <v>87667</v>
      </c>
      <c r="N408" s="34">
        <f t="shared" si="24"/>
        <v>0.11518597669566988</v>
      </c>
      <c r="O408" s="34"/>
      <c r="P408" s="7">
        <f t="shared" si="25"/>
        <v>14274</v>
      </c>
      <c r="Q408" s="1004">
        <f t="shared" si="26"/>
        <v>0.19448721267695829</v>
      </c>
      <c r="R408" s="6">
        <v>50</v>
      </c>
      <c r="S408" s="6">
        <v>40</v>
      </c>
      <c r="T408" s="6">
        <v>38</v>
      </c>
      <c r="U408" s="6">
        <v>42</v>
      </c>
      <c r="V408" s="6">
        <v>30</v>
      </c>
      <c r="W408" s="6">
        <v>19</v>
      </c>
      <c r="X408" s="6">
        <v>20</v>
      </c>
      <c r="Y408" s="6">
        <v>19</v>
      </c>
      <c r="Z408" s="6">
        <v>26</v>
      </c>
      <c r="AA408" s="6">
        <v>26</v>
      </c>
      <c r="AB408" s="6">
        <v>19</v>
      </c>
      <c r="AC408" s="6">
        <v>25</v>
      </c>
      <c r="AD408" s="6">
        <f t="shared" si="27"/>
        <v>-6</v>
      </c>
      <c r="AE408" s="6" t="s">
        <v>15829</v>
      </c>
    </row>
    <row r="409" spans="1:31">
      <c r="A409" s="33" t="str">
        <f>DERBYSHIRE!A49</f>
        <v>South Derbyshire CC</v>
      </c>
      <c r="B409" s="7">
        <f>DERBYSHIRE!D49</f>
        <v>70443</v>
      </c>
      <c r="C409" s="7">
        <f>DERBYSHIRE!E49</f>
        <v>71326</v>
      </c>
      <c r="D409" s="7">
        <f>DERBYSHIRE!F49</f>
        <v>72354</v>
      </c>
      <c r="E409" s="7">
        <f>DERBYSHIRE!G49</f>
        <v>73346</v>
      </c>
      <c r="F409" s="7">
        <f>DERBYSHIRE!H49</f>
        <v>74205</v>
      </c>
      <c r="G409" s="7">
        <f>DERBYSHIRE!I49</f>
        <v>72972</v>
      </c>
      <c r="H409" s="7">
        <f>DERBYSHIRE!J49</f>
        <v>71577</v>
      </c>
      <c r="I409" s="7">
        <f>DERBYSHIRE!K49</f>
        <v>75362</v>
      </c>
      <c r="J409" s="7">
        <f>DERBYSHIRE!L49</f>
        <v>78689</v>
      </c>
      <c r="K409" s="7">
        <f>DERBYSHIRE!M49</f>
        <v>76831</v>
      </c>
      <c r="L409" s="7">
        <f>DERBYSHIRE!N49</f>
        <v>79941</v>
      </c>
      <c r="M409" s="7">
        <f>DERBYSHIRE!O49</f>
        <v>80515</v>
      </c>
      <c r="N409" s="34">
        <f t="shared" si="24"/>
        <v>0.14298084976505829</v>
      </c>
      <c r="O409" s="34"/>
      <c r="P409" s="7">
        <f t="shared" si="25"/>
        <v>7122</v>
      </c>
      <c r="Q409" s="1004">
        <f t="shared" si="26"/>
        <v>9.7039227174253673E-2</v>
      </c>
      <c r="R409" s="36">
        <v>311</v>
      </c>
      <c r="S409" s="6">
        <v>302</v>
      </c>
      <c r="T409" s="6">
        <v>279</v>
      </c>
      <c r="U409" s="6">
        <v>243</v>
      </c>
      <c r="V409" s="6">
        <v>201</v>
      </c>
      <c r="W409" s="6">
        <v>187</v>
      </c>
      <c r="X409" s="6">
        <v>214</v>
      </c>
      <c r="Y409" s="6">
        <v>153</v>
      </c>
      <c r="Z409" s="6">
        <v>104</v>
      </c>
      <c r="AA409" s="6">
        <v>139</v>
      </c>
      <c r="AB409" s="6">
        <v>113</v>
      </c>
      <c r="AC409" s="6">
        <v>117</v>
      </c>
      <c r="AD409" s="6">
        <f t="shared" si="27"/>
        <v>-4</v>
      </c>
      <c r="AE409" s="6" t="s">
        <v>15826</v>
      </c>
    </row>
    <row r="410" spans="1:31">
      <c r="A410" s="33" t="str">
        <f>DORSET!A27</f>
        <v>South Dorset CC</v>
      </c>
      <c r="B410" s="7">
        <f>DORSET!D27</f>
        <v>73168</v>
      </c>
      <c r="C410" s="7">
        <f>DORSET!E27</f>
        <v>73499</v>
      </c>
      <c r="D410" s="7">
        <f>DORSET!F27</f>
        <v>73101</v>
      </c>
      <c r="E410" s="7">
        <f>DORSET!G27</f>
        <v>72915</v>
      </c>
      <c r="F410" s="7">
        <f>DORSET!H27</f>
        <v>71158</v>
      </c>
      <c r="G410" s="7">
        <f>DORSET!I27</f>
        <v>70486</v>
      </c>
      <c r="H410" s="7">
        <f>DORSET!J27</f>
        <v>68211</v>
      </c>
      <c r="I410" s="7">
        <f>DORSET!K27</f>
        <v>71155</v>
      </c>
      <c r="J410" s="7">
        <f>DORSET!L27</f>
        <v>71224</v>
      </c>
      <c r="K410" s="7">
        <f>DORSET!M27</f>
        <v>70790</v>
      </c>
      <c r="L410" s="7">
        <f>DORSET!N27</f>
        <v>74313</v>
      </c>
      <c r="M410" s="7">
        <f>DORSET!O27</f>
        <v>73063</v>
      </c>
      <c r="N410" s="34">
        <f t="shared" si="24"/>
        <v>-1.4350535753334791E-3</v>
      </c>
      <c r="O410" s="34"/>
      <c r="P410" s="7">
        <f t="shared" si="25"/>
        <v>-330</v>
      </c>
      <c r="Q410" s="1004">
        <f t="shared" si="26"/>
        <v>-4.4963416129603639E-3</v>
      </c>
      <c r="R410" s="6">
        <v>193</v>
      </c>
      <c r="S410" s="6">
        <v>206</v>
      </c>
      <c r="T410" s="6">
        <v>242</v>
      </c>
      <c r="U410" s="6">
        <v>264</v>
      </c>
      <c r="V410" s="6">
        <v>308</v>
      </c>
      <c r="W410" s="6">
        <v>276</v>
      </c>
      <c r="X410" s="6">
        <v>332</v>
      </c>
      <c r="Y410" s="6">
        <v>287</v>
      </c>
      <c r="Z410" s="6">
        <v>312</v>
      </c>
      <c r="AA410" s="6">
        <v>298</v>
      </c>
      <c r="AB410" s="6">
        <v>247</v>
      </c>
      <c r="AC410" s="6">
        <v>311</v>
      </c>
      <c r="AD410" s="6">
        <f t="shared" si="27"/>
        <v>-64</v>
      </c>
      <c r="AE410" s="6" t="s">
        <v>15830</v>
      </c>
    </row>
    <row r="411" spans="1:31">
      <c r="A411" s="33" t="str">
        <f>CAMBRIDGESHIRE!A35</f>
        <v>South East Cambridgeshire CC</v>
      </c>
      <c r="B411" s="7">
        <f>CAMBRIDGESHIRE!D37</f>
        <v>81144</v>
      </c>
      <c r="C411" s="7">
        <f>CAMBRIDGESHIRE!E37</f>
        <v>82265</v>
      </c>
      <c r="D411" s="7">
        <f>CAMBRIDGESHIRE!F37</f>
        <v>83292</v>
      </c>
      <c r="E411" s="7">
        <f>CAMBRIDGESHIRE!G37</f>
        <v>83675</v>
      </c>
      <c r="F411" s="7">
        <f>CAMBRIDGESHIRE!H37</f>
        <v>84319</v>
      </c>
      <c r="G411" s="7">
        <f>CAMBRIDGESHIRE!I37</f>
        <v>83065</v>
      </c>
      <c r="H411" s="7">
        <f>CAMBRIDGESHIRE!J37</f>
        <v>82557</v>
      </c>
      <c r="I411" s="7">
        <f>CAMBRIDGESHIRE!K37</f>
        <v>84981</v>
      </c>
      <c r="J411" s="7">
        <f>CAMBRIDGESHIRE!L37</f>
        <v>84668</v>
      </c>
      <c r="K411" s="7">
        <f>CAMBRIDGESHIRE!M37</f>
        <v>83958</v>
      </c>
      <c r="L411" s="7">
        <f>CAMBRIDGESHIRE!N37</f>
        <v>86011</v>
      </c>
      <c r="M411" s="7">
        <f>CAMBRIDGESHIRE!O37</f>
        <v>87032</v>
      </c>
      <c r="N411" s="34">
        <f t="shared" si="24"/>
        <v>7.2562358276643993E-2</v>
      </c>
      <c r="O411" s="34"/>
      <c r="P411" s="7">
        <f t="shared" si="25"/>
        <v>13639</v>
      </c>
      <c r="Q411" s="1004">
        <f t="shared" si="26"/>
        <v>0.18583516139141334</v>
      </c>
      <c r="R411" s="6">
        <v>26</v>
      </c>
      <c r="S411" s="6">
        <v>24</v>
      </c>
      <c r="T411" s="6">
        <v>22</v>
      </c>
      <c r="U411" s="6">
        <v>23</v>
      </c>
      <c r="V411" s="6">
        <v>17</v>
      </c>
      <c r="W411" s="6">
        <v>15</v>
      </c>
      <c r="X411" s="6">
        <v>14</v>
      </c>
      <c r="Y411" s="6">
        <v>15</v>
      </c>
      <c r="Z411" s="6">
        <v>18</v>
      </c>
      <c r="AA411" s="6">
        <v>21</v>
      </c>
      <c r="AB411" s="6">
        <v>27</v>
      </c>
      <c r="AC411" s="6">
        <v>27</v>
      </c>
      <c r="AD411" s="6">
        <f t="shared" si="27"/>
        <v>0</v>
      </c>
      <c r="AE411" s="6" t="s">
        <v>15829</v>
      </c>
    </row>
    <row r="412" spans="1:31">
      <c r="A412" s="33" t="str">
        <f>CORNWALL!A14</f>
        <v>South East Cornwall CC</v>
      </c>
      <c r="B412" s="7">
        <f>CORNWALL!D14</f>
        <v>71900</v>
      </c>
      <c r="C412" s="7">
        <f>CORNWALL!E14</f>
        <v>71851</v>
      </c>
      <c r="D412" s="7">
        <f>CORNWALL!F14</f>
        <v>70847</v>
      </c>
      <c r="E412" s="7">
        <f>CORNWALL!G14</f>
        <v>71466</v>
      </c>
      <c r="F412" s="7">
        <f>CORNWALL!H14</f>
        <v>68570</v>
      </c>
      <c r="G412" s="7">
        <f>CORNWALL!I14</f>
        <v>69873</v>
      </c>
      <c r="H412" s="7">
        <f>CORNWALL!J14</f>
        <v>66757</v>
      </c>
      <c r="I412" s="7">
        <f>CORNWALL!K14</f>
        <v>69069</v>
      </c>
      <c r="J412" s="7">
        <f>CORNWALL!L14</f>
        <v>70599</v>
      </c>
      <c r="K412" s="7">
        <f>CORNWALL!M14</f>
        <v>70302</v>
      </c>
      <c r="L412" s="7">
        <f>CORNWALL!N14</f>
        <v>72258</v>
      </c>
      <c r="M412" s="7">
        <f>CORNWALL!O14</f>
        <v>72204</v>
      </c>
      <c r="N412" s="34">
        <f t="shared" si="24"/>
        <v>4.2280945757997221E-3</v>
      </c>
      <c r="O412" s="34"/>
      <c r="P412" s="7">
        <f t="shared" si="25"/>
        <v>-1189</v>
      </c>
      <c r="Q412" s="1004">
        <f t="shared" si="26"/>
        <v>-1.6200455084272342E-2</v>
      </c>
      <c r="R412" s="6">
        <v>252</v>
      </c>
      <c r="S412" s="6">
        <v>282</v>
      </c>
      <c r="T412" s="6">
        <v>320</v>
      </c>
      <c r="U412" s="6">
        <v>317</v>
      </c>
      <c r="V412" s="6">
        <v>383</v>
      </c>
      <c r="W412" s="6">
        <v>296</v>
      </c>
      <c r="X412" s="6">
        <v>380</v>
      </c>
      <c r="Y412" s="6">
        <v>360</v>
      </c>
      <c r="Z412" s="6">
        <v>336</v>
      </c>
      <c r="AA412" s="6">
        <v>320</v>
      </c>
      <c r="AB412" s="6">
        <v>307</v>
      </c>
      <c r="AC412" s="6">
        <v>342</v>
      </c>
      <c r="AD412" s="6">
        <f t="shared" si="27"/>
        <v>-35</v>
      </c>
      <c r="AE412" s="6" t="s">
        <v>15830</v>
      </c>
    </row>
    <row r="413" spans="1:31">
      <c r="A413" s="33" t="str">
        <f>LINCOLNSHIRE!A35</f>
        <v>South Holland and The Deepings CC</v>
      </c>
      <c r="B413" s="7">
        <f>LINCOLNSHIRE!D37</f>
        <v>76529</v>
      </c>
      <c r="C413" s="7">
        <f>LINCOLNSHIRE!E37</f>
        <v>76939</v>
      </c>
      <c r="D413" s="7">
        <f>LINCOLNSHIRE!F37</f>
        <v>76691</v>
      </c>
      <c r="E413" s="7">
        <f>LINCOLNSHIRE!G37</f>
        <v>76709</v>
      </c>
      <c r="F413" s="7">
        <f>LINCOLNSHIRE!H37</f>
        <v>75877</v>
      </c>
      <c r="G413" s="7">
        <f>LINCOLNSHIRE!I37</f>
        <v>75600</v>
      </c>
      <c r="H413" s="7">
        <f>LINCOLNSHIRE!J37</f>
        <v>74332</v>
      </c>
      <c r="I413" s="7">
        <f>LINCOLNSHIRE!K37</f>
        <v>77627</v>
      </c>
      <c r="J413" s="7">
        <f>LINCOLNSHIRE!L37</f>
        <v>76722</v>
      </c>
      <c r="K413" s="7">
        <f>LINCOLNSHIRE!M37</f>
        <v>75872</v>
      </c>
      <c r="L413" s="7">
        <f>LINCOLNSHIRE!N37</f>
        <v>76409</v>
      </c>
      <c r="M413" s="7">
        <f>LINCOLNSHIRE!O37</f>
        <v>76139</v>
      </c>
      <c r="N413" s="34">
        <f t="shared" si="24"/>
        <v>-5.0961073579950085E-3</v>
      </c>
      <c r="O413" s="34"/>
      <c r="P413" s="7">
        <f t="shared" si="25"/>
        <v>2746</v>
      </c>
      <c r="Q413" s="1004">
        <f t="shared" si="26"/>
        <v>3.7415012330876241E-2</v>
      </c>
      <c r="R413" s="6">
        <v>114</v>
      </c>
      <c r="S413" s="6">
        <v>116</v>
      </c>
      <c r="T413" s="6">
        <v>137</v>
      </c>
      <c r="U413" s="6">
        <v>147</v>
      </c>
      <c r="V413" s="6">
        <v>151</v>
      </c>
      <c r="W413" s="6">
        <v>130</v>
      </c>
      <c r="X413" s="6">
        <v>136</v>
      </c>
      <c r="Y413" s="6">
        <v>115</v>
      </c>
      <c r="Z413" s="6">
        <v>146</v>
      </c>
      <c r="AA413" s="6">
        <v>154</v>
      </c>
      <c r="AB413" s="6">
        <v>199</v>
      </c>
      <c r="AC413" s="6">
        <v>213</v>
      </c>
      <c r="AD413" s="6">
        <f t="shared" si="27"/>
        <v>-14</v>
      </c>
      <c r="AE413" s="6" t="s">
        <v>15826</v>
      </c>
    </row>
    <row r="414" spans="1:31">
      <c r="A414" s="33" t="str">
        <f>LEICESTERSHIRE!A39</f>
        <v>South Leicestershire CC</v>
      </c>
      <c r="B414" s="7">
        <f>LEICESTERSHIRE!D41</f>
        <v>77031</v>
      </c>
      <c r="C414" s="7">
        <f>LEICESTERSHIRE!E41</f>
        <v>77412</v>
      </c>
      <c r="D414" s="7">
        <f>LEICESTERSHIRE!F41</f>
        <v>77664</v>
      </c>
      <c r="E414" s="7">
        <f>LEICESTERSHIRE!G41</f>
        <v>78441</v>
      </c>
      <c r="F414" s="7">
        <f>LEICESTERSHIRE!H41</f>
        <v>78173</v>
      </c>
      <c r="G414" s="7">
        <f>LEICESTERSHIRE!I41</f>
        <v>76599</v>
      </c>
      <c r="H414" s="7">
        <f>LEICESTERSHIRE!J41</f>
        <v>75793</v>
      </c>
      <c r="I414" s="7">
        <f>LEICESTERSHIRE!K41</f>
        <v>77681</v>
      </c>
      <c r="J414" s="7">
        <f>LEICESTERSHIRE!L41</f>
        <v>78654</v>
      </c>
      <c r="K414" s="7">
        <f>LEICESTERSHIRE!M41</f>
        <v>79218</v>
      </c>
      <c r="L414" s="7">
        <f>LEICESTERSHIRE!N41</f>
        <v>81126</v>
      </c>
      <c r="M414" s="7">
        <f>LEICESTERSHIRE!O41</f>
        <v>81023</v>
      </c>
      <c r="N414" s="34">
        <f t="shared" si="24"/>
        <v>5.1823291921434228E-2</v>
      </c>
      <c r="O414" s="34"/>
      <c r="P414" s="7">
        <f t="shared" si="25"/>
        <v>7630</v>
      </c>
      <c r="Q414" s="1004">
        <f t="shared" si="26"/>
        <v>0.10396086820268963</v>
      </c>
      <c r="R414" s="6">
        <v>93</v>
      </c>
      <c r="S414" s="6">
        <v>97</v>
      </c>
      <c r="T414" s="6">
        <v>103</v>
      </c>
      <c r="U414" s="6">
        <v>93</v>
      </c>
      <c r="V414" s="6">
        <v>95</v>
      </c>
      <c r="W414" s="6">
        <v>102</v>
      </c>
      <c r="X414" s="6">
        <v>100</v>
      </c>
      <c r="Y414" s="6">
        <v>109</v>
      </c>
      <c r="Z414" s="6">
        <v>105</v>
      </c>
      <c r="AA414" s="6">
        <v>83</v>
      </c>
      <c r="AB414" s="6">
        <v>85</v>
      </c>
      <c r="AC414" s="6">
        <v>104</v>
      </c>
      <c r="AD414" s="6">
        <f t="shared" si="27"/>
        <v>-19</v>
      </c>
      <c r="AE414" s="6" t="s">
        <v>15826</v>
      </c>
    </row>
    <row r="415" spans="1:31">
      <c r="A415" s="33" t="str">
        <f>NORFOLK!A37</f>
        <v>South Norfolk CC</v>
      </c>
      <c r="B415" s="7">
        <f>NORFOLK!D37</f>
        <v>76009</v>
      </c>
      <c r="C415" s="7">
        <f>NORFOLK!E37</f>
        <v>77316</v>
      </c>
      <c r="D415" s="7">
        <f>NORFOLK!F37</f>
        <v>77866</v>
      </c>
      <c r="E415" s="7">
        <f>NORFOLK!G37</f>
        <v>78985</v>
      </c>
      <c r="F415" s="7">
        <f>NORFOLK!H37</f>
        <v>79013</v>
      </c>
      <c r="G415" s="7">
        <f>NORFOLK!I37</f>
        <v>77828</v>
      </c>
      <c r="H415" s="7">
        <f>NORFOLK!J37</f>
        <v>78550</v>
      </c>
      <c r="I415" s="7">
        <f>NORFOLK!K37</f>
        <v>82874</v>
      </c>
      <c r="J415" s="7">
        <f>NORFOLK!L37</f>
        <v>82930</v>
      </c>
      <c r="K415" s="7">
        <f>NORFOLK!M37</f>
        <v>83940</v>
      </c>
      <c r="L415" s="7">
        <f>NORFOLK!N37</f>
        <v>86427</v>
      </c>
      <c r="M415" s="7">
        <f>NORFOLK!O37</f>
        <v>86421</v>
      </c>
      <c r="N415" s="34">
        <f t="shared" si="24"/>
        <v>0.13698377823678776</v>
      </c>
      <c r="O415" s="34"/>
      <c r="P415" s="7">
        <f t="shared" si="25"/>
        <v>13028</v>
      </c>
      <c r="Q415" s="1004">
        <f t="shared" si="26"/>
        <v>0.17751011676862916</v>
      </c>
      <c r="R415" s="6">
        <v>126</v>
      </c>
      <c r="S415" s="6">
        <v>100</v>
      </c>
      <c r="T415" s="6">
        <v>96</v>
      </c>
      <c r="U415" s="6">
        <v>80</v>
      </c>
      <c r="V415" s="6">
        <v>75</v>
      </c>
      <c r="W415" s="6">
        <v>75</v>
      </c>
      <c r="X415" s="6">
        <v>42</v>
      </c>
      <c r="Y415" s="6">
        <v>29</v>
      </c>
      <c r="Z415" s="6">
        <v>33</v>
      </c>
      <c r="AA415" s="6">
        <v>22</v>
      </c>
      <c r="AB415" s="6">
        <v>24</v>
      </c>
      <c r="AC415" s="6">
        <v>33</v>
      </c>
      <c r="AD415" s="6">
        <f t="shared" si="27"/>
        <v>-9</v>
      </c>
      <c r="AE415" s="6" t="s">
        <v>15829</v>
      </c>
    </row>
    <row r="416" spans="1:31">
      <c r="A416" s="33" t="str">
        <f>NORTHAMPTONSHIRE!A22</f>
        <v>South Northamptonshire CC</v>
      </c>
      <c r="B416" s="7">
        <f>NORTHAMPTONSHIRE!D22</f>
        <v>82052</v>
      </c>
      <c r="C416" s="7">
        <f>NORTHAMPTONSHIRE!E22</f>
        <v>82956</v>
      </c>
      <c r="D416" s="7">
        <f>NORTHAMPTONSHIRE!F22</f>
        <v>84028</v>
      </c>
      <c r="E416" s="7">
        <f>NORTHAMPTONSHIRE!G22</f>
        <v>85036</v>
      </c>
      <c r="F416" s="7">
        <f>NORTHAMPTONSHIRE!H22</f>
        <v>84178</v>
      </c>
      <c r="G416" s="7">
        <f>NORTHAMPTONSHIRE!I22</f>
        <v>81801</v>
      </c>
      <c r="H416" s="7">
        <f>NORTHAMPTONSHIRE!J22</f>
        <v>84427</v>
      </c>
      <c r="I416" s="7">
        <f>NORTHAMPTONSHIRE!K22</f>
        <v>88813</v>
      </c>
      <c r="J416" s="7">
        <f>NORTHAMPTONSHIRE!L22</f>
        <v>87516</v>
      </c>
      <c r="K416" s="7">
        <f>NORTHAMPTONSHIRE!M22</f>
        <v>88039</v>
      </c>
      <c r="L416" s="7">
        <f>NORTHAMPTONSHIRE!N22</f>
        <v>90039</v>
      </c>
      <c r="M416" s="7">
        <f>NORTHAMPTONSHIRE!O22</f>
        <v>91358</v>
      </c>
      <c r="N416" s="34">
        <f t="shared" si="24"/>
        <v>0.11341588261102716</v>
      </c>
      <c r="O416" s="34"/>
      <c r="P416" s="7">
        <f t="shared" si="25"/>
        <v>17965</v>
      </c>
      <c r="Q416" s="1004">
        <f t="shared" si="26"/>
        <v>0.24477811235403921</v>
      </c>
      <c r="R416" s="6">
        <v>19</v>
      </c>
      <c r="S416" s="6">
        <v>18</v>
      </c>
      <c r="T416" s="6">
        <v>17</v>
      </c>
      <c r="U416" s="6">
        <v>15</v>
      </c>
      <c r="V416" s="6">
        <v>18</v>
      </c>
      <c r="W416" s="6">
        <v>26</v>
      </c>
      <c r="X416" s="6">
        <v>8</v>
      </c>
      <c r="Y416" s="6">
        <v>7</v>
      </c>
      <c r="Z416" s="6">
        <v>8</v>
      </c>
      <c r="AA416" s="6">
        <v>6</v>
      </c>
      <c r="AB416" s="6">
        <v>12</v>
      </c>
      <c r="AC416" s="6">
        <v>12</v>
      </c>
      <c r="AD416" s="6">
        <f t="shared" si="27"/>
        <v>0</v>
      </c>
      <c r="AE416" s="6" t="s">
        <v>15826</v>
      </c>
    </row>
    <row r="417" spans="1:31">
      <c r="A417" s="33" t="str">
        <f>LANCASHIRE!A65</f>
        <v>South Ribble CC</v>
      </c>
      <c r="B417" s="7">
        <f>LANCASHIRE!D68</f>
        <v>75039</v>
      </c>
      <c r="C417" s="7">
        <f>LANCASHIRE!E68</f>
        <v>75116</v>
      </c>
      <c r="D417" s="7">
        <f>LANCASHIRE!F68</f>
        <v>75139</v>
      </c>
      <c r="E417" s="7">
        <f>LANCASHIRE!G68</f>
        <v>74931</v>
      </c>
      <c r="F417" s="7">
        <f>LANCASHIRE!H68</f>
        <v>75535</v>
      </c>
      <c r="G417" s="7">
        <f>LANCASHIRE!I68</f>
        <v>74159</v>
      </c>
      <c r="H417" s="7">
        <f>LANCASHIRE!J68</f>
        <v>72809</v>
      </c>
      <c r="I417" s="7">
        <f>LANCASHIRE!K68</f>
        <v>74363</v>
      </c>
      <c r="J417" s="7">
        <f>LANCASHIRE!L68</f>
        <v>74937</v>
      </c>
      <c r="K417" s="7">
        <f>LANCASHIRE!M68</f>
        <v>74275</v>
      </c>
      <c r="L417" s="7">
        <f>LANCASHIRE!N68</f>
        <v>75875</v>
      </c>
      <c r="M417" s="7">
        <f>LANCASHIRE!O68</f>
        <v>75845</v>
      </c>
      <c r="N417" s="34">
        <f t="shared" si="24"/>
        <v>1.0741081304388386E-2</v>
      </c>
      <c r="O417" s="34"/>
      <c r="P417" s="7">
        <f t="shared" si="25"/>
        <v>2452</v>
      </c>
      <c r="Q417" s="1004">
        <f t="shared" si="26"/>
        <v>3.3409180712057007E-2</v>
      </c>
      <c r="R417" s="6">
        <v>150</v>
      </c>
      <c r="S417" s="6">
        <v>161</v>
      </c>
      <c r="T417" s="6">
        <v>175</v>
      </c>
      <c r="U417" s="6">
        <v>186</v>
      </c>
      <c r="V417" s="6">
        <v>159</v>
      </c>
      <c r="W417" s="6">
        <v>157</v>
      </c>
      <c r="X417" s="6">
        <v>169</v>
      </c>
      <c r="Y417" s="6">
        <v>184</v>
      </c>
      <c r="Z417" s="6">
        <v>180</v>
      </c>
      <c r="AA417" s="6">
        <v>182</v>
      </c>
      <c r="AB417" s="6">
        <v>207</v>
      </c>
      <c r="AC417" s="6">
        <v>219</v>
      </c>
      <c r="AD417" s="6">
        <f t="shared" si="27"/>
        <v>-12</v>
      </c>
      <c r="AE417" s="6" t="s">
        <v>15825</v>
      </c>
    </row>
    <row r="418" spans="1:31">
      <c r="A418" s="33" t="str">
        <f>'TYNE &amp; WEAR'!A36</f>
        <v>South Shields BC</v>
      </c>
      <c r="B418" s="7">
        <f>'TYNE &amp; WEAR'!D36</f>
        <v>63841</v>
      </c>
      <c r="C418" s="7">
        <f>'TYNE &amp; WEAR'!E36</f>
        <v>63765</v>
      </c>
      <c r="D418" s="7">
        <f>'TYNE &amp; WEAR'!F36</f>
        <v>63970</v>
      </c>
      <c r="E418" s="7">
        <f>'TYNE &amp; WEAR'!G36</f>
        <v>64236</v>
      </c>
      <c r="F418" s="7">
        <f>'TYNE &amp; WEAR'!H36</f>
        <v>63438</v>
      </c>
      <c r="G418" s="7">
        <f>'TYNE &amp; WEAR'!I36</f>
        <v>62946</v>
      </c>
      <c r="H418" s="7">
        <f>'TYNE &amp; WEAR'!J36</f>
        <v>63155</v>
      </c>
      <c r="I418" s="7">
        <f>'TYNE &amp; WEAR'!K36</f>
        <v>63259</v>
      </c>
      <c r="J418" s="7">
        <f>'TYNE &amp; WEAR'!L36</f>
        <v>63003</v>
      </c>
      <c r="K418" s="7">
        <f>'TYNE &amp; WEAR'!M36</f>
        <v>62353</v>
      </c>
      <c r="L418" s="7">
        <f>'TYNE &amp; WEAR'!N36</f>
        <v>63081</v>
      </c>
      <c r="M418" s="7">
        <f>'TYNE &amp; WEAR'!O36</f>
        <v>62796</v>
      </c>
      <c r="N418" s="34">
        <f t="shared" si="24"/>
        <v>-1.6368791215676446E-2</v>
      </c>
      <c r="O418" s="34"/>
      <c r="P418" s="7">
        <f t="shared" si="25"/>
        <v>-10597</v>
      </c>
      <c r="Q418" s="1004">
        <f t="shared" si="26"/>
        <v>-0.14438706688648781</v>
      </c>
      <c r="R418" s="6">
        <v>487</v>
      </c>
      <c r="S418" s="6">
        <v>493</v>
      </c>
      <c r="T418" s="6">
        <v>492</v>
      </c>
      <c r="U418" s="6">
        <v>494</v>
      </c>
      <c r="V418" s="6">
        <v>494</v>
      </c>
      <c r="W418" s="6">
        <v>482</v>
      </c>
      <c r="X418" s="6">
        <v>461</v>
      </c>
      <c r="Y418" s="6">
        <v>481</v>
      </c>
      <c r="Z418" s="6">
        <v>490</v>
      </c>
      <c r="AA418" s="6">
        <v>484</v>
      </c>
      <c r="AB418" s="6">
        <v>496</v>
      </c>
      <c r="AC418" s="6">
        <v>504</v>
      </c>
      <c r="AD418" s="6">
        <f t="shared" si="27"/>
        <v>-8</v>
      </c>
      <c r="AE418" s="6" t="s">
        <v>2901</v>
      </c>
    </row>
    <row r="419" spans="1:31">
      <c r="A419" s="33" t="str">
        <f>STAFFORDSHIRE!A30</f>
        <v>South Staffordshire CC</v>
      </c>
      <c r="B419" s="7">
        <f>STAFFORDSHIRE!D30</f>
        <v>73630</v>
      </c>
      <c r="C419" s="7">
        <f>STAFFORDSHIRE!E30</f>
        <v>74189</v>
      </c>
      <c r="D419" s="7">
        <f>STAFFORDSHIRE!F30</f>
        <v>74608</v>
      </c>
      <c r="E419" s="7">
        <f>STAFFORDSHIRE!G30</f>
        <v>74945</v>
      </c>
      <c r="F419" s="7">
        <f>STAFFORDSHIRE!H30</f>
        <v>74622</v>
      </c>
      <c r="G419" s="7">
        <f>STAFFORDSHIRE!I30</f>
        <v>71956</v>
      </c>
      <c r="H419" s="7">
        <f>STAFFORDSHIRE!J30</f>
        <v>72132</v>
      </c>
      <c r="I419" s="7">
        <f>STAFFORDSHIRE!K30</f>
        <v>73660</v>
      </c>
      <c r="J419" s="7">
        <f>STAFFORDSHIRE!L30</f>
        <v>73658</v>
      </c>
      <c r="K419" s="7">
        <f>STAFFORDSHIRE!M30</f>
        <v>73286</v>
      </c>
      <c r="L419" s="7">
        <f>STAFFORDSHIRE!N30</f>
        <v>73293</v>
      </c>
      <c r="M419" s="7">
        <f>STAFFORDSHIRE!O30</f>
        <v>73895</v>
      </c>
      <c r="N419" s="34">
        <f t="shared" si="24"/>
        <v>3.5990764633980713E-3</v>
      </c>
      <c r="O419" s="34"/>
      <c r="P419" s="7">
        <f t="shared" si="25"/>
        <v>502</v>
      </c>
      <c r="Q419" s="1004">
        <f t="shared" si="26"/>
        <v>6.8398893627457658E-3</v>
      </c>
      <c r="R419" s="6">
        <v>178</v>
      </c>
      <c r="S419" s="6">
        <v>182</v>
      </c>
      <c r="T419" s="6">
        <v>187</v>
      </c>
      <c r="U419" s="6">
        <v>185</v>
      </c>
      <c r="V419" s="6">
        <v>182</v>
      </c>
      <c r="W419" s="6">
        <v>234</v>
      </c>
      <c r="X419" s="6">
        <v>193</v>
      </c>
      <c r="Y419" s="6">
        <v>205</v>
      </c>
      <c r="Z419" s="6">
        <v>224</v>
      </c>
      <c r="AA419" s="6">
        <v>213</v>
      </c>
      <c r="AB419" s="6">
        <v>282</v>
      </c>
      <c r="AC419" s="6">
        <v>282</v>
      </c>
      <c r="AD419" s="6">
        <f t="shared" si="27"/>
        <v>0</v>
      </c>
      <c r="AE419" s="6" t="s">
        <v>15824</v>
      </c>
    </row>
    <row r="420" spans="1:31">
      <c r="A420" s="33" t="str">
        <f>SUFFOLK!A24</f>
        <v>South Suffolk CC</v>
      </c>
      <c r="B420" s="7">
        <f>SUFFOLK!D26</f>
        <v>72641</v>
      </c>
      <c r="C420" s="7">
        <f>SUFFOLK!E26</f>
        <v>72965</v>
      </c>
      <c r="D420" s="7">
        <f>SUFFOLK!F26</f>
        <v>73235</v>
      </c>
      <c r="E420" s="7">
        <f>SUFFOLK!G26</f>
        <v>73681</v>
      </c>
      <c r="F420" s="7">
        <f>SUFFOLK!H26</f>
        <v>73654</v>
      </c>
      <c r="G420" s="7">
        <f>SUFFOLK!I26</f>
        <v>72455</v>
      </c>
      <c r="H420" s="7">
        <f>SUFFOLK!J26</f>
        <v>71445</v>
      </c>
      <c r="I420" s="7">
        <f>SUFFOLK!K26</f>
        <v>74648</v>
      </c>
      <c r="J420" s="7">
        <f>SUFFOLK!L26</f>
        <v>75255</v>
      </c>
      <c r="K420" s="7">
        <f>SUFFOLK!M26</f>
        <v>74331</v>
      </c>
      <c r="L420" s="7">
        <f>SUFFOLK!N26</f>
        <v>76606</v>
      </c>
      <c r="M420" s="7">
        <f>SUFFOLK!O26</f>
        <v>74492</v>
      </c>
      <c r="N420" s="34">
        <f t="shared" si="24"/>
        <v>2.5481477402568797E-2</v>
      </c>
      <c r="O420" s="34"/>
      <c r="P420" s="7">
        <f t="shared" si="25"/>
        <v>1099</v>
      </c>
      <c r="Q420" s="1004">
        <f t="shared" si="26"/>
        <v>1.4974180098919515E-2</v>
      </c>
      <c r="R420" s="6">
        <v>215</v>
      </c>
      <c r="S420" s="6">
        <v>231</v>
      </c>
      <c r="T420" s="6">
        <v>234</v>
      </c>
      <c r="U420" s="6">
        <v>225</v>
      </c>
      <c r="V420" s="6">
        <v>224</v>
      </c>
      <c r="W420" s="6">
        <v>217</v>
      </c>
      <c r="X420" s="6">
        <v>217</v>
      </c>
      <c r="Y420" s="6">
        <v>173</v>
      </c>
      <c r="Z420" s="6">
        <v>172</v>
      </c>
      <c r="AA420" s="6">
        <v>180</v>
      </c>
      <c r="AB420" s="6">
        <v>196</v>
      </c>
      <c r="AC420" s="6">
        <v>256</v>
      </c>
      <c r="AD420" s="6">
        <f t="shared" si="27"/>
        <v>-60</v>
      </c>
      <c r="AE420" s="6" t="s">
        <v>15829</v>
      </c>
    </row>
    <row r="421" spans="1:31">
      <c r="A421" s="33" t="str">
        <f>SWINDON!A9</f>
        <v>South Swindon CC</v>
      </c>
      <c r="B421" s="7">
        <f>SWINDON!D9</f>
        <v>72803</v>
      </c>
      <c r="C421" s="7">
        <f>SWINDON!E9</f>
        <v>73449</v>
      </c>
      <c r="D421" s="7">
        <f>SWINDON!F9</f>
        <v>74244</v>
      </c>
      <c r="E421" s="7">
        <f>SWINDON!G9</f>
        <v>74861</v>
      </c>
      <c r="F421" s="7">
        <f>SWINDON!H9</f>
        <v>73832</v>
      </c>
      <c r="G421" s="7">
        <f>SWINDON!I9</f>
        <v>73010</v>
      </c>
      <c r="H421" s="7">
        <f>SWINDON!J9</f>
        <v>70428</v>
      </c>
      <c r="I421" s="7">
        <f>SWINDON!K9</f>
        <v>70936</v>
      </c>
      <c r="J421" s="7">
        <f>SWINDON!L9</f>
        <v>72223</v>
      </c>
      <c r="K421" s="7">
        <f>SWINDON!M9</f>
        <v>73666</v>
      </c>
      <c r="L421" s="7">
        <f>SWINDON!N9</f>
        <v>70850</v>
      </c>
      <c r="M421" s="7">
        <f>SWINDON!O9</f>
        <v>72994</v>
      </c>
      <c r="N421" s="34">
        <f t="shared" si="24"/>
        <v>2.6235182616100986E-3</v>
      </c>
      <c r="O421" s="34"/>
      <c r="P421" s="7">
        <f t="shared" si="25"/>
        <v>-399</v>
      </c>
      <c r="Q421" s="1004">
        <f t="shared" si="26"/>
        <v>-5.4364857683975309E-3</v>
      </c>
      <c r="R421" s="6">
        <v>208</v>
      </c>
      <c r="S421" s="6">
        <v>208</v>
      </c>
      <c r="T421" s="6">
        <v>192</v>
      </c>
      <c r="U421" s="6">
        <v>188</v>
      </c>
      <c r="V421" s="6">
        <v>214</v>
      </c>
      <c r="W421" s="6">
        <v>185</v>
      </c>
      <c r="X421" s="6">
        <v>253</v>
      </c>
      <c r="Y421" s="6">
        <v>296</v>
      </c>
      <c r="Z421" s="6">
        <v>269</v>
      </c>
      <c r="AA421" s="6">
        <v>197</v>
      </c>
      <c r="AB421" s="6">
        <v>357</v>
      </c>
      <c r="AC421" s="6">
        <v>319</v>
      </c>
      <c r="AD421" s="6">
        <f t="shared" si="27"/>
        <v>38</v>
      </c>
      <c r="AE421" s="6" t="s">
        <v>15830</v>
      </c>
    </row>
    <row r="422" spans="1:31">
      <c r="A422" s="33" t="str">
        <f>KENT!A64</f>
        <v>South Thanet CC</v>
      </c>
      <c r="B422" s="7">
        <f>KENT!D66</f>
        <v>70367</v>
      </c>
      <c r="C422" s="7">
        <f>KENT!E66</f>
        <v>67970</v>
      </c>
      <c r="D422" s="7">
        <f>KENT!F66</f>
        <v>67991</v>
      </c>
      <c r="E422" s="7">
        <f>KENT!G66</f>
        <v>69337</v>
      </c>
      <c r="F422" s="7">
        <f>KENT!H66</f>
        <v>71212</v>
      </c>
      <c r="G422" s="7">
        <f>KENT!I66</f>
        <v>68983</v>
      </c>
      <c r="H422" s="7">
        <f>KENT!J66</f>
        <v>70012</v>
      </c>
      <c r="I422" s="7">
        <f>KENT!K66</f>
        <v>70413</v>
      </c>
      <c r="J422" s="7">
        <f>KENT!L66</f>
        <v>70891</v>
      </c>
      <c r="K422" s="7">
        <f>KENT!M66</f>
        <v>70450</v>
      </c>
      <c r="L422" s="7">
        <f>KENT!N66</f>
        <v>73725</v>
      </c>
      <c r="M422" s="7">
        <f>KENT!O66</f>
        <v>72611</v>
      </c>
      <c r="N422" s="34">
        <f t="shared" si="24"/>
        <v>3.1889948413318742E-2</v>
      </c>
      <c r="O422" s="34"/>
      <c r="P422" s="7">
        <f t="shared" si="25"/>
        <v>-782</v>
      </c>
      <c r="Q422" s="1004">
        <f t="shared" si="26"/>
        <v>-1.0654967094954559E-2</v>
      </c>
      <c r="R422" s="6">
        <v>314</v>
      </c>
      <c r="S422" s="6">
        <v>395</v>
      </c>
      <c r="T422" s="6">
        <v>400</v>
      </c>
      <c r="U422" s="6">
        <v>376</v>
      </c>
      <c r="V422" s="6">
        <v>305</v>
      </c>
      <c r="W422" s="6">
        <v>332</v>
      </c>
      <c r="X422" s="6">
        <v>271</v>
      </c>
      <c r="Y422" s="6">
        <v>321</v>
      </c>
      <c r="Z422" s="6">
        <v>326</v>
      </c>
      <c r="AA422" s="6">
        <v>315</v>
      </c>
      <c r="AB422" s="6">
        <v>270</v>
      </c>
      <c r="AC422" s="6">
        <v>329</v>
      </c>
      <c r="AD422" s="6">
        <f t="shared" si="27"/>
        <v>-59</v>
      </c>
      <c r="AE422" s="6" t="s">
        <v>15823</v>
      </c>
    </row>
    <row r="423" spans="1:31">
      <c r="A423" s="33" t="str">
        <f>BEDFORDSHIRE!A29</f>
        <v>South West Bedfordshire CC</v>
      </c>
      <c r="B423" s="7">
        <f>BEDFORDSHIRE!D29</f>
        <v>76111</v>
      </c>
      <c r="C423" s="7">
        <f>BEDFORDSHIRE!E29</f>
        <v>76178</v>
      </c>
      <c r="D423" s="7">
        <f>BEDFORDSHIRE!F29</f>
        <v>77620</v>
      </c>
      <c r="E423" s="7">
        <f>BEDFORDSHIRE!G29</f>
        <v>78690</v>
      </c>
      <c r="F423" s="7">
        <f>BEDFORDSHIRE!H29</f>
        <v>79517</v>
      </c>
      <c r="G423" s="7">
        <f>BEDFORDSHIRE!I29</f>
        <v>78342</v>
      </c>
      <c r="H423" s="7">
        <f>BEDFORDSHIRE!J29</f>
        <v>76959</v>
      </c>
      <c r="I423" s="7">
        <f>BEDFORDSHIRE!K29</f>
        <v>78185</v>
      </c>
      <c r="J423" s="7">
        <f>BEDFORDSHIRE!L29</f>
        <v>79137</v>
      </c>
      <c r="K423" s="7">
        <f>BEDFORDSHIRE!M29</f>
        <v>78189</v>
      </c>
      <c r="L423" s="7">
        <f>BEDFORDSHIRE!N29</f>
        <v>79733</v>
      </c>
      <c r="M423" s="7">
        <f>BEDFORDSHIRE!O29</f>
        <v>80002</v>
      </c>
      <c r="N423" s="34">
        <f t="shared" si="24"/>
        <v>5.1122702368908569E-2</v>
      </c>
      <c r="O423" s="34"/>
      <c r="P423" s="7">
        <f t="shared" si="25"/>
        <v>6609</v>
      </c>
      <c r="Q423" s="1004">
        <f t="shared" si="26"/>
        <v>9.0049459757742562E-2</v>
      </c>
      <c r="R423" s="6">
        <v>122</v>
      </c>
      <c r="S423" s="6">
        <v>135</v>
      </c>
      <c r="T423" s="6">
        <v>105</v>
      </c>
      <c r="U423" s="6">
        <v>85</v>
      </c>
      <c r="V423" s="6">
        <v>68</v>
      </c>
      <c r="W423" s="6">
        <v>65</v>
      </c>
      <c r="X423" s="6">
        <v>79</v>
      </c>
      <c r="Y423" s="6">
        <v>103</v>
      </c>
      <c r="Z423" s="6">
        <v>92</v>
      </c>
      <c r="AA423" s="6">
        <v>106</v>
      </c>
      <c r="AB423" s="6">
        <v>121</v>
      </c>
      <c r="AC423" s="6">
        <v>130</v>
      </c>
      <c r="AD423" s="6">
        <f t="shared" si="27"/>
        <v>-9</v>
      </c>
      <c r="AE423" s="6" t="s">
        <v>15829</v>
      </c>
    </row>
    <row r="424" spans="1:31">
      <c r="A424" s="33" t="str">
        <f>DEVON!A43</f>
        <v>South West Devon CC</v>
      </c>
      <c r="B424" s="7">
        <f>DEVON!D45</f>
        <v>70414</v>
      </c>
      <c r="C424" s="7">
        <f>DEVON!E45</f>
        <v>70756</v>
      </c>
      <c r="D424" s="7">
        <f>DEVON!F45</f>
        <v>70730</v>
      </c>
      <c r="E424" s="7">
        <f>DEVON!G45</f>
        <v>70330</v>
      </c>
      <c r="F424" s="7">
        <f>DEVON!H45</f>
        <v>70230</v>
      </c>
      <c r="G424" s="7">
        <f>DEVON!I45</f>
        <v>69267</v>
      </c>
      <c r="H424" s="7">
        <f>DEVON!J45</f>
        <v>68665</v>
      </c>
      <c r="I424" s="7">
        <f>DEVON!K45</f>
        <v>70061</v>
      </c>
      <c r="J424" s="7">
        <f>DEVON!L45</f>
        <v>70039</v>
      </c>
      <c r="K424" s="7">
        <f>DEVON!M45</f>
        <v>69907</v>
      </c>
      <c r="L424" s="7">
        <f>DEVON!N45</f>
        <v>72654</v>
      </c>
      <c r="M424" s="7">
        <f>DEVON!O45</f>
        <v>72555</v>
      </c>
      <c r="N424" s="34">
        <f t="shared" si="24"/>
        <v>3.0405885193285426E-2</v>
      </c>
      <c r="O424" s="34"/>
      <c r="P424" s="7">
        <f t="shared" si="25"/>
        <v>-838</v>
      </c>
      <c r="Q424" s="1004">
        <f t="shared" si="26"/>
        <v>-1.1417982641396318E-2</v>
      </c>
      <c r="R424" s="6">
        <v>313</v>
      </c>
      <c r="S424" s="6">
        <v>317</v>
      </c>
      <c r="T424" s="6">
        <v>327</v>
      </c>
      <c r="U424" s="6">
        <v>342</v>
      </c>
      <c r="V424" s="6">
        <v>348</v>
      </c>
      <c r="W424" s="6">
        <v>322</v>
      </c>
      <c r="X424" s="6">
        <v>318</v>
      </c>
      <c r="Y424" s="6">
        <v>335</v>
      </c>
      <c r="Z424" s="6">
        <v>353</v>
      </c>
      <c r="AA424" s="6">
        <v>338</v>
      </c>
      <c r="AB424" s="6">
        <v>301</v>
      </c>
      <c r="AC424" s="6">
        <v>330</v>
      </c>
      <c r="AD424" s="6">
        <f t="shared" si="27"/>
        <v>-29</v>
      </c>
      <c r="AE424" s="6" t="s">
        <v>15830</v>
      </c>
    </row>
    <row r="425" spans="1:31">
      <c r="A425" s="33" t="str">
        <f>HERTFORDSHIRE!A37</f>
        <v>South West Hertfordshire CC</v>
      </c>
      <c r="B425" s="7">
        <f>HERTFORDSHIRE!D39</f>
        <v>78044</v>
      </c>
      <c r="C425" s="7">
        <f>HERTFORDSHIRE!E39</f>
        <v>78269</v>
      </c>
      <c r="D425" s="7">
        <f>HERTFORDSHIRE!F39</f>
        <v>78883</v>
      </c>
      <c r="E425" s="7">
        <f>HERTFORDSHIRE!G39</f>
        <v>79568</v>
      </c>
      <c r="F425" s="7">
        <f>HERTFORDSHIRE!H39</f>
        <v>79640</v>
      </c>
      <c r="G425" s="7">
        <f>HERTFORDSHIRE!I39</f>
        <v>78301</v>
      </c>
      <c r="H425" s="7">
        <f>HERTFORDSHIRE!J39</f>
        <v>78233</v>
      </c>
      <c r="I425" s="7">
        <f>HERTFORDSHIRE!K39</f>
        <v>79582</v>
      </c>
      <c r="J425" s="7">
        <f>HERTFORDSHIRE!L39</f>
        <v>79970</v>
      </c>
      <c r="K425" s="7">
        <f>HERTFORDSHIRE!M39</f>
        <v>78703</v>
      </c>
      <c r="L425" s="7">
        <f>HERTFORDSHIRE!N39</f>
        <v>79897</v>
      </c>
      <c r="M425" s="7">
        <f>HERTFORDSHIRE!O39</f>
        <v>80833</v>
      </c>
      <c r="N425" s="34">
        <f t="shared" si="24"/>
        <v>3.5736251345394904E-2</v>
      </c>
      <c r="O425" s="34"/>
      <c r="P425" s="7">
        <f t="shared" si="25"/>
        <v>7440</v>
      </c>
      <c r="Q425" s="1004">
        <f t="shared" si="26"/>
        <v>0.10137206545583366</v>
      </c>
      <c r="R425" s="6">
        <v>68</v>
      </c>
      <c r="S425" s="6">
        <v>76</v>
      </c>
      <c r="T425" s="6">
        <v>71</v>
      </c>
      <c r="U425" s="6">
        <v>64</v>
      </c>
      <c r="V425" s="6">
        <v>64</v>
      </c>
      <c r="W425" s="6">
        <v>66</v>
      </c>
      <c r="X425" s="6">
        <v>48</v>
      </c>
      <c r="Y425" s="6">
        <v>76</v>
      </c>
      <c r="Z425" s="6">
        <v>77</v>
      </c>
      <c r="AA425" s="6">
        <v>93</v>
      </c>
      <c r="AB425" s="6">
        <v>115</v>
      </c>
      <c r="AC425" s="6">
        <v>109</v>
      </c>
      <c r="AD425" s="6">
        <f t="shared" si="27"/>
        <v>6</v>
      </c>
      <c r="AE425" s="6" t="s">
        <v>15829</v>
      </c>
    </row>
    <row r="426" spans="1:31">
      <c r="A426" s="33" t="str">
        <f>NORFOLK!A39</f>
        <v>South West Norfolk CC</v>
      </c>
      <c r="B426" s="7">
        <f>NORFOLK!D41</f>
        <v>74186</v>
      </c>
      <c r="C426" s="7">
        <f>NORFOLK!E41</f>
        <v>75034</v>
      </c>
      <c r="D426" s="7">
        <f>NORFOLK!F41</f>
        <v>75935</v>
      </c>
      <c r="E426" s="7">
        <f>NORFOLK!G41</f>
        <v>77196</v>
      </c>
      <c r="F426" s="7">
        <f>NORFOLK!H41</f>
        <v>75185</v>
      </c>
      <c r="G426" s="7">
        <f>NORFOLK!I41</f>
        <v>75184</v>
      </c>
      <c r="H426" s="7">
        <f>NORFOLK!J41</f>
        <v>76225</v>
      </c>
      <c r="I426" s="7">
        <f>NORFOLK!K41</f>
        <v>77325</v>
      </c>
      <c r="J426" s="7">
        <f>NORFOLK!L41</f>
        <v>77453</v>
      </c>
      <c r="K426" s="7">
        <f>NORFOLK!M41</f>
        <v>75723</v>
      </c>
      <c r="L426" s="7">
        <f>NORFOLK!N41</f>
        <v>78889</v>
      </c>
      <c r="M426" s="7">
        <f>NORFOLK!O41</f>
        <v>77925</v>
      </c>
      <c r="N426" s="34">
        <f t="shared" si="24"/>
        <v>5.0400345078586255E-2</v>
      </c>
      <c r="O426" s="34"/>
      <c r="P426" s="7">
        <f t="shared" si="25"/>
        <v>4532</v>
      </c>
      <c r="Q426" s="1004">
        <f t="shared" si="26"/>
        <v>6.1749758151322331E-2</v>
      </c>
      <c r="R426" s="6">
        <v>169</v>
      </c>
      <c r="S426" s="6">
        <v>165</v>
      </c>
      <c r="T426" s="6">
        <v>158</v>
      </c>
      <c r="U426" s="6">
        <v>136</v>
      </c>
      <c r="V426" s="6">
        <v>169</v>
      </c>
      <c r="W426" s="6">
        <v>138</v>
      </c>
      <c r="X426" s="6">
        <v>92</v>
      </c>
      <c r="Y426" s="6">
        <v>123</v>
      </c>
      <c r="Z426" s="6">
        <v>133</v>
      </c>
      <c r="AA426" s="6">
        <v>156</v>
      </c>
      <c r="AB426" s="6">
        <v>139</v>
      </c>
      <c r="AC426" s="6">
        <v>174</v>
      </c>
      <c r="AD426" s="6">
        <f t="shared" si="27"/>
        <v>-35</v>
      </c>
      <c r="AE426" s="6" t="s">
        <v>15829</v>
      </c>
    </row>
    <row r="427" spans="1:31">
      <c r="A427" s="33" t="str">
        <f>SURREY!A44</f>
        <v>South West Surrey CC</v>
      </c>
      <c r="B427" s="7">
        <f>SURREY!D44</f>
        <v>76719</v>
      </c>
      <c r="C427" s="7">
        <f>SURREY!E44</f>
        <v>76495</v>
      </c>
      <c r="D427" s="7">
        <f>SURREY!F44</f>
        <v>77088</v>
      </c>
      <c r="E427" s="7">
        <f>SURREY!G44</f>
        <v>77711</v>
      </c>
      <c r="F427" s="7">
        <f>SURREY!H44</f>
        <v>78138</v>
      </c>
      <c r="G427" s="7">
        <f>SURREY!I44</f>
        <v>76226</v>
      </c>
      <c r="H427" s="7">
        <f>SURREY!J44</f>
        <v>74494</v>
      </c>
      <c r="I427" s="7">
        <f>SURREY!K44</f>
        <v>77351</v>
      </c>
      <c r="J427" s="7">
        <f>SURREY!L44</f>
        <v>77319</v>
      </c>
      <c r="K427" s="7">
        <f>SURREY!M44</f>
        <v>76346</v>
      </c>
      <c r="L427" s="7">
        <f>SURREY!N44</f>
        <v>77749</v>
      </c>
      <c r="M427" s="7">
        <f>SURREY!O44</f>
        <v>79297</v>
      </c>
      <c r="N427" s="34">
        <f t="shared" si="24"/>
        <v>3.360314915470744E-2</v>
      </c>
      <c r="O427" s="34"/>
      <c r="P427" s="7">
        <f t="shared" si="25"/>
        <v>5904</v>
      </c>
      <c r="Q427" s="1004">
        <f t="shared" si="26"/>
        <v>8.044363903914542E-2</v>
      </c>
      <c r="R427" s="6">
        <v>105</v>
      </c>
      <c r="S427" s="6">
        <v>127</v>
      </c>
      <c r="T427" s="6">
        <v>128</v>
      </c>
      <c r="U427" s="6">
        <v>121</v>
      </c>
      <c r="V427" s="6">
        <v>98</v>
      </c>
      <c r="W427" s="6">
        <v>114</v>
      </c>
      <c r="X427" s="6">
        <v>134</v>
      </c>
      <c r="Y427" s="6">
        <v>120</v>
      </c>
      <c r="Z427" s="6">
        <v>136</v>
      </c>
      <c r="AA427" s="6">
        <v>144</v>
      </c>
      <c r="AB427" s="6">
        <v>161</v>
      </c>
      <c r="AC427" s="6">
        <v>146</v>
      </c>
      <c r="AD427" s="6">
        <f t="shared" si="27"/>
        <v>15</v>
      </c>
      <c r="AE427" s="6" t="s">
        <v>15823</v>
      </c>
    </row>
    <row r="428" spans="1:31">
      <c r="A428" s="33" t="str">
        <f>WILTSHIRE!A15</f>
        <v>South West Wiltshire CC</v>
      </c>
      <c r="B428" s="7">
        <f>WILTSHIRE!D15</f>
        <v>71452</v>
      </c>
      <c r="C428" s="7">
        <f>WILTSHIRE!E15</f>
        <v>72820</v>
      </c>
      <c r="D428" s="7">
        <f>WILTSHIRE!F15</f>
        <v>72682</v>
      </c>
      <c r="E428" s="7">
        <f>WILTSHIRE!G15</f>
        <v>72798</v>
      </c>
      <c r="F428" s="7">
        <f>WILTSHIRE!H15</f>
        <v>72750</v>
      </c>
      <c r="G428" s="7">
        <f>WILTSHIRE!I15</f>
        <v>70765</v>
      </c>
      <c r="H428" s="7">
        <f>WILTSHIRE!J15</f>
        <v>71658</v>
      </c>
      <c r="I428" s="7">
        <f>WILTSHIRE!K15</f>
        <v>74745</v>
      </c>
      <c r="J428" s="7">
        <f>WILTSHIRE!L15</f>
        <v>75628</v>
      </c>
      <c r="K428" s="7">
        <f>WILTSHIRE!M15</f>
        <v>74892</v>
      </c>
      <c r="L428" s="7">
        <f>WILTSHIRE!N15</f>
        <v>78364</v>
      </c>
      <c r="M428" s="7">
        <f>WILTSHIRE!O15</f>
        <v>78207</v>
      </c>
      <c r="N428" s="34">
        <f t="shared" si="24"/>
        <v>9.4538991210882828E-2</v>
      </c>
      <c r="O428" s="34"/>
      <c r="P428" s="7">
        <f t="shared" si="25"/>
        <v>4814</v>
      </c>
      <c r="Q428" s="1004">
        <f t="shared" si="26"/>
        <v>6.5592086438761188E-2</v>
      </c>
      <c r="R428" s="6">
        <v>273</v>
      </c>
      <c r="S428" s="6">
        <v>237</v>
      </c>
      <c r="T428" s="6">
        <v>263</v>
      </c>
      <c r="U428" s="6">
        <v>273</v>
      </c>
      <c r="V428" s="6">
        <v>251</v>
      </c>
      <c r="W428" s="6">
        <v>271</v>
      </c>
      <c r="X428" s="6">
        <v>212</v>
      </c>
      <c r="Y428" s="6">
        <v>168</v>
      </c>
      <c r="Z428" s="6">
        <v>164</v>
      </c>
      <c r="AA428" s="6">
        <v>172</v>
      </c>
      <c r="AB428" s="6">
        <v>151</v>
      </c>
      <c r="AC428" s="6">
        <v>169</v>
      </c>
      <c r="AD428" s="6">
        <f t="shared" si="27"/>
        <v>-18</v>
      </c>
      <c r="AE428" s="6" t="s">
        <v>15830</v>
      </c>
    </row>
    <row r="429" spans="1:31">
      <c r="A429" s="33" t="str">
        <f>HAMPSHIRE!A62</f>
        <v>Southampton, Itchen BC</v>
      </c>
      <c r="B429" s="7">
        <f>HAMPSHIRE!D62</f>
        <v>74720</v>
      </c>
      <c r="C429" s="7">
        <f>HAMPSHIRE!E62</f>
        <v>74513</v>
      </c>
      <c r="D429" s="7">
        <f>HAMPSHIRE!F62</f>
        <v>73911</v>
      </c>
      <c r="E429" s="7">
        <f>HAMPSHIRE!G62</f>
        <v>73405</v>
      </c>
      <c r="F429" s="7">
        <f>HAMPSHIRE!H62</f>
        <v>74712</v>
      </c>
      <c r="G429" s="7">
        <f>HAMPSHIRE!I62</f>
        <v>70173</v>
      </c>
      <c r="H429" s="7">
        <f>HAMPSHIRE!J62</f>
        <v>67131</v>
      </c>
      <c r="I429" s="7">
        <f>HAMPSHIRE!K62</f>
        <v>68696</v>
      </c>
      <c r="J429" s="7">
        <f>HAMPSHIRE!L62</f>
        <v>69071</v>
      </c>
      <c r="K429" s="7">
        <f>HAMPSHIRE!M62</f>
        <v>68589</v>
      </c>
      <c r="L429" s="7">
        <f>HAMPSHIRE!N62</f>
        <v>72152</v>
      </c>
      <c r="M429" s="7">
        <f>HAMPSHIRE!O62</f>
        <v>72150</v>
      </c>
      <c r="N429" s="34">
        <f t="shared" si="24"/>
        <v>-3.4395074946466812E-2</v>
      </c>
      <c r="O429" s="34"/>
      <c r="P429" s="7">
        <f t="shared" si="25"/>
        <v>-1243</v>
      </c>
      <c r="Q429" s="1004">
        <f t="shared" si="26"/>
        <v>-1.6936220075484038E-2</v>
      </c>
      <c r="R429" s="6">
        <v>159</v>
      </c>
      <c r="S429" s="6">
        <v>176</v>
      </c>
      <c r="T429" s="6">
        <v>205</v>
      </c>
      <c r="U429" s="6">
        <v>239</v>
      </c>
      <c r="V429" s="6">
        <v>177</v>
      </c>
      <c r="W429" s="6">
        <v>285</v>
      </c>
      <c r="X429" s="6">
        <v>373</v>
      </c>
      <c r="Y429" s="6">
        <v>371</v>
      </c>
      <c r="Z429" s="6">
        <v>377</v>
      </c>
      <c r="AA429" s="6">
        <v>376</v>
      </c>
      <c r="AB429" s="6">
        <v>312</v>
      </c>
      <c r="AC429" s="6">
        <v>344</v>
      </c>
      <c r="AD429" s="6">
        <f t="shared" si="27"/>
        <v>-32</v>
      </c>
      <c r="AE429" s="6" t="s">
        <v>15823</v>
      </c>
    </row>
    <row r="430" spans="1:31">
      <c r="A430" s="33" t="str">
        <f>HAMPSHIRE!A64</f>
        <v>Southampton, Test BC</v>
      </c>
      <c r="B430" s="7">
        <f>HAMPSHIRE!D64</f>
        <v>71712</v>
      </c>
      <c r="C430" s="7">
        <f>HAMPSHIRE!E64</f>
        <v>71263</v>
      </c>
      <c r="D430" s="7">
        <f>HAMPSHIRE!F64</f>
        <v>70756</v>
      </c>
      <c r="E430" s="7">
        <f>HAMPSHIRE!G64</f>
        <v>69692</v>
      </c>
      <c r="F430" s="7">
        <f>HAMPSHIRE!H64</f>
        <v>70387</v>
      </c>
      <c r="G430" s="7">
        <f>HAMPSHIRE!I64</f>
        <v>66979</v>
      </c>
      <c r="H430" s="7">
        <f>HAMPSHIRE!J64</f>
        <v>64773</v>
      </c>
      <c r="I430" s="7">
        <f>HAMPSHIRE!K64</f>
        <v>65936</v>
      </c>
      <c r="J430" s="7">
        <f>HAMPSHIRE!L64</f>
        <v>66857</v>
      </c>
      <c r="K430" s="7">
        <f>HAMPSHIRE!M64</f>
        <v>65990</v>
      </c>
      <c r="L430" s="7">
        <f>HAMPSHIRE!N64</f>
        <v>70023</v>
      </c>
      <c r="M430" s="7">
        <f>HAMPSHIRE!O64</f>
        <v>69960</v>
      </c>
      <c r="N430" s="34">
        <f t="shared" si="24"/>
        <v>-2.4431057563587683E-2</v>
      </c>
      <c r="O430" s="34"/>
      <c r="P430" s="7">
        <f t="shared" si="25"/>
        <v>-3433</v>
      </c>
      <c r="Q430" s="1004">
        <f t="shared" si="26"/>
        <v>-4.6775578052402816E-2</v>
      </c>
      <c r="R430" s="6">
        <v>261</v>
      </c>
      <c r="S430" s="6">
        <v>304</v>
      </c>
      <c r="T430" s="6">
        <v>324</v>
      </c>
      <c r="U430" s="6">
        <v>367</v>
      </c>
      <c r="V430" s="6">
        <v>337</v>
      </c>
      <c r="W430" s="6">
        <v>395</v>
      </c>
      <c r="X430" s="6">
        <v>425</v>
      </c>
      <c r="Y430" s="6">
        <v>432</v>
      </c>
      <c r="Z430" s="6">
        <v>424</v>
      </c>
      <c r="AA430" s="6">
        <v>430</v>
      </c>
      <c r="AB430" s="6">
        <v>387</v>
      </c>
      <c r="AC430" s="6">
        <v>398</v>
      </c>
      <c r="AD430" s="6">
        <f t="shared" si="27"/>
        <v>-11</v>
      </c>
      <c r="AE430" s="6" t="s">
        <v>15823</v>
      </c>
    </row>
    <row r="431" spans="1:31">
      <c r="A431" s="33" t="str">
        <f>ESSEX!A73</f>
        <v>Southend West BC</v>
      </c>
      <c r="B431" s="7">
        <f>ESSEX!D73</f>
        <v>66965</v>
      </c>
      <c r="C431" s="7">
        <f>ESSEX!E73</f>
        <v>66780</v>
      </c>
      <c r="D431" s="7">
        <f>ESSEX!F73</f>
        <v>67200</v>
      </c>
      <c r="E431" s="7">
        <f>ESSEX!G73</f>
        <v>67654</v>
      </c>
      <c r="F431" s="7">
        <f>ESSEX!H73</f>
        <v>68010</v>
      </c>
      <c r="G431" s="7">
        <f>ESSEX!I73</f>
        <v>65569</v>
      </c>
      <c r="H431" s="7">
        <f>ESSEX!J73</f>
        <v>64952</v>
      </c>
      <c r="I431" s="7">
        <f>ESSEX!K73</f>
        <v>66305</v>
      </c>
      <c r="J431" s="7">
        <f>ESSEX!L73</f>
        <v>66480</v>
      </c>
      <c r="K431" s="7">
        <f>ESSEX!M73</f>
        <v>66469</v>
      </c>
      <c r="L431" s="7">
        <f>ESSEX!N73</f>
        <v>68619</v>
      </c>
      <c r="M431" s="7">
        <f>ESSEX!O73</f>
        <v>68778</v>
      </c>
      <c r="N431" s="34">
        <f t="shared" si="24"/>
        <v>2.7073844545658178E-2</v>
      </c>
      <c r="O431" s="34"/>
      <c r="P431" s="7">
        <f t="shared" si="25"/>
        <v>-4615</v>
      </c>
      <c r="Q431" s="1004">
        <f t="shared" si="26"/>
        <v>-6.2880656193369938E-2</v>
      </c>
      <c r="R431" s="6">
        <v>413</v>
      </c>
      <c r="S431" s="6">
        <v>425</v>
      </c>
      <c r="T431" s="6">
        <v>424</v>
      </c>
      <c r="U431" s="6">
        <v>420</v>
      </c>
      <c r="V431" s="6">
        <v>402</v>
      </c>
      <c r="W431" s="6">
        <v>422</v>
      </c>
      <c r="X431" s="6">
        <v>420</v>
      </c>
      <c r="Y431" s="6">
        <v>423</v>
      </c>
      <c r="Z431" s="6">
        <v>430</v>
      </c>
      <c r="AA431" s="6">
        <v>424</v>
      </c>
      <c r="AB431" s="6">
        <v>412</v>
      </c>
      <c r="AC431" s="6">
        <v>423</v>
      </c>
      <c r="AD431" s="6">
        <f t="shared" si="27"/>
        <v>-11</v>
      </c>
      <c r="AE431" s="6" t="s">
        <v>15829</v>
      </c>
    </row>
    <row r="432" spans="1:31">
      <c r="A432" s="33" t="str">
        <f>MERSEYSIDE!A39</f>
        <v>Southport BC</v>
      </c>
      <c r="B432" s="7">
        <f>MERSEYSIDE!D39</f>
        <v>67761</v>
      </c>
      <c r="C432" s="7">
        <f>MERSEYSIDE!E39</f>
        <v>67803</v>
      </c>
      <c r="D432" s="7">
        <f>MERSEYSIDE!F39</f>
        <v>67284</v>
      </c>
      <c r="E432" s="7">
        <f>MERSEYSIDE!G39</f>
        <v>66128</v>
      </c>
      <c r="F432" s="7">
        <f>MERSEYSIDE!H39</f>
        <v>66734</v>
      </c>
      <c r="G432" s="7">
        <f>MERSEYSIDE!I39</f>
        <v>65618</v>
      </c>
      <c r="H432" s="7">
        <f>MERSEYSIDE!J39</f>
        <v>65081</v>
      </c>
      <c r="I432" s="7">
        <f>MERSEYSIDE!K39</f>
        <v>68118</v>
      </c>
      <c r="J432" s="7">
        <f>MERSEYSIDE!L39</f>
        <v>69971</v>
      </c>
      <c r="K432" s="7">
        <f>MERSEYSIDE!M39</f>
        <v>69410</v>
      </c>
      <c r="L432" s="7">
        <f>MERSEYSIDE!N39</f>
        <v>71299</v>
      </c>
      <c r="M432" s="7">
        <f>MERSEYSIDE!O39</f>
        <v>71037</v>
      </c>
      <c r="N432" s="34">
        <f t="shared" si="24"/>
        <v>4.8346393943418782E-2</v>
      </c>
      <c r="O432" s="34"/>
      <c r="P432" s="7">
        <f t="shared" si="25"/>
        <v>-2356</v>
      </c>
      <c r="Q432" s="1004">
        <f t="shared" si="26"/>
        <v>-3.2101154061013992E-2</v>
      </c>
      <c r="R432" s="6">
        <v>388</v>
      </c>
      <c r="S432" s="6">
        <v>397</v>
      </c>
      <c r="T432" s="6">
        <v>422</v>
      </c>
      <c r="U432" s="6">
        <v>461</v>
      </c>
      <c r="V432" s="6">
        <v>436</v>
      </c>
      <c r="W432" s="6">
        <v>421</v>
      </c>
      <c r="X432" s="6">
        <v>416</v>
      </c>
      <c r="Y432" s="6">
        <v>386</v>
      </c>
      <c r="Z432" s="6">
        <v>356</v>
      </c>
      <c r="AA432" s="6">
        <v>349</v>
      </c>
      <c r="AB432" s="6">
        <v>338</v>
      </c>
      <c r="AC432" s="6">
        <v>370</v>
      </c>
      <c r="AD432" s="6">
        <f t="shared" si="27"/>
        <v>-32</v>
      </c>
      <c r="AE432" s="6" t="s">
        <v>15825</v>
      </c>
    </row>
    <row r="433" spans="1:31">
      <c r="A433" s="33" t="str">
        <f>SURREY!A46</f>
        <v>Spelthorne BC</v>
      </c>
      <c r="B433" s="7">
        <f>SURREY!D46</f>
        <v>70962</v>
      </c>
      <c r="C433" s="7">
        <f>SURREY!E46</f>
        <v>71211</v>
      </c>
      <c r="D433" s="7">
        <f>SURREY!F46</f>
        <v>72000</v>
      </c>
      <c r="E433" s="7">
        <f>SURREY!G46</f>
        <v>72547</v>
      </c>
      <c r="F433" s="7">
        <f>SURREY!H46</f>
        <v>72660</v>
      </c>
      <c r="G433" s="7">
        <f>SURREY!I46</f>
        <v>70607</v>
      </c>
      <c r="H433" s="7">
        <f>SURREY!J46</f>
        <v>70299</v>
      </c>
      <c r="I433" s="7">
        <f>SURREY!K46</f>
        <v>71962</v>
      </c>
      <c r="J433" s="7">
        <f>SURREY!L46</f>
        <v>72030</v>
      </c>
      <c r="K433" s="7">
        <f>SURREY!M46</f>
        <v>71341</v>
      </c>
      <c r="L433" s="7">
        <f>SURREY!N46</f>
        <v>71197</v>
      </c>
      <c r="M433" s="7">
        <f>SURREY!O46</f>
        <v>72897</v>
      </c>
      <c r="N433" s="34">
        <f t="shared" si="24"/>
        <v>2.726811532933119E-2</v>
      </c>
      <c r="O433" s="34"/>
      <c r="P433" s="7">
        <f t="shared" si="25"/>
        <v>-496</v>
      </c>
      <c r="Q433" s="1004">
        <f t="shared" si="26"/>
        <v>-6.7581376970555773E-3</v>
      </c>
      <c r="R433" s="6">
        <v>297</v>
      </c>
      <c r="S433" s="6">
        <v>306</v>
      </c>
      <c r="T433" s="6">
        <v>294</v>
      </c>
      <c r="U433" s="6">
        <v>285</v>
      </c>
      <c r="V433" s="6">
        <v>254</v>
      </c>
      <c r="W433" s="6">
        <v>273</v>
      </c>
      <c r="X433" s="6">
        <v>259</v>
      </c>
      <c r="Y433" s="6">
        <v>253</v>
      </c>
      <c r="Z433" s="6">
        <v>276</v>
      </c>
      <c r="AA433" s="6">
        <v>274</v>
      </c>
      <c r="AB433" s="6">
        <v>345</v>
      </c>
      <c r="AC433" s="6">
        <v>322</v>
      </c>
      <c r="AD433" s="6">
        <f t="shared" si="27"/>
        <v>23</v>
      </c>
      <c r="AE433" s="6" t="s">
        <v>15823</v>
      </c>
    </row>
    <row r="434" spans="1:31">
      <c r="A434" s="33" t="str">
        <f>HERTFORDSHIRE!A41</f>
        <v>St Albans CC</v>
      </c>
      <c r="B434" s="7">
        <f>HERTFORDSHIRE!D43</f>
        <v>69836</v>
      </c>
      <c r="C434" s="7">
        <f>HERTFORDSHIRE!E43</f>
        <v>70298</v>
      </c>
      <c r="D434" s="7">
        <f>HERTFORDSHIRE!F43</f>
        <v>70790</v>
      </c>
      <c r="E434" s="7">
        <f>HERTFORDSHIRE!G43</f>
        <v>71220</v>
      </c>
      <c r="F434" s="7">
        <f>HERTFORDSHIRE!H43</f>
        <v>71887</v>
      </c>
      <c r="G434" s="7">
        <f>HERTFORDSHIRE!I43</f>
        <v>71320</v>
      </c>
      <c r="H434" s="7">
        <f>HERTFORDSHIRE!J43</f>
        <v>70192</v>
      </c>
      <c r="I434" s="7">
        <f>HERTFORDSHIRE!K43</f>
        <v>71861</v>
      </c>
      <c r="J434" s="7">
        <f>HERTFORDSHIRE!L43</f>
        <v>71856</v>
      </c>
      <c r="K434" s="7">
        <f>HERTFORDSHIRE!M43</f>
        <v>71026</v>
      </c>
      <c r="L434" s="7">
        <f>HERTFORDSHIRE!N43</f>
        <v>73543</v>
      </c>
      <c r="M434" s="7">
        <f>HERTFORDSHIRE!O43</f>
        <v>74058</v>
      </c>
      <c r="N434" s="34">
        <f t="shared" si="24"/>
        <v>6.0455925310727993E-2</v>
      </c>
      <c r="O434" s="34"/>
      <c r="P434" s="7">
        <f t="shared" si="25"/>
        <v>665</v>
      </c>
      <c r="Q434" s="1004">
        <f t="shared" si="26"/>
        <v>9.0608096139958849E-3</v>
      </c>
      <c r="R434" s="6">
        <v>327</v>
      </c>
      <c r="S434" s="6">
        <v>331</v>
      </c>
      <c r="T434" s="6">
        <v>322</v>
      </c>
      <c r="U434" s="6">
        <v>321</v>
      </c>
      <c r="V434" s="6">
        <v>288</v>
      </c>
      <c r="W434" s="6">
        <v>256</v>
      </c>
      <c r="X434" s="6">
        <v>266</v>
      </c>
      <c r="Y434" s="6">
        <v>258</v>
      </c>
      <c r="Z434" s="6">
        <v>285</v>
      </c>
      <c r="AA434" s="6">
        <v>288</v>
      </c>
      <c r="AB434" s="6">
        <v>276</v>
      </c>
      <c r="AC434" s="6">
        <v>274</v>
      </c>
      <c r="AD434" s="6">
        <f t="shared" si="27"/>
        <v>2</v>
      </c>
      <c r="AE434" s="6" t="s">
        <v>15829</v>
      </c>
    </row>
    <row r="435" spans="1:31">
      <c r="A435" s="33" t="str">
        <f>CORNWALL!A16</f>
        <v>St Austell and Newquay CC</v>
      </c>
      <c r="B435" s="7">
        <f>CORNWALL!D16</f>
        <v>75721</v>
      </c>
      <c r="C435" s="7">
        <f>CORNWALL!E16</f>
        <v>75974</v>
      </c>
      <c r="D435" s="7">
        <f>CORNWALL!F16</f>
        <v>75311</v>
      </c>
      <c r="E435" s="7">
        <f>CORNWALL!G16</f>
        <v>75905</v>
      </c>
      <c r="F435" s="7">
        <f>CORNWALL!H16</f>
        <v>73808</v>
      </c>
      <c r="G435" s="7">
        <f>CORNWALL!I16</f>
        <v>75117</v>
      </c>
      <c r="H435" s="7">
        <f>CORNWALL!J16</f>
        <v>71674</v>
      </c>
      <c r="I435" s="7">
        <f>CORNWALL!K16</f>
        <v>74673</v>
      </c>
      <c r="J435" s="7">
        <f>CORNWALL!L16</f>
        <v>77338</v>
      </c>
      <c r="K435" s="7">
        <f>CORNWALL!M16</f>
        <v>77451</v>
      </c>
      <c r="L435" s="7">
        <f>CORNWALL!N16</f>
        <v>80561</v>
      </c>
      <c r="M435" s="7">
        <f>CORNWALL!O16</f>
        <v>80488</v>
      </c>
      <c r="N435" s="34">
        <f t="shared" si="24"/>
        <v>6.2954794574820727E-2</v>
      </c>
      <c r="O435" s="34"/>
      <c r="P435" s="7">
        <f t="shared" si="25"/>
        <v>7095</v>
      </c>
      <c r="Q435" s="1004">
        <f t="shared" si="26"/>
        <v>9.6671344678647825E-2</v>
      </c>
      <c r="R435" s="6">
        <v>134</v>
      </c>
      <c r="S435" s="6">
        <v>142</v>
      </c>
      <c r="T435" s="6">
        <v>172</v>
      </c>
      <c r="U435" s="6">
        <v>163</v>
      </c>
      <c r="V435" s="6">
        <v>215</v>
      </c>
      <c r="W435" s="6">
        <v>140</v>
      </c>
      <c r="X435" s="6">
        <v>210</v>
      </c>
      <c r="Y435" s="6">
        <v>172</v>
      </c>
      <c r="Z435" s="6">
        <v>135</v>
      </c>
      <c r="AA435" s="6">
        <v>125</v>
      </c>
      <c r="AB435" s="6">
        <v>101</v>
      </c>
      <c r="AC435" s="6">
        <v>118</v>
      </c>
      <c r="AD435" s="6">
        <f t="shared" si="27"/>
        <v>-17</v>
      </c>
      <c r="AE435" s="6" t="s">
        <v>15830</v>
      </c>
    </row>
    <row r="436" spans="1:31">
      <c r="A436" s="33" t="str">
        <f>MERSEYSIDE!A31</f>
        <v>St Helens North BC</v>
      </c>
      <c r="B436" s="7">
        <f>MERSEYSIDE!D31</f>
        <v>75866</v>
      </c>
      <c r="C436" s="7">
        <f>MERSEYSIDE!E31</f>
        <v>75688</v>
      </c>
      <c r="D436" s="7">
        <f>MERSEYSIDE!F31</f>
        <v>76035</v>
      </c>
      <c r="E436" s="7">
        <f>MERSEYSIDE!G31</f>
        <v>76220</v>
      </c>
      <c r="F436" s="7">
        <f>MERSEYSIDE!H31</f>
        <v>74689</v>
      </c>
      <c r="G436" s="7">
        <f>MERSEYSIDE!I31</f>
        <v>74074</v>
      </c>
      <c r="H436" s="7">
        <f>MERSEYSIDE!J31</f>
        <v>72060</v>
      </c>
      <c r="I436" s="7">
        <f>MERSEYSIDE!K31</f>
        <v>73902</v>
      </c>
      <c r="J436" s="7">
        <f>MERSEYSIDE!L31</f>
        <v>75205</v>
      </c>
      <c r="K436" s="7">
        <f>MERSEYSIDE!M31</f>
        <v>74715</v>
      </c>
      <c r="L436" s="7">
        <f>MERSEYSIDE!N31</f>
        <v>76090</v>
      </c>
      <c r="M436" s="7">
        <f>MERSEYSIDE!O31</f>
        <v>76082</v>
      </c>
      <c r="N436" s="34">
        <f t="shared" si="24"/>
        <v>2.8471251944217437E-3</v>
      </c>
      <c r="O436" s="34"/>
      <c r="P436" s="7">
        <f t="shared" si="25"/>
        <v>2689</v>
      </c>
      <c r="Q436" s="1004">
        <f t="shared" si="26"/>
        <v>3.663837150681945E-2</v>
      </c>
      <c r="R436" s="6">
        <v>131</v>
      </c>
      <c r="S436" s="6">
        <v>147</v>
      </c>
      <c r="T436" s="6">
        <v>153</v>
      </c>
      <c r="U436" s="6">
        <v>154</v>
      </c>
      <c r="V436" s="6">
        <v>178</v>
      </c>
      <c r="W436" s="6">
        <v>159</v>
      </c>
      <c r="X436" s="6">
        <v>194</v>
      </c>
      <c r="Y436" s="6">
        <v>196</v>
      </c>
      <c r="Z436" s="6">
        <v>173</v>
      </c>
      <c r="AA436" s="6">
        <v>173</v>
      </c>
      <c r="AB436" s="6">
        <v>204</v>
      </c>
      <c r="AC436" s="6">
        <v>215</v>
      </c>
      <c r="AD436" s="6">
        <f t="shared" si="27"/>
        <v>-11</v>
      </c>
      <c r="AE436" s="6" t="s">
        <v>15825</v>
      </c>
    </row>
    <row r="437" spans="1:31">
      <c r="A437" s="33" t="str">
        <f>MERSEYSIDE!A33</f>
        <v>St Helens South and Whiston BC</v>
      </c>
      <c r="B437" s="7">
        <f>MERSEYSIDE!D35</f>
        <v>78705</v>
      </c>
      <c r="C437" s="7">
        <f>MERSEYSIDE!E35</f>
        <v>78612</v>
      </c>
      <c r="D437" s="7">
        <f>MERSEYSIDE!F35</f>
        <v>78613</v>
      </c>
      <c r="E437" s="7">
        <f>MERSEYSIDE!G35</f>
        <v>79142</v>
      </c>
      <c r="F437" s="7">
        <f>MERSEYSIDE!H35</f>
        <v>77397</v>
      </c>
      <c r="G437" s="7">
        <f>MERSEYSIDE!I35</f>
        <v>76626</v>
      </c>
      <c r="H437" s="7">
        <f>MERSEYSIDE!J35</f>
        <v>74885</v>
      </c>
      <c r="I437" s="7">
        <f>MERSEYSIDE!K35</f>
        <v>76918</v>
      </c>
      <c r="J437" s="7">
        <f>MERSEYSIDE!L35</f>
        <v>78271</v>
      </c>
      <c r="K437" s="7">
        <f>MERSEYSIDE!M35</f>
        <v>77837</v>
      </c>
      <c r="L437" s="7">
        <f>MERSEYSIDE!N35</f>
        <v>79590</v>
      </c>
      <c r="M437" s="7">
        <f>MERSEYSIDE!O35</f>
        <v>79543</v>
      </c>
      <c r="N437" s="34">
        <f t="shared" si="24"/>
        <v>1.0647354043580458E-2</v>
      </c>
      <c r="O437" s="34"/>
      <c r="P437" s="7">
        <f t="shared" si="25"/>
        <v>6150</v>
      </c>
      <c r="Q437" s="1004">
        <f t="shared" si="26"/>
        <v>8.3795457332443146E-2</v>
      </c>
      <c r="R437" s="6">
        <v>48</v>
      </c>
      <c r="S437" s="6">
        <v>66</v>
      </c>
      <c r="T437" s="6">
        <v>75</v>
      </c>
      <c r="U437" s="6">
        <v>75</v>
      </c>
      <c r="V437" s="6">
        <v>118</v>
      </c>
      <c r="W437" s="6">
        <v>106</v>
      </c>
      <c r="X437" s="6">
        <v>123</v>
      </c>
      <c r="Y437" s="6">
        <v>130</v>
      </c>
      <c r="Z437" s="6">
        <v>117</v>
      </c>
      <c r="AA437" s="6">
        <v>119</v>
      </c>
      <c r="AB437" s="6">
        <v>126</v>
      </c>
      <c r="AC437" s="6">
        <v>140</v>
      </c>
      <c r="AD437" s="6">
        <f t="shared" si="27"/>
        <v>-14</v>
      </c>
      <c r="AE437" s="6" t="s">
        <v>15825</v>
      </c>
    </row>
    <row r="438" spans="1:31">
      <c r="A438" s="33" t="str">
        <f>CORNWALL!A18</f>
        <v>St Ives CC</v>
      </c>
      <c r="B438" s="7">
        <f>CORNWALL!D20</f>
        <v>66430</v>
      </c>
      <c r="C438" s="7">
        <f>CORNWALL!E20</f>
        <v>66696</v>
      </c>
      <c r="D438" s="7">
        <f>CORNWALL!F20</f>
        <v>66843</v>
      </c>
      <c r="E438" s="7">
        <f>CORNWALL!G20</f>
        <v>67534</v>
      </c>
      <c r="F438" s="7">
        <f>CORNWALL!H20</f>
        <v>65736</v>
      </c>
      <c r="G438" s="7">
        <f>CORNWALL!I20</f>
        <v>66330</v>
      </c>
      <c r="H438" s="7">
        <f>CORNWALL!J20</f>
        <v>62711</v>
      </c>
      <c r="I438" s="7">
        <f>CORNWALL!K20</f>
        <v>64435</v>
      </c>
      <c r="J438" s="7">
        <f>CORNWALL!L20</f>
        <v>65966</v>
      </c>
      <c r="K438" s="7">
        <f>CORNWALL!M20</f>
        <v>65291</v>
      </c>
      <c r="L438" s="7">
        <f>CORNWALL!N20</f>
        <v>67565</v>
      </c>
      <c r="M438" s="7">
        <f>CORNWALL!O20</f>
        <v>67545</v>
      </c>
      <c r="N438" s="34">
        <f t="shared" si="24"/>
        <v>1.6784585277735964E-2</v>
      </c>
      <c r="O438" s="34"/>
      <c r="P438" s="7">
        <f t="shared" si="25"/>
        <v>-5848</v>
      </c>
      <c r="Q438" s="1004">
        <f t="shared" si="26"/>
        <v>-7.9680623492703662E-2</v>
      </c>
      <c r="R438" s="6">
        <v>426</v>
      </c>
      <c r="S438" s="6">
        <v>432</v>
      </c>
      <c r="T438" s="6">
        <v>439</v>
      </c>
      <c r="U438" s="6">
        <v>425</v>
      </c>
      <c r="V438" s="6">
        <v>453</v>
      </c>
      <c r="W438" s="6">
        <v>412</v>
      </c>
      <c r="X438" s="6">
        <v>470</v>
      </c>
      <c r="Y438" s="6">
        <v>465</v>
      </c>
      <c r="Z438" s="6">
        <v>441</v>
      </c>
      <c r="AA438" s="6">
        <v>446</v>
      </c>
      <c r="AB438" s="6">
        <v>430</v>
      </c>
      <c r="AC438" s="6">
        <v>445</v>
      </c>
      <c r="AD438" s="6">
        <f t="shared" si="27"/>
        <v>-15</v>
      </c>
      <c r="AE438" s="6" t="s">
        <v>15830</v>
      </c>
    </row>
    <row r="439" spans="1:31">
      <c r="A439" s="33" t="str">
        <f>STAFFORDSHIRE!A32</f>
        <v>Stafford CC</v>
      </c>
      <c r="B439" s="7">
        <f>STAFFORDSHIRE!D34</f>
        <v>70512</v>
      </c>
      <c r="C439" s="7">
        <f>STAFFORDSHIRE!E34</f>
        <v>69832</v>
      </c>
      <c r="D439" s="7">
        <f>STAFFORDSHIRE!F34</f>
        <v>69749</v>
      </c>
      <c r="E439" s="7">
        <f>STAFFORDSHIRE!G34</f>
        <v>69897</v>
      </c>
      <c r="F439" s="7">
        <f>STAFFORDSHIRE!H34</f>
        <v>68415</v>
      </c>
      <c r="G439" s="7">
        <f>STAFFORDSHIRE!I34</f>
        <v>67372</v>
      </c>
      <c r="H439" s="7">
        <f>STAFFORDSHIRE!J34</f>
        <v>67805</v>
      </c>
      <c r="I439" s="7">
        <f>STAFFORDSHIRE!K34</f>
        <v>70015</v>
      </c>
      <c r="J439" s="7">
        <f>STAFFORDSHIRE!L34</f>
        <v>70533</v>
      </c>
      <c r="K439" s="7">
        <f>STAFFORDSHIRE!M34</f>
        <v>70848</v>
      </c>
      <c r="L439" s="7">
        <f>STAFFORDSHIRE!N34</f>
        <v>71149</v>
      </c>
      <c r="M439" s="7">
        <f>STAFFORDSHIRE!O34</f>
        <v>73608</v>
      </c>
      <c r="N439" s="34">
        <f t="shared" si="24"/>
        <v>4.3907420013614702E-2</v>
      </c>
      <c r="O439" s="34"/>
      <c r="P439" s="7">
        <f t="shared" si="25"/>
        <v>215</v>
      </c>
      <c r="Q439" s="1004">
        <f t="shared" si="26"/>
        <v>2.9294346872317523E-3</v>
      </c>
      <c r="R439" s="6">
        <v>309</v>
      </c>
      <c r="S439" s="6">
        <v>344</v>
      </c>
      <c r="T439" s="6">
        <v>358</v>
      </c>
      <c r="U439" s="6">
        <v>360</v>
      </c>
      <c r="V439" s="6">
        <v>388</v>
      </c>
      <c r="W439" s="6">
        <v>383</v>
      </c>
      <c r="X439" s="6">
        <v>343</v>
      </c>
      <c r="Y439" s="6">
        <v>337</v>
      </c>
      <c r="Z439" s="6">
        <v>340</v>
      </c>
      <c r="AA439" s="6">
        <v>293</v>
      </c>
      <c r="AB439" s="6">
        <v>347</v>
      </c>
      <c r="AC439" s="6">
        <v>294</v>
      </c>
      <c r="AD439" s="6">
        <f t="shared" si="27"/>
        <v>53</v>
      </c>
      <c r="AE439" s="6" t="s">
        <v>15824</v>
      </c>
    </row>
    <row r="440" spans="1:31">
      <c r="A440" s="6" t="str">
        <f>STAFFORDSHIRE!A36</f>
        <v>Staffordshire Moorlands CC</v>
      </c>
      <c r="B440" s="7">
        <f>STAFFORDSHIRE!D38</f>
        <v>62377</v>
      </c>
      <c r="C440" s="7">
        <f>STAFFORDSHIRE!E38</f>
        <v>62457</v>
      </c>
      <c r="D440" s="7">
        <f>STAFFORDSHIRE!F38</f>
        <v>62397</v>
      </c>
      <c r="E440" s="7">
        <f>STAFFORDSHIRE!G38</f>
        <v>62540</v>
      </c>
      <c r="F440" s="7">
        <f>STAFFORDSHIRE!H38</f>
        <v>62412</v>
      </c>
      <c r="G440" s="7">
        <f>STAFFORDSHIRE!I38</f>
        <v>62416</v>
      </c>
      <c r="H440" s="7">
        <f>STAFFORDSHIRE!J38</f>
        <v>62337</v>
      </c>
      <c r="I440" s="7">
        <f>STAFFORDSHIRE!K38</f>
        <v>62530</v>
      </c>
      <c r="J440" s="7">
        <f>STAFFORDSHIRE!L38</f>
        <v>62401</v>
      </c>
      <c r="K440" s="7">
        <f>STAFFORDSHIRE!M38</f>
        <v>62917</v>
      </c>
      <c r="L440" s="7">
        <f>STAFFORDSHIRE!N38</f>
        <v>63449</v>
      </c>
      <c r="M440" s="7">
        <f>STAFFORDSHIRE!O38</f>
        <v>63156</v>
      </c>
      <c r="N440" s="34">
        <f t="shared" si="24"/>
        <v>1.2488577520560463E-2</v>
      </c>
      <c r="O440" s="34"/>
      <c r="P440" s="7">
        <f t="shared" si="25"/>
        <v>-10237</v>
      </c>
      <c r="Q440" s="1004">
        <f t="shared" si="26"/>
        <v>-0.1394819669450765</v>
      </c>
      <c r="R440" s="6">
        <v>510</v>
      </c>
      <c r="S440" s="6">
        <v>509</v>
      </c>
      <c r="T440" s="6">
        <v>509</v>
      </c>
      <c r="U440" s="6">
        <v>509</v>
      </c>
      <c r="V440" s="6">
        <v>500</v>
      </c>
      <c r="W440" s="6">
        <v>486</v>
      </c>
      <c r="X440" s="6">
        <v>477</v>
      </c>
      <c r="Y440" s="6">
        <v>491</v>
      </c>
      <c r="Z440" s="6">
        <v>496</v>
      </c>
      <c r="AA440" s="6">
        <v>480</v>
      </c>
      <c r="AB440" s="6">
        <v>494</v>
      </c>
      <c r="AC440" s="6">
        <v>501</v>
      </c>
      <c r="AD440" s="6">
        <f t="shared" si="27"/>
        <v>-7</v>
      </c>
      <c r="AE440" s="6" t="s">
        <v>15824</v>
      </c>
    </row>
    <row r="441" spans="1:31">
      <c r="A441" s="33" t="str">
        <f>'GREATER MANCHESTER'!A69</f>
        <v>Stalybridge and Hyde CC</v>
      </c>
      <c r="B441" s="7">
        <f>'GREATER MANCHESTER'!D69</f>
        <v>69058</v>
      </c>
      <c r="C441" s="7">
        <f>'GREATER MANCHESTER'!E69</f>
        <v>70691</v>
      </c>
      <c r="D441" s="7">
        <f>'GREATER MANCHESTER'!F69</f>
        <v>70003</v>
      </c>
      <c r="E441" s="7">
        <f>'GREATER MANCHESTER'!G69</f>
        <v>70034</v>
      </c>
      <c r="F441" s="7">
        <f>'GREATER MANCHESTER'!H69</f>
        <v>71513</v>
      </c>
      <c r="G441" s="7">
        <f>'GREATER MANCHESTER'!I69</f>
        <v>70181</v>
      </c>
      <c r="H441" s="7">
        <f>'GREATER MANCHESTER'!J69</f>
        <v>69177</v>
      </c>
      <c r="I441" s="7">
        <f>'GREATER MANCHESTER'!K69</f>
        <v>70800</v>
      </c>
      <c r="J441" s="7">
        <f>'GREATER MANCHESTER'!L69</f>
        <v>71432</v>
      </c>
      <c r="K441" s="7">
        <f>'GREATER MANCHESTER'!M69</f>
        <v>71578</v>
      </c>
      <c r="L441" s="7">
        <f>'GREATER MANCHESTER'!N69</f>
        <v>73129</v>
      </c>
      <c r="M441" s="7">
        <f>'GREATER MANCHESTER'!O69</f>
        <v>73028</v>
      </c>
      <c r="N441" s="34">
        <f t="shared" si="24"/>
        <v>5.748790871441397E-2</v>
      </c>
      <c r="O441" s="34"/>
      <c r="P441" s="7">
        <f t="shared" si="25"/>
        <v>-365</v>
      </c>
      <c r="Q441" s="1004">
        <f t="shared" si="26"/>
        <v>-4.9732263294864631E-3</v>
      </c>
      <c r="R441" s="6">
        <v>348</v>
      </c>
      <c r="S441" s="6">
        <v>319</v>
      </c>
      <c r="T441" s="6">
        <v>344</v>
      </c>
      <c r="U441" s="6">
        <v>352</v>
      </c>
      <c r="V441" s="6">
        <v>301</v>
      </c>
      <c r="W441" s="6">
        <v>284</v>
      </c>
      <c r="X441" s="6">
        <v>304</v>
      </c>
      <c r="Y441" s="6">
        <v>303</v>
      </c>
      <c r="Z441" s="6">
        <v>301</v>
      </c>
      <c r="AA441" s="6">
        <v>268</v>
      </c>
      <c r="AB441" s="6">
        <v>285</v>
      </c>
      <c r="AC441" s="6">
        <v>316</v>
      </c>
      <c r="AD441" s="6">
        <f t="shared" si="27"/>
        <v>-31</v>
      </c>
      <c r="AE441" s="6" t="s">
        <v>15825</v>
      </c>
    </row>
    <row r="442" spans="1:31">
      <c r="A442" s="33" t="str">
        <f>HERTFORDSHIRE!A45</f>
        <v>Stevenage CC</v>
      </c>
      <c r="B442" s="7">
        <f>HERTFORDSHIRE!D48</f>
        <v>67948</v>
      </c>
      <c r="C442" s="7">
        <f>HERTFORDSHIRE!E48</f>
        <v>69357</v>
      </c>
      <c r="D442" s="7">
        <f>HERTFORDSHIRE!F48</f>
        <v>70113</v>
      </c>
      <c r="E442" s="7">
        <f>HERTFORDSHIRE!G48</f>
        <v>71001</v>
      </c>
      <c r="F442" s="7">
        <f>HERTFORDSHIRE!H48</f>
        <v>70378</v>
      </c>
      <c r="G442" s="7">
        <f>HERTFORDSHIRE!I48</f>
        <v>69706</v>
      </c>
      <c r="H442" s="7">
        <f>HERTFORDSHIRE!J48</f>
        <v>67520</v>
      </c>
      <c r="I442" s="7">
        <f>HERTFORDSHIRE!K48</f>
        <v>69518</v>
      </c>
      <c r="J442" s="7">
        <f>HERTFORDSHIRE!L48</f>
        <v>69729</v>
      </c>
      <c r="K442" s="7">
        <f>HERTFORDSHIRE!M48</f>
        <v>68994</v>
      </c>
      <c r="L442" s="7">
        <f>HERTFORDSHIRE!N48</f>
        <v>70595</v>
      </c>
      <c r="M442" s="7">
        <f>HERTFORDSHIRE!O48</f>
        <v>70370</v>
      </c>
      <c r="N442" s="34">
        <f t="shared" si="24"/>
        <v>3.5644904927297348E-2</v>
      </c>
      <c r="O442" s="34"/>
      <c r="P442" s="7">
        <f t="shared" si="25"/>
        <v>-3023</v>
      </c>
      <c r="Q442" s="1004">
        <f t="shared" si="26"/>
        <v>-4.118921423023994E-2</v>
      </c>
      <c r="R442" s="6">
        <v>382</v>
      </c>
      <c r="S442" s="6">
        <v>355</v>
      </c>
      <c r="T442" s="6">
        <v>343</v>
      </c>
      <c r="U442" s="6">
        <v>324</v>
      </c>
      <c r="V442" s="6">
        <v>340</v>
      </c>
      <c r="W442" s="6">
        <v>305</v>
      </c>
      <c r="X442" s="6">
        <v>360</v>
      </c>
      <c r="Y442" s="6">
        <v>351</v>
      </c>
      <c r="Z442" s="6">
        <v>365</v>
      </c>
      <c r="AA442" s="6">
        <v>359</v>
      </c>
      <c r="AB442" s="6">
        <v>363</v>
      </c>
      <c r="AC442" s="6">
        <v>386</v>
      </c>
      <c r="AD442" s="6">
        <f t="shared" si="27"/>
        <v>-23</v>
      </c>
      <c r="AE442" s="6" t="s">
        <v>15829</v>
      </c>
    </row>
    <row r="443" spans="1:31">
      <c r="A443" s="33" t="str">
        <f>'GREATER MANCHESTER'!A71</f>
        <v>Stockport BC</v>
      </c>
      <c r="B443" s="7">
        <f>'GREATER MANCHESTER'!D71</f>
        <v>62950</v>
      </c>
      <c r="C443" s="7">
        <f>'GREATER MANCHESTER'!E71</f>
        <v>62764</v>
      </c>
      <c r="D443" s="7">
        <f>'GREATER MANCHESTER'!F71</f>
        <v>63788</v>
      </c>
      <c r="E443" s="7">
        <f>'GREATER MANCHESTER'!G71</f>
        <v>64310</v>
      </c>
      <c r="F443" s="7">
        <f>'GREATER MANCHESTER'!H71</f>
        <v>63699</v>
      </c>
      <c r="G443" s="7">
        <f>'GREATER MANCHESTER'!I71</f>
        <v>63648</v>
      </c>
      <c r="H443" s="7">
        <f>'GREATER MANCHESTER'!J71</f>
        <v>60664</v>
      </c>
      <c r="I443" s="7">
        <f>'GREATER MANCHESTER'!K71</f>
        <v>62255</v>
      </c>
      <c r="J443" s="7">
        <f>'GREATER MANCHESTER'!L71</f>
        <v>62906</v>
      </c>
      <c r="K443" s="7">
        <f>'GREATER MANCHESTER'!M71</f>
        <v>62688</v>
      </c>
      <c r="L443" s="7">
        <f>'GREATER MANCHESTER'!N71</f>
        <v>65772</v>
      </c>
      <c r="M443" s="7">
        <f>'GREATER MANCHESTER'!O71</f>
        <v>64239</v>
      </c>
      <c r="N443" s="34">
        <f t="shared" si="24"/>
        <v>2.0476568705321684E-2</v>
      </c>
      <c r="O443" s="34"/>
      <c r="P443" s="7">
        <f t="shared" si="25"/>
        <v>-9154</v>
      </c>
      <c r="Q443" s="1004">
        <f t="shared" si="26"/>
        <v>-0.12472579128799749</v>
      </c>
      <c r="R443" s="6">
        <v>505</v>
      </c>
      <c r="S443" s="6">
        <v>507</v>
      </c>
      <c r="T443" s="6">
        <v>495</v>
      </c>
      <c r="U443" s="6">
        <v>493</v>
      </c>
      <c r="V443" s="6">
        <v>486</v>
      </c>
      <c r="W443" s="6">
        <v>472</v>
      </c>
      <c r="X443" s="6">
        <v>498</v>
      </c>
      <c r="Y443" s="6">
        <v>495</v>
      </c>
      <c r="Z443" s="6">
        <v>491</v>
      </c>
      <c r="AA443" s="6">
        <v>483</v>
      </c>
      <c r="AB443" s="6">
        <v>462</v>
      </c>
      <c r="AC443" s="6">
        <v>493</v>
      </c>
      <c r="AD443" s="6">
        <f t="shared" si="27"/>
        <v>-31</v>
      </c>
      <c r="AE443" s="6" t="s">
        <v>15825</v>
      </c>
    </row>
    <row r="444" spans="1:31">
      <c r="A444" s="33" t="str">
        <f>STOCKTON!A7</f>
        <v>Stockton North BC</v>
      </c>
      <c r="B444" s="7">
        <f>STOCKTON!D7</f>
        <v>66990</v>
      </c>
      <c r="C444" s="7">
        <f>STOCKTON!E7</f>
        <v>67333</v>
      </c>
      <c r="D444" s="7">
        <f>STOCKTON!F7</f>
        <v>67600</v>
      </c>
      <c r="E444" s="7">
        <f>STOCKTON!G7</f>
        <v>67650</v>
      </c>
      <c r="F444" s="7">
        <f>STOCKTON!H7</f>
        <v>67408</v>
      </c>
      <c r="G444" s="7">
        <f>STOCKTON!I7</f>
        <v>64885</v>
      </c>
      <c r="H444" s="7">
        <f>STOCKTON!J7</f>
        <v>64617</v>
      </c>
      <c r="I444" s="7">
        <f>STOCKTON!K7</f>
        <v>65594</v>
      </c>
      <c r="J444" s="7">
        <f>STOCKTON!L7</f>
        <v>65023</v>
      </c>
      <c r="K444" s="7">
        <f>STOCKTON!M7</f>
        <v>64326</v>
      </c>
      <c r="L444" s="7">
        <f>STOCKTON!N7</f>
        <v>65964</v>
      </c>
      <c r="M444" s="7">
        <f>STOCKTON!O7</f>
        <v>66780</v>
      </c>
      <c r="N444" s="34">
        <f t="shared" si="24"/>
        <v>-3.134796238244514E-3</v>
      </c>
      <c r="O444" s="34"/>
      <c r="P444" s="7">
        <f t="shared" si="25"/>
        <v>-6613</v>
      </c>
      <c r="Q444" s="1004">
        <f t="shared" si="26"/>
        <v>-9.0103960868202687E-2</v>
      </c>
      <c r="R444" s="6">
        <v>410</v>
      </c>
      <c r="S444" s="6">
        <v>412</v>
      </c>
      <c r="T444" s="6">
        <v>414</v>
      </c>
      <c r="U444" s="6">
        <v>421</v>
      </c>
      <c r="V444" s="6">
        <v>415</v>
      </c>
      <c r="W444" s="6">
        <v>445</v>
      </c>
      <c r="X444" s="6">
        <v>428</v>
      </c>
      <c r="Y444" s="6">
        <v>437</v>
      </c>
      <c r="Z444" s="6">
        <v>461</v>
      </c>
      <c r="AA444" s="6">
        <v>463</v>
      </c>
      <c r="AB444" s="6">
        <v>459</v>
      </c>
      <c r="AC444" s="6">
        <v>456</v>
      </c>
      <c r="AD444" s="6">
        <f t="shared" si="27"/>
        <v>3</v>
      </c>
      <c r="AE444" s="6" t="s">
        <v>2901</v>
      </c>
    </row>
    <row r="445" spans="1:31">
      <c r="A445" s="33" t="str">
        <f>STOCKTON!A9</f>
        <v>Stockton South BC</v>
      </c>
      <c r="B445" s="7">
        <f>STOCKTON!D9</f>
        <v>73924</v>
      </c>
      <c r="C445" s="7">
        <f>STOCKTON!E9</f>
        <v>74521</v>
      </c>
      <c r="D445" s="7">
        <f>STOCKTON!F9</f>
        <v>74675</v>
      </c>
      <c r="E445" s="7">
        <f>STOCKTON!G9</f>
        <v>75460</v>
      </c>
      <c r="F445" s="7">
        <f>STOCKTON!H9</f>
        <v>75700</v>
      </c>
      <c r="G445" s="7">
        <f>STOCKTON!I9</f>
        <v>73733</v>
      </c>
      <c r="H445" s="7">
        <f>STOCKTON!J9</f>
        <v>73221</v>
      </c>
      <c r="I445" s="7">
        <f>STOCKTON!K9</f>
        <v>74327</v>
      </c>
      <c r="J445" s="7">
        <f>STOCKTON!L9</f>
        <v>74698</v>
      </c>
      <c r="K445" s="7">
        <f>STOCKTON!M9</f>
        <v>74308</v>
      </c>
      <c r="L445" s="7">
        <f>STOCKTON!N9</f>
        <v>76251</v>
      </c>
      <c r="M445" s="7">
        <f>STOCKTON!O9</f>
        <v>77001</v>
      </c>
      <c r="N445" s="34">
        <f t="shared" si="24"/>
        <v>4.1623829879335536E-2</v>
      </c>
      <c r="O445" s="34"/>
      <c r="P445" s="7">
        <f t="shared" si="25"/>
        <v>3608</v>
      </c>
      <c r="Q445" s="1004">
        <f t="shared" si="26"/>
        <v>4.9160001635033312E-2</v>
      </c>
      <c r="R445" s="6">
        <v>174</v>
      </c>
      <c r="S445" s="6">
        <v>175</v>
      </c>
      <c r="T445" s="6">
        <v>186</v>
      </c>
      <c r="U445" s="6">
        <v>174</v>
      </c>
      <c r="V445" s="6">
        <v>154</v>
      </c>
      <c r="W445" s="6">
        <v>169</v>
      </c>
      <c r="X445" s="6">
        <v>161</v>
      </c>
      <c r="Y445" s="6">
        <v>186</v>
      </c>
      <c r="Z445" s="6">
        <v>186</v>
      </c>
      <c r="AA445" s="6">
        <v>181</v>
      </c>
      <c r="AB445" s="6">
        <v>202</v>
      </c>
      <c r="AC445" s="6">
        <v>194</v>
      </c>
      <c r="AD445" s="6">
        <f t="shared" si="27"/>
        <v>8</v>
      </c>
      <c r="AE445" s="6" t="s">
        <v>2901</v>
      </c>
    </row>
    <row r="446" spans="1:31">
      <c r="A446" s="33" t="str">
        <f>STAFFORDSHIRE!A40</f>
        <v>Stoke-on-Trent Central BC</v>
      </c>
      <c r="B446" s="7">
        <f>STAFFORDSHIRE!D40</f>
        <v>61083</v>
      </c>
      <c r="C446" s="7">
        <f>STAFFORDSHIRE!E40</f>
        <v>61774</v>
      </c>
      <c r="D446" s="7">
        <f>STAFFORDSHIRE!F40</f>
        <v>62483</v>
      </c>
      <c r="E446" s="7">
        <f>STAFFORDSHIRE!G40</f>
        <v>61821</v>
      </c>
      <c r="F446" s="7">
        <f>STAFFORDSHIRE!H40</f>
        <v>61561</v>
      </c>
      <c r="G446" s="7">
        <f>STAFFORDSHIRE!I40</f>
        <v>59472</v>
      </c>
      <c r="H446" s="7">
        <f>STAFFORDSHIRE!J40</f>
        <v>58259</v>
      </c>
      <c r="I446" s="7">
        <f>STAFFORDSHIRE!K40</f>
        <v>56358</v>
      </c>
      <c r="J446" s="7">
        <f>STAFFORDSHIRE!L40</f>
        <v>57802</v>
      </c>
      <c r="K446" s="7">
        <f>STAFFORDSHIRE!M40</f>
        <v>55898</v>
      </c>
      <c r="L446" s="7">
        <f>STAFFORDSHIRE!N40</f>
        <v>54286</v>
      </c>
      <c r="M446" s="7">
        <f>STAFFORDSHIRE!O40</f>
        <v>54551</v>
      </c>
      <c r="N446" s="34">
        <f t="shared" si="24"/>
        <v>-0.10693646350048296</v>
      </c>
      <c r="O446" s="34"/>
      <c r="P446" s="7">
        <f t="shared" si="25"/>
        <v>-18842</v>
      </c>
      <c r="Q446" s="1004">
        <f t="shared" si="26"/>
        <v>-0.25672748082242175</v>
      </c>
      <c r="R446" s="6">
        <v>518</v>
      </c>
      <c r="S446" s="6">
        <v>517</v>
      </c>
      <c r="T446" s="6">
        <v>508</v>
      </c>
      <c r="U446" s="6">
        <v>519</v>
      </c>
      <c r="V446" s="6">
        <v>509</v>
      </c>
      <c r="W446" s="6">
        <v>512</v>
      </c>
      <c r="X446" s="6">
        <v>518</v>
      </c>
      <c r="Y446" s="6">
        <v>530</v>
      </c>
      <c r="Z446" s="6">
        <v>528</v>
      </c>
      <c r="AA446" s="6">
        <v>528</v>
      </c>
      <c r="AB446" s="6">
        <v>531</v>
      </c>
      <c r="AC446" s="6">
        <v>533</v>
      </c>
      <c r="AD446" s="6">
        <f t="shared" si="27"/>
        <v>-2</v>
      </c>
      <c r="AE446" s="6" t="s">
        <v>15824</v>
      </c>
    </row>
    <row r="447" spans="1:31">
      <c r="A447" s="33" t="str">
        <f>STAFFORDSHIRE!A42</f>
        <v>Stoke-on-Trent North BC</v>
      </c>
      <c r="B447" s="7">
        <f>STAFFORDSHIRE!D44</f>
        <v>72245</v>
      </c>
      <c r="C447" s="7">
        <f>STAFFORDSHIRE!E44</f>
        <v>72225</v>
      </c>
      <c r="D447" s="7">
        <f>STAFFORDSHIRE!F44</f>
        <v>72285</v>
      </c>
      <c r="E447" s="7">
        <f>STAFFORDSHIRE!G44</f>
        <v>72280</v>
      </c>
      <c r="F447" s="7">
        <f>STAFFORDSHIRE!H44</f>
        <v>72333</v>
      </c>
      <c r="G447" s="7">
        <f>STAFFORDSHIRE!I44</f>
        <v>71047</v>
      </c>
      <c r="H447" s="7">
        <f>STAFFORDSHIRE!J44</f>
        <v>69709</v>
      </c>
      <c r="I447" s="7">
        <f>STAFFORDSHIRE!K44</f>
        <v>69037</v>
      </c>
      <c r="J447" s="7">
        <f>STAFFORDSHIRE!L44</f>
        <v>70742</v>
      </c>
      <c r="K447" s="7">
        <f>STAFFORDSHIRE!M44</f>
        <v>69831</v>
      </c>
      <c r="L447" s="7">
        <f>STAFFORDSHIRE!N44</f>
        <v>68041</v>
      </c>
      <c r="M447" s="7">
        <f>STAFFORDSHIRE!O44</f>
        <v>67381</v>
      </c>
      <c r="N447" s="34">
        <f t="shared" si="24"/>
        <v>-6.7326458578448337E-2</v>
      </c>
      <c r="O447" s="34"/>
      <c r="P447" s="7">
        <f t="shared" si="25"/>
        <v>-6012</v>
      </c>
      <c r="Q447" s="1004">
        <f t="shared" si="26"/>
        <v>-8.1915169021568812E-2</v>
      </c>
      <c r="R447" s="6">
        <v>232</v>
      </c>
      <c r="S447" s="6">
        <v>260</v>
      </c>
      <c r="T447" s="6">
        <v>285</v>
      </c>
      <c r="U447" s="6">
        <v>294</v>
      </c>
      <c r="V447" s="6">
        <v>271</v>
      </c>
      <c r="W447" s="6">
        <v>265</v>
      </c>
      <c r="X447" s="6">
        <v>285</v>
      </c>
      <c r="Y447" s="6">
        <v>362</v>
      </c>
      <c r="Z447" s="6">
        <v>329</v>
      </c>
      <c r="AA447" s="6">
        <v>341</v>
      </c>
      <c r="AB447" s="6">
        <v>422</v>
      </c>
      <c r="AC447" s="6">
        <v>447</v>
      </c>
      <c r="AD447" s="6">
        <f t="shared" si="27"/>
        <v>-25</v>
      </c>
      <c r="AE447" s="6" t="s">
        <v>15824</v>
      </c>
    </row>
    <row r="448" spans="1:31">
      <c r="A448" s="33" t="str">
        <f>STAFFORDSHIRE!A46</f>
        <v>Stoke-on-Trent South BC</v>
      </c>
      <c r="B448" s="7">
        <f>STAFFORDSHIRE!D46</f>
        <v>68301</v>
      </c>
      <c r="C448" s="7">
        <f>STAFFORDSHIRE!E46</f>
        <v>68624</v>
      </c>
      <c r="D448" s="7">
        <f>STAFFORDSHIRE!F46</f>
        <v>68842</v>
      </c>
      <c r="E448" s="7">
        <f>STAFFORDSHIRE!G46</f>
        <v>69052</v>
      </c>
      <c r="F448" s="7">
        <f>STAFFORDSHIRE!H46</f>
        <v>68532</v>
      </c>
      <c r="G448" s="7">
        <f>STAFFORDSHIRE!I46</f>
        <v>67502</v>
      </c>
      <c r="H448" s="7">
        <f>STAFFORDSHIRE!J46</f>
        <v>66835</v>
      </c>
      <c r="I448" s="7">
        <f>STAFFORDSHIRE!K46</f>
        <v>65986</v>
      </c>
      <c r="J448" s="7">
        <f>STAFFORDSHIRE!L46</f>
        <v>67249</v>
      </c>
      <c r="K448" s="7">
        <f>STAFFORDSHIRE!M46</f>
        <v>65646</v>
      </c>
      <c r="L448" s="7">
        <f>STAFFORDSHIRE!N46</f>
        <v>64159</v>
      </c>
      <c r="M448" s="7">
        <f>STAFFORDSHIRE!O46</f>
        <v>64155</v>
      </c>
      <c r="N448" s="34">
        <f t="shared" si="24"/>
        <v>-6.0701893090877146E-2</v>
      </c>
      <c r="O448" s="34"/>
      <c r="P448" s="7">
        <f t="shared" si="25"/>
        <v>-9238</v>
      </c>
      <c r="Q448" s="1004">
        <f t="shared" si="26"/>
        <v>-0.12587031460766013</v>
      </c>
      <c r="R448" s="6">
        <v>370</v>
      </c>
      <c r="S448" s="6">
        <v>377</v>
      </c>
      <c r="T448" s="6">
        <v>377</v>
      </c>
      <c r="U448" s="6">
        <v>385</v>
      </c>
      <c r="V448" s="6">
        <v>384</v>
      </c>
      <c r="W448" s="6">
        <v>376</v>
      </c>
      <c r="X448" s="6">
        <v>379</v>
      </c>
      <c r="Y448" s="6">
        <v>431</v>
      </c>
      <c r="Z448" s="6">
        <v>418</v>
      </c>
      <c r="AA448" s="6">
        <v>437</v>
      </c>
      <c r="AB448" s="6">
        <v>486</v>
      </c>
      <c r="AC448" s="6">
        <v>496</v>
      </c>
      <c r="AD448" s="6">
        <f t="shared" si="27"/>
        <v>-10</v>
      </c>
      <c r="AE448" s="6" t="s">
        <v>15824</v>
      </c>
    </row>
    <row r="449" spans="1:31">
      <c r="A449" s="33" t="str">
        <f>STAFFORDSHIRE!A48</f>
        <v>Stone CC</v>
      </c>
      <c r="B449" s="7">
        <f>STAFFORDSHIRE!D51</f>
        <v>66865</v>
      </c>
      <c r="C449" s="7">
        <f>STAFFORDSHIRE!E51</f>
        <v>66729</v>
      </c>
      <c r="D449" s="7">
        <f>STAFFORDSHIRE!F51</f>
        <v>67144</v>
      </c>
      <c r="E449" s="7">
        <f>STAFFORDSHIRE!G51</f>
        <v>67480</v>
      </c>
      <c r="F449" s="7">
        <f>STAFFORDSHIRE!H51</f>
        <v>66870</v>
      </c>
      <c r="G449" s="7">
        <f>STAFFORDSHIRE!I51</f>
        <v>66735</v>
      </c>
      <c r="H449" s="7">
        <f>STAFFORDSHIRE!J51</f>
        <v>66267</v>
      </c>
      <c r="I449" s="7">
        <f>STAFFORDSHIRE!K51</f>
        <v>67251</v>
      </c>
      <c r="J449" s="7">
        <f>STAFFORDSHIRE!L51</f>
        <v>67755</v>
      </c>
      <c r="K449" s="7">
        <f>STAFFORDSHIRE!M51</f>
        <v>68307</v>
      </c>
      <c r="L449" s="7">
        <f>STAFFORDSHIRE!N51</f>
        <v>68774</v>
      </c>
      <c r="M449" s="7">
        <f>STAFFORDSHIRE!O51</f>
        <v>69860</v>
      </c>
      <c r="N449" s="34">
        <f t="shared" si="24"/>
        <v>4.4791744559934198E-2</v>
      </c>
      <c r="O449" s="34"/>
      <c r="P449" s="7">
        <f t="shared" si="25"/>
        <v>-3533</v>
      </c>
      <c r="Q449" s="1004">
        <f t="shared" si="26"/>
        <v>-4.8138105813905957E-2</v>
      </c>
      <c r="R449" s="6">
        <v>417</v>
      </c>
      <c r="S449" s="6">
        <v>429</v>
      </c>
      <c r="T449" s="6">
        <v>429</v>
      </c>
      <c r="U449" s="6">
        <v>427</v>
      </c>
      <c r="V449" s="6">
        <v>429</v>
      </c>
      <c r="W449" s="6">
        <v>398</v>
      </c>
      <c r="X449" s="6">
        <v>395</v>
      </c>
      <c r="Y449" s="6">
        <v>407</v>
      </c>
      <c r="Z449" s="6">
        <v>401</v>
      </c>
      <c r="AA449" s="6">
        <v>385</v>
      </c>
      <c r="AB449" s="6">
        <v>410</v>
      </c>
      <c r="AC449" s="6">
        <v>399</v>
      </c>
      <c r="AD449" s="6">
        <f t="shared" si="27"/>
        <v>11</v>
      </c>
      <c r="AE449" s="6" t="s">
        <v>15824</v>
      </c>
    </row>
    <row r="450" spans="1:31">
      <c r="A450" s="33" t="str">
        <f>'WEST MIDLANDS'!A53</f>
        <v>Stourbridge BC</v>
      </c>
      <c r="B450" s="7">
        <f>'WEST MIDLANDS'!D53</f>
        <v>69855</v>
      </c>
      <c r="C450" s="7">
        <f>'WEST MIDLANDS'!E53</f>
        <v>70225</v>
      </c>
      <c r="D450" s="7">
        <f>'WEST MIDLANDS'!F53</f>
        <v>70337</v>
      </c>
      <c r="E450" s="7">
        <f>'WEST MIDLANDS'!G53</f>
        <v>70425</v>
      </c>
      <c r="F450" s="7">
        <f>'WEST MIDLANDS'!H53</f>
        <v>68747</v>
      </c>
      <c r="G450" s="7">
        <f>'WEST MIDLANDS'!I53</f>
        <v>68686</v>
      </c>
      <c r="H450" s="7">
        <f>'WEST MIDLANDS'!J53</f>
        <v>69303</v>
      </c>
      <c r="I450" s="7">
        <f>'WEST MIDLANDS'!K53</f>
        <v>69791</v>
      </c>
      <c r="J450" s="7">
        <f>'WEST MIDLANDS'!L53</f>
        <v>69763</v>
      </c>
      <c r="K450" s="7">
        <f>'WEST MIDLANDS'!M53</f>
        <v>69058</v>
      </c>
      <c r="L450" s="7">
        <f>'WEST MIDLANDS'!N53</f>
        <v>70280</v>
      </c>
      <c r="M450" s="7">
        <f>'WEST MIDLANDS'!O53</f>
        <v>69364</v>
      </c>
      <c r="N450" s="34">
        <f t="shared" si="24"/>
        <v>-7.0288454656073293E-3</v>
      </c>
      <c r="O450" s="34"/>
      <c r="P450" s="7">
        <f t="shared" si="25"/>
        <v>-4029</v>
      </c>
      <c r="Q450" s="1004">
        <f t="shared" si="26"/>
        <v>-5.4896243510961534E-2</v>
      </c>
      <c r="R450" s="6">
        <v>326</v>
      </c>
      <c r="S450" s="6">
        <v>332</v>
      </c>
      <c r="T450" s="6">
        <v>338</v>
      </c>
      <c r="U450" s="6">
        <v>337</v>
      </c>
      <c r="V450" s="6">
        <v>378</v>
      </c>
      <c r="W450" s="6">
        <v>345</v>
      </c>
      <c r="X450" s="6">
        <v>299</v>
      </c>
      <c r="Y450" s="6">
        <v>343</v>
      </c>
      <c r="Z450" s="6">
        <v>363</v>
      </c>
      <c r="AA450" s="6">
        <v>358</v>
      </c>
      <c r="AB450" s="6">
        <v>376</v>
      </c>
      <c r="AC450" s="6">
        <v>410</v>
      </c>
      <c r="AD450" s="6">
        <f t="shared" si="27"/>
        <v>-34</v>
      </c>
      <c r="AE450" s="6" t="s">
        <v>15824</v>
      </c>
    </row>
    <row r="451" spans="1:31">
      <c r="A451" s="33" t="str">
        <f>WARWICKSHIRE!A31</f>
        <v>Stratford-on-Avon CC</v>
      </c>
      <c r="B451" s="7">
        <f>WARWICKSHIRE!D31</f>
        <v>69366</v>
      </c>
      <c r="C451" s="7">
        <f>WARWICKSHIRE!E31</f>
        <v>69108</v>
      </c>
      <c r="D451" s="7">
        <f>WARWICKSHIRE!F31</f>
        <v>69946</v>
      </c>
      <c r="E451" s="7">
        <f>WARWICKSHIRE!G31</f>
        <v>70529</v>
      </c>
      <c r="F451" s="7">
        <f>WARWICKSHIRE!H31</f>
        <v>70830</v>
      </c>
      <c r="G451" s="7">
        <f>WARWICKSHIRE!I31</f>
        <v>70006</v>
      </c>
      <c r="H451" s="7">
        <f>WARWICKSHIRE!J31</f>
        <v>69211</v>
      </c>
      <c r="I451" s="7">
        <f>WARWICKSHIRE!K31</f>
        <v>71331</v>
      </c>
      <c r="J451" s="7">
        <f>WARWICKSHIRE!L31</f>
        <v>71031</v>
      </c>
      <c r="K451" s="7">
        <f>WARWICKSHIRE!M31</f>
        <v>70800</v>
      </c>
      <c r="L451" s="7">
        <f>WARWICKSHIRE!N31</f>
        <v>71723</v>
      </c>
      <c r="M451" s="7">
        <f>WARWICKSHIRE!O31</f>
        <v>74110</v>
      </c>
      <c r="N451" s="34">
        <f t="shared" si="24"/>
        <v>6.8390854309027471E-2</v>
      </c>
      <c r="O451" s="34"/>
      <c r="P451" s="7">
        <f t="shared" si="25"/>
        <v>717</v>
      </c>
      <c r="Q451" s="1004">
        <f t="shared" si="26"/>
        <v>9.769324049977518E-3</v>
      </c>
      <c r="R451" s="6">
        <v>339</v>
      </c>
      <c r="S451" s="6">
        <v>364</v>
      </c>
      <c r="T451" s="6">
        <v>348</v>
      </c>
      <c r="U451" s="6">
        <v>334</v>
      </c>
      <c r="V451" s="6">
        <v>318</v>
      </c>
      <c r="W451" s="6">
        <v>290</v>
      </c>
      <c r="X451" s="6">
        <v>302</v>
      </c>
      <c r="Y451" s="6">
        <v>283</v>
      </c>
      <c r="Z451" s="6">
        <v>317</v>
      </c>
      <c r="AA451" s="6">
        <v>297</v>
      </c>
      <c r="AB451" s="6">
        <v>326</v>
      </c>
      <c r="AC451" s="6">
        <v>270</v>
      </c>
      <c r="AD451" s="6">
        <f t="shared" si="27"/>
        <v>56</v>
      </c>
      <c r="AE451" s="6" t="s">
        <v>15824</v>
      </c>
    </row>
    <row r="452" spans="1:31">
      <c r="A452" s="33" t="str">
        <f>LAMBETH!A11</f>
        <v>Streatham BC</v>
      </c>
      <c r="B452" s="7">
        <f>LAMBETH!D11</f>
        <v>71902</v>
      </c>
      <c r="C452" s="7">
        <f>LAMBETH!E11</f>
        <v>71913</v>
      </c>
      <c r="D452" s="7">
        <f>LAMBETH!F11</f>
        <v>72460</v>
      </c>
      <c r="E452" s="7">
        <f>LAMBETH!G11</f>
        <v>72887</v>
      </c>
      <c r="F452" s="7">
        <f>LAMBETH!H11</f>
        <v>72622</v>
      </c>
      <c r="G452" s="7">
        <f>LAMBETH!I11</f>
        <v>72574</v>
      </c>
      <c r="H452" s="7">
        <f>LAMBETH!J11</f>
        <v>70286</v>
      </c>
      <c r="I452" s="7">
        <f>LAMBETH!K11</f>
        <v>73840</v>
      </c>
      <c r="J452" s="7">
        <f>LAMBETH!L11</f>
        <v>74414</v>
      </c>
      <c r="K452" s="7">
        <f>LAMBETH!M11</f>
        <v>73570</v>
      </c>
      <c r="L452" s="7">
        <f>LAMBETH!N11</f>
        <v>81910</v>
      </c>
      <c r="M452" s="7">
        <f>LAMBETH!O11</f>
        <v>80581</v>
      </c>
      <c r="N452" s="34">
        <f t="shared" ref="N452:N515" si="28">(M452-B452)/B452</f>
        <v>0.12070596089121303</v>
      </c>
      <c r="O452" s="34"/>
      <c r="P452" s="7">
        <f t="shared" ref="P452:P515" si="29">M452-$M$544</f>
        <v>7188</v>
      </c>
      <c r="Q452" s="1004">
        <f t="shared" ref="Q452:Q515" si="30">(M452-$M$544)/$M$544</f>
        <v>9.7938495496845746E-2</v>
      </c>
      <c r="R452" s="6">
        <v>251</v>
      </c>
      <c r="S452" s="6">
        <v>278</v>
      </c>
      <c r="T452" s="6">
        <v>273</v>
      </c>
      <c r="U452" s="6">
        <v>266</v>
      </c>
      <c r="V452" s="6">
        <v>258</v>
      </c>
      <c r="W452" s="6">
        <v>205</v>
      </c>
      <c r="X452" s="6">
        <v>261</v>
      </c>
      <c r="Y452" s="6">
        <v>197</v>
      </c>
      <c r="Z452" s="6">
        <v>198</v>
      </c>
      <c r="AA452" s="6">
        <v>205</v>
      </c>
      <c r="AB452" s="6">
        <v>76</v>
      </c>
      <c r="AC452" s="6">
        <v>116</v>
      </c>
      <c r="AD452" s="6">
        <f t="shared" ref="AD452:AD515" si="31">AB452-AC452</f>
        <v>-40</v>
      </c>
      <c r="AE452" s="6" t="s">
        <v>15827</v>
      </c>
    </row>
    <row r="453" spans="1:31">
      <c r="A453" s="33" t="str">
        <f>'GREATER MANCHESTER'!A73</f>
        <v>Stretford and Urmston BC</v>
      </c>
      <c r="B453" s="7">
        <f>'GREATER MANCHESTER'!D73</f>
        <v>70056</v>
      </c>
      <c r="C453" s="7">
        <f>'GREATER MANCHESTER'!E73</f>
        <v>70520</v>
      </c>
      <c r="D453" s="7">
        <f>'GREATER MANCHESTER'!F73</f>
        <v>66507</v>
      </c>
      <c r="E453" s="7">
        <f>'GREATER MANCHESTER'!G73</f>
        <v>66984</v>
      </c>
      <c r="F453" s="7">
        <f>'GREATER MANCHESTER'!H73</f>
        <v>67417</v>
      </c>
      <c r="G453" s="7">
        <f>'GREATER MANCHESTER'!I73</f>
        <v>66634</v>
      </c>
      <c r="H453" s="7">
        <f>'GREATER MANCHESTER'!J73</f>
        <v>67424</v>
      </c>
      <c r="I453" s="7">
        <f>'GREATER MANCHESTER'!K73</f>
        <v>69001</v>
      </c>
      <c r="J453" s="7">
        <f>'GREATER MANCHESTER'!L73</f>
        <v>70615</v>
      </c>
      <c r="K453" s="7">
        <f>'GREATER MANCHESTER'!M73</f>
        <v>70622</v>
      </c>
      <c r="L453" s="7">
        <f>'GREATER MANCHESTER'!N73</f>
        <v>73086</v>
      </c>
      <c r="M453" s="7">
        <f>'GREATER MANCHESTER'!O73</f>
        <v>73212</v>
      </c>
      <c r="N453" s="34">
        <f t="shared" si="28"/>
        <v>4.5049674546077424E-2</v>
      </c>
      <c r="O453" s="34"/>
      <c r="P453" s="7">
        <f t="shared" si="29"/>
        <v>-181</v>
      </c>
      <c r="Q453" s="1004">
        <f t="shared" si="30"/>
        <v>-2.4661752483206845E-3</v>
      </c>
      <c r="R453" s="6">
        <v>321</v>
      </c>
      <c r="S453" s="6">
        <v>328</v>
      </c>
      <c r="T453" s="6">
        <v>447</v>
      </c>
      <c r="U453" s="6">
        <v>443</v>
      </c>
      <c r="V453" s="6">
        <v>414</v>
      </c>
      <c r="W453" s="6">
        <v>401</v>
      </c>
      <c r="X453" s="6">
        <v>362</v>
      </c>
      <c r="Y453" s="6">
        <v>364</v>
      </c>
      <c r="Z453" s="6">
        <v>333</v>
      </c>
      <c r="AA453" s="6">
        <v>303</v>
      </c>
      <c r="AB453" s="6">
        <v>286</v>
      </c>
      <c r="AC453" s="6">
        <v>306</v>
      </c>
      <c r="AD453" s="6">
        <f t="shared" si="31"/>
        <v>-20</v>
      </c>
      <c r="AE453" s="6" t="s">
        <v>15825</v>
      </c>
    </row>
    <row r="454" spans="1:31">
      <c r="A454" s="33" t="str">
        <f>GLOUCESTERSHIRE!A22</f>
        <v>Stroud CC</v>
      </c>
      <c r="B454" s="7">
        <f>GLOUCESTERSHIRE!D22</f>
        <v>78261</v>
      </c>
      <c r="C454" s="7">
        <f>GLOUCESTERSHIRE!E22</f>
        <v>79135</v>
      </c>
      <c r="D454" s="7">
        <f>GLOUCESTERSHIRE!F22</f>
        <v>80114</v>
      </c>
      <c r="E454" s="7">
        <f>GLOUCESTERSHIRE!G22</f>
        <v>79998</v>
      </c>
      <c r="F454" s="7">
        <f>GLOUCESTERSHIRE!H22</f>
        <v>79226</v>
      </c>
      <c r="G454" s="7">
        <f>GLOUCESTERSHIRE!I22</f>
        <v>78539</v>
      </c>
      <c r="H454" s="7">
        <f>GLOUCESTERSHIRE!J22</f>
        <v>80909</v>
      </c>
      <c r="I454" s="7">
        <f>GLOUCESTERSHIRE!K22</f>
        <v>81849</v>
      </c>
      <c r="J454" s="7">
        <f>GLOUCESTERSHIRE!L22</f>
        <v>82616</v>
      </c>
      <c r="K454" s="7">
        <f>GLOUCESTERSHIRE!M22</f>
        <v>81913</v>
      </c>
      <c r="L454" s="7">
        <f>GLOUCESTERSHIRE!N22</f>
        <v>84452</v>
      </c>
      <c r="M454" s="7">
        <f>GLOUCESTERSHIRE!O22</f>
        <v>84573</v>
      </c>
      <c r="N454" s="34">
        <f t="shared" si="28"/>
        <v>8.0653198911335142E-2</v>
      </c>
      <c r="O454" s="34"/>
      <c r="P454" s="7">
        <f t="shared" si="29"/>
        <v>11180</v>
      </c>
      <c r="Q454" s="1004">
        <f t="shared" si="30"/>
        <v>0.15233060373605112</v>
      </c>
      <c r="R454" s="6">
        <v>62</v>
      </c>
      <c r="S454" s="6">
        <v>55</v>
      </c>
      <c r="T454" s="6">
        <v>46</v>
      </c>
      <c r="U454" s="6">
        <v>57</v>
      </c>
      <c r="V454" s="6">
        <v>72</v>
      </c>
      <c r="W454" s="6">
        <v>61</v>
      </c>
      <c r="X454" s="6">
        <v>24</v>
      </c>
      <c r="Y454" s="6">
        <v>38</v>
      </c>
      <c r="Z454" s="6">
        <v>36</v>
      </c>
      <c r="AA454" s="6">
        <v>40</v>
      </c>
      <c r="AB454" s="6">
        <v>42</v>
      </c>
      <c r="AC454" s="6">
        <v>46</v>
      </c>
      <c r="AD454" s="6">
        <f t="shared" si="31"/>
        <v>-4</v>
      </c>
      <c r="AE454" s="6" t="s">
        <v>15830</v>
      </c>
    </row>
    <row r="455" spans="1:31">
      <c r="A455" s="33" t="str">
        <f>SUFFOLK!A28</f>
        <v>Suffolk Coastal CC</v>
      </c>
      <c r="B455" s="7">
        <f>SUFFOLK!D28</f>
        <v>77142</v>
      </c>
      <c r="C455" s="7">
        <f>SUFFOLK!E28</f>
        <v>76932</v>
      </c>
      <c r="D455" s="7">
        <f>SUFFOLK!F28</f>
        <v>77481</v>
      </c>
      <c r="E455" s="7">
        <f>SUFFOLK!G28</f>
        <v>77909</v>
      </c>
      <c r="F455" s="7">
        <f>SUFFOLK!H28</f>
        <v>75313</v>
      </c>
      <c r="G455" s="7">
        <f>SUFFOLK!I28</f>
        <v>76019</v>
      </c>
      <c r="H455" s="7">
        <f>SUFFOLK!J28</f>
        <v>75678</v>
      </c>
      <c r="I455" s="7">
        <f>SUFFOLK!K28</f>
        <v>77671</v>
      </c>
      <c r="J455" s="7">
        <f>SUFFOLK!L28</f>
        <v>78528</v>
      </c>
      <c r="K455" s="7">
        <f>SUFFOLK!M28</f>
        <v>76934</v>
      </c>
      <c r="L455" s="7">
        <f>SUFFOLK!N28</f>
        <v>80512</v>
      </c>
      <c r="M455" s="7">
        <f>SUFFOLK!O28</f>
        <v>80449</v>
      </c>
      <c r="N455" s="34">
        <f t="shared" si="28"/>
        <v>4.2868994840683412E-2</v>
      </c>
      <c r="O455" s="34"/>
      <c r="P455" s="7">
        <f t="shared" si="29"/>
        <v>7056</v>
      </c>
      <c r="Q455" s="1004">
        <f t="shared" si="30"/>
        <v>9.61399588516616E-2</v>
      </c>
      <c r="R455" s="6">
        <v>89</v>
      </c>
      <c r="S455" s="6">
        <v>117</v>
      </c>
      <c r="T455" s="6">
        <v>109</v>
      </c>
      <c r="U455" s="6">
        <v>111</v>
      </c>
      <c r="V455" s="6">
        <v>166</v>
      </c>
      <c r="W455" s="6">
        <v>121</v>
      </c>
      <c r="X455" s="6">
        <v>106</v>
      </c>
      <c r="Y455" s="6">
        <v>114</v>
      </c>
      <c r="Z455" s="6">
        <v>108</v>
      </c>
      <c r="AA455" s="6">
        <v>136</v>
      </c>
      <c r="AB455" s="6">
        <v>102</v>
      </c>
      <c r="AC455" s="6">
        <v>119</v>
      </c>
      <c r="AD455" s="6">
        <f t="shared" si="31"/>
        <v>-17</v>
      </c>
      <c r="AE455" s="6" t="s">
        <v>15829</v>
      </c>
    </row>
    <row r="456" spans="1:31">
      <c r="A456" s="33" t="str">
        <f>'TYNE &amp; WEAR'!A38</f>
        <v>Sunderland Central BC</v>
      </c>
      <c r="B456" s="7">
        <f>'TYNE &amp; WEAR'!D38</f>
        <v>74668</v>
      </c>
      <c r="C456" s="7">
        <f>'TYNE &amp; WEAR'!E38</f>
        <v>76292</v>
      </c>
      <c r="D456" s="7">
        <f>'TYNE &amp; WEAR'!F38</f>
        <v>77216</v>
      </c>
      <c r="E456" s="7">
        <f>'TYNE &amp; WEAR'!G38</f>
        <v>75346</v>
      </c>
      <c r="F456" s="7">
        <f>'TYNE &amp; WEAR'!H38</f>
        <v>74366</v>
      </c>
      <c r="G456" s="7">
        <f>'TYNE &amp; WEAR'!I38</f>
        <v>72238</v>
      </c>
      <c r="H456" s="7">
        <f>'TYNE &amp; WEAR'!J38</f>
        <v>71232</v>
      </c>
      <c r="I456" s="7">
        <f>'TYNE &amp; WEAR'!K38</f>
        <v>70478</v>
      </c>
      <c r="J456" s="7">
        <f>'TYNE &amp; WEAR'!L38</f>
        <v>71432</v>
      </c>
      <c r="K456" s="7">
        <f>'TYNE &amp; WEAR'!M38</f>
        <v>70637</v>
      </c>
      <c r="L456" s="7">
        <f>'TYNE &amp; WEAR'!N38</f>
        <v>72673</v>
      </c>
      <c r="M456" s="7">
        <f>'TYNE &amp; WEAR'!O38</f>
        <v>72688</v>
      </c>
      <c r="N456" s="34">
        <f t="shared" si="28"/>
        <v>-2.6517383618149676E-2</v>
      </c>
      <c r="O456" s="34"/>
      <c r="P456" s="7">
        <f t="shared" si="29"/>
        <v>-705</v>
      </c>
      <c r="Q456" s="1004">
        <f t="shared" si="30"/>
        <v>-9.6058207185971412E-3</v>
      </c>
      <c r="R456" s="6">
        <v>160</v>
      </c>
      <c r="S456" s="6">
        <v>132</v>
      </c>
      <c r="T456" s="6">
        <v>126</v>
      </c>
      <c r="U456" s="6">
        <v>177</v>
      </c>
      <c r="V456" s="6">
        <v>190</v>
      </c>
      <c r="W456" s="6">
        <v>224</v>
      </c>
      <c r="X456" s="6">
        <v>224</v>
      </c>
      <c r="Y456" s="6">
        <v>316</v>
      </c>
      <c r="Z456" s="6">
        <v>302</v>
      </c>
      <c r="AA456" s="6">
        <v>302</v>
      </c>
      <c r="AB456" s="6">
        <v>298</v>
      </c>
      <c r="AC456" s="6">
        <v>328</v>
      </c>
      <c r="AD456" s="6">
        <f t="shared" si="31"/>
        <v>-30</v>
      </c>
      <c r="AE456" s="6" t="s">
        <v>2901</v>
      </c>
    </row>
    <row r="457" spans="1:31">
      <c r="A457" s="33" t="str">
        <f>SURREY!A48</f>
        <v>Surrey Heath CC</v>
      </c>
      <c r="B457" s="7">
        <f>SURREY!D50</f>
        <v>77342</v>
      </c>
      <c r="C457" s="7">
        <f>SURREY!E50</f>
        <v>78453</v>
      </c>
      <c r="D457" s="7">
        <f>SURREY!F50</f>
        <v>79073</v>
      </c>
      <c r="E457" s="7">
        <f>SURREY!G50</f>
        <v>79400</v>
      </c>
      <c r="F457" s="7">
        <f>SURREY!H50</f>
        <v>79513</v>
      </c>
      <c r="G457" s="7">
        <f>SURREY!I50</f>
        <v>77849</v>
      </c>
      <c r="H457" s="7">
        <f>SURREY!J50</f>
        <v>77585</v>
      </c>
      <c r="I457" s="7">
        <f>SURREY!K50</f>
        <v>79973</v>
      </c>
      <c r="J457" s="7">
        <f>SURREY!L50</f>
        <v>79684</v>
      </c>
      <c r="K457" s="7">
        <f>SURREY!M50</f>
        <v>79386</v>
      </c>
      <c r="L457" s="7">
        <f>SURREY!N50</f>
        <v>81661</v>
      </c>
      <c r="M457" s="7">
        <f>SURREY!O50</f>
        <v>81663</v>
      </c>
      <c r="N457" s="34">
        <f t="shared" si="28"/>
        <v>5.5868738848232527E-2</v>
      </c>
      <c r="O457" s="34"/>
      <c r="P457" s="7">
        <f t="shared" si="29"/>
        <v>8270</v>
      </c>
      <c r="Q457" s="1004">
        <f t="shared" si="30"/>
        <v>0.11268104587630973</v>
      </c>
      <c r="R457" s="6">
        <v>80</v>
      </c>
      <c r="S457" s="6">
        <v>70</v>
      </c>
      <c r="T457" s="6">
        <v>66</v>
      </c>
      <c r="U457" s="6">
        <v>67</v>
      </c>
      <c r="V457" s="6">
        <v>69</v>
      </c>
      <c r="W457" s="6">
        <v>74</v>
      </c>
      <c r="X457" s="6">
        <v>66</v>
      </c>
      <c r="Y457" s="6">
        <v>68</v>
      </c>
      <c r="Z457" s="6">
        <v>84</v>
      </c>
      <c r="AA457" s="6">
        <v>80</v>
      </c>
      <c r="AB457" s="6">
        <v>78</v>
      </c>
      <c r="AC457" s="6">
        <v>96</v>
      </c>
      <c r="AD457" s="6">
        <f t="shared" si="31"/>
        <v>-18</v>
      </c>
      <c r="AE457" s="6" t="s">
        <v>15823</v>
      </c>
    </row>
    <row r="458" spans="1:31">
      <c r="A458" s="33" t="str">
        <f>SUTTON!A9</f>
        <v>Sutton and Cheam BC</v>
      </c>
      <c r="B458" s="7">
        <f>SUTTON!D9</f>
        <v>66250</v>
      </c>
      <c r="C458" s="7">
        <f>SUTTON!E9</f>
        <v>66571</v>
      </c>
      <c r="D458" s="7">
        <f>SUTTON!F9</f>
        <v>68784</v>
      </c>
      <c r="E458" s="7">
        <f>SUTTON!G9</f>
        <v>69402</v>
      </c>
      <c r="F458" s="7">
        <f>SUTTON!H9</f>
        <v>69638</v>
      </c>
      <c r="G458" s="7">
        <f>SUTTON!I9</f>
        <v>69082</v>
      </c>
      <c r="H458" s="7">
        <f>SUTTON!J9</f>
        <v>67700</v>
      </c>
      <c r="I458" s="7">
        <f>SUTTON!K9</f>
        <v>69578</v>
      </c>
      <c r="J458" s="7">
        <f>SUTTON!L9</f>
        <v>70119</v>
      </c>
      <c r="K458" s="7">
        <f>SUTTON!M9</f>
        <v>70821</v>
      </c>
      <c r="L458" s="7">
        <f>SUTTON!N9</f>
        <v>71136</v>
      </c>
      <c r="M458" s="7">
        <f>SUTTON!O9</f>
        <v>71494</v>
      </c>
      <c r="N458" s="34">
        <f t="shared" si="28"/>
        <v>7.9154716981132078E-2</v>
      </c>
      <c r="O458" s="34"/>
      <c r="P458" s="7">
        <f t="shared" si="29"/>
        <v>-1899</v>
      </c>
      <c r="Q458" s="1004">
        <f t="shared" si="30"/>
        <v>-2.587440219094464E-2</v>
      </c>
      <c r="R458" s="6">
        <v>431</v>
      </c>
      <c r="S458" s="6">
        <v>438</v>
      </c>
      <c r="T458" s="6">
        <v>378</v>
      </c>
      <c r="U458" s="6">
        <v>374</v>
      </c>
      <c r="V458" s="6">
        <v>355</v>
      </c>
      <c r="W458" s="6">
        <v>331</v>
      </c>
      <c r="X458" s="6">
        <v>348</v>
      </c>
      <c r="Y458" s="6">
        <v>349</v>
      </c>
      <c r="Z458" s="6">
        <v>351</v>
      </c>
      <c r="AA458" s="6">
        <v>295</v>
      </c>
      <c r="AB458" s="6">
        <v>348</v>
      </c>
      <c r="AC458" s="6">
        <v>359</v>
      </c>
      <c r="AD458" s="6">
        <f t="shared" si="31"/>
        <v>-11</v>
      </c>
      <c r="AE458" s="6" t="s">
        <v>15827</v>
      </c>
    </row>
    <row r="459" spans="1:31">
      <c r="A459" s="33" t="str">
        <f>'WEST MIDLANDS'!A55</f>
        <v>Sutton Coldfield BC</v>
      </c>
      <c r="B459" s="7">
        <f>'WEST MIDLANDS'!D55</f>
        <v>74877</v>
      </c>
      <c r="C459" s="7">
        <f>'WEST MIDLANDS'!E55</f>
        <v>75031</v>
      </c>
      <c r="D459" s="7">
        <f>'WEST MIDLANDS'!F55</f>
        <v>75567</v>
      </c>
      <c r="E459" s="7">
        <f>'WEST MIDLANDS'!G55</f>
        <v>75060</v>
      </c>
      <c r="F459" s="7">
        <f>'WEST MIDLANDS'!H55</f>
        <v>74855</v>
      </c>
      <c r="G459" s="7">
        <f>'WEST MIDLANDS'!I55</f>
        <v>75341</v>
      </c>
      <c r="H459" s="7">
        <f>'WEST MIDLANDS'!J55</f>
        <v>73172</v>
      </c>
      <c r="I459" s="7">
        <f>'WEST MIDLANDS'!K55</f>
        <v>73419</v>
      </c>
      <c r="J459" s="7">
        <f>'WEST MIDLANDS'!L55</f>
        <v>73443</v>
      </c>
      <c r="K459" s="7">
        <f>'WEST MIDLANDS'!M55</f>
        <v>72461</v>
      </c>
      <c r="L459" s="7">
        <f>'WEST MIDLANDS'!N55</f>
        <v>75215</v>
      </c>
      <c r="M459" s="7">
        <f>'WEST MIDLANDS'!O55</f>
        <v>74584</v>
      </c>
      <c r="N459" s="34">
        <f t="shared" si="28"/>
        <v>-3.9130841246310614E-3</v>
      </c>
      <c r="O459" s="34"/>
      <c r="P459" s="7">
        <f t="shared" si="29"/>
        <v>1191</v>
      </c>
      <c r="Q459" s="1004">
        <f t="shared" si="30"/>
        <v>1.6227705639502404E-2</v>
      </c>
      <c r="R459" s="6">
        <v>152</v>
      </c>
      <c r="S459" s="6">
        <v>166</v>
      </c>
      <c r="T459" s="6">
        <v>166</v>
      </c>
      <c r="U459" s="6">
        <v>182</v>
      </c>
      <c r="V459" s="6">
        <v>175</v>
      </c>
      <c r="W459" s="6">
        <v>136</v>
      </c>
      <c r="X459" s="6">
        <v>163</v>
      </c>
      <c r="Y459" s="6">
        <v>210</v>
      </c>
      <c r="Z459" s="6">
        <v>233</v>
      </c>
      <c r="AA459" s="6">
        <v>239</v>
      </c>
      <c r="AB459" s="6">
        <v>218</v>
      </c>
      <c r="AC459" s="6">
        <v>251</v>
      </c>
      <c r="AD459" s="6">
        <f t="shared" si="31"/>
        <v>-33</v>
      </c>
      <c r="AE459" s="6" t="s">
        <v>15824</v>
      </c>
    </row>
    <row r="460" spans="1:31">
      <c r="A460" s="33" t="str">
        <f>STAFFORDSHIRE!A53</f>
        <v>Tamworth CC</v>
      </c>
      <c r="B460" s="7">
        <f>STAFFORDSHIRE!D55</f>
        <v>71967</v>
      </c>
      <c r="C460" s="7">
        <f>STAFFORDSHIRE!E55</f>
        <v>72544</v>
      </c>
      <c r="D460" s="7">
        <f>STAFFORDSHIRE!F55</f>
        <v>72261</v>
      </c>
      <c r="E460" s="7">
        <f>STAFFORDSHIRE!G55</f>
        <v>72847</v>
      </c>
      <c r="F460" s="7">
        <f>STAFFORDSHIRE!H55</f>
        <v>72142</v>
      </c>
      <c r="G460" s="7">
        <f>STAFFORDSHIRE!I55</f>
        <v>71148</v>
      </c>
      <c r="H460" s="7">
        <f>STAFFORDSHIRE!J55</f>
        <v>70997</v>
      </c>
      <c r="I460" s="7">
        <f>STAFFORDSHIRE!K55</f>
        <v>71605</v>
      </c>
      <c r="J460" s="7">
        <f>STAFFORDSHIRE!L55</f>
        <v>71818</v>
      </c>
      <c r="K460" s="7">
        <f>STAFFORDSHIRE!M55</f>
        <v>70200</v>
      </c>
      <c r="L460" s="7">
        <f>STAFFORDSHIRE!N55</f>
        <v>71357</v>
      </c>
      <c r="M460" s="7">
        <f>STAFFORDSHIRE!O55</f>
        <v>71684</v>
      </c>
      <c r="N460" s="34">
        <f t="shared" si="28"/>
        <v>-3.9323578862534214E-3</v>
      </c>
      <c r="O460" s="34"/>
      <c r="P460" s="7">
        <f t="shared" si="29"/>
        <v>-1709</v>
      </c>
      <c r="Q460" s="1004">
        <f t="shared" si="30"/>
        <v>-2.3285599444088673E-2</v>
      </c>
      <c r="R460" s="6">
        <v>247</v>
      </c>
      <c r="S460" s="6">
        <v>252</v>
      </c>
      <c r="T460" s="6">
        <v>286</v>
      </c>
      <c r="U460" s="6">
        <v>270</v>
      </c>
      <c r="V460" s="6">
        <v>282</v>
      </c>
      <c r="W460" s="6">
        <v>262</v>
      </c>
      <c r="X460" s="6">
        <v>230</v>
      </c>
      <c r="Y460" s="6">
        <v>270</v>
      </c>
      <c r="Z460" s="6">
        <v>286</v>
      </c>
      <c r="AA460" s="6">
        <v>326</v>
      </c>
      <c r="AB460" s="6">
        <v>335</v>
      </c>
      <c r="AC460" s="6">
        <v>357</v>
      </c>
      <c r="AD460" s="6">
        <f t="shared" si="31"/>
        <v>-22</v>
      </c>
      <c r="AE460" s="6" t="s">
        <v>15824</v>
      </c>
    </row>
    <row r="461" spans="1:31">
      <c r="A461" s="33" t="str">
        <f>CHESHIRE!A29</f>
        <v>Tatton CC</v>
      </c>
      <c r="B461" s="7">
        <f>CHESHIRE!D31</f>
        <v>66236</v>
      </c>
      <c r="C461" s="7">
        <f>CHESHIRE!E31</f>
        <v>65200</v>
      </c>
      <c r="D461" s="7">
        <f>CHESHIRE!F31</f>
        <v>65356</v>
      </c>
      <c r="E461" s="7">
        <f>CHESHIRE!G31</f>
        <v>65571</v>
      </c>
      <c r="F461" s="7">
        <f>CHESHIRE!H31</f>
        <v>65531</v>
      </c>
      <c r="G461" s="7">
        <f>CHESHIRE!I31</f>
        <v>63170</v>
      </c>
      <c r="H461" s="7">
        <f>CHESHIRE!J31</f>
        <v>63358</v>
      </c>
      <c r="I461" s="7">
        <f>CHESHIRE!K31</f>
        <v>67631</v>
      </c>
      <c r="J461" s="7">
        <f>CHESHIRE!L31</f>
        <v>67750</v>
      </c>
      <c r="K461" s="7">
        <f>CHESHIRE!M31</f>
        <v>67480</v>
      </c>
      <c r="L461" s="7">
        <f>CHESHIRE!N31</f>
        <v>69134</v>
      </c>
      <c r="M461" s="7">
        <f>CHESHIRE!O31</f>
        <v>68477</v>
      </c>
      <c r="N461" s="34">
        <f t="shared" si="28"/>
        <v>3.3833564828794009E-2</v>
      </c>
      <c r="O461" s="34"/>
      <c r="P461" s="7">
        <f t="shared" si="29"/>
        <v>-4916</v>
      </c>
      <c r="Q461" s="1004">
        <f t="shared" si="30"/>
        <v>-6.6981864755494391E-2</v>
      </c>
      <c r="R461" s="6">
        <v>432</v>
      </c>
      <c r="S461" s="6">
        <v>472</v>
      </c>
      <c r="T461" s="6">
        <v>470</v>
      </c>
      <c r="U461" s="6">
        <v>475</v>
      </c>
      <c r="V461" s="6">
        <v>462</v>
      </c>
      <c r="W461" s="6">
        <v>479</v>
      </c>
      <c r="X461" s="6">
        <v>455</v>
      </c>
      <c r="Y461" s="6">
        <v>398</v>
      </c>
      <c r="Z461" s="6">
        <v>402</v>
      </c>
      <c r="AA461" s="6">
        <v>399</v>
      </c>
      <c r="AB461" s="6">
        <v>405</v>
      </c>
      <c r="AC461" s="6">
        <v>429</v>
      </c>
      <c r="AD461" s="6">
        <f t="shared" si="31"/>
        <v>-24</v>
      </c>
      <c r="AE461" s="6" t="s">
        <v>15825</v>
      </c>
    </row>
    <row r="462" spans="1:31">
      <c r="A462" s="33" t="str">
        <f>SOMERSET!A20</f>
        <v>Taunton Deane CC</v>
      </c>
      <c r="B462" s="7">
        <f>SOMERSET!D20</f>
        <v>82281</v>
      </c>
      <c r="C462" s="7">
        <f>SOMERSET!E20</f>
        <v>82882</v>
      </c>
      <c r="D462" s="7">
        <f>SOMERSET!F20</f>
        <v>83723</v>
      </c>
      <c r="E462" s="7">
        <f>SOMERSET!G20</f>
        <v>84162</v>
      </c>
      <c r="F462" s="7">
        <f>SOMERSET!H20</f>
        <v>76989</v>
      </c>
      <c r="G462" s="7">
        <f>SOMERSET!I20</f>
        <v>78505</v>
      </c>
      <c r="H462" s="7">
        <f>SOMERSET!J20</f>
        <v>78187</v>
      </c>
      <c r="I462" s="7">
        <f>SOMERSET!K20</f>
        <v>83150</v>
      </c>
      <c r="J462" s="7">
        <f>SOMERSET!L20</f>
        <v>84295</v>
      </c>
      <c r="K462" s="7">
        <f>SOMERSET!M20</f>
        <v>83657</v>
      </c>
      <c r="L462" s="7">
        <f>SOMERSET!N20</f>
        <v>86767</v>
      </c>
      <c r="M462" s="7">
        <f>SOMERSET!O20</f>
        <v>87333</v>
      </c>
      <c r="N462" s="34">
        <f t="shared" si="28"/>
        <v>6.1399351004484633E-2</v>
      </c>
      <c r="O462" s="34"/>
      <c r="P462" s="7">
        <f t="shared" si="29"/>
        <v>13940</v>
      </c>
      <c r="Q462" s="1004">
        <f t="shared" si="30"/>
        <v>0.1899363699535378</v>
      </c>
      <c r="R462" s="6">
        <v>18</v>
      </c>
      <c r="S462" s="6">
        <v>20</v>
      </c>
      <c r="T462" s="6">
        <v>19</v>
      </c>
      <c r="U462" s="6">
        <v>20</v>
      </c>
      <c r="V462" s="6">
        <v>124</v>
      </c>
      <c r="W462" s="6">
        <v>63</v>
      </c>
      <c r="X462" s="6">
        <v>51</v>
      </c>
      <c r="Y462" s="6">
        <v>25</v>
      </c>
      <c r="Z462" s="6">
        <v>22</v>
      </c>
      <c r="AA462" s="6">
        <v>23</v>
      </c>
      <c r="AB462" s="6">
        <v>22</v>
      </c>
      <c r="AC462" s="6">
        <v>26</v>
      </c>
      <c r="AD462" s="6">
        <f t="shared" si="31"/>
        <v>-4</v>
      </c>
      <c r="AE462" s="6" t="s">
        <v>15830</v>
      </c>
    </row>
    <row r="463" spans="1:31">
      <c r="A463" s="33" t="str">
        <f>'SHROPSHIRE &amp; TELFORD &amp; WREKIN '!A17</f>
        <v>Telford BC</v>
      </c>
      <c r="B463" s="7">
        <f>'SHROPSHIRE &amp; TELFORD &amp; WREKIN '!D17</f>
        <v>65363</v>
      </c>
      <c r="C463" s="7">
        <f>'SHROPSHIRE &amp; TELFORD &amp; WREKIN '!E17</f>
        <v>65938</v>
      </c>
      <c r="D463" s="7">
        <f>'SHROPSHIRE &amp; TELFORD &amp; WREKIN '!F17</f>
        <v>66470</v>
      </c>
      <c r="E463" s="7">
        <f>'SHROPSHIRE &amp; TELFORD &amp; WREKIN '!G17</f>
        <v>67173</v>
      </c>
      <c r="F463" s="7">
        <f>'SHROPSHIRE &amp; TELFORD &amp; WREKIN '!H17</f>
        <v>67041</v>
      </c>
      <c r="G463" s="7">
        <f>'SHROPSHIRE &amp; TELFORD &amp; WREKIN '!I17</f>
        <v>65289</v>
      </c>
      <c r="H463" s="7">
        <f>'SHROPSHIRE &amp; TELFORD &amp; WREKIN '!J17</f>
        <v>64816</v>
      </c>
      <c r="I463" s="7">
        <f>'SHROPSHIRE &amp; TELFORD &amp; WREKIN '!K17</f>
        <v>66157</v>
      </c>
      <c r="J463" s="7">
        <f>'SHROPSHIRE &amp; TELFORD &amp; WREKIN '!L17</f>
        <v>66579</v>
      </c>
      <c r="K463" s="7">
        <f>'SHROPSHIRE &amp; TELFORD &amp; WREKIN '!M17</f>
        <v>66766</v>
      </c>
      <c r="L463" s="7">
        <f>'SHROPSHIRE &amp; TELFORD &amp; WREKIN '!N17</f>
        <v>69362</v>
      </c>
      <c r="M463" s="7">
        <f>'SHROPSHIRE &amp; TELFORD &amp; WREKIN '!O17</f>
        <v>69331</v>
      </c>
      <c r="N463" s="34">
        <f t="shared" si="28"/>
        <v>6.0707127885806955E-2</v>
      </c>
      <c r="O463" s="34"/>
      <c r="P463" s="7">
        <f t="shared" si="29"/>
        <v>-4062</v>
      </c>
      <c r="Q463" s="1004">
        <f t="shared" si="30"/>
        <v>-5.5345877672257571E-2</v>
      </c>
      <c r="R463" s="6">
        <v>454</v>
      </c>
      <c r="S463" s="6">
        <v>453</v>
      </c>
      <c r="T463" s="6">
        <v>448</v>
      </c>
      <c r="U463" s="6">
        <v>438</v>
      </c>
      <c r="V463" s="6">
        <v>422</v>
      </c>
      <c r="W463" s="6">
        <v>429</v>
      </c>
      <c r="X463" s="6">
        <v>423</v>
      </c>
      <c r="Y463" s="6">
        <v>426</v>
      </c>
      <c r="Z463" s="6">
        <v>426</v>
      </c>
      <c r="AA463" s="6">
        <v>417</v>
      </c>
      <c r="AB463" s="6">
        <v>400</v>
      </c>
      <c r="AC463" s="6">
        <v>412</v>
      </c>
      <c r="AD463" s="6">
        <f t="shared" si="31"/>
        <v>-12</v>
      </c>
      <c r="AE463" s="6" t="s">
        <v>15824</v>
      </c>
    </row>
    <row r="464" spans="1:31">
      <c r="A464" s="33" t="str">
        <f>GLOUCESTERSHIRE!A24</f>
        <v>Tewkesbury CC</v>
      </c>
      <c r="B464" s="7">
        <f>GLOUCESTERSHIRE!D27</f>
        <v>76406</v>
      </c>
      <c r="C464" s="7">
        <f>GLOUCESTERSHIRE!E27</f>
        <v>77206</v>
      </c>
      <c r="D464" s="7">
        <f>GLOUCESTERSHIRE!F27</f>
        <v>77943</v>
      </c>
      <c r="E464" s="7">
        <f>GLOUCESTERSHIRE!G27</f>
        <v>78527</v>
      </c>
      <c r="F464" s="7">
        <f>GLOUCESTERSHIRE!H27</f>
        <v>78438</v>
      </c>
      <c r="G464" s="7">
        <f>GLOUCESTERSHIRE!I27</f>
        <v>77633</v>
      </c>
      <c r="H464" s="7">
        <f>GLOUCESTERSHIRE!J27</f>
        <v>78462</v>
      </c>
      <c r="I464" s="7">
        <f>GLOUCESTERSHIRE!K27</f>
        <v>80456</v>
      </c>
      <c r="J464" s="7">
        <f>GLOUCESTERSHIRE!L27</f>
        <v>82436</v>
      </c>
      <c r="K464" s="7">
        <f>GLOUCESTERSHIRE!M27</f>
        <v>81853</v>
      </c>
      <c r="L464" s="7">
        <f>GLOUCESTERSHIRE!N27</f>
        <v>82647</v>
      </c>
      <c r="M464" s="7">
        <f>GLOUCESTERSHIRE!O27</f>
        <v>83818</v>
      </c>
      <c r="N464" s="34">
        <f t="shared" si="28"/>
        <v>9.7008088370023296E-2</v>
      </c>
      <c r="O464" s="34"/>
      <c r="P464" s="7">
        <f t="shared" si="29"/>
        <v>10425</v>
      </c>
      <c r="Q464" s="1004">
        <f t="shared" si="30"/>
        <v>0.14204351913670241</v>
      </c>
      <c r="R464" s="6">
        <v>116</v>
      </c>
      <c r="S464" s="6">
        <v>102</v>
      </c>
      <c r="T464" s="6">
        <v>93</v>
      </c>
      <c r="U464" s="6">
        <v>89</v>
      </c>
      <c r="V464" s="6">
        <v>90</v>
      </c>
      <c r="W464" s="6">
        <v>77</v>
      </c>
      <c r="X464" s="6">
        <v>45</v>
      </c>
      <c r="Y464" s="6">
        <v>57</v>
      </c>
      <c r="Z464" s="6">
        <v>39</v>
      </c>
      <c r="AA464" s="6">
        <v>42</v>
      </c>
      <c r="AB464" s="6">
        <v>65</v>
      </c>
      <c r="AC464" s="6">
        <v>59</v>
      </c>
      <c r="AD464" s="6">
        <f t="shared" si="31"/>
        <v>6</v>
      </c>
      <c r="AE464" s="6" t="s">
        <v>15830</v>
      </c>
    </row>
    <row r="465" spans="1:31">
      <c r="A465" s="33" t="str">
        <f>GLOUCESTERSHIRE!A29</f>
        <v>The Cotswolds CC</v>
      </c>
      <c r="B465" s="7">
        <f>GLOUCESTERSHIRE!D31</f>
        <v>77138</v>
      </c>
      <c r="C465" s="7">
        <f>GLOUCESTERSHIRE!E31</f>
        <v>78439</v>
      </c>
      <c r="D465" s="7">
        <f>GLOUCESTERSHIRE!F31</f>
        <v>78415</v>
      </c>
      <c r="E465" s="7">
        <f>GLOUCESTERSHIRE!G31</f>
        <v>78336</v>
      </c>
      <c r="F465" s="7">
        <f>GLOUCESTERSHIRE!H31</f>
        <v>77960</v>
      </c>
      <c r="G465" s="7">
        <f>GLOUCESTERSHIRE!I31</f>
        <v>76863</v>
      </c>
      <c r="H465" s="7">
        <f>GLOUCESTERSHIRE!J31</f>
        <v>76210</v>
      </c>
      <c r="I465" s="7">
        <f>GLOUCESTERSHIRE!K31</f>
        <v>78090</v>
      </c>
      <c r="J465" s="7">
        <f>GLOUCESTERSHIRE!L31</f>
        <v>79617</v>
      </c>
      <c r="K465" s="7">
        <f>GLOUCESTERSHIRE!M31</f>
        <v>79490</v>
      </c>
      <c r="L465" s="7">
        <f>GLOUCESTERSHIRE!N31</f>
        <v>80771</v>
      </c>
      <c r="M465" s="7">
        <f>GLOUCESTERSHIRE!O31</f>
        <v>82052</v>
      </c>
      <c r="N465" s="34">
        <f t="shared" si="28"/>
        <v>6.3704010993284765E-2</v>
      </c>
      <c r="O465" s="34"/>
      <c r="P465" s="7">
        <f t="shared" si="29"/>
        <v>8659</v>
      </c>
      <c r="Q465" s="1004">
        <f t="shared" si="30"/>
        <v>0.11798127886855694</v>
      </c>
      <c r="R465" s="6">
        <v>90</v>
      </c>
      <c r="S465" s="6">
        <v>71</v>
      </c>
      <c r="T465" s="6">
        <v>81</v>
      </c>
      <c r="U465" s="6">
        <v>98</v>
      </c>
      <c r="V465" s="6">
        <v>103</v>
      </c>
      <c r="W465" s="6">
        <v>98</v>
      </c>
      <c r="X465" s="6">
        <v>93</v>
      </c>
      <c r="Y465" s="6">
        <v>105</v>
      </c>
      <c r="Z465" s="6">
        <v>85</v>
      </c>
      <c r="AA465" s="6">
        <v>79</v>
      </c>
      <c r="AB465" s="6">
        <v>97</v>
      </c>
      <c r="AC465" s="6">
        <v>87</v>
      </c>
      <c r="AD465" s="6">
        <f t="shared" si="31"/>
        <v>10</v>
      </c>
      <c r="AE465" s="6" t="s">
        <v>15830</v>
      </c>
    </row>
    <row r="466" spans="1:31">
      <c r="A466" s="33" t="str">
        <f>'SHROPSHIRE &amp; TELFORD &amp; WREKIN '!A19</f>
        <v>The Wrekin CC</v>
      </c>
      <c r="B466" s="7">
        <f>'SHROPSHIRE &amp; TELFORD &amp; WREKIN '!D21</f>
        <v>65477</v>
      </c>
      <c r="C466" s="7">
        <f>'SHROPSHIRE &amp; TELFORD &amp; WREKIN '!E21</f>
        <v>66111</v>
      </c>
      <c r="D466" s="7">
        <f>'SHROPSHIRE &amp; TELFORD &amp; WREKIN '!F21</f>
        <v>66205</v>
      </c>
      <c r="E466" s="7">
        <f>'SHROPSHIRE &amp; TELFORD &amp; WREKIN '!G21</f>
        <v>66999</v>
      </c>
      <c r="F466" s="7">
        <f>'SHROPSHIRE &amp; TELFORD &amp; WREKIN '!H21</f>
        <v>65540</v>
      </c>
      <c r="G466" s="7">
        <f>'SHROPSHIRE &amp; TELFORD &amp; WREKIN '!I21</f>
        <v>65183</v>
      </c>
      <c r="H466" s="7">
        <f>'SHROPSHIRE &amp; TELFORD &amp; WREKIN '!J21</f>
        <v>65008</v>
      </c>
      <c r="I466" s="7">
        <f>'SHROPSHIRE &amp; TELFORD &amp; WREKIN '!K21</f>
        <v>66778</v>
      </c>
      <c r="J466" s="7">
        <f>'SHROPSHIRE &amp; TELFORD &amp; WREKIN '!L21</f>
        <v>68026</v>
      </c>
      <c r="K466" s="7">
        <f>'SHROPSHIRE &amp; TELFORD &amp; WREKIN '!M21</f>
        <v>68629</v>
      </c>
      <c r="L466" s="7">
        <f>'SHROPSHIRE &amp; TELFORD &amp; WREKIN '!N21</f>
        <v>71237</v>
      </c>
      <c r="M466" s="7">
        <f>'SHROPSHIRE &amp; TELFORD &amp; WREKIN '!O21</f>
        <v>71077</v>
      </c>
      <c r="N466" s="34">
        <f t="shared" si="28"/>
        <v>8.552621531224705E-2</v>
      </c>
      <c r="O466" s="34"/>
      <c r="P466" s="7">
        <f t="shared" si="29"/>
        <v>-2316</v>
      </c>
      <c r="Q466" s="1004">
        <f t="shared" si="30"/>
        <v>-3.1556142956412736E-2</v>
      </c>
      <c r="R466" s="6">
        <v>450</v>
      </c>
      <c r="S466" s="6">
        <v>449</v>
      </c>
      <c r="T466" s="6">
        <v>452</v>
      </c>
      <c r="U466" s="6">
        <v>442</v>
      </c>
      <c r="V466" s="6">
        <v>461</v>
      </c>
      <c r="W466" s="6">
        <v>434</v>
      </c>
      <c r="X466" s="6">
        <v>417</v>
      </c>
      <c r="Y466" s="6">
        <v>416</v>
      </c>
      <c r="Z466" s="6">
        <v>399</v>
      </c>
      <c r="AA466" s="6">
        <v>373</v>
      </c>
      <c r="AB466" s="6">
        <v>342</v>
      </c>
      <c r="AC466" s="6">
        <v>369</v>
      </c>
      <c r="AD466" s="6">
        <f t="shared" si="31"/>
        <v>-27</v>
      </c>
      <c r="AE466" s="6" t="s">
        <v>15824</v>
      </c>
    </row>
    <row r="467" spans="1:31">
      <c r="A467" s="33" t="str">
        <f>'NORTH YORKSHIRE'!A31</f>
        <v>Thirsk and Malton CC</v>
      </c>
      <c r="B467" s="7">
        <f>'NORTH YORKSHIRE'!D34</f>
        <v>76833</v>
      </c>
      <c r="C467" s="7">
        <f>'NORTH YORKSHIRE'!E34</f>
        <v>77230</v>
      </c>
      <c r="D467" s="7">
        <f>'NORTH YORKSHIRE'!F34</f>
        <v>77446</v>
      </c>
      <c r="E467" s="7">
        <f>'NORTH YORKSHIRE'!G34</f>
        <v>77992</v>
      </c>
      <c r="F467" s="7">
        <f>'NORTH YORKSHIRE'!H34</f>
        <v>76782</v>
      </c>
      <c r="G467" s="7">
        <f>'NORTH YORKSHIRE'!I34</f>
        <v>75832</v>
      </c>
      <c r="H467" s="7">
        <f>'NORTH YORKSHIRE'!J34</f>
        <v>74152</v>
      </c>
      <c r="I467" s="7">
        <f>'NORTH YORKSHIRE'!K34</f>
        <v>77766</v>
      </c>
      <c r="J467" s="7">
        <f>'NORTH YORKSHIRE'!L34</f>
        <v>78101</v>
      </c>
      <c r="K467" s="7">
        <f>'NORTH YORKSHIRE'!M34</f>
        <v>78177</v>
      </c>
      <c r="L467" s="7">
        <f>'NORTH YORKSHIRE'!N34</f>
        <v>79964</v>
      </c>
      <c r="M467" s="7">
        <f>'NORTH YORKSHIRE'!O34</f>
        <v>81062</v>
      </c>
      <c r="N467" s="34">
        <f t="shared" si="28"/>
        <v>5.5041453542097794E-2</v>
      </c>
      <c r="O467" s="34"/>
      <c r="P467" s="7">
        <f t="shared" si="29"/>
        <v>7669</v>
      </c>
      <c r="Q467" s="1004">
        <f t="shared" si="30"/>
        <v>0.10449225402967585</v>
      </c>
      <c r="R467" s="6">
        <v>100</v>
      </c>
      <c r="S467" s="6">
        <v>101</v>
      </c>
      <c r="T467" s="6">
        <v>112</v>
      </c>
      <c r="U467" s="6">
        <v>107</v>
      </c>
      <c r="V467" s="6">
        <v>130</v>
      </c>
      <c r="W467" s="6">
        <v>127</v>
      </c>
      <c r="X467" s="6">
        <v>141</v>
      </c>
      <c r="Y467" s="6">
        <v>112</v>
      </c>
      <c r="Z467" s="6">
        <v>121</v>
      </c>
      <c r="AA467" s="6">
        <v>107</v>
      </c>
      <c r="AB467" s="6">
        <v>111</v>
      </c>
      <c r="AC467" s="6">
        <v>102</v>
      </c>
      <c r="AD467" s="6">
        <f t="shared" si="31"/>
        <v>9</v>
      </c>
      <c r="AE467" s="6" t="s">
        <v>15828</v>
      </c>
    </row>
    <row r="468" spans="1:31">
      <c r="A468" s="33" t="str">
        <f>'SOUTH GLOUCESTERSHIRE'!A11</f>
        <v>Thornbury and Yate CC</v>
      </c>
      <c r="B468" s="7">
        <f>'SOUTH GLOUCESTERSHIRE'!D11</f>
        <v>64087</v>
      </c>
      <c r="C468" s="7">
        <f>'SOUTH GLOUCESTERSHIRE'!E11</f>
        <v>64736</v>
      </c>
      <c r="D468" s="7">
        <f>'SOUTH GLOUCESTERSHIRE'!F11</f>
        <v>65289</v>
      </c>
      <c r="E468" s="7">
        <f>'SOUTH GLOUCESTERSHIRE'!G11</f>
        <v>65747</v>
      </c>
      <c r="F468" s="7">
        <f>'SOUTH GLOUCESTERSHIRE'!H11</f>
        <v>65702</v>
      </c>
      <c r="G468" s="7">
        <f>'SOUTH GLOUCESTERSHIRE'!I11</f>
        <v>65313</v>
      </c>
      <c r="H468" s="7">
        <f>'SOUTH GLOUCESTERSHIRE'!J11</f>
        <v>65569</v>
      </c>
      <c r="I468" s="7">
        <f>'SOUTH GLOUCESTERSHIRE'!K11</f>
        <v>66818</v>
      </c>
      <c r="J468" s="7">
        <f>'SOUTH GLOUCESTERSHIRE'!L11</f>
        <v>64368</v>
      </c>
      <c r="K468" s="7">
        <f>'SOUTH GLOUCESTERSHIRE'!M11</f>
        <v>66712</v>
      </c>
      <c r="L468" s="7">
        <f>'SOUTH GLOUCESTERSHIRE'!N11</f>
        <v>69801</v>
      </c>
      <c r="M468" s="7">
        <f>'SOUTH GLOUCESTERSHIRE'!O11</f>
        <v>69688</v>
      </c>
      <c r="N468" s="34">
        <f t="shared" si="28"/>
        <v>8.7396819947883342E-2</v>
      </c>
      <c r="O468" s="34"/>
      <c r="P468" s="7">
        <f t="shared" si="29"/>
        <v>-3705</v>
      </c>
      <c r="Q468" s="1004">
        <f t="shared" si="30"/>
        <v>-5.0481653563691359E-2</v>
      </c>
      <c r="R468" s="6">
        <v>481</v>
      </c>
      <c r="S468" s="6">
        <v>482</v>
      </c>
      <c r="T468" s="6">
        <v>475</v>
      </c>
      <c r="U468" s="6">
        <v>471</v>
      </c>
      <c r="V468" s="6">
        <v>456</v>
      </c>
      <c r="W468" s="6">
        <v>428</v>
      </c>
      <c r="X468" s="6">
        <v>411</v>
      </c>
      <c r="Y468" s="6">
        <v>414</v>
      </c>
      <c r="Z468" s="6">
        <v>472</v>
      </c>
      <c r="AA468" s="6">
        <v>419</v>
      </c>
      <c r="AB468" s="6">
        <v>393</v>
      </c>
      <c r="AC468" s="6">
        <v>402</v>
      </c>
      <c r="AD468" s="6">
        <f t="shared" si="31"/>
        <v>-9</v>
      </c>
      <c r="AE468" s="6" t="s">
        <v>15830</v>
      </c>
    </row>
    <row r="469" spans="1:31">
      <c r="A469" s="33" t="str">
        <f>ESSEX!A75</f>
        <v>Thurrock BC</v>
      </c>
      <c r="B469" s="7">
        <f>ESSEX!D75</f>
        <v>77723</v>
      </c>
      <c r="C469" s="7">
        <f>ESSEX!E75</f>
        <v>77667</v>
      </c>
      <c r="D469" s="7">
        <f>ESSEX!F75</f>
        <v>77540</v>
      </c>
      <c r="E469" s="7">
        <f>ESSEX!G75</f>
        <v>77207</v>
      </c>
      <c r="F469" s="7">
        <f>ESSEX!H75</f>
        <v>77460</v>
      </c>
      <c r="G469" s="7">
        <f>ESSEX!I75</f>
        <v>76455</v>
      </c>
      <c r="H469" s="7">
        <f>ESSEX!J75</f>
        <v>75935</v>
      </c>
      <c r="I469" s="7">
        <f>ESSEX!K75</f>
        <v>77425</v>
      </c>
      <c r="J469" s="7">
        <f>ESSEX!L75</f>
        <v>77788</v>
      </c>
      <c r="K469" s="7">
        <f>ESSEX!M75</f>
        <v>77629</v>
      </c>
      <c r="L469" s="7">
        <f>ESSEX!N75</f>
        <v>77730</v>
      </c>
      <c r="M469" s="7">
        <f>ESSEX!O75</f>
        <v>80392</v>
      </c>
      <c r="N469" s="34">
        <f t="shared" si="28"/>
        <v>3.4339899386282055E-2</v>
      </c>
      <c r="O469" s="34"/>
      <c r="P469" s="7">
        <f t="shared" si="29"/>
        <v>6999</v>
      </c>
      <c r="Q469" s="1004">
        <f t="shared" si="30"/>
        <v>9.536331802760481E-2</v>
      </c>
      <c r="R469" s="6">
        <v>72</v>
      </c>
      <c r="S469" s="6">
        <v>90</v>
      </c>
      <c r="T469" s="6">
        <v>107</v>
      </c>
      <c r="U469" s="6">
        <v>135</v>
      </c>
      <c r="V469" s="6">
        <v>116</v>
      </c>
      <c r="W469" s="6">
        <v>109</v>
      </c>
      <c r="X469" s="6">
        <v>97</v>
      </c>
      <c r="Y469" s="6">
        <v>119</v>
      </c>
      <c r="Z469" s="6">
        <v>126</v>
      </c>
      <c r="AA469" s="6">
        <v>122</v>
      </c>
      <c r="AB469" s="6">
        <v>164</v>
      </c>
      <c r="AC469" s="6">
        <v>120</v>
      </c>
      <c r="AD469" s="6">
        <f t="shared" si="31"/>
        <v>44</v>
      </c>
      <c r="AE469" s="6" t="s">
        <v>15829</v>
      </c>
    </row>
    <row r="470" spans="1:31">
      <c r="A470" s="33" t="str">
        <f>DEVON!A47</f>
        <v>Tiverton and Honiton CC</v>
      </c>
      <c r="B470" s="7">
        <f>DEVON!D49</f>
        <v>76717</v>
      </c>
      <c r="C470" s="7">
        <f>DEVON!E49</f>
        <v>75839</v>
      </c>
      <c r="D470" s="7">
        <f>DEVON!F49</f>
        <v>75975</v>
      </c>
      <c r="E470" s="7">
        <f>DEVON!G49</f>
        <v>76117</v>
      </c>
      <c r="F470" s="7">
        <f>DEVON!H49</f>
        <v>73305</v>
      </c>
      <c r="G470" s="7">
        <f>DEVON!I49</f>
        <v>74722</v>
      </c>
      <c r="H470" s="7">
        <f>DEVON!J49</f>
        <v>75784</v>
      </c>
      <c r="I470" s="7">
        <f>DEVON!K49</f>
        <v>78520</v>
      </c>
      <c r="J470" s="7">
        <f>DEVON!L49</f>
        <v>81085</v>
      </c>
      <c r="K470" s="7">
        <f>DEVON!M49</f>
        <v>81164</v>
      </c>
      <c r="L470" s="7">
        <f>DEVON!N49</f>
        <v>81392</v>
      </c>
      <c r="M470" s="7">
        <f>DEVON!O49</f>
        <v>82872</v>
      </c>
      <c r="N470" s="34">
        <f t="shared" si="28"/>
        <v>8.0229935998540086E-2</v>
      </c>
      <c r="O470" s="34"/>
      <c r="P470" s="7">
        <f t="shared" si="29"/>
        <v>9479</v>
      </c>
      <c r="Q470" s="1004">
        <f t="shared" si="30"/>
        <v>0.1291540065128827</v>
      </c>
      <c r="R470" s="6">
        <v>106</v>
      </c>
      <c r="S470" s="6">
        <v>144</v>
      </c>
      <c r="T470" s="6">
        <v>156</v>
      </c>
      <c r="U470" s="6">
        <v>155</v>
      </c>
      <c r="V470" s="6">
        <v>234</v>
      </c>
      <c r="W470" s="6">
        <v>150</v>
      </c>
      <c r="X470" s="6">
        <v>101</v>
      </c>
      <c r="Y470" s="6">
        <v>93</v>
      </c>
      <c r="Z470" s="6">
        <v>61</v>
      </c>
      <c r="AA470" s="6">
        <v>53</v>
      </c>
      <c r="AB470" s="6">
        <v>81</v>
      </c>
      <c r="AC470" s="6">
        <v>74</v>
      </c>
      <c r="AD470" s="6">
        <f t="shared" si="31"/>
        <v>7</v>
      </c>
      <c r="AE470" s="6" t="s">
        <v>15830</v>
      </c>
    </row>
    <row r="471" spans="1:31">
      <c r="A471" s="33" t="str">
        <f>KENT!A68</f>
        <v>Tonbridge and Malling CC</v>
      </c>
      <c r="B471" s="7">
        <f>KENT!D70</f>
        <v>71009</v>
      </c>
      <c r="C471" s="7">
        <f>KENT!E70</f>
        <v>71989</v>
      </c>
      <c r="D471" s="7">
        <f>KENT!F70</f>
        <v>72836</v>
      </c>
      <c r="E471" s="7">
        <f>KENT!G70</f>
        <v>73607</v>
      </c>
      <c r="F471" s="7">
        <f>KENT!H70</f>
        <v>70199</v>
      </c>
      <c r="G471" s="7">
        <f>KENT!I70</f>
        <v>72671</v>
      </c>
      <c r="H471" s="7">
        <f>KENT!J70</f>
        <v>73617</v>
      </c>
      <c r="I471" s="7">
        <f>KENT!K70</f>
        <v>76689</v>
      </c>
      <c r="J471" s="7">
        <f>KENT!L70</f>
        <v>77545</v>
      </c>
      <c r="K471" s="7">
        <f>KENT!M70</f>
        <v>77383</v>
      </c>
      <c r="L471" s="7">
        <f>KENT!N70</f>
        <v>78372</v>
      </c>
      <c r="M471" s="7">
        <f>KENT!O70</f>
        <v>80368</v>
      </c>
      <c r="N471" s="34">
        <f t="shared" si="28"/>
        <v>0.13180019434156234</v>
      </c>
      <c r="O471" s="34"/>
      <c r="P471" s="7">
        <f t="shared" si="29"/>
        <v>6975</v>
      </c>
      <c r="Q471" s="1004">
        <f t="shared" si="30"/>
        <v>9.5036311364844056E-2</v>
      </c>
      <c r="R471" s="6">
        <v>293</v>
      </c>
      <c r="S471" s="6">
        <v>273</v>
      </c>
      <c r="T471" s="6">
        <v>254</v>
      </c>
      <c r="U471" s="6">
        <v>231</v>
      </c>
      <c r="V471" s="6">
        <v>349</v>
      </c>
      <c r="W471" s="6">
        <v>201</v>
      </c>
      <c r="X471" s="6">
        <v>151</v>
      </c>
      <c r="Y471" s="6">
        <v>134</v>
      </c>
      <c r="Z471" s="6">
        <v>130</v>
      </c>
      <c r="AA471" s="6">
        <v>127</v>
      </c>
      <c r="AB471" s="6">
        <v>150</v>
      </c>
      <c r="AC471" s="6">
        <v>122</v>
      </c>
      <c r="AD471" s="6">
        <f t="shared" si="31"/>
        <v>28</v>
      </c>
      <c r="AE471" s="6" t="s">
        <v>15823</v>
      </c>
    </row>
    <row r="472" spans="1:31">
      <c r="A472" s="33" t="str">
        <f>WANDSWORTH!A11</f>
        <v>Tooting BC</v>
      </c>
      <c r="B472" s="7">
        <f>WANDSWORTH!D11</f>
        <v>71993</v>
      </c>
      <c r="C472" s="7">
        <f>WANDSWORTH!E11</f>
        <v>72707</v>
      </c>
      <c r="D472" s="7">
        <f>WANDSWORTH!F11</f>
        <v>72797</v>
      </c>
      <c r="E472" s="7">
        <f>WANDSWORTH!G11</f>
        <v>72538</v>
      </c>
      <c r="F472" s="7">
        <f>WANDSWORTH!H11</f>
        <v>73137</v>
      </c>
      <c r="G472" s="7">
        <f>WANDSWORTH!I11</f>
        <v>70286</v>
      </c>
      <c r="H472" s="7">
        <f>WANDSWORTH!J11</f>
        <v>71428</v>
      </c>
      <c r="I472" s="7">
        <f>WANDSWORTH!K11</f>
        <v>71383</v>
      </c>
      <c r="J472" s="7">
        <f>WANDSWORTH!L11</f>
        <v>73213</v>
      </c>
      <c r="K472" s="7">
        <f>WANDSWORTH!M11</f>
        <v>68879</v>
      </c>
      <c r="L472" s="7">
        <f>WANDSWORTH!N11</f>
        <v>71370</v>
      </c>
      <c r="M472" s="7">
        <f>WANDSWORTH!O11</f>
        <v>76986</v>
      </c>
      <c r="N472" s="34">
        <f t="shared" si="28"/>
        <v>6.9353964968816406E-2</v>
      </c>
      <c r="O472" s="34"/>
      <c r="P472" s="7">
        <f t="shared" si="29"/>
        <v>3593</v>
      </c>
      <c r="Q472" s="1004">
        <f t="shared" si="30"/>
        <v>4.8955622470807841E-2</v>
      </c>
      <c r="R472" s="6">
        <v>245</v>
      </c>
      <c r="S472" s="6">
        <v>242</v>
      </c>
      <c r="T472" s="6">
        <v>257</v>
      </c>
      <c r="U472" s="6">
        <v>287</v>
      </c>
      <c r="V472" s="6">
        <v>242</v>
      </c>
      <c r="W472" s="6">
        <v>281</v>
      </c>
      <c r="X472" s="6">
        <v>218</v>
      </c>
      <c r="Y472" s="6">
        <v>282</v>
      </c>
      <c r="Z472" s="6">
        <v>239</v>
      </c>
      <c r="AA472" s="6">
        <v>364</v>
      </c>
      <c r="AB472" s="6">
        <v>334</v>
      </c>
      <c r="AC472" s="6">
        <v>196</v>
      </c>
      <c r="AD472" s="6">
        <f t="shared" si="31"/>
        <v>138</v>
      </c>
      <c r="AE472" s="6" t="s">
        <v>15827</v>
      </c>
    </row>
    <row r="473" spans="1:31">
      <c r="A473" s="33" t="str">
        <f>DEVON!A51</f>
        <v>Torbay BC</v>
      </c>
      <c r="B473" s="7">
        <f>DEVON!D51</f>
        <v>76253</v>
      </c>
      <c r="C473" s="7">
        <f>DEVON!E51</f>
        <v>76219</v>
      </c>
      <c r="D473" s="7">
        <f>DEVON!F51</f>
        <v>76793</v>
      </c>
      <c r="E473" s="7">
        <f>DEVON!G51</f>
        <v>77769</v>
      </c>
      <c r="F473" s="7">
        <f>DEVON!H51</f>
        <v>78410</v>
      </c>
      <c r="G473" s="7">
        <f>DEVON!I51</f>
        <v>75754</v>
      </c>
      <c r="H473" s="7">
        <f>DEVON!J51</f>
        <v>71459</v>
      </c>
      <c r="I473" s="7">
        <f>DEVON!K51</f>
        <v>73277</v>
      </c>
      <c r="J473" s="7">
        <f>DEVON!L51</f>
        <v>74377</v>
      </c>
      <c r="K473" s="7">
        <f>DEVON!M51</f>
        <v>71954</v>
      </c>
      <c r="L473" s="7">
        <f>DEVON!N51</f>
        <v>74942</v>
      </c>
      <c r="M473" s="7">
        <f>DEVON!O51</f>
        <v>74783</v>
      </c>
      <c r="N473" s="34">
        <f t="shared" si="28"/>
        <v>-1.9277930048653823E-2</v>
      </c>
      <c r="O473" s="34"/>
      <c r="P473" s="7">
        <f t="shared" si="29"/>
        <v>1390</v>
      </c>
      <c r="Q473" s="1004">
        <f t="shared" si="30"/>
        <v>1.8939135884893654E-2</v>
      </c>
      <c r="R473" s="6">
        <v>119</v>
      </c>
      <c r="S473" s="6">
        <v>134</v>
      </c>
      <c r="T473" s="6">
        <v>132</v>
      </c>
      <c r="U473" s="6">
        <v>117</v>
      </c>
      <c r="V473" s="6">
        <v>92</v>
      </c>
      <c r="W473" s="6">
        <v>129</v>
      </c>
      <c r="X473" s="6">
        <v>216</v>
      </c>
      <c r="Y473" s="6">
        <v>214</v>
      </c>
      <c r="Z473" s="6">
        <v>200</v>
      </c>
      <c r="AA473" s="6">
        <v>254</v>
      </c>
      <c r="AB473" s="6">
        <v>228</v>
      </c>
      <c r="AC473" s="6">
        <v>246</v>
      </c>
      <c r="AD473" s="6">
        <f t="shared" si="31"/>
        <v>-18</v>
      </c>
      <c r="AE473" s="6" t="s">
        <v>15830</v>
      </c>
    </row>
    <row r="474" spans="1:31">
      <c r="A474" s="33" t="str">
        <f>DEVON!A53</f>
        <v>Torridge and West Devon CC</v>
      </c>
      <c r="B474" s="7">
        <f>DEVON!D55</f>
        <v>76574</v>
      </c>
      <c r="C474" s="7">
        <f>DEVON!E55</f>
        <v>77417</v>
      </c>
      <c r="D474" s="7">
        <f>DEVON!F55</f>
        <v>78043</v>
      </c>
      <c r="E474" s="7">
        <f>DEVON!G55</f>
        <v>78842</v>
      </c>
      <c r="F474" s="7">
        <f>DEVON!H55</f>
        <v>78279</v>
      </c>
      <c r="G474" s="7">
        <f>DEVON!I55</f>
        <v>77456</v>
      </c>
      <c r="H474" s="7">
        <f>DEVON!J55</f>
        <v>77004</v>
      </c>
      <c r="I474" s="7">
        <f>DEVON!K55</f>
        <v>78810</v>
      </c>
      <c r="J474" s="7">
        <f>DEVON!L55</f>
        <v>79112</v>
      </c>
      <c r="K474" s="7">
        <f>DEVON!M55</f>
        <v>78279</v>
      </c>
      <c r="L474" s="7">
        <f>DEVON!N55</f>
        <v>78954</v>
      </c>
      <c r="M474" s="7">
        <f>DEVON!O55</f>
        <v>80599</v>
      </c>
      <c r="N474" s="34">
        <f t="shared" si="28"/>
        <v>5.2563533314179747E-2</v>
      </c>
      <c r="O474" s="34"/>
      <c r="P474" s="7">
        <f t="shared" si="29"/>
        <v>7206</v>
      </c>
      <c r="Q474" s="1004">
        <f t="shared" si="30"/>
        <v>9.8183750493916311E-2</v>
      </c>
      <c r="R474" s="6">
        <v>112</v>
      </c>
      <c r="S474" s="6">
        <v>96</v>
      </c>
      <c r="T474" s="6">
        <v>89</v>
      </c>
      <c r="U474" s="6">
        <v>82</v>
      </c>
      <c r="V474" s="6">
        <v>94</v>
      </c>
      <c r="W474" s="6">
        <v>84</v>
      </c>
      <c r="X474" s="6">
        <v>78</v>
      </c>
      <c r="Y474" s="6">
        <v>90</v>
      </c>
      <c r="Z474" s="6">
        <v>93</v>
      </c>
      <c r="AA474" s="6">
        <v>101</v>
      </c>
      <c r="AB474" s="6">
        <v>138</v>
      </c>
      <c r="AC474" s="6">
        <v>115</v>
      </c>
      <c r="AD474" s="6">
        <f t="shared" si="31"/>
        <v>23</v>
      </c>
      <c r="AE474" s="6" t="s">
        <v>15830</v>
      </c>
    </row>
    <row r="475" spans="1:31">
      <c r="A475" s="33" t="str">
        <f>DEVON!A57</f>
        <v>Totnes CC</v>
      </c>
      <c r="B475" s="7">
        <f>DEVON!D59</f>
        <v>67831</v>
      </c>
      <c r="C475" s="7">
        <f>DEVON!E59</f>
        <v>67562</v>
      </c>
      <c r="D475" s="7">
        <f>DEVON!F59</f>
        <v>67375</v>
      </c>
      <c r="E475" s="7">
        <f>DEVON!G59</f>
        <v>67903</v>
      </c>
      <c r="F475" s="7">
        <f>DEVON!H59</f>
        <v>68123</v>
      </c>
      <c r="G475" s="7">
        <f>DEVON!I59</f>
        <v>67257</v>
      </c>
      <c r="H475" s="7">
        <f>DEVON!J59</f>
        <v>65472</v>
      </c>
      <c r="I475" s="7">
        <f>DEVON!K59</f>
        <v>66791</v>
      </c>
      <c r="J475" s="7">
        <f>DEVON!L59</f>
        <v>67404</v>
      </c>
      <c r="K475" s="7">
        <f>DEVON!M59</f>
        <v>66234</v>
      </c>
      <c r="L475" s="7">
        <f>DEVON!N59</f>
        <v>69787</v>
      </c>
      <c r="M475" s="7">
        <f>DEVON!O59</f>
        <v>69458</v>
      </c>
      <c r="N475" s="34">
        <f t="shared" si="28"/>
        <v>2.3986083059368137E-2</v>
      </c>
      <c r="O475" s="34"/>
      <c r="P475" s="7">
        <f t="shared" si="29"/>
        <v>-3935</v>
      </c>
      <c r="Q475" s="1004">
        <f t="shared" si="30"/>
        <v>-5.3615467415148582E-2</v>
      </c>
      <c r="R475" s="6">
        <v>383</v>
      </c>
      <c r="S475" s="6">
        <v>406</v>
      </c>
      <c r="T475" s="6">
        <v>420</v>
      </c>
      <c r="U475" s="6">
        <v>418</v>
      </c>
      <c r="V475" s="6">
        <v>397</v>
      </c>
      <c r="W475" s="6">
        <v>387</v>
      </c>
      <c r="X475" s="6">
        <v>413</v>
      </c>
      <c r="Y475" s="6">
        <v>415</v>
      </c>
      <c r="Z475" s="6">
        <v>413</v>
      </c>
      <c r="AA475" s="6">
        <v>426</v>
      </c>
      <c r="AB475" s="6">
        <v>394</v>
      </c>
      <c r="AC475" s="6">
        <v>406</v>
      </c>
      <c r="AD475" s="6">
        <f t="shared" si="31"/>
        <v>-12</v>
      </c>
      <c r="AE475" s="6" t="s">
        <v>15830</v>
      </c>
    </row>
    <row r="476" spans="1:31">
      <c r="A476" s="33" t="str">
        <f>HARINGEY!A9</f>
        <v>Tottenham BC</v>
      </c>
      <c r="B476" s="7">
        <f>HARINGEY!D9</f>
        <v>68338</v>
      </c>
      <c r="C476" s="7">
        <f>HARINGEY!E9</f>
        <v>70162</v>
      </c>
      <c r="D476" s="7">
        <f>HARINGEY!F9</f>
        <v>69986</v>
      </c>
      <c r="E476" s="7">
        <f>HARINGEY!G9</f>
        <v>70340</v>
      </c>
      <c r="F476" s="7">
        <f>HARINGEY!H9</f>
        <v>70883</v>
      </c>
      <c r="G476" s="7">
        <f>HARINGEY!I9</f>
        <v>65171</v>
      </c>
      <c r="H476" s="7">
        <f>HARINGEY!J9</f>
        <v>66629</v>
      </c>
      <c r="I476" s="7">
        <f>HARINGEY!K9</f>
        <v>70558</v>
      </c>
      <c r="J476" s="7">
        <f>HARINGEY!L9</f>
        <v>72537</v>
      </c>
      <c r="K476" s="7">
        <f>HARINGEY!M9</f>
        <v>71660</v>
      </c>
      <c r="L476" s="7">
        <f>HARINGEY!N9</f>
        <v>77250</v>
      </c>
      <c r="M476" s="7">
        <f>HARINGEY!O9</f>
        <v>77361</v>
      </c>
      <c r="N476" s="34">
        <f t="shared" si="28"/>
        <v>0.13203488542245895</v>
      </c>
      <c r="O476" s="34"/>
      <c r="P476" s="7">
        <f t="shared" si="29"/>
        <v>3968</v>
      </c>
      <c r="Q476" s="1004">
        <f t="shared" si="30"/>
        <v>5.4065101576444619E-2</v>
      </c>
      <c r="R476" s="6">
        <v>369</v>
      </c>
      <c r="S476" s="6">
        <v>335</v>
      </c>
      <c r="T476" s="6">
        <v>346</v>
      </c>
      <c r="U476" s="6">
        <v>341</v>
      </c>
      <c r="V476" s="6">
        <v>315</v>
      </c>
      <c r="W476" s="6">
        <v>435</v>
      </c>
      <c r="X476" s="6">
        <v>386</v>
      </c>
      <c r="Y476" s="6">
        <v>312</v>
      </c>
      <c r="Z476" s="6">
        <v>257</v>
      </c>
      <c r="AA476" s="6">
        <v>265</v>
      </c>
      <c r="AB476" s="6">
        <v>179</v>
      </c>
      <c r="AC476" s="6">
        <v>186</v>
      </c>
      <c r="AD476" s="6">
        <f t="shared" si="31"/>
        <v>-7</v>
      </c>
      <c r="AE476" s="6" t="s">
        <v>15827</v>
      </c>
    </row>
    <row r="477" spans="1:31">
      <c r="A477" s="33" t="str">
        <f>CORNWALL!A22</f>
        <v>Truro and Falmouth CC</v>
      </c>
      <c r="B477" s="7">
        <f>CORNWALL!D22</f>
        <v>70366</v>
      </c>
      <c r="C477" s="7">
        <f>CORNWALL!E22</f>
        <v>71340</v>
      </c>
      <c r="D477" s="7">
        <f>CORNWALL!F22</f>
        <v>71819</v>
      </c>
      <c r="E477" s="7">
        <f>CORNWALL!G22</f>
        <v>71720</v>
      </c>
      <c r="F477" s="7">
        <f>CORNWALL!H22</f>
        <v>70286</v>
      </c>
      <c r="G477" s="7">
        <f>CORNWALL!I22</f>
        <v>71370</v>
      </c>
      <c r="H477" s="7">
        <f>CORNWALL!J22</f>
        <v>67197</v>
      </c>
      <c r="I477" s="7">
        <f>CORNWALL!K22</f>
        <v>69558</v>
      </c>
      <c r="J477" s="7">
        <f>CORNWALL!L22</f>
        <v>71977</v>
      </c>
      <c r="K477" s="7">
        <f>CORNWALL!M22</f>
        <v>71546</v>
      </c>
      <c r="L477" s="7">
        <f>CORNWALL!N22</f>
        <v>77213</v>
      </c>
      <c r="M477" s="7">
        <f>CORNWALL!O22</f>
        <v>77129</v>
      </c>
      <c r="N477" s="34">
        <f t="shared" si="28"/>
        <v>9.6111758519739646E-2</v>
      </c>
      <c r="O477" s="34"/>
      <c r="P477" s="7">
        <f t="shared" si="29"/>
        <v>3736</v>
      </c>
      <c r="Q477" s="1004">
        <f t="shared" si="30"/>
        <v>5.0904037169757332E-2</v>
      </c>
      <c r="R477" s="6">
        <v>315</v>
      </c>
      <c r="S477" s="6">
        <v>300</v>
      </c>
      <c r="T477" s="6">
        <v>300</v>
      </c>
      <c r="U477" s="6">
        <v>310</v>
      </c>
      <c r="V477" s="6">
        <v>346</v>
      </c>
      <c r="W477" s="6">
        <v>254</v>
      </c>
      <c r="X477" s="6">
        <v>369</v>
      </c>
      <c r="Y477" s="6">
        <v>350</v>
      </c>
      <c r="Z477" s="6">
        <v>278</v>
      </c>
      <c r="AA477" s="6">
        <v>270</v>
      </c>
      <c r="AB477" s="6">
        <v>181</v>
      </c>
      <c r="AC477" s="6">
        <v>191</v>
      </c>
      <c r="AD477" s="6">
        <f t="shared" si="31"/>
        <v>-10</v>
      </c>
      <c r="AE477" s="6" t="s">
        <v>15830</v>
      </c>
    </row>
    <row r="478" spans="1:31">
      <c r="A478" s="33" t="str">
        <f>KENT!A72</f>
        <v>Tunbridge Wells CC</v>
      </c>
      <c r="B478" s="7">
        <f>KENT!D72</f>
        <v>72364</v>
      </c>
      <c r="C478" s="7">
        <f>KENT!E72</f>
        <v>73028</v>
      </c>
      <c r="D478" s="7">
        <f>KENT!F72</f>
        <v>72902</v>
      </c>
      <c r="E478" s="7">
        <f>KENT!G72</f>
        <v>73499</v>
      </c>
      <c r="F478" s="7">
        <f>KENT!H72</f>
        <v>73192</v>
      </c>
      <c r="G478" s="7">
        <f>KENT!I72</f>
        <v>71235</v>
      </c>
      <c r="H478" s="7">
        <f>KENT!J72</f>
        <v>69765</v>
      </c>
      <c r="I478" s="7">
        <f>KENT!K72</f>
        <v>73596</v>
      </c>
      <c r="J478" s="7">
        <f>KENT!L72</f>
        <v>72726</v>
      </c>
      <c r="K478" s="7">
        <f>KENT!M72</f>
        <v>72271</v>
      </c>
      <c r="L478" s="7">
        <f>KENT!N72</f>
        <v>75382</v>
      </c>
      <c r="M478" s="7">
        <f>KENT!O72</f>
        <v>75213</v>
      </c>
      <c r="N478" s="34">
        <f t="shared" si="28"/>
        <v>3.9370405173843347E-2</v>
      </c>
      <c r="O478" s="34"/>
      <c r="P478" s="7">
        <f t="shared" si="29"/>
        <v>1820</v>
      </c>
      <c r="Q478" s="1004">
        <f t="shared" si="30"/>
        <v>2.4798005259357159E-2</v>
      </c>
      <c r="R478" s="6">
        <v>225</v>
      </c>
      <c r="S478" s="6">
        <v>226</v>
      </c>
      <c r="T478" s="6">
        <v>251</v>
      </c>
      <c r="U478" s="6">
        <v>234</v>
      </c>
      <c r="V478" s="6">
        <v>239</v>
      </c>
      <c r="W478" s="6">
        <v>261</v>
      </c>
      <c r="X478" s="6">
        <v>278</v>
      </c>
      <c r="Y478" s="6">
        <v>207</v>
      </c>
      <c r="Z478" s="6">
        <v>248</v>
      </c>
      <c r="AA478" s="6">
        <v>246</v>
      </c>
      <c r="AB478" s="6">
        <v>215</v>
      </c>
      <c r="AC478" s="6">
        <v>234</v>
      </c>
      <c r="AD478" s="6">
        <f t="shared" si="31"/>
        <v>-19</v>
      </c>
      <c r="AE478" s="6" t="s">
        <v>15823</v>
      </c>
    </row>
    <row r="479" spans="1:31">
      <c r="A479" s="33" t="str">
        <f>RICHMOND!A11</f>
        <v>Twickenham BC</v>
      </c>
      <c r="B479" s="7">
        <f>RICHMOND!D11</f>
        <v>78667</v>
      </c>
      <c r="C479" s="7">
        <f>RICHMOND!E11</f>
        <v>79172</v>
      </c>
      <c r="D479" s="7">
        <f>RICHMOND!F11</f>
        <v>79940</v>
      </c>
      <c r="E479" s="7">
        <f>RICHMOND!G11</f>
        <v>80050</v>
      </c>
      <c r="F479" s="7">
        <f>RICHMOND!H11</f>
        <v>80318</v>
      </c>
      <c r="G479" s="7">
        <f>RICHMOND!I11</f>
        <v>77649</v>
      </c>
      <c r="H479" s="7">
        <f>RICHMOND!J11</f>
        <v>78247</v>
      </c>
      <c r="I479" s="7">
        <f>RICHMOND!K11</f>
        <v>80689</v>
      </c>
      <c r="J479" s="7">
        <f>RICHMOND!L11</f>
        <v>81420</v>
      </c>
      <c r="K479" s="7">
        <f>RICHMOND!M11</f>
        <v>80215</v>
      </c>
      <c r="L479" s="7">
        <f>RICHMOND!N11</f>
        <v>82338</v>
      </c>
      <c r="M479" s="7">
        <f>RICHMOND!O11</f>
        <v>83264</v>
      </c>
      <c r="N479" s="34">
        <f t="shared" si="28"/>
        <v>5.8436193066978531E-2</v>
      </c>
      <c r="O479" s="34"/>
      <c r="P479" s="7">
        <f t="shared" si="29"/>
        <v>9871</v>
      </c>
      <c r="Q479" s="1004">
        <f t="shared" si="30"/>
        <v>0.13449511533797501</v>
      </c>
      <c r="R479" s="6">
        <v>49</v>
      </c>
      <c r="S479" s="6">
        <v>54</v>
      </c>
      <c r="T479" s="6">
        <v>50</v>
      </c>
      <c r="U479" s="6">
        <v>55</v>
      </c>
      <c r="V479" s="6">
        <v>52</v>
      </c>
      <c r="W479" s="6">
        <v>76</v>
      </c>
      <c r="X479" s="6">
        <v>47</v>
      </c>
      <c r="Y479" s="6">
        <v>52</v>
      </c>
      <c r="Z479" s="6">
        <v>55</v>
      </c>
      <c r="AA479" s="6">
        <v>70</v>
      </c>
      <c r="AB479" s="6">
        <v>68</v>
      </c>
      <c r="AC479" s="6">
        <v>70</v>
      </c>
      <c r="AD479" s="6">
        <f t="shared" si="31"/>
        <v>-2</v>
      </c>
      <c r="AE479" s="6" t="s">
        <v>15827</v>
      </c>
    </row>
    <row r="480" spans="1:31">
      <c r="A480" s="33" t="str">
        <f>'TYNE &amp; WEAR'!A40</f>
        <v>Tynemouth BC</v>
      </c>
      <c r="B480" s="7">
        <f>'TYNE &amp; WEAR'!D40</f>
        <v>76445</v>
      </c>
      <c r="C480" s="7">
        <f>'TYNE &amp; WEAR'!E40</f>
        <v>76618</v>
      </c>
      <c r="D480" s="7">
        <f>'TYNE &amp; WEAR'!F40</f>
        <v>77448</v>
      </c>
      <c r="E480" s="7">
        <f>'TYNE &amp; WEAR'!G40</f>
        <v>77798</v>
      </c>
      <c r="F480" s="7">
        <f>'TYNE &amp; WEAR'!H40</f>
        <v>77478</v>
      </c>
      <c r="G480" s="7">
        <f>'TYNE &amp; WEAR'!I40</f>
        <v>76592</v>
      </c>
      <c r="H480" s="7">
        <f>'TYNE &amp; WEAR'!J40</f>
        <v>74618</v>
      </c>
      <c r="I480" s="7">
        <f>'TYNE &amp; WEAR'!K40</f>
        <v>76447</v>
      </c>
      <c r="J480" s="7">
        <f>'TYNE &amp; WEAR'!L40</f>
        <v>75991</v>
      </c>
      <c r="K480" s="7">
        <f>'TYNE &amp; WEAR'!M40</f>
        <v>75341</v>
      </c>
      <c r="L480" s="7">
        <f>'TYNE &amp; WEAR'!N40</f>
        <v>75923</v>
      </c>
      <c r="M480" s="7">
        <f>'TYNE &amp; WEAR'!O40</f>
        <v>77382</v>
      </c>
      <c r="N480" s="34">
        <f t="shared" si="28"/>
        <v>1.2257178363529336E-2</v>
      </c>
      <c r="O480" s="34"/>
      <c r="P480" s="7">
        <f t="shared" si="29"/>
        <v>3989</v>
      </c>
      <c r="Q480" s="1004">
        <f t="shared" si="30"/>
        <v>5.4351232406360278E-2</v>
      </c>
      <c r="R480" s="6">
        <v>115</v>
      </c>
      <c r="S480" s="6">
        <v>126</v>
      </c>
      <c r="T480" s="6">
        <v>111</v>
      </c>
      <c r="U480" s="6">
        <v>115</v>
      </c>
      <c r="V480" s="6">
        <v>115</v>
      </c>
      <c r="W480" s="6">
        <v>108</v>
      </c>
      <c r="X480" s="6">
        <v>130</v>
      </c>
      <c r="Y480" s="6">
        <v>140</v>
      </c>
      <c r="Z480" s="6">
        <v>158</v>
      </c>
      <c r="AA480" s="6">
        <v>163</v>
      </c>
      <c r="AB480" s="6">
        <v>206</v>
      </c>
      <c r="AC480" s="6">
        <v>185</v>
      </c>
      <c r="AD480" s="6">
        <f t="shared" si="31"/>
        <v>21</v>
      </c>
      <c r="AE480" s="6" t="s">
        <v>2901</v>
      </c>
    </row>
    <row r="481" spans="1:31">
      <c r="A481" s="33" t="str">
        <f>HILLINGDON!A13</f>
        <v>Uxbridge and South Ruislip BC</v>
      </c>
      <c r="B481" s="7">
        <f>HILLINGDON!D13</f>
        <v>71059</v>
      </c>
      <c r="C481" s="7">
        <f>HILLINGDON!E13</f>
        <v>71954</v>
      </c>
      <c r="D481" s="7">
        <f>HILLINGDON!F13</f>
        <v>72592</v>
      </c>
      <c r="E481" s="7">
        <f>HILLINGDON!G13</f>
        <v>72433</v>
      </c>
      <c r="F481" s="7">
        <f>HILLINGDON!H13</f>
        <v>72468</v>
      </c>
      <c r="G481" s="7">
        <f>HILLINGDON!I13</f>
        <v>69871</v>
      </c>
      <c r="H481" s="7">
        <f>HILLINGDON!J13</f>
        <v>66606</v>
      </c>
      <c r="I481" s="7">
        <f>HILLINGDON!K13</f>
        <v>68108</v>
      </c>
      <c r="J481" s="7">
        <f>HILLINGDON!L13</f>
        <v>67738</v>
      </c>
      <c r="K481" s="7">
        <f>HILLINGDON!M13</f>
        <v>65975</v>
      </c>
      <c r="L481" s="7">
        <f>HILLINGDON!N13</f>
        <v>67100</v>
      </c>
      <c r="M481" s="7">
        <f>HILLINGDON!O13</f>
        <v>70560</v>
      </c>
      <c r="N481" s="34">
        <f t="shared" si="28"/>
        <v>-7.0223335538073996E-3</v>
      </c>
      <c r="O481" s="34"/>
      <c r="P481" s="7">
        <f t="shared" si="29"/>
        <v>-2833</v>
      </c>
      <c r="Q481" s="1004">
        <f t="shared" si="30"/>
        <v>-3.8600411483383973E-2</v>
      </c>
      <c r="R481" s="6">
        <v>291</v>
      </c>
      <c r="S481" s="6">
        <v>276</v>
      </c>
      <c r="T481" s="6">
        <v>269</v>
      </c>
      <c r="U481" s="6">
        <v>290</v>
      </c>
      <c r="V481" s="6">
        <v>262</v>
      </c>
      <c r="W481" s="6">
        <v>297</v>
      </c>
      <c r="X481" s="6">
        <v>388</v>
      </c>
      <c r="Y481" s="6">
        <v>387</v>
      </c>
      <c r="Z481" s="6">
        <v>403</v>
      </c>
      <c r="AA481" s="6">
        <v>432</v>
      </c>
      <c r="AB481" s="6">
        <v>438</v>
      </c>
      <c r="AC481" s="6">
        <v>380</v>
      </c>
      <c r="AD481" s="6">
        <f t="shared" si="31"/>
        <v>58</v>
      </c>
      <c r="AE481" s="6" t="s">
        <v>15827</v>
      </c>
    </row>
    <row r="482" spans="1:31">
      <c r="A482" s="33" t="str">
        <f>LAMBETH!A13</f>
        <v>Vauxhall BC</v>
      </c>
      <c r="B482" s="7">
        <f>LAMBETH!D13</f>
        <v>71781</v>
      </c>
      <c r="C482" s="7">
        <f>LAMBETH!E13</f>
        <v>73274</v>
      </c>
      <c r="D482" s="7">
        <f>LAMBETH!F13</f>
        <v>74006</v>
      </c>
      <c r="E482" s="7">
        <f>LAMBETH!G13</f>
        <v>74009</v>
      </c>
      <c r="F482" s="7">
        <f>LAMBETH!H13</f>
        <v>73878</v>
      </c>
      <c r="G482" s="7">
        <f>LAMBETH!I13</f>
        <v>73708</v>
      </c>
      <c r="H482" s="7">
        <f>LAMBETH!J13</f>
        <v>71358</v>
      </c>
      <c r="I482" s="7">
        <f>LAMBETH!K13</f>
        <v>76234</v>
      </c>
      <c r="J482" s="7">
        <f>LAMBETH!L13</f>
        <v>77735</v>
      </c>
      <c r="K482" s="7">
        <f>LAMBETH!M13</f>
        <v>75055</v>
      </c>
      <c r="L482" s="7">
        <f>LAMBETH!N13</f>
        <v>85427</v>
      </c>
      <c r="M482" s="7">
        <f>LAMBETH!O13</f>
        <v>84390</v>
      </c>
      <c r="N482" s="34">
        <f t="shared" si="28"/>
        <v>0.17565929702846156</v>
      </c>
      <c r="O482" s="34"/>
      <c r="P482" s="7">
        <f t="shared" si="29"/>
        <v>10997</v>
      </c>
      <c r="Q482" s="1004">
        <f t="shared" si="30"/>
        <v>0.14983717793250037</v>
      </c>
      <c r="R482" s="6">
        <v>258</v>
      </c>
      <c r="S482" s="6">
        <v>217</v>
      </c>
      <c r="T482" s="6">
        <v>198</v>
      </c>
      <c r="U482" s="6">
        <v>212</v>
      </c>
      <c r="V482" s="6">
        <v>211</v>
      </c>
      <c r="W482" s="6">
        <v>170</v>
      </c>
      <c r="X482" s="6">
        <v>221</v>
      </c>
      <c r="Y482" s="6">
        <v>145</v>
      </c>
      <c r="Z482" s="6">
        <v>128</v>
      </c>
      <c r="AA482" s="6">
        <v>167</v>
      </c>
      <c r="AB482" s="6">
        <v>30</v>
      </c>
      <c r="AC482" s="6">
        <v>51</v>
      </c>
      <c r="AD482" s="6">
        <f t="shared" si="31"/>
        <v>-21</v>
      </c>
      <c r="AE482" s="6" t="s">
        <v>15827</v>
      </c>
    </row>
    <row r="483" spans="1:31">
      <c r="A483" s="33" t="str">
        <f>'WEST YORKSHIRE'!A57</f>
        <v>Wakefield CC</v>
      </c>
      <c r="B483" s="7">
        <f>'WEST YORKSHIRE'!D57</f>
        <v>71111</v>
      </c>
      <c r="C483" s="7">
        <f>'WEST YORKSHIRE'!E57</f>
        <v>71531</v>
      </c>
      <c r="D483" s="7">
        <f>'WEST YORKSHIRE'!F57</f>
        <v>71265</v>
      </c>
      <c r="E483" s="7">
        <f>'WEST YORKSHIRE'!G57</f>
        <v>70833</v>
      </c>
      <c r="F483" s="7">
        <f>'WEST YORKSHIRE'!H57</f>
        <v>69340</v>
      </c>
      <c r="G483" s="7">
        <f>'WEST YORKSHIRE'!I57</f>
        <v>69780</v>
      </c>
      <c r="H483" s="7">
        <f>'WEST YORKSHIRE'!J57</f>
        <v>66552</v>
      </c>
      <c r="I483" s="7">
        <f>'WEST YORKSHIRE'!K57</f>
        <v>67696</v>
      </c>
      <c r="J483" s="7">
        <f>'WEST YORKSHIRE'!L57</f>
        <v>69031</v>
      </c>
      <c r="K483" s="7">
        <f>'WEST YORKSHIRE'!M57</f>
        <v>68078</v>
      </c>
      <c r="L483" s="7">
        <f>'WEST YORKSHIRE'!N57</f>
        <v>70509</v>
      </c>
      <c r="M483" s="7">
        <f>'WEST YORKSHIRE'!O57</f>
        <v>70419</v>
      </c>
      <c r="N483" s="34">
        <f t="shared" si="28"/>
        <v>-9.7312652051018828E-3</v>
      </c>
      <c r="O483" s="34"/>
      <c r="P483" s="7">
        <f t="shared" si="29"/>
        <v>-2974</v>
      </c>
      <c r="Q483" s="1004">
        <f t="shared" si="30"/>
        <v>-4.0521575627103401E-2</v>
      </c>
      <c r="R483" s="6">
        <v>286</v>
      </c>
      <c r="S483" s="6">
        <v>296</v>
      </c>
      <c r="T483" s="6">
        <v>312</v>
      </c>
      <c r="U483" s="6">
        <v>328</v>
      </c>
      <c r="V483" s="6">
        <v>360</v>
      </c>
      <c r="W483" s="6">
        <v>303</v>
      </c>
      <c r="X483" s="6">
        <v>389</v>
      </c>
      <c r="Y483" s="6">
        <v>397</v>
      </c>
      <c r="Z483" s="6">
        <v>378</v>
      </c>
      <c r="AA483" s="6">
        <v>388</v>
      </c>
      <c r="AB483" s="6">
        <v>365</v>
      </c>
      <c r="AC483" s="6">
        <v>384</v>
      </c>
      <c r="AD483" s="6">
        <f t="shared" si="31"/>
        <v>-19</v>
      </c>
      <c r="AE483" s="6" t="s">
        <v>15828</v>
      </c>
    </row>
    <row r="484" spans="1:31">
      <c r="A484" s="33" t="str">
        <f>MERSEYSIDE!A41</f>
        <v>Wallasey BC</v>
      </c>
      <c r="B484" s="7">
        <f>MERSEYSIDE!D41</f>
        <v>66068</v>
      </c>
      <c r="C484" s="7">
        <f>MERSEYSIDE!E41</f>
        <v>65732</v>
      </c>
      <c r="D484" s="7">
        <f>MERSEYSIDE!F41</f>
        <v>64969</v>
      </c>
      <c r="E484" s="7">
        <f>MERSEYSIDE!G41</f>
        <v>65261</v>
      </c>
      <c r="F484" s="7">
        <f>MERSEYSIDE!H41</f>
        <v>65223</v>
      </c>
      <c r="G484" s="7">
        <f>MERSEYSIDE!I41</f>
        <v>63696</v>
      </c>
      <c r="H484" s="7">
        <f>MERSEYSIDE!J41</f>
        <v>63940</v>
      </c>
      <c r="I484" s="7">
        <f>MERSEYSIDE!K41</f>
        <v>65535</v>
      </c>
      <c r="J484" s="7">
        <f>MERSEYSIDE!L41</f>
        <v>65845</v>
      </c>
      <c r="K484" s="7">
        <f>MERSEYSIDE!M41</f>
        <v>64451</v>
      </c>
      <c r="L484" s="7">
        <f>MERSEYSIDE!N41</f>
        <v>66709</v>
      </c>
      <c r="M484" s="7">
        <f>MERSEYSIDE!O41</f>
        <v>66806</v>
      </c>
      <c r="N484" s="34">
        <f t="shared" si="28"/>
        <v>1.1170309378216383E-2</v>
      </c>
      <c r="O484" s="34"/>
      <c r="P484" s="7">
        <f t="shared" si="29"/>
        <v>-6587</v>
      </c>
      <c r="Q484" s="1004">
        <f t="shared" si="30"/>
        <v>-8.9749703650211871E-2</v>
      </c>
      <c r="R484" s="6">
        <v>436</v>
      </c>
      <c r="S484" s="6">
        <v>460</v>
      </c>
      <c r="T484" s="6">
        <v>484</v>
      </c>
      <c r="U484" s="6">
        <v>483</v>
      </c>
      <c r="V484" s="6">
        <v>465</v>
      </c>
      <c r="W484" s="6">
        <v>470</v>
      </c>
      <c r="X484" s="6">
        <v>445</v>
      </c>
      <c r="Y484" s="6">
        <v>440</v>
      </c>
      <c r="Z484" s="6">
        <v>444</v>
      </c>
      <c r="AA484" s="6">
        <v>461</v>
      </c>
      <c r="AB484" s="6">
        <v>446</v>
      </c>
      <c r="AC484" s="6">
        <v>455</v>
      </c>
      <c r="AD484" s="6">
        <f t="shared" si="31"/>
        <v>-9</v>
      </c>
      <c r="AE484" s="6" t="s">
        <v>15825</v>
      </c>
    </row>
    <row r="485" spans="1:31">
      <c r="A485" s="33" t="str">
        <f>'WEST MIDLANDS'!A57</f>
        <v>Walsall North BC</v>
      </c>
      <c r="B485" s="7">
        <f>'WEST MIDLANDS'!D57</f>
        <v>64984</v>
      </c>
      <c r="C485" s="7">
        <f>'WEST MIDLANDS'!E57</f>
        <v>65468</v>
      </c>
      <c r="D485" s="7">
        <f>'WEST MIDLANDS'!F57</f>
        <v>67186</v>
      </c>
      <c r="E485" s="7">
        <f>'WEST MIDLANDS'!G57</f>
        <v>68018</v>
      </c>
      <c r="F485" s="7">
        <f>'WEST MIDLANDS'!H57</f>
        <v>67003</v>
      </c>
      <c r="G485" s="7">
        <f>'WEST MIDLANDS'!I57</f>
        <v>66648</v>
      </c>
      <c r="H485" s="7">
        <f>'WEST MIDLANDS'!J57</f>
        <v>64186</v>
      </c>
      <c r="I485" s="7">
        <f>'WEST MIDLANDS'!K57</f>
        <v>65731</v>
      </c>
      <c r="J485" s="7">
        <f>'WEST MIDLANDS'!L57</f>
        <v>66367</v>
      </c>
      <c r="K485" s="7">
        <f>'WEST MIDLANDS'!M57</f>
        <v>66438</v>
      </c>
      <c r="L485" s="7">
        <f>'WEST MIDLANDS'!N57</f>
        <v>66435</v>
      </c>
      <c r="M485" s="7">
        <f>'WEST MIDLANDS'!O57</f>
        <v>67801</v>
      </c>
      <c r="N485" s="34">
        <f t="shared" si="28"/>
        <v>4.3349132094053923E-2</v>
      </c>
      <c r="O485" s="34"/>
      <c r="P485" s="7">
        <f t="shared" si="29"/>
        <v>-5592</v>
      </c>
      <c r="Q485" s="1004">
        <f t="shared" si="30"/>
        <v>-7.6192552423255622E-2</v>
      </c>
      <c r="R485" s="6">
        <v>462</v>
      </c>
      <c r="S485" s="6">
        <v>465</v>
      </c>
      <c r="T485" s="6">
        <v>427</v>
      </c>
      <c r="U485" s="6">
        <v>413</v>
      </c>
      <c r="V485" s="6">
        <v>426</v>
      </c>
      <c r="W485" s="6">
        <v>400</v>
      </c>
      <c r="X485" s="6">
        <v>437</v>
      </c>
      <c r="Y485" s="6">
        <v>435</v>
      </c>
      <c r="Z485" s="6">
        <v>432</v>
      </c>
      <c r="AA485" s="6">
        <v>425</v>
      </c>
      <c r="AB485" s="6">
        <v>449</v>
      </c>
      <c r="AC485" s="6">
        <v>442</v>
      </c>
      <c r="AD485" s="6">
        <f t="shared" si="31"/>
        <v>7</v>
      </c>
      <c r="AE485" s="6" t="s">
        <v>15824</v>
      </c>
    </row>
    <row r="486" spans="1:31">
      <c r="A486" s="33" t="str">
        <f>'WEST MIDLANDS'!A59</f>
        <v>Walsall South BC</v>
      </c>
      <c r="B486" s="7">
        <f>'WEST MIDLANDS'!D59</f>
        <v>64710</v>
      </c>
      <c r="C486" s="7">
        <f>'WEST MIDLANDS'!E59</f>
        <v>66082</v>
      </c>
      <c r="D486" s="7">
        <f>'WEST MIDLANDS'!F59</f>
        <v>67767</v>
      </c>
      <c r="E486" s="7">
        <f>'WEST MIDLANDS'!G59</f>
        <v>68140</v>
      </c>
      <c r="F486" s="7">
        <f>'WEST MIDLANDS'!H59</f>
        <v>67031</v>
      </c>
      <c r="G486" s="7">
        <f>'WEST MIDLANDS'!I59</f>
        <v>67035</v>
      </c>
      <c r="H486" s="7">
        <f>'WEST MIDLANDS'!J59</f>
        <v>64415</v>
      </c>
      <c r="I486" s="7">
        <f>'WEST MIDLANDS'!K59</f>
        <v>66039</v>
      </c>
      <c r="J486" s="7">
        <f>'WEST MIDLANDS'!L59</f>
        <v>66512</v>
      </c>
      <c r="K486" s="7">
        <f>'WEST MIDLANDS'!M59</f>
        <v>66766</v>
      </c>
      <c r="L486" s="7">
        <f>'WEST MIDLANDS'!N59</f>
        <v>67052</v>
      </c>
      <c r="M486" s="7">
        <f>'WEST MIDLANDS'!O59</f>
        <v>68836</v>
      </c>
      <c r="N486" s="34">
        <f t="shared" si="28"/>
        <v>6.376139700200896E-2</v>
      </c>
      <c r="O486" s="34"/>
      <c r="P486" s="7">
        <f t="shared" si="29"/>
        <v>-4557</v>
      </c>
      <c r="Q486" s="1004">
        <f t="shared" si="30"/>
        <v>-6.2090390091698117E-2</v>
      </c>
      <c r="R486" s="6">
        <v>473</v>
      </c>
      <c r="S486" s="6">
        <v>450</v>
      </c>
      <c r="T486" s="6">
        <v>407</v>
      </c>
      <c r="U486" s="6">
        <v>409</v>
      </c>
      <c r="V486" s="6">
        <v>424</v>
      </c>
      <c r="W486" s="6">
        <v>393</v>
      </c>
      <c r="X486" s="6">
        <v>434</v>
      </c>
      <c r="Y486" s="6">
        <v>430</v>
      </c>
      <c r="Z486" s="6">
        <v>429</v>
      </c>
      <c r="AA486" s="6">
        <v>418</v>
      </c>
      <c r="AB486" s="6">
        <v>439</v>
      </c>
      <c r="AC486" s="6">
        <v>422</v>
      </c>
      <c r="AD486" s="6">
        <f t="shared" si="31"/>
        <v>17</v>
      </c>
      <c r="AE486" s="6" t="s">
        <v>15824</v>
      </c>
    </row>
    <row r="487" spans="1:31">
      <c r="A487" s="33" t="str">
        <f>'WALTHAM FOREST'!A15</f>
        <v xml:space="preserve">Walthamstow BC </v>
      </c>
      <c r="B487" s="7">
        <f>'WALTHAM FOREST'!D15</f>
        <v>64293</v>
      </c>
      <c r="C487" s="7">
        <f>'WALTHAM FOREST'!E15</f>
        <v>64482</v>
      </c>
      <c r="D487" s="7">
        <f>'WALTHAM FOREST'!F15</f>
        <v>65096</v>
      </c>
      <c r="E487" s="7">
        <f>'WALTHAM FOREST'!G15</f>
        <v>65195</v>
      </c>
      <c r="F487" s="7">
        <f>'WALTHAM FOREST'!H15</f>
        <v>65724</v>
      </c>
      <c r="G487" s="7">
        <f>'WALTHAM FOREST'!I15</f>
        <v>64403</v>
      </c>
      <c r="H487" s="7">
        <f>'WALTHAM FOREST'!J15</f>
        <v>63959</v>
      </c>
      <c r="I487" s="7">
        <f>'WALTHAM FOREST'!K15</f>
        <v>65095</v>
      </c>
      <c r="J487" s="7">
        <f>'WALTHAM FOREST'!L15</f>
        <v>66553</v>
      </c>
      <c r="K487" s="7">
        <f>'WALTHAM FOREST'!M15</f>
        <v>65935</v>
      </c>
      <c r="L487" s="7">
        <f>'WALTHAM FOREST'!N15</f>
        <v>67450</v>
      </c>
      <c r="M487" s="7">
        <f>'WALTHAM FOREST'!O15</f>
        <v>70867</v>
      </c>
      <c r="N487" s="34">
        <f t="shared" si="28"/>
        <v>0.10225063381705629</v>
      </c>
      <c r="O487" s="34"/>
      <c r="P487" s="7">
        <f t="shared" si="29"/>
        <v>-2526</v>
      </c>
      <c r="Q487" s="1004">
        <f t="shared" si="30"/>
        <v>-3.4417451255569331E-2</v>
      </c>
      <c r="R487" s="6">
        <v>479</v>
      </c>
      <c r="S487" s="6">
        <v>488</v>
      </c>
      <c r="T487" s="6">
        <v>482</v>
      </c>
      <c r="U487" s="6">
        <v>484</v>
      </c>
      <c r="V487" s="6">
        <v>454</v>
      </c>
      <c r="W487" s="6">
        <v>454</v>
      </c>
      <c r="X487" s="6">
        <v>443</v>
      </c>
      <c r="Y487" s="6">
        <v>451</v>
      </c>
      <c r="Z487" s="6">
        <v>427</v>
      </c>
      <c r="AA487" s="6">
        <v>433</v>
      </c>
      <c r="AB487" s="6">
        <v>432</v>
      </c>
      <c r="AC487" s="6">
        <v>375</v>
      </c>
      <c r="AD487" s="6">
        <f t="shared" si="31"/>
        <v>57</v>
      </c>
      <c r="AE487" s="6" t="s">
        <v>15827</v>
      </c>
    </row>
    <row r="488" spans="1:31">
      <c r="A488" s="33" t="str">
        <f>NORTHUMBERLAND!A15</f>
        <v>Wansbeck CC</v>
      </c>
      <c r="B488" s="7">
        <f>NORTHUMBERLAND!D15</f>
        <v>62882</v>
      </c>
      <c r="C488" s="7">
        <f>NORTHUMBERLAND!E15</f>
        <v>62395</v>
      </c>
      <c r="D488" s="7">
        <f>NORTHUMBERLAND!F15</f>
        <v>63327</v>
      </c>
      <c r="E488" s="7">
        <f>NORTHUMBERLAND!G15</f>
        <v>64185</v>
      </c>
      <c r="F488" s="7">
        <f>NORTHUMBERLAND!H15</f>
        <v>63267</v>
      </c>
      <c r="G488" s="7">
        <f>NORTHUMBERLAND!I15</f>
        <v>63026</v>
      </c>
      <c r="H488" s="7">
        <f>NORTHUMBERLAND!J15</f>
        <v>58883</v>
      </c>
      <c r="I488" s="7">
        <f>NORTHUMBERLAND!K15</f>
        <v>59441</v>
      </c>
      <c r="J488" s="7">
        <f>NORTHUMBERLAND!L15</f>
        <v>61162</v>
      </c>
      <c r="K488" s="7">
        <f>NORTHUMBERLAND!M15</f>
        <v>60898</v>
      </c>
      <c r="L488" s="7">
        <f>NORTHUMBERLAND!N15</f>
        <v>62473</v>
      </c>
      <c r="M488" s="7">
        <f>NORTHUMBERLAND!O15</f>
        <v>63451</v>
      </c>
      <c r="N488" s="34">
        <f t="shared" si="28"/>
        <v>9.0486943799497465E-3</v>
      </c>
      <c r="O488" s="34"/>
      <c r="P488" s="7">
        <f t="shared" si="29"/>
        <v>-9942</v>
      </c>
      <c r="Q488" s="1004">
        <f t="shared" si="30"/>
        <v>-0.13546251004864224</v>
      </c>
      <c r="R488" s="6">
        <v>506</v>
      </c>
      <c r="S488" s="6">
        <v>512</v>
      </c>
      <c r="T488" s="6">
        <v>504</v>
      </c>
      <c r="U488" s="6">
        <v>495</v>
      </c>
      <c r="V488" s="6">
        <v>496</v>
      </c>
      <c r="W488" s="6">
        <v>481</v>
      </c>
      <c r="X488" s="6">
        <v>511</v>
      </c>
      <c r="Y488" s="6">
        <v>518</v>
      </c>
      <c r="Z488" s="6">
        <v>506</v>
      </c>
      <c r="AA488" s="6">
        <v>500</v>
      </c>
      <c r="AB488" s="6">
        <v>505</v>
      </c>
      <c r="AC488" s="6">
        <v>500</v>
      </c>
      <c r="AD488" s="6">
        <f t="shared" si="31"/>
        <v>5</v>
      </c>
      <c r="AE488" s="6" t="s">
        <v>2901</v>
      </c>
    </row>
    <row r="489" spans="1:31">
      <c r="A489" s="33" t="str">
        <f>OXFORDSHIRE!A26</f>
        <v>Wantage CC</v>
      </c>
      <c r="B489" s="7">
        <f>OXFORDSHIRE!D28</f>
        <v>78777</v>
      </c>
      <c r="C489" s="7">
        <f>OXFORDSHIRE!E28</f>
        <v>79775</v>
      </c>
      <c r="D489" s="7">
        <f>OXFORDSHIRE!F28</f>
        <v>80693</v>
      </c>
      <c r="E489" s="7">
        <f>OXFORDSHIRE!G28</f>
        <v>81088</v>
      </c>
      <c r="F489" s="7">
        <f>OXFORDSHIRE!H28</f>
        <v>81946</v>
      </c>
      <c r="G489" s="7">
        <f>OXFORDSHIRE!I28</f>
        <v>84091</v>
      </c>
      <c r="H489" s="7">
        <f>OXFORDSHIRE!J28</f>
        <v>80859</v>
      </c>
      <c r="I489" s="7">
        <f>OXFORDSHIRE!K28</f>
        <v>83636</v>
      </c>
      <c r="J489" s="7">
        <f>OXFORDSHIRE!L28</f>
        <v>84587</v>
      </c>
      <c r="K489" s="7">
        <f>OXFORDSHIRE!M28</f>
        <v>86243</v>
      </c>
      <c r="L489" s="7">
        <f>OXFORDSHIRE!N28</f>
        <v>90336</v>
      </c>
      <c r="M489" s="7">
        <f>OXFORDSHIRE!O28</f>
        <v>91759</v>
      </c>
      <c r="N489" s="34">
        <f t="shared" si="28"/>
        <v>0.16479429275042207</v>
      </c>
      <c r="O489" s="34"/>
      <c r="P489" s="7">
        <f t="shared" si="29"/>
        <v>18366</v>
      </c>
      <c r="Q489" s="1004">
        <f t="shared" si="30"/>
        <v>0.2502418486776668</v>
      </c>
      <c r="R489" s="6">
        <v>47</v>
      </c>
      <c r="S489" s="6">
        <v>45</v>
      </c>
      <c r="T489" s="6">
        <v>40</v>
      </c>
      <c r="U489" s="6">
        <v>41</v>
      </c>
      <c r="V489" s="6">
        <v>35</v>
      </c>
      <c r="W489" s="6">
        <v>10</v>
      </c>
      <c r="X489" s="6">
        <v>25</v>
      </c>
      <c r="Y489" s="6">
        <v>21</v>
      </c>
      <c r="Z489" s="6">
        <v>20</v>
      </c>
      <c r="AA489" s="6">
        <v>12</v>
      </c>
      <c r="AB489" s="6">
        <v>11</v>
      </c>
      <c r="AC489" s="6">
        <v>10</v>
      </c>
      <c r="AD489" s="6">
        <f t="shared" si="31"/>
        <v>1</v>
      </c>
      <c r="AE489" s="6" t="s">
        <v>15823</v>
      </c>
    </row>
    <row r="490" spans="1:31">
      <c r="A490" s="33" t="str">
        <f>'WEST MIDLANDS'!A61</f>
        <v>Warley BC</v>
      </c>
      <c r="B490" s="7">
        <f>'WEST MIDLANDS'!D61</f>
        <v>63232</v>
      </c>
      <c r="C490" s="7">
        <f>'WEST MIDLANDS'!E61</f>
        <v>63024</v>
      </c>
      <c r="D490" s="7">
        <f>'WEST MIDLANDS'!F61</f>
        <v>63861</v>
      </c>
      <c r="E490" s="7">
        <f>'WEST MIDLANDS'!G61</f>
        <v>64502</v>
      </c>
      <c r="F490" s="7">
        <f>'WEST MIDLANDS'!H61</f>
        <v>63642</v>
      </c>
      <c r="G490" s="7">
        <f>'WEST MIDLANDS'!I61</f>
        <v>63668</v>
      </c>
      <c r="H490" s="7">
        <f>'WEST MIDLANDS'!J61</f>
        <v>61346</v>
      </c>
      <c r="I490" s="7">
        <f>'WEST MIDLANDS'!K61</f>
        <v>62633</v>
      </c>
      <c r="J490" s="7">
        <f>'WEST MIDLANDS'!L61</f>
        <v>63219</v>
      </c>
      <c r="K490" s="7">
        <f>'WEST MIDLANDS'!M61</f>
        <v>59604</v>
      </c>
      <c r="L490" s="7">
        <f>'WEST MIDLANDS'!N61</f>
        <v>62874</v>
      </c>
      <c r="M490" s="7">
        <f>'WEST MIDLANDS'!O61</f>
        <v>62671</v>
      </c>
      <c r="N490" s="34">
        <f t="shared" si="28"/>
        <v>-8.8720900809716591E-3</v>
      </c>
      <c r="O490" s="34"/>
      <c r="P490" s="7">
        <f t="shared" si="29"/>
        <v>-10722</v>
      </c>
      <c r="Q490" s="1004">
        <f t="shared" si="30"/>
        <v>-0.14609022658836673</v>
      </c>
      <c r="R490" s="6">
        <v>498</v>
      </c>
      <c r="S490" s="6">
        <v>502</v>
      </c>
      <c r="T490" s="6">
        <v>494</v>
      </c>
      <c r="U490" s="6">
        <v>489</v>
      </c>
      <c r="V490" s="6">
        <v>488</v>
      </c>
      <c r="W490" s="6">
        <v>471</v>
      </c>
      <c r="X490" s="6">
        <v>489</v>
      </c>
      <c r="Y490" s="6">
        <v>489</v>
      </c>
      <c r="Z490" s="6">
        <v>488</v>
      </c>
      <c r="AA490" s="6">
        <v>513</v>
      </c>
      <c r="AB490" s="6">
        <v>499</v>
      </c>
      <c r="AC490" s="6">
        <v>505</v>
      </c>
      <c r="AD490" s="6">
        <f t="shared" si="31"/>
        <v>-6</v>
      </c>
      <c r="AE490" s="6" t="s">
        <v>15824</v>
      </c>
    </row>
    <row r="491" spans="1:31">
      <c r="A491" s="33" t="str">
        <f>WARRINGTON!A7</f>
        <v>Warrington North BC</v>
      </c>
      <c r="B491" s="7">
        <f>WARRINGTON!D7</f>
        <v>70953</v>
      </c>
      <c r="C491" s="7">
        <f>WARRINGTON!E7</f>
        <v>71836</v>
      </c>
      <c r="D491" s="7">
        <f>WARRINGTON!F7</f>
        <v>72097</v>
      </c>
      <c r="E491" s="7">
        <f>WARRINGTON!G7</f>
        <v>72450</v>
      </c>
      <c r="F491" s="7">
        <f>WARRINGTON!H7</f>
        <v>73741</v>
      </c>
      <c r="G491" s="7">
        <f>WARRINGTON!I7</f>
        <v>72030</v>
      </c>
      <c r="H491" s="7">
        <f>WARRINGTON!J7</f>
        <v>70035</v>
      </c>
      <c r="I491" s="7">
        <f>WARRINGTON!K7</f>
        <v>70469</v>
      </c>
      <c r="J491" s="7">
        <f>WARRINGTON!L7</f>
        <v>70559</v>
      </c>
      <c r="K491" s="7">
        <f>WARRINGTON!M7</f>
        <v>71699</v>
      </c>
      <c r="L491" s="7">
        <f>WARRINGTON!N7</f>
        <v>71756</v>
      </c>
      <c r="M491" s="7">
        <f>WARRINGTON!O7</f>
        <v>72515</v>
      </c>
      <c r="N491" s="34">
        <f t="shared" si="28"/>
        <v>2.2014573027215198E-2</v>
      </c>
      <c r="O491" s="34"/>
      <c r="P491" s="7">
        <f t="shared" si="29"/>
        <v>-878</v>
      </c>
      <c r="Q491" s="1004">
        <f t="shared" si="30"/>
        <v>-1.1962993745997574E-2</v>
      </c>
      <c r="R491" s="6">
        <v>299</v>
      </c>
      <c r="S491" s="6">
        <v>283</v>
      </c>
      <c r="T491" s="6">
        <v>290</v>
      </c>
      <c r="U491" s="6">
        <v>289</v>
      </c>
      <c r="V491" s="6">
        <v>216</v>
      </c>
      <c r="W491" s="6">
        <v>231</v>
      </c>
      <c r="X491" s="6">
        <v>270</v>
      </c>
      <c r="Y491" s="6">
        <v>317</v>
      </c>
      <c r="Z491" s="6">
        <v>339</v>
      </c>
      <c r="AA491" s="6">
        <v>261</v>
      </c>
      <c r="AB491" s="6">
        <v>324</v>
      </c>
      <c r="AC491" s="6">
        <v>333</v>
      </c>
      <c r="AD491" s="6">
        <f t="shared" si="31"/>
        <v>-9</v>
      </c>
      <c r="AE491" s="6" t="s">
        <v>15825</v>
      </c>
    </row>
    <row r="492" spans="1:31">
      <c r="A492" s="33" t="str">
        <f>WARRINGTON!A9</f>
        <v>Warrington South BC</v>
      </c>
      <c r="B492" s="7">
        <f>WARRINGTON!D9</f>
        <v>79633</v>
      </c>
      <c r="C492" s="7">
        <f>WARRINGTON!E9</f>
        <v>81212</v>
      </c>
      <c r="D492" s="7">
        <f>WARRINGTON!F9</f>
        <v>82325</v>
      </c>
      <c r="E492" s="7">
        <f>WARRINGTON!G9</f>
        <v>83620</v>
      </c>
      <c r="F492" s="7">
        <f>WARRINGTON!H9</f>
        <v>85530</v>
      </c>
      <c r="G492" s="7">
        <f>WARRINGTON!I9</f>
        <v>84043</v>
      </c>
      <c r="H492" s="7">
        <f>WARRINGTON!J9</f>
        <v>82954</v>
      </c>
      <c r="I492" s="7">
        <f>WARRINGTON!K9</f>
        <v>83650</v>
      </c>
      <c r="J492" s="7">
        <f>WARRINGTON!L9</f>
        <v>83840</v>
      </c>
      <c r="K492" s="7">
        <f>WARRINGTON!M9</f>
        <v>84741</v>
      </c>
      <c r="L492" s="7">
        <f>WARRINGTON!N9</f>
        <v>85477</v>
      </c>
      <c r="M492" s="7">
        <f>WARRINGTON!O9</f>
        <v>86422</v>
      </c>
      <c r="N492" s="34">
        <f t="shared" si="28"/>
        <v>8.5253600894101694E-2</v>
      </c>
      <c r="O492" s="34"/>
      <c r="P492" s="7">
        <f t="shared" si="29"/>
        <v>13029</v>
      </c>
      <c r="Q492" s="1004">
        <f t="shared" si="30"/>
        <v>0.17752374204624419</v>
      </c>
      <c r="R492" s="6">
        <v>41</v>
      </c>
      <c r="S492" s="6">
        <v>32</v>
      </c>
      <c r="T492" s="6">
        <v>27</v>
      </c>
      <c r="U492" s="6">
        <v>24</v>
      </c>
      <c r="V492" s="6">
        <v>10</v>
      </c>
      <c r="W492" s="6">
        <v>11</v>
      </c>
      <c r="X492" s="6">
        <v>12</v>
      </c>
      <c r="Y492" s="6">
        <v>20</v>
      </c>
      <c r="Z492" s="6">
        <v>25</v>
      </c>
      <c r="AA492" s="6">
        <v>17</v>
      </c>
      <c r="AB492" s="6">
        <v>29</v>
      </c>
      <c r="AC492" s="6">
        <v>32</v>
      </c>
      <c r="AD492" s="6">
        <f t="shared" si="31"/>
        <v>-3</v>
      </c>
      <c r="AE492" s="6" t="s">
        <v>15825</v>
      </c>
    </row>
    <row r="493" spans="1:31">
      <c r="A493" s="33" t="str">
        <f>WARWICKSHIRE!A33</f>
        <v>Warwick and Leamington BC</v>
      </c>
      <c r="B493" s="7">
        <f>WARWICKSHIRE!D33</f>
        <v>67030</v>
      </c>
      <c r="C493" s="7">
        <f>WARWICKSHIRE!E33</f>
        <v>66278</v>
      </c>
      <c r="D493" s="7">
        <f>WARWICKSHIRE!F33</f>
        <v>67261</v>
      </c>
      <c r="E493" s="7">
        <f>WARWICKSHIRE!G33</f>
        <v>69310</v>
      </c>
      <c r="F493" s="7">
        <f>WARWICKSHIRE!H33</f>
        <v>66418</v>
      </c>
      <c r="G493" s="7">
        <f>WARWICKSHIRE!I33</f>
        <v>67444</v>
      </c>
      <c r="H493" s="7">
        <f>WARWICKSHIRE!J33</f>
        <v>67641</v>
      </c>
      <c r="I493" s="7">
        <f>WARWICKSHIRE!K33</f>
        <v>69963</v>
      </c>
      <c r="J493" s="7">
        <f>WARWICKSHIRE!L33</f>
        <v>73439</v>
      </c>
      <c r="K493" s="7">
        <f>WARWICKSHIRE!M33</f>
        <v>72167</v>
      </c>
      <c r="L493" s="7">
        <f>WARWICKSHIRE!N33</f>
        <v>72916</v>
      </c>
      <c r="M493" s="7">
        <f>WARWICKSHIRE!O33</f>
        <v>76109</v>
      </c>
      <c r="N493" s="34">
        <f t="shared" si="28"/>
        <v>0.13544681485901836</v>
      </c>
      <c r="O493" s="34"/>
      <c r="P493" s="7">
        <f t="shared" si="29"/>
        <v>2716</v>
      </c>
      <c r="Q493" s="1004">
        <f t="shared" si="30"/>
        <v>3.7006254002425298E-2</v>
      </c>
      <c r="R493" s="6">
        <v>408</v>
      </c>
      <c r="S493" s="6">
        <v>445</v>
      </c>
      <c r="T493" s="6">
        <v>423</v>
      </c>
      <c r="U493" s="6">
        <v>378</v>
      </c>
      <c r="V493" s="6">
        <v>443</v>
      </c>
      <c r="W493" s="6">
        <v>381</v>
      </c>
      <c r="X493" s="6">
        <v>350</v>
      </c>
      <c r="Y493" s="6">
        <v>340</v>
      </c>
      <c r="Z493" s="6">
        <v>234</v>
      </c>
      <c r="AA493" s="6">
        <v>250</v>
      </c>
      <c r="AB493" s="6">
        <v>290</v>
      </c>
      <c r="AC493" s="6">
        <v>214</v>
      </c>
      <c r="AD493" s="6">
        <f t="shared" si="31"/>
        <v>76</v>
      </c>
      <c r="AE493" s="6" t="s">
        <v>15824</v>
      </c>
    </row>
    <row r="494" spans="1:31">
      <c r="A494" s="33" t="str">
        <f>'TYNE &amp; WEAR'!A42</f>
        <v>Washington and Sunderland West BC</v>
      </c>
      <c r="B494" s="7">
        <f>'TYNE &amp; WEAR'!D42</f>
        <v>69305</v>
      </c>
      <c r="C494" s="7">
        <f>'TYNE &amp; WEAR'!E42</f>
        <v>70177</v>
      </c>
      <c r="D494" s="7">
        <f>'TYNE &amp; WEAR'!F42</f>
        <v>70319</v>
      </c>
      <c r="E494" s="7">
        <f>'TYNE &amp; WEAR'!G42</f>
        <v>69845</v>
      </c>
      <c r="F494" s="7">
        <f>'TYNE &amp; WEAR'!H42</f>
        <v>69565</v>
      </c>
      <c r="G494" s="7">
        <f>'TYNE &amp; WEAR'!I42</f>
        <v>68055</v>
      </c>
      <c r="H494" s="7">
        <f>'TYNE &amp; WEAR'!J42</f>
        <v>66985</v>
      </c>
      <c r="I494" s="7">
        <f>'TYNE &amp; WEAR'!K42</f>
        <v>65567</v>
      </c>
      <c r="J494" s="7">
        <f>'TYNE &amp; WEAR'!L42</f>
        <v>65953</v>
      </c>
      <c r="K494" s="7">
        <f>'TYNE &amp; WEAR'!M42</f>
        <v>65461</v>
      </c>
      <c r="L494" s="7">
        <f>'TYNE &amp; WEAR'!N42</f>
        <v>66342</v>
      </c>
      <c r="M494" s="7">
        <f>'TYNE &amp; WEAR'!O42</f>
        <v>66339</v>
      </c>
      <c r="N494" s="34">
        <f t="shared" si="28"/>
        <v>-4.279633504076185E-2</v>
      </c>
      <c r="O494" s="34"/>
      <c r="P494" s="7">
        <f t="shared" si="29"/>
        <v>-7054</v>
      </c>
      <c r="Q494" s="1004">
        <f t="shared" si="30"/>
        <v>-9.6112708296431537E-2</v>
      </c>
      <c r="R494" s="6">
        <v>340</v>
      </c>
      <c r="S494" s="6">
        <v>334</v>
      </c>
      <c r="T494" s="6">
        <v>340</v>
      </c>
      <c r="U494" s="6">
        <v>363</v>
      </c>
      <c r="V494" s="6">
        <v>357</v>
      </c>
      <c r="W494" s="6">
        <v>364</v>
      </c>
      <c r="X494" s="6">
        <v>377</v>
      </c>
      <c r="Y494" s="6">
        <v>439</v>
      </c>
      <c r="Z494" s="6">
        <v>442</v>
      </c>
      <c r="AA494" s="6">
        <v>441</v>
      </c>
      <c r="AB494" s="6">
        <v>451</v>
      </c>
      <c r="AC494" s="6">
        <v>463</v>
      </c>
      <c r="AD494" s="6">
        <f t="shared" si="31"/>
        <v>-12</v>
      </c>
      <c r="AE494" s="6" t="s">
        <v>2901</v>
      </c>
    </row>
    <row r="495" spans="1:31">
      <c r="A495" s="33" t="str">
        <f>HERTFORDSHIRE!A50</f>
        <v>Watford BC</v>
      </c>
      <c r="B495" s="7">
        <f>HERTFORDSHIRE!D52</f>
        <v>80013</v>
      </c>
      <c r="C495" s="7">
        <f>HERTFORDSHIRE!E52</f>
        <v>80939</v>
      </c>
      <c r="D495" s="7">
        <f>HERTFORDSHIRE!F52</f>
        <v>82204</v>
      </c>
      <c r="E495" s="7">
        <f>HERTFORDSHIRE!G52</f>
        <v>83113</v>
      </c>
      <c r="F495" s="7">
        <f>HERTFORDSHIRE!H52</f>
        <v>84074</v>
      </c>
      <c r="G495" s="7">
        <f>HERTFORDSHIRE!I52</f>
        <v>81964</v>
      </c>
      <c r="H495" s="7">
        <f>HERTFORDSHIRE!J52</f>
        <v>81860</v>
      </c>
      <c r="I495" s="7">
        <f>HERTFORDSHIRE!K52</f>
        <v>82339</v>
      </c>
      <c r="J495" s="7">
        <f>HERTFORDSHIRE!L52</f>
        <v>82280</v>
      </c>
      <c r="K495" s="7">
        <f>HERTFORDSHIRE!M52</f>
        <v>81607</v>
      </c>
      <c r="L495" s="7">
        <f>HERTFORDSHIRE!N52</f>
        <v>83703</v>
      </c>
      <c r="M495" s="7">
        <f>HERTFORDSHIRE!O52</f>
        <v>83946</v>
      </c>
      <c r="N495" s="34">
        <f t="shared" si="28"/>
        <v>4.9154512391736342E-2</v>
      </c>
      <c r="O495" s="34"/>
      <c r="P495" s="7">
        <f t="shared" si="29"/>
        <v>10553</v>
      </c>
      <c r="Q495" s="1004">
        <f t="shared" si="30"/>
        <v>0.14378755467142643</v>
      </c>
      <c r="R495" s="6">
        <v>35</v>
      </c>
      <c r="S495" s="6">
        <v>33</v>
      </c>
      <c r="T495" s="6">
        <v>30</v>
      </c>
      <c r="U495" s="6">
        <v>29</v>
      </c>
      <c r="V495" s="6">
        <v>20</v>
      </c>
      <c r="W495" s="6">
        <v>25</v>
      </c>
      <c r="X495" s="6">
        <v>17</v>
      </c>
      <c r="Y495" s="6">
        <v>34</v>
      </c>
      <c r="Z495" s="6">
        <v>43</v>
      </c>
      <c r="AA495" s="6">
        <v>47</v>
      </c>
      <c r="AB495" s="6">
        <v>50</v>
      </c>
      <c r="AC495" s="6">
        <v>57</v>
      </c>
      <c r="AD495" s="6">
        <f t="shared" si="31"/>
        <v>-7</v>
      </c>
      <c r="AE495" s="6" t="s">
        <v>15829</v>
      </c>
    </row>
    <row r="496" spans="1:31">
      <c r="A496" s="33" t="str">
        <f>SUFFOLK!A30</f>
        <v>Waveney CC</v>
      </c>
      <c r="B496" s="7">
        <f>SUFFOLK!D30</f>
        <v>79035</v>
      </c>
      <c r="C496" s="7">
        <f>SUFFOLK!E30</f>
        <v>79132</v>
      </c>
      <c r="D496" s="7">
        <f>SUFFOLK!F30</f>
        <v>79145</v>
      </c>
      <c r="E496" s="7">
        <f>SUFFOLK!G30</f>
        <v>79116</v>
      </c>
      <c r="F496" s="7">
        <f>SUFFOLK!H30</f>
        <v>79732</v>
      </c>
      <c r="G496" s="7">
        <f>SUFFOLK!I30</f>
        <v>78913</v>
      </c>
      <c r="H496" s="7">
        <f>SUFFOLK!J30</f>
        <v>77408</v>
      </c>
      <c r="I496" s="7">
        <f>SUFFOLK!K30</f>
        <v>79168</v>
      </c>
      <c r="J496" s="7">
        <f>SUFFOLK!L30</f>
        <v>79937</v>
      </c>
      <c r="K496" s="7">
        <f>SUFFOLK!M30</f>
        <v>82425</v>
      </c>
      <c r="L496" s="7">
        <f>SUFFOLK!N30</f>
        <v>81099</v>
      </c>
      <c r="M496" s="7">
        <f>SUFFOLK!O30</f>
        <v>81070</v>
      </c>
      <c r="N496" s="34">
        <f t="shared" si="28"/>
        <v>2.5748086290883786E-2</v>
      </c>
      <c r="O496" s="34"/>
      <c r="P496" s="7">
        <f t="shared" si="29"/>
        <v>7677</v>
      </c>
      <c r="Q496" s="1004">
        <f t="shared" si="30"/>
        <v>0.1046012562505961</v>
      </c>
      <c r="R496" s="6">
        <v>44</v>
      </c>
      <c r="S496" s="6">
        <v>57</v>
      </c>
      <c r="T496" s="6">
        <v>62</v>
      </c>
      <c r="U496" s="6">
        <v>76</v>
      </c>
      <c r="V496" s="6">
        <v>62</v>
      </c>
      <c r="W496" s="6">
        <v>54</v>
      </c>
      <c r="X496" s="6">
        <v>69</v>
      </c>
      <c r="Y496" s="6">
        <v>81</v>
      </c>
      <c r="Z496" s="6">
        <v>79</v>
      </c>
      <c r="AA496" s="6">
        <v>34</v>
      </c>
      <c r="AB496" s="6">
        <v>87</v>
      </c>
      <c r="AC496" s="6">
        <v>101</v>
      </c>
      <c r="AD496" s="6">
        <f t="shared" si="31"/>
        <v>-14</v>
      </c>
      <c r="AE496" s="6" t="s">
        <v>15829</v>
      </c>
    </row>
    <row r="497" spans="1:31">
      <c r="A497" s="33" t="str">
        <f>'EAST SUSSEX'!A41</f>
        <v>Wealden CC</v>
      </c>
      <c r="B497" s="7">
        <f>'EAST SUSSEX'!D41</f>
        <v>76724</v>
      </c>
      <c r="C497" s="7">
        <f>'EAST SUSSEX'!E41</f>
        <v>77536</v>
      </c>
      <c r="D497" s="7">
        <f>'EAST SUSSEX'!F41</f>
        <v>78574</v>
      </c>
      <c r="E497" s="7">
        <f>'EAST SUSSEX'!G41</f>
        <v>79559</v>
      </c>
      <c r="F497" s="7">
        <f>'EAST SUSSEX'!H41</f>
        <v>78963</v>
      </c>
      <c r="G497" s="7">
        <f>'EAST SUSSEX'!I41</f>
        <v>79263</v>
      </c>
      <c r="H497" s="7">
        <f>'EAST SUSSEX'!J41</f>
        <v>78544</v>
      </c>
      <c r="I497" s="7">
        <f>'EAST SUSSEX'!K41</f>
        <v>81238</v>
      </c>
      <c r="J497" s="7">
        <f>'EAST SUSSEX'!L41</f>
        <v>81821</v>
      </c>
      <c r="K497" s="7">
        <f>'EAST SUSSEX'!M41</f>
        <v>81543</v>
      </c>
      <c r="L497" s="7">
        <f>'EAST SUSSEX'!N41</f>
        <v>83758</v>
      </c>
      <c r="M497" s="7">
        <f>'EAST SUSSEX'!O41</f>
        <v>83628</v>
      </c>
      <c r="N497" s="34">
        <f t="shared" si="28"/>
        <v>8.9984880871695955E-2</v>
      </c>
      <c r="O497" s="34"/>
      <c r="P497" s="7">
        <f t="shared" si="29"/>
        <v>10235</v>
      </c>
      <c r="Q497" s="1004">
        <f t="shared" si="30"/>
        <v>0.13945471638984644</v>
      </c>
      <c r="R497" s="6">
        <v>104</v>
      </c>
      <c r="S497" s="6">
        <v>91</v>
      </c>
      <c r="T497" s="6">
        <v>77</v>
      </c>
      <c r="U497" s="6">
        <v>65</v>
      </c>
      <c r="V497" s="6">
        <v>76</v>
      </c>
      <c r="W497" s="6">
        <v>49</v>
      </c>
      <c r="X497" s="6">
        <v>44</v>
      </c>
      <c r="Y497" s="6">
        <v>41</v>
      </c>
      <c r="Z497" s="6">
        <v>49</v>
      </c>
      <c r="AA497" s="6">
        <v>49</v>
      </c>
      <c r="AB497" s="6">
        <v>49</v>
      </c>
      <c r="AC497" s="6">
        <v>63</v>
      </c>
      <c r="AD497" s="6">
        <f t="shared" si="31"/>
        <v>-14</v>
      </c>
      <c r="AE497" s="6" t="s">
        <v>15823</v>
      </c>
    </row>
    <row r="498" spans="1:31">
      <c r="A498" s="33" t="str">
        <f>CHESHIRE!A33</f>
        <v>Weaver Vale CC</v>
      </c>
      <c r="B498" s="7">
        <f>CHESHIRE!D35</f>
        <v>66859</v>
      </c>
      <c r="C498" s="7">
        <f>CHESHIRE!E35</f>
        <v>66008</v>
      </c>
      <c r="D498" s="7">
        <f>CHESHIRE!F35</f>
        <v>65455</v>
      </c>
      <c r="E498" s="7">
        <f>CHESHIRE!G35</f>
        <v>66195</v>
      </c>
      <c r="F498" s="7">
        <f>CHESHIRE!H35</f>
        <v>66666</v>
      </c>
      <c r="G498" s="7">
        <f>CHESHIRE!I35</f>
        <v>67500</v>
      </c>
      <c r="H498" s="7">
        <f>CHESHIRE!J35</f>
        <v>67134</v>
      </c>
      <c r="I498" s="7">
        <f>CHESHIRE!K35</f>
        <v>68324</v>
      </c>
      <c r="J498" s="7">
        <f>CHESHIRE!L35</f>
        <v>70129</v>
      </c>
      <c r="K498" s="7">
        <f>CHESHIRE!M35</f>
        <v>69393</v>
      </c>
      <c r="L498" s="7">
        <f>CHESHIRE!N35</f>
        <v>71083</v>
      </c>
      <c r="M498" s="7">
        <f>CHESHIRE!O35</f>
        <v>71150</v>
      </c>
      <c r="N498" s="34">
        <f t="shared" si="28"/>
        <v>6.4179841158258422E-2</v>
      </c>
      <c r="O498" s="34"/>
      <c r="P498" s="7">
        <f t="shared" si="29"/>
        <v>-2243</v>
      </c>
      <c r="Q498" s="1004">
        <f t="shared" si="30"/>
        <v>-3.0561497690515443E-2</v>
      </c>
      <c r="R498" s="6">
        <v>418</v>
      </c>
      <c r="S498" s="6">
        <v>452</v>
      </c>
      <c r="T498" s="6">
        <v>465</v>
      </c>
      <c r="U498" s="6">
        <v>458</v>
      </c>
      <c r="V498" s="6">
        <v>440</v>
      </c>
      <c r="W498" s="6">
        <v>377</v>
      </c>
      <c r="X498" s="6">
        <v>372</v>
      </c>
      <c r="Y498" s="6">
        <v>380</v>
      </c>
      <c r="Z498" s="6">
        <v>350</v>
      </c>
      <c r="AA498" s="6">
        <v>350</v>
      </c>
      <c r="AB498" s="6">
        <v>352</v>
      </c>
      <c r="AC498" s="6">
        <v>367</v>
      </c>
      <c r="AD498" s="6">
        <f t="shared" si="31"/>
        <v>-15</v>
      </c>
      <c r="AE498" s="6" t="s">
        <v>15825</v>
      </c>
    </row>
    <row r="499" spans="1:31">
      <c r="A499" s="33" t="str">
        <f>NORTHAMPTONSHIRE!A24</f>
        <v>Wellingborough CC</v>
      </c>
      <c r="B499" s="7">
        <f>NORTHAMPTONSHIRE!D24</f>
        <v>76797</v>
      </c>
      <c r="C499" s="7">
        <f>NORTHAMPTONSHIRE!E24</f>
        <v>76848</v>
      </c>
      <c r="D499" s="7">
        <f>NORTHAMPTONSHIRE!F24</f>
        <v>77289</v>
      </c>
      <c r="E499" s="7">
        <f>NORTHAMPTONSHIRE!G24</f>
        <v>76822</v>
      </c>
      <c r="F499" s="7">
        <f>NORTHAMPTONSHIRE!H24</f>
        <v>73033</v>
      </c>
      <c r="G499" s="7">
        <f>NORTHAMPTONSHIRE!I24</f>
        <v>76125</v>
      </c>
      <c r="H499" s="7">
        <f>NORTHAMPTONSHIRE!J24</f>
        <v>74916</v>
      </c>
      <c r="I499" s="7">
        <f>NORTHAMPTONSHIRE!K24</f>
        <v>78423</v>
      </c>
      <c r="J499" s="7">
        <f>NORTHAMPTONSHIRE!L24</f>
        <v>78313</v>
      </c>
      <c r="K499" s="7">
        <f>NORTHAMPTONSHIRE!M24</f>
        <v>78776</v>
      </c>
      <c r="L499" s="7">
        <f>NORTHAMPTONSHIRE!N24</f>
        <v>80609</v>
      </c>
      <c r="M499" s="7">
        <f>NORTHAMPTONSHIRE!O24</f>
        <v>80191</v>
      </c>
      <c r="N499" s="34">
        <f t="shared" si="28"/>
        <v>4.4194434678437963E-2</v>
      </c>
      <c r="O499" s="34"/>
      <c r="P499" s="7">
        <f t="shared" si="29"/>
        <v>6798</v>
      </c>
      <c r="Q499" s="1004">
        <f t="shared" si="30"/>
        <v>9.2624637226983497E-2</v>
      </c>
      <c r="R499" s="6">
        <v>101</v>
      </c>
      <c r="S499" s="6">
        <v>120</v>
      </c>
      <c r="T499" s="6">
        <v>121</v>
      </c>
      <c r="U499" s="6">
        <v>143</v>
      </c>
      <c r="V499" s="6">
        <v>245</v>
      </c>
      <c r="W499" s="6">
        <v>119</v>
      </c>
      <c r="X499" s="6">
        <v>121</v>
      </c>
      <c r="Y499" s="6">
        <v>95</v>
      </c>
      <c r="Z499" s="6">
        <v>114</v>
      </c>
      <c r="AA499" s="6">
        <v>92</v>
      </c>
      <c r="AB499" s="6">
        <v>99</v>
      </c>
      <c r="AC499" s="6">
        <v>126</v>
      </c>
      <c r="AD499" s="6">
        <f t="shared" si="31"/>
        <v>-27</v>
      </c>
      <c r="AE499" s="6" t="s">
        <v>15826</v>
      </c>
    </row>
    <row r="500" spans="1:31">
      <c r="A500" s="33" t="str">
        <f>SOMERSET!A22</f>
        <v>Wells CC</v>
      </c>
      <c r="B500" s="7">
        <f>SOMERSET!D24</f>
        <v>79116</v>
      </c>
      <c r="C500" s="7">
        <f>SOMERSET!E24</f>
        <v>79989</v>
      </c>
      <c r="D500" s="7">
        <f>SOMERSET!F24</f>
        <v>80488</v>
      </c>
      <c r="E500" s="7">
        <f>SOMERSET!G24</f>
        <v>80676</v>
      </c>
      <c r="F500" s="7">
        <f>SOMERSET!H24</f>
        <v>79099</v>
      </c>
      <c r="G500" s="7">
        <f>SOMERSET!I24</f>
        <v>79168</v>
      </c>
      <c r="H500" s="7">
        <f>SOMERSET!J24</f>
        <v>76873</v>
      </c>
      <c r="I500" s="7">
        <f>SOMERSET!K24</f>
        <v>80608</v>
      </c>
      <c r="J500" s="7">
        <f>SOMERSET!L24</f>
        <v>81473</v>
      </c>
      <c r="K500" s="7">
        <f>SOMERSET!M24</f>
        <v>81126</v>
      </c>
      <c r="L500" s="7">
        <f>SOMERSET!N24</f>
        <v>83574</v>
      </c>
      <c r="M500" s="7">
        <f>SOMERSET!O24</f>
        <v>84374</v>
      </c>
      <c r="N500" s="34">
        <f t="shared" si="28"/>
        <v>6.6459376105970983E-2</v>
      </c>
      <c r="O500" s="34"/>
      <c r="P500" s="7">
        <f t="shared" si="29"/>
        <v>10981</v>
      </c>
      <c r="Q500" s="1004">
        <f t="shared" si="30"/>
        <v>0.14961917349065987</v>
      </c>
      <c r="R500" s="6">
        <v>43</v>
      </c>
      <c r="S500" s="6">
        <v>41</v>
      </c>
      <c r="T500" s="6">
        <v>41</v>
      </c>
      <c r="U500" s="6">
        <v>45</v>
      </c>
      <c r="V500" s="6">
        <v>73</v>
      </c>
      <c r="W500" s="6">
        <v>51</v>
      </c>
      <c r="X500" s="6">
        <v>83</v>
      </c>
      <c r="Y500" s="6">
        <v>53</v>
      </c>
      <c r="Z500" s="6">
        <v>54</v>
      </c>
      <c r="AA500" s="6">
        <v>54</v>
      </c>
      <c r="AB500" s="6">
        <v>52</v>
      </c>
      <c r="AC500" s="6">
        <v>52</v>
      </c>
      <c r="AD500" s="6">
        <f t="shared" si="31"/>
        <v>0</v>
      </c>
      <c r="AE500" s="6" t="s">
        <v>15830</v>
      </c>
    </row>
    <row r="501" spans="1:31">
      <c r="A501" s="33" t="str">
        <f>HERTFORDSHIRE!A54</f>
        <v>Welwyn Hatfield CC</v>
      </c>
      <c r="B501" s="7">
        <f>HERTFORDSHIRE!D56</f>
        <v>71731</v>
      </c>
      <c r="C501" s="7">
        <f>HERTFORDSHIRE!E56</f>
        <v>71766</v>
      </c>
      <c r="D501" s="7">
        <f>HERTFORDSHIRE!F56</f>
        <v>73008</v>
      </c>
      <c r="E501" s="7">
        <f>HERTFORDSHIRE!G56</f>
        <v>73730</v>
      </c>
      <c r="F501" s="7">
        <f>HERTFORDSHIRE!H56</f>
        <v>73868</v>
      </c>
      <c r="G501" s="7">
        <f>HERTFORDSHIRE!I56</f>
        <v>71136</v>
      </c>
      <c r="H501" s="7">
        <f>HERTFORDSHIRE!J56</f>
        <v>69042</v>
      </c>
      <c r="I501" s="7">
        <f>HERTFORDSHIRE!K56</f>
        <v>71467</v>
      </c>
      <c r="J501" s="7">
        <f>HERTFORDSHIRE!L56</f>
        <v>71749</v>
      </c>
      <c r="K501" s="7">
        <f>HERTFORDSHIRE!M56</f>
        <v>71063</v>
      </c>
      <c r="L501" s="7">
        <f>HERTFORDSHIRE!N56</f>
        <v>71225</v>
      </c>
      <c r="M501" s="7">
        <f>HERTFORDSHIRE!O56</f>
        <v>74922</v>
      </c>
      <c r="N501" s="34">
        <f t="shared" si="28"/>
        <v>4.4485647767353025E-2</v>
      </c>
      <c r="O501" s="34"/>
      <c r="P501" s="7">
        <f t="shared" si="29"/>
        <v>1529</v>
      </c>
      <c r="Q501" s="1004">
        <f t="shared" si="30"/>
        <v>2.083304947338302E-2</v>
      </c>
      <c r="R501" s="6">
        <v>260</v>
      </c>
      <c r="S501" s="6">
        <v>289</v>
      </c>
      <c r="T501" s="6">
        <v>247</v>
      </c>
      <c r="U501" s="6">
        <v>224</v>
      </c>
      <c r="V501" s="6">
        <v>212</v>
      </c>
      <c r="W501" s="6">
        <v>263</v>
      </c>
      <c r="X501" s="6">
        <v>306</v>
      </c>
      <c r="Y501" s="6">
        <v>278</v>
      </c>
      <c r="Z501" s="6">
        <v>287</v>
      </c>
      <c r="AA501" s="6">
        <v>284</v>
      </c>
      <c r="AB501" s="6">
        <v>344</v>
      </c>
      <c r="AC501" s="6">
        <v>241</v>
      </c>
      <c r="AD501" s="6">
        <f t="shared" si="31"/>
        <v>103</v>
      </c>
      <c r="AE501" s="6" t="s">
        <v>15829</v>
      </c>
    </row>
    <row r="502" spans="1:31">
      <c r="A502" s="33" t="str">
        <f>'SOUTH YORKSHIRE'!A40</f>
        <v>Wentworth and Dearne CC</v>
      </c>
      <c r="B502" s="7">
        <f>'SOUTH YORKSHIRE'!D42</f>
        <v>72014</v>
      </c>
      <c r="C502" s="7">
        <f>'SOUTH YORKSHIRE'!E42</f>
        <v>72272</v>
      </c>
      <c r="D502" s="7">
        <f>'SOUTH YORKSHIRE'!F42</f>
        <v>72966</v>
      </c>
      <c r="E502" s="7">
        <f>'SOUTH YORKSHIRE'!G42</f>
        <v>73739</v>
      </c>
      <c r="F502" s="7">
        <f>'SOUTH YORKSHIRE'!H42</f>
        <v>74635</v>
      </c>
      <c r="G502" s="7">
        <f>'SOUTH YORKSHIRE'!I42</f>
        <v>73940</v>
      </c>
      <c r="H502" s="7">
        <f>'SOUTH YORKSHIRE'!J42</f>
        <v>72152</v>
      </c>
      <c r="I502" s="7">
        <f>'SOUTH YORKSHIRE'!K42</f>
        <v>73574</v>
      </c>
      <c r="J502" s="7">
        <f>'SOUTH YORKSHIRE'!L42</f>
        <v>74111</v>
      </c>
      <c r="K502" s="7">
        <f>'SOUTH YORKSHIRE'!M42</f>
        <v>73635</v>
      </c>
      <c r="L502" s="7">
        <f>'SOUTH YORKSHIRE'!N42</f>
        <v>73863</v>
      </c>
      <c r="M502" s="7">
        <f>'SOUTH YORKSHIRE'!O42</f>
        <v>74970</v>
      </c>
      <c r="N502" s="34">
        <f t="shared" si="28"/>
        <v>4.1047574082817229E-2</v>
      </c>
      <c r="O502" s="34"/>
      <c r="P502" s="7">
        <f t="shared" si="29"/>
        <v>1577</v>
      </c>
      <c r="Q502" s="1004">
        <f t="shared" si="30"/>
        <v>2.1487062798904527E-2</v>
      </c>
      <c r="R502" s="6">
        <v>241</v>
      </c>
      <c r="S502" s="6">
        <v>258</v>
      </c>
      <c r="T502" s="6">
        <v>250</v>
      </c>
      <c r="U502" s="6">
        <v>223</v>
      </c>
      <c r="V502" s="6">
        <v>180</v>
      </c>
      <c r="W502" s="6">
        <v>165</v>
      </c>
      <c r="X502" s="6">
        <v>190</v>
      </c>
      <c r="Y502" s="6">
        <v>208</v>
      </c>
      <c r="Z502" s="6">
        <v>207</v>
      </c>
      <c r="AA502" s="6">
        <v>201</v>
      </c>
      <c r="AB502" s="6">
        <v>266</v>
      </c>
      <c r="AC502" s="6">
        <v>240</v>
      </c>
      <c r="AD502" s="6">
        <f t="shared" si="31"/>
        <v>26</v>
      </c>
      <c r="AE502" s="6" t="s">
        <v>15828</v>
      </c>
    </row>
    <row r="503" spans="1:31">
      <c r="A503" s="33" t="str">
        <f>'WEST MIDLANDS'!A63</f>
        <v>West Bromwich East BC</v>
      </c>
      <c r="B503" s="7">
        <f>'WEST MIDLANDS'!D63</f>
        <v>63218</v>
      </c>
      <c r="C503" s="7">
        <f>'WEST MIDLANDS'!E63</f>
        <v>63008</v>
      </c>
      <c r="D503" s="7">
        <f>'WEST MIDLANDS'!F63</f>
        <v>63465</v>
      </c>
      <c r="E503" s="7">
        <f>'WEST MIDLANDS'!G63</f>
        <v>64389</v>
      </c>
      <c r="F503" s="7">
        <f>'WEST MIDLANDS'!H63</f>
        <v>63641</v>
      </c>
      <c r="G503" s="7">
        <f>'WEST MIDLANDS'!I63</f>
        <v>63587</v>
      </c>
      <c r="H503" s="7">
        <f>'WEST MIDLANDS'!J63</f>
        <v>62033</v>
      </c>
      <c r="I503" s="7">
        <f>'WEST MIDLANDS'!K63</f>
        <v>62968</v>
      </c>
      <c r="J503" s="7">
        <f>'WEST MIDLANDS'!L63</f>
        <v>64007</v>
      </c>
      <c r="K503" s="7">
        <f>'WEST MIDLANDS'!M63</f>
        <v>60297</v>
      </c>
      <c r="L503" s="7">
        <f>'WEST MIDLANDS'!N63</f>
        <v>62514</v>
      </c>
      <c r="M503" s="7">
        <f>'WEST MIDLANDS'!O63</f>
        <v>62324</v>
      </c>
      <c r="N503" s="34">
        <f t="shared" si="28"/>
        <v>-1.4141541965895789E-2</v>
      </c>
      <c r="O503" s="34"/>
      <c r="P503" s="7">
        <f t="shared" si="29"/>
        <v>-11069</v>
      </c>
      <c r="Q503" s="1004">
        <f t="shared" si="30"/>
        <v>-0.15081819792078263</v>
      </c>
      <c r="R503" s="6">
        <v>499</v>
      </c>
      <c r="S503" s="6">
        <v>504</v>
      </c>
      <c r="T503" s="6">
        <v>500</v>
      </c>
      <c r="U503" s="6">
        <v>490</v>
      </c>
      <c r="V503" s="6">
        <v>489</v>
      </c>
      <c r="W503" s="6">
        <v>473</v>
      </c>
      <c r="X503" s="6">
        <v>484</v>
      </c>
      <c r="Y503" s="6">
        <v>484</v>
      </c>
      <c r="Z503" s="6">
        <v>478</v>
      </c>
      <c r="AA503" s="6">
        <v>507</v>
      </c>
      <c r="AB503" s="6">
        <v>504</v>
      </c>
      <c r="AC503" s="6">
        <v>510</v>
      </c>
      <c r="AD503" s="6">
        <f t="shared" si="31"/>
        <v>-6</v>
      </c>
      <c r="AE503" s="6" t="s">
        <v>15824</v>
      </c>
    </row>
    <row r="504" spans="1:31">
      <c r="A504" s="33" t="str">
        <f>'WEST MIDLANDS'!A65</f>
        <v>West Bromwich West BC</v>
      </c>
      <c r="B504" s="7">
        <f>'WEST MIDLANDS'!D65</f>
        <v>65472</v>
      </c>
      <c r="C504" s="7">
        <f>'WEST MIDLANDS'!E65</f>
        <v>65249</v>
      </c>
      <c r="D504" s="7">
        <f>'WEST MIDLANDS'!F65</f>
        <v>65964</v>
      </c>
      <c r="E504" s="7">
        <f>'WEST MIDLANDS'!G65</f>
        <v>66742</v>
      </c>
      <c r="F504" s="7">
        <f>'WEST MIDLANDS'!H65</f>
        <v>65721</v>
      </c>
      <c r="G504" s="7">
        <f>'WEST MIDLANDS'!I65</f>
        <v>65705</v>
      </c>
      <c r="H504" s="7">
        <f>'WEST MIDLANDS'!J65</f>
        <v>63963</v>
      </c>
      <c r="I504" s="7">
        <f>'WEST MIDLANDS'!K65</f>
        <v>64953</v>
      </c>
      <c r="J504" s="7">
        <f>'WEST MIDLANDS'!L65</f>
        <v>65839</v>
      </c>
      <c r="K504" s="7">
        <f>'WEST MIDLANDS'!M65</f>
        <v>62152</v>
      </c>
      <c r="L504" s="7">
        <f>'WEST MIDLANDS'!N65</f>
        <v>64950</v>
      </c>
      <c r="M504" s="7">
        <f>'WEST MIDLANDS'!O65</f>
        <v>64762</v>
      </c>
      <c r="N504" s="34">
        <f t="shared" si="28"/>
        <v>-1.0844330400782014E-2</v>
      </c>
      <c r="O504" s="34"/>
      <c r="P504" s="7">
        <f t="shared" si="29"/>
        <v>-8631</v>
      </c>
      <c r="Q504" s="1004">
        <f t="shared" si="30"/>
        <v>-0.11759977109533606</v>
      </c>
      <c r="R504" s="6">
        <v>451</v>
      </c>
      <c r="S504" s="6">
        <v>468</v>
      </c>
      <c r="T504" s="6">
        <v>455</v>
      </c>
      <c r="U504" s="6">
        <v>450</v>
      </c>
      <c r="V504" s="6">
        <v>455</v>
      </c>
      <c r="W504" s="6">
        <v>420</v>
      </c>
      <c r="X504" s="6">
        <v>442</v>
      </c>
      <c r="Y504" s="6">
        <v>455</v>
      </c>
      <c r="Z504" s="6">
        <v>445</v>
      </c>
      <c r="AA504" s="6">
        <v>490</v>
      </c>
      <c r="AB504" s="6">
        <v>473</v>
      </c>
      <c r="AC504" s="6">
        <v>485</v>
      </c>
      <c r="AD504" s="6">
        <f t="shared" si="31"/>
        <v>-12</v>
      </c>
      <c r="AE504" s="6" t="s">
        <v>15824</v>
      </c>
    </row>
    <row r="505" spans="1:31">
      <c r="A505" s="33" t="str">
        <f>DORSET!A29</f>
        <v>West Dorset CC</v>
      </c>
      <c r="B505" s="7">
        <f>DORSET!D29</f>
        <v>76877</v>
      </c>
      <c r="C505" s="7">
        <f>DORSET!E29</f>
        <v>76779</v>
      </c>
      <c r="D505" s="7">
        <f>DORSET!F29</f>
        <v>77392</v>
      </c>
      <c r="E505" s="7">
        <f>DORSET!G29</f>
        <v>77596</v>
      </c>
      <c r="F505" s="7">
        <f>DORSET!H29</f>
        <v>77578</v>
      </c>
      <c r="G505" s="7">
        <f>DORSET!I29</f>
        <v>77624</v>
      </c>
      <c r="H505" s="7">
        <f>DORSET!J29</f>
        <v>74623</v>
      </c>
      <c r="I505" s="7">
        <f>DORSET!K29</f>
        <v>77474</v>
      </c>
      <c r="J505" s="7">
        <f>DORSET!L29</f>
        <v>78196</v>
      </c>
      <c r="K505" s="7">
        <f>DORSET!M29</f>
        <v>78240</v>
      </c>
      <c r="L505" s="7">
        <f>DORSET!N29</f>
        <v>82516</v>
      </c>
      <c r="M505" s="7">
        <f>DORSET!O29</f>
        <v>81091</v>
      </c>
      <c r="N505" s="34">
        <f t="shared" si="28"/>
        <v>5.4814834085617284E-2</v>
      </c>
      <c r="O505" s="34"/>
      <c r="P505" s="7">
        <f t="shared" si="29"/>
        <v>7698</v>
      </c>
      <c r="Q505" s="1004">
        <f t="shared" si="30"/>
        <v>0.10488738708051176</v>
      </c>
      <c r="R505" s="6">
        <v>97</v>
      </c>
      <c r="S505" s="6">
        <v>122</v>
      </c>
      <c r="T505" s="6">
        <v>116</v>
      </c>
      <c r="U505" s="6">
        <v>126</v>
      </c>
      <c r="V505" s="6">
        <v>113</v>
      </c>
      <c r="W505" s="6">
        <v>78</v>
      </c>
      <c r="X505" s="6">
        <v>129</v>
      </c>
      <c r="Y505" s="6">
        <v>117</v>
      </c>
      <c r="Z505" s="6">
        <v>118</v>
      </c>
      <c r="AA505" s="6">
        <v>102</v>
      </c>
      <c r="AB505" s="6">
        <v>66</v>
      </c>
      <c r="AC505" s="6">
        <v>100</v>
      </c>
      <c r="AD505" s="6">
        <f t="shared" si="31"/>
        <v>-34</v>
      </c>
      <c r="AE505" s="6" t="s">
        <v>15830</v>
      </c>
    </row>
    <row r="506" spans="1:31">
      <c r="A506" s="33" t="str">
        <f>NEWHAM!A9</f>
        <v>West Ham BC</v>
      </c>
      <c r="B506" s="7">
        <f>NEWHAM!D9</f>
        <v>83572</v>
      </c>
      <c r="C506" s="7">
        <f>NEWHAM!E9</f>
        <v>86400</v>
      </c>
      <c r="D506" s="7">
        <f>NEWHAM!F9</f>
        <v>88062</v>
      </c>
      <c r="E506" s="7">
        <f>NEWHAM!G9</f>
        <v>88744</v>
      </c>
      <c r="F506" s="7">
        <f>NEWHAM!H9</f>
        <v>82393</v>
      </c>
      <c r="G506" s="7">
        <f>NEWHAM!I9</f>
        <v>83345</v>
      </c>
      <c r="H506" s="7">
        <f>NEWHAM!J9</f>
        <v>86902</v>
      </c>
      <c r="I506" s="7">
        <f>NEWHAM!K9</f>
        <v>91076</v>
      </c>
      <c r="J506" s="7">
        <f>NEWHAM!L9</f>
        <v>90695</v>
      </c>
      <c r="K506" s="7">
        <f>NEWHAM!M9</f>
        <v>90048</v>
      </c>
      <c r="L506" s="7">
        <f>NEWHAM!N9</f>
        <v>93444</v>
      </c>
      <c r="M506" s="7">
        <f>NEWHAM!O9</f>
        <v>97888</v>
      </c>
      <c r="N506" s="34">
        <f t="shared" si="28"/>
        <v>0.17130139281098933</v>
      </c>
      <c r="O506" s="34"/>
      <c r="P506" s="7">
        <f t="shared" si="29"/>
        <v>24495</v>
      </c>
      <c r="Q506" s="1004">
        <f t="shared" si="30"/>
        <v>0.33375117518019431</v>
      </c>
      <c r="R506" s="6">
        <v>11</v>
      </c>
      <c r="S506" s="6">
        <v>6</v>
      </c>
      <c r="T506" s="6">
        <v>6</v>
      </c>
      <c r="U506" s="6">
        <v>6</v>
      </c>
      <c r="V506" s="6">
        <v>32</v>
      </c>
      <c r="W506" s="6">
        <v>14</v>
      </c>
      <c r="X506" s="6">
        <v>4</v>
      </c>
      <c r="Y506" s="6">
        <v>3</v>
      </c>
      <c r="Z506" s="6">
        <v>4</v>
      </c>
      <c r="AA506" s="6">
        <v>5</v>
      </c>
      <c r="AB506" s="6">
        <v>6</v>
      </c>
      <c r="AC506" s="6">
        <v>3</v>
      </c>
      <c r="AD506" s="6">
        <f t="shared" si="31"/>
        <v>3</v>
      </c>
      <c r="AE506" s="6" t="s">
        <v>15827</v>
      </c>
    </row>
    <row r="507" spans="1:31">
      <c r="A507" s="33" t="str">
        <f>LANCASHIRE!A70</f>
        <v>West Lancashire CC</v>
      </c>
      <c r="B507" s="7">
        <f>LANCASHIRE!D70</f>
        <v>72347</v>
      </c>
      <c r="C507" s="7">
        <f>LANCASHIRE!E70</f>
        <v>73028</v>
      </c>
      <c r="D507" s="7">
        <f>LANCASHIRE!F70</f>
        <v>73877</v>
      </c>
      <c r="E507" s="7">
        <f>LANCASHIRE!G70</f>
        <v>72352</v>
      </c>
      <c r="F507" s="7">
        <f>LANCASHIRE!H70</f>
        <v>74251</v>
      </c>
      <c r="G507" s="7">
        <f>LANCASHIRE!I70</f>
        <v>69519</v>
      </c>
      <c r="H507" s="7">
        <f>LANCASHIRE!J70</f>
        <v>70260</v>
      </c>
      <c r="I507" s="7">
        <f>LANCASHIRE!K70</f>
        <v>70998</v>
      </c>
      <c r="J507" s="7">
        <f>LANCASHIRE!L70</f>
        <v>72049</v>
      </c>
      <c r="K507" s="7">
        <f>LANCASHIRE!M70</f>
        <v>69908</v>
      </c>
      <c r="L507" s="7">
        <f>LANCASHIRE!N70</f>
        <v>73678</v>
      </c>
      <c r="M507" s="7">
        <f>LANCASHIRE!O70</f>
        <v>73652</v>
      </c>
      <c r="N507" s="34">
        <f t="shared" si="28"/>
        <v>1.8038066540423239E-2</v>
      </c>
      <c r="O507" s="34"/>
      <c r="P507" s="7">
        <f t="shared" si="29"/>
        <v>259</v>
      </c>
      <c r="Q507" s="1004">
        <f t="shared" si="30"/>
        <v>3.5289469022931341E-3</v>
      </c>
      <c r="R507" s="6">
        <v>227</v>
      </c>
      <c r="S507" s="6">
        <v>227</v>
      </c>
      <c r="T507" s="6">
        <v>207</v>
      </c>
      <c r="U507" s="6">
        <v>292</v>
      </c>
      <c r="V507" s="6">
        <v>198</v>
      </c>
      <c r="W507" s="6">
        <v>313</v>
      </c>
      <c r="X507" s="6">
        <v>262</v>
      </c>
      <c r="Y507" s="6">
        <v>294</v>
      </c>
      <c r="Z507" s="6">
        <v>274</v>
      </c>
      <c r="AA507" s="6">
        <v>337</v>
      </c>
      <c r="AB507" s="6">
        <v>274</v>
      </c>
      <c r="AC507" s="6">
        <v>293</v>
      </c>
      <c r="AD507" s="6">
        <f t="shared" si="31"/>
        <v>-19</v>
      </c>
      <c r="AE507" s="6" t="s">
        <v>15825</v>
      </c>
    </row>
    <row r="508" spans="1:31">
      <c r="A508" s="33" t="str">
        <f>SUFFOLK!A32</f>
        <v>West Suffolk CC</v>
      </c>
      <c r="B508" s="7">
        <f>SUFFOLK!D32</f>
        <v>74161</v>
      </c>
      <c r="C508" s="7">
        <f>SUFFOLK!E32</f>
        <v>76158</v>
      </c>
      <c r="D508" s="7">
        <f>SUFFOLK!F32</f>
        <v>76566</v>
      </c>
      <c r="E508" s="7">
        <f>SUFFOLK!G32</f>
        <v>77193</v>
      </c>
      <c r="F508" s="7">
        <f>SUFFOLK!H32</f>
        <v>76061</v>
      </c>
      <c r="G508" s="7">
        <f>SUFFOLK!I32</f>
        <v>75566</v>
      </c>
      <c r="H508" s="7">
        <f>SUFFOLK!J32</f>
        <v>72809</v>
      </c>
      <c r="I508" s="7">
        <f>SUFFOLK!K32</f>
        <v>77198</v>
      </c>
      <c r="J508" s="7">
        <f>SUFFOLK!L32</f>
        <v>76519</v>
      </c>
      <c r="K508" s="7">
        <f>SUFFOLK!M32</f>
        <v>76491</v>
      </c>
      <c r="L508" s="7">
        <f>SUFFOLK!N32</f>
        <v>79388</v>
      </c>
      <c r="M508" s="7">
        <f>SUFFOLK!O32</f>
        <v>79394</v>
      </c>
      <c r="N508" s="34">
        <f t="shared" si="28"/>
        <v>7.0562694677795607E-2</v>
      </c>
      <c r="O508" s="34"/>
      <c r="P508" s="7">
        <f t="shared" si="29"/>
        <v>6001</v>
      </c>
      <c r="Q508" s="1004">
        <f t="shared" si="30"/>
        <v>8.1765290967803467E-2</v>
      </c>
      <c r="R508" s="6">
        <v>170</v>
      </c>
      <c r="S508" s="6">
        <v>137</v>
      </c>
      <c r="T508" s="6">
        <v>139</v>
      </c>
      <c r="U508" s="6">
        <v>137</v>
      </c>
      <c r="V508" s="6">
        <v>147</v>
      </c>
      <c r="W508" s="6">
        <v>131</v>
      </c>
      <c r="X508" s="6">
        <v>170</v>
      </c>
      <c r="Y508" s="6">
        <v>125</v>
      </c>
      <c r="Z508" s="6">
        <v>151</v>
      </c>
      <c r="AA508" s="6">
        <v>142</v>
      </c>
      <c r="AB508" s="6">
        <v>132</v>
      </c>
      <c r="AC508" s="6">
        <v>142</v>
      </c>
      <c r="AD508" s="6">
        <f t="shared" si="31"/>
        <v>-10</v>
      </c>
      <c r="AE508" s="6" t="s">
        <v>15829</v>
      </c>
    </row>
    <row r="509" spans="1:31">
      <c r="A509" s="33" t="str">
        <f>WORCESTERSHIRE!A22</f>
        <v>West Worcestershire CC</v>
      </c>
      <c r="B509" s="7">
        <f>WORCESTERSHIRE!D24</f>
        <v>72688</v>
      </c>
      <c r="C509" s="7">
        <f>WORCESTERSHIRE!E24</f>
        <v>73001</v>
      </c>
      <c r="D509" s="7">
        <f>WORCESTERSHIRE!F24</f>
        <v>73130</v>
      </c>
      <c r="E509" s="7">
        <f>WORCESTERSHIRE!G24</f>
        <v>73938</v>
      </c>
      <c r="F509" s="7">
        <f>WORCESTERSHIRE!H24</f>
        <v>73617</v>
      </c>
      <c r="G509" s="7">
        <f>WORCESTERSHIRE!I24</f>
        <v>72573</v>
      </c>
      <c r="H509" s="7">
        <f>WORCESTERSHIRE!J24</f>
        <v>72674</v>
      </c>
      <c r="I509" s="7">
        <f>WORCESTERSHIRE!K24</f>
        <v>74153</v>
      </c>
      <c r="J509" s="7">
        <f>WORCESTERSHIRE!L24</f>
        <v>74050</v>
      </c>
      <c r="K509" s="7">
        <f>WORCESTERSHIRE!M24</f>
        <v>74048</v>
      </c>
      <c r="L509" s="7">
        <f>WORCESTERSHIRE!N24</f>
        <v>75099</v>
      </c>
      <c r="M509" s="7">
        <f>WORCESTERSHIRE!O24</f>
        <v>76638</v>
      </c>
      <c r="N509" s="34">
        <f t="shared" si="28"/>
        <v>5.4341844596081885E-2</v>
      </c>
      <c r="O509" s="34"/>
      <c r="P509" s="7">
        <f t="shared" si="29"/>
        <v>3245</v>
      </c>
      <c r="Q509" s="1004">
        <f t="shared" si="30"/>
        <v>4.4214025860776912E-2</v>
      </c>
      <c r="R509" s="6">
        <v>212</v>
      </c>
      <c r="S509" s="6">
        <v>229</v>
      </c>
      <c r="T509" s="6">
        <v>240</v>
      </c>
      <c r="U509" s="6">
        <v>214</v>
      </c>
      <c r="V509" s="6">
        <v>225</v>
      </c>
      <c r="W509" s="6">
        <v>206</v>
      </c>
      <c r="X509" s="6">
        <v>175</v>
      </c>
      <c r="Y509" s="6">
        <v>193</v>
      </c>
      <c r="Z509" s="6">
        <v>210</v>
      </c>
      <c r="AA509" s="6">
        <v>184</v>
      </c>
      <c r="AB509" s="6">
        <v>224</v>
      </c>
      <c r="AC509" s="6">
        <v>206</v>
      </c>
      <c r="AD509" s="6">
        <f t="shared" si="31"/>
        <v>18</v>
      </c>
      <c r="AE509" s="6" t="s">
        <v>15824</v>
      </c>
    </row>
    <row r="510" spans="1:31">
      <c r="A510" s="33" t="str">
        <f>WESTMINSTER!A11</f>
        <v>Westminster North BC</v>
      </c>
      <c r="B510" s="7">
        <f>WESTMINSTER!D11</f>
        <v>64459</v>
      </c>
      <c r="C510" s="7">
        <f>WESTMINSTER!E11</f>
        <v>65936</v>
      </c>
      <c r="D510" s="7">
        <f>WESTMINSTER!F11</f>
        <v>64191</v>
      </c>
      <c r="E510" s="7">
        <f>WESTMINSTER!G11</f>
        <v>62681</v>
      </c>
      <c r="F510" s="7">
        <f>WESTMINSTER!H11</f>
        <v>60879</v>
      </c>
      <c r="G510" s="7">
        <f>WESTMINSTER!I11</f>
        <v>57885</v>
      </c>
      <c r="H510" s="7">
        <f>WESTMINSTER!J11</f>
        <v>59436</v>
      </c>
      <c r="I510" s="7">
        <f>WESTMINSTER!K11</f>
        <v>62892</v>
      </c>
      <c r="J510" s="7">
        <f>WESTMINSTER!L11</f>
        <v>63592</v>
      </c>
      <c r="K510" s="7">
        <f>WESTMINSTER!M11</f>
        <v>61320</v>
      </c>
      <c r="L510" s="7">
        <f>WESTMINSTER!N11</f>
        <v>64412</v>
      </c>
      <c r="M510" s="7">
        <f>WESTMINSTER!O11</f>
        <v>64420</v>
      </c>
      <c r="N510" s="34">
        <f t="shared" si="28"/>
        <v>-6.0503575916474037E-4</v>
      </c>
      <c r="O510" s="34"/>
      <c r="P510" s="7">
        <f t="shared" si="29"/>
        <v>-8973</v>
      </c>
      <c r="Q510" s="1004">
        <f t="shared" si="30"/>
        <v>-0.12225961603967681</v>
      </c>
      <c r="R510" s="6">
        <v>477</v>
      </c>
      <c r="S510" s="6">
        <v>454</v>
      </c>
      <c r="T510" s="6">
        <v>490</v>
      </c>
      <c r="U510" s="6">
        <v>507</v>
      </c>
      <c r="V510" s="6">
        <v>517</v>
      </c>
      <c r="W510" s="6">
        <v>520</v>
      </c>
      <c r="X510" s="6">
        <v>508</v>
      </c>
      <c r="Y510" s="6">
        <v>485</v>
      </c>
      <c r="Z510" s="6">
        <v>483</v>
      </c>
      <c r="AA510" s="6">
        <v>497</v>
      </c>
      <c r="AB510" s="6">
        <v>480</v>
      </c>
      <c r="AC510" s="6">
        <v>490</v>
      </c>
      <c r="AD510" s="6">
        <f t="shared" si="31"/>
        <v>-10</v>
      </c>
      <c r="AE510" s="6" t="s">
        <v>15827</v>
      </c>
    </row>
    <row r="511" spans="1:31">
      <c r="A511" s="33" t="str">
        <f>CUMBRIA!A29</f>
        <v>Westmorland and Lonsdale CC</v>
      </c>
      <c r="B511" s="7">
        <f>CUMBRIA!D29</f>
        <v>67027</v>
      </c>
      <c r="C511" s="7">
        <f>CUMBRIA!E29</f>
        <v>66609</v>
      </c>
      <c r="D511" s="7">
        <f>CUMBRIA!F29</f>
        <v>66582</v>
      </c>
      <c r="E511" s="7">
        <f>CUMBRIA!G29</f>
        <v>66792</v>
      </c>
      <c r="F511" s="7">
        <f>CUMBRIA!H29</f>
        <v>64587</v>
      </c>
      <c r="G511" s="7">
        <f>CUMBRIA!I29</f>
        <v>64871</v>
      </c>
      <c r="H511" s="7">
        <f>CUMBRIA!J29</f>
        <v>63885</v>
      </c>
      <c r="I511" s="7">
        <f>CUMBRIA!K29</f>
        <v>65240</v>
      </c>
      <c r="J511" s="7">
        <f>CUMBRIA!L29</f>
        <v>66011</v>
      </c>
      <c r="K511" s="7">
        <f>CUMBRIA!M29</f>
        <v>65786</v>
      </c>
      <c r="L511" s="7">
        <f>CUMBRIA!N29</f>
        <v>66754</v>
      </c>
      <c r="M511" s="7">
        <f>CUMBRIA!O29</f>
        <v>66986</v>
      </c>
      <c r="N511" s="34">
        <f t="shared" si="28"/>
        <v>-6.1169379503782058E-4</v>
      </c>
      <c r="O511" s="34"/>
      <c r="P511" s="7">
        <f t="shared" si="29"/>
        <v>-6407</v>
      </c>
      <c r="Q511" s="1004">
        <f t="shared" si="30"/>
        <v>-8.7297153679506218E-2</v>
      </c>
      <c r="R511" s="6">
        <v>409</v>
      </c>
      <c r="S511" s="6">
        <v>435</v>
      </c>
      <c r="T511" s="6">
        <v>445</v>
      </c>
      <c r="U511" s="6">
        <v>448</v>
      </c>
      <c r="V511" s="6">
        <v>476</v>
      </c>
      <c r="W511" s="6">
        <v>447</v>
      </c>
      <c r="X511" s="6">
        <v>447</v>
      </c>
      <c r="Y511" s="6">
        <v>447</v>
      </c>
      <c r="Z511" s="6">
        <v>438</v>
      </c>
      <c r="AA511" s="6">
        <v>434</v>
      </c>
      <c r="AB511" s="6">
        <v>443</v>
      </c>
      <c r="AC511" s="6">
        <v>452</v>
      </c>
      <c r="AD511" s="6">
        <f t="shared" si="31"/>
        <v>-9</v>
      </c>
      <c r="AE511" s="6" t="s">
        <v>15825</v>
      </c>
    </row>
    <row r="512" spans="1:31">
      <c r="A512" s="33" t="str">
        <f>'NORTH SOMERSET'!A9</f>
        <v>Weston-Super-Mare CC</v>
      </c>
      <c r="B512" s="7">
        <f>'NORTH SOMERSET'!D9</f>
        <v>78516</v>
      </c>
      <c r="C512" s="7">
        <f>'NORTH SOMERSET'!E9</f>
        <v>78778</v>
      </c>
      <c r="D512" s="7">
        <f>'NORTH SOMERSET'!F9</f>
        <v>79122</v>
      </c>
      <c r="E512" s="7">
        <f>'NORTH SOMERSET'!G9</f>
        <v>80085</v>
      </c>
      <c r="F512" s="7">
        <f>'NORTH SOMERSET'!H9</f>
        <v>78495</v>
      </c>
      <c r="G512" s="7">
        <f>'NORTH SOMERSET'!I9</f>
        <v>78173</v>
      </c>
      <c r="H512" s="7">
        <f>'NORTH SOMERSET'!J9</f>
        <v>75333</v>
      </c>
      <c r="I512" s="7">
        <f>'NORTH SOMERSET'!K9</f>
        <v>80017</v>
      </c>
      <c r="J512" s="7">
        <f>'NORTH SOMERSET'!L9</f>
        <v>79819</v>
      </c>
      <c r="K512" s="7">
        <f>'NORTH SOMERSET'!M9</f>
        <v>80604</v>
      </c>
      <c r="L512" s="7">
        <f>'NORTH SOMERSET'!N9</f>
        <v>83375</v>
      </c>
      <c r="M512" s="7">
        <f>'NORTH SOMERSET'!O9</f>
        <v>83417</v>
      </c>
      <c r="N512" s="34">
        <f t="shared" si="28"/>
        <v>6.2420398390137043E-2</v>
      </c>
      <c r="O512" s="34"/>
      <c r="P512" s="7">
        <f t="shared" si="29"/>
        <v>10024</v>
      </c>
      <c r="Q512" s="1004">
        <f t="shared" si="30"/>
        <v>0.13657978281307481</v>
      </c>
      <c r="R512" s="6">
        <v>54</v>
      </c>
      <c r="S512" s="6">
        <v>61</v>
      </c>
      <c r="T512" s="6">
        <v>64</v>
      </c>
      <c r="U512" s="6">
        <v>54</v>
      </c>
      <c r="V512" s="6">
        <v>89</v>
      </c>
      <c r="W512" s="6">
        <v>69</v>
      </c>
      <c r="X512" s="6">
        <v>112</v>
      </c>
      <c r="Y512" s="6">
        <v>67</v>
      </c>
      <c r="Z512" s="6">
        <v>81</v>
      </c>
      <c r="AA512" s="6">
        <v>57</v>
      </c>
      <c r="AB512" s="6">
        <v>55</v>
      </c>
      <c r="AC512" s="6">
        <v>68</v>
      </c>
      <c r="AD512" s="6">
        <f t="shared" si="31"/>
        <v>-13</v>
      </c>
      <c r="AE512" s="6" t="s">
        <v>15830</v>
      </c>
    </row>
    <row r="513" spans="1:31">
      <c r="A513" s="33" t="str">
        <f>'GREATER MANCHESTER'!A75</f>
        <v>Wigan CC</v>
      </c>
      <c r="B513" s="7">
        <f>'GREATER MANCHESTER'!D75</f>
        <v>75035</v>
      </c>
      <c r="C513" s="7">
        <f>'GREATER MANCHESTER'!E75</f>
        <v>76779</v>
      </c>
      <c r="D513" s="7">
        <f>'GREATER MANCHESTER'!F75</f>
        <v>77288</v>
      </c>
      <c r="E513" s="7">
        <f>'GREATER MANCHESTER'!G75</f>
        <v>77675</v>
      </c>
      <c r="F513" s="7">
        <f>'GREATER MANCHESTER'!H75</f>
        <v>77655</v>
      </c>
      <c r="G513" s="7">
        <f>'GREATER MANCHESTER'!I75</f>
        <v>74621</v>
      </c>
      <c r="H513" s="7">
        <f>'GREATER MANCHESTER'!J75</f>
        <v>72733</v>
      </c>
      <c r="I513" s="7">
        <f>'GREATER MANCHESTER'!K75</f>
        <v>73656</v>
      </c>
      <c r="J513" s="7">
        <f>'GREATER MANCHESTER'!L75</f>
        <v>74241</v>
      </c>
      <c r="K513" s="7">
        <f>'GREATER MANCHESTER'!M75</f>
        <v>73782</v>
      </c>
      <c r="L513" s="7">
        <f>'GREATER MANCHESTER'!N75</f>
        <v>75661</v>
      </c>
      <c r="M513" s="7">
        <f>'GREATER MANCHESTER'!O75</f>
        <v>75607</v>
      </c>
      <c r="N513" s="34">
        <f t="shared" si="28"/>
        <v>7.6231092156993406E-3</v>
      </c>
      <c r="O513" s="34"/>
      <c r="P513" s="7">
        <f t="shared" si="29"/>
        <v>2214</v>
      </c>
      <c r="Q513" s="1004">
        <f t="shared" si="30"/>
        <v>3.0166364639679533E-2</v>
      </c>
      <c r="R513" s="6">
        <v>151</v>
      </c>
      <c r="S513" s="6">
        <v>123</v>
      </c>
      <c r="T513" s="6">
        <v>122</v>
      </c>
      <c r="U513" s="6">
        <v>123</v>
      </c>
      <c r="V513" s="6">
        <v>107</v>
      </c>
      <c r="W513" s="6">
        <v>153</v>
      </c>
      <c r="X513" s="6">
        <v>172</v>
      </c>
      <c r="Y513" s="6">
        <v>206</v>
      </c>
      <c r="Z513" s="6">
        <v>204</v>
      </c>
      <c r="AA513" s="6">
        <v>195</v>
      </c>
      <c r="AB513" s="6">
        <v>211</v>
      </c>
      <c r="AC513" s="6">
        <v>221</v>
      </c>
      <c r="AD513" s="6">
        <f t="shared" si="31"/>
        <v>-10</v>
      </c>
      <c r="AE513" s="6" t="s">
        <v>15825</v>
      </c>
    </row>
    <row r="514" spans="1:31">
      <c r="A514" s="33" t="str">
        <f>MERTON!A9</f>
        <v>Wimbledon BC</v>
      </c>
      <c r="B514" s="7">
        <f>MERTON!D9</f>
        <v>64933</v>
      </c>
      <c r="C514" s="7">
        <f>MERTON!E9</f>
        <v>65936</v>
      </c>
      <c r="D514" s="7">
        <f>MERTON!F9</f>
        <v>66022</v>
      </c>
      <c r="E514" s="7">
        <f>MERTON!G9</f>
        <v>66304</v>
      </c>
      <c r="F514" s="7">
        <f>MERTON!H9</f>
        <v>65189</v>
      </c>
      <c r="G514" s="7">
        <f>MERTON!I9</f>
        <v>63475</v>
      </c>
      <c r="H514" s="7">
        <f>MERTON!J9</f>
        <v>63505</v>
      </c>
      <c r="I514" s="7">
        <f>MERTON!K9</f>
        <v>65457</v>
      </c>
      <c r="J514" s="7">
        <f>MERTON!L9</f>
        <v>64935</v>
      </c>
      <c r="K514" s="7">
        <f>MERTON!M9</f>
        <v>64329</v>
      </c>
      <c r="L514" s="7">
        <f>MERTON!N9</f>
        <v>66207</v>
      </c>
      <c r="M514" s="7">
        <f>MERTON!O9</f>
        <v>68145</v>
      </c>
      <c r="N514" s="34">
        <f t="shared" si="28"/>
        <v>4.9466373030662376E-2</v>
      </c>
      <c r="O514" s="34"/>
      <c r="P514" s="7">
        <f t="shared" si="29"/>
        <v>-5248</v>
      </c>
      <c r="Q514" s="1004">
        <f t="shared" si="30"/>
        <v>-7.1505456923684818E-2</v>
      </c>
      <c r="R514" s="6">
        <v>464</v>
      </c>
      <c r="S514" s="6">
        <v>455</v>
      </c>
      <c r="T514" s="6">
        <v>454</v>
      </c>
      <c r="U514" s="6">
        <v>456</v>
      </c>
      <c r="V514" s="6">
        <v>467</v>
      </c>
      <c r="W514" s="6">
        <v>476</v>
      </c>
      <c r="X514" s="6">
        <v>451</v>
      </c>
      <c r="Y514" s="6">
        <v>441</v>
      </c>
      <c r="Z514" s="6">
        <v>464</v>
      </c>
      <c r="AA514" s="6">
        <v>462</v>
      </c>
      <c r="AB514" s="6">
        <v>453</v>
      </c>
      <c r="AC514" s="6">
        <v>433</v>
      </c>
      <c r="AD514" s="6">
        <f t="shared" si="31"/>
        <v>20</v>
      </c>
      <c r="AE514" s="6" t="s">
        <v>15827</v>
      </c>
    </row>
    <row r="515" spans="1:31">
      <c r="A515" s="33" t="str">
        <f>HAMPSHIRE!A66</f>
        <v>Winchester CC</v>
      </c>
      <c r="B515" s="7">
        <f>HAMPSHIRE!D68</f>
        <v>73339</v>
      </c>
      <c r="C515" s="7">
        <f>HAMPSHIRE!E68</f>
        <v>74138</v>
      </c>
      <c r="D515" s="7">
        <f>HAMPSHIRE!F68</f>
        <v>74999</v>
      </c>
      <c r="E515" s="7">
        <f>HAMPSHIRE!G68</f>
        <v>75444</v>
      </c>
      <c r="F515" s="7">
        <f>HAMPSHIRE!H68</f>
        <v>75906</v>
      </c>
      <c r="G515" s="7">
        <f>HAMPSHIRE!I68</f>
        <v>73497</v>
      </c>
      <c r="H515" s="7">
        <f>HAMPSHIRE!J68</f>
        <v>70041</v>
      </c>
      <c r="I515" s="7">
        <f>HAMPSHIRE!K68</f>
        <v>71136</v>
      </c>
      <c r="J515" s="7">
        <f>HAMPSHIRE!L68</f>
        <v>71328</v>
      </c>
      <c r="K515" s="7">
        <f>HAMPSHIRE!M68</f>
        <v>70479</v>
      </c>
      <c r="L515" s="7">
        <f>HAMPSHIRE!N68</f>
        <v>71227</v>
      </c>
      <c r="M515" s="7">
        <f>HAMPSHIRE!O68</f>
        <v>74688</v>
      </c>
      <c r="N515" s="34">
        <f t="shared" si="28"/>
        <v>1.8394033188344538E-2</v>
      </c>
      <c r="O515" s="34"/>
      <c r="P515" s="7">
        <f t="shared" si="29"/>
        <v>1295</v>
      </c>
      <c r="Q515" s="1004">
        <f t="shared" si="30"/>
        <v>1.7644734511465671E-2</v>
      </c>
      <c r="R515" s="6">
        <v>185</v>
      </c>
      <c r="S515" s="6">
        <v>184</v>
      </c>
      <c r="T515" s="6">
        <v>178</v>
      </c>
      <c r="U515" s="6">
        <v>175</v>
      </c>
      <c r="V515" s="6">
        <v>149</v>
      </c>
      <c r="W515" s="6">
        <v>172</v>
      </c>
      <c r="X515" s="6">
        <v>269</v>
      </c>
      <c r="Y515" s="6">
        <v>288</v>
      </c>
      <c r="Z515" s="6">
        <v>305</v>
      </c>
      <c r="AA515" s="6">
        <v>313</v>
      </c>
      <c r="AB515" s="6">
        <v>343</v>
      </c>
      <c r="AC515" s="6">
        <v>248</v>
      </c>
      <c r="AD515" s="6">
        <f t="shared" si="31"/>
        <v>95</v>
      </c>
      <c r="AE515" s="6" t="s">
        <v>15823</v>
      </c>
    </row>
    <row r="516" spans="1:31">
      <c r="A516" s="33" t="str">
        <f>BERKSHIRE!A39</f>
        <v>Windsor CC</v>
      </c>
      <c r="B516" s="7">
        <f>BERKSHIRE!D42</f>
        <v>68901</v>
      </c>
      <c r="C516" s="7">
        <f>BERKSHIRE!E42</f>
        <v>70633</v>
      </c>
      <c r="D516" s="7">
        <f>BERKSHIRE!F42</f>
        <v>71645</v>
      </c>
      <c r="E516" s="7">
        <f>BERKSHIRE!G42</f>
        <v>71892</v>
      </c>
      <c r="F516" s="7">
        <f>BERKSHIRE!H42</f>
        <v>72095</v>
      </c>
      <c r="G516" s="7">
        <f>BERKSHIRE!I42</f>
        <v>70005</v>
      </c>
      <c r="H516" s="7">
        <f>BERKSHIRE!J42</f>
        <v>68834</v>
      </c>
      <c r="I516" s="7">
        <f>BERKSHIRE!K42</f>
        <v>72196</v>
      </c>
      <c r="J516" s="7">
        <f>BERKSHIRE!L42</f>
        <v>73136</v>
      </c>
      <c r="K516" s="7">
        <f>BERKSHIRE!M42</f>
        <v>72756</v>
      </c>
      <c r="L516" s="7">
        <f>BERKSHIRE!N42</f>
        <v>75131</v>
      </c>
      <c r="M516" s="7">
        <f>BERKSHIRE!O42</f>
        <v>76015</v>
      </c>
      <c r="N516" s="34">
        <f t="shared" ref="N516:N536" si="32">(M516-B516)/B516</f>
        <v>0.10324958999143699</v>
      </c>
      <c r="O516" s="34"/>
      <c r="P516" s="7">
        <f t="shared" ref="P516:P536" si="33">M516-$M$544</f>
        <v>2622</v>
      </c>
      <c r="Q516" s="1004">
        <f t="shared" ref="Q516:Q536" si="34">(M516-$M$544)/$M$544</f>
        <v>3.5725477906612346E-2</v>
      </c>
      <c r="R516" s="6">
        <v>351</v>
      </c>
      <c r="S516" s="6">
        <v>320</v>
      </c>
      <c r="T516" s="6">
        <v>304</v>
      </c>
      <c r="U516" s="6">
        <v>305</v>
      </c>
      <c r="V516" s="6">
        <v>285</v>
      </c>
      <c r="W516" s="6">
        <v>291</v>
      </c>
      <c r="X516" s="6">
        <v>314</v>
      </c>
      <c r="Y516" s="6">
        <v>250</v>
      </c>
      <c r="Z516" s="6">
        <v>240</v>
      </c>
      <c r="AA516" s="6">
        <v>227</v>
      </c>
      <c r="AB516" s="6">
        <v>222</v>
      </c>
      <c r="AC516" s="6">
        <v>216</v>
      </c>
      <c r="AD516" s="6">
        <f t="shared" ref="AD516:AD536" si="35">AB516-AC516</f>
        <v>6</v>
      </c>
      <c r="AE516" s="6" t="s">
        <v>15823</v>
      </c>
    </row>
    <row r="517" spans="1:31">
      <c r="A517" s="33" t="str">
        <f>MERSEYSIDE!A43</f>
        <v>Wirral South CC</v>
      </c>
      <c r="B517" s="7">
        <f>MERSEYSIDE!D43</f>
        <v>56200</v>
      </c>
      <c r="C517" s="7">
        <f>MERSEYSIDE!E43</f>
        <v>56238</v>
      </c>
      <c r="D517" s="7">
        <f>MERSEYSIDE!F43</f>
        <v>56503</v>
      </c>
      <c r="E517" s="7">
        <f>MERSEYSIDE!G43</f>
        <v>56583</v>
      </c>
      <c r="F517" s="7">
        <f>MERSEYSIDE!H43</f>
        <v>56639</v>
      </c>
      <c r="G517" s="7">
        <f>MERSEYSIDE!I43</f>
        <v>55885</v>
      </c>
      <c r="H517" s="7">
        <f>MERSEYSIDE!J43</f>
        <v>55972</v>
      </c>
      <c r="I517" s="7">
        <f>MERSEYSIDE!K43</f>
        <v>56754</v>
      </c>
      <c r="J517" s="7">
        <f>MERSEYSIDE!L43</f>
        <v>56931</v>
      </c>
      <c r="K517" s="7">
        <f>MERSEYSIDE!M43</f>
        <v>56350</v>
      </c>
      <c r="L517" s="7">
        <f>MERSEYSIDE!N43</f>
        <v>57713</v>
      </c>
      <c r="M517" s="7">
        <f>MERSEYSIDE!O43</f>
        <v>57670</v>
      </c>
      <c r="N517" s="34">
        <f t="shared" si="32"/>
        <v>2.6156583629893239E-2</v>
      </c>
      <c r="O517" s="34"/>
      <c r="P517" s="7">
        <f t="shared" si="33"/>
        <v>-15723</v>
      </c>
      <c r="Q517" s="1004">
        <f t="shared" si="34"/>
        <v>-0.21423023994113879</v>
      </c>
      <c r="R517" s="6">
        <v>532</v>
      </c>
      <c r="S517" s="6">
        <v>531</v>
      </c>
      <c r="T517" s="6">
        <v>532</v>
      </c>
      <c r="U517" s="6">
        <v>532</v>
      </c>
      <c r="V517" s="6">
        <v>531</v>
      </c>
      <c r="W517" s="6">
        <v>529</v>
      </c>
      <c r="X517" s="6">
        <v>527</v>
      </c>
      <c r="Y517" s="6">
        <v>528</v>
      </c>
      <c r="Z517" s="6">
        <v>529</v>
      </c>
      <c r="AA517" s="6">
        <v>527</v>
      </c>
      <c r="AB517" s="6">
        <v>527</v>
      </c>
      <c r="AC517" s="6">
        <v>530</v>
      </c>
      <c r="AD517" s="6">
        <f t="shared" si="35"/>
        <v>-3</v>
      </c>
      <c r="AE517" s="6" t="s">
        <v>15825</v>
      </c>
    </row>
    <row r="518" spans="1:31">
      <c r="A518" s="33" t="str">
        <f>MERSEYSIDE!A45</f>
        <v>Wirral West CC</v>
      </c>
      <c r="B518" s="7">
        <f>MERSEYSIDE!D45</f>
        <v>55152</v>
      </c>
      <c r="C518" s="7">
        <f>MERSEYSIDE!E45</f>
        <v>55077</v>
      </c>
      <c r="D518" s="7">
        <f>MERSEYSIDE!F45</f>
        <v>54792</v>
      </c>
      <c r="E518" s="7">
        <f>MERSEYSIDE!G45</f>
        <v>55145</v>
      </c>
      <c r="F518" s="7">
        <f>MERSEYSIDE!H45</f>
        <v>54814</v>
      </c>
      <c r="G518" s="7">
        <f>MERSEYSIDE!I45</f>
        <v>53877</v>
      </c>
      <c r="H518" s="7">
        <f>MERSEYSIDE!J45</f>
        <v>54232</v>
      </c>
      <c r="I518" s="7">
        <f>MERSEYSIDE!K45</f>
        <v>54927</v>
      </c>
      <c r="J518" s="7">
        <f>MERSEYSIDE!L45</f>
        <v>55084</v>
      </c>
      <c r="K518" s="7">
        <f>MERSEYSIDE!M45</f>
        <v>54249</v>
      </c>
      <c r="L518" s="7">
        <f>MERSEYSIDE!N45</f>
        <v>55935</v>
      </c>
      <c r="M518" s="7">
        <f>MERSEYSIDE!O45</f>
        <v>55926</v>
      </c>
      <c r="N518" s="34">
        <f t="shared" si="32"/>
        <v>1.4033942558746737E-2</v>
      </c>
      <c r="O518" s="34"/>
      <c r="P518" s="7">
        <f t="shared" si="33"/>
        <v>-17467</v>
      </c>
      <c r="Q518" s="1004">
        <f t="shared" si="34"/>
        <v>-0.23799272410175357</v>
      </c>
      <c r="R518" s="6">
        <v>533</v>
      </c>
      <c r="S518" s="6">
        <v>533</v>
      </c>
      <c r="T518" s="6">
        <v>533</v>
      </c>
      <c r="U518" s="6">
        <v>533</v>
      </c>
      <c r="V518" s="6">
        <v>533</v>
      </c>
      <c r="W518" s="6">
        <v>533</v>
      </c>
      <c r="X518" s="6">
        <v>533</v>
      </c>
      <c r="Y518" s="6">
        <v>533</v>
      </c>
      <c r="Z518" s="6">
        <v>532</v>
      </c>
      <c r="AA518" s="6">
        <v>532</v>
      </c>
      <c r="AB518" s="6">
        <v>530</v>
      </c>
      <c r="AC518" s="6">
        <v>532</v>
      </c>
      <c r="AD518" s="6">
        <f t="shared" si="35"/>
        <v>-2</v>
      </c>
      <c r="AE518" s="6" t="s">
        <v>15825</v>
      </c>
    </row>
    <row r="519" spans="1:31">
      <c r="A519" s="33" t="str">
        <f>ESSEX!A77</f>
        <v>Witham CC</v>
      </c>
      <c r="B519" s="7">
        <f>ESSEX!D80</f>
        <v>66887</v>
      </c>
      <c r="C519" s="7">
        <f>ESSEX!E80</f>
        <v>67451</v>
      </c>
      <c r="D519" s="7">
        <f>ESSEX!F80</f>
        <v>67798</v>
      </c>
      <c r="E519" s="7">
        <f>ESSEX!G80</f>
        <v>68272</v>
      </c>
      <c r="F519" s="7">
        <f>ESSEX!H80</f>
        <v>67436</v>
      </c>
      <c r="G519" s="7">
        <f>ESSEX!I80</f>
        <v>66558</v>
      </c>
      <c r="H519" s="7">
        <f>ESSEX!J80</f>
        <v>66270</v>
      </c>
      <c r="I519" s="7">
        <f>ESSEX!K80</f>
        <v>68910</v>
      </c>
      <c r="J519" s="7">
        <f>ESSEX!L80</f>
        <v>68325</v>
      </c>
      <c r="K519" s="7">
        <f>ESSEX!M80</f>
        <v>68538</v>
      </c>
      <c r="L519" s="7">
        <f>ESSEX!N80</f>
        <v>70374</v>
      </c>
      <c r="M519" s="7">
        <f>ESSEX!O80</f>
        <v>70623</v>
      </c>
      <c r="N519" s="34">
        <f t="shared" si="32"/>
        <v>5.5855397909907754E-2</v>
      </c>
      <c r="O519" s="34"/>
      <c r="P519" s="7">
        <f t="shared" si="33"/>
        <v>-2770</v>
      </c>
      <c r="Q519" s="1004">
        <f t="shared" si="34"/>
        <v>-3.7742018993636994E-2</v>
      </c>
      <c r="R519" s="6">
        <v>415</v>
      </c>
      <c r="S519" s="6">
        <v>408</v>
      </c>
      <c r="T519" s="6">
        <v>405</v>
      </c>
      <c r="U519" s="6">
        <v>407</v>
      </c>
      <c r="V519" s="6">
        <v>413</v>
      </c>
      <c r="W519" s="6">
        <v>405</v>
      </c>
      <c r="X519" s="6">
        <v>394</v>
      </c>
      <c r="Y519" s="6">
        <v>366</v>
      </c>
      <c r="Z519" s="6">
        <v>394</v>
      </c>
      <c r="AA519" s="6">
        <v>378</v>
      </c>
      <c r="AB519" s="6">
        <v>372</v>
      </c>
      <c r="AC519" s="6">
        <v>379</v>
      </c>
      <c r="AD519" s="6">
        <f t="shared" si="35"/>
        <v>-7</v>
      </c>
      <c r="AE519" s="6" t="s">
        <v>15829</v>
      </c>
    </row>
    <row r="520" spans="1:31">
      <c r="A520" s="33" t="str">
        <f>OXFORDSHIRE!A30</f>
        <v>Witney CC</v>
      </c>
      <c r="B520" s="7">
        <f>OXFORDSHIRE!D30</f>
        <v>78141</v>
      </c>
      <c r="C520" s="7">
        <f>OXFORDSHIRE!E30</f>
        <v>78220</v>
      </c>
      <c r="D520" s="7">
        <f>OXFORDSHIRE!F30</f>
        <v>79321</v>
      </c>
      <c r="E520" s="7">
        <f>OXFORDSHIRE!G30</f>
        <v>79653</v>
      </c>
      <c r="F520" s="7">
        <f>OXFORDSHIRE!H30</f>
        <v>79067</v>
      </c>
      <c r="G520" s="7">
        <f>OXFORDSHIRE!I30</f>
        <v>77097</v>
      </c>
      <c r="H520" s="7">
        <f>OXFORDSHIRE!J30</f>
        <v>78455</v>
      </c>
      <c r="I520" s="7">
        <f>OXFORDSHIRE!K30</f>
        <v>80868</v>
      </c>
      <c r="J520" s="7">
        <f>OXFORDSHIRE!L30</f>
        <v>80906</v>
      </c>
      <c r="K520" s="7">
        <f>OXFORDSHIRE!M30</f>
        <v>79644</v>
      </c>
      <c r="L520" s="7">
        <f>OXFORDSHIRE!N30</f>
        <v>83510</v>
      </c>
      <c r="M520" s="7">
        <f>OXFORDSHIRE!O30</f>
        <v>83613</v>
      </c>
      <c r="N520" s="34">
        <f t="shared" si="32"/>
        <v>7.0027258417476104E-2</v>
      </c>
      <c r="O520" s="34"/>
      <c r="P520" s="7">
        <f t="shared" si="33"/>
        <v>10220</v>
      </c>
      <c r="Q520" s="1004">
        <f t="shared" si="34"/>
        <v>0.13925033722562097</v>
      </c>
      <c r="R520" s="6">
        <v>66</v>
      </c>
      <c r="S520" s="6">
        <v>78</v>
      </c>
      <c r="T520" s="6">
        <v>58</v>
      </c>
      <c r="U520" s="6">
        <v>62</v>
      </c>
      <c r="V520" s="6">
        <v>74</v>
      </c>
      <c r="W520" s="6">
        <v>93</v>
      </c>
      <c r="X520" s="6">
        <v>46</v>
      </c>
      <c r="Y520" s="6">
        <v>47</v>
      </c>
      <c r="Z520" s="6">
        <v>65</v>
      </c>
      <c r="AA520" s="6">
        <v>78</v>
      </c>
      <c r="AB520" s="6">
        <v>53</v>
      </c>
      <c r="AC520" s="6">
        <v>65</v>
      </c>
      <c r="AD520" s="6">
        <f t="shared" si="35"/>
        <v>-12</v>
      </c>
      <c r="AE520" s="6" t="s">
        <v>15823</v>
      </c>
    </row>
    <row r="521" spans="1:31">
      <c r="A521" s="33" t="str">
        <f>SURREY!A52</f>
        <v>Woking CC</v>
      </c>
      <c r="B521" s="7">
        <f>SURREY!D54</f>
        <v>73064</v>
      </c>
      <c r="C521" s="7">
        <f>SURREY!E54</f>
        <v>74328</v>
      </c>
      <c r="D521" s="7">
        <f>SURREY!F54</f>
        <v>73965</v>
      </c>
      <c r="E521" s="7">
        <f>SURREY!G54</f>
        <v>74858</v>
      </c>
      <c r="F521" s="7">
        <f>SURREY!H54</f>
        <v>74247</v>
      </c>
      <c r="G521" s="7">
        <f>SURREY!I54</f>
        <v>72849</v>
      </c>
      <c r="H521" s="7">
        <f>SURREY!J54</f>
        <v>72144</v>
      </c>
      <c r="I521" s="7">
        <f>SURREY!K54</f>
        <v>74252</v>
      </c>
      <c r="J521" s="7">
        <f>SURREY!L54</f>
        <v>74110</v>
      </c>
      <c r="K521" s="7">
        <f>SURREY!M54</f>
        <v>72691</v>
      </c>
      <c r="L521" s="7">
        <f>SURREY!N54</f>
        <v>74260</v>
      </c>
      <c r="M521" s="7">
        <f>SURREY!O54</f>
        <v>76210</v>
      </c>
      <c r="N521" s="34">
        <f t="shared" si="32"/>
        <v>4.3058140808058691E-2</v>
      </c>
      <c r="O521" s="34"/>
      <c r="P521" s="7">
        <f t="shared" si="33"/>
        <v>2817</v>
      </c>
      <c r="Q521" s="1004">
        <f t="shared" si="34"/>
        <v>3.838240704154347E-2</v>
      </c>
      <c r="R521" s="6">
        <v>197</v>
      </c>
      <c r="S521" s="6">
        <v>180</v>
      </c>
      <c r="T521" s="6">
        <v>199</v>
      </c>
      <c r="U521" s="6">
        <v>189</v>
      </c>
      <c r="V521" s="6">
        <v>199</v>
      </c>
      <c r="W521" s="6">
        <v>191</v>
      </c>
      <c r="X521" s="6">
        <v>191</v>
      </c>
      <c r="Y521" s="6">
        <v>191</v>
      </c>
      <c r="Z521" s="6">
        <v>208</v>
      </c>
      <c r="AA521" s="6">
        <v>228</v>
      </c>
      <c r="AB521" s="6">
        <v>249</v>
      </c>
      <c r="AC521" s="6">
        <v>212</v>
      </c>
      <c r="AD521" s="6">
        <f t="shared" si="35"/>
        <v>37</v>
      </c>
      <c r="AE521" s="6" t="s">
        <v>15823</v>
      </c>
    </row>
    <row r="522" spans="1:31">
      <c r="A522" s="33" t="str">
        <f>BERKSHIRE!A44</f>
        <v>Wokingham CC</v>
      </c>
      <c r="B522" s="7">
        <f>BERKSHIRE!D46</f>
        <v>76378</v>
      </c>
      <c r="C522" s="7">
        <f>BERKSHIRE!E46</f>
        <v>75886</v>
      </c>
      <c r="D522" s="7">
        <f>BERKSHIRE!F46</f>
        <v>76369</v>
      </c>
      <c r="E522" s="7">
        <f>BERKSHIRE!G46</f>
        <v>77271</v>
      </c>
      <c r="F522" s="7">
        <f>BERKSHIRE!H46</f>
        <v>77637</v>
      </c>
      <c r="G522" s="7">
        <f>BERKSHIRE!I46</f>
        <v>76129</v>
      </c>
      <c r="H522" s="7">
        <f>BERKSHIRE!J46</f>
        <v>76905</v>
      </c>
      <c r="I522" s="7">
        <f>BERKSHIRE!K46</f>
        <v>79545</v>
      </c>
      <c r="J522" s="7">
        <f>BERKSHIRE!L46</f>
        <v>78846</v>
      </c>
      <c r="K522" s="7">
        <f>BERKSHIRE!M46</f>
        <v>78647</v>
      </c>
      <c r="L522" s="7">
        <f>BERKSHIRE!N46</f>
        <v>84551</v>
      </c>
      <c r="M522" s="7">
        <f>BERKSHIRE!O46</f>
        <v>82872</v>
      </c>
      <c r="N522" s="34">
        <f t="shared" si="32"/>
        <v>8.5024483490010211E-2</v>
      </c>
      <c r="O522" s="34"/>
      <c r="P522" s="7">
        <f t="shared" si="33"/>
        <v>9479</v>
      </c>
      <c r="Q522" s="1004">
        <f t="shared" si="34"/>
        <v>0.1291540065128827</v>
      </c>
      <c r="R522" s="6">
        <v>117</v>
      </c>
      <c r="S522" s="6">
        <v>143</v>
      </c>
      <c r="T522" s="6">
        <v>145</v>
      </c>
      <c r="U522" s="6">
        <v>133</v>
      </c>
      <c r="V522" s="6">
        <v>110</v>
      </c>
      <c r="W522" s="6">
        <v>118</v>
      </c>
      <c r="X522" s="6">
        <v>82</v>
      </c>
      <c r="Y522" s="6">
        <v>77</v>
      </c>
      <c r="Z522" s="6">
        <v>101</v>
      </c>
      <c r="AA522" s="6">
        <v>94</v>
      </c>
      <c r="AB522" s="6">
        <v>40</v>
      </c>
      <c r="AC522" s="6">
        <v>75</v>
      </c>
      <c r="AD522" s="6">
        <f t="shared" si="35"/>
        <v>-35</v>
      </c>
      <c r="AE522" s="6" t="s">
        <v>15823</v>
      </c>
    </row>
    <row r="523" spans="1:31">
      <c r="A523" s="33" t="str">
        <f>'WEST MIDLANDS'!A67</f>
        <v>Wolverhampton North East BC</v>
      </c>
      <c r="B523" s="7">
        <f>'WEST MIDLANDS'!D67</f>
        <v>59130</v>
      </c>
      <c r="C523" s="7">
        <f>'WEST MIDLANDS'!E67</f>
        <v>60354</v>
      </c>
      <c r="D523" s="7">
        <f>'WEST MIDLANDS'!F67</f>
        <v>61286</v>
      </c>
      <c r="E523" s="7">
        <f>'WEST MIDLANDS'!G67</f>
        <v>61164</v>
      </c>
      <c r="F523" s="7">
        <f>'WEST MIDLANDS'!H67</f>
        <v>61043</v>
      </c>
      <c r="G523" s="7">
        <f>'WEST MIDLANDS'!I67</f>
        <v>60935</v>
      </c>
      <c r="H523" s="7">
        <f>'WEST MIDLANDS'!J67</f>
        <v>59962</v>
      </c>
      <c r="I523" s="7">
        <f>'WEST MIDLANDS'!K67</f>
        <v>60383</v>
      </c>
      <c r="J523" s="7">
        <f>'WEST MIDLANDS'!L67</f>
        <v>60495</v>
      </c>
      <c r="K523" s="7">
        <f>'WEST MIDLANDS'!M67</f>
        <v>59367</v>
      </c>
      <c r="L523" s="7">
        <f>'WEST MIDLANDS'!N67</f>
        <v>62058</v>
      </c>
      <c r="M523" s="7">
        <f>'WEST MIDLANDS'!O67</f>
        <v>60709</v>
      </c>
      <c r="N523" s="34">
        <f t="shared" si="32"/>
        <v>2.6703872822594284E-2</v>
      </c>
      <c r="O523" s="34"/>
      <c r="P523" s="7">
        <f t="shared" si="33"/>
        <v>-12684</v>
      </c>
      <c r="Q523" s="1004">
        <f t="shared" si="34"/>
        <v>-0.17282302126905835</v>
      </c>
      <c r="R523" s="6">
        <v>528</v>
      </c>
      <c r="S523" s="6">
        <v>526</v>
      </c>
      <c r="T523" s="6">
        <v>525</v>
      </c>
      <c r="U523" s="6">
        <v>524</v>
      </c>
      <c r="V523" s="6">
        <v>515</v>
      </c>
      <c r="W523" s="6">
        <v>502</v>
      </c>
      <c r="X523" s="6">
        <v>504</v>
      </c>
      <c r="Y523" s="6">
        <v>512</v>
      </c>
      <c r="Z523" s="6">
        <v>516</v>
      </c>
      <c r="AA523" s="6">
        <v>516</v>
      </c>
      <c r="AB523" s="6">
        <v>507</v>
      </c>
      <c r="AC523" s="6">
        <v>521</v>
      </c>
      <c r="AD523" s="6">
        <f t="shared" si="35"/>
        <v>-14</v>
      </c>
      <c r="AE523" s="6" t="s">
        <v>15824</v>
      </c>
    </row>
    <row r="524" spans="1:31">
      <c r="A524" s="33" t="str">
        <f>'WEST MIDLANDS'!A69</f>
        <v>Wolverhampton South East BC</v>
      </c>
      <c r="B524" s="7">
        <f>'WEST MIDLANDS'!D71</f>
        <v>60290</v>
      </c>
      <c r="C524" s="7">
        <f>'WEST MIDLANDS'!E71</f>
        <v>61751</v>
      </c>
      <c r="D524" s="7">
        <f>'WEST MIDLANDS'!F71</f>
        <v>62309</v>
      </c>
      <c r="E524" s="7">
        <f>'WEST MIDLANDS'!G71</f>
        <v>62680</v>
      </c>
      <c r="F524" s="7">
        <f>'WEST MIDLANDS'!H71</f>
        <v>61585</v>
      </c>
      <c r="G524" s="7">
        <f>'WEST MIDLANDS'!I71</f>
        <v>62261</v>
      </c>
      <c r="H524" s="7">
        <f>'WEST MIDLANDS'!J71</f>
        <v>61633</v>
      </c>
      <c r="I524" s="7">
        <f>'WEST MIDLANDS'!K71</f>
        <v>62117</v>
      </c>
      <c r="J524" s="7">
        <f>'WEST MIDLANDS'!L71</f>
        <v>61768</v>
      </c>
      <c r="K524" s="7">
        <f>'WEST MIDLANDS'!M71</f>
        <v>60536</v>
      </c>
      <c r="L524" s="7">
        <f>'WEST MIDLANDS'!N71</f>
        <v>63486</v>
      </c>
      <c r="M524" s="7">
        <f>'WEST MIDLANDS'!O71</f>
        <v>61884</v>
      </c>
      <c r="N524" s="34">
        <f t="shared" si="32"/>
        <v>2.6438878752695304E-2</v>
      </c>
      <c r="O524" s="34"/>
      <c r="P524" s="7">
        <f t="shared" si="33"/>
        <v>-11509</v>
      </c>
      <c r="Q524" s="1004">
        <f t="shared" si="34"/>
        <v>-0.15681332007139645</v>
      </c>
      <c r="R524" s="6">
        <v>525</v>
      </c>
      <c r="S524" s="6">
        <v>518</v>
      </c>
      <c r="T524" s="6">
        <v>511</v>
      </c>
      <c r="U524" s="6">
        <v>508</v>
      </c>
      <c r="V524" s="6">
        <v>508</v>
      </c>
      <c r="W524" s="6">
        <v>489</v>
      </c>
      <c r="X524" s="6">
        <v>487</v>
      </c>
      <c r="Y524" s="6">
        <v>497</v>
      </c>
      <c r="Z524" s="6">
        <v>502</v>
      </c>
      <c r="AA524" s="6">
        <v>504</v>
      </c>
      <c r="AB524" s="6">
        <v>493</v>
      </c>
      <c r="AC524" s="6">
        <v>512</v>
      </c>
      <c r="AD524" s="6">
        <f t="shared" si="35"/>
        <v>-19</v>
      </c>
      <c r="AE524" s="6" t="s">
        <v>15824</v>
      </c>
    </row>
    <row r="525" spans="1:31">
      <c r="A525" s="33" t="str">
        <f>'WEST MIDLANDS'!A73</f>
        <v>Wolverhampton South West BC</v>
      </c>
      <c r="B525" s="7">
        <f>'WEST MIDLANDS'!D73</f>
        <v>58431</v>
      </c>
      <c r="C525" s="7">
        <f>'WEST MIDLANDS'!E73</f>
        <v>59846</v>
      </c>
      <c r="D525" s="7">
        <f>'WEST MIDLANDS'!F73</f>
        <v>61018</v>
      </c>
      <c r="E525" s="7">
        <f>'WEST MIDLANDS'!G73</f>
        <v>59945</v>
      </c>
      <c r="F525" s="7">
        <f>'WEST MIDLANDS'!H73</f>
        <v>60158</v>
      </c>
      <c r="G525" s="7">
        <f>'WEST MIDLANDS'!I73</f>
        <v>59599</v>
      </c>
      <c r="H525" s="7">
        <f>'WEST MIDLANDS'!J73</f>
        <v>58224</v>
      </c>
      <c r="I525" s="7">
        <f>'WEST MIDLANDS'!K73</f>
        <v>58843</v>
      </c>
      <c r="J525" s="7">
        <f>'WEST MIDLANDS'!L73</f>
        <v>59080</v>
      </c>
      <c r="K525" s="7">
        <f>'WEST MIDLANDS'!M73</f>
        <v>57478</v>
      </c>
      <c r="L525" s="7">
        <f>'WEST MIDLANDS'!N73</f>
        <v>60884</v>
      </c>
      <c r="M525" s="7">
        <f>'WEST MIDLANDS'!O73</f>
        <v>59260</v>
      </c>
      <c r="N525" s="34">
        <f t="shared" si="32"/>
        <v>1.4187674350943848E-2</v>
      </c>
      <c r="O525" s="34"/>
      <c r="P525" s="7">
        <f t="shared" si="33"/>
        <v>-14133</v>
      </c>
      <c r="Q525" s="1004">
        <f t="shared" si="34"/>
        <v>-0.19256604853323886</v>
      </c>
      <c r="R525" s="6">
        <v>529</v>
      </c>
      <c r="S525" s="6">
        <v>527</v>
      </c>
      <c r="T525" s="6">
        <v>527</v>
      </c>
      <c r="U525" s="6">
        <v>530</v>
      </c>
      <c r="V525" s="6">
        <v>525</v>
      </c>
      <c r="W525" s="6">
        <v>511</v>
      </c>
      <c r="X525" s="6">
        <v>519</v>
      </c>
      <c r="Y525" s="6">
        <v>521</v>
      </c>
      <c r="Z525" s="6">
        <v>524</v>
      </c>
      <c r="AA525" s="6">
        <v>526</v>
      </c>
      <c r="AB525" s="6">
        <v>516</v>
      </c>
      <c r="AC525" s="6">
        <v>526</v>
      </c>
      <c r="AD525" s="6">
        <f t="shared" si="35"/>
        <v>-10</v>
      </c>
      <c r="AE525" s="6" t="s">
        <v>15824</v>
      </c>
    </row>
    <row r="526" spans="1:31">
      <c r="A526" s="33" t="str">
        <f>WORCESTERSHIRE!A26</f>
        <v>Worcester BC</v>
      </c>
      <c r="B526" s="7">
        <f>WORCESTERSHIRE!D26</f>
        <v>72965</v>
      </c>
      <c r="C526" s="7">
        <f>WORCESTERSHIRE!E26</f>
        <v>73960</v>
      </c>
      <c r="D526" s="7">
        <f>WORCESTERSHIRE!F26</f>
        <v>74513</v>
      </c>
      <c r="E526" s="7">
        <f>WORCESTERSHIRE!G26</f>
        <v>73837</v>
      </c>
      <c r="F526" s="7">
        <f>WORCESTERSHIRE!H26</f>
        <v>72165</v>
      </c>
      <c r="G526" s="7">
        <f>WORCESTERSHIRE!I26</f>
        <v>71580</v>
      </c>
      <c r="H526" s="7">
        <f>WORCESTERSHIRE!J26</f>
        <v>70542</v>
      </c>
      <c r="I526" s="7">
        <f>WORCESTERSHIRE!K26</f>
        <v>72543</v>
      </c>
      <c r="J526" s="7">
        <f>WORCESTERSHIRE!L26</f>
        <v>72702</v>
      </c>
      <c r="K526" s="7">
        <f>WORCESTERSHIRE!M26</f>
        <v>73889</v>
      </c>
      <c r="L526" s="7">
        <f>WORCESTERSHIRE!N26</f>
        <v>73930</v>
      </c>
      <c r="M526" s="7">
        <f>WORCESTERSHIRE!O26</f>
        <v>73928</v>
      </c>
      <c r="N526" s="34">
        <f t="shared" si="32"/>
        <v>1.3198108682244912E-2</v>
      </c>
      <c r="O526" s="34"/>
      <c r="P526" s="7">
        <f t="shared" si="33"/>
        <v>535</v>
      </c>
      <c r="Q526" s="1004">
        <f t="shared" si="34"/>
        <v>7.2895235240418021E-3</v>
      </c>
      <c r="R526" s="6">
        <v>200</v>
      </c>
      <c r="S526" s="6">
        <v>189</v>
      </c>
      <c r="T526" s="6">
        <v>190</v>
      </c>
      <c r="U526" s="6">
        <v>218</v>
      </c>
      <c r="V526" s="6">
        <v>281</v>
      </c>
      <c r="W526" s="6">
        <v>246</v>
      </c>
      <c r="X526" s="6">
        <v>249</v>
      </c>
      <c r="Y526" s="6">
        <v>237</v>
      </c>
      <c r="Z526" s="6">
        <v>249</v>
      </c>
      <c r="AA526" s="6">
        <v>190</v>
      </c>
      <c r="AB526" s="6">
        <v>260</v>
      </c>
      <c r="AC526" s="6">
        <v>281</v>
      </c>
      <c r="AD526" s="6">
        <f t="shared" si="35"/>
        <v>-21</v>
      </c>
      <c r="AE526" s="6" t="s">
        <v>15824</v>
      </c>
    </row>
    <row r="527" spans="1:31">
      <c r="A527" s="33" t="str">
        <f>CUMBRIA!A31</f>
        <v>Workington CC</v>
      </c>
      <c r="B527" s="7">
        <f>CUMBRIA!D31</f>
        <v>59702</v>
      </c>
      <c r="C527" s="7">
        <f>CUMBRIA!E31</f>
        <v>59361</v>
      </c>
      <c r="D527" s="7">
        <f>CUMBRIA!F31</f>
        <v>60056</v>
      </c>
      <c r="E527" s="7">
        <f>CUMBRIA!G31</f>
        <v>60430</v>
      </c>
      <c r="F527" s="7">
        <f>CUMBRIA!H31</f>
        <v>55545</v>
      </c>
      <c r="G527" s="7">
        <f>CUMBRIA!I31</f>
        <v>56927</v>
      </c>
      <c r="H527" s="7">
        <f>CUMBRIA!J31</f>
        <v>58367</v>
      </c>
      <c r="I527" s="7">
        <f>CUMBRIA!K31</f>
        <v>58655</v>
      </c>
      <c r="J527" s="7">
        <f>CUMBRIA!L31</f>
        <v>59812</v>
      </c>
      <c r="K527" s="7">
        <f>CUMBRIA!M31</f>
        <v>59623</v>
      </c>
      <c r="L527" s="7">
        <f>CUMBRIA!N31</f>
        <v>60231</v>
      </c>
      <c r="M527" s="7">
        <f>CUMBRIA!O31</f>
        <v>61396</v>
      </c>
      <c r="N527" s="34">
        <f t="shared" si="32"/>
        <v>2.8374258818800041E-2</v>
      </c>
      <c r="O527" s="34"/>
      <c r="P527" s="7">
        <f t="shared" si="33"/>
        <v>-11997</v>
      </c>
      <c r="Q527" s="1004">
        <f t="shared" si="34"/>
        <v>-0.16346245554753178</v>
      </c>
      <c r="R527" s="6">
        <v>526</v>
      </c>
      <c r="S527" s="6">
        <v>530</v>
      </c>
      <c r="T527" s="6">
        <v>530</v>
      </c>
      <c r="U527" s="6">
        <v>529</v>
      </c>
      <c r="V527" s="6">
        <v>532</v>
      </c>
      <c r="W527" s="6">
        <v>526</v>
      </c>
      <c r="X527" s="6">
        <v>515</v>
      </c>
      <c r="Y527" s="6">
        <v>524</v>
      </c>
      <c r="Z527" s="6">
        <v>520</v>
      </c>
      <c r="AA527" s="6">
        <v>512</v>
      </c>
      <c r="AB527" s="6">
        <v>520</v>
      </c>
      <c r="AC527" s="6">
        <v>517</v>
      </c>
      <c r="AD527" s="6">
        <f t="shared" si="35"/>
        <v>3</v>
      </c>
      <c r="AE527" s="6" t="s">
        <v>15825</v>
      </c>
    </row>
    <row r="528" spans="1:31">
      <c r="A528" s="33" t="str">
        <f>'GREATER MANCHESTER'!A77</f>
        <v>Worsley and Eccles South CC</v>
      </c>
      <c r="B528" s="7">
        <f>'GREATER MANCHESTER'!D77</f>
        <v>73019</v>
      </c>
      <c r="C528" s="7">
        <f>'GREATER MANCHESTER'!E77</f>
        <v>73409</v>
      </c>
      <c r="D528" s="7">
        <f>'GREATER MANCHESTER'!F77</f>
        <v>73458</v>
      </c>
      <c r="E528" s="7">
        <f>'GREATER MANCHESTER'!G77</f>
        <v>73982</v>
      </c>
      <c r="F528" s="7">
        <f>'GREATER MANCHESTER'!H77</f>
        <v>73975</v>
      </c>
      <c r="G528" s="7">
        <f>'GREATER MANCHESTER'!I77</f>
        <v>71425</v>
      </c>
      <c r="H528" s="7">
        <f>'GREATER MANCHESTER'!J77</f>
        <v>72316</v>
      </c>
      <c r="I528" s="7">
        <f>'GREATER MANCHESTER'!K77</f>
        <v>71927</v>
      </c>
      <c r="J528" s="7">
        <f>'GREATER MANCHESTER'!L77</f>
        <v>73054</v>
      </c>
      <c r="K528" s="7">
        <f>'GREATER MANCHESTER'!M77</f>
        <v>72941</v>
      </c>
      <c r="L528" s="7">
        <f>'GREATER MANCHESTER'!N77</f>
        <v>76767</v>
      </c>
      <c r="M528" s="7">
        <f>'GREATER MANCHESTER'!O77</f>
        <v>74404</v>
      </c>
      <c r="N528" s="34">
        <f t="shared" si="32"/>
        <v>1.8967665949958232E-2</v>
      </c>
      <c r="O528" s="34"/>
      <c r="P528" s="7">
        <f t="shared" si="33"/>
        <v>1011</v>
      </c>
      <c r="Q528" s="1004">
        <f t="shared" si="34"/>
        <v>1.3775155668796751E-2</v>
      </c>
      <c r="R528" s="6">
        <v>199</v>
      </c>
      <c r="S528" s="6">
        <v>212</v>
      </c>
      <c r="T528" s="6">
        <v>224</v>
      </c>
      <c r="U528" s="6">
        <v>213</v>
      </c>
      <c r="V528" s="6">
        <v>209</v>
      </c>
      <c r="W528" s="6">
        <v>251</v>
      </c>
      <c r="X528" s="6">
        <v>184</v>
      </c>
      <c r="Y528" s="6">
        <v>255</v>
      </c>
      <c r="Z528" s="6">
        <v>241</v>
      </c>
      <c r="AA528" s="6">
        <v>222</v>
      </c>
      <c r="AB528" s="6">
        <v>191</v>
      </c>
      <c r="AC528" s="6">
        <v>258</v>
      </c>
      <c r="AD528" s="6">
        <f t="shared" si="35"/>
        <v>-67</v>
      </c>
      <c r="AE528" s="6" t="s">
        <v>15825</v>
      </c>
    </row>
    <row r="529" spans="1:31">
      <c r="A529" s="33" t="str">
        <f>'WEST SUSSEX'!A37</f>
        <v>Worthing West BC</v>
      </c>
      <c r="B529" s="7">
        <f>'WEST SUSSEX'!D39</f>
        <v>73784</v>
      </c>
      <c r="C529" s="7">
        <f>'WEST SUSSEX'!E39</f>
        <v>74468</v>
      </c>
      <c r="D529" s="7">
        <f>'WEST SUSSEX'!F39</f>
        <v>74794</v>
      </c>
      <c r="E529" s="7">
        <f>'WEST SUSSEX'!G39</f>
        <v>75113</v>
      </c>
      <c r="F529" s="7">
        <f>'WEST SUSSEX'!H39</f>
        <v>73157</v>
      </c>
      <c r="G529" s="7">
        <f>'WEST SUSSEX'!I39</f>
        <v>72664</v>
      </c>
      <c r="H529" s="7">
        <f>'WEST SUSSEX'!J39</f>
        <v>73452</v>
      </c>
      <c r="I529" s="7">
        <f>'WEST SUSSEX'!K39</f>
        <v>76622</v>
      </c>
      <c r="J529" s="7">
        <f>'WEST SUSSEX'!L39</f>
        <v>77270</v>
      </c>
      <c r="K529" s="7">
        <f>'WEST SUSSEX'!M39</f>
        <v>76444</v>
      </c>
      <c r="L529" s="7">
        <f>'WEST SUSSEX'!N39</f>
        <v>77433</v>
      </c>
      <c r="M529" s="7">
        <f>'WEST SUSSEX'!O39</f>
        <v>78754</v>
      </c>
      <c r="N529" s="34">
        <f t="shared" si="32"/>
        <v>6.7358776970616929E-2</v>
      </c>
      <c r="O529" s="34"/>
      <c r="P529" s="7">
        <f t="shared" si="33"/>
        <v>5361</v>
      </c>
      <c r="Q529" s="1004">
        <f t="shared" si="34"/>
        <v>7.3045113294183367E-2</v>
      </c>
      <c r="R529" s="6">
        <v>176</v>
      </c>
      <c r="S529" s="6">
        <v>177</v>
      </c>
      <c r="T529" s="6">
        <v>182</v>
      </c>
      <c r="U529" s="6">
        <v>180</v>
      </c>
      <c r="V529" s="6">
        <v>241</v>
      </c>
      <c r="W529" s="6">
        <v>202</v>
      </c>
      <c r="X529" s="6">
        <v>156</v>
      </c>
      <c r="Y529" s="6">
        <v>136</v>
      </c>
      <c r="Z529" s="6">
        <v>137</v>
      </c>
      <c r="AA529" s="6">
        <v>143</v>
      </c>
      <c r="AB529" s="6">
        <v>173</v>
      </c>
      <c r="AC529" s="6">
        <v>158</v>
      </c>
      <c r="AD529" s="6">
        <f t="shared" si="35"/>
        <v>15</v>
      </c>
      <c r="AE529" s="6" t="s">
        <v>15823</v>
      </c>
    </row>
    <row r="530" spans="1:31">
      <c r="A530" s="33" t="str">
        <f>BUCKINGHAMSHIRE!A15</f>
        <v>Wycombe CC</v>
      </c>
      <c r="B530" s="7">
        <f>BUCKINGHAMSHIRE!D15</f>
        <v>73306</v>
      </c>
      <c r="C530" s="7">
        <f>BUCKINGHAMSHIRE!E15</f>
        <v>73750</v>
      </c>
      <c r="D530" s="7">
        <f>BUCKINGHAMSHIRE!F15</f>
        <v>73326</v>
      </c>
      <c r="E530" s="7">
        <f>BUCKINGHAMSHIRE!G15</f>
        <v>71877</v>
      </c>
      <c r="F530" s="7">
        <f>BUCKINGHAMSHIRE!H15</f>
        <v>76375</v>
      </c>
      <c r="G530" s="7">
        <f>BUCKINGHAMSHIRE!I15</f>
        <v>73956</v>
      </c>
      <c r="H530" s="7">
        <f>BUCKINGHAMSHIRE!J15</f>
        <v>71712</v>
      </c>
      <c r="I530" s="7">
        <f>BUCKINGHAMSHIRE!K15</f>
        <v>75469</v>
      </c>
      <c r="J530" s="7">
        <f>BUCKINGHAMSHIRE!L15</f>
        <v>76046</v>
      </c>
      <c r="K530" s="7">
        <f>BUCKINGHAMSHIRE!M15</f>
        <v>75409</v>
      </c>
      <c r="L530" s="7">
        <f>BUCKINGHAMSHIRE!N15</f>
        <v>78696</v>
      </c>
      <c r="M530" s="7">
        <f>BUCKINGHAMSHIRE!O15</f>
        <v>78718</v>
      </c>
      <c r="N530" s="34">
        <f t="shared" si="32"/>
        <v>7.3827517529260908E-2</v>
      </c>
      <c r="O530" s="34"/>
      <c r="P530" s="7">
        <f t="shared" si="33"/>
        <v>5325</v>
      </c>
      <c r="Q530" s="1004">
        <f t="shared" si="34"/>
        <v>7.2554603300042236E-2</v>
      </c>
      <c r="R530" s="6">
        <v>188</v>
      </c>
      <c r="S530" s="6">
        <v>197</v>
      </c>
      <c r="T530" s="6">
        <v>230</v>
      </c>
      <c r="U530" s="6">
        <v>307</v>
      </c>
      <c r="V530" s="6">
        <v>139</v>
      </c>
      <c r="W530" s="6">
        <v>164</v>
      </c>
      <c r="X530" s="6">
        <v>209</v>
      </c>
      <c r="Y530" s="6">
        <v>149</v>
      </c>
      <c r="Z530" s="6">
        <v>157</v>
      </c>
      <c r="AA530" s="6">
        <v>161</v>
      </c>
      <c r="AB530" s="6">
        <v>142</v>
      </c>
      <c r="AC530" s="6">
        <v>160</v>
      </c>
      <c r="AD530" s="6">
        <f t="shared" si="35"/>
        <v>-18</v>
      </c>
      <c r="AE530" s="6" t="s">
        <v>15823</v>
      </c>
    </row>
    <row r="531" spans="1:31">
      <c r="A531" s="33" t="str">
        <f>LANCASHIRE!A72</f>
        <v>Wyre and Preston North CC</v>
      </c>
      <c r="B531" s="7">
        <f>LANCASHIRE!D74</f>
        <v>71364</v>
      </c>
      <c r="C531" s="7">
        <f>LANCASHIRE!E74</f>
        <v>71612</v>
      </c>
      <c r="D531" s="7">
        <f>LANCASHIRE!F74</f>
        <v>71562</v>
      </c>
      <c r="E531" s="7">
        <f>LANCASHIRE!G74</f>
        <v>72107</v>
      </c>
      <c r="F531" s="7">
        <f>LANCASHIRE!H74</f>
        <v>71608</v>
      </c>
      <c r="G531" s="7">
        <f>LANCASHIRE!I74</f>
        <v>69662</v>
      </c>
      <c r="H531" s="7">
        <f>LANCASHIRE!J74</f>
        <v>68872</v>
      </c>
      <c r="I531" s="7">
        <f>LANCASHIRE!K74</f>
        <v>71279</v>
      </c>
      <c r="J531" s="7">
        <f>LANCASHIRE!L74</f>
        <v>72254</v>
      </c>
      <c r="K531" s="7">
        <f>LANCASHIRE!M74</f>
        <v>73116</v>
      </c>
      <c r="L531" s="7">
        <f>LANCASHIRE!N74</f>
        <v>73831</v>
      </c>
      <c r="M531" s="7">
        <f>LANCASHIRE!O74</f>
        <v>75094</v>
      </c>
      <c r="N531" s="34">
        <f t="shared" si="32"/>
        <v>5.2267249593632645E-2</v>
      </c>
      <c r="O531" s="34"/>
      <c r="P531" s="7">
        <f t="shared" si="33"/>
        <v>1701</v>
      </c>
      <c r="Q531" s="1004">
        <f t="shared" si="34"/>
        <v>2.3176597223168421E-2</v>
      </c>
      <c r="R531" s="6">
        <v>276</v>
      </c>
      <c r="S531" s="6">
        <v>293</v>
      </c>
      <c r="T531" s="6">
        <v>305</v>
      </c>
      <c r="U531" s="6">
        <v>298</v>
      </c>
      <c r="V531" s="6">
        <v>299</v>
      </c>
      <c r="W531" s="6">
        <v>307</v>
      </c>
      <c r="X531" s="6">
        <v>313</v>
      </c>
      <c r="Y531" s="6">
        <v>284</v>
      </c>
      <c r="Z531" s="6">
        <v>265</v>
      </c>
      <c r="AA531" s="6">
        <v>217</v>
      </c>
      <c r="AB531" s="6">
        <v>267</v>
      </c>
      <c r="AC531" s="6">
        <v>239</v>
      </c>
      <c r="AD531" s="6">
        <f t="shared" si="35"/>
        <v>28</v>
      </c>
      <c r="AE531" s="6" t="s">
        <v>15825</v>
      </c>
    </row>
    <row r="532" spans="1:31">
      <c r="A532" s="33" t="str">
        <f>WORCESTERSHIRE!A28</f>
        <v>Wyre Forest CC</v>
      </c>
      <c r="B532" s="7">
        <f>WORCESTERSHIRE!D28</f>
        <v>76774</v>
      </c>
      <c r="C532" s="7">
        <f>WORCESTERSHIRE!E28</f>
        <v>77800</v>
      </c>
      <c r="D532" s="7">
        <f>WORCESTERSHIRE!F28</f>
        <v>77635</v>
      </c>
      <c r="E532" s="7">
        <f>WORCESTERSHIRE!G28</f>
        <v>77314</v>
      </c>
      <c r="F532" s="7">
        <f>WORCESTERSHIRE!H28</f>
        <v>76831</v>
      </c>
      <c r="G532" s="7">
        <f>WORCESTERSHIRE!I28</f>
        <v>77206</v>
      </c>
      <c r="H532" s="7">
        <f>WORCESTERSHIRE!J28</f>
        <v>75226</v>
      </c>
      <c r="I532" s="7">
        <f>WORCESTERSHIRE!K28</f>
        <v>77342</v>
      </c>
      <c r="J532" s="7">
        <f>WORCESTERSHIRE!L28</f>
        <v>77231</v>
      </c>
      <c r="K532" s="7">
        <f>WORCESTERSHIRE!M28</f>
        <v>75718</v>
      </c>
      <c r="L532" s="7">
        <f>WORCESTERSHIRE!N28</f>
        <v>77018</v>
      </c>
      <c r="M532" s="7">
        <f>WORCESTERSHIRE!O28</f>
        <v>77015</v>
      </c>
      <c r="N532" s="34">
        <f t="shared" si="32"/>
        <v>3.1390835439080939E-3</v>
      </c>
      <c r="O532" s="34"/>
      <c r="P532" s="7">
        <f t="shared" si="33"/>
        <v>3622</v>
      </c>
      <c r="Q532" s="1004">
        <f t="shared" si="34"/>
        <v>4.9350755521643752E-2</v>
      </c>
      <c r="R532" s="6">
        <v>102</v>
      </c>
      <c r="S532" s="6">
        <v>86</v>
      </c>
      <c r="T532" s="6">
        <v>104</v>
      </c>
      <c r="U532" s="6">
        <v>132</v>
      </c>
      <c r="V532" s="6">
        <v>128</v>
      </c>
      <c r="W532" s="6">
        <v>90</v>
      </c>
      <c r="X532" s="6">
        <v>115</v>
      </c>
      <c r="Y532" s="6">
        <v>121</v>
      </c>
      <c r="Z532" s="6">
        <v>140</v>
      </c>
      <c r="AA532" s="6">
        <v>157</v>
      </c>
      <c r="AB532" s="6">
        <v>187</v>
      </c>
      <c r="AC532" s="6">
        <v>192</v>
      </c>
      <c r="AD532" s="6">
        <f t="shared" si="35"/>
        <v>-5</v>
      </c>
      <c r="AE532" s="6" t="s">
        <v>15824</v>
      </c>
    </row>
    <row r="533" spans="1:31">
      <c r="A533" s="33" t="str">
        <f>'GREATER MANCHESTER'!A79</f>
        <v>Wythenshawe and Sale East BC</v>
      </c>
      <c r="B533" s="7">
        <f>'GREATER MANCHESTER'!D81</f>
        <v>75096</v>
      </c>
      <c r="C533" s="7">
        <f>'GREATER MANCHESTER'!E81</f>
        <v>75602</v>
      </c>
      <c r="D533" s="7">
        <f>'GREATER MANCHESTER'!F81</f>
        <v>75205</v>
      </c>
      <c r="E533" s="7">
        <f>'GREATER MANCHESTER'!G81</f>
        <v>75598</v>
      </c>
      <c r="F533" s="7">
        <f>'GREATER MANCHESTER'!H81</f>
        <v>76214</v>
      </c>
      <c r="G533" s="7">
        <f>'GREATER MANCHESTER'!I81</f>
        <v>75772</v>
      </c>
      <c r="H533" s="7">
        <f>'GREATER MANCHESTER'!J81</f>
        <v>75919</v>
      </c>
      <c r="I533" s="7">
        <f>'GREATER MANCHESTER'!K81</f>
        <v>74673</v>
      </c>
      <c r="J533" s="7">
        <f>'GREATER MANCHESTER'!L81</f>
        <v>75373</v>
      </c>
      <c r="K533" s="7">
        <f>'GREATER MANCHESTER'!M81</f>
        <v>74902</v>
      </c>
      <c r="L533" s="7">
        <f>'GREATER MANCHESTER'!N81</f>
        <v>77053</v>
      </c>
      <c r="M533" s="7">
        <f>'GREATER MANCHESTER'!O81</f>
        <v>76971</v>
      </c>
      <c r="N533" s="34">
        <f t="shared" si="32"/>
        <v>2.4968040907638222E-2</v>
      </c>
      <c r="O533" s="34"/>
      <c r="P533" s="7">
        <f t="shared" si="33"/>
        <v>3578</v>
      </c>
      <c r="Q533" s="1004">
        <f t="shared" si="34"/>
        <v>4.875124330658237E-2</v>
      </c>
      <c r="R533" s="6">
        <v>144</v>
      </c>
      <c r="S533" s="6">
        <v>151</v>
      </c>
      <c r="T533" s="6">
        <v>174</v>
      </c>
      <c r="U533" s="6">
        <v>170</v>
      </c>
      <c r="V533" s="6">
        <v>144</v>
      </c>
      <c r="W533" s="6">
        <v>128</v>
      </c>
      <c r="X533" s="6">
        <v>98</v>
      </c>
      <c r="Y533" s="6">
        <v>171</v>
      </c>
      <c r="Z533" s="6">
        <v>168</v>
      </c>
      <c r="AA533" s="6">
        <v>171</v>
      </c>
      <c r="AB533" s="6">
        <v>185</v>
      </c>
      <c r="AC533" s="6">
        <v>197</v>
      </c>
      <c r="AD533" s="6">
        <f t="shared" si="35"/>
        <v>-12</v>
      </c>
      <c r="AE533" s="6" t="s">
        <v>15825</v>
      </c>
    </row>
    <row r="534" spans="1:31">
      <c r="A534" s="33" t="str">
        <f>SOMERSET!A26</f>
        <v>Yeovil CC</v>
      </c>
      <c r="B534" s="7">
        <f>SOMERSET!D26</f>
        <v>82767</v>
      </c>
      <c r="C534" s="7">
        <f>SOMERSET!E26</f>
        <v>82771</v>
      </c>
      <c r="D534" s="7">
        <f>SOMERSET!F26</f>
        <v>82760</v>
      </c>
      <c r="E534" s="7">
        <f>SOMERSET!G26</f>
        <v>83788</v>
      </c>
      <c r="F534" s="7">
        <f>SOMERSET!H26</f>
        <v>83420</v>
      </c>
      <c r="G534" s="7">
        <f>SOMERSET!I26</f>
        <v>82157</v>
      </c>
      <c r="H534" s="7">
        <f>SOMERSET!J26</f>
        <v>76351</v>
      </c>
      <c r="I534" s="7">
        <f>SOMERSET!K26</f>
        <v>80924</v>
      </c>
      <c r="J534" s="7">
        <f>SOMERSET!L26</f>
        <v>81075</v>
      </c>
      <c r="K534" s="7">
        <f>SOMERSET!M26</f>
        <v>79907</v>
      </c>
      <c r="L534" s="7">
        <f>SOMERSET!N26</f>
        <v>80934</v>
      </c>
      <c r="M534" s="7">
        <f>SOMERSET!O26</f>
        <v>82470</v>
      </c>
      <c r="N534" s="34">
        <f t="shared" si="32"/>
        <v>-3.5883866758490701E-3</v>
      </c>
      <c r="O534" s="34"/>
      <c r="P534" s="7">
        <f t="shared" si="33"/>
        <v>9077</v>
      </c>
      <c r="Q534" s="1004">
        <f t="shared" si="34"/>
        <v>0.12367664491164007</v>
      </c>
      <c r="R534" s="6">
        <v>15</v>
      </c>
      <c r="S534" s="6">
        <v>21</v>
      </c>
      <c r="T534" s="6">
        <v>25</v>
      </c>
      <c r="U534" s="6">
        <v>21</v>
      </c>
      <c r="V534" s="6">
        <v>22</v>
      </c>
      <c r="W534" s="6">
        <v>21</v>
      </c>
      <c r="X534" s="6">
        <v>91</v>
      </c>
      <c r="Y534" s="6">
        <v>46</v>
      </c>
      <c r="Z534" s="6">
        <v>62</v>
      </c>
      <c r="AA534" s="6">
        <v>74</v>
      </c>
      <c r="AB534" s="6">
        <v>91</v>
      </c>
      <c r="AC534" s="6">
        <v>83</v>
      </c>
      <c r="AD534" s="6">
        <f t="shared" si="35"/>
        <v>8</v>
      </c>
      <c r="AE534" s="6" t="s">
        <v>15830</v>
      </c>
    </row>
    <row r="535" spans="1:31">
      <c r="A535" s="33" t="str">
        <f>YORK!A7</f>
        <v>York Central BC</v>
      </c>
      <c r="B535" s="7">
        <f>YORK!D7</f>
        <v>74013</v>
      </c>
      <c r="C535" s="7">
        <f>YORK!E7</f>
        <v>75656</v>
      </c>
      <c r="D535" s="7">
        <f>YORK!F7</f>
        <v>77027</v>
      </c>
      <c r="E535" s="7">
        <f>YORK!G7</f>
        <v>76028</v>
      </c>
      <c r="F535" s="7">
        <f>YORK!H7</f>
        <v>76753</v>
      </c>
      <c r="G535" s="7">
        <f>YORK!I7</f>
        <v>68502</v>
      </c>
      <c r="H535" s="7">
        <f>YORK!J7</f>
        <v>71586</v>
      </c>
      <c r="I535" s="7">
        <f>YORK!K7</f>
        <v>71822</v>
      </c>
      <c r="J535" s="7">
        <f>YORK!L7</f>
        <v>74181</v>
      </c>
      <c r="K535" s="7">
        <f>YORK!M7</f>
        <v>69076</v>
      </c>
      <c r="L535" s="7">
        <f>YORK!N7</f>
        <v>69608</v>
      </c>
      <c r="M535" s="7">
        <f>YORK!O7</f>
        <v>73445</v>
      </c>
      <c r="N535" s="34">
        <f t="shared" si="32"/>
        <v>-7.6743274830097415E-3</v>
      </c>
      <c r="O535" s="34"/>
      <c r="P535" s="7">
        <f t="shared" si="33"/>
        <v>52</v>
      </c>
      <c r="Q535" s="1004">
        <f t="shared" si="34"/>
        <v>7.0851443598163311E-4</v>
      </c>
      <c r="R535" s="6">
        <v>172</v>
      </c>
      <c r="S535" s="6">
        <v>150</v>
      </c>
      <c r="T535" s="6">
        <v>130</v>
      </c>
      <c r="U535" s="6">
        <v>160</v>
      </c>
      <c r="V535" s="6">
        <v>132</v>
      </c>
      <c r="W535" s="6">
        <v>351</v>
      </c>
      <c r="X535" s="6">
        <v>213</v>
      </c>
      <c r="Y535" s="6">
        <v>261</v>
      </c>
      <c r="Z535" s="6">
        <v>206</v>
      </c>
      <c r="AA535" s="6">
        <v>357</v>
      </c>
      <c r="AB535" s="6">
        <v>396</v>
      </c>
      <c r="AC535" s="6">
        <v>299</v>
      </c>
      <c r="AD535" s="6">
        <f t="shared" si="35"/>
        <v>97</v>
      </c>
      <c r="AE535" s="6" t="s">
        <v>15828</v>
      </c>
    </row>
    <row r="536" spans="1:31">
      <c r="A536" s="33" t="str">
        <f>YORK!A9</f>
        <v>York Outer CC</v>
      </c>
      <c r="B536" s="7">
        <f>YORK!D9</f>
        <v>74797</v>
      </c>
      <c r="C536" s="7">
        <f>YORK!E9</f>
        <v>75125</v>
      </c>
      <c r="D536" s="7">
        <f>YORK!F9</f>
        <v>75483</v>
      </c>
      <c r="E536" s="7">
        <f>YORK!G9</f>
        <v>76025</v>
      </c>
      <c r="F536" s="7">
        <f>YORK!H9</f>
        <v>76677</v>
      </c>
      <c r="G536" s="7">
        <f>YORK!I9</f>
        <v>74638</v>
      </c>
      <c r="H536" s="7">
        <f>YORK!J9</f>
        <v>75778</v>
      </c>
      <c r="I536" s="7">
        <f>YORK!K9</f>
        <v>73331</v>
      </c>
      <c r="J536" s="7">
        <f>YORK!L9</f>
        <v>75489</v>
      </c>
      <c r="K536" s="7">
        <f>YORK!M9</f>
        <v>72364</v>
      </c>
      <c r="L536" s="7">
        <f>YORK!N9</f>
        <v>72739</v>
      </c>
      <c r="M536" s="7">
        <f>YORK!O9</f>
        <v>74129</v>
      </c>
      <c r="N536" s="34">
        <f t="shared" si="32"/>
        <v>-8.9308394721713431E-3</v>
      </c>
      <c r="O536" s="34"/>
      <c r="P536" s="7">
        <f t="shared" si="33"/>
        <v>736</v>
      </c>
      <c r="Q536" s="1004">
        <f t="shared" si="34"/>
        <v>1.0028204324663115E-2</v>
      </c>
      <c r="R536" s="6">
        <v>157</v>
      </c>
      <c r="S536" s="6">
        <v>160</v>
      </c>
      <c r="T536" s="6">
        <v>168</v>
      </c>
      <c r="U536" s="6">
        <v>161</v>
      </c>
      <c r="V536" s="6">
        <v>133</v>
      </c>
      <c r="W536" s="6">
        <v>152</v>
      </c>
      <c r="X536" s="6">
        <v>102</v>
      </c>
      <c r="Y536" s="6">
        <v>212</v>
      </c>
      <c r="Z536" s="6">
        <v>165</v>
      </c>
      <c r="AA536" s="6">
        <v>243</v>
      </c>
      <c r="AB536" s="6">
        <v>295</v>
      </c>
      <c r="AC536" s="6">
        <v>267</v>
      </c>
      <c r="AD536" s="6">
        <f t="shared" si="35"/>
        <v>28</v>
      </c>
      <c r="AE536" s="6" t="s">
        <v>15828</v>
      </c>
    </row>
    <row r="537" spans="1:31">
      <c r="A537" s="33"/>
      <c r="B537" s="7"/>
      <c r="C537" s="7"/>
      <c r="D537" s="7"/>
      <c r="E537" s="7"/>
      <c r="F537" s="7"/>
      <c r="G537" s="7"/>
      <c r="H537" s="7"/>
      <c r="I537" s="7"/>
      <c r="J537" s="7"/>
      <c r="K537" s="7"/>
      <c r="L537" s="7"/>
      <c r="M537" s="7"/>
      <c r="N537" s="34"/>
      <c r="O537" s="34"/>
      <c r="P537" s="7"/>
      <c r="Q537" s="34"/>
    </row>
    <row r="538" spans="1:31">
      <c r="A538" s="33" t="s">
        <v>6796</v>
      </c>
      <c r="B538" s="7">
        <f>SUM(B4:B536)</f>
        <v>38129082</v>
      </c>
      <c r="C538" s="7">
        <f t="shared" ref="C538:H538" si="36">SUM(C4:C536)</f>
        <v>38443481</v>
      </c>
      <c r="D538" s="7">
        <f t="shared" si="36"/>
        <v>38654054</v>
      </c>
      <c r="E538" s="7">
        <f t="shared" si="36"/>
        <v>38837344</v>
      </c>
      <c r="F538" s="7">
        <f t="shared" si="36"/>
        <v>38597137</v>
      </c>
      <c r="G538" s="7">
        <f t="shared" si="36"/>
        <v>37831553</v>
      </c>
      <c r="H538" s="7">
        <f t="shared" si="36"/>
        <v>37399942</v>
      </c>
      <c r="I538" s="7">
        <f>SUM(I4:I536)</f>
        <v>38386864</v>
      </c>
      <c r="J538" s="7">
        <f>SUM(J4:J536)</f>
        <v>38693859</v>
      </c>
      <c r="K538" s="7">
        <f>SUM(K4:K536)</f>
        <v>38371420</v>
      </c>
      <c r="L538" s="7">
        <f>SUM(L4:L536)</f>
        <v>39476140</v>
      </c>
      <c r="M538" s="7">
        <f>SUM(M4:M536)</f>
        <v>39860421</v>
      </c>
      <c r="N538" s="34">
        <f>(L538-B538)/B538</f>
        <v>3.5328886229151805E-2</v>
      </c>
      <c r="O538" s="34"/>
    </row>
    <row r="539" spans="1:31">
      <c r="B539" s="7"/>
      <c r="C539" s="7"/>
      <c r="D539" s="7"/>
      <c r="E539" s="7"/>
      <c r="F539" s="7"/>
      <c r="G539" s="7"/>
      <c r="H539" s="7"/>
      <c r="I539" s="7"/>
      <c r="J539" s="7"/>
      <c r="K539" s="7"/>
      <c r="L539" s="7"/>
      <c r="M539" s="7"/>
    </row>
    <row r="540" spans="1:31">
      <c r="A540" s="33" t="s">
        <v>6797</v>
      </c>
      <c r="B540" s="7">
        <f t="shared" ref="B540:H540" si="37">MAX(B4:B536)-MIN(B4:B536)</f>
        <v>55076</v>
      </c>
      <c r="C540" s="7">
        <f t="shared" si="37"/>
        <v>55847</v>
      </c>
      <c r="D540" s="7">
        <f t="shared" si="37"/>
        <v>56108</v>
      </c>
      <c r="E540" s="7">
        <f t="shared" si="37"/>
        <v>55964</v>
      </c>
      <c r="F540" s="7">
        <f t="shared" si="37"/>
        <v>56986</v>
      </c>
      <c r="G540" s="7">
        <f t="shared" si="37"/>
        <v>53695</v>
      </c>
      <c r="H540" s="7">
        <f t="shared" si="37"/>
        <v>51216</v>
      </c>
      <c r="I540" s="7">
        <f>MAX(I4:I536)-MIN(I4:I536)</f>
        <v>53664</v>
      </c>
      <c r="J540" s="7">
        <f>MAX(J4:J536)-MIN(J4:J536)</f>
        <v>56518</v>
      </c>
      <c r="K540" s="7">
        <f>MAX(K4:K536)-MIN(K4:K536)</f>
        <v>54763</v>
      </c>
      <c r="L540" s="7">
        <f>MAX(L4:L536)-MIN(L4:L536)</f>
        <v>57398</v>
      </c>
      <c r="M540" s="7">
        <f>MAX(M4:M536)-MIN(M4:M536)</f>
        <v>57165</v>
      </c>
      <c r="N540" s="34">
        <f>(L540-B540)/B540</f>
        <v>4.2159924468007842E-2</v>
      </c>
      <c r="O540" s="34"/>
    </row>
    <row r="541" spans="1:31">
      <c r="A541" s="33" t="s">
        <v>6798</v>
      </c>
      <c r="B541" s="7">
        <f t="shared" ref="B541:H541" si="38">MAX(B4:B536)</f>
        <v>110228</v>
      </c>
      <c r="C541" s="7">
        <f t="shared" si="38"/>
        <v>110924</v>
      </c>
      <c r="D541" s="7">
        <f t="shared" si="38"/>
        <v>110900</v>
      </c>
      <c r="E541" s="7">
        <f t="shared" si="38"/>
        <v>111109</v>
      </c>
      <c r="F541" s="7">
        <f t="shared" si="38"/>
        <v>111800</v>
      </c>
      <c r="G541" s="7">
        <f t="shared" si="38"/>
        <v>107572</v>
      </c>
      <c r="H541" s="7">
        <f t="shared" si="38"/>
        <v>105448</v>
      </c>
      <c r="I541" s="7">
        <f>MAX(I4:I536)</f>
        <v>108591</v>
      </c>
      <c r="J541" s="7">
        <f>MAX(J4:J536)</f>
        <v>109938</v>
      </c>
      <c r="K541" s="7">
        <f>MAX(K4:K536)</f>
        <v>108125</v>
      </c>
      <c r="L541" s="7">
        <f>MAX(L4:L536)</f>
        <v>111440</v>
      </c>
      <c r="M541" s="7">
        <f>MAX(M4:M536)</f>
        <v>111716</v>
      </c>
    </row>
    <row r="542" spans="1:31">
      <c r="A542" s="33" t="s">
        <v>6799</v>
      </c>
      <c r="B542" s="7">
        <f t="shared" ref="B542:H542" si="39">MIN(B4:B536)</f>
        <v>55152</v>
      </c>
      <c r="C542" s="7">
        <f t="shared" si="39"/>
        <v>55077</v>
      </c>
      <c r="D542" s="7">
        <f t="shared" si="39"/>
        <v>54792</v>
      </c>
      <c r="E542" s="7">
        <f t="shared" si="39"/>
        <v>55145</v>
      </c>
      <c r="F542" s="7">
        <f t="shared" si="39"/>
        <v>54814</v>
      </c>
      <c r="G542" s="7">
        <f t="shared" si="39"/>
        <v>53877</v>
      </c>
      <c r="H542" s="7">
        <f t="shared" si="39"/>
        <v>54232</v>
      </c>
      <c r="I542" s="7">
        <f>MIN(I4:I536)</f>
        <v>54927</v>
      </c>
      <c r="J542" s="7">
        <f>MIN(J4:J536)</f>
        <v>53420</v>
      </c>
      <c r="K542" s="7">
        <f>MIN(K4:K536)</f>
        <v>53362</v>
      </c>
      <c r="L542" s="7">
        <f>MIN(L4:L536)</f>
        <v>54042</v>
      </c>
      <c r="M542" s="7">
        <f>MIN(M4:M536)</f>
        <v>54551</v>
      </c>
    </row>
    <row r="543" spans="1:31">
      <c r="A543" s="33" t="s">
        <v>6800</v>
      </c>
      <c r="B543" s="7">
        <f t="shared" ref="B543:H543" si="40">STDEVP(B4:B536)</f>
        <v>5883.751663473784</v>
      </c>
      <c r="C543" s="7">
        <f t="shared" si="40"/>
        <v>6025.3945105689081</v>
      </c>
      <c r="D543" s="7">
        <f t="shared" si="40"/>
        <v>6147.97202068765</v>
      </c>
      <c r="E543" s="7">
        <f t="shared" si="40"/>
        <v>6225.5034931696673</v>
      </c>
      <c r="F543" s="7">
        <f t="shared" si="40"/>
        <v>6484.6382983616659</v>
      </c>
      <c r="G543" s="7">
        <f t="shared" si="40"/>
        <v>6507.1980803822125</v>
      </c>
      <c r="H543" s="7">
        <f t="shared" si="40"/>
        <v>6415.0102339514015</v>
      </c>
      <c r="I543" s="7">
        <f>STDEVP(I4:I536)</f>
        <v>6829.6532135048938</v>
      </c>
      <c r="J543" s="7">
        <f>STDEVP(J4:J536)</f>
        <v>6922.819660627797</v>
      </c>
      <c r="K543" s="7">
        <f>STDEVP(K4:K536)</f>
        <v>7047.0172164189062</v>
      </c>
      <c r="L543" s="7">
        <f>STDEVP(L4:L536)</f>
        <v>7544.266753818757</v>
      </c>
      <c r="M543" s="7">
        <f>STDEVP(M4:M536)</f>
        <v>7602.6126574100217</v>
      </c>
      <c r="N543" s="34">
        <f>(L543-B543)/B543</f>
        <v>0.28222045819054847</v>
      </c>
      <c r="O543" s="34"/>
    </row>
    <row r="544" spans="1:31">
      <c r="A544" s="33" t="s">
        <v>6801</v>
      </c>
      <c r="B544" s="9">
        <f>REGIONS!B451</f>
        <v>75932</v>
      </c>
      <c r="C544" s="9">
        <f>REGIONS!C451</f>
        <v>76641</v>
      </c>
      <c r="D544" s="9">
        <f>REGIONS!D451</f>
        <v>77081</v>
      </c>
      <c r="E544" s="9">
        <f>REGIONS!E451</f>
        <v>77494</v>
      </c>
      <c r="F544" s="9">
        <f>REGIONS!F451</f>
        <v>77134</v>
      </c>
      <c r="G544" s="9">
        <f>REGIONS!G451</f>
        <v>75774</v>
      </c>
      <c r="H544" s="9">
        <f>REGIONS!H451</f>
        <v>74769</v>
      </c>
      <c r="I544" s="9">
        <f>REGIONS!I451</f>
        <v>76515</v>
      </c>
      <c r="J544" s="9">
        <f>REGIONS!J451</f>
        <v>77153</v>
      </c>
      <c r="K544" s="9">
        <f>REGIONS!K451</f>
        <v>76532</v>
      </c>
      <c r="L544" s="9">
        <v>72613</v>
      </c>
      <c r="M544" s="9">
        <v>73393</v>
      </c>
      <c r="N544" s="34"/>
      <c r="O544" s="34"/>
    </row>
    <row r="546" spans="1:17">
      <c r="A546" s="37" t="s">
        <v>10427</v>
      </c>
      <c r="B546" s="6">
        <v>1</v>
      </c>
      <c r="C546" s="6">
        <v>1</v>
      </c>
      <c r="D546" s="6">
        <v>1</v>
      </c>
      <c r="E546" s="6">
        <v>1</v>
      </c>
      <c r="F546" s="6">
        <v>2</v>
      </c>
      <c r="G546" s="6">
        <v>2</v>
      </c>
      <c r="H546" s="6">
        <v>2</v>
      </c>
      <c r="I546" s="6">
        <v>2</v>
      </c>
      <c r="J546" s="6">
        <v>1</v>
      </c>
      <c r="K546" s="6">
        <v>2</v>
      </c>
      <c r="L546" s="10">
        <v>21</v>
      </c>
      <c r="M546" s="10">
        <v>24</v>
      </c>
      <c r="N546" s="10"/>
      <c r="P546" s="37"/>
      <c r="Q546" s="10"/>
    </row>
    <row r="547" spans="1:17">
      <c r="A547" s="37" t="s">
        <v>10428</v>
      </c>
      <c r="B547" s="6">
        <v>2</v>
      </c>
      <c r="C547" s="6">
        <v>3</v>
      </c>
      <c r="D547" s="6">
        <v>3</v>
      </c>
      <c r="E547" s="6">
        <v>3</v>
      </c>
      <c r="F547" s="6">
        <v>3</v>
      </c>
      <c r="G547" s="6">
        <v>3</v>
      </c>
      <c r="H547" s="6">
        <v>4</v>
      </c>
      <c r="I547" s="6">
        <v>5</v>
      </c>
      <c r="J547" s="6">
        <v>4</v>
      </c>
      <c r="K547" s="6">
        <v>4</v>
      </c>
      <c r="L547" s="10">
        <v>32</v>
      </c>
      <c r="M547" s="10">
        <v>26</v>
      </c>
      <c r="N547" s="10"/>
      <c r="P547" s="37"/>
      <c r="Q547" s="10"/>
    </row>
    <row r="548" spans="1:17">
      <c r="A548" s="37" t="s">
        <v>10429</v>
      </c>
      <c r="B548" s="6">
        <v>8</v>
      </c>
      <c r="C548" s="6">
        <v>7</v>
      </c>
      <c r="D548" s="6">
        <v>8</v>
      </c>
      <c r="E548" s="6">
        <v>10</v>
      </c>
      <c r="F548" s="6">
        <v>9</v>
      </c>
      <c r="G548" s="6">
        <v>8</v>
      </c>
      <c r="H548" s="6">
        <v>9</v>
      </c>
      <c r="I548" s="6">
        <v>9</v>
      </c>
      <c r="J548" s="6">
        <v>12</v>
      </c>
      <c r="K548" s="6">
        <v>13</v>
      </c>
      <c r="L548" s="10">
        <v>62</v>
      </c>
      <c r="M548" s="10">
        <v>61</v>
      </c>
      <c r="N548" s="10"/>
      <c r="P548" s="37"/>
      <c r="Q548" s="10"/>
    </row>
    <row r="549" spans="1:17">
      <c r="A549" s="37" t="s">
        <v>10430</v>
      </c>
      <c r="B549" s="6">
        <v>27</v>
      </c>
      <c r="C549" s="6">
        <v>26</v>
      </c>
      <c r="D549" s="6">
        <v>26</v>
      </c>
      <c r="E549" s="6">
        <v>23</v>
      </c>
      <c r="F549" s="6">
        <v>27</v>
      </c>
      <c r="G549" s="6">
        <v>30</v>
      </c>
      <c r="H549" s="6">
        <v>29</v>
      </c>
      <c r="I549" s="6">
        <v>46</v>
      </c>
      <c r="J549" s="6">
        <v>46</v>
      </c>
      <c r="K549" s="6">
        <v>47</v>
      </c>
      <c r="L549" s="10">
        <v>87</v>
      </c>
      <c r="M549" s="10">
        <v>80</v>
      </c>
      <c r="N549" s="10"/>
      <c r="P549" s="37"/>
      <c r="Q549" s="10"/>
    </row>
    <row r="550" spans="1:17">
      <c r="A550" s="37" t="s">
        <v>6452</v>
      </c>
      <c r="B550" s="6">
        <v>196</v>
      </c>
      <c r="C550" s="6">
        <v>200</v>
      </c>
      <c r="D550" s="6">
        <v>197</v>
      </c>
      <c r="E550" s="6">
        <v>192</v>
      </c>
      <c r="F550" s="6">
        <v>193</v>
      </c>
      <c r="G550" s="6">
        <v>190</v>
      </c>
      <c r="H550" s="6">
        <v>184</v>
      </c>
      <c r="I550" s="6">
        <v>171</v>
      </c>
      <c r="J550" s="6">
        <v>174</v>
      </c>
      <c r="K550" s="6">
        <v>161</v>
      </c>
      <c r="L550" s="10">
        <v>205</v>
      </c>
      <c r="M550" s="10">
        <v>209</v>
      </c>
      <c r="N550" s="10"/>
      <c r="P550" s="37"/>
      <c r="Q550" s="10"/>
    </row>
    <row r="551" spans="1:17">
      <c r="A551" s="37" t="s">
        <v>10431</v>
      </c>
      <c r="B551" s="6">
        <v>134</v>
      </c>
      <c r="C551" s="6">
        <v>133</v>
      </c>
      <c r="D551" s="6">
        <v>133</v>
      </c>
      <c r="E551" s="6">
        <v>136</v>
      </c>
      <c r="F551" s="6">
        <v>125</v>
      </c>
      <c r="G551" s="6">
        <v>126</v>
      </c>
      <c r="H551" s="6">
        <v>138</v>
      </c>
      <c r="I551" s="6">
        <v>133</v>
      </c>
      <c r="J551" s="6">
        <v>131</v>
      </c>
      <c r="K551" s="6">
        <v>137</v>
      </c>
      <c r="L551" s="10">
        <v>61</v>
      </c>
      <c r="M551" s="10">
        <v>66</v>
      </c>
      <c r="N551" s="10"/>
      <c r="P551" s="37"/>
      <c r="Q551" s="10"/>
    </row>
    <row r="552" spans="1:17">
      <c r="A552" s="37" t="s">
        <v>10432</v>
      </c>
      <c r="B552" s="6">
        <v>106</v>
      </c>
      <c r="C552" s="6">
        <v>103</v>
      </c>
      <c r="D552" s="6">
        <v>96</v>
      </c>
      <c r="E552" s="6">
        <v>104</v>
      </c>
      <c r="F552" s="6">
        <v>101</v>
      </c>
      <c r="G552" s="6">
        <v>93</v>
      </c>
      <c r="H552" s="6">
        <v>84</v>
      </c>
      <c r="I552" s="6">
        <v>87</v>
      </c>
      <c r="J552" s="6">
        <v>78</v>
      </c>
      <c r="K552" s="6">
        <v>87</v>
      </c>
      <c r="L552" s="10">
        <v>41</v>
      </c>
      <c r="M552" s="10">
        <v>43</v>
      </c>
      <c r="N552" s="10"/>
      <c r="P552" s="37"/>
      <c r="Q552" s="10"/>
    </row>
    <row r="553" spans="1:17">
      <c r="A553" s="37" t="s">
        <v>10433</v>
      </c>
      <c r="B553" s="6">
        <v>48</v>
      </c>
      <c r="C553" s="6">
        <v>47</v>
      </c>
      <c r="D553" s="6">
        <v>56</v>
      </c>
      <c r="E553" s="6">
        <v>47</v>
      </c>
      <c r="F553" s="6">
        <v>47</v>
      </c>
      <c r="G553" s="6">
        <v>51</v>
      </c>
      <c r="H553" s="6">
        <v>57</v>
      </c>
      <c r="I553" s="6">
        <v>52</v>
      </c>
      <c r="J553" s="6">
        <v>58</v>
      </c>
      <c r="K553" s="6">
        <v>46</v>
      </c>
      <c r="L553" s="10">
        <v>17</v>
      </c>
      <c r="M553" s="10">
        <v>18</v>
      </c>
      <c r="N553" s="10"/>
      <c r="P553" s="37"/>
      <c r="Q553" s="10"/>
    </row>
    <row r="554" spans="1:17">
      <c r="A554" s="37" t="s">
        <v>10434</v>
      </c>
      <c r="B554" s="6">
        <v>11</v>
      </c>
      <c r="C554" s="6">
        <v>13</v>
      </c>
      <c r="D554" s="6">
        <v>13</v>
      </c>
      <c r="E554" s="6">
        <v>17</v>
      </c>
      <c r="F554" s="6">
        <v>26</v>
      </c>
      <c r="G554" s="6">
        <v>30</v>
      </c>
      <c r="H554" s="6">
        <v>26</v>
      </c>
      <c r="I554" s="6">
        <v>28</v>
      </c>
      <c r="J554" s="6">
        <v>29</v>
      </c>
      <c r="K554" s="6">
        <v>36</v>
      </c>
      <c r="L554" s="10">
        <v>7</v>
      </c>
      <c r="M554" s="10">
        <v>6</v>
      </c>
      <c r="N554" s="10"/>
      <c r="P554" s="37"/>
      <c r="Q554" s="10"/>
    </row>
    <row r="556" spans="1:17">
      <c r="A556" s="33" t="s">
        <v>5711</v>
      </c>
      <c r="B556" s="7">
        <f t="shared" ref="B556:G556" si="41">B544*1.2</f>
        <v>91118.399999999994</v>
      </c>
      <c r="C556" s="7">
        <f t="shared" si="41"/>
        <v>91969.2</v>
      </c>
      <c r="D556" s="7">
        <f t="shared" si="41"/>
        <v>92497.2</v>
      </c>
      <c r="E556" s="7">
        <f t="shared" si="41"/>
        <v>92992.8</v>
      </c>
      <c r="F556" s="7">
        <f t="shared" si="41"/>
        <v>92560.8</v>
      </c>
      <c r="G556" s="7">
        <f t="shared" si="41"/>
        <v>90928.8</v>
      </c>
      <c r="H556" s="7">
        <f t="shared" ref="H556:M556" si="42">H544*1.2</f>
        <v>89722.8</v>
      </c>
      <c r="I556" s="7">
        <f t="shared" si="42"/>
        <v>91818</v>
      </c>
      <c r="J556" s="7">
        <f t="shared" si="42"/>
        <v>92583.599999999991</v>
      </c>
      <c r="K556" s="7">
        <f t="shared" si="42"/>
        <v>91838.399999999994</v>
      </c>
      <c r="L556" s="7">
        <f t="shared" si="42"/>
        <v>87135.599999999991</v>
      </c>
      <c r="M556" s="7">
        <f t="shared" si="42"/>
        <v>88071.599999999991</v>
      </c>
    </row>
    <row r="557" spans="1:17">
      <c r="A557" s="33" t="s">
        <v>5712</v>
      </c>
      <c r="B557" s="7">
        <f t="shared" ref="B557:G557" si="43">B544*1.15</f>
        <v>87321.799999999988</v>
      </c>
      <c r="C557" s="7">
        <f t="shared" si="43"/>
        <v>88137.15</v>
      </c>
      <c r="D557" s="7">
        <f t="shared" si="43"/>
        <v>88643.15</v>
      </c>
      <c r="E557" s="7">
        <f t="shared" si="43"/>
        <v>89118.099999999991</v>
      </c>
      <c r="F557" s="7">
        <f t="shared" si="43"/>
        <v>88704.099999999991</v>
      </c>
      <c r="G557" s="7">
        <f t="shared" si="43"/>
        <v>87140.099999999991</v>
      </c>
      <c r="H557" s="7">
        <f t="shared" ref="H557:M557" si="44">H544*1.15</f>
        <v>85984.349999999991</v>
      </c>
      <c r="I557" s="7">
        <f t="shared" si="44"/>
        <v>87992.25</v>
      </c>
      <c r="J557" s="7">
        <f t="shared" si="44"/>
        <v>88725.95</v>
      </c>
      <c r="K557" s="7">
        <f t="shared" si="44"/>
        <v>88011.799999999988</v>
      </c>
      <c r="L557" s="7">
        <f t="shared" si="44"/>
        <v>83504.95</v>
      </c>
      <c r="M557" s="7">
        <f t="shared" si="44"/>
        <v>84401.95</v>
      </c>
    </row>
    <row r="558" spans="1:17">
      <c r="A558" s="33" t="s">
        <v>5713</v>
      </c>
      <c r="B558" s="7">
        <f t="shared" ref="B558:G558" si="45">B544*1.1</f>
        <v>83525.200000000012</v>
      </c>
      <c r="C558" s="7">
        <f t="shared" si="45"/>
        <v>84305.1</v>
      </c>
      <c r="D558" s="7">
        <f t="shared" si="45"/>
        <v>84789.1</v>
      </c>
      <c r="E558" s="7">
        <f t="shared" si="45"/>
        <v>85243.400000000009</v>
      </c>
      <c r="F558" s="7">
        <f t="shared" si="45"/>
        <v>84847.400000000009</v>
      </c>
      <c r="G558" s="7">
        <f t="shared" si="45"/>
        <v>83351.400000000009</v>
      </c>
      <c r="H558" s="7">
        <f t="shared" ref="H558:M558" si="46">H544*1.1</f>
        <v>82245.900000000009</v>
      </c>
      <c r="I558" s="7">
        <f t="shared" si="46"/>
        <v>84166.5</v>
      </c>
      <c r="J558" s="7">
        <f t="shared" si="46"/>
        <v>84868.3</v>
      </c>
      <c r="K558" s="7">
        <f t="shared" si="46"/>
        <v>84185.200000000012</v>
      </c>
      <c r="L558" s="7">
        <f t="shared" si="46"/>
        <v>79874.3</v>
      </c>
      <c r="M558" s="7">
        <f t="shared" si="46"/>
        <v>80732.3</v>
      </c>
    </row>
    <row r="559" spans="1:17">
      <c r="A559" s="33" t="s">
        <v>5714</v>
      </c>
      <c r="B559" s="7">
        <f>(B544*1.05)-1</f>
        <v>79727.600000000006</v>
      </c>
      <c r="C559" s="7">
        <f>C544*1.05</f>
        <v>80473.05</v>
      </c>
      <c r="D559" s="7">
        <f>(D544*1.05)-1</f>
        <v>80934.05</v>
      </c>
      <c r="E559" s="7">
        <f>(E544*1.05)-1</f>
        <v>81367.7</v>
      </c>
      <c r="F559" s="7">
        <f>(F544*1.05)-1</f>
        <v>80989.7</v>
      </c>
      <c r="G559" s="7">
        <f>(G544*1.05)-1</f>
        <v>79561.7</v>
      </c>
      <c r="H559" s="7">
        <f>(H544*1.05)</f>
        <v>78507.45</v>
      </c>
      <c r="I559" s="7">
        <f>(I544*1.05)-1</f>
        <v>80339.75</v>
      </c>
      <c r="J559" s="7">
        <f>(J544*1.05)-1</f>
        <v>81009.650000000009</v>
      </c>
      <c r="K559" s="7">
        <f>(K544*1.05)-1</f>
        <v>80357.600000000006</v>
      </c>
      <c r="L559" s="7">
        <f>(L544*1.05)-1</f>
        <v>76242.650000000009</v>
      </c>
      <c r="M559" s="7">
        <f>(M544*1.05)-1</f>
        <v>77061.650000000009</v>
      </c>
    </row>
    <row r="560" spans="1:17">
      <c r="A560" s="33" t="s">
        <v>5715</v>
      </c>
      <c r="B560" s="7">
        <f>(B544*0.95)+1</f>
        <v>72136.399999999994</v>
      </c>
      <c r="C560" s="7">
        <f>(C544*0.95)+1</f>
        <v>72809.95</v>
      </c>
      <c r="D560" s="7">
        <f>D544*0.95</f>
        <v>73226.95</v>
      </c>
      <c r="E560" s="7">
        <f>(E544*0.95)+1</f>
        <v>73620.3</v>
      </c>
      <c r="F560" s="7">
        <f>(F544*0.95)+1</f>
        <v>73278.3</v>
      </c>
      <c r="G560" s="7">
        <f>(G544*0.95)+1</f>
        <v>71986.3</v>
      </c>
      <c r="H560" s="7">
        <f>(H544*0.95)</f>
        <v>71030.55</v>
      </c>
      <c r="I560" s="7">
        <f>(I544*0.95)+1</f>
        <v>72690.25</v>
      </c>
      <c r="J560" s="7">
        <f>(J544*0.95)+1</f>
        <v>73296.349999999991</v>
      </c>
      <c r="K560" s="7">
        <f>(K544*0.95)+1</f>
        <v>72706.399999999994</v>
      </c>
      <c r="L560" s="7">
        <f>(L544*0.95)+1</f>
        <v>68983.349999999991</v>
      </c>
      <c r="M560" s="7">
        <f>(M544*0.95)+1</f>
        <v>69724.349999999991</v>
      </c>
    </row>
    <row r="561" spans="1:13">
      <c r="A561" s="33" t="s">
        <v>5716</v>
      </c>
      <c r="B561" s="7">
        <f t="shared" ref="B561:G561" si="47">B544*0.9</f>
        <v>68338.8</v>
      </c>
      <c r="C561" s="7">
        <f t="shared" si="47"/>
        <v>68976.900000000009</v>
      </c>
      <c r="D561" s="7">
        <f t="shared" si="47"/>
        <v>69372.900000000009</v>
      </c>
      <c r="E561" s="7">
        <f t="shared" si="47"/>
        <v>69744.600000000006</v>
      </c>
      <c r="F561" s="7">
        <f t="shared" si="47"/>
        <v>69420.600000000006</v>
      </c>
      <c r="G561" s="7">
        <f t="shared" si="47"/>
        <v>68196.600000000006</v>
      </c>
      <c r="H561" s="7">
        <f t="shared" ref="H561:M561" si="48">H544*0.9</f>
        <v>67292.100000000006</v>
      </c>
      <c r="I561" s="7">
        <f t="shared" si="48"/>
        <v>68863.5</v>
      </c>
      <c r="J561" s="7">
        <f t="shared" si="48"/>
        <v>69437.7</v>
      </c>
      <c r="K561" s="7">
        <f t="shared" si="48"/>
        <v>68878.8</v>
      </c>
      <c r="L561" s="7">
        <f t="shared" si="48"/>
        <v>65351.700000000004</v>
      </c>
      <c r="M561" s="7">
        <f t="shared" si="48"/>
        <v>66053.7</v>
      </c>
    </row>
    <row r="562" spans="1:13">
      <c r="A562" s="33" t="s">
        <v>5717</v>
      </c>
      <c r="B562" s="7">
        <f t="shared" ref="B562:G562" si="49">B544*0.85</f>
        <v>64542.2</v>
      </c>
      <c r="C562" s="7">
        <f t="shared" si="49"/>
        <v>65144.85</v>
      </c>
      <c r="D562" s="7">
        <f t="shared" si="49"/>
        <v>65518.85</v>
      </c>
      <c r="E562" s="7">
        <f t="shared" si="49"/>
        <v>65869.899999999994</v>
      </c>
      <c r="F562" s="7">
        <f t="shared" si="49"/>
        <v>65563.899999999994</v>
      </c>
      <c r="G562" s="7">
        <f t="shared" si="49"/>
        <v>64407.9</v>
      </c>
      <c r="H562" s="7">
        <f t="shared" ref="H562:M562" si="50">H544*0.85</f>
        <v>63553.65</v>
      </c>
      <c r="I562" s="7">
        <f t="shared" si="50"/>
        <v>65037.75</v>
      </c>
      <c r="J562" s="7">
        <f t="shared" si="50"/>
        <v>65580.05</v>
      </c>
      <c r="K562" s="7">
        <f t="shared" si="50"/>
        <v>65052.2</v>
      </c>
      <c r="L562" s="7">
        <f t="shared" si="50"/>
        <v>61721.049999999996</v>
      </c>
      <c r="M562" s="7">
        <f t="shared" si="50"/>
        <v>62384.049999999996</v>
      </c>
    </row>
    <row r="563" spans="1:13">
      <c r="A563" s="33" t="s">
        <v>5718</v>
      </c>
      <c r="B563" s="7">
        <f t="shared" ref="B563:G563" si="51">B544*0.8</f>
        <v>60745.600000000006</v>
      </c>
      <c r="C563" s="7">
        <f t="shared" si="51"/>
        <v>61312.800000000003</v>
      </c>
      <c r="D563" s="7">
        <f t="shared" si="51"/>
        <v>61664.800000000003</v>
      </c>
      <c r="E563" s="7">
        <f t="shared" si="51"/>
        <v>61995.200000000004</v>
      </c>
      <c r="F563" s="7">
        <f t="shared" si="51"/>
        <v>61707.200000000004</v>
      </c>
      <c r="G563" s="7">
        <f t="shared" si="51"/>
        <v>60619.200000000004</v>
      </c>
      <c r="H563" s="7">
        <f t="shared" ref="H563:M563" si="52">H544*0.8</f>
        <v>59815.200000000004</v>
      </c>
      <c r="I563" s="7">
        <f t="shared" si="52"/>
        <v>61212</v>
      </c>
      <c r="J563" s="7">
        <f t="shared" si="52"/>
        <v>61722.400000000001</v>
      </c>
      <c r="K563" s="7">
        <f t="shared" si="52"/>
        <v>61225.600000000006</v>
      </c>
      <c r="L563" s="7">
        <f t="shared" si="52"/>
        <v>58090.400000000001</v>
      </c>
      <c r="M563" s="7">
        <f t="shared" si="52"/>
        <v>58714.400000000001</v>
      </c>
    </row>
    <row r="565" spans="1:13">
      <c r="L565" s="6" t="s">
        <v>14498</v>
      </c>
    </row>
  </sheetData>
  <autoFilter ref="A3:AE536" xr:uid="{00000000-0009-0000-0000-000001000000}">
    <sortState ref="A4:AE536">
      <sortCondition ref="A3:A536"/>
    </sortState>
  </autoFilter>
  <sortState ref="A4:AL536">
    <sortCondition descending="1" ref="L4:L536"/>
  </sortState>
  <phoneticPr fontId="6" type="noConversion"/>
  <printOptions gridLinesSet="0"/>
  <pageMargins left="1.1023622047244095" right="0" top="0.78740157480314965" bottom="0.51181102362204722" header="0.51181102362204722" footer="0.51181102362204722"/>
  <pageSetup paperSize="8" scale="90" orientation="landscape" r:id="rId1"/>
  <headerFooter alignWithMargins="0">
    <oddFooter>&amp;C&amp;8&amp;P of &amp;N</oddFooter>
  </headerFooter>
  <rowBreaks count="10" manualBreakCount="10">
    <brk id="54" max="14" man="1"/>
    <brk id="104" max="14" man="1"/>
    <brk id="154" max="14" man="1"/>
    <brk id="204" max="14" man="1"/>
    <brk id="254" max="14" man="1"/>
    <brk id="304" max="14" man="1"/>
    <brk id="354" max="14" man="1"/>
    <brk id="404" max="14" man="1"/>
    <brk id="454" max="14" man="1"/>
    <brk id="504" max="14" man="1"/>
  </rowBreaks>
  <ignoredErrors>
    <ignoredError sqref="B537:C537 B556:D558 E537 B561:D563 C560 B559:B560 E556:G563 A540:E544 E545 F537:G538 H556:H558 H561:H563 N537:Q537 I556:J563 H537:J538 N539:Q539 O538:Q538 N541:Q542 O540:Q540 N545:Q545 O543:Q543 O544:Q544 A538 C538:E538 O551:O553 O549 N556:Q563 O554 O550 O555:Q555 A539 F540:G545 H540:J544 O546:O548" unlockedFormula="1"/>
    <ignoredError sqref="D559:D560 C559 H559:H560" formula="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dimension ref="A1:Q340"/>
  <sheetViews>
    <sheetView showGridLines="0" topLeftCell="A328" zoomScale="90" zoomScaleNormal="90" workbookViewId="0">
      <selection activeCell="O49" sqref="O49"/>
    </sheetView>
  </sheetViews>
  <sheetFormatPr defaultColWidth="12.5703125" defaultRowHeight="15"/>
  <cols>
    <col min="1" max="1" width="4.85546875" style="163" customWidth="1"/>
    <col min="2" max="2" width="45.7109375" style="163" customWidth="1"/>
    <col min="3" max="3" width="11.42578125" style="163" customWidth="1"/>
    <col min="4" max="15" width="10.140625" style="163" customWidth="1"/>
    <col min="16" max="16" width="2.28515625" style="163" customWidth="1"/>
    <col min="17" max="17" width="29.42578125" style="163" customWidth="1"/>
    <col min="18" max="16384" width="12.5703125" style="163"/>
  </cols>
  <sheetData>
    <row r="1" spans="1:17">
      <c r="A1" s="791" t="s">
        <v>6924</v>
      </c>
      <c r="D1" s="792">
        <v>2010</v>
      </c>
      <c r="E1" s="792">
        <v>2011</v>
      </c>
      <c r="F1" s="792">
        <v>2012</v>
      </c>
      <c r="G1" s="792">
        <v>2013</v>
      </c>
      <c r="H1" s="792">
        <v>2014</v>
      </c>
      <c r="I1" s="792">
        <v>2015</v>
      </c>
      <c r="J1" s="792">
        <v>2016</v>
      </c>
      <c r="K1" s="792">
        <v>2017</v>
      </c>
      <c r="L1" s="792">
        <v>2018</v>
      </c>
      <c r="M1" s="792">
        <v>2019</v>
      </c>
      <c r="N1" s="792">
        <v>2020</v>
      </c>
      <c r="O1" s="982" t="s">
        <v>14823</v>
      </c>
    </row>
    <row r="3" spans="1:17">
      <c r="A3" s="791" t="s">
        <v>2535</v>
      </c>
      <c r="C3" s="791"/>
      <c r="D3" s="793">
        <f t="shared" ref="D3:I3" si="0">SUM(D7:D14)</f>
        <v>597320</v>
      </c>
      <c r="E3" s="793">
        <f t="shared" si="0"/>
        <v>599776</v>
      </c>
      <c r="F3" s="793">
        <f t="shared" si="0"/>
        <v>601842</v>
      </c>
      <c r="G3" s="793">
        <f t="shared" si="0"/>
        <v>605387</v>
      </c>
      <c r="H3" s="793">
        <f t="shared" si="0"/>
        <v>604938</v>
      </c>
      <c r="I3" s="793">
        <f t="shared" si="0"/>
        <v>595846</v>
      </c>
      <c r="J3" s="793">
        <f t="shared" ref="J3:O3" si="1">SUM(J7:J14)</f>
        <v>585891</v>
      </c>
      <c r="K3" s="793">
        <f t="shared" si="1"/>
        <v>601039</v>
      </c>
      <c r="L3" s="793">
        <f t="shared" si="1"/>
        <v>606008</v>
      </c>
      <c r="M3" s="793">
        <f t="shared" si="1"/>
        <v>601574</v>
      </c>
      <c r="N3" s="793">
        <f t="shared" si="1"/>
        <v>615305</v>
      </c>
      <c r="O3" s="793">
        <f t="shared" si="1"/>
        <v>616009</v>
      </c>
    </row>
    <row r="4" spans="1:17" ht="15.75" thickBot="1">
      <c r="A4" s="791" t="s">
        <v>2524</v>
      </c>
      <c r="C4" s="791"/>
      <c r="D4" s="794">
        <f t="shared" ref="D4:I4" si="2">D62</f>
        <v>173057</v>
      </c>
      <c r="E4" s="794">
        <f t="shared" si="2"/>
        <v>175659</v>
      </c>
      <c r="F4" s="794">
        <f t="shared" si="2"/>
        <v>177443</v>
      </c>
      <c r="G4" s="794">
        <f t="shared" si="2"/>
        <v>176951</v>
      </c>
      <c r="H4" s="794">
        <f t="shared" si="2"/>
        <v>175062</v>
      </c>
      <c r="I4" s="794">
        <f t="shared" si="2"/>
        <v>167269</v>
      </c>
      <c r="J4" s="794">
        <f t="shared" ref="J4:O4" si="3">J62</f>
        <v>170659</v>
      </c>
      <c r="K4" s="794">
        <f t="shared" si="3"/>
        <v>169154</v>
      </c>
      <c r="L4" s="794">
        <f t="shared" si="3"/>
        <v>168544</v>
      </c>
      <c r="M4" s="794">
        <f t="shared" si="3"/>
        <v>168731</v>
      </c>
      <c r="N4" s="794">
        <f t="shared" si="3"/>
        <v>176332</v>
      </c>
      <c r="O4" s="794">
        <f t="shared" si="3"/>
        <v>174973</v>
      </c>
    </row>
    <row r="5" spans="1:17" ht="15.75" thickBot="1">
      <c r="D5" s="794">
        <f t="shared" ref="D5:I5" si="4">D3+D4</f>
        <v>770377</v>
      </c>
      <c r="E5" s="794">
        <f t="shared" si="4"/>
        <v>775435</v>
      </c>
      <c r="F5" s="794">
        <f t="shared" si="4"/>
        <v>779285</v>
      </c>
      <c r="G5" s="794">
        <f t="shared" si="4"/>
        <v>782338</v>
      </c>
      <c r="H5" s="794">
        <f t="shared" si="4"/>
        <v>780000</v>
      </c>
      <c r="I5" s="794">
        <f t="shared" si="4"/>
        <v>763115</v>
      </c>
      <c r="J5" s="794">
        <f t="shared" ref="J5:O5" si="5">J3+J4</f>
        <v>756550</v>
      </c>
      <c r="K5" s="794">
        <f t="shared" si="5"/>
        <v>770193</v>
      </c>
      <c r="L5" s="794">
        <f t="shared" si="5"/>
        <v>774552</v>
      </c>
      <c r="M5" s="794">
        <f t="shared" si="5"/>
        <v>770305</v>
      </c>
      <c r="N5" s="794">
        <f t="shared" si="5"/>
        <v>791637</v>
      </c>
      <c r="O5" s="794">
        <f t="shared" si="5"/>
        <v>790982</v>
      </c>
    </row>
    <row r="6" spans="1:17">
      <c r="D6" s="795"/>
      <c r="E6" s="795"/>
      <c r="F6" s="795"/>
      <c r="G6" s="795"/>
      <c r="H6" s="795"/>
      <c r="I6" s="795"/>
      <c r="J6" s="795"/>
      <c r="K6" s="795"/>
      <c r="L6" s="795"/>
      <c r="M6" s="795"/>
      <c r="N6" s="795"/>
      <c r="O6" s="795"/>
    </row>
    <row r="7" spans="1:17">
      <c r="A7" s="791" t="s">
        <v>2525</v>
      </c>
      <c r="C7" s="791"/>
      <c r="D7" s="793">
        <f t="shared" ref="D7:I7" si="6">D90</f>
        <v>96862</v>
      </c>
      <c r="E7" s="793">
        <f t="shared" si="6"/>
        <v>97127</v>
      </c>
      <c r="F7" s="793">
        <f t="shared" si="6"/>
        <v>97440</v>
      </c>
      <c r="G7" s="793">
        <f t="shared" si="6"/>
        <v>98057</v>
      </c>
      <c r="H7" s="793">
        <f t="shared" si="6"/>
        <v>98440</v>
      </c>
      <c r="I7" s="793">
        <f t="shared" si="6"/>
        <v>97788</v>
      </c>
      <c r="J7" s="793">
        <f t="shared" ref="J7:O7" si="7">J90</f>
        <v>90840</v>
      </c>
      <c r="K7" s="793">
        <f t="shared" si="7"/>
        <v>94183</v>
      </c>
      <c r="L7" s="793">
        <f t="shared" si="7"/>
        <v>97199</v>
      </c>
      <c r="M7" s="793">
        <f t="shared" si="7"/>
        <v>97140</v>
      </c>
      <c r="N7" s="793">
        <f t="shared" si="7"/>
        <v>99535</v>
      </c>
      <c r="O7" s="793">
        <f t="shared" si="7"/>
        <v>99673</v>
      </c>
      <c r="Q7" s="796"/>
    </row>
    <row r="8" spans="1:17">
      <c r="A8" s="791" t="s">
        <v>2526</v>
      </c>
      <c r="C8" s="791"/>
      <c r="D8" s="793">
        <f t="shared" ref="D8:I8" si="8">D127</f>
        <v>58843</v>
      </c>
      <c r="E8" s="793">
        <f t="shared" si="8"/>
        <v>57694</v>
      </c>
      <c r="F8" s="793">
        <f t="shared" si="8"/>
        <v>57137</v>
      </c>
      <c r="G8" s="793">
        <f t="shared" si="8"/>
        <v>57353</v>
      </c>
      <c r="H8" s="793">
        <f t="shared" si="8"/>
        <v>57501</v>
      </c>
      <c r="I8" s="793">
        <f t="shared" si="8"/>
        <v>56877</v>
      </c>
      <c r="J8" s="793">
        <f t="shared" ref="J8:O8" si="9">J127</f>
        <v>56533</v>
      </c>
      <c r="K8" s="793">
        <f t="shared" si="9"/>
        <v>58312</v>
      </c>
      <c r="L8" s="793">
        <f t="shared" si="9"/>
        <v>58315</v>
      </c>
      <c r="M8" s="793">
        <f t="shared" si="9"/>
        <v>57418</v>
      </c>
      <c r="N8" s="793">
        <f t="shared" si="9"/>
        <v>59765</v>
      </c>
      <c r="O8" s="793">
        <f t="shared" si="9"/>
        <v>59303</v>
      </c>
      <c r="Q8" s="796"/>
    </row>
    <row r="9" spans="1:17">
      <c r="A9" s="791" t="s">
        <v>2527</v>
      </c>
      <c r="C9" s="791"/>
      <c r="D9" s="793">
        <f t="shared" ref="D9:I9" si="10">D154</f>
        <v>80031</v>
      </c>
      <c r="E9" s="793">
        <f t="shared" si="10"/>
        <v>80945</v>
      </c>
      <c r="F9" s="793">
        <f t="shared" si="10"/>
        <v>80718</v>
      </c>
      <c r="G9" s="793">
        <f t="shared" si="10"/>
        <v>81633</v>
      </c>
      <c r="H9" s="793">
        <f t="shared" si="10"/>
        <v>80351</v>
      </c>
      <c r="I9" s="793">
        <f t="shared" si="10"/>
        <v>77709</v>
      </c>
      <c r="J9" s="793">
        <f t="shared" ref="J9:O9" si="11">J154</f>
        <v>79028</v>
      </c>
      <c r="K9" s="793">
        <f t="shared" si="11"/>
        <v>79656</v>
      </c>
      <c r="L9" s="793">
        <f t="shared" si="11"/>
        <v>78758</v>
      </c>
      <c r="M9" s="793">
        <f t="shared" si="11"/>
        <v>77176</v>
      </c>
      <c r="N9" s="793">
        <f t="shared" si="11"/>
        <v>78420</v>
      </c>
      <c r="O9" s="793">
        <f t="shared" si="11"/>
        <v>78471</v>
      </c>
      <c r="Q9" s="796"/>
    </row>
    <row r="10" spans="1:17">
      <c r="A10" s="791" t="s">
        <v>2528</v>
      </c>
      <c r="C10" s="791"/>
      <c r="D10" s="793">
        <f t="shared" ref="D10:I10" si="12">D183</f>
        <v>57679</v>
      </c>
      <c r="E10" s="793">
        <f t="shared" si="12"/>
        <v>57433</v>
      </c>
      <c r="F10" s="793">
        <f t="shared" si="12"/>
        <v>57557</v>
      </c>
      <c r="G10" s="793">
        <f t="shared" si="12"/>
        <v>57719</v>
      </c>
      <c r="H10" s="793">
        <f t="shared" si="12"/>
        <v>57220</v>
      </c>
      <c r="I10" s="793">
        <f t="shared" si="12"/>
        <v>56360</v>
      </c>
      <c r="J10" s="793">
        <f t="shared" ref="J10:O10" si="13">J183</f>
        <v>54902</v>
      </c>
      <c r="K10" s="793">
        <f t="shared" si="13"/>
        <v>56655</v>
      </c>
      <c r="L10" s="793">
        <f t="shared" si="13"/>
        <v>57137</v>
      </c>
      <c r="M10" s="793">
        <f t="shared" si="13"/>
        <v>56993</v>
      </c>
      <c r="N10" s="793">
        <f t="shared" si="13"/>
        <v>57861</v>
      </c>
      <c r="O10" s="793">
        <f t="shared" si="13"/>
        <v>57754</v>
      </c>
      <c r="Q10" s="796"/>
    </row>
    <row r="11" spans="1:17">
      <c r="A11" s="791" t="s">
        <v>3964</v>
      </c>
      <c r="C11" s="791"/>
      <c r="D11" s="793">
        <f t="shared" ref="D11:I11" si="14">D217</f>
        <v>83767</v>
      </c>
      <c r="E11" s="793">
        <f t="shared" si="14"/>
        <v>84310</v>
      </c>
      <c r="F11" s="793">
        <f t="shared" si="14"/>
        <v>85279</v>
      </c>
      <c r="G11" s="793">
        <f t="shared" si="14"/>
        <v>85634</v>
      </c>
      <c r="H11" s="793">
        <f t="shared" si="14"/>
        <v>85283</v>
      </c>
      <c r="I11" s="793">
        <f t="shared" si="14"/>
        <v>85237</v>
      </c>
      <c r="J11" s="793">
        <f t="shared" ref="J11:O11" si="15">J217</f>
        <v>84625</v>
      </c>
      <c r="K11" s="793">
        <f t="shared" si="15"/>
        <v>86017</v>
      </c>
      <c r="L11" s="793">
        <f t="shared" si="15"/>
        <v>85564</v>
      </c>
      <c r="M11" s="793">
        <f t="shared" si="15"/>
        <v>85799</v>
      </c>
      <c r="N11" s="793">
        <f t="shared" si="15"/>
        <v>85924</v>
      </c>
      <c r="O11" s="793">
        <f t="shared" si="15"/>
        <v>86361</v>
      </c>
      <c r="Q11" s="796"/>
    </row>
    <row r="12" spans="1:17">
      <c r="A12" s="791" t="s">
        <v>3965</v>
      </c>
      <c r="C12" s="791"/>
      <c r="D12" s="793">
        <f t="shared" ref="D12:I12" si="16">D246</f>
        <v>71685</v>
      </c>
      <c r="E12" s="793">
        <f t="shared" si="16"/>
        <v>72178</v>
      </c>
      <c r="F12" s="793">
        <f t="shared" si="16"/>
        <v>72211</v>
      </c>
      <c r="G12" s="793">
        <f t="shared" si="16"/>
        <v>72226</v>
      </c>
      <c r="H12" s="793">
        <f t="shared" si="16"/>
        <v>72226</v>
      </c>
      <c r="I12" s="793">
        <f t="shared" si="16"/>
        <v>71263</v>
      </c>
      <c r="J12" s="793">
        <f t="shared" ref="J12:O12" si="17">J246</f>
        <v>71130</v>
      </c>
      <c r="K12" s="793">
        <f t="shared" si="17"/>
        <v>72415</v>
      </c>
      <c r="L12" s="793">
        <f t="shared" si="17"/>
        <v>71880</v>
      </c>
      <c r="M12" s="793">
        <f t="shared" si="17"/>
        <v>72126</v>
      </c>
      <c r="N12" s="793">
        <f t="shared" si="17"/>
        <v>74265</v>
      </c>
      <c r="O12" s="793">
        <f t="shared" si="17"/>
        <v>73960</v>
      </c>
      <c r="Q12" s="796"/>
    </row>
    <row r="13" spans="1:17">
      <c r="A13" s="791" t="s">
        <v>3966</v>
      </c>
      <c r="C13" s="791"/>
      <c r="D13" s="793">
        <f t="shared" ref="D13:I13" si="18">D283</f>
        <v>78010</v>
      </c>
      <c r="E13" s="793">
        <f t="shared" si="18"/>
        <v>78763</v>
      </c>
      <c r="F13" s="793">
        <f t="shared" si="18"/>
        <v>79146</v>
      </c>
      <c r="G13" s="793">
        <f t="shared" si="18"/>
        <v>79419</v>
      </c>
      <c r="H13" s="793">
        <f t="shared" si="18"/>
        <v>79712</v>
      </c>
      <c r="I13" s="793">
        <f t="shared" si="18"/>
        <v>77640</v>
      </c>
      <c r="J13" s="793">
        <f t="shared" ref="J13:O13" si="19">J283</f>
        <v>77256</v>
      </c>
      <c r="K13" s="793">
        <f t="shared" si="19"/>
        <v>78439</v>
      </c>
      <c r="L13" s="793">
        <f t="shared" si="19"/>
        <v>78466</v>
      </c>
      <c r="M13" s="793">
        <f t="shared" si="19"/>
        <v>78091</v>
      </c>
      <c r="N13" s="793">
        <f t="shared" si="19"/>
        <v>79594</v>
      </c>
      <c r="O13" s="793">
        <f t="shared" si="19"/>
        <v>79972</v>
      </c>
      <c r="Q13" s="796"/>
    </row>
    <row r="14" spans="1:17">
      <c r="A14" s="791" t="s">
        <v>3967</v>
      </c>
      <c r="C14" s="791"/>
      <c r="D14" s="793">
        <f t="shared" ref="D14:I14" si="20">D321</f>
        <v>70443</v>
      </c>
      <c r="E14" s="793">
        <f t="shared" si="20"/>
        <v>71326</v>
      </c>
      <c r="F14" s="793">
        <f t="shared" si="20"/>
        <v>72354</v>
      </c>
      <c r="G14" s="793">
        <f t="shared" si="20"/>
        <v>73346</v>
      </c>
      <c r="H14" s="793">
        <f t="shared" si="20"/>
        <v>74205</v>
      </c>
      <c r="I14" s="793">
        <f t="shared" si="20"/>
        <v>72972</v>
      </c>
      <c r="J14" s="793">
        <f t="shared" ref="J14:O14" si="21">J321</f>
        <v>71577</v>
      </c>
      <c r="K14" s="793">
        <f t="shared" si="21"/>
        <v>75362</v>
      </c>
      <c r="L14" s="793">
        <f t="shared" si="21"/>
        <v>78689</v>
      </c>
      <c r="M14" s="793">
        <f t="shared" si="21"/>
        <v>76831</v>
      </c>
      <c r="N14" s="793">
        <f t="shared" si="21"/>
        <v>79941</v>
      </c>
      <c r="O14" s="793">
        <f t="shared" si="21"/>
        <v>80515</v>
      </c>
      <c r="Q14" s="796"/>
    </row>
    <row r="16" spans="1:17">
      <c r="A16" s="791" t="s">
        <v>3968</v>
      </c>
      <c r="D16" s="793">
        <f t="shared" ref="D16:I16" si="22">D3/8</f>
        <v>74665</v>
      </c>
      <c r="E16" s="793">
        <f t="shared" si="22"/>
        <v>74972</v>
      </c>
      <c r="F16" s="793">
        <f t="shared" si="22"/>
        <v>75230.25</v>
      </c>
      <c r="G16" s="793">
        <f t="shared" si="22"/>
        <v>75673.375</v>
      </c>
      <c r="H16" s="793">
        <f t="shared" si="22"/>
        <v>75617.25</v>
      </c>
      <c r="I16" s="793">
        <f t="shared" si="22"/>
        <v>74480.75</v>
      </c>
      <c r="J16" s="793">
        <f t="shared" ref="J16:O16" si="23">J3/8</f>
        <v>73236.375</v>
      </c>
      <c r="K16" s="793">
        <f t="shared" si="23"/>
        <v>75129.875</v>
      </c>
      <c r="L16" s="793">
        <f t="shared" si="23"/>
        <v>75751</v>
      </c>
      <c r="M16" s="793">
        <f t="shared" si="23"/>
        <v>75196.75</v>
      </c>
      <c r="N16" s="793">
        <f t="shared" si="23"/>
        <v>76913.125</v>
      </c>
      <c r="O16" s="793">
        <f t="shared" si="23"/>
        <v>77001.125</v>
      </c>
    </row>
    <row r="17" spans="1:17">
      <c r="A17" s="791" t="s">
        <v>3969</v>
      </c>
      <c r="D17" s="793">
        <f t="shared" ref="D17:I17" si="24">D4/2</f>
        <v>86528.5</v>
      </c>
      <c r="E17" s="793">
        <f t="shared" si="24"/>
        <v>87829.5</v>
      </c>
      <c r="F17" s="793">
        <f t="shared" si="24"/>
        <v>88721.5</v>
      </c>
      <c r="G17" s="793">
        <f t="shared" si="24"/>
        <v>88475.5</v>
      </c>
      <c r="H17" s="793">
        <f t="shared" si="24"/>
        <v>87531</v>
      </c>
      <c r="I17" s="793">
        <f t="shared" si="24"/>
        <v>83634.5</v>
      </c>
      <c r="J17" s="793">
        <f t="shared" ref="J17:O17" si="25">J4/2</f>
        <v>85329.5</v>
      </c>
      <c r="K17" s="793">
        <f t="shared" si="25"/>
        <v>84577</v>
      </c>
      <c r="L17" s="793">
        <f t="shared" si="25"/>
        <v>84272</v>
      </c>
      <c r="M17" s="793">
        <f t="shared" si="25"/>
        <v>84365.5</v>
      </c>
      <c r="N17" s="793">
        <f t="shared" si="25"/>
        <v>88166</v>
      </c>
      <c r="O17" s="793">
        <f t="shared" si="25"/>
        <v>87486.5</v>
      </c>
    </row>
    <row r="18" spans="1:17">
      <c r="A18" s="791" t="s">
        <v>3064</v>
      </c>
      <c r="D18" s="793">
        <f t="shared" ref="D18:I18" si="26">D5/10</f>
        <v>77037.7</v>
      </c>
      <c r="E18" s="793">
        <f t="shared" si="26"/>
        <v>77543.5</v>
      </c>
      <c r="F18" s="793">
        <f t="shared" si="26"/>
        <v>77928.5</v>
      </c>
      <c r="G18" s="793">
        <f t="shared" si="26"/>
        <v>78233.8</v>
      </c>
      <c r="H18" s="793">
        <f t="shared" si="26"/>
        <v>78000</v>
      </c>
      <c r="I18" s="793">
        <f t="shared" si="26"/>
        <v>76311.5</v>
      </c>
      <c r="J18" s="793">
        <f t="shared" ref="J18:O18" si="27">J5/10</f>
        <v>75655</v>
      </c>
      <c r="K18" s="793">
        <f t="shared" si="27"/>
        <v>77019.3</v>
      </c>
      <c r="L18" s="793">
        <f t="shared" si="27"/>
        <v>77455.199999999997</v>
      </c>
      <c r="M18" s="793">
        <f t="shared" si="27"/>
        <v>77030.5</v>
      </c>
      <c r="N18" s="793">
        <f t="shared" si="27"/>
        <v>79163.7</v>
      </c>
      <c r="O18" s="793">
        <f t="shared" si="27"/>
        <v>79098.2</v>
      </c>
    </row>
    <row r="19" spans="1:17">
      <c r="A19" s="791"/>
      <c r="D19" s="797"/>
      <c r="E19" s="797"/>
      <c r="F19" s="797"/>
      <c r="G19" s="797"/>
      <c r="H19" s="797"/>
      <c r="I19" s="797"/>
      <c r="J19" s="797"/>
      <c r="K19" s="797"/>
      <c r="L19" s="797"/>
      <c r="M19" s="797"/>
      <c r="N19" s="797"/>
      <c r="O19" s="797"/>
    </row>
    <row r="20" spans="1:17">
      <c r="A20" s="791" t="s">
        <v>2490</v>
      </c>
      <c r="D20" s="793">
        <f t="shared" ref="D20:I20" si="28">D117</f>
        <v>69385</v>
      </c>
      <c r="E20" s="793">
        <f t="shared" si="28"/>
        <v>69538</v>
      </c>
      <c r="F20" s="793">
        <f t="shared" si="28"/>
        <v>69590</v>
      </c>
      <c r="G20" s="793">
        <f t="shared" si="28"/>
        <v>69955</v>
      </c>
      <c r="H20" s="793">
        <f t="shared" si="28"/>
        <v>70231</v>
      </c>
      <c r="I20" s="793">
        <f t="shared" si="28"/>
        <v>69532</v>
      </c>
      <c r="J20" s="793">
        <f t="shared" ref="J20:O20" si="29">J117</f>
        <v>64454</v>
      </c>
      <c r="K20" s="793">
        <f t="shared" si="29"/>
        <v>66639</v>
      </c>
      <c r="L20" s="793">
        <f t="shared" si="29"/>
        <v>68716</v>
      </c>
      <c r="M20" s="793">
        <f t="shared" si="29"/>
        <v>68717</v>
      </c>
      <c r="N20" s="793">
        <f t="shared" si="29"/>
        <v>70433</v>
      </c>
      <c r="O20" s="793">
        <f t="shared" si="29"/>
        <v>70556</v>
      </c>
      <c r="Q20" s="791" t="s">
        <v>2491</v>
      </c>
    </row>
    <row r="21" spans="1:17">
      <c r="D21" s="795"/>
      <c r="E21" s="795"/>
      <c r="F21" s="795"/>
      <c r="G21" s="795"/>
      <c r="H21" s="795"/>
      <c r="I21" s="795"/>
      <c r="J21" s="795"/>
      <c r="K21" s="795"/>
      <c r="L21" s="795"/>
      <c r="M21" s="795"/>
      <c r="N21" s="795"/>
      <c r="O21" s="795"/>
    </row>
    <row r="22" spans="1:17">
      <c r="A22" s="791" t="s">
        <v>2492</v>
      </c>
      <c r="D22" s="793">
        <f t="shared" ref="D22:I22" si="30">D146</f>
        <v>58843</v>
      </c>
      <c r="E22" s="793">
        <f t="shared" si="30"/>
        <v>57694</v>
      </c>
      <c r="F22" s="793">
        <f t="shared" si="30"/>
        <v>57137</v>
      </c>
      <c r="G22" s="793">
        <f t="shared" si="30"/>
        <v>57353</v>
      </c>
      <c r="H22" s="793">
        <f t="shared" si="30"/>
        <v>57501</v>
      </c>
      <c r="I22" s="793">
        <f t="shared" si="30"/>
        <v>56877</v>
      </c>
      <c r="J22" s="793">
        <f t="shared" ref="J22:O22" si="31">J146</f>
        <v>56533</v>
      </c>
      <c r="K22" s="793">
        <f t="shared" si="31"/>
        <v>58312</v>
      </c>
      <c r="L22" s="793">
        <f t="shared" si="31"/>
        <v>58315</v>
      </c>
      <c r="M22" s="793">
        <f t="shared" si="31"/>
        <v>57418</v>
      </c>
      <c r="N22" s="793">
        <f t="shared" si="31"/>
        <v>59765</v>
      </c>
      <c r="O22" s="793">
        <f t="shared" si="31"/>
        <v>59303</v>
      </c>
      <c r="Q22" s="791" t="s">
        <v>2341</v>
      </c>
    </row>
    <row r="23" spans="1:17" ht="15.75" thickBot="1">
      <c r="D23" s="794">
        <f t="shared" ref="D23:I23" si="32">D313</f>
        <v>14327</v>
      </c>
      <c r="E23" s="794">
        <f t="shared" si="32"/>
        <v>14468</v>
      </c>
      <c r="F23" s="794">
        <f t="shared" si="32"/>
        <v>14522</v>
      </c>
      <c r="G23" s="794">
        <f t="shared" si="32"/>
        <v>14639</v>
      </c>
      <c r="H23" s="794">
        <f t="shared" si="32"/>
        <v>14783</v>
      </c>
      <c r="I23" s="794">
        <f t="shared" si="32"/>
        <v>14363</v>
      </c>
      <c r="J23" s="794">
        <f t="shared" ref="J23:O23" si="33">J313</f>
        <v>14347</v>
      </c>
      <c r="K23" s="794">
        <f t="shared" si="33"/>
        <v>14647</v>
      </c>
      <c r="L23" s="794">
        <f t="shared" si="33"/>
        <v>14719</v>
      </c>
      <c r="M23" s="794">
        <f t="shared" si="33"/>
        <v>14787</v>
      </c>
      <c r="N23" s="794">
        <f t="shared" si="33"/>
        <v>15141</v>
      </c>
      <c r="O23" s="794">
        <f t="shared" si="33"/>
        <v>15245</v>
      </c>
      <c r="Q23" s="791" t="s">
        <v>2493</v>
      </c>
    </row>
    <row r="24" spans="1:17" ht="15.75" thickBot="1">
      <c r="D24" s="794">
        <f t="shared" ref="D24:I24" si="34">SUM(D22:D23)</f>
        <v>73170</v>
      </c>
      <c r="E24" s="794">
        <f t="shared" si="34"/>
        <v>72162</v>
      </c>
      <c r="F24" s="794">
        <f t="shared" si="34"/>
        <v>71659</v>
      </c>
      <c r="G24" s="794">
        <f t="shared" si="34"/>
        <v>71992</v>
      </c>
      <c r="H24" s="794">
        <f t="shared" si="34"/>
        <v>72284</v>
      </c>
      <c r="I24" s="794">
        <f t="shared" si="34"/>
        <v>71240</v>
      </c>
      <c r="J24" s="794">
        <f t="shared" ref="J24:O24" si="35">SUM(J22:J23)</f>
        <v>70880</v>
      </c>
      <c r="K24" s="794">
        <f t="shared" si="35"/>
        <v>72959</v>
      </c>
      <c r="L24" s="794">
        <f t="shared" si="35"/>
        <v>73034</v>
      </c>
      <c r="M24" s="794">
        <f t="shared" si="35"/>
        <v>72205</v>
      </c>
      <c r="N24" s="794">
        <f t="shared" si="35"/>
        <v>74906</v>
      </c>
      <c r="O24" s="794">
        <f t="shared" si="35"/>
        <v>74548</v>
      </c>
    </row>
    <row r="25" spans="1:17">
      <c r="D25" s="795"/>
      <c r="E25" s="795"/>
      <c r="F25" s="795"/>
      <c r="G25" s="795"/>
      <c r="H25" s="795"/>
      <c r="I25" s="795"/>
      <c r="J25" s="795"/>
      <c r="K25" s="795"/>
      <c r="L25" s="795"/>
      <c r="M25" s="795"/>
      <c r="N25" s="795"/>
      <c r="O25" s="795"/>
    </row>
    <row r="26" spans="1:17">
      <c r="A26" s="791" t="s">
        <v>2494</v>
      </c>
      <c r="D26" s="793">
        <f t="shared" ref="D26:I26" si="36">D175</f>
        <v>72077</v>
      </c>
      <c r="E26" s="793">
        <f t="shared" si="36"/>
        <v>72866</v>
      </c>
      <c r="F26" s="793">
        <f t="shared" si="36"/>
        <v>72611</v>
      </c>
      <c r="G26" s="793">
        <f t="shared" si="36"/>
        <v>73542</v>
      </c>
      <c r="H26" s="793">
        <f t="shared" si="36"/>
        <v>72368</v>
      </c>
      <c r="I26" s="793">
        <f t="shared" si="36"/>
        <v>70046</v>
      </c>
      <c r="J26" s="793">
        <f t="shared" ref="J26:O26" si="37">J175</f>
        <v>71297</v>
      </c>
      <c r="K26" s="793">
        <f t="shared" si="37"/>
        <v>71818</v>
      </c>
      <c r="L26" s="793">
        <f t="shared" si="37"/>
        <v>70942</v>
      </c>
      <c r="M26" s="793">
        <f t="shared" si="37"/>
        <v>69531</v>
      </c>
      <c r="N26" s="793">
        <f t="shared" si="37"/>
        <v>70681</v>
      </c>
      <c r="O26" s="793">
        <f t="shared" si="37"/>
        <v>70722</v>
      </c>
      <c r="Q26" s="791" t="s">
        <v>2495</v>
      </c>
    </row>
    <row r="27" spans="1:17">
      <c r="D27" s="795"/>
      <c r="E27" s="795"/>
      <c r="F27" s="795"/>
      <c r="G27" s="795"/>
      <c r="H27" s="795"/>
      <c r="I27" s="795"/>
      <c r="J27" s="795"/>
      <c r="K27" s="795"/>
      <c r="L27" s="795"/>
      <c r="M27" s="795"/>
      <c r="N27" s="795"/>
      <c r="O27" s="795"/>
    </row>
    <row r="28" spans="1:17">
      <c r="A28" s="791" t="s">
        <v>2496</v>
      </c>
      <c r="D28" s="793">
        <f t="shared" ref="D28:I28" si="38">D118</f>
        <v>6293</v>
      </c>
      <c r="E28" s="793">
        <f t="shared" si="38"/>
        <v>6299</v>
      </c>
      <c r="F28" s="793">
        <f t="shared" si="38"/>
        <v>6347</v>
      </c>
      <c r="G28" s="793">
        <f t="shared" si="38"/>
        <v>6386</v>
      </c>
      <c r="H28" s="793">
        <f t="shared" si="38"/>
        <v>6397</v>
      </c>
      <c r="I28" s="793">
        <f t="shared" si="38"/>
        <v>6419</v>
      </c>
      <c r="J28" s="793">
        <f t="shared" ref="J28:O28" si="39">J118</f>
        <v>6007</v>
      </c>
      <c r="K28" s="793">
        <f t="shared" si="39"/>
        <v>6450</v>
      </c>
      <c r="L28" s="793">
        <f t="shared" si="39"/>
        <v>6835</v>
      </c>
      <c r="M28" s="793">
        <f t="shared" si="39"/>
        <v>7042</v>
      </c>
      <c r="N28" s="793">
        <f t="shared" si="39"/>
        <v>7478</v>
      </c>
      <c r="O28" s="793">
        <f t="shared" si="39"/>
        <v>7486</v>
      </c>
      <c r="Q28" s="791" t="s">
        <v>2491</v>
      </c>
    </row>
    <row r="29" spans="1:17" ht="15.75" thickBot="1">
      <c r="D29" s="794">
        <f t="shared" ref="D29:I29" si="40">D210</f>
        <v>57679</v>
      </c>
      <c r="E29" s="794">
        <f t="shared" si="40"/>
        <v>57433</v>
      </c>
      <c r="F29" s="794">
        <f t="shared" si="40"/>
        <v>57557</v>
      </c>
      <c r="G29" s="794">
        <f t="shared" si="40"/>
        <v>57719</v>
      </c>
      <c r="H29" s="794">
        <f t="shared" si="40"/>
        <v>57220</v>
      </c>
      <c r="I29" s="794">
        <f t="shared" si="40"/>
        <v>56360</v>
      </c>
      <c r="J29" s="794">
        <f t="shared" ref="J29:O29" si="41">J210</f>
        <v>54902</v>
      </c>
      <c r="K29" s="794">
        <f t="shared" si="41"/>
        <v>56655</v>
      </c>
      <c r="L29" s="794">
        <f t="shared" si="41"/>
        <v>57137</v>
      </c>
      <c r="M29" s="794">
        <f t="shared" si="41"/>
        <v>56993</v>
      </c>
      <c r="N29" s="794">
        <f t="shared" si="41"/>
        <v>57861</v>
      </c>
      <c r="O29" s="794">
        <f t="shared" si="41"/>
        <v>57754</v>
      </c>
      <c r="Q29" s="791" t="s">
        <v>2343</v>
      </c>
    </row>
    <row r="30" spans="1:17" ht="15.75" thickBot="1">
      <c r="D30" s="794">
        <f t="shared" ref="D30:I30" si="42">D28+D29</f>
        <v>63972</v>
      </c>
      <c r="E30" s="794">
        <f t="shared" si="42"/>
        <v>63732</v>
      </c>
      <c r="F30" s="794">
        <f t="shared" si="42"/>
        <v>63904</v>
      </c>
      <c r="G30" s="794">
        <f t="shared" si="42"/>
        <v>64105</v>
      </c>
      <c r="H30" s="794">
        <f t="shared" si="42"/>
        <v>63617</v>
      </c>
      <c r="I30" s="794">
        <f t="shared" si="42"/>
        <v>62779</v>
      </c>
      <c r="J30" s="794">
        <f t="shared" ref="J30:O30" si="43">J28+J29</f>
        <v>60909</v>
      </c>
      <c r="K30" s="794">
        <f t="shared" si="43"/>
        <v>63105</v>
      </c>
      <c r="L30" s="794">
        <f t="shared" si="43"/>
        <v>63972</v>
      </c>
      <c r="M30" s="794">
        <f t="shared" si="43"/>
        <v>64035</v>
      </c>
      <c r="N30" s="794">
        <f t="shared" si="43"/>
        <v>65339</v>
      </c>
      <c r="O30" s="794">
        <f t="shared" si="43"/>
        <v>65240</v>
      </c>
    </row>
    <row r="31" spans="1:17">
      <c r="D31" s="795"/>
      <c r="E31" s="795"/>
      <c r="F31" s="795"/>
      <c r="G31" s="795"/>
      <c r="H31" s="795"/>
      <c r="I31" s="795"/>
      <c r="J31" s="795"/>
      <c r="K31" s="795"/>
      <c r="L31" s="795"/>
      <c r="M31" s="795"/>
      <c r="N31" s="795"/>
      <c r="O31" s="795"/>
    </row>
    <row r="32" spans="1:17">
      <c r="A32" s="791" t="s">
        <v>2497</v>
      </c>
      <c r="D32" s="793">
        <f t="shared" ref="D32:I32" si="44">D81</f>
        <v>71370</v>
      </c>
      <c r="E32" s="793">
        <f t="shared" si="44"/>
        <v>72617</v>
      </c>
      <c r="F32" s="793">
        <f t="shared" si="44"/>
        <v>73662</v>
      </c>
      <c r="G32" s="793">
        <f t="shared" si="44"/>
        <v>72881</v>
      </c>
      <c r="H32" s="793">
        <f t="shared" si="44"/>
        <v>72234</v>
      </c>
      <c r="I32" s="793">
        <f t="shared" si="44"/>
        <v>68294</v>
      </c>
      <c r="J32" s="793">
        <f t="shared" ref="J32:O32" si="45">J81</f>
        <v>69670</v>
      </c>
      <c r="K32" s="793">
        <f t="shared" si="45"/>
        <v>68999</v>
      </c>
      <c r="L32" s="793">
        <f t="shared" si="45"/>
        <v>68526</v>
      </c>
      <c r="M32" s="793">
        <f t="shared" si="45"/>
        <v>68403</v>
      </c>
      <c r="N32" s="793">
        <f t="shared" si="45"/>
        <v>72192</v>
      </c>
      <c r="O32" s="793">
        <f t="shared" si="45"/>
        <v>71876</v>
      </c>
      <c r="Q32" s="791" t="s">
        <v>2498</v>
      </c>
    </row>
    <row r="33" spans="1:17">
      <c r="D33" s="795"/>
      <c r="E33" s="795"/>
      <c r="F33" s="795"/>
      <c r="G33" s="795"/>
      <c r="H33" s="795"/>
      <c r="I33" s="795"/>
      <c r="J33" s="795"/>
      <c r="K33" s="795"/>
      <c r="L33" s="795"/>
      <c r="M33" s="795"/>
      <c r="N33" s="795"/>
      <c r="O33" s="795"/>
    </row>
    <row r="34" spans="1:17">
      <c r="A34" s="791" t="s">
        <v>2499</v>
      </c>
      <c r="D34" s="793">
        <f t="shared" ref="D34:I34" si="46">D82</f>
        <v>71110</v>
      </c>
      <c r="E34" s="793">
        <f t="shared" si="46"/>
        <v>72048</v>
      </c>
      <c r="F34" s="793">
        <f t="shared" si="46"/>
        <v>72701</v>
      </c>
      <c r="G34" s="793">
        <f t="shared" si="46"/>
        <v>72854</v>
      </c>
      <c r="H34" s="793">
        <f t="shared" si="46"/>
        <v>71773</v>
      </c>
      <c r="I34" s="793">
        <f t="shared" si="46"/>
        <v>68358</v>
      </c>
      <c r="J34" s="793">
        <f t="shared" ref="J34:O34" si="47">J82</f>
        <v>69735</v>
      </c>
      <c r="K34" s="793">
        <f t="shared" si="47"/>
        <v>69300</v>
      </c>
      <c r="L34" s="793">
        <f t="shared" si="47"/>
        <v>69244</v>
      </c>
      <c r="M34" s="793">
        <f t="shared" si="47"/>
        <v>69620</v>
      </c>
      <c r="N34" s="793">
        <f t="shared" si="47"/>
        <v>72698</v>
      </c>
      <c r="O34" s="793">
        <f t="shared" si="47"/>
        <v>72067</v>
      </c>
      <c r="Q34" s="791" t="s">
        <v>2498</v>
      </c>
    </row>
    <row r="35" spans="1:17">
      <c r="D35" s="795"/>
      <c r="E35" s="795"/>
      <c r="F35" s="795"/>
      <c r="G35" s="795"/>
      <c r="H35" s="795"/>
      <c r="I35" s="795"/>
      <c r="J35" s="795"/>
      <c r="K35" s="795"/>
      <c r="L35" s="795"/>
      <c r="M35" s="795"/>
      <c r="N35" s="795"/>
      <c r="O35" s="795"/>
    </row>
    <row r="36" spans="1:17">
      <c r="A36" s="791" t="s">
        <v>2500</v>
      </c>
      <c r="D36" s="793">
        <f t="shared" ref="D36:I36" si="48">D238</f>
        <v>69599</v>
      </c>
      <c r="E36" s="793">
        <f t="shared" si="48"/>
        <v>70022</v>
      </c>
      <c r="F36" s="793">
        <f t="shared" si="48"/>
        <v>70899</v>
      </c>
      <c r="G36" s="793">
        <f t="shared" si="48"/>
        <v>71149</v>
      </c>
      <c r="H36" s="793">
        <f t="shared" si="48"/>
        <v>70792</v>
      </c>
      <c r="I36" s="793">
        <f t="shared" si="48"/>
        <v>70836</v>
      </c>
      <c r="J36" s="793">
        <f t="shared" ref="J36:O36" si="49">J238</f>
        <v>70299</v>
      </c>
      <c r="K36" s="793">
        <f t="shared" si="49"/>
        <v>71476</v>
      </c>
      <c r="L36" s="793">
        <f t="shared" si="49"/>
        <v>71029</v>
      </c>
      <c r="M36" s="793">
        <f t="shared" si="49"/>
        <v>71333</v>
      </c>
      <c r="N36" s="793">
        <f t="shared" si="49"/>
        <v>71526</v>
      </c>
      <c r="O36" s="793">
        <f t="shared" si="49"/>
        <v>71986</v>
      </c>
      <c r="Q36" s="791" t="s">
        <v>2501</v>
      </c>
    </row>
    <row r="37" spans="1:17">
      <c r="D37" s="795"/>
      <c r="E37" s="795"/>
      <c r="F37" s="795"/>
      <c r="G37" s="795"/>
      <c r="H37" s="795"/>
      <c r="I37" s="795"/>
      <c r="J37" s="795"/>
      <c r="K37" s="795"/>
      <c r="L37" s="795"/>
      <c r="M37" s="795"/>
      <c r="N37" s="795"/>
      <c r="O37" s="795"/>
    </row>
    <row r="38" spans="1:17">
      <c r="A38" s="791" t="s">
        <v>2502</v>
      </c>
      <c r="D38" s="798">
        <f t="shared" ref="D38:I38" si="50">D276</f>
        <v>71685</v>
      </c>
      <c r="E38" s="798">
        <f t="shared" si="50"/>
        <v>72178</v>
      </c>
      <c r="F38" s="798">
        <f t="shared" si="50"/>
        <v>72211</v>
      </c>
      <c r="G38" s="798">
        <f t="shared" si="50"/>
        <v>72226</v>
      </c>
      <c r="H38" s="798">
        <f t="shared" si="50"/>
        <v>72226</v>
      </c>
      <c r="I38" s="798">
        <f t="shared" si="50"/>
        <v>71263</v>
      </c>
      <c r="J38" s="798">
        <f t="shared" ref="J38:O38" si="51">J276</f>
        <v>71130</v>
      </c>
      <c r="K38" s="798">
        <f t="shared" si="51"/>
        <v>72415</v>
      </c>
      <c r="L38" s="798">
        <f t="shared" si="51"/>
        <v>71880</v>
      </c>
      <c r="M38" s="798">
        <f t="shared" si="51"/>
        <v>72126</v>
      </c>
      <c r="N38" s="798">
        <f t="shared" si="51"/>
        <v>74265</v>
      </c>
      <c r="O38" s="798">
        <f t="shared" si="51"/>
        <v>73960</v>
      </c>
      <c r="Q38" s="791" t="s">
        <v>2345</v>
      </c>
    </row>
    <row r="39" spans="1:17">
      <c r="D39" s="795"/>
      <c r="E39" s="795"/>
      <c r="F39" s="795"/>
      <c r="G39" s="795"/>
      <c r="H39" s="795"/>
      <c r="I39" s="795"/>
      <c r="J39" s="795"/>
      <c r="K39" s="795"/>
      <c r="L39" s="795"/>
      <c r="M39" s="795"/>
      <c r="N39" s="795"/>
      <c r="O39" s="795"/>
    </row>
    <row r="40" spans="1:17">
      <c r="A40" s="163" t="s">
        <v>2503</v>
      </c>
      <c r="D40" s="793">
        <f t="shared" ref="D40:I40" si="52">D119</f>
        <v>21184</v>
      </c>
      <c r="E40" s="793">
        <f t="shared" si="52"/>
        <v>21290</v>
      </c>
      <c r="F40" s="793">
        <f t="shared" si="52"/>
        <v>21503</v>
      </c>
      <c r="G40" s="793">
        <f t="shared" si="52"/>
        <v>21716</v>
      </c>
      <c r="H40" s="793">
        <f t="shared" si="52"/>
        <v>21812</v>
      </c>
      <c r="I40" s="793">
        <f t="shared" si="52"/>
        <v>21837</v>
      </c>
      <c r="J40" s="793">
        <f t="shared" ref="J40:O40" si="53">J119</f>
        <v>20379</v>
      </c>
      <c r="K40" s="793">
        <f t="shared" si="53"/>
        <v>21094</v>
      </c>
      <c r="L40" s="793">
        <f t="shared" si="53"/>
        <v>21648</v>
      </c>
      <c r="M40" s="793">
        <f t="shared" si="53"/>
        <v>21381</v>
      </c>
      <c r="N40" s="793">
        <f t="shared" si="53"/>
        <v>21624</v>
      </c>
      <c r="O40" s="793">
        <f t="shared" si="53"/>
        <v>21631</v>
      </c>
      <c r="Q40" s="791" t="s">
        <v>2491</v>
      </c>
    </row>
    <row r="41" spans="1:17">
      <c r="D41" s="795">
        <f t="shared" ref="D41:I41" si="54">D83</f>
        <v>30577</v>
      </c>
      <c r="E41" s="795">
        <f t="shared" si="54"/>
        <v>30994</v>
      </c>
      <c r="F41" s="795">
        <f t="shared" si="54"/>
        <v>31080</v>
      </c>
      <c r="G41" s="795">
        <f t="shared" si="54"/>
        <v>31216</v>
      </c>
      <c r="H41" s="795">
        <f t="shared" si="54"/>
        <v>31055</v>
      </c>
      <c r="I41" s="795">
        <f t="shared" si="54"/>
        <v>30617</v>
      </c>
      <c r="J41" s="795">
        <f t="shared" ref="J41:O41" si="55">J83</f>
        <v>31254</v>
      </c>
      <c r="K41" s="795">
        <f t="shared" si="55"/>
        <v>30855</v>
      </c>
      <c r="L41" s="795">
        <f t="shared" si="55"/>
        <v>30774</v>
      </c>
      <c r="M41" s="795">
        <f t="shared" si="55"/>
        <v>30708</v>
      </c>
      <c r="N41" s="795">
        <f t="shared" si="55"/>
        <v>31442</v>
      </c>
      <c r="O41" s="795">
        <f t="shared" si="55"/>
        <v>31030</v>
      </c>
      <c r="Q41" s="163" t="s">
        <v>2498</v>
      </c>
    </row>
    <row r="42" spans="1:17" ht="15.75" thickBot="1">
      <c r="D42" s="794">
        <f t="shared" ref="D42:I42" si="56">D239</f>
        <v>14168</v>
      </c>
      <c r="E42" s="794">
        <f t="shared" si="56"/>
        <v>14288</v>
      </c>
      <c r="F42" s="794">
        <f t="shared" si="56"/>
        <v>14380</v>
      </c>
      <c r="G42" s="794">
        <f t="shared" si="56"/>
        <v>14485</v>
      </c>
      <c r="H42" s="794">
        <f t="shared" si="56"/>
        <v>14491</v>
      </c>
      <c r="I42" s="794">
        <f t="shared" si="56"/>
        <v>14401</v>
      </c>
      <c r="J42" s="794">
        <f t="shared" ref="J42:O42" si="57">J239</f>
        <v>14326</v>
      </c>
      <c r="K42" s="794">
        <f t="shared" si="57"/>
        <v>14541</v>
      </c>
      <c r="L42" s="794">
        <f t="shared" si="57"/>
        <v>14535</v>
      </c>
      <c r="M42" s="794">
        <f t="shared" si="57"/>
        <v>14466</v>
      </c>
      <c r="N42" s="794">
        <f t="shared" si="57"/>
        <v>14398</v>
      </c>
      <c r="O42" s="794">
        <f t="shared" si="57"/>
        <v>14375</v>
      </c>
      <c r="Q42" s="791" t="s">
        <v>2501</v>
      </c>
    </row>
    <row r="43" spans="1:17" ht="15.75" thickBot="1">
      <c r="D43" s="799">
        <f t="shared" ref="D43:I43" si="58">SUM(D40:D42)</f>
        <v>65929</v>
      </c>
      <c r="E43" s="799">
        <f t="shared" si="58"/>
        <v>66572</v>
      </c>
      <c r="F43" s="799">
        <f t="shared" si="58"/>
        <v>66963</v>
      </c>
      <c r="G43" s="799">
        <f t="shared" si="58"/>
        <v>67417</v>
      </c>
      <c r="H43" s="799">
        <f t="shared" si="58"/>
        <v>67358</v>
      </c>
      <c r="I43" s="799">
        <f t="shared" si="58"/>
        <v>66855</v>
      </c>
      <c r="J43" s="799">
        <f t="shared" ref="J43:O43" si="59">SUM(J40:J42)</f>
        <v>65959</v>
      </c>
      <c r="K43" s="799">
        <f t="shared" si="59"/>
        <v>66490</v>
      </c>
      <c r="L43" s="799">
        <f t="shared" si="59"/>
        <v>66957</v>
      </c>
      <c r="M43" s="799">
        <f t="shared" si="59"/>
        <v>66555</v>
      </c>
      <c r="N43" s="799">
        <f t="shared" si="59"/>
        <v>67464</v>
      </c>
      <c r="O43" s="799">
        <f t="shared" si="59"/>
        <v>67036</v>
      </c>
      <c r="Q43" s="791"/>
    </row>
    <row r="44" spans="1:17">
      <c r="D44" s="795"/>
      <c r="E44" s="795"/>
      <c r="F44" s="795"/>
      <c r="G44" s="795"/>
      <c r="H44" s="795"/>
      <c r="I44" s="795"/>
      <c r="J44" s="795"/>
      <c r="K44" s="795"/>
      <c r="L44" s="795"/>
      <c r="M44" s="795"/>
      <c r="N44" s="795"/>
      <c r="O44" s="795"/>
    </row>
    <row r="45" spans="1:17">
      <c r="A45" s="791" t="s">
        <v>2504</v>
      </c>
      <c r="D45" s="793">
        <f t="shared" ref="D45:I45" si="60">D176</f>
        <v>7954</v>
      </c>
      <c r="E45" s="793">
        <f t="shared" si="60"/>
        <v>8079</v>
      </c>
      <c r="F45" s="793">
        <f t="shared" si="60"/>
        <v>8107</v>
      </c>
      <c r="G45" s="793">
        <f t="shared" si="60"/>
        <v>8091</v>
      </c>
      <c r="H45" s="793">
        <f t="shared" si="60"/>
        <v>7983</v>
      </c>
      <c r="I45" s="793">
        <f t="shared" si="60"/>
        <v>7663</v>
      </c>
      <c r="J45" s="793">
        <f t="shared" ref="J45:O45" si="61">J176</f>
        <v>7731</v>
      </c>
      <c r="K45" s="793">
        <f t="shared" si="61"/>
        <v>7838</v>
      </c>
      <c r="L45" s="793">
        <f t="shared" si="61"/>
        <v>7816</v>
      </c>
      <c r="M45" s="793">
        <f t="shared" si="61"/>
        <v>7645</v>
      </c>
      <c r="N45" s="793">
        <f t="shared" si="61"/>
        <v>7739</v>
      </c>
      <c r="O45" s="793">
        <f t="shared" si="61"/>
        <v>7749</v>
      </c>
      <c r="Q45" s="791" t="s">
        <v>2495</v>
      </c>
    </row>
    <row r="46" spans="1:17" ht="15.75" thickBot="1">
      <c r="D46" s="794">
        <f t="shared" ref="D46:I46" si="62">D314</f>
        <v>63683</v>
      </c>
      <c r="E46" s="794">
        <f t="shared" si="62"/>
        <v>64295</v>
      </c>
      <c r="F46" s="794">
        <f t="shared" si="62"/>
        <v>64624</v>
      </c>
      <c r="G46" s="794">
        <f t="shared" si="62"/>
        <v>64780</v>
      </c>
      <c r="H46" s="794">
        <f t="shared" si="62"/>
        <v>64929</v>
      </c>
      <c r="I46" s="794">
        <f t="shared" si="62"/>
        <v>63277</v>
      </c>
      <c r="J46" s="794">
        <f t="shared" ref="J46:O46" si="63">J314</f>
        <v>62909</v>
      </c>
      <c r="K46" s="794">
        <f t="shared" si="63"/>
        <v>63792</v>
      </c>
      <c r="L46" s="794">
        <f t="shared" si="63"/>
        <v>63747</v>
      </c>
      <c r="M46" s="794">
        <f t="shared" si="63"/>
        <v>63304</v>
      </c>
      <c r="N46" s="794">
        <f t="shared" si="63"/>
        <v>64453</v>
      </c>
      <c r="O46" s="794">
        <f t="shared" si="63"/>
        <v>64727</v>
      </c>
      <c r="Q46" s="791" t="s">
        <v>2493</v>
      </c>
    </row>
    <row r="47" spans="1:17" ht="15.75" thickBot="1">
      <c r="D47" s="794">
        <f t="shared" ref="D47:I47" si="64">D45+D46</f>
        <v>71637</v>
      </c>
      <c r="E47" s="794">
        <f t="shared" si="64"/>
        <v>72374</v>
      </c>
      <c r="F47" s="794">
        <f t="shared" si="64"/>
        <v>72731</v>
      </c>
      <c r="G47" s="794">
        <f t="shared" si="64"/>
        <v>72871</v>
      </c>
      <c r="H47" s="794">
        <f t="shared" si="64"/>
        <v>72912</v>
      </c>
      <c r="I47" s="794">
        <f t="shared" si="64"/>
        <v>70940</v>
      </c>
      <c r="J47" s="794">
        <f t="shared" ref="J47:O47" si="65">J45+J46</f>
        <v>70640</v>
      </c>
      <c r="K47" s="794">
        <f t="shared" si="65"/>
        <v>71630</v>
      </c>
      <c r="L47" s="794">
        <f t="shared" si="65"/>
        <v>71563</v>
      </c>
      <c r="M47" s="794">
        <f t="shared" si="65"/>
        <v>70949</v>
      </c>
      <c r="N47" s="794">
        <f t="shared" si="65"/>
        <v>72192</v>
      </c>
      <c r="O47" s="794">
        <f t="shared" si="65"/>
        <v>72476</v>
      </c>
    </row>
    <row r="48" spans="1:17">
      <c r="D48" s="795"/>
      <c r="E48" s="795"/>
      <c r="F48" s="795"/>
      <c r="G48" s="795"/>
      <c r="H48" s="795"/>
      <c r="I48" s="795"/>
      <c r="J48" s="795"/>
      <c r="K48" s="795"/>
      <c r="L48" s="795"/>
      <c r="M48" s="795"/>
      <c r="N48" s="795"/>
      <c r="O48" s="795"/>
    </row>
    <row r="49" spans="1:17">
      <c r="A49" s="791" t="s">
        <v>2505</v>
      </c>
      <c r="D49" s="798">
        <f t="shared" ref="D49:I49" si="66">D338</f>
        <v>70443</v>
      </c>
      <c r="E49" s="798">
        <f t="shared" si="66"/>
        <v>71326</v>
      </c>
      <c r="F49" s="798">
        <f t="shared" si="66"/>
        <v>72354</v>
      </c>
      <c r="G49" s="798">
        <f t="shared" si="66"/>
        <v>73346</v>
      </c>
      <c r="H49" s="798">
        <f t="shared" si="66"/>
        <v>74205</v>
      </c>
      <c r="I49" s="798">
        <f t="shared" si="66"/>
        <v>72972</v>
      </c>
      <c r="J49" s="798">
        <f t="shared" ref="J49:O49" si="67">J338</f>
        <v>71577</v>
      </c>
      <c r="K49" s="798">
        <f t="shared" si="67"/>
        <v>75362</v>
      </c>
      <c r="L49" s="798">
        <f t="shared" si="67"/>
        <v>78689</v>
      </c>
      <c r="M49" s="798">
        <f t="shared" si="67"/>
        <v>76831</v>
      </c>
      <c r="N49" s="798">
        <f t="shared" si="67"/>
        <v>79941</v>
      </c>
      <c r="O49" s="798">
        <f t="shared" si="67"/>
        <v>80515</v>
      </c>
      <c r="Q49" s="791" t="s">
        <v>2347</v>
      </c>
    </row>
    <row r="50" spans="1:17">
      <c r="D50" s="795"/>
      <c r="E50" s="795"/>
      <c r="F50" s="795"/>
      <c r="G50" s="795"/>
      <c r="H50" s="795"/>
      <c r="I50" s="795"/>
      <c r="J50" s="795"/>
      <c r="K50" s="795"/>
      <c r="L50" s="795"/>
      <c r="M50" s="795"/>
      <c r="N50" s="795"/>
      <c r="O50" s="795"/>
    </row>
    <row r="51" spans="1:17">
      <c r="A51" s="791" t="s">
        <v>6796</v>
      </c>
      <c r="D51" s="793">
        <f t="shared" ref="D51:I51" si="68">D20+D24+D26+D30+D32+D34+D36+D38+D43+D47+D49</f>
        <v>770377</v>
      </c>
      <c r="E51" s="793">
        <f t="shared" si="68"/>
        <v>775435</v>
      </c>
      <c r="F51" s="793">
        <f t="shared" si="68"/>
        <v>779285</v>
      </c>
      <c r="G51" s="793">
        <f t="shared" si="68"/>
        <v>782338</v>
      </c>
      <c r="H51" s="793">
        <f t="shared" si="68"/>
        <v>780000</v>
      </c>
      <c r="I51" s="793">
        <f t="shared" si="68"/>
        <v>763115</v>
      </c>
      <c r="J51" s="793">
        <f t="shared" ref="J51:O51" si="69">J20+J24+J26+J30+J32+J34+J36+J38+J43+J47+J49</f>
        <v>756550</v>
      </c>
      <c r="K51" s="793">
        <f t="shared" si="69"/>
        <v>770193</v>
      </c>
      <c r="L51" s="793">
        <f t="shared" si="69"/>
        <v>774552</v>
      </c>
      <c r="M51" s="793">
        <f t="shared" si="69"/>
        <v>770305</v>
      </c>
      <c r="N51" s="793">
        <f t="shared" si="69"/>
        <v>791637</v>
      </c>
      <c r="O51" s="793">
        <f t="shared" si="69"/>
        <v>790982</v>
      </c>
    </row>
    <row r="52" spans="1:17">
      <c r="D52" s="795"/>
      <c r="E52" s="795"/>
      <c r="F52" s="795"/>
      <c r="G52" s="795"/>
      <c r="H52" s="795"/>
      <c r="I52" s="795"/>
      <c r="J52" s="795"/>
      <c r="K52" s="795"/>
      <c r="L52" s="795"/>
      <c r="M52" s="795"/>
      <c r="N52" s="795"/>
      <c r="O52" s="795"/>
    </row>
    <row r="53" spans="1:17">
      <c r="A53" s="791" t="s">
        <v>6797</v>
      </c>
      <c r="D53" s="793">
        <f t="shared" ref="D53:I53" si="70">MAX(D20,D24,D26,D30,D32,D34,D36,D38,D43,D47,D49)-MIN(D20,D24,D26,D30,D32,D34,D36,D38,D43,D47,D49)</f>
        <v>9198</v>
      </c>
      <c r="E53" s="793">
        <f t="shared" si="70"/>
        <v>9134</v>
      </c>
      <c r="F53" s="793">
        <f t="shared" si="70"/>
        <v>9758</v>
      </c>
      <c r="G53" s="793">
        <f t="shared" si="70"/>
        <v>9437</v>
      </c>
      <c r="H53" s="793">
        <f t="shared" si="70"/>
        <v>10588</v>
      </c>
      <c r="I53" s="793">
        <f t="shared" si="70"/>
        <v>10193</v>
      </c>
      <c r="J53" s="793">
        <f t="shared" ref="J53:O53" si="71">MAX(J20,J24,J26,J30,J32,J34,J36,J38,J43,J47,J49)-MIN(J20,J24,J26,J30,J32,J34,J36,J38,J43,J47,J49)</f>
        <v>10668</v>
      </c>
      <c r="K53" s="793">
        <f t="shared" si="71"/>
        <v>12257</v>
      </c>
      <c r="L53" s="793">
        <f t="shared" si="71"/>
        <v>14717</v>
      </c>
      <c r="M53" s="793">
        <f t="shared" si="71"/>
        <v>12796</v>
      </c>
      <c r="N53" s="793">
        <f t="shared" si="71"/>
        <v>14602</v>
      </c>
      <c r="O53" s="793">
        <f t="shared" si="71"/>
        <v>15275</v>
      </c>
    </row>
    <row r="54" spans="1:17">
      <c r="D54" s="795"/>
      <c r="E54" s="795"/>
      <c r="F54" s="795"/>
      <c r="G54" s="795"/>
      <c r="H54" s="795"/>
      <c r="I54" s="795"/>
      <c r="J54" s="795"/>
      <c r="K54" s="795"/>
      <c r="L54" s="795"/>
      <c r="M54" s="795"/>
      <c r="N54" s="795"/>
      <c r="O54" s="795"/>
    </row>
    <row r="55" spans="1:17">
      <c r="A55" s="791" t="s">
        <v>6800</v>
      </c>
      <c r="D55" s="793">
        <f t="shared" ref="D55:I55" si="72">STDEVP(D20,D24,D26,D30,D32,D34,D36,D38,D43,D47,D49)</f>
        <v>2639.2664645833661</v>
      </c>
      <c r="E55" s="793">
        <f t="shared" si="72"/>
        <v>2773.8483426638836</v>
      </c>
      <c r="F55" s="793">
        <f t="shared" si="72"/>
        <v>2823.3916887493974</v>
      </c>
      <c r="G55" s="793">
        <f t="shared" si="72"/>
        <v>2800.310511117952</v>
      </c>
      <c r="H55" s="793">
        <f t="shared" si="72"/>
        <v>2850.6423344587206</v>
      </c>
      <c r="I55" s="793">
        <f t="shared" si="72"/>
        <v>2647.4734252094172</v>
      </c>
      <c r="J55" s="793">
        <f t="shared" ref="J55:O55" si="73">STDEVP(J20,J24,J26,J30,J32,J34,J36,J38,J43,J47,J49)</f>
        <v>3305.4632488134239</v>
      </c>
      <c r="K55" s="793">
        <f t="shared" si="73"/>
        <v>3359.1883587783623</v>
      </c>
      <c r="L55" s="793">
        <f t="shared" si="73"/>
        <v>3576.8606300696351</v>
      </c>
      <c r="M55" s="793">
        <f t="shared" si="73"/>
        <v>3172.661689866587</v>
      </c>
      <c r="N55" s="793">
        <f t="shared" si="73"/>
        <v>3650.0017185550128</v>
      </c>
      <c r="O55" s="793">
        <f t="shared" si="73"/>
        <v>3778.5142670255595</v>
      </c>
    </row>
    <row r="56" spans="1:17">
      <c r="A56" s="791"/>
      <c r="D56" s="793"/>
      <c r="E56" s="793"/>
      <c r="F56" s="793"/>
      <c r="G56" s="793"/>
      <c r="H56" s="793"/>
      <c r="I56" s="793"/>
      <c r="J56" s="793"/>
      <c r="K56" s="793"/>
      <c r="L56" s="793"/>
      <c r="M56" s="793"/>
      <c r="N56" s="793"/>
      <c r="O56" s="793"/>
    </row>
    <row r="57" spans="1:17">
      <c r="A57" s="791" t="s">
        <v>2506</v>
      </c>
      <c r="D57" s="793"/>
      <c r="E57" s="793"/>
      <c r="F57" s="793"/>
      <c r="G57" s="793"/>
      <c r="H57" s="793"/>
      <c r="I57" s="793"/>
      <c r="J57" s="793"/>
      <c r="K57" s="793"/>
      <c r="L57" s="793"/>
      <c r="M57" s="793"/>
      <c r="N57" s="793"/>
      <c r="O57" s="793"/>
    </row>
    <row r="59" spans="1:17">
      <c r="A59" s="76"/>
    </row>
    <row r="60" spans="1:17">
      <c r="E60" s="51" t="s">
        <v>1526</v>
      </c>
      <c r="F60" s="51"/>
      <c r="G60" s="51"/>
      <c r="H60" s="51"/>
      <c r="I60" s="51"/>
      <c r="J60" s="51"/>
      <c r="K60" s="51"/>
      <c r="L60" s="51"/>
      <c r="M60" s="51"/>
      <c r="N60" s="51"/>
      <c r="O60" s="51"/>
      <c r="P60" s="52"/>
      <c r="Q60" s="53" t="s">
        <v>9479</v>
      </c>
    </row>
    <row r="61" spans="1:17">
      <c r="D61" s="40">
        <v>2010</v>
      </c>
      <c r="E61" s="40">
        <v>2011</v>
      </c>
      <c r="F61" s="40">
        <v>2012</v>
      </c>
      <c r="G61" s="40">
        <v>2013</v>
      </c>
      <c r="H61" s="40">
        <v>2014</v>
      </c>
      <c r="I61" s="40">
        <v>2015</v>
      </c>
      <c r="J61" s="40">
        <v>2016</v>
      </c>
      <c r="K61" s="40">
        <v>2017</v>
      </c>
      <c r="L61" s="40">
        <v>2018</v>
      </c>
      <c r="M61" s="40">
        <v>2019</v>
      </c>
      <c r="N61" s="40">
        <v>2020</v>
      </c>
      <c r="O61" s="982" t="s">
        <v>14823</v>
      </c>
      <c r="P61" s="52"/>
      <c r="Q61" s="54" t="s">
        <v>1527</v>
      </c>
    </row>
    <row r="62" spans="1:17">
      <c r="A62" s="791" t="s">
        <v>2524</v>
      </c>
      <c r="D62" s="793">
        <f t="shared" ref="D62:I62" si="74">SUM(D63:D79)</f>
        <v>173057</v>
      </c>
      <c r="E62" s="793">
        <f t="shared" si="74"/>
        <v>175659</v>
      </c>
      <c r="F62" s="793">
        <f t="shared" si="74"/>
        <v>177443</v>
      </c>
      <c r="G62" s="793">
        <f t="shared" si="74"/>
        <v>176951</v>
      </c>
      <c r="H62" s="793">
        <f t="shared" si="74"/>
        <v>175062</v>
      </c>
      <c r="I62" s="793">
        <f t="shared" si="74"/>
        <v>167269</v>
      </c>
      <c r="J62" s="793">
        <f t="shared" ref="J62:O62" si="75">SUM(J63:J79)</f>
        <v>170659</v>
      </c>
      <c r="K62" s="793">
        <f t="shared" si="75"/>
        <v>169154</v>
      </c>
      <c r="L62" s="793">
        <f t="shared" si="75"/>
        <v>168544</v>
      </c>
      <c r="M62" s="793">
        <f t="shared" si="75"/>
        <v>168731</v>
      </c>
      <c r="N62" s="793">
        <f t="shared" si="75"/>
        <v>176332</v>
      </c>
      <c r="O62" s="793">
        <f t="shared" si="75"/>
        <v>174973</v>
      </c>
    </row>
    <row r="63" spans="1:17">
      <c r="A63" s="800">
        <v>1</v>
      </c>
      <c r="B63" s="791" t="s">
        <v>6402</v>
      </c>
      <c r="C63" s="55" t="s">
        <v>114</v>
      </c>
      <c r="D63" s="793">
        <v>9456</v>
      </c>
      <c r="E63" s="793">
        <v>9633</v>
      </c>
      <c r="F63" s="793">
        <v>10095</v>
      </c>
      <c r="G63" s="56">
        <v>9928</v>
      </c>
      <c r="H63" s="56">
        <v>9745</v>
      </c>
      <c r="I63" s="56">
        <v>8748</v>
      </c>
      <c r="J63" s="56">
        <v>8996</v>
      </c>
      <c r="K63" s="56">
        <v>8870</v>
      </c>
      <c r="L63" s="56">
        <v>8600</v>
      </c>
      <c r="M63" s="56">
        <v>8540</v>
      </c>
      <c r="N63" s="56">
        <v>9283</v>
      </c>
      <c r="O63" s="56">
        <v>9241</v>
      </c>
      <c r="Q63" s="791" t="s">
        <v>2497</v>
      </c>
    </row>
    <row r="64" spans="1:17">
      <c r="A64" s="800">
        <v>2</v>
      </c>
      <c r="B64" s="791" t="s">
        <v>2507</v>
      </c>
      <c r="C64" s="55" t="s">
        <v>115</v>
      </c>
      <c r="D64" s="793">
        <v>10863</v>
      </c>
      <c r="E64" s="793">
        <v>10997</v>
      </c>
      <c r="F64" s="793">
        <v>10967</v>
      </c>
      <c r="G64" s="793">
        <v>11025</v>
      </c>
      <c r="H64" s="56">
        <v>11063</v>
      </c>
      <c r="I64" s="56">
        <v>10994</v>
      </c>
      <c r="J64" s="56">
        <v>11220</v>
      </c>
      <c r="K64" s="56">
        <v>11007</v>
      </c>
      <c r="L64" s="56">
        <v>10938</v>
      </c>
      <c r="M64" s="56">
        <v>10902</v>
      </c>
      <c r="N64" s="56">
        <v>11142</v>
      </c>
      <c r="O64" s="56">
        <v>11008</v>
      </c>
      <c r="Q64" s="791" t="s">
        <v>2503</v>
      </c>
    </row>
    <row r="65" spans="1:17">
      <c r="A65" s="800">
        <v>3</v>
      </c>
      <c r="B65" s="791" t="s">
        <v>2508</v>
      </c>
      <c r="C65" s="55" t="s">
        <v>116</v>
      </c>
      <c r="D65" s="793">
        <v>11039</v>
      </c>
      <c r="E65" s="793">
        <v>11303</v>
      </c>
      <c r="F65" s="793">
        <v>11467</v>
      </c>
      <c r="G65" s="793">
        <v>11634</v>
      </c>
      <c r="H65" s="56">
        <v>11471</v>
      </c>
      <c r="I65" s="56">
        <v>10538</v>
      </c>
      <c r="J65" s="56">
        <v>10911</v>
      </c>
      <c r="K65" s="56">
        <v>10844</v>
      </c>
      <c r="L65" s="56">
        <v>10828</v>
      </c>
      <c r="M65" s="56">
        <v>10849</v>
      </c>
      <c r="N65" s="56">
        <v>11326</v>
      </c>
      <c r="O65" s="56">
        <v>11175</v>
      </c>
      <c r="Q65" s="791" t="s">
        <v>2499</v>
      </c>
    </row>
    <row r="66" spans="1:17">
      <c r="A66" s="800">
        <v>4</v>
      </c>
      <c r="B66" s="791" t="s">
        <v>2509</v>
      </c>
      <c r="C66" s="55" t="s">
        <v>117</v>
      </c>
      <c r="D66" s="793">
        <v>9908</v>
      </c>
      <c r="E66" s="793">
        <v>10093</v>
      </c>
      <c r="F66" s="793">
        <v>10325</v>
      </c>
      <c r="G66" s="793">
        <v>10361</v>
      </c>
      <c r="H66" s="56">
        <v>10088</v>
      </c>
      <c r="I66" s="56">
        <v>9242</v>
      </c>
      <c r="J66" s="56">
        <v>9408</v>
      </c>
      <c r="K66" s="56">
        <v>9545</v>
      </c>
      <c r="L66" s="56">
        <v>9732</v>
      </c>
      <c r="M66" s="56">
        <v>9959</v>
      </c>
      <c r="N66" s="56">
        <v>10775</v>
      </c>
      <c r="O66" s="56">
        <v>10789</v>
      </c>
      <c r="Q66" s="791" t="s">
        <v>2499</v>
      </c>
    </row>
    <row r="67" spans="1:17">
      <c r="A67" s="800">
        <v>5</v>
      </c>
      <c r="B67" s="791" t="s">
        <v>2510</v>
      </c>
      <c r="C67" s="55" t="s">
        <v>118</v>
      </c>
      <c r="D67" s="793">
        <v>9715</v>
      </c>
      <c r="E67" s="793">
        <v>9908</v>
      </c>
      <c r="F67" s="793">
        <v>9927</v>
      </c>
      <c r="G67" s="793">
        <v>9907</v>
      </c>
      <c r="H67" s="56">
        <v>9855</v>
      </c>
      <c r="I67" s="56">
        <v>9708</v>
      </c>
      <c r="J67" s="56">
        <v>9799</v>
      </c>
      <c r="K67" s="56">
        <v>9590</v>
      </c>
      <c r="L67" s="56">
        <v>9557</v>
      </c>
      <c r="M67" s="56">
        <v>9536</v>
      </c>
      <c r="N67" s="56">
        <v>9766</v>
      </c>
      <c r="O67" s="56">
        <v>9669</v>
      </c>
      <c r="Q67" s="791" t="s">
        <v>2499</v>
      </c>
    </row>
    <row r="68" spans="1:17">
      <c r="A68" s="800">
        <v>6</v>
      </c>
      <c r="B68" s="791" t="s">
        <v>3956</v>
      </c>
      <c r="C68" s="55" t="s">
        <v>119</v>
      </c>
      <c r="D68" s="793">
        <v>10107</v>
      </c>
      <c r="E68" s="793">
        <v>10116</v>
      </c>
      <c r="F68" s="793">
        <v>10180</v>
      </c>
      <c r="G68" s="793">
        <v>10111</v>
      </c>
      <c r="H68" s="56">
        <v>10001</v>
      </c>
      <c r="I68" s="56">
        <v>9554</v>
      </c>
      <c r="J68" s="56">
        <v>9810</v>
      </c>
      <c r="K68" s="56">
        <v>9739</v>
      </c>
      <c r="L68" s="56">
        <v>9730</v>
      </c>
      <c r="M68" s="56">
        <v>9731</v>
      </c>
      <c r="N68" s="56">
        <v>10000</v>
      </c>
      <c r="O68" s="56">
        <v>9867</v>
      </c>
      <c r="Q68" s="791" t="s">
        <v>2499</v>
      </c>
    </row>
    <row r="69" spans="1:17">
      <c r="A69" s="800">
        <v>7</v>
      </c>
      <c r="B69" s="791" t="s">
        <v>2518</v>
      </c>
      <c r="C69" s="55" t="s">
        <v>120</v>
      </c>
      <c r="D69" s="793">
        <v>9987</v>
      </c>
      <c r="E69" s="793">
        <v>10129</v>
      </c>
      <c r="F69" s="793">
        <v>10127</v>
      </c>
      <c r="G69" s="793">
        <v>10171</v>
      </c>
      <c r="H69" s="56">
        <v>10115</v>
      </c>
      <c r="I69" s="56">
        <v>9917</v>
      </c>
      <c r="J69" s="56">
        <v>10015</v>
      </c>
      <c r="K69" s="56">
        <v>9809</v>
      </c>
      <c r="L69" s="56">
        <v>9779</v>
      </c>
      <c r="M69" s="56">
        <v>9771</v>
      </c>
      <c r="N69" s="56">
        <v>10004</v>
      </c>
      <c r="O69" s="56">
        <v>9906</v>
      </c>
      <c r="Q69" s="791" t="s">
        <v>2497</v>
      </c>
    </row>
    <row r="70" spans="1:17">
      <c r="A70" s="800">
        <v>8</v>
      </c>
      <c r="B70" s="791" t="s">
        <v>2519</v>
      </c>
      <c r="C70" s="55" t="s">
        <v>121</v>
      </c>
      <c r="D70" s="793">
        <v>11164</v>
      </c>
      <c r="E70" s="793">
        <v>11280</v>
      </c>
      <c r="F70" s="793">
        <v>11329</v>
      </c>
      <c r="G70" s="793">
        <v>11377</v>
      </c>
      <c r="H70" s="56">
        <v>11312</v>
      </c>
      <c r="I70" s="56">
        <v>11161</v>
      </c>
      <c r="J70" s="56">
        <v>11355</v>
      </c>
      <c r="K70" s="56">
        <v>11320</v>
      </c>
      <c r="L70" s="56">
        <v>11362</v>
      </c>
      <c r="M70" s="56">
        <v>11468</v>
      </c>
      <c r="N70" s="56">
        <v>11915</v>
      </c>
      <c r="O70" s="56">
        <v>11761</v>
      </c>
      <c r="Q70" s="791" t="s">
        <v>2499</v>
      </c>
    </row>
    <row r="71" spans="1:17">
      <c r="A71" s="800">
        <v>9</v>
      </c>
      <c r="B71" s="791" t="s">
        <v>2520</v>
      </c>
      <c r="C71" s="55" t="s">
        <v>122</v>
      </c>
      <c r="D71" s="793">
        <v>11003</v>
      </c>
      <c r="E71" s="793">
        <v>11171</v>
      </c>
      <c r="F71" s="793">
        <v>11598</v>
      </c>
      <c r="G71" s="793">
        <v>11161</v>
      </c>
      <c r="H71" s="56">
        <v>11089</v>
      </c>
      <c r="I71" s="56">
        <v>9939</v>
      </c>
      <c r="J71" s="56">
        <v>9931</v>
      </c>
      <c r="K71" s="56">
        <v>9903</v>
      </c>
      <c r="L71" s="56">
        <v>9666</v>
      </c>
      <c r="M71" s="56">
        <v>9569</v>
      </c>
      <c r="N71" s="56">
        <v>10536</v>
      </c>
      <c r="O71" s="56">
        <v>10778</v>
      </c>
      <c r="Q71" s="791" t="s">
        <v>2497</v>
      </c>
    </row>
    <row r="72" spans="1:17">
      <c r="A72" s="800">
        <v>10</v>
      </c>
      <c r="B72" s="791" t="s">
        <v>2521</v>
      </c>
      <c r="C72" s="55" t="s">
        <v>123</v>
      </c>
      <c r="D72" s="793">
        <v>9673</v>
      </c>
      <c r="E72" s="793">
        <v>9732</v>
      </c>
      <c r="F72" s="793">
        <v>9714</v>
      </c>
      <c r="G72" s="793">
        <v>9622</v>
      </c>
      <c r="H72" s="56">
        <v>9418</v>
      </c>
      <c r="I72" s="56">
        <v>8988</v>
      </c>
      <c r="J72" s="56">
        <v>9243</v>
      </c>
      <c r="K72" s="56">
        <v>9247</v>
      </c>
      <c r="L72" s="56">
        <v>9312</v>
      </c>
      <c r="M72" s="56">
        <v>9355</v>
      </c>
      <c r="N72" s="56">
        <v>9724</v>
      </c>
      <c r="O72" s="56">
        <v>9528</v>
      </c>
      <c r="Q72" s="791" t="s">
        <v>2497</v>
      </c>
    </row>
    <row r="73" spans="1:17">
      <c r="A73" s="800">
        <v>11</v>
      </c>
      <c r="B73" s="791" t="s">
        <v>2522</v>
      </c>
      <c r="C73" s="55" t="s">
        <v>124</v>
      </c>
      <c r="D73" s="793">
        <v>10357</v>
      </c>
      <c r="E73" s="793">
        <v>10519</v>
      </c>
      <c r="F73" s="793">
        <v>10541</v>
      </c>
      <c r="G73" s="793">
        <v>10422</v>
      </c>
      <c r="H73" s="56">
        <v>10427</v>
      </c>
      <c r="I73" s="56">
        <v>10279</v>
      </c>
      <c r="J73" s="56">
        <v>10645</v>
      </c>
      <c r="K73" s="56">
        <v>10563</v>
      </c>
      <c r="L73" s="56">
        <v>10592</v>
      </c>
      <c r="M73" s="56">
        <v>10686</v>
      </c>
      <c r="N73" s="56">
        <v>11179</v>
      </c>
      <c r="O73" s="56">
        <v>11047</v>
      </c>
      <c r="Q73" s="791" t="s">
        <v>2497</v>
      </c>
    </row>
    <row r="74" spans="1:17">
      <c r="A74" s="800">
        <v>12</v>
      </c>
      <c r="B74" s="791" t="s">
        <v>2523</v>
      </c>
      <c r="C74" s="55" t="s">
        <v>125</v>
      </c>
      <c r="D74" s="793">
        <v>9757</v>
      </c>
      <c r="E74" s="793">
        <v>9987</v>
      </c>
      <c r="F74" s="793">
        <v>10094</v>
      </c>
      <c r="G74" s="793">
        <v>10000</v>
      </c>
      <c r="H74" s="56">
        <v>9802</v>
      </c>
      <c r="I74" s="56">
        <v>8930</v>
      </c>
      <c r="J74" s="56">
        <v>9174</v>
      </c>
      <c r="K74" s="56">
        <v>9222</v>
      </c>
      <c r="L74" s="56">
        <v>9264</v>
      </c>
      <c r="M74" s="56">
        <v>9299</v>
      </c>
      <c r="N74" s="56">
        <v>9949</v>
      </c>
      <c r="O74" s="56">
        <v>9938</v>
      </c>
      <c r="Q74" s="791" t="s">
        <v>2497</v>
      </c>
    </row>
    <row r="75" spans="1:17">
      <c r="A75" s="800">
        <v>13</v>
      </c>
      <c r="B75" s="791" t="s">
        <v>5530</v>
      </c>
      <c r="C75" s="55" t="s">
        <v>126</v>
      </c>
      <c r="D75" s="793">
        <v>11137</v>
      </c>
      <c r="E75" s="793">
        <v>11446</v>
      </c>
      <c r="F75" s="793">
        <v>11493</v>
      </c>
      <c r="G75" s="793">
        <v>11577</v>
      </c>
      <c r="H75" s="56">
        <v>11638</v>
      </c>
      <c r="I75" s="56">
        <v>11493</v>
      </c>
      <c r="J75" s="56">
        <v>11666</v>
      </c>
      <c r="K75" s="56">
        <v>11385</v>
      </c>
      <c r="L75" s="56">
        <v>11313</v>
      </c>
      <c r="M75" s="56">
        <v>11183</v>
      </c>
      <c r="N75" s="56">
        <v>11517</v>
      </c>
      <c r="O75" s="56">
        <v>11438</v>
      </c>
      <c r="Q75" s="791" t="s">
        <v>2497</v>
      </c>
    </row>
    <row r="76" spans="1:17">
      <c r="A76" s="800">
        <v>14</v>
      </c>
      <c r="B76" s="791" t="s">
        <v>5531</v>
      </c>
      <c r="C76" s="55" t="s">
        <v>127</v>
      </c>
      <c r="D76" s="793">
        <v>9650</v>
      </c>
      <c r="E76" s="793">
        <v>9729</v>
      </c>
      <c r="F76" s="793">
        <v>9824</v>
      </c>
      <c r="G76" s="793">
        <v>9827</v>
      </c>
      <c r="H76" s="56">
        <v>9514</v>
      </c>
      <c r="I76" s="56">
        <v>8974</v>
      </c>
      <c r="J76" s="56">
        <v>9100</v>
      </c>
      <c r="K76" s="56">
        <v>9034</v>
      </c>
      <c r="L76" s="56">
        <v>8966</v>
      </c>
      <c r="M76" s="56">
        <v>9017</v>
      </c>
      <c r="N76" s="56">
        <v>9440</v>
      </c>
      <c r="O76" s="56">
        <v>9489</v>
      </c>
      <c r="Q76" s="791" t="s">
        <v>2499</v>
      </c>
    </row>
    <row r="77" spans="1:17">
      <c r="A77" s="800">
        <v>15</v>
      </c>
      <c r="B77" s="791" t="s">
        <v>5532</v>
      </c>
      <c r="C77" s="55" t="s">
        <v>128</v>
      </c>
      <c r="D77" s="793">
        <v>10013</v>
      </c>
      <c r="E77" s="793">
        <v>10089</v>
      </c>
      <c r="F77" s="793">
        <v>10101</v>
      </c>
      <c r="G77" s="793">
        <v>10198</v>
      </c>
      <c r="H77" s="58">
        <v>10081</v>
      </c>
      <c r="I77" s="58">
        <v>9884</v>
      </c>
      <c r="J77" s="58">
        <v>10018</v>
      </c>
      <c r="K77" s="58">
        <v>9901</v>
      </c>
      <c r="L77" s="58">
        <v>9943</v>
      </c>
      <c r="M77" s="58">
        <v>9933</v>
      </c>
      <c r="N77" s="58">
        <v>10290</v>
      </c>
      <c r="O77" s="58">
        <v>10084</v>
      </c>
      <c r="Q77" s="791" t="s">
        <v>2503</v>
      </c>
    </row>
    <row r="78" spans="1:17">
      <c r="A78" s="800">
        <v>16</v>
      </c>
      <c r="B78" s="791" t="s">
        <v>5533</v>
      </c>
      <c r="C78" s="55" t="s">
        <v>129</v>
      </c>
      <c r="D78" s="793">
        <v>9527</v>
      </c>
      <c r="E78" s="793">
        <v>9619</v>
      </c>
      <c r="F78" s="793">
        <v>9649</v>
      </c>
      <c r="G78" s="793">
        <v>9637</v>
      </c>
      <c r="H78" s="56">
        <v>9532</v>
      </c>
      <c r="I78" s="56">
        <v>9181</v>
      </c>
      <c r="J78" s="56">
        <v>9352</v>
      </c>
      <c r="K78" s="56">
        <v>9228</v>
      </c>
      <c r="L78" s="56">
        <v>9069</v>
      </c>
      <c r="M78" s="56">
        <v>9060</v>
      </c>
      <c r="N78" s="56">
        <v>9476</v>
      </c>
      <c r="O78" s="56">
        <v>9317</v>
      </c>
      <c r="Q78" s="791" t="s">
        <v>2499</v>
      </c>
    </row>
    <row r="79" spans="1:17">
      <c r="A79" s="800">
        <v>17</v>
      </c>
      <c r="B79" s="791" t="s">
        <v>5534</v>
      </c>
      <c r="C79" s="55" t="s">
        <v>130</v>
      </c>
      <c r="D79" s="793">
        <v>9701</v>
      </c>
      <c r="E79" s="793">
        <v>9908</v>
      </c>
      <c r="F79" s="793">
        <v>10012</v>
      </c>
      <c r="G79" s="793">
        <v>9993</v>
      </c>
      <c r="H79" s="58">
        <v>9911</v>
      </c>
      <c r="I79" s="58">
        <v>9739</v>
      </c>
      <c r="J79" s="58">
        <v>10016</v>
      </c>
      <c r="K79" s="58">
        <v>9947</v>
      </c>
      <c r="L79" s="58">
        <v>9893</v>
      </c>
      <c r="M79" s="58">
        <v>9873</v>
      </c>
      <c r="N79" s="58">
        <v>10010</v>
      </c>
      <c r="O79" s="58">
        <v>9938</v>
      </c>
      <c r="Q79" s="791" t="s">
        <v>2503</v>
      </c>
    </row>
    <row r="80" spans="1:17">
      <c r="D80" s="795"/>
      <c r="E80" s="795"/>
      <c r="F80" s="795"/>
      <c r="G80" s="795"/>
      <c r="H80" s="795"/>
      <c r="I80" s="795"/>
      <c r="J80" s="795"/>
      <c r="K80" s="795"/>
      <c r="L80" s="795"/>
      <c r="M80" s="795"/>
      <c r="N80" s="795"/>
      <c r="O80" s="795"/>
    </row>
    <row r="81" spans="1:17">
      <c r="A81" s="791" t="s">
        <v>2497</v>
      </c>
      <c r="D81" s="793">
        <f t="shared" ref="D81:I81" si="76">D63+D69+SUM(D71:D75)</f>
        <v>71370</v>
      </c>
      <c r="E81" s="793">
        <f t="shared" si="76"/>
        <v>72617</v>
      </c>
      <c r="F81" s="793">
        <f t="shared" si="76"/>
        <v>73662</v>
      </c>
      <c r="G81" s="793">
        <f t="shared" si="76"/>
        <v>72881</v>
      </c>
      <c r="H81" s="793">
        <f t="shared" si="76"/>
        <v>72234</v>
      </c>
      <c r="I81" s="793">
        <f t="shared" si="76"/>
        <v>68294</v>
      </c>
      <c r="J81" s="793">
        <f t="shared" ref="J81:O81" si="77">J63+J69+SUM(J71:J75)</f>
        <v>69670</v>
      </c>
      <c r="K81" s="793">
        <f t="shared" si="77"/>
        <v>68999</v>
      </c>
      <c r="L81" s="793">
        <f t="shared" si="77"/>
        <v>68526</v>
      </c>
      <c r="M81" s="793">
        <f t="shared" si="77"/>
        <v>68403</v>
      </c>
      <c r="N81" s="793">
        <f t="shared" si="77"/>
        <v>72192</v>
      </c>
      <c r="O81" s="793">
        <f t="shared" si="77"/>
        <v>71876</v>
      </c>
    </row>
    <row r="82" spans="1:17">
      <c r="A82" s="791" t="s">
        <v>2499</v>
      </c>
      <c r="D82" s="793">
        <f t="shared" ref="D82:I82" si="78">SUM(D65:D68)+D70+D76+D78</f>
        <v>71110</v>
      </c>
      <c r="E82" s="793">
        <f t="shared" si="78"/>
        <v>72048</v>
      </c>
      <c r="F82" s="793">
        <f t="shared" si="78"/>
        <v>72701</v>
      </c>
      <c r="G82" s="793">
        <f t="shared" si="78"/>
        <v>72854</v>
      </c>
      <c r="H82" s="793">
        <f t="shared" si="78"/>
        <v>71773</v>
      </c>
      <c r="I82" s="793">
        <f t="shared" si="78"/>
        <v>68358</v>
      </c>
      <c r="J82" s="793">
        <f t="shared" ref="J82:O82" si="79">SUM(J65:J68)+J70+J76+J78</f>
        <v>69735</v>
      </c>
      <c r="K82" s="793">
        <f t="shared" si="79"/>
        <v>69300</v>
      </c>
      <c r="L82" s="793">
        <f t="shared" si="79"/>
        <v>69244</v>
      </c>
      <c r="M82" s="793">
        <f t="shared" si="79"/>
        <v>69620</v>
      </c>
      <c r="N82" s="793">
        <f t="shared" si="79"/>
        <v>72698</v>
      </c>
      <c r="O82" s="793">
        <f t="shared" si="79"/>
        <v>72067</v>
      </c>
    </row>
    <row r="83" spans="1:17">
      <c r="A83" s="791" t="s">
        <v>5535</v>
      </c>
      <c r="D83" s="793">
        <f t="shared" ref="D83:I83" si="80">D64+D77+D79</f>
        <v>30577</v>
      </c>
      <c r="E83" s="793">
        <f t="shared" si="80"/>
        <v>30994</v>
      </c>
      <c r="F83" s="793">
        <f t="shared" si="80"/>
        <v>31080</v>
      </c>
      <c r="G83" s="793">
        <f t="shared" si="80"/>
        <v>31216</v>
      </c>
      <c r="H83" s="793">
        <f t="shared" si="80"/>
        <v>31055</v>
      </c>
      <c r="I83" s="793">
        <f t="shared" si="80"/>
        <v>30617</v>
      </c>
      <c r="J83" s="793">
        <f t="shared" ref="J83:O83" si="81">J64+J77+J79</f>
        <v>31254</v>
      </c>
      <c r="K83" s="793">
        <f t="shared" si="81"/>
        <v>30855</v>
      </c>
      <c r="L83" s="793">
        <f t="shared" si="81"/>
        <v>30774</v>
      </c>
      <c r="M83" s="793">
        <f t="shared" si="81"/>
        <v>30708</v>
      </c>
      <c r="N83" s="793">
        <f t="shared" si="81"/>
        <v>31442</v>
      </c>
      <c r="O83" s="793">
        <f t="shared" si="81"/>
        <v>31030</v>
      </c>
    </row>
    <row r="85" spans="1:17">
      <c r="A85" s="791" t="s">
        <v>5536</v>
      </c>
    </row>
    <row r="86" spans="1:17">
      <c r="A86" s="791"/>
    </row>
    <row r="87" spans="1:17">
      <c r="A87" s="791"/>
    </row>
    <row r="88" spans="1:17">
      <c r="E88" s="51" t="s">
        <v>1526</v>
      </c>
      <c r="F88" s="51"/>
      <c r="G88" s="51"/>
      <c r="H88" s="51"/>
      <c r="I88" s="51"/>
      <c r="J88" s="51"/>
      <c r="K88" s="51"/>
      <c r="L88" s="51"/>
      <c r="M88" s="51"/>
      <c r="N88" s="51"/>
      <c r="O88" s="51"/>
      <c r="P88" s="52"/>
      <c r="Q88" s="53" t="s">
        <v>9479</v>
      </c>
    </row>
    <row r="89" spans="1:17">
      <c r="D89" s="40">
        <v>2010</v>
      </c>
      <c r="E89" s="40">
        <v>2011</v>
      </c>
      <c r="F89" s="40">
        <v>2012</v>
      </c>
      <c r="G89" s="40">
        <v>2013</v>
      </c>
      <c r="H89" s="40">
        <v>2014</v>
      </c>
      <c r="I89" s="40">
        <v>2015</v>
      </c>
      <c r="J89" s="40">
        <v>2016</v>
      </c>
      <c r="K89" s="40">
        <v>2017</v>
      </c>
      <c r="L89" s="40">
        <v>2018</v>
      </c>
      <c r="M89" s="40">
        <v>2019</v>
      </c>
      <c r="N89" s="40">
        <v>2020</v>
      </c>
      <c r="O89" s="982" t="s">
        <v>14823</v>
      </c>
      <c r="P89" s="52"/>
      <c r="Q89" s="54" t="s">
        <v>1527</v>
      </c>
    </row>
    <row r="90" spans="1:17">
      <c r="A90" s="791" t="s">
        <v>5537</v>
      </c>
      <c r="D90" s="793">
        <f t="shared" ref="D90:I90" si="82">SUM(D91:D106)+SUM(D108:D115)</f>
        <v>96862</v>
      </c>
      <c r="E90" s="793">
        <f t="shared" si="82"/>
        <v>97127</v>
      </c>
      <c r="F90" s="793">
        <f t="shared" si="82"/>
        <v>97440</v>
      </c>
      <c r="G90" s="793">
        <f t="shared" si="82"/>
        <v>98057</v>
      </c>
      <c r="H90" s="793">
        <f t="shared" si="82"/>
        <v>98440</v>
      </c>
      <c r="I90" s="793">
        <f t="shared" si="82"/>
        <v>97788</v>
      </c>
      <c r="J90" s="793">
        <f t="shared" ref="J90:O90" si="83">SUM(J91:J106)+SUM(J108:J115)</f>
        <v>90840</v>
      </c>
      <c r="K90" s="793">
        <f t="shared" si="83"/>
        <v>94183</v>
      </c>
      <c r="L90" s="793">
        <f t="shared" si="83"/>
        <v>97199</v>
      </c>
      <c r="M90" s="793">
        <f t="shared" si="83"/>
        <v>97140</v>
      </c>
      <c r="N90" s="793">
        <f t="shared" si="83"/>
        <v>99535</v>
      </c>
      <c r="O90" s="793">
        <f t="shared" si="83"/>
        <v>99673</v>
      </c>
    </row>
    <row r="91" spans="1:17">
      <c r="A91" s="800">
        <v>1</v>
      </c>
      <c r="B91" s="791" t="s">
        <v>5538</v>
      </c>
      <c r="C91" s="55" t="s">
        <v>131</v>
      </c>
      <c r="D91" s="793">
        <v>6180</v>
      </c>
      <c r="E91" s="793">
        <v>6180</v>
      </c>
      <c r="F91" s="793">
        <v>6156</v>
      </c>
      <c r="G91" s="793">
        <v>6193</v>
      </c>
      <c r="H91" s="63">
        <v>6162</v>
      </c>
      <c r="I91" s="63">
        <v>6095</v>
      </c>
      <c r="J91" s="63">
        <v>5630</v>
      </c>
      <c r="K91" s="56">
        <v>5867</v>
      </c>
      <c r="L91" s="56">
        <v>5960</v>
      </c>
      <c r="M91" s="56">
        <v>6079</v>
      </c>
      <c r="N91" s="56">
        <v>6358</v>
      </c>
      <c r="O91" s="56">
        <v>6383</v>
      </c>
      <c r="Q91" s="791" t="s">
        <v>2490</v>
      </c>
    </row>
    <row r="92" spans="1:17">
      <c r="A92" s="800">
        <v>2</v>
      </c>
      <c r="B92" s="791" t="s">
        <v>5539</v>
      </c>
      <c r="C92" s="55" t="s">
        <v>132</v>
      </c>
      <c r="D92" s="793">
        <v>2122</v>
      </c>
      <c r="E92" s="793">
        <v>2127</v>
      </c>
      <c r="F92" s="793">
        <v>2151</v>
      </c>
      <c r="G92" s="793">
        <v>2167</v>
      </c>
      <c r="H92" s="63">
        <v>2161</v>
      </c>
      <c r="I92" s="63">
        <v>2180</v>
      </c>
      <c r="J92" s="63">
        <v>2002</v>
      </c>
      <c r="K92" s="58">
        <v>2121</v>
      </c>
      <c r="L92" s="58">
        <v>2146</v>
      </c>
      <c r="M92" s="58">
        <v>2121</v>
      </c>
      <c r="N92" s="58">
        <v>2190</v>
      </c>
      <c r="O92" s="58">
        <v>2187</v>
      </c>
      <c r="Q92" s="791" t="s">
        <v>2496</v>
      </c>
    </row>
    <row r="93" spans="1:17">
      <c r="A93" s="800">
        <v>3</v>
      </c>
      <c r="B93" s="791" t="s">
        <v>5540</v>
      </c>
      <c r="C93" s="55" t="s">
        <v>133</v>
      </c>
      <c r="D93" s="793">
        <v>4230</v>
      </c>
      <c r="E93" s="793">
        <v>4288</v>
      </c>
      <c r="F93" s="793">
        <v>4329</v>
      </c>
      <c r="G93" s="793">
        <v>4352</v>
      </c>
      <c r="H93" s="63">
        <v>4433</v>
      </c>
      <c r="I93" s="63">
        <v>4458</v>
      </c>
      <c r="J93" s="63">
        <v>4138</v>
      </c>
      <c r="K93" s="58">
        <v>4302</v>
      </c>
      <c r="L93" s="58">
        <v>4388</v>
      </c>
      <c r="M93" s="58">
        <v>4380</v>
      </c>
      <c r="N93" s="58">
        <v>4410</v>
      </c>
      <c r="O93" s="58">
        <v>4414</v>
      </c>
      <c r="Q93" s="791" t="s">
        <v>2503</v>
      </c>
    </row>
    <row r="94" spans="1:17">
      <c r="A94" s="800">
        <v>4</v>
      </c>
      <c r="B94" s="791" t="s">
        <v>5541</v>
      </c>
      <c r="C94" s="55" t="s">
        <v>134</v>
      </c>
      <c r="D94" s="793">
        <v>4568</v>
      </c>
      <c r="E94" s="793">
        <v>4575</v>
      </c>
      <c r="F94" s="793">
        <v>4631</v>
      </c>
      <c r="G94" s="793">
        <v>4720</v>
      </c>
      <c r="H94" s="63">
        <v>4738</v>
      </c>
      <c r="I94" s="63">
        <v>4761</v>
      </c>
      <c r="J94" s="63">
        <v>4483</v>
      </c>
      <c r="K94" s="58">
        <v>4579</v>
      </c>
      <c r="L94" s="58">
        <v>4753</v>
      </c>
      <c r="M94" s="58">
        <v>4684</v>
      </c>
      <c r="N94" s="58">
        <v>4741</v>
      </c>
      <c r="O94" s="58">
        <v>4742</v>
      </c>
      <c r="Q94" s="791" t="s">
        <v>2503</v>
      </c>
    </row>
    <row r="95" spans="1:17">
      <c r="A95" s="800">
        <v>5</v>
      </c>
      <c r="B95" s="791" t="s">
        <v>5542</v>
      </c>
      <c r="C95" s="55" t="s">
        <v>135</v>
      </c>
      <c r="D95" s="793">
        <v>4036</v>
      </c>
      <c r="E95" s="793">
        <v>4025</v>
      </c>
      <c r="F95" s="793">
        <v>4044</v>
      </c>
      <c r="G95" s="793">
        <v>4051</v>
      </c>
      <c r="H95" s="63">
        <v>4034</v>
      </c>
      <c r="I95" s="63">
        <v>4007</v>
      </c>
      <c r="J95" s="63">
        <v>3767</v>
      </c>
      <c r="K95" s="58">
        <v>3895</v>
      </c>
      <c r="L95" s="58">
        <v>3978</v>
      </c>
      <c r="M95" s="58">
        <v>3938</v>
      </c>
      <c r="N95" s="58">
        <v>3987</v>
      </c>
      <c r="O95" s="58">
        <v>3986</v>
      </c>
      <c r="Q95" s="791" t="s">
        <v>2503</v>
      </c>
    </row>
    <row r="96" spans="1:17">
      <c r="A96" s="800">
        <v>6</v>
      </c>
      <c r="B96" s="791" t="s">
        <v>5543</v>
      </c>
      <c r="C96" s="55" t="s">
        <v>193</v>
      </c>
      <c r="D96" s="793">
        <v>4386</v>
      </c>
      <c r="E96" s="793">
        <v>4380</v>
      </c>
      <c r="F96" s="793">
        <v>4471</v>
      </c>
      <c r="G96" s="793">
        <v>4524</v>
      </c>
      <c r="H96" s="63">
        <v>4537</v>
      </c>
      <c r="I96" s="63">
        <v>4533</v>
      </c>
      <c r="J96" s="63">
        <v>4164</v>
      </c>
      <c r="K96" s="58">
        <v>4320</v>
      </c>
      <c r="L96" s="58">
        <v>4449</v>
      </c>
      <c r="M96" s="58">
        <v>4346</v>
      </c>
      <c r="N96" s="58">
        <v>4422</v>
      </c>
      <c r="O96" s="58">
        <v>4425</v>
      </c>
      <c r="Q96" s="791" t="s">
        <v>2503</v>
      </c>
    </row>
    <row r="97" spans="1:17">
      <c r="A97" s="800">
        <v>7</v>
      </c>
      <c r="B97" s="791" t="s">
        <v>5544</v>
      </c>
      <c r="C97" s="55" t="s">
        <v>136</v>
      </c>
      <c r="D97" s="793">
        <v>3983</v>
      </c>
      <c r="E97" s="793">
        <v>3988</v>
      </c>
      <c r="F97" s="793">
        <v>3927</v>
      </c>
      <c r="G97" s="793">
        <v>3950</v>
      </c>
      <c r="H97" s="63">
        <v>3871</v>
      </c>
      <c r="I97" s="63">
        <v>3863</v>
      </c>
      <c r="J97" s="63">
        <v>3599</v>
      </c>
      <c r="K97" s="56">
        <v>3747</v>
      </c>
      <c r="L97" s="56">
        <v>3888</v>
      </c>
      <c r="M97" s="56">
        <v>3963</v>
      </c>
      <c r="N97" s="56">
        <v>4023</v>
      </c>
      <c r="O97" s="56">
        <v>4025</v>
      </c>
      <c r="Q97" s="791" t="s">
        <v>2490</v>
      </c>
    </row>
    <row r="98" spans="1:17">
      <c r="A98" s="800">
        <v>8</v>
      </c>
      <c r="B98" s="791" t="s">
        <v>5545</v>
      </c>
      <c r="C98" s="55" t="s">
        <v>137</v>
      </c>
      <c r="D98" s="793">
        <v>1988</v>
      </c>
      <c r="E98" s="793">
        <v>1976</v>
      </c>
      <c r="F98" s="793">
        <v>1969</v>
      </c>
      <c r="G98" s="793">
        <v>1976</v>
      </c>
      <c r="H98" s="63">
        <v>1985</v>
      </c>
      <c r="I98" s="63">
        <v>2006</v>
      </c>
      <c r="J98" s="63">
        <v>1892</v>
      </c>
      <c r="K98" s="58">
        <v>1950</v>
      </c>
      <c r="L98" s="58">
        <v>2008</v>
      </c>
      <c r="M98" s="58">
        <v>2072</v>
      </c>
      <c r="N98" s="58">
        <v>2173</v>
      </c>
      <c r="O98" s="58">
        <v>2181</v>
      </c>
      <c r="Q98" s="791" t="s">
        <v>2496</v>
      </c>
    </row>
    <row r="99" spans="1:17">
      <c r="A99" s="800">
        <v>9</v>
      </c>
      <c r="B99" s="791" t="s">
        <v>5546</v>
      </c>
      <c r="C99" s="55" t="s">
        <v>194</v>
      </c>
      <c r="D99" s="793">
        <v>3892</v>
      </c>
      <c r="E99" s="793">
        <v>3946</v>
      </c>
      <c r="F99" s="793">
        <v>3952</v>
      </c>
      <c r="G99" s="793">
        <v>3988</v>
      </c>
      <c r="H99" s="63">
        <v>3994</v>
      </c>
      <c r="I99" s="63">
        <v>4000</v>
      </c>
      <c r="J99" s="63">
        <v>3753</v>
      </c>
      <c r="K99" s="58">
        <v>3922</v>
      </c>
      <c r="L99" s="58">
        <v>4009</v>
      </c>
      <c r="M99" s="58">
        <v>3961</v>
      </c>
      <c r="N99" s="58">
        <v>3996</v>
      </c>
      <c r="O99" s="58">
        <v>3995</v>
      </c>
      <c r="Q99" s="791" t="s">
        <v>2503</v>
      </c>
    </row>
    <row r="100" spans="1:17">
      <c r="A100" s="800">
        <v>10</v>
      </c>
      <c r="B100" s="791" t="s">
        <v>5547</v>
      </c>
      <c r="C100" s="55" t="s">
        <v>138</v>
      </c>
      <c r="D100" s="793">
        <v>4026</v>
      </c>
      <c r="E100" s="793">
        <v>4050</v>
      </c>
      <c r="F100" s="793">
        <v>4088</v>
      </c>
      <c r="G100" s="793">
        <v>4078</v>
      </c>
      <c r="H100" s="63">
        <v>4074</v>
      </c>
      <c r="I100" s="63">
        <v>4069</v>
      </c>
      <c r="J100" s="63">
        <v>3753</v>
      </c>
      <c r="K100" s="56">
        <v>3879</v>
      </c>
      <c r="L100" s="56">
        <v>4019</v>
      </c>
      <c r="M100" s="56">
        <v>3978</v>
      </c>
      <c r="N100" s="56">
        <v>4032</v>
      </c>
      <c r="O100" s="56">
        <v>4031</v>
      </c>
      <c r="Q100" s="791" t="s">
        <v>2490</v>
      </c>
    </row>
    <row r="101" spans="1:17">
      <c r="A101" s="800">
        <v>11</v>
      </c>
      <c r="B101" s="791" t="s">
        <v>5548</v>
      </c>
      <c r="C101" s="55" t="s">
        <v>139</v>
      </c>
      <c r="D101" s="793">
        <v>4071</v>
      </c>
      <c r="E101" s="793">
        <v>4088</v>
      </c>
      <c r="F101" s="793">
        <v>4104</v>
      </c>
      <c r="G101" s="793">
        <v>4090</v>
      </c>
      <c r="H101" s="63">
        <v>4121</v>
      </c>
      <c r="I101" s="63">
        <v>4054</v>
      </c>
      <c r="J101" s="63">
        <v>3790</v>
      </c>
      <c r="K101" s="56">
        <v>3924</v>
      </c>
      <c r="L101" s="56">
        <v>4022</v>
      </c>
      <c r="M101" s="56">
        <v>4018</v>
      </c>
      <c r="N101" s="56">
        <v>4075</v>
      </c>
      <c r="O101" s="56">
        <v>4095</v>
      </c>
      <c r="Q101" s="791" t="s">
        <v>2490</v>
      </c>
    </row>
    <row r="102" spans="1:17">
      <c r="A102" s="800">
        <v>12</v>
      </c>
      <c r="B102" s="791" t="s">
        <v>5549</v>
      </c>
      <c r="C102" s="55" t="s">
        <v>195</v>
      </c>
      <c r="D102" s="793">
        <v>4486</v>
      </c>
      <c r="E102" s="793">
        <v>4505</v>
      </c>
      <c r="F102" s="793">
        <v>4563</v>
      </c>
      <c r="G102" s="793">
        <v>4601</v>
      </c>
      <c r="H102" s="63">
        <v>4661</v>
      </c>
      <c r="I102" s="63">
        <v>4596</v>
      </c>
      <c r="J102" s="63">
        <v>4249</v>
      </c>
      <c r="K102" s="56">
        <v>4352</v>
      </c>
      <c r="L102" s="56">
        <v>4480</v>
      </c>
      <c r="M102" s="56">
        <v>4428</v>
      </c>
      <c r="N102" s="56">
        <v>4488</v>
      </c>
      <c r="O102" s="56">
        <v>4492</v>
      </c>
      <c r="Q102" s="791" t="s">
        <v>2490</v>
      </c>
    </row>
    <row r="103" spans="1:17">
      <c r="A103" s="800">
        <v>13</v>
      </c>
      <c r="B103" s="791" t="s">
        <v>5550</v>
      </c>
      <c r="C103" s="55" t="s">
        <v>140</v>
      </c>
      <c r="D103" s="793">
        <v>4722</v>
      </c>
      <c r="E103" s="793">
        <v>4756</v>
      </c>
      <c r="F103" s="793">
        <v>4730</v>
      </c>
      <c r="G103" s="793">
        <v>4753</v>
      </c>
      <c r="H103" s="63">
        <v>4742</v>
      </c>
      <c r="I103" s="63">
        <v>4645</v>
      </c>
      <c r="J103" s="63">
        <v>4312</v>
      </c>
      <c r="K103" s="56">
        <v>4425</v>
      </c>
      <c r="L103" s="56">
        <v>4663</v>
      </c>
      <c r="M103" s="56">
        <v>4632</v>
      </c>
      <c r="N103" s="56">
        <v>4777</v>
      </c>
      <c r="O103" s="56">
        <v>4793</v>
      </c>
      <c r="Q103" s="791" t="s">
        <v>2490</v>
      </c>
    </row>
    <row r="104" spans="1:17">
      <c r="A104" s="800">
        <v>14</v>
      </c>
      <c r="B104" s="791" t="s">
        <v>5551</v>
      </c>
      <c r="C104" s="55" t="s">
        <v>141</v>
      </c>
      <c r="D104" s="793">
        <v>4598</v>
      </c>
      <c r="E104" s="793">
        <v>4632</v>
      </c>
      <c r="F104" s="793">
        <v>4654</v>
      </c>
      <c r="G104" s="793">
        <v>4616</v>
      </c>
      <c r="H104" s="63">
        <v>4643</v>
      </c>
      <c r="I104" s="63">
        <v>4581</v>
      </c>
      <c r="J104" s="63">
        <v>4154</v>
      </c>
      <c r="K104" s="56">
        <v>4247</v>
      </c>
      <c r="L104" s="56">
        <v>4458</v>
      </c>
      <c r="M104" s="56">
        <v>4491</v>
      </c>
      <c r="N104" s="56">
        <v>4611</v>
      </c>
      <c r="O104" s="56">
        <v>4638</v>
      </c>
      <c r="Q104" s="791" t="s">
        <v>2490</v>
      </c>
    </row>
    <row r="105" spans="1:17">
      <c r="A105" s="800">
        <v>15</v>
      </c>
      <c r="B105" s="791" t="s">
        <v>6219</v>
      </c>
      <c r="C105" s="55" t="s">
        <v>196</v>
      </c>
      <c r="D105" s="793">
        <v>6084</v>
      </c>
      <c r="E105" s="793">
        <v>6128</v>
      </c>
      <c r="F105" s="793">
        <v>6140</v>
      </c>
      <c r="G105" s="793">
        <v>6153</v>
      </c>
      <c r="H105" s="63">
        <v>6289</v>
      </c>
      <c r="I105" s="63">
        <v>6253</v>
      </c>
      <c r="J105" s="63">
        <v>5870</v>
      </c>
      <c r="K105" s="56">
        <v>6074</v>
      </c>
      <c r="L105" s="56">
        <v>6297</v>
      </c>
      <c r="M105" s="56">
        <v>6215</v>
      </c>
      <c r="N105" s="56">
        <v>6253</v>
      </c>
      <c r="O105" s="56">
        <v>6252</v>
      </c>
      <c r="Q105" s="791" t="s">
        <v>2490</v>
      </c>
    </row>
    <row r="106" spans="1:17" ht="15.75" thickBot="1">
      <c r="A106" s="800"/>
      <c r="B106" s="791"/>
      <c r="C106" s="55" t="s">
        <v>196</v>
      </c>
      <c r="D106" s="794">
        <v>72</v>
      </c>
      <c r="E106" s="798">
        <v>76</v>
      </c>
      <c r="F106" s="798">
        <v>76</v>
      </c>
      <c r="G106" s="798">
        <v>81</v>
      </c>
      <c r="H106" s="63">
        <v>76</v>
      </c>
      <c r="I106" s="63">
        <v>78</v>
      </c>
      <c r="J106" s="63">
        <v>74</v>
      </c>
      <c r="K106" s="58">
        <v>76</v>
      </c>
      <c r="L106" s="58">
        <v>71</v>
      </c>
      <c r="M106" s="58">
        <v>72</v>
      </c>
      <c r="N106" s="58">
        <v>68</v>
      </c>
      <c r="O106" s="58">
        <v>69</v>
      </c>
      <c r="Q106" s="791" t="s">
        <v>2503</v>
      </c>
    </row>
    <row r="107" spans="1:17" ht="15.75" thickBot="1">
      <c r="A107" s="800"/>
      <c r="B107" s="791"/>
      <c r="C107" s="55" t="s">
        <v>196</v>
      </c>
      <c r="D107" s="799">
        <f t="shared" ref="D107:L107" si="84">D105+D106</f>
        <v>6156</v>
      </c>
      <c r="E107" s="799">
        <f t="shared" si="84"/>
        <v>6204</v>
      </c>
      <c r="F107" s="799">
        <f t="shared" si="84"/>
        <v>6216</v>
      </c>
      <c r="G107" s="799">
        <f t="shared" si="84"/>
        <v>6234</v>
      </c>
      <c r="H107" s="799">
        <f t="shared" si="84"/>
        <v>6365</v>
      </c>
      <c r="I107" s="799">
        <f t="shared" si="84"/>
        <v>6331</v>
      </c>
      <c r="J107" s="799">
        <f t="shared" si="84"/>
        <v>5944</v>
      </c>
      <c r="K107" s="799">
        <f t="shared" si="84"/>
        <v>6150</v>
      </c>
      <c r="L107" s="799">
        <f t="shared" si="84"/>
        <v>6368</v>
      </c>
      <c r="M107" s="799">
        <f>M105+M106</f>
        <v>6287</v>
      </c>
      <c r="N107" s="799">
        <f>N105+N106</f>
        <v>6321</v>
      </c>
      <c r="O107" s="799">
        <f>O105+O106</f>
        <v>6321</v>
      </c>
      <c r="Q107" s="791"/>
    </row>
    <row r="108" spans="1:17">
      <c r="A108" s="800">
        <v>16</v>
      </c>
      <c r="B108" s="791" t="s">
        <v>6220</v>
      </c>
      <c r="C108" s="55" t="s">
        <v>142</v>
      </c>
      <c r="D108" s="793">
        <v>4145</v>
      </c>
      <c r="E108" s="793">
        <v>4165</v>
      </c>
      <c r="F108" s="793">
        <v>4050</v>
      </c>
      <c r="G108" s="793">
        <v>4191</v>
      </c>
      <c r="H108" s="63">
        <v>4164</v>
      </c>
      <c r="I108" s="63">
        <v>4063</v>
      </c>
      <c r="J108" s="63">
        <v>3698</v>
      </c>
      <c r="K108" s="56">
        <v>3825</v>
      </c>
      <c r="L108" s="56">
        <v>3999</v>
      </c>
      <c r="M108" s="56">
        <v>4068</v>
      </c>
      <c r="N108" s="56">
        <v>4243</v>
      </c>
      <c r="O108" s="56">
        <v>4273</v>
      </c>
      <c r="Q108" s="791" t="s">
        <v>2490</v>
      </c>
    </row>
    <row r="109" spans="1:17">
      <c r="A109" s="800">
        <v>17</v>
      </c>
      <c r="B109" s="791" t="s">
        <v>6221</v>
      </c>
      <c r="C109" s="55" t="s">
        <v>143</v>
      </c>
      <c r="D109" s="793">
        <v>6980</v>
      </c>
      <c r="E109" s="793">
        <v>7017</v>
      </c>
      <c r="F109" s="793">
        <v>7024</v>
      </c>
      <c r="G109" s="793">
        <v>7057</v>
      </c>
      <c r="H109" s="63">
        <v>7074</v>
      </c>
      <c r="I109" s="63">
        <v>7039</v>
      </c>
      <c r="J109" s="63">
        <v>6553</v>
      </c>
      <c r="K109" s="56">
        <v>6827</v>
      </c>
      <c r="L109" s="56">
        <v>7095</v>
      </c>
      <c r="M109" s="56">
        <v>7042</v>
      </c>
      <c r="N109" s="56">
        <v>7249</v>
      </c>
      <c r="O109" s="56">
        <v>7263</v>
      </c>
      <c r="Q109" s="791" t="s">
        <v>2490</v>
      </c>
    </row>
    <row r="110" spans="1:17">
      <c r="A110" s="800">
        <v>18</v>
      </c>
      <c r="B110" s="791" t="s">
        <v>6222</v>
      </c>
      <c r="C110" s="55" t="s">
        <v>144</v>
      </c>
      <c r="D110" s="793">
        <v>4693</v>
      </c>
      <c r="E110" s="793">
        <v>4674</v>
      </c>
      <c r="F110" s="793">
        <v>4661</v>
      </c>
      <c r="G110" s="793">
        <v>4655</v>
      </c>
      <c r="H110" s="63">
        <v>4607</v>
      </c>
      <c r="I110" s="63">
        <v>4597</v>
      </c>
      <c r="J110" s="63">
        <v>4288</v>
      </c>
      <c r="K110" s="56">
        <v>4426</v>
      </c>
      <c r="L110" s="56">
        <v>4448</v>
      </c>
      <c r="M110" s="56">
        <v>4405</v>
      </c>
      <c r="N110" s="56">
        <v>4466</v>
      </c>
      <c r="O110" s="56">
        <v>4466</v>
      </c>
      <c r="Q110" s="791" t="s">
        <v>2490</v>
      </c>
    </row>
    <row r="111" spans="1:17">
      <c r="A111" s="800">
        <v>19</v>
      </c>
      <c r="B111" s="791" t="s">
        <v>6223</v>
      </c>
      <c r="C111" s="55" t="s">
        <v>197</v>
      </c>
      <c r="D111" s="793">
        <v>4641</v>
      </c>
      <c r="E111" s="793">
        <v>4646</v>
      </c>
      <c r="F111" s="793">
        <v>4608</v>
      </c>
      <c r="G111" s="793">
        <v>4657</v>
      </c>
      <c r="H111" s="63">
        <v>4724</v>
      </c>
      <c r="I111" s="63">
        <v>4646</v>
      </c>
      <c r="J111" s="63">
        <v>4407</v>
      </c>
      <c r="K111" s="56">
        <v>4613</v>
      </c>
      <c r="L111" s="56">
        <v>4786</v>
      </c>
      <c r="M111" s="56">
        <v>4851</v>
      </c>
      <c r="N111" s="56">
        <v>5130</v>
      </c>
      <c r="O111" s="56">
        <v>5124</v>
      </c>
      <c r="Q111" s="791" t="s">
        <v>2490</v>
      </c>
    </row>
    <row r="112" spans="1:17">
      <c r="A112" s="800">
        <v>20</v>
      </c>
      <c r="B112" s="791" t="s">
        <v>6224</v>
      </c>
      <c r="C112" s="55" t="s">
        <v>145</v>
      </c>
      <c r="D112" s="793">
        <v>4591</v>
      </c>
      <c r="E112" s="793">
        <v>4581</v>
      </c>
      <c r="F112" s="793">
        <v>4683</v>
      </c>
      <c r="G112" s="793">
        <v>4718</v>
      </c>
      <c r="H112" s="63">
        <v>4762</v>
      </c>
      <c r="I112" s="63">
        <v>4691</v>
      </c>
      <c r="J112" s="63">
        <v>4187</v>
      </c>
      <c r="K112" s="56">
        <v>4319</v>
      </c>
      <c r="L112" s="56">
        <v>4377</v>
      </c>
      <c r="M112" s="56">
        <v>4369</v>
      </c>
      <c r="N112" s="56">
        <v>4473</v>
      </c>
      <c r="O112" s="56">
        <v>4480</v>
      </c>
      <c r="Q112" s="791" t="s">
        <v>2490</v>
      </c>
    </row>
    <row r="113" spans="1:17">
      <c r="A113" s="800">
        <v>21</v>
      </c>
      <c r="B113" s="791" t="s">
        <v>6225</v>
      </c>
      <c r="C113" s="55" t="s">
        <v>146</v>
      </c>
      <c r="D113" s="793">
        <v>2183</v>
      </c>
      <c r="E113" s="793">
        <v>2196</v>
      </c>
      <c r="F113" s="793">
        <v>2227</v>
      </c>
      <c r="G113" s="793">
        <v>2243</v>
      </c>
      <c r="H113" s="63">
        <v>2251</v>
      </c>
      <c r="I113" s="63">
        <v>2233</v>
      </c>
      <c r="J113" s="63">
        <v>2113</v>
      </c>
      <c r="K113" s="58">
        <v>2379</v>
      </c>
      <c r="L113" s="58">
        <v>2681</v>
      </c>
      <c r="M113" s="58">
        <v>2849</v>
      </c>
      <c r="N113" s="58">
        <v>3115</v>
      </c>
      <c r="O113" s="58">
        <v>3118</v>
      </c>
      <c r="Q113" s="791" t="s">
        <v>2496</v>
      </c>
    </row>
    <row r="114" spans="1:17">
      <c r="A114" s="800">
        <v>22</v>
      </c>
      <c r="B114" s="791" t="s">
        <v>6226</v>
      </c>
      <c r="C114" s="55" t="s">
        <v>147</v>
      </c>
      <c r="D114" s="793">
        <v>4311</v>
      </c>
      <c r="E114" s="793">
        <v>4269</v>
      </c>
      <c r="F114" s="793">
        <v>4326</v>
      </c>
      <c r="G114" s="793">
        <v>4366</v>
      </c>
      <c r="H114" s="63">
        <v>4459</v>
      </c>
      <c r="I114" s="63">
        <v>4472</v>
      </c>
      <c r="J114" s="63">
        <v>4172</v>
      </c>
      <c r="K114" s="56">
        <v>4232</v>
      </c>
      <c r="L114" s="56">
        <v>4331</v>
      </c>
      <c r="M114" s="56">
        <v>4317</v>
      </c>
      <c r="N114" s="56">
        <v>4345</v>
      </c>
      <c r="O114" s="56">
        <v>4336</v>
      </c>
      <c r="Q114" s="791" t="s">
        <v>2490</v>
      </c>
    </row>
    <row r="115" spans="1:17">
      <c r="A115" s="800">
        <v>23</v>
      </c>
      <c r="B115" s="791" t="s">
        <v>6227</v>
      </c>
      <c r="C115" s="55" t="s">
        <v>148</v>
      </c>
      <c r="D115" s="793">
        <v>1874</v>
      </c>
      <c r="E115" s="793">
        <v>1859</v>
      </c>
      <c r="F115" s="793">
        <v>1876</v>
      </c>
      <c r="G115" s="793">
        <v>1877</v>
      </c>
      <c r="H115" s="63">
        <v>1878</v>
      </c>
      <c r="I115" s="63">
        <v>1868</v>
      </c>
      <c r="J115" s="63">
        <v>1792</v>
      </c>
      <c r="K115" s="56">
        <v>1882</v>
      </c>
      <c r="L115" s="56">
        <v>1893</v>
      </c>
      <c r="M115" s="56">
        <v>1861</v>
      </c>
      <c r="N115" s="56">
        <v>1910</v>
      </c>
      <c r="O115" s="56">
        <v>1905</v>
      </c>
      <c r="Q115" s="791" t="s">
        <v>2490</v>
      </c>
    </row>
    <row r="116" spans="1:17">
      <c r="D116" s="795"/>
      <c r="E116" s="795"/>
      <c r="F116" s="795"/>
      <c r="G116" s="795"/>
      <c r="H116" s="795"/>
      <c r="I116" s="795"/>
      <c r="J116" s="795"/>
      <c r="K116" s="795"/>
      <c r="L116" s="795"/>
      <c r="M116" s="795"/>
      <c r="N116" s="795"/>
      <c r="O116" s="795"/>
    </row>
    <row r="117" spans="1:17">
      <c r="A117" s="791" t="s">
        <v>2490</v>
      </c>
      <c r="D117" s="793">
        <f t="shared" ref="D117:I117" si="85">D91+D97+SUM(D100:D105)+SUM(D108:D112)+D114+D115</f>
        <v>69385</v>
      </c>
      <c r="E117" s="793">
        <f t="shared" si="85"/>
        <v>69538</v>
      </c>
      <c r="F117" s="793">
        <f t="shared" si="85"/>
        <v>69590</v>
      </c>
      <c r="G117" s="793">
        <f t="shared" si="85"/>
        <v>69955</v>
      </c>
      <c r="H117" s="793">
        <f t="shared" si="85"/>
        <v>70231</v>
      </c>
      <c r="I117" s="793">
        <f t="shared" si="85"/>
        <v>69532</v>
      </c>
      <c r="J117" s="793">
        <f t="shared" ref="J117:O117" si="86">J91+J97+SUM(J100:J105)+SUM(J108:J112)+J114+J115</f>
        <v>64454</v>
      </c>
      <c r="K117" s="793">
        <f t="shared" si="86"/>
        <v>66639</v>
      </c>
      <c r="L117" s="793">
        <f t="shared" si="86"/>
        <v>68716</v>
      </c>
      <c r="M117" s="793">
        <f t="shared" si="86"/>
        <v>68717</v>
      </c>
      <c r="N117" s="793">
        <f t="shared" si="86"/>
        <v>70433</v>
      </c>
      <c r="O117" s="793">
        <f t="shared" si="86"/>
        <v>70556</v>
      </c>
    </row>
    <row r="118" spans="1:17">
      <c r="A118" s="791" t="s">
        <v>6228</v>
      </c>
      <c r="D118" s="793">
        <f t="shared" ref="D118:I118" si="87">D92+D98+D113</f>
        <v>6293</v>
      </c>
      <c r="E118" s="793">
        <f t="shared" si="87"/>
        <v>6299</v>
      </c>
      <c r="F118" s="793">
        <f t="shared" si="87"/>
        <v>6347</v>
      </c>
      <c r="G118" s="793">
        <f t="shared" si="87"/>
        <v>6386</v>
      </c>
      <c r="H118" s="793">
        <f t="shared" si="87"/>
        <v>6397</v>
      </c>
      <c r="I118" s="793">
        <f t="shared" si="87"/>
        <v>6419</v>
      </c>
      <c r="J118" s="793">
        <f t="shared" ref="J118:O118" si="88">J92+J98+J113</f>
        <v>6007</v>
      </c>
      <c r="K118" s="793">
        <f t="shared" si="88"/>
        <v>6450</v>
      </c>
      <c r="L118" s="793">
        <f t="shared" si="88"/>
        <v>6835</v>
      </c>
      <c r="M118" s="793">
        <f t="shared" si="88"/>
        <v>7042</v>
      </c>
      <c r="N118" s="793">
        <f t="shared" si="88"/>
        <v>7478</v>
      </c>
      <c r="O118" s="793">
        <f t="shared" si="88"/>
        <v>7486</v>
      </c>
    </row>
    <row r="119" spans="1:17">
      <c r="A119" s="791" t="s">
        <v>5535</v>
      </c>
      <c r="D119" s="793">
        <f t="shared" ref="D119:I119" si="89">SUM(D93:D96)+D99+D106</f>
        <v>21184</v>
      </c>
      <c r="E119" s="793">
        <f t="shared" si="89"/>
        <v>21290</v>
      </c>
      <c r="F119" s="793">
        <f t="shared" si="89"/>
        <v>21503</v>
      </c>
      <c r="G119" s="793">
        <f t="shared" si="89"/>
        <v>21716</v>
      </c>
      <c r="H119" s="793">
        <f t="shared" si="89"/>
        <v>21812</v>
      </c>
      <c r="I119" s="793">
        <f t="shared" si="89"/>
        <v>21837</v>
      </c>
      <c r="J119" s="793">
        <f t="shared" ref="J119:O119" si="90">SUM(J93:J96)+J99+J106</f>
        <v>20379</v>
      </c>
      <c r="K119" s="793">
        <f t="shared" si="90"/>
        <v>21094</v>
      </c>
      <c r="L119" s="793">
        <f t="shared" si="90"/>
        <v>21648</v>
      </c>
      <c r="M119" s="793">
        <f t="shared" si="90"/>
        <v>21381</v>
      </c>
      <c r="N119" s="793">
        <f t="shared" si="90"/>
        <v>21624</v>
      </c>
      <c r="O119" s="793">
        <f t="shared" si="90"/>
        <v>21631</v>
      </c>
    </row>
    <row r="120" spans="1:17">
      <c r="A120" s="791"/>
      <c r="B120" s="791"/>
      <c r="D120" s="793"/>
      <c r="E120" s="793"/>
      <c r="F120" s="793"/>
      <c r="G120" s="793"/>
      <c r="H120" s="793"/>
      <c r="I120" s="793"/>
      <c r="J120" s="793"/>
      <c r="K120" s="793"/>
      <c r="L120" s="793"/>
      <c r="M120" s="793"/>
      <c r="N120" s="793"/>
      <c r="O120" s="793"/>
    </row>
    <row r="121" spans="1:17">
      <c r="A121" s="791" t="s">
        <v>6473</v>
      </c>
      <c r="B121" s="791"/>
      <c r="D121" s="793"/>
      <c r="E121" s="793"/>
      <c r="F121" s="793"/>
      <c r="G121" s="793"/>
      <c r="H121" s="793"/>
      <c r="I121" s="793"/>
      <c r="J121" s="793"/>
      <c r="K121" s="793"/>
      <c r="L121" s="793"/>
      <c r="M121" s="793"/>
      <c r="N121" s="793"/>
      <c r="O121" s="793"/>
    </row>
    <row r="122" spans="1:17">
      <c r="A122" s="791" t="s">
        <v>6474</v>
      </c>
      <c r="B122" s="791"/>
      <c r="D122" s="793"/>
      <c r="E122" s="793"/>
      <c r="F122" s="793"/>
      <c r="G122" s="793"/>
      <c r="H122" s="793"/>
      <c r="I122" s="793"/>
      <c r="J122" s="793"/>
      <c r="K122" s="793"/>
      <c r="L122" s="793"/>
      <c r="M122" s="793"/>
      <c r="N122" s="793"/>
      <c r="O122" s="793"/>
    </row>
    <row r="123" spans="1:17">
      <c r="A123" s="791"/>
      <c r="B123" s="791"/>
      <c r="D123" s="801"/>
      <c r="E123" s="801"/>
      <c r="F123" s="801"/>
      <c r="G123" s="801"/>
      <c r="H123" s="801"/>
      <c r="I123" s="801"/>
      <c r="J123" s="801"/>
      <c r="K123" s="801"/>
      <c r="L123" s="801"/>
      <c r="M123" s="801"/>
      <c r="N123" s="801"/>
      <c r="O123" s="801"/>
    </row>
    <row r="124" spans="1:17">
      <c r="A124" s="791"/>
      <c r="B124" s="791"/>
      <c r="D124" s="801"/>
      <c r="E124" s="801"/>
      <c r="F124" s="801"/>
      <c r="G124" s="801"/>
      <c r="H124" s="801"/>
      <c r="I124" s="801"/>
      <c r="J124" s="801"/>
      <c r="K124" s="801"/>
      <c r="L124" s="801"/>
      <c r="M124" s="801"/>
      <c r="N124" s="801"/>
      <c r="O124" s="801"/>
    </row>
    <row r="125" spans="1:17">
      <c r="E125" s="51" t="s">
        <v>1526</v>
      </c>
      <c r="F125" s="51"/>
      <c r="G125" s="51"/>
      <c r="H125" s="51"/>
      <c r="I125" s="51"/>
      <c r="J125" s="51"/>
      <c r="K125" s="51"/>
      <c r="L125" s="51"/>
      <c r="M125" s="51"/>
      <c r="N125" s="51"/>
      <c r="O125" s="51"/>
      <c r="P125" s="52"/>
      <c r="Q125" s="53" t="s">
        <v>9479</v>
      </c>
    </row>
    <row r="126" spans="1:17">
      <c r="D126" s="40">
        <v>2010</v>
      </c>
      <c r="E126" s="40">
        <v>2011</v>
      </c>
      <c r="F126" s="40">
        <v>2012</v>
      </c>
      <c r="G126" s="40">
        <v>2013</v>
      </c>
      <c r="H126" s="40">
        <v>2014</v>
      </c>
      <c r="I126" s="40">
        <v>2015</v>
      </c>
      <c r="J126" s="40">
        <v>2016</v>
      </c>
      <c r="K126" s="40">
        <v>2017</v>
      </c>
      <c r="L126" s="40">
        <v>2018</v>
      </c>
      <c r="M126" s="40">
        <v>2019</v>
      </c>
      <c r="N126" s="40">
        <v>2020</v>
      </c>
      <c r="O126" s="982" t="s">
        <v>14823</v>
      </c>
      <c r="P126" s="52"/>
      <c r="Q126" s="54" t="s">
        <v>1527</v>
      </c>
    </row>
    <row r="127" spans="1:17">
      <c r="A127" s="791" t="s">
        <v>6229</v>
      </c>
      <c r="D127" s="793">
        <f t="shared" ref="D127:M127" si="91">SUM(D128:D144)</f>
        <v>58843</v>
      </c>
      <c r="E127" s="793">
        <f t="shared" si="91"/>
        <v>57694</v>
      </c>
      <c r="F127" s="793">
        <f t="shared" si="91"/>
        <v>57137</v>
      </c>
      <c r="G127" s="793">
        <f t="shared" si="91"/>
        <v>57353</v>
      </c>
      <c r="H127" s="793">
        <f t="shared" si="91"/>
        <v>57501</v>
      </c>
      <c r="I127" s="793">
        <f t="shared" si="91"/>
        <v>56877</v>
      </c>
      <c r="J127" s="793">
        <f t="shared" si="91"/>
        <v>56533</v>
      </c>
      <c r="K127" s="793">
        <f t="shared" si="91"/>
        <v>58312</v>
      </c>
      <c r="L127" s="793">
        <f t="shared" si="91"/>
        <v>58315</v>
      </c>
      <c r="M127" s="793">
        <f t="shared" si="91"/>
        <v>57418</v>
      </c>
      <c r="N127" s="793">
        <f>SUM(N128:N144)</f>
        <v>59765</v>
      </c>
      <c r="O127" s="793">
        <f>SUM(O128:O144)</f>
        <v>59303</v>
      </c>
    </row>
    <row r="128" spans="1:17">
      <c r="A128" s="800">
        <v>1</v>
      </c>
      <c r="B128" s="163" t="s">
        <v>12266</v>
      </c>
      <c r="C128" s="55" t="s">
        <v>14704</v>
      </c>
      <c r="D128" s="793">
        <v>58843</v>
      </c>
      <c r="E128" s="793">
        <v>57694</v>
      </c>
      <c r="F128" s="793">
        <v>57137</v>
      </c>
      <c r="G128" s="56">
        <v>57353</v>
      </c>
      <c r="H128" s="56">
        <v>57501</v>
      </c>
      <c r="I128" s="56">
        <v>56877</v>
      </c>
      <c r="J128" s="56">
        <v>56533</v>
      </c>
      <c r="K128" s="56">
        <v>58312</v>
      </c>
      <c r="L128" s="56">
        <v>58315</v>
      </c>
      <c r="M128" s="56">
        <v>4405</v>
      </c>
      <c r="N128" s="56">
        <v>4897</v>
      </c>
      <c r="O128" s="56">
        <v>4860</v>
      </c>
      <c r="Q128" s="791" t="s">
        <v>2492</v>
      </c>
    </row>
    <row r="129" spans="1:17">
      <c r="A129" s="800">
        <v>2</v>
      </c>
      <c r="B129" s="163" t="s">
        <v>6230</v>
      </c>
      <c r="C129" s="55" t="s">
        <v>14705</v>
      </c>
      <c r="D129" s="793">
        <v>0</v>
      </c>
      <c r="E129" s="793">
        <v>0</v>
      </c>
      <c r="F129" s="793">
        <v>0</v>
      </c>
      <c r="G129" s="793">
        <v>0</v>
      </c>
      <c r="H129" s="793">
        <v>0</v>
      </c>
      <c r="I129" s="793">
        <v>0</v>
      </c>
      <c r="J129" s="793">
        <v>0</v>
      </c>
      <c r="K129" s="793">
        <v>0</v>
      </c>
      <c r="L129" s="793">
        <v>0</v>
      </c>
      <c r="M129" s="56">
        <v>3250</v>
      </c>
      <c r="N129" s="56">
        <v>3355</v>
      </c>
      <c r="O129" s="56">
        <v>3349</v>
      </c>
      <c r="Q129" s="791" t="s">
        <v>2492</v>
      </c>
    </row>
    <row r="130" spans="1:17">
      <c r="A130" s="800">
        <v>3</v>
      </c>
      <c r="B130" s="163" t="s">
        <v>6231</v>
      </c>
      <c r="C130" s="55" t="s">
        <v>14706</v>
      </c>
      <c r="D130" s="793">
        <v>0</v>
      </c>
      <c r="E130" s="793">
        <v>0</v>
      </c>
      <c r="F130" s="793">
        <v>0</v>
      </c>
      <c r="G130" s="793">
        <v>0</v>
      </c>
      <c r="H130" s="793">
        <v>0</v>
      </c>
      <c r="I130" s="793">
        <v>0</v>
      </c>
      <c r="J130" s="793">
        <v>0</v>
      </c>
      <c r="K130" s="793">
        <v>0</v>
      </c>
      <c r="L130" s="793">
        <v>0</v>
      </c>
      <c r="M130" s="56">
        <v>3427</v>
      </c>
      <c r="N130" s="56">
        <v>3513</v>
      </c>
      <c r="O130" s="56">
        <v>3447</v>
      </c>
      <c r="Q130" s="791" t="s">
        <v>2492</v>
      </c>
    </row>
    <row r="131" spans="1:17">
      <c r="A131" s="800">
        <v>4</v>
      </c>
      <c r="B131" s="163" t="s">
        <v>12267</v>
      </c>
      <c r="C131" s="55" t="s">
        <v>14707</v>
      </c>
      <c r="D131" s="793">
        <v>0</v>
      </c>
      <c r="E131" s="793">
        <v>0</v>
      </c>
      <c r="F131" s="793">
        <v>0</v>
      </c>
      <c r="G131" s="793">
        <v>0</v>
      </c>
      <c r="H131" s="793">
        <v>0</v>
      </c>
      <c r="I131" s="793">
        <v>0</v>
      </c>
      <c r="J131" s="793">
        <v>0</v>
      </c>
      <c r="K131" s="793">
        <v>0</v>
      </c>
      <c r="L131" s="793">
        <v>0</v>
      </c>
      <c r="M131" s="56">
        <v>3202</v>
      </c>
      <c r="N131" s="56">
        <v>3317</v>
      </c>
      <c r="O131" s="56">
        <v>3326</v>
      </c>
      <c r="Q131" s="791" t="s">
        <v>2492</v>
      </c>
    </row>
    <row r="132" spans="1:17">
      <c r="A132" s="800">
        <v>5</v>
      </c>
      <c r="B132" s="163" t="s">
        <v>12268</v>
      </c>
      <c r="C132" s="55" t="s">
        <v>14708</v>
      </c>
      <c r="D132" s="793">
        <v>0</v>
      </c>
      <c r="E132" s="793">
        <v>0</v>
      </c>
      <c r="F132" s="793">
        <v>0</v>
      </c>
      <c r="G132" s="793">
        <v>0</v>
      </c>
      <c r="H132" s="793">
        <v>0</v>
      </c>
      <c r="I132" s="793">
        <v>0</v>
      </c>
      <c r="J132" s="793">
        <v>0</v>
      </c>
      <c r="K132" s="793">
        <v>0</v>
      </c>
      <c r="L132" s="793">
        <v>0</v>
      </c>
      <c r="M132" s="56">
        <v>2487</v>
      </c>
      <c r="N132" s="56">
        <v>2632</v>
      </c>
      <c r="O132" s="56">
        <v>2607</v>
      </c>
      <c r="Q132" s="791" t="s">
        <v>2492</v>
      </c>
    </row>
    <row r="133" spans="1:17">
      <c r="A133" s="800">
        <v>6</v>
      </c>
      <c r="B133" s="163" t="s">
        <v>6232</v>
      </c>
      <c r="C133" s="55" t="s">
        <v>14709</v>
      </c>
      <c r="D133" s="793">
        <v>0</v>
      </c>
      <c r="E133" s="793">
        <v>0</v>
      </c>
      <c r="F133" s="793">
        <v>0</v>
      </c>
      <c r="G133" s="793">
        <v>0</v>
      </c>
      <c r="H133" s="793">
        <v>0</v>
      </c>
      <c r="I133" s="793">
        <v>0</v>
      </c>
      <c r="J133" s="793">
        <v>0</v>
      </c>
      <c r="K133" s="793">
        <v>0</v>
      </c>
      <c r="L133" s="793">
        <v>0</v>
      </c>
      <c r="M133" s="56">
        <v>3489</v>
      </c>
      <c r="N133" s="56">
        <v>3330</v>
      </c>
      <c r="O133" s="56">
        <v>3302</v>
      </c>
      <c r="Q133" s="791" t="s">
        <v>2492</v>
      </c>
    </row>
    <row r="134" spans="1:17">
      <c r="A134" s="800">
        <v>7</v>
      </c>
      <c r="B134" s="163" t="s">
        <v>12269</v>
      </c>
      <c r="C134" s="55" t="s">
        <v>14710</v>
      </c>
      <c r="D134" s="793">
        <v>0</v>
      </c>
      <c r="E134" s="793">
        <v>0</v>
      </c>
      <c r="F134" s="793">
        <v>0</v>
      </c>
      <c r="G134" s="793">
        <v>0</v>
      </c>
      <c r="H134" s="793">
        <v>0</v>
      </c>
      <c r="I134" s="793">
        <v>0</v>
      </c>
      <c r="J134" s="793">
        <v>0</v>
      </c>
      <c r="K134" s="793">
        <v>0</v>
      </c>
      <c r="L134" s="793">
        <v>0</v>
      </c>
      <c r="M134" s="56">
        <v>4422</v>
      </c>
      <c r="N134" s="56">
        <v>4505</v>
      </c>
      <c r="O134" s="56">
        <v>4482</v>
      </c>
      <c r="Q134" s="791" t="s">
        <v>2492</v>
      </c>
    </row>
    <row r="135" spans="1:17">
      <c r="A135" s="800">
        <v>8</v>
      </c>
      <c r="B135" s="163" t="s">
        <v>12270</v>
      </c>
      <c r="C135" s="55" t="s">
        <v>14711</v>
      </c>
      <c r="D135" s="793">
        <v>0</v>
      </c>
      <c r="E135" s="793">
        <v>0</v>
      </c>
      <c r="F135" s="793">
        <v>0</v>
      </c>
      <c r="G135" s="793">
        <v>0</v>
      </c>
      <c r="H135" s="793">
        <v>0</v>
      </c>
      <c r="I135" s="793">
        <v>0</v>
      </c>
      <c r="J135" s="793">
        <v>0</v>
      </c>
      <c r="K135" s="793">
        <v>0</v>
      </c>
      <c r="L135" s="793">
        <v>0</v>
      </c>
      <c r="M135" s="56">
        <v>1584</v>
      </c>
      <c r="N135" s="56">
        <v>1682</v>
      </c>
      <c r="O135" s="56">
        <v>1670</v>
      </c>
      <c r="Q135" s="791" t="s">
        <v>2492</v>
      </c>
    </row>
    <row r="136" spans="1:17">
      <c r="A136" s="800">
        <v>9</v>
      </c>
      <c r="B136" s="163" t="s">
        <v>5513</v>
      </c>
      <c r="C136" s="55" t="s">
        <v>14712</v>
      </c>
      <c r="D136" s="793">
        <v>0</v>
      </c>
      <c r="E136" s="793">
        <v>0</v>
      </c>
      <c r="F136" s="793">
        <v>0</v>
      </c>
      <c r="G136" s="793">
        <v>0</v>
      </c>
      <c r="H136" s="793">
        <v>0</v>
      </c>
      <c r="I136" s="793">
        <v>0</v>
      </c>
      <c r="J136" s="793">
        <v>0</v>
      </c>
      <c r="K136" s="793">
        <v>0</v>
      </c>
      <c r="L136" s="793">
        <v>0</v>
      </c>
      <c r="M136" s="56">
        <v>4453</v>
      </c>
      <c r="N136" s="56">
        <v>4753</v>
      </c>
      <c r="O136" s="56">
        <v>4713</v>
      </c>
      <c r="Q136" s="791" t="s">
        <v>2492</v>
      </c>
    </row>
    <row r="137" spans="1:17">
      <c r="A137" s="800">
        <v>10</v>
      </c>
      <c r="B137" s="163" t="s">
        <v>12271</v>
      </c>
      <c r="C137" s="55" t="s">
        <v>14713</v>
      </c>
      <c r="D137" s="793">
        <v>0</v>
      </c>
      <c r="E137" s="793">
        <v>0</v>
      </c>
      <c r="F137" s="793">
        <v>0</v>
      </c>
      <c r="G137" s="793">
        <v>0</v>
      </c>
      <c r="H137" s="793">
        <v>0</v>
      </c>
      <c r="I137" s="793">
        <v>0</v>
      </c>
      <c r="J137" s="793">
        <v>0</v>
      </c>
      <c r="K137" s="793">
        <v>0</v>
      </c>
      <c r="L137" s="793">
        <v>0</v>
      </c>
      <c r="M137" s="56">
        <v>3287</v>
      </c>
      <c r="N137" s="56">
        <v>3373</v>
      </c>
      <c r="O137" s="56">
        <v>3323</v>
      </c>
      <c r="Q137" s="791" t="s">
        <v>2492</v>
      </c>
    </row>
    <row r="138" spans="1:17">
      <c r="A138" s="800">
        <v>11</v>
      </c>
      <c r="B138" s="163" t="s">
        <v>5514</v>
      </c>
      <c r="C138" s="55" t="s">
        <v>14714</v>
      </c>
      <c r="D138" s="793">
        <v>0</v>
      </c>
      <c r="E138" s="793">
        <v>0</v>
      </c>
      <c r="F138" s="793">
        <v>0</v>
      </c>
      <c r="G138" s="793">
        <v>0</v>
      </c>
      <c r="H138" s="793">
        <v>0</v>
      </c>
      <c r="I138" s="793">
        <v>0</v>
      </c>
      <c r="J138" s="793">
        <v>0</v>
      </c>
      <c r="K138" s="793">
        <v>0</v>
      </c>
      <c r="L138" s="793">
        <v>0</v>
      </c>
      <c r="M138" s="56">
        <v>3204</v>
      </c>
      <c r="N138" s="56">
        <v>3359</v>
      </c>
      <c r="O138" s="56">
        <v>3320</v>
      </c>
      <c r="Q138" s="791" t="s">
        <v>2492</v>
      </c>
    </row>
    <row r="139" spans="1:17">
      <c r="A139" s="800">
        <v>12</v>
      </c>
      <c r="B139" s="163" t="s">
        <v>12272</v>
      </c>
      <c r="C139" s="55" t="s">
        <v>14715</v>
      </c>
      <c r="D139" s="793">
        <v>0</v>
      </c>
      <c r="E139" s="793">
        <v>0</v>
      </c>
      <c r="F139" s="793">
        <v>0</v>
      </c>
      <c r="G139" s="793">
        <v>0</v>
      </c>
      <c r="H139" s="793">
        <v>0</v>
      </c>
      <c r="I139" s="793">
        <v>0</v>
      </c>
      <c r="J139" s="793">
        <v>0</v>
      </c>
      <c r="K139" s="793">
        <v>0</v>
      </c>
      <c r="L139" s="793">
        <v>0</v>
      </c>
      <c r="M139" s="56">
        <v>3315</v>
      </c>
      <c r="N139" s="56">
        <v>3396</v>
      </c>
      <c r="O139" s="56">
        <v>3342</v>
      </c>
      <c r="Q139" s="791" t="s">
        <v>2492</v>
      </c>
    </row>
    <row r="140" spans="1:17">
      <c r="A140" s="800">
        <v>13</v>
      </c>
      <c r="B140" s="163" t="s">
        <v>12273</v>
      </c>
      <c r="C140" s="55" t="s">
        <v>14716</v>
      </c>
      <c r="D140" s="793">
        <v>0</v>
      </c>
      <c r="E140" s="793">
        <v>0</v>
      </c>
      <c r="F140" s="793">
        <v>0</v>
      </c>
      <c r="G140" s="793">
        <v>0</v>
      </c>
      <c r="H140" s="793">
        <v>0</v>
      </c>
      <c r="I140" s="793">
        <v>0</v>
      </c>
      <c r="J140" s="793">
        <v>0</v>
      </c>
      <c r="K140" s="793">
        <v>0</v>
      </c>
      <c r="L140" s="793">
        <v>0</v>
      </c>
      <c r="M140" s="56">
        <v>2630</v>
      </c>
      <c r="N140" s="56">
        <v>2776</v>
      </c>
      <c r="O140" s="56">
        <v>2742</v>
      </c>
      <c r="Q140" s="791" t="s">
        <v>2492</v>
      </c>
    </row>
    <row r="141" spans="1:17">
      <c r="A141" s="800">
        <v>14</v>
      </c>
      <c r="B141" s="163" t="s">
        <v>2580</v>
      </c>
      <c r="C141" s="55" t="s">
        <v>14717</v>
      </c>
      <c r="D141" s="793">
        <v>0</v>
      </c>
      <c r="E141" s="793">
        <v>0</v>
      </c>
      <c r="F141" s="793">
        <v>0</v>
      </c>
      <c r="G141" s="793">
        <v>0</v>
      </c>
      <c r="H141" s="793">
        <v>0</v>
      </c>
      <c r="I141" s="793">
        <v>0</v>
      </c>
      <c r="J141" s="793">
        <v>0</v>
      </c>
      <c r="K141" s="793">
        <v>0</v>
      </c>
      <c r="L141" s="793">
        <v>0</v>
      </c>
      <c r="M141" s="56">
        <v>3485</v>
      </c>
      <c r="N141" s="56">
        <v>3535</v>
      </c>
      <c r="O141" s="56">
        <v>3511</v>
      </c>
      <c r="Q141" s="791" t="s">
        <v>2492</v>
      </c>
    </row>
    <row r="142" spans="1:17">
      <c r="A142" s="800">
        <v>15</v>
      </c>
      <c r="B142" s="163" t="s">
        <v>2581</v>
      </c>
      <c r="C142" s="55" t="s">
        <v>14718</v>
      </c>
      <c r="D142" s="793">
        <v>0</v>
      </c>
      <c r="E142" s="793">
        <v>0</v>
      </c>
      <c r="F142" s="793">
        <v>0</v>
      </c>
      <c r="G142" s="793">
        <v>0</v>
      </c>
      <c r="H142" s="793">
        <v>0</v>
      </c>
      <c r="I142" s="793">
        <v>0</v>
      </c>
      <c r="J142" s="793">
        <v>0</v>
      </c>
      <c r="K142" s="793">
        <v>0</v>
      </c>
      <c r="L142" s="793">
        <v>0</v>
      </c>
      <c r="M142" s="56">
        <v>4839</v>
      </c>
      <c r="N142" s="56">
        <v>5084</v>
      </c>
      <c r="O142" s="56">
        <v>5057</v>
      </c>
      <c r="Q142" s="791" t="s">
        <v>2492</v>
      </c>
    </row>
    <row r="143" spans="1:17">
      <c r="A143" s="800">
        <v>16</v>
      </c>
      <c r="B143" s="163" t="s">
        <v>2582</v>
      </c>
      <c r="C143" s="55" t="s">
        <v>14719</v>
      </c>
      <c r="D143" s="793">
        <v>0</v>
      </c>
      <c r="E143" s="793">
        <v>0</v>
      </c>
      <c r="F143" s="793">
        <v>0</v>
      </c>
      <c r="G143" s="793">
        <v>0</v>
      </c>
      <c r="H143" s="793">
        <v>0</v>
      </c>
      <c r="I143" s="793">
        <v>0</v>
      </c>
      <c r="J143" s="793">
        <v>0</v>
      </c>
      <c r="K143" s="793">
        <v>0</v>
      </c>
      <c r="L143" s="793">
        <v>0</v>
      </c>
      <c r="M143" s="58">
        <v>3001</v>
      </c>
      <c r="N143" s="58">
        <v>3248</v>
      </c>
      <c r="O143" s="58">
        <v>3252</v>
      </c>
      <c r="Q143" s="791" t="s">
        <v>2492</v>
      </c>
    </row>
    <row r="144" spans="1:17">
      <c r="A144" s="800">
        <v>17</v>
      </c>
      <c r="B144" s="163" t="s">
        <v>4012</v>
      </c>
      <c r="C144" s="55" t="s">
        <v>14720</v>
      </c>
      <c r="D144" s="793">
        <v>0</v>
      </c>
      <c r="E144" s="793">
        <v>0</v>
      </c>
      <c r="F144" s="793">
        <v>0</v>
      </c>
      <c r="G144" s="793">
        <v>0</v>
      </c>
      <c r="H144" s="793">
        <v>0</v>
      </c>
      <c r="I144" s="793">
        <v>0</v>
      </c>
      <c r="J144" s="793">
        <v>0</v>
      </c>
      <c r="K144" s="793">
        <v>0</v>
      </c>
      <c r="L144" s="793">
        <v>0</v>
      </c>
      <c r="M144" s="58">
        <v>2938</v>
      </c>
      <c r="N144" s="58">
        <v>3010</v>
      </c>
      <c r="O144" s="58">
        <v>3000</v>
      </c>
      <c r="Q144" s="791" t="s">
        <v>2492</v>
      </c>
    </row>
    <row r="145" spans="1:17">
      <c r="D145" s="795"/>
      <c r="E145" s="795"/>
      <c r="F145" s="795"/>
      <c r="G145" s="795"/>
      <c r="H145" s="795"/>
      <c r="I145" s="795"/>
      <c r="J145" s="795"/>
      <c r="K145" s="795"/>
      <c r="L145" s="795"/>
      <c r="M145" s="795"/>
      <c r="N145" s="795"/>
      <c r="O145" s="795"/>
    </row>
    <row r="146" spans="1:17">
      <c r="A146" s="791" t="s">
        <v>4013</v>
      </c>
      <c r="D146" s="793">
        <f t="shared" ref="D146:L146" si="92">SUM(D128:D144)</f>
        <v>58843</v>
      </c>
      <c r="E146" s="793">
        <f t="shared" si="92"/>
        <v>57694</v>
      </c>
      <c r="F146" s="793">
        <f t="shared" si="92"/>
        <v>57137</v>
      </c>
      <c r="G146" s="793">
        <f t="shared" si="92"/>
        <v>57353</v>
      </c>
      <c r="H146" s="793">
        <f t="shared" si="92"/>
        <v>57501</v>
      </c>
      <c r="I146" s="793">
        <f t="shared" si="92"/>
        <v>56877</v>
      </c>
      <c r="J146" s="793">
        <f t="shared" si="92"/>
        <v>56533</v>
      </c>
      <c r="K146" s="793">
        <f t="shared" si="92"/>
        <v>58312</v>
      </c>
      <c r="L146" s="793">
        <f t="shared" si="92"/>
        <v>58315</v>
      </c>
      <c r="M146" s="793">
        <f>SUM(M128:M144)</f>
        <v>57418</v>
      </c>
      <c r="N146" s="793">
        <f>SUM(N128:N144)</f>
        <v>59765</v>
      </c>
      <c r="O146" s="793">
        <f>SUM(O128:O144)</f>
        <v>59303</v>
      </c>
    </row>
    <row r="147" spans="1:17">
      <c r="A147" s="791"/>
      <c r="B147" s="791"/>
      <c r="D147" s="793"/>
      <c r="E147" s="793"/>
      <c r="F147" s="793"/>
      <c r="G147" s="793"/>
      <c r="H147" s="793"/>
      <c r="I147" s="793"/>
      <c r="J147" s="793"/>
      <c r="K147" s="793"/>
      <c r="L147" s="793"/>
      <c r="M147" s="793"/>
      <c r="N147" s="793"/>
      <c r="O147" s="793"/>
    </row>
    <row r="148" spans="1:17">
      <c r="A148" s="791" t="s">
        <v>12274</v>
      </c>
      <c r="B148" s="791"/>
      <c r="D148" s="793"/>
      <c r="E148" s="793"/>
      <c r="F148" s="793"/>
      <c r="G148" s="793"/>
      <c r="H148" s="793"/>
      <c r="I148" s="793"/>
      <c r="J148" s="793"/>
      <c r="K148" s="793"/>
      <c r="L148" s="793"/>
      <c r="M148" s="793"/>
      <c r="N148" s="793"/>
      <c r="O148" s="793"/>
    </row>
    <row r="149" spans="1:17">
      <c r="A149" s="791"/>
      <c r="B149" s="791"/>
      <c r="D149" s="793"/>
      <c r="E149" s="793"/>
      <c r="F149" s="793"/>
      <c r="G149" s="793"/>
      <c r="H149" s="793"/>
      <c r="I149" s="793"/>
      <c r="J149" s="793"/>
      <c r="K149" s="793"/>
      <c r="L149" s="793"/>
      <c r="M149" s="793"/>
      <c r="N149" s="793"/>
      <c r="O149" s="793"/>
    </row>
    <row r="150" spans="1:17">
      <c r="A150" s="791"/>
      <c r="B150" s="791"/>
      <c r="D150" s="801"/>
      <c r="E150" s="801"/>
      <c r="F150" s="801"/>
      <c r="G150" s="801"/>
      <c r="H150" s="801"/>
      <c r="I150" s="801"/>
      <c r="J150" s="801"/>
      <c r="K150" s="801"/>
      <c r="L150" s="801"/>
      <c r="M150" s="801"/>
      <c r="N150" s="801"/>
      <c r="O150" s="801"/>
    </row>
    <row r="151" spans="1:17">
      <c r="A151" s="791"/>
      <c r="B151" s="791"/>
      <c r="D151" s="801"/>
      <c r="E151" s="801"/>
      <c r="F151" s="801"/>
      <c r="G151" s="801"/>
      <c r="H151" s="801"/>
      <c r="I151" s="801"/>
      <c r="J151" s="801"/>
      <c r="K151" s="801"/>
      <c r="L151" s="801"/>
      <c r="M151" s="801"/>
      <c r="N151" s="801"/>
      <c r="O151" s="801"/>
    </row>
    <row r="152" spans="1:17">
      <c r="E152" s="51" t="s">
        <v>1526</v>
      </c>
      <c r="F152" s="51"/>
      <c r="G152" s="51"/>
      <c r="H152" s="51"/>
      <c r="I152" s="51"/>
      <c r="J152" s="51"/>
      <c r="K152" s="51"/>
      <c r="L152" s="51"/>
      <c r="M152" s="51"/>
      <c r="N152" s="51"/>
      <c r="O152" s="51"/>
      <c r="P152" s="52"/>
      <c r="Q152" s="53" t="s">
        <v>9479</v>
      </c>
    </row>
    <row r="153" spans="1:17">
      <c r="D153" s="40">
        <v>2010</v>
      </c>
      <c r="E153" s="40">
        <v>2011</v>
      </c>
      <c r="F153" s="40">
        <v>2012</v>
      </c>
      <c r="G153" s="40">
        <v>2013</v>
      </c>
      <c r="H153" s="40">
        <v>2014</v>
      </c>
      <c r="I153" s="40">
        <v>2015</v>
      </c>
      <c r="J153" s="40">
        <v>2016</v>
      </c>
      <c r="K153" s="40">
        <v>2017</v>
      </c>
      <c r="L153" s="40">
        <v>2018</v>
      </c>
      <c r="M153" s="40">
        <v>2019</v>
      </c>
      <c r="N153" s="40">
        <v>2020</v>
      </c>
      <c r="O153" s="982" t="s">
        <v>14823</v>
      </c>
      <c r="P153" s="52"/>
      <c r="Q153" s="54" t="s">
        <v>1527</v>
      </c>
    </row>
    <row r="154" spans="1:17">
      <c r="A154" s="791" t="s">
        <v>4014</v>
      </c>
      <c r="D154" s="793">
        <f t="shared" ref="D154:I154" si="93">SUM(D155:D173)</f>
        <v>80031</v>
      </c>
      <c r="E154" s="793">
        <f t="shared" si="93"/>
        <v>80945</v>
      </c>
      <c r="F154" s="793">
        <f t="shared" si="93"/>
        <v>80718</v>
      </c>
      <c r="G154" s="793">
        <f t="shared" si="93"/>
        <v>81633</v>
      </c>
      <c r="H154" s="793">
        <f t="shared" si="93"/>
        <v>80351</v>
      </c>
      <c r="I154" s="793">
        <f t="shared" si="93"/>
        <v>77709</v>
      </c>
      <c r="J154" s="793">
        <f t="shared" ref="J154:O154" si="94">SUM(J155:J173)</f>
        <v>79028</v>
      </c>
      <c r="K154" s="793">
        <f t="shared" si="94"/>
        <v>79656</v>
      </c>
      <c r="L154" s="793">
        <f t="shared" si="94"/>
        <v>78758</v>
      </c>
      <c r="M154" s="793">
        <f t="shared" si="94"/>
        <v>77176</v>
      </c>
      <c r="N154" s="793">
        <f t="shared" si="94"/>
        <v>78420</v>
      </c>
      <c r="O154" s="793">
        <f t="shared" si="94"/>
        <v>78471</v>
      </c>
    </row>
    <row r="155" spans="1:17">
      <c r="A155" s="800">
        <v>1</v>
      </c>
      <c r="B155" s="791" t="s">
        <v>4015</v>
      </c>
      <c r="C155" s="55" t="s">
        <v>149</v>
      </c>
      <c r="D155" s="793">
        <v>4524</v>
      </c>
      <c r="E155" s="793">
        <v>4559</v>
      </c>
      <c r="F155" s="793">
        <v>4591</v>
      </c>
      <c r="G155" s="58">
        <v>4567</v>
      </c>
      <c r="H155" s="58">
        <v>4517</v>
      </c>
      <c r="I155" s="58">
        <v>4333</v>
      </c>
      <c r="J155" s="58">
        <v>4378</v>
      </c>
      <c r="K155" s="58">
        <v>4401</v>
      </c>
      <c r="L155" s="58">
        <v>4345</v>
      </c>
      <c r="M155" s="58">
        <v>4273</v>
      </c>
      <c r="N155" s="58">
        <v>4298</v>
      </c>
      <c r="O155" s="58">
        <v>4314</v>
      </c>
      <c r="Q155" s="791" t="s">
        <v>2504</v>
      </c>
    </row>
    <row r="156" spans="1:17">
      <c r="A156" s="800">
        <v>2</v>
      </c>
      <c r="B156" s="791" t="s">
        <v>4016</v>
      </c>
      <c r="C156" s="55" t="s">
        <v>150</v>
      </c>
      <c r="D156" s="793">
        <v>3084</v>
      </c>
      <c r="E156" s="793">
        <v>3167</v>
      </c>
      <c r="F156" s="793">
        <v>3170</v>
      </c>
      <c r="G156" s="56">
        <v>3249</v>
      </c>
      <c r="H156" s="56">
        <v>3135</v>
      </c>
      <c r="I156" s="56">
        <v>2943</v>
      </c>
      <c r="J156" s="56">
        <v>2956</v>
      </c>
      <c r="K156" s="56">
        <v>3028</v>
      </c>
      <c r="L156" s="56">
        <v>3041</v>
      </c>
      <c r="M156" s="56">
        <v>3063</v>
      </c>
      <c r="N156" s="56">
        <v>3129</v>
      </c>
      <c r="O156" s="56">
        <v>3097</v>
      </c>
      <c r="Q156" s="791" t="s">
        <v>2494</v>
      </c>
    </row>
    <row r="157" spans="1:17">
      <c r="A157" s="800">
        <v>3</v>
      </c>
      <c r="B157" s="791" t="s">
        <v>4017</v>
      </c>
      <c r="C157" s="55" t="s">
        <v>151</v>
      </c>
      <c r="D157" s="793">
        <v>4773</v>
      </c>
      <c r="E157" s="793">
        <v>4901</v>
      </c>
      <c r="F157" s="793">
        <v>4934</v>
      </c>
      <c r="G157" s="56">
        <v>4979</v>
      </c>
      <c r="H157" s="56">
        <v>4909</v>
      </c>
      <c r="I157" s="56">
        <v>4741</v>
      </c>
      <c r="J157" s="56">
        <v>4827</v>
      </c>
      <c r="K157" s="56">
        <v>4898</v>
      </c>
      <c r="L157" s="56">
        <v>4840</v>
      </c>
      <c r="M157" s="56">
        <v>4717</v>
      </c>
      <c r="N157" s="56">
        <v>4821</v>
      </c>
      <c r="O157" s="56">
        <v>4846</v>
      </c>
      <c r="Q157" s="791" t="s">
        <v>2494</v>
      </c>
    </row>
    <row r="158" spans="1:17">
      <c r="A158" s="800">
        <v>4</v>
      </c>
      <c r="B158" s="791" t="s">
        <v>4018</v>
      </c>
      <c r="C158" s="55" t="s">
        <v>152</v>
      </c>
      <c r="D158" s="793">
        <v>4845</v>
      </c>
      <c r="E158" s="793">
        <v>4994</v>
      </c>
      <c r="F158" s="793">
        <v>4906</v>
      </c>
      <c r="G158" s="56">
        <v>4973</v>
      </c>
      <c r="H158" s="56">
        <v>4928</v>
      </c>
      <c r="I158" s="56">
        <v>4820</v>
      </c>
      <c r="J158" s="56">
        <v>4936</v>
      </c>
      <c r="K158" s="56">
        <v>5012</v>
      </c>
      <c r="L158" s="56">
        <v>4961</v>
      </c>
      <c r="M158" s="56">
        <v>5005</v>
      </c>
      <c r="N158" s="56">
        <v>5122</v>
      </c>
      <c r="O158" s="56">
        <v>5155</v>
      </c>
      <c r="Q158" s="791" t="s">
        <v>2494</v>
      </c>
    </row>
    <row r="159" spans="1:17">
      <c r="A159" s="800">
        <v>5</v>
      </c>
      <c r="B159" s="791" t="s">
        <v>4019</v>
      </c>
      <c r="C159" s="55" t="s">
        <v>153</v>
      </c>
      <c r="D159" s="793">
        <v>4948</v>
      </c>
      <c r="E159" s="793">
        <v>4884</v>
      </c>
      <c r="F159" s="793">
        <v>4810</v>
      </c>
      <c r="G159" s="56">
        <v>4917</v>
      </c>
      <c r="H159" s="56">
        <v>4834</v>
      </c>
      <c r="I159" s="56">
        <v>4642</v>
      </c>
      <c r="J159" s="56">
        <v>4664</v>
      </c>
      <c r="K159" s="56">
        <v>4661</v>
      </c>
      <c r="L159" s="56">
        <v>4609</v>
      </c>
      <c r="M159" s="56">
        <v>4555</v>
      </c>
      <c r="N159" s="56">
        <v>4649</v>
      </c>
      <c r="O159" s="56">
        <v>4646</v>
      </c>
      <c r="Q159" s="791" t="s">
        <v>2494</v>
      </c>
    </row>
    <row r="160" spans="1:17">
      <c r="A160" s="800">
        <v>6</v>
      </c>
      <c r="B160" s="791" t="s">
        <v>4020</v>
      </c>
      <c r="C160" s="55" t="s">
        <v>154</v>
      </c>
      <c r="D160" s="793">
        <v>5138</v>
      </c>
      <c r="E160" s="793">
        <v>5029</v>
      </c>
      <c r="F160" s="793">
        <v>5120</v>
      </c>
      <c r="G160" s="56">
        <v>5180</v>
      </c>
      <c r="H160" s="56">
        <v>5087</v>
      </c>
      <c r="I160" s="56">
        <v>4920</v>
      </c>
      <c r="J160" s="56">
        <v>5004</v>
      </c>
      <c r="K160" s="56">
        <v>5056</v>
      </c>
      <c r="L160" s="56">
        <v>4946</v>
      </c>
      <c r="M160" s="56">
        <v>4769</v>
      </c>
      <c r="N160" s="56">
        <v>4847</v>
      </c>
      <c r="O160" s="56">
        <v>4860</v>
      </c>
      <c r="Q160" s="791" t="s">
        <v>2494</v>
      </c>
    </row>
    <row r="161" spans="1:17">
      <c r="A161" s="800">
        <v>7</v>
      </c>
      <c r="B161" s="791" t="s">
        <v>4021</v>
      </c>
      <c r="C161" s="55" t="s">
        <v>155</v>
      </c>
      <c r="D161" s="793">
        <v>5874</v>
      </c>
      <c r="E161" s="793">
        <v>6051</v>
      </c>
      <c r="F161" s="793">
        <v>5908</v>
      </c>
      <c r="G161" s="56">
        <v>5998</v>
      </c>
      <c r="H161" s="56">
        <v>5968</v>
      </c>
      <c r="I161" s="56">
        <v>5855</v>
      </c>
      <c r="J161" s="56">
        <v>5885</v>
      </c>
      <c r="K161" s="56">
        <v>5889</v>
      </c>
      <c r="L161" s="56">
        <v>5821</v>
      </c>
      <c r="M161" s="56">
        <v>5671</v>
      </c>
      <c r="N161" s="56">
        <v>5727</v>
      </c>
      <c r="O161" s="56">
        <v>5728</v>
      </c>
      <c r="Q161" s="791" t="s">
        <v>2494</v>
      </c>
    </row>
    <row r="162" spans="1:17">
      <c r="A162" s="800">
        <v>8</v>
      </c>
      <c r="B162" s="791" t="s">
        <v>4022</v>
      </c>
      <c r="C162" s="55" t="s">
        <v>156</v>
      </c>
      <c r="D162" s="793">
        <v>3235</v>
      </c>
      <c r="E162" s="793">
        <v>3270</v>
      </c>
      <c r="F162" s="793">
        <v>3306</v>
      </c>
      <c r="G162" s="56">
        <v>3374</v>
      </c>
      <c r="H162" s="56">
        <v>3245</v>
      </c>
      <c r="I162" s="56">
        <v>3068</v>
      </c>
      <c r="J162" s="56">
        <v>3142</v>
      </c>
      <c r="K162" s="56">
        <v>3158</v>
      </c>
      <c r="L162" s="56">
        <v>3107</v>
      </c>
      <c r="M162" s="56">
        <v>2932</v>
      </c>
      <c r="N162" s="56">
        <v>3018</v>
      </c>
      <c r="O162" s="56">
        <v>3039</v>
      </c>
      <c r="Q162" s="791" t="s">
        <v>2494</v>
      </c>
    </row>
    <row r="163" spans="1:17">
      <c r="A163" s="800">
        <v>9</v>
      </c>
      <c r="B163" s="791" t="s">
        <v>4023</v>
      </c>
      <c r="C163" s="55" t="s">
        <v>157</v>
      </c>
      <c r="D163" s="793">
        <v>3301</v>
      </c>
      <c r="E163" s="793">
        <v>3322</v>
      </c>
      <c r="F163" s="793">
        <v>3327</v>
      </c>
      <c r="G163" s="56">
        <v>3330</v>
      </c>
      <c r="H163" s="56">
        <v>3278</v>
      </c>
      <c r="I163" s="56">
        <v>3184</v>
      </c>
      <c r="J163" s="56">
        <v>3255</v>
      </c>
      <c r="K163" s="56">
        <v>3200</v>
      </c>
      <c r="L163" s="56">
        <v>3205</v>
      </c>
      <c r="M163" s="56">
        <v>3178</v>
      </c>
      <c r="N163" s="56">
        <v>3184</v>
      </c>
      <c r="O163" s="56">
        <v>3176</v>
      </c>
      <c r="Q163" s="791" t="s">
        <v>2494</v>
      </c>
    </row>
    <row r="164" spans="1:17">
      <c r="A164" s="800">
        <v>10</v>
      </c>
      <c r="B164" s="791" t="s">
        <v>4024</v>
      </c>
      <c r="C164" s="55" t="s">
        <v>158</v>
      </c>
      <c r="D164" s="793">
        <v>3132</v>
      </c>
      <c r="E164" s="793">
        <v>3127</v>
      </c>
      <c r="F164" s="793">
        <v>3162</v>
      </c>
      <c r="G164" s="56">
        <v>3185</v>
      </c>
      <c r="H164" s="56">
        <v>3028</v>
      </c>
      <c r="I164" s="56">
        <v>2925</v>
      </c>
      <c r="J164" s="56">
        <v>2963</v>
      </c>
      <c r="K164" s="56">
        <v>2957</v>
      </c>
      <c r="L164" s="56">
        <v>2925</v>
      </c>
      <c r="M164" s="56">
        <v>2912</v>
      </c>
      <c r="N164" s="56">
        <v>2894</v>
      </c>
      <c r="O164" s="56">
        <v>2880</v>
      </c>
      <c r="Q164" s="791" t="s">
        <v>2494</v>
      </c>
    </row>
    <row r="165" spans="1:17">
      <c r="A165" s="800">
        <v>11</v>
      </c>
      <c r="B165" s="791" t="s">
        <v>4025</v>
      </c>
      <c r="C165" s="55" t="s">
        <v>159</v>
      </c>
      <c r="D165" s="793">
        <v>3430</v>
      </c>
      <c r="E165" s="793">
        <v>3520</v>
      </c>
      <c r="F165" s="793">
        <v>3516</v>
      </c>
      <c r="G165" s="58">
        <v>3524</v>
      </c>
      <c r="H165" s="58">
        <v>3466</v>
      </c>
      <c r="I165" s="58">
        <v>3330</v>
      </c>
      <c r="J165" s="58">
        <v>3353</v>
      </c>
      <c r="K165" s="58">
        <v>3437</v>
      </c>
      <c r="L165" s="58">
        <v>3471</v>
      </c>
      <c r="M165" s="58">
        <v>3372</v>
      </c>
      <c r="N165" s="58">
        <v>3441</v>
      </c>
      <c r="O165" s="58">
        <v>3435</v>
      </c>
      <c r="Q165" s="791" t="s">
        <v>2504</v>
      </c>
    </row>
    <row r="166" spans="1:17">
      <c r="A166" s="800">
        <v>12</v>
      </c>
      <c r="B166" s="791" t="s">
        <v>4026</v>
      </c>
      <c r="C166" s="55" t="s">
        <v>160</v>
      </c>
      <c r="D166" s="793">
        <v>3457</v>
      </c>
      <c r="E166" s="793">
        <v>3566</v>
      </c>
      <c r="F166" s="793">
        <v>3539</v>
      </c>
      <c r="G166" s="56">
        <v>3570</v>
      </c>
      <c r="H166" s="56">
        <v>3531</v>
      </c>
      <c r="I166" s="56">
        <v>3401</v>
      </c>
      <c r="J166" s="56">
        <v>3433</v>
      </c>
      <c r="K166" s="56">
        <v>3452</v>
      </c>
      <c r="L166" s="56">
        <v>3443</v>
      </c>
      <c r="M166" s="56">
        <v>3389</v>
      </c>
      <c r="N166" s="56">
        <v>3413</v>
      </c>
      <c r="O166" s="56">
        <v>3417</v>
      </c>
      <c r="Q166" s="791" t="s">
        <v>2494</v>
      </c>
    </row>
    <row r="167" spans="1:17">
      <c r="A167" s="800">
        <v>13</v>
      </c>
      <c r="B167" s="791" t="s">
        <v>4027</v>
      </c>
      <c r="C167" s="55" t="s">
        <v>161</v>
      </c>
      <c r="D167" s="793">
        <v>3355</v>
      </c>
      <c r="E167" s="793">
        <v>3385</v>
      </c>
      <c r="F167" s="793">
        <v>3375</v>
      </c>
      <c r="G167" s="56">
        <v>3372</v>
      </c>
      <c r="H167" s="56">
        <v>3346</v>
      </c>
      <c r="I167" s="56">
        <v>3224</v>
      </c>
      <c r="J167" s="56">
        <v>3234</v>
      </c>
      <c r="K167" s="56">
        <v>3306</v>
      </c>
      <c r="L167" s="56">
        <v>3268</v>
      </c>
      <c r="M167" s="56">
        <v>3166</v>
      </c>
      <c r="N167" s="56">
        <v>3247</v>
      </c>
      <c r="O167" s="56">
        <v>3259</v>
      </c>
      <c r="Q167" s="791" t="s">
        <v>2494</v>
      </c>
    </row>
    <row r="168" spans="1:17">
      <c r="A168" s="800">
        <v>14</v>
      </c>
      <c r="B168" s="791" t="s">
        <v>4028</v>
      </c>
      <c r="C168" s="55" t="s">
        <v>162</v>
      </c>
      <c r="D168" s="793">
        <v>3317</v>
      </c>
      <c r="E168" s="793">
        <v>3295</v>
      </c>
      <c r="F168" s="793">
        <v>3243</v>
      </c>
      <c r="G168" s="56">
        <v>3281</v>
      </c>
      <c r="H168" s="56">
        <v>3200</v>
      </c>
      <c r="I168" s="56">
        <v>3076</v>
      </c>
      <c r="J168" s="56">
        <v>3133</v>
      </c>
      <c r="K168" s="56">
        <v>3136</v>
      </c>
      <c r="L168" s="56">
        <v>3102</v>
      </c>
      <c r="M168" s="56">
        <v>2994</v>
      </c>
      <c r="N168" s="56">
        <v>3090</v>
      </c>
      <c r="O168" s="56">
        <v>3099</v>
      </c>
      <c r="Q168" s="791" t="s">
        <v>2494</v>
      </c>
    </row>
    <row r="169" spans="1:17">
      <c r="A169" s="800">
        <v>15</v>
      </c>
      <c r="B169" s="791" t="s">
        <v>3721</v>
      </c>
      <c r="C169" s="55" t="s">
        <v>163</v>
      </c>
      <c r="D169" s="793">
        <v>4804</v>
      </c>
      <c r="E169" s="793">
        <v>4829</v>
      </c>
      <c r="F169" s="793">
        <v>4770</v>
      </c>
      <c r="G169" s="56">
        <v>4851</v>
      </c>
      <c r="H169" s="56">
        <v>4782</v>
      </c>
      <c r="I169" s="56">
        <v>4630</v>
      </c>
      <c r="J169" s="56">
        <v>4656</v>
      </c>
      <c r="K169" s="56">
        <v>4672</v>
      </c>
      <c r="L169" s="56">
        <v>4597</v>
      </c>
      <c r="M169" s="56">
        <v>4462</v>
      </c>
      <c r="N169" s="56">
        <v>4490</v>
      </c>
      <c r="O169" s="56">
        <v>4487</v>
      </c>
      <c r="Q169" s="791" t="s">
        <v>2494</v>
      </c>
    </row>
    <row r="170" spans="1:17">
      <c r="A170" s="800">
        <v>16</v>
      </c>
      <c r="B170" s="791" t="s">
        <v>4029</v>
      </c>
      <c r="C170" s="55" t="s">
        <v>164</v>
      </c>
      <c r="D170" s="793">
        <v>3343</v>
      </c>
      <c r="E170" s="793">
        <v>3336</v>
      </c>
      <c r="F170" s="793">
        <v>3367</v>
      </c>
      <c r="G170" s="56">
        <v>3421</v>
      </c>
      <c r="H170" s="56">
        <v>3353</v>
      </c>
      <c r="I170" s="56">
        <v>3248</v>
      </c>
      <c r="J170" s="56">
        <v>3440</v>
      </c>
      <c r="K170" s="56">
        <v>3575</v>
      </c>
      <c r="L170" s="56">
        <v>3458</v>
      </c>
      <c r="M170" s="56">
        <v>3466</v>
      </c>
      <c r="N170" s="56">
        <v>3456</v>
      </c>
      <c r="O170" s="56">
        <v>3431</v>
      </c>
      <c r="Q170" s="791" t="s">
        <v>2494</v>
      </c>
    </row>
    <row r="171" spans="1:17">
      <c r="A171" s="800">
        <v>17</v>
      </c>
      <c r="B171" s="791" t="s">
        <v>4030</v>
      </c>
      <c r="C171" s="55" t="s">
        <v>165</v>
      </c>
      <c r="D171" s="795">
        <v>5698</v>
      </c>
      <c r="E171" s="795">
        <v>5893</v>
      </c>
      <c r="F171" s="795">
        <v>5885</v>
      </c>
      <c r="G171" s="56">
        <v>6022</v>
      </c>
      <c r="H171" s="56">
        <v>5956</v>
      </c>
      <c r="I171" s="56">
        <v>5733</v>
      </c>
      <c r="J171" s="56">
        <v>6011</v>
      </c>
      <c r="K171" s="56">
        <v>6057</v>
      </c>
      <c r="L171" s="56">
        <v>5968</v>
      </c>
      <c r="M171" s="56">
        <v>5839</v>
      </c>
      <c r="N171" s="56">
        <v>5998</v>
      </c>
      <c r="O171" s="56">
        <v>6023</v>
      </c>
      <c r="Q171" s="791" t="s">
        <v>2494</v>
      </c>
    </row>
    <row r="172" spans="1:17">
      <c r="A172" s="800">
        <v>18</v>
      </c>
      <c r="B172" s="791" t="s">
        <v>6140</v>
      </c>
      <c r="C172" s="55" t="s">
        <v>166</v>
      </c>
      <c r="D172" s="795">
        <v>4731</v>
      </c>
      <c r="E172" s="795">
        <v>4741</v>
      </c>
      <c r="F172" s="795">
        <v>4720</v>
      </c>
      <c r="G172" s="58">
        <v>4773</v>
      </c>
      <c r="H172" s="58">
        <v>4715</v>
      </c>
      <c r="I172" s="58">
        <v>4702</v>
      </c>
      <c r="J172" s="58">
        <v>4720</v>
      </c>
      <c r="K172" s="58">
        <v>4679</v>
      </c>
      <c r="L172" s="58">
        <v>4606</v>
      </c>
      <c r="M172" s="58">
        <v>4516</v>
      </c>
      <c r="N172" s="58">
        <v>4570</v>
      </c>
      <c r="O172" s="58">
        <v>4566</v>
      </c>
      <c r="Q172" s="791" t="s">
        <v>2494</v>
      </c>
    </row>
    <row r="173" spans="1:17">
      <c r="A173" s="800">
        <v>19</v>
      </c>
      <c r="B173" s="791" t="s">
        <v>6090</v>
      </c>
      <c r="C173" s="55" t="s">
        <v>167</v>
      </c>
      <c r="D173" s="795">
        <v>5042</v>
      </c>
      <c r="E173" s="795">
        <v>5076</v>
      </c>
      <c r="F173" s="795">
        <v>5069</v>
      </c>
      <c r="G173" s="58">
        <v>5067</v>
      </c>
      <c r="H173" s="58">
        <v>5073</v>
      </c>
      <c r="I173" s="58">
        <v>4934</v>
      </c>
      <c r="J173" s="58">
        <v>5038</v>
      </c>
      <c r="K173" s="58">
        <v>5082</v>
      </c>
      <c r="L173" s="58">
        <v>5045</v>
      </c>
      <c r="M173" s="58">
        <v>4897</v>
      </c>
      <c r="N173" s="58">
        <v>5026</v>
      </c>
      <c r="O173" s="58">
        <v>5013</v>
      </c>
      <c r="Q173" s="791" t="s">
        <v>2494</v>
      </c>
    </row>
    <row r="174" spans="1:17">
      <c r="D174" s="795"/>
      <c r="E174" s="795"/>
      <c r="F174" s="795"/>
      <c r="G174" s="795"/>
      <c r="H174" s="795"/>
      <c r="I174" s="795"/>
      <c r="J174" s="795"/>
      <c r="K174" s="795"/>
      <c r="L174" s="795"/>
      <c r="M174" s="795"/>
      <c r="N174" s="795"/>
      <c r="O174" s="795"/>
    </row>
    <row r="175" spans="1:17">
      <c r="A175" s="791" t="s">
        <v>2494</v>
      </c>
      <c r="D175" s="793">
        <f t="shared" ref="D175:I175" si="95">SUM(D156:D161)+SUM(D162:D164)+SUM(D166:D173)</f>
        <v>72077</v>
      </c>
      <c r="E175" s="793">
        <f t="shared" si="95"/>
        <v>72866</v>
      </c>
      <c r="F175" s="793">
        <f t="shared" si="95"/>
        <v>72611</v>
      </c>
      <c r="G175" s="793">
        <f t="shared" si="95"/>
        <v>73542</v>
      </c>
      <c r="H175" s="793">
        <f t="shared" si="95"/>
        <v>72368</v>
      </c>
      <c r="I175" s="793">
        <f t="shared" si="95"/>
        <v>70046</v>
      </c>
      <c r="J175" s="793">
        <f t="shared" ref="J175:O175" si="96">SUM(J156:J161)+SUM(J162:J164)+SUM(J166:J173)</f>
        <v>71297</v>
      </c>
      <c r="K175" s="793">
        <f t="shared" si="96"/>
        <v>71818</v>
      </c>
      <c r="L175" s="793">
        <f t="shared" si="96"/>
        <v>70942</v>
      </c>
      <c r="M175" s="793">
        <f t="shared" si="96"/>
        <v>69531</v>
      </c>
      <c r="N175" s="793">
        <f t="shared" si="96"/>
        <v>70681</v>
      </c>
      <c r="O175" s="793">
        <f t="shared" si="96"/>
        <v>70722</v>
      </c>
    </row>
    <row r="176" spans="1:17">
      <c r="A176" s="791" t="s">
        <v>4031</v>
      </c>
      <c r="D176" s="793">
        <f t="shared" ref="D176:I176" si="97">D155+D165</f>
        <v>7954</v>
      </c>
      <c r="E176" s="793">
        <f t="shared" si="97"/>
        <v>8079</v>
      </c>
      <c r="F176" s="793">
        <f t="shared" si="97"/>
        <v>8107</v>
      </c>
      <c r="G176" s="793">
        <f t="shared" si="97"/>
        <v>8091</v>
      </c>
      <c r="H176" s="793">
        <f t="shared" si="97"/>
        <v>7983</v>
      </c>
      <c r="I176" s="793">
        <f t="shared" si="97"/>
        <v>7663</v>
      </c>
      <c r="J176" s="793">
        <f t="shared" ref="J176:O176" si="98">J155+J165</f>
        <v>7731</v>
      </c>
      <c r="K176" s="793">
        <f t="shared" si="98"/>
        <v>7838</v>
      </c>
      <c r="L176" s="793">
        <f t="shared" si="98"/>
        <v>7816</v>
      </c>
      <c r="M176" s="793">
        <f t="shared" si="98"/>
        <v>7645</v>
      </c>
      <c r="N176" s="793">
        <f t="shared" si="98"/>
        <v>7739</v>
      </c>
      <c r="O176" s="793">
        <f t="shared" si="98"/>
        <v>7749</v>
      </c>
    </row>
    <row r="177" spans="1:17">
      <c r="A177" s="791"/>
      <c r="B177" s="791"/>
      <c r="D177" s="793"/>
      <c r="E177" s="793"/>
      <c r="F177" s="793"/>
      <c r="G177" s="793"/>
      <c r="H177" s="793"/>
      <c r="I177" s="793"/>
      <c r="J177" s="793"/>
      <c r="K177" s="793"/>
      <c r="L177" s="793"/>
      <c r="M177" s="793"/>
      <c r="N177" s="793"/>
      <c r="O177" s="793"/>
    </row>
    <row r="178" spans="1:17">
      <c r="A178" s="791" t="s">
        <v>4032</v>
      </c>
      <c r="B178" s="791"/>
      <c r="D178" s="793"/>
      <c r="E178" s="793"/>
      <c r="F178" s="793"/>
      <c r="G178" s="793"/>
      <c r="H178" s="793"/>
      <c r="I178" s="793"/>
      <c r="J178" s="793"/>
      <c r="K178" s="793"/>
      <c r="L178" s="793"/>
      <c r="M178" s="793"/>
      <c r="N178" s="793"/>
      <c r="O178" s="793"/>
    </row>
    <row r="179" spans="1:17">
      <c r="A179" s="791"/>
      <c r="B179" s="791"/>
      <c r="D179" s="801"/>
      <c r="E179" s="801"/>
      <c r="F179" s="801"/>
      <c r="G179" s="801"/>
      <c r="H179" s="801"/>
      <c r="I179" s="801"/>
      <c r="J179" s="801"/>
      <c r="K179" s="801"/>
      <c r="L179" s="801"/>
      <c r="M179" s="801"/>
      <c r="N179" s="801"/>
      <c r="O179" s="801"/>
    </row>
    <row r="180" spans="1:17">
      <c r="A180" s="791"/>
      <c r="B180" s="791"/>
      <c r="D180" s="801"/>
      <c r="E180" s="801"/>
      <c r="F180" s="801"/>
      <c r="G180" s="801"/>
      <c r="H180" s="801"/>
      <c r="I180" s="801"/>
      <c r="J180" s="801"/>
      <c r="K180" s="801"/>
      <c r="L180" s="801"/>
      <c r="M180" s="801"/>
      <c r="N180" s="801"/>
      <c r="O180" s="801"/>
    </row>
    <row r="181" spans="1:17">
      <c r="E181" s="51" t="s">
        <v>1526</v>
      </c>
      <c r="F181" s="51"/>
      <c r="G181" s="51"/>
      <c r="H181" s="51"/>
      <c r="I181" s="51"/>
      <c r="J181" s="51"/>
      <c r="K181" s="51"/>
      <c r="L181" s="51"/>
      <c r="M181" s="51"/>
      <c r="N181" s="51"/>
      <c r="O181" s="51"/>
      <c r="P181" s="52"/>
      <c r="Q181" s="53" t="s">
        <v>9479</v>
      </c>
    </row>
    <row r="182" spans="1:17">
      <c r="D182" s="40">
        <v>2010</v>
      </c>
      <c r="E182" s="40">
        <v>2011</v>
      </c>
      <c r="F182" s="40">
        <v>2012</v>
      </c>
      <c r="G182" s="40">
        <v>2013</v>
      </c>
      <c r="H182" s="40">
        <v>2014</v>
      </c>
      <c r="I182" s="40">
        <v>2015</v>
      </c>
      <c r="J182" s="40">
        <v>2016</v>
      </c>
      <c r="K182" s="40">
        <v>2017</v>
      </c>
      <c r="L182" s="40">
        <v>2018</v>
      </c>
      <c r="M182" s="40">
        <v>2019</v>
      </c>
      <c r="N182" s="40">
        <v>2020</v>
      </c>
      <c r="O182" s="982" t="s">
        <v>14823</v>
      </c>
      <c r="P182" s="52"/>
      <c r="Q182" s="54" t="s">
        <v>1527</v>
      </c>
    </row>
    <row r="183" spans="1:17">
      <c r="A183" s="791" t="s">
        <v>4033</v>
      </c>
      <c r="D183" s="793">
        <f t="shared" ref="D183:L183" si="99">SUM(D184:D208)</f>
        <v>57679</v>
      </c>
      <c r="E183" s="793">
        <f t="shared" si="99"/>
        <v>57433</v>
      </c>
      <c r="F183" s="793">
        <f t="shared" si="99"/>
        <v>57557</v>
      </c>
      <c r="G183" s="793">
        <f t="shared" si="99"/>
        <v>57719</v>
      </c>
      <c r="H183" s="793">
        <f t="shared" si="99"/>
        <v>57220</v>
      </c>
      <c r="I183" s="793">
        <f t="shared" si="99"/>
        <v>56360</v>
      </c>
      <c r="J183" s="793">
        <f t="shared" si="99"/>
        <v>54902</v>
      </c>
      <c r="K183" s="793">
        <f t="shared" si="99"/>
        <v>56655</v>
      </c>
      <c r="L183" s="793">
        <f t="shared" si="99"/>
        <v>57137</v>
      </c>
      <c r="M183" s="793">
        <f>SUM(M184:M208)</f>
        <v>56993</v>
      </c>
      <c r="N183" s="793">
        <f>SUM(N184:N208)</f>
        <v>57861</v>
      </c>
      <c r="O183" s="793">
        <f>SUM(O184:O208)</f>
        <v>57754</v>
      </c>
    </row>
    <row r="184" spans="1:17">
      <c r="A184" s="800">
        <v>1</v>
      </c>
      <c r="B184" s="791" t="s">
        <v>4034</v>
      </c>
      <c r="C184" s="55" t="s">
        <v>168</v>
      </c>
      <c r="D184" s="793">
        <v>2974</v>
      </c>
      <c r="E184" s="793">
        <v>2988</v>
      </c>
      <c r="F184" s="793">
        <v>3001</v>
      </c>
      <c r="G184" s="793">
        <v>3061</v>
      </c>
      <c r="H184" s="63">
        <v>3008</v>
      </c>
      <c r="I184" s="63">
        <v>2959</v>
      </c>
      <c r="J184" s="63">
        <v>2880</v>
      </c>
      <c r="K184" s="56">
        <v>2955</v>
      </c>
      <c r="L184" s="56">
        <v>2983</v>
      </c>
      <c r="M184" s="56">
        <v>2969</v>
      </c>
      <c r="N184" s="56">
        <v>2943</v>
      </c>
      <c r="O184" s="56">
        <v>2942</v>
      </c>
      <c r="Q184" s="791" t="s">
        <v>2496</v>
      </c>
    </row>
    <row r="185" spans="1:17">
      <c r="A185" s="800">
        <v>2</v>
      </c>
      <c r="B185" s="791" t="s">
        <v>4035</v>
      </c>
      <c r="C185" s="55" t="s">
        <v>169</v>
      </c>
      <c r="D185" s="793">
        <v>3676</v>
      </c>
      <c r="E185" s="793">
        <v>3612</v>
      </c>
      <c r="F185" s="793">
        <v>3601</v>
      </c>
      <c r="G185" s="793">
        <v>3633</v>
      </c>
      <c r="H185" s="63">
        <v>3623</v>
      </c>
      <c r="I185" s="63">
        <v>3596</v>
      </c>
      <c r="J185" s="63">
        <v>3486</v>
      </c>
      <c r="K185" s="56">
        <v>3723</v>
      </c>
      <c r="L185" s="56">
        <v>3925</v>
      </c>
      <c r="M185" s="56">
        <v>3994</v>
      </c>
      <c r="N185" s="56">
        <v>4142</v>
      </c>
      <c r="O185" s="56">
        <v>4127</v>
      </c>
      <c r="Q185" s="791" t="s">
        <v>2496</v>
      </c>
    </row>
    <row r="186" spans="1:17">
      <c r="A186" s="800">
        <v>3</v>
      </c>
      <c r="B186" s="791" t="s">
        <v>4036</v>
      </c>
      <c r="C186" s="55" t="s">
        <v>170</v>
      </c>
      <c r="D186" s="793">
        <v>3998</v>
      </c>
      <c r="E186" s="793">
        <v>4003</v>
      </c>
      <c r="F186" s="793">
        <v>3992</v>
      </c>
      <c r="G186" s="63">
        <v>3935</v>
      </c>
      <c r="H186" s="63">
        <v>3824</v>
      </c>
      <c r="I186" s="63">
        <v>3790</v>
      </c>
      <c r="J186" s="63">
        <v>3650</v>
      </c>
      <c r="K186" s="56">
        <v>3776</v>
      </c>
      <c r="L186" s="56">
        <v>3761</v>
      </c>
      <c r="M186" s="56">
        <v>3692</v>
      </c>
      <c r="N186" s="56">
        <v>3627</v>
      </c>
      <c r="O186" s="56">
        <v>3619</v>
      </c>
      <c r="Q186" s="791" t="s">
        <v>2496</v>
      </c>
    </row>
    <row r="187" spans="1:17">
      <c r="A187" s="800">
        <v>4</v>
      </c>
      <c r="B187" s="791" t="s">
        <v>4037</v>
      </c>
      <c r="C187" s="55" t="s">
        <v>171</v>
      </c>
      <c r="D187" s="793">
        <v>1602</v>
      </c>
      <c r="E187" s="793">
        <v>1568</v>
      </c>
      <c r="F187" s="793">
        <v>1570</v>
      </c>
      <c r="G187" s="63">
        <v>1581</v>
      </c>
      <c r="H187" s="63">
        <v>1548</v>
      </c>
      <c r="I187" s="63">
        <v>1546</v>
      </c>
      <c r="J187" s="63">
        <v>1467</v>
      </c>
      <c r="K187" s="56">
        <v>1504</v>
      </c>
      <c r="L187" s="56">
        <v>1511</v>
      </c>
      <c r="M187" s="56">
        <v>1493</v>
      </c>
      <c r="N187" s="56">
        <v>1503</v>
      </c>
      <c r="O187" s="56">
        <v>1503</v>
      </c>
      <c r="Q187" s="791" t="s">
        <v>2496</v>
      </c>
    </row>
    <row r="188" spans="1:17">
      <c r="A188" s="800">
        <v>5</v>
      </c>
      <c r="B188" s="791" t="s">
        <v>1231</v>
      </c>
      <c r="C188" s="55" t="s">
        <v>172</v>
      </c>
      <c r="D188" s="793">
        <v>1362</v>
      </c>
      <c r="E188" s="793">
        <v>1336</v>
      </c>
      <c r="F188" s="793">
        <v>1321</v>
      </c>
      <c r="G188" s="63">
        <v>1357</v>
      </c>
      <c r="H188" s="63">
        <v>1348</v>
      </c>
      <c r="I188" s="63">
        <v>1307</v>
      </c>
      <c r="J188" s="63">
        <v>1328</v>
      </c>
      <c r="K188" s="56">
        <v>1388</v>
      </c>
      <c r="L188" s="56">
        <v>1445</v>
      </c>
      <c r="M188" s="56">
        <v>1486</v>
      </c>
      <c r="N188" s="56">
        <v>1532</v>
      </c>
      <c r="O188" s="56">
        <v>1528</v>
      </c>
      <c r="Q188" s="791" t="s">
        <v>2496</v>
      </c>
    </row>
    <row r="189" spans="1:17">
      <c r="A189" s="800">
        <v>6</v>
      </c>
      <c r="B189" s="791" t="s">
        <v>1232</v>
      </c>
      <c r="C189" s="55" t="s">
        <v>173</v>
      </c>
      <c r="D189" s="793">
        <v>1577</v>
      </c>
      <c r="E189" s="793">
        <v>1576</v>
      </c>
      <c r="F189" s="793">
        <v>1568</v>
      </c>
      <c r="G189" s="63">
        <v>1549</v>
      </c>
      <c r="H189" s="63">
        <v>1560</v>
      </c>
      <c r="I189" s="63">
        <v>1493</v>
      </c>
      <c r="J189" s="63">
        <v>1488</v>
      </c>
      <c r="K189" s="56">
        <v>1506</v>
      </c>
      <c r="L189" s="56">
        <v>1487</v>
      </c>
      <c r="M189" s="56">
        <v>1474</v>
      </c>
      <c r="N189" s="56">
        <v>1496</v>
      </c>
      <c r="O189" s="56">
        <v>1496</v>
      </c>
      <c r="Q189" s="791" t="s">
        <v>2496</v>
      </c>
    </row>
    <row r="190" spans="1:17">
      <c r="A190" s="800">
        <v>7</v>
      </c>
      <c r="B190" s="791" t="s">
        <v>1233</v>
      </c>
      <c r="C190" s="55" t="s">
        <v>174</v>
      </c>
      <c r="D190" s="793">
        <v>1528</v>
      </c>
      <c r="E190" s="793">
        <v>1537</v>
      </c>
      <c r="F190" s="793">
        <v>1545</v>
      </c>
      <c r="G190" s="63">
        <v>1519</v>
      </c>
      <c r="H190" s="63">
        <v>1537</v>
      </c>
      <c r="I190" s="63">
        <v>1496</v>
      </c>
      <c r="J190" s="63">
        <v>1491</v>
      </c>
      <c r="K190" s="56">
        <v>1548</v>
      </c>
      <c r="L190" s="56">
        <v>1572</v>
      </c>
      <c r="M190" s="56">
        <v>1530</v>
      </c>
      <c r="N190" s="56">
        <v>1575</v>
      </c>
      <c r="O190" s="56">
        <v>1576</v>
      </c>
      <c r="Q190" s="791" t="s">
        <v>2496</v>
      </c>
    </row>
    <row r="191" spans="1:17">
      <c r="A191" s="800">
        <v>8</v>
      </c>
      <c r="B191" s="791" t="s">
        <v>1234</v>
      </c>
      <c r="C191" s="55" t="s">
        <v>175</v>
      </c>
      <c r="D191" s="793">
        <v>1410</v>
      </c>
      <c r="E191" s="793">
        <v>1448</v>
      </c>
      <c r="F191" s="793">
        <v>1396</v>
      </c>
      <c r="G191" s="63">
        <v>1387</v>
      </c>
      <c r="H191" s="63">
        <v>1383</v>
      </c>
      <c r="I191" s="63">
        <v>1360</v>
      </c>
      <c r="J191" s="63">
        <v>1324</v>
      </c>
      <c r="K191" s="56">
        <v>1363</v>
      </c>
      <c r="L191" s="56">
        <v>1346</v>
      </c>
      <c r="M191" s="56">
        <v>1333</v>
      </c>
      <c r="N191" s="56">
        <v>1381</v>
      </c>
      <c r="O191" s="56">
        <v>1374</v>
      </c>
      <c r="Q191" s="791" t="s">
        <v>2496</v>
      </c>
    </row>
    <row r="192" spans="1:17">
      <c r="A192" s="800">
        <v>9</v>
      </c>
      <c r="B192" s="791" t="s">
        <v>1235</v>
      </c>
      <c r="C192" s="55" t="s">
        <v>176</v>
      </c>
      <c r="D192" s="793">
        <v>1488</v>
      </c>
      <c r="E192" s="793">
        <v>1517</v>
      </c>
      <c r="F192" s="793">
        <v>1520</v>
      </c>
      <c r="G192" s="63">
        <v>1515</v>
      </c>
      <c r="H192" s="63">
        <v>1496</v>
      </c>
      <c r="I192" s="63">
        <v>1460</v>
      </c>
      <c r="J192" s="63">
        <v>1441</v>
      </c>
      <c r="K192" s="56">
        <v>1468</v>
      </c>
      <c r="L192" s="56">
        <v>1451</v>
      </c>
      <c r="M192" s="56">
        <v>1441</v>
      </c>
      <c r="N192" s="56">
        <v>1480</v>
      </c>
      <c r="O192" s="56">
        <v>1478</v>
      </c>
      <c r="Q192" s="791" t="s">
        <v>2496</v>
      </c>
    </row>
    <row r="193" spans="1:17">
      <c r="A193" s="800">
        <v>10</v>
      </c>
      <c r="B193" s="791" t="s">
        <v>1236</v>
      </c>
      <c r="C193" s="55" t="s">
        <v>177</v>
      </c>
      <c r="D193" s="793">
        <v>4384</v>
      </c>
      <c r="E193" s="793">
        <v>4413</v>
      </c>
      <c r="F193" s="793">
        <v>4450</v>
      </c>
      <c r="G193" s="63">
        <v>4495</v>
      </c>
      <c r="H193" s="63">
        <v>4520</v>
      </c>
      <c r="I193" s="63">
        <v>4467</v>
      </c>
      <c r="J193" s="63">
        <v>4448</v>
      </c>
      <c r="K193" s="56">
        <v>4635</v>
      </c>
      <c r="L193" s="56">
        <v>4742</v>
      </c>
      <c r="M193" s="56">
        <v>4695</v>
      </c>
      <c r="N193" s="56">
        <v>4725</v>
      </c>
      <c r="O193" s="56">
        <v>4716</v>
      </c>
      <c r="Q193" s="791" t="s">
        <v>2496</v>
      </c>
    </row>
    <row r="194" spans="1:17">
      <c r="A194" s="800">
        <v>11</v>
      </c>
      <c r="B194" s="791" t="s">
        <v>1237</v>
      </c>
      <c r="C194" s="55" t="s">
        <v>178</v>
      </c>
      <c r="D194" s="793">
        <v>1395</v>
      </c>
      <c r="E194" s="793">
        <v>1416</v>
      </c>
      <c r="F194" s="793">
        <v>1406</v>
      </c>
      <c r="G194" s="63">
        <v>1399</v>
      </c>
      <c r="H194" s="63">
        <v>1376</v>
      </c>
      <c r="I194" s="63">
        <v>1346</v>
      </c>
      <c r="J194" s="63">
        <v>1321</v>
      </c>
      <c r="K194" s="56">
        <v>1358</v>
      </c>
      <c r="L194" s="56">
        <v>1350</v>
      </c>
      <c r="M194" s="56">
        <v>1342</v>
      </c>
      <c r="N194" s="56">
        <v>1361</v>
      </c>
      <c r="O194" s="56">
        <v>1360</v>
      </c>
      <c r="Q194" s="791" t="s">
        <v>2496</v>
      </c>
    </row>
    <row r="195" spans="1:17">
      <c r="A195" s="800">
        <v>12</v>
      </c>
      <c r="B195" s="791" t="s">
        <v>1238</v>
      </c>
      <c r="C195" s="55" t="s">
        <v>179</v>
      </c>
      <c r="D195" s="793">
        <v>1564</v>
      </c>
      <c r="E195" s="793">
        <v>1538</v>
      </c>
      <c r="F195" s="793">
        <v>1531</v>
      </c>
      <c r="G195" s="63">
        <v>1531</v>
      </c>
      <c r="H195" s="63">
        <v>1555</v>
      </c>
      <c r="I195" s="63">
        <v>1542</v>
      </c>
      <c r="J195" s="63">
        <v>1528</v>
      </c>
      <c r="K195" s="56">
        <v>1543</v>
      </c>
      <c r="L195" s="56">
        <v>1540</v>
      </c>
      <c r="M195" s="56">
        <v>1541</v>
      </c>
      <c r="N195" s="56">
        <v>1635</v>
      </c>
      <c r="O195" s="56">
        <v>1627</v>
      </c>
      <c r="Q195" s="791" t="s">
        <v>2496</v>
      </c>
    </row>
    <row r="196" spans="1:17">
      <c r="A196" s="800">
        <v>13</v>
      </c>
      <c r="B196" s="791" t="s">
        <v>1239</v>
      </c>
      <c r="C196" s="55" t="s">
        <v>180</v>
      </c>
      <c r="D196" s="793">
        <v>1355</v>
      </c>
      <c r="E196" s="793">
        <v>1361</v>
      </c>
      <c r="F196" s="793">
        <v>1392</v>
      </c>
      <c r="G196" s="63">
        <v>1386</v>
      </c>
      <c r="H196" s="63">
        <v>1371</v>
      </c>
      <c r="I196" s="63">
        <v>1383</v>
      </c>
      <c r="J196" s="63">
        <v>1357</v>
      </c>
      <c r="K196" s="56">
        <v>1395</v>
      </c>
      <c r="L196" s="56">
        <v>1388</v>
      </c>
      <c r="M196" s="56">
        <v>1363</v>
      </c>
      <c r="N196" s="56">
        <v>1385</v>
      </c>
      <c r="O196" s="56">
        <v>1382</v>
      </c>
      <c r="Q196" s="791" t="s">
        <v>2496</v>
      </c>
    </row>
    <row r="197" spans="1:17">
      <c r="A197" s="800">
        <v>14</v>
      </c>
      <c r="B197" s="791" t="s">
        <v>1240</v>
      </c>
      <c r="C197" s="55" t="s">
        <v>181</v>
      </c>
      <c r="D197" s="793">
        <v>3212</v>
      </c>
      <c r="E197" s="793">
        <v>3185</v>
      </c>
      <c r="F197" s="793">
        <v>3174</v>
      </c>
      <c r="G197" s="63">
        <v>3177</v>
      </c>
      <c r="H197" s="63">
        <v>3140</v>
      </c>
      <c r="I197" s="63">
        <v>3086</v>
      </c>
      <c r="J197" s="63">
        <v>2994</v>
      </c>
      <c r="K197" s="56">
        <v>3106</v>
      </c>
      <c r="L197" s="56">
        <v>3164</v>
      </c>
      <c r="M197" s="56">
        <v>3159</v>
      </c>
      <c r="N197" s="56">
        <v>3194</v>
      </c>
      <c r="O197" s="56">
        <v>3185</v>
      </c>
      <c r="Q197" s="791" t="s">
        <v>2496</v>
      </c>
    </row>
    <row r="198" spans="1:17">
      <c r="A198" s="800">
        <v>15</v>
      </c>
      <c r="B198" s="791" t="s">
        <v>1214</v>
      </c>
      <c r="C198" s="55" t="s">
        <v>182</v>
      </c>
      <c r="D198" s="793">
        <v>1506</v>
      </c>
      <c r="E198" s="793">
        <v>1499</v>
      </c>
      <c r="F198" s="793">
        <v>1494</v>
      </c>
      <c r="G198" s="63">
        <v>1494</v>
      </c>
      <c r="H198" s="63">
        <v>1524</v>
      </c>
      <c r="I198" s="63">
        <v>1518</v>
      </c>
      <c r="J198" s="63">
        <v>1483</v>
      </c>
      <c r="K198" s="56">
        <v>1511</v>
      </c>
      <c r="L198" s="56">
        <v>1537</v>
      </c>
      <c r="M198" s="56">
        <v>1505</v>
      </c>
      <c r="N198" s="56">
        <v>1518</v>
      </c>
      <c r="O198" s="56">
        <v>1516</v>
      </c>
      <c r="Q198" s="791" t="s">
        <v>2496</v>
      </c>
    </row>
    <row r="199" spans="1:17">
      <c r="A199" s="800">
        <v>16</v>
      </c>
      <c r="B199" s="791" t="s">
        <v>1215</v>
      </c>
      <c r="C199" s="55" t="s">
        <v>183</v>
      </c>
      <c r="D199" s="793">
        <v>1336</v>
      </c>
      <c r="E199" s="793">
        <v>1333</v>
      </c>
      <c r="F199" s="793">
        <v>1339</v>
      </c>
      <c r="G199" s="63">
        <v>1334</v>
      </c>
      <c r="H199" s="63">
        <v>1304</v>
      </c>
      <c r="I199" s="63">
        <v>1302</v>
      </c>
      <c r="J199" s="63">
        <v>1246</v>
      </c>
      <c r="K199" s="58">
        <v>1261</v>
      </c>
      <c r="L199" s="58">
        <v>1287</v>
      </c>
      <c r="M199" s="58">
        <v>1274</v>
      </c>
      <c r="N199" s="58">
        <v>1293</v>
      </c>
      <c r="O199" s="58">
        <v>1288</v>
      </c>
      <c r="Q199" s="791" t="s">
        <v>2496</v>
      </c>
    </row>
    <row r="200" spans="1:17">
      <c r="A200" s="800">
        <v>17</v>
      </c>
      <c r="B200" s="791" t="s">
        <v>1216</v>
      </c>
      <c r="C200" s="55" t="s">
        <v>184</v>
      </c>
      <c r="D200" s="793">
        <v>1424</v>
      </c>
      <c r="E200" s="793">
        <v>1413</v>
      </c>
      <c r="F200" s="793">
        <v>1419</v>
      </c>
      <c r="G200" s="63">
        <v>1405</v>
      </c>
      <c r="H200" s="63">
        <v>1418</v>
      </c>
      <c r="I200" s="63">
        <v>1392</v>
      </c>
      <c r="J200" s="63">
        <v>1325</v>
      </c>
      <c r="K200" s="58">
        <v>1371</v>
      </c>
      <c r="L200" s="58">
        <v>1341</v>
      </c>
      <c r="M200" s="58">
        <v>1340</v>
      </c>
      <c r="N200" s="58">
        <v>1330</v>
      </c>
      <c r="O200" s="58">
        <v>1327</v>
      </c>
      <c r="Q200" s="791" t="s">
        <v>2496</v>
      </c>
    </row>
    <row r="201" spans="1:17">
      <c r="A201" s="800">
        <v>18</v>
      </c>
      <c r="B201" s="791" t="s">
        <v>1217</v>
      </c>
      <c r="C201" s="55" t="s">
        <v>185</v>
      </c>
      <c r="D201" s="793">
        <v>2530</v>
      </c>
      <c r="E201" s="793">
        <v>2500</v>
      </c>
      <c r="F201" s="793">
        <v>2506</v>
      </c>
      <c r="G201" s="63">
        <v>2497</v>
      </c>
      <c r="H201" s="63">
        <v>2459</v>
      </c>
      <c r="I201" s="63">
        <v>2409</v>
      </c>
      <c r="J201" s="63">
        <v>2332</v>
      </c>
      <c r="K201" s="58">
        <v>2391</v>
      </c>
      <c r="L201" s="58">
        <v>2387</v>
      </c>
      <c r="M201" s="58">
        <v>2401</v>
      </c>
      <c r="N201" s="58">
        <v>2430</v>
      </c>
      <c r="O201" s="58">
        <v>2418</v>
      </c>
      <c r="Q201" s="791" t="s">
        <v>2496</v>
      </c>
    </row>
    <row r="202" spans="1:17">
      <c r="A202" s="800">
        <v>19</v>
      </c>
      <c r="B202" s="791" t="s">
        <v>5578</v>
      </c>
      <c r="C202" s="55" t="s">
        <v>186</v>
      </c>
      <c r="D202" s="793">
        <v>4370</v>
      </c>
      <c r="E202" s="793">
        <v>4341</v>
      </c>
      <c r="F202" s="793">
        <v>4374</v>
      </c>
      <c r="G202" s="63">
        <v>4465</v>
      </c>
      <c r="H202" s="63">
        <v>4457</v>
      </c>
      <c r="I202" s="63">
        <v>4364</v>
      </c>
      <c r="J202" s="63">
        <v>4189</v>
      </c>
      <c r="K202" s="58">
        <v>4277</v>
      </c>
      <c r="L202" s="58">
        <v>4330</v>
      </c>
      <c r="M202" s="58">
        <v>4342</v>
      </c>
      <c r="N202" s="58">
        <v>4398</v>
      </c>
      <c r="O202" s="58">
        <v>4396</v>
      </c>
      <c r="Q202" s="791" t="s">
        <v>2496</v>
      </c>
    </row>
    <row r="203" spans="1:17">
      <c r="A203" s="800">
        <v>20</v>
      </c>
      <c r="B203" s="791" t="s">
        <v>5579</v>
      </c>
      <c r="C203" s="55" t="s">
        <v>187</v>
      </c>
      <c r="D203" s="793">
        <v>4416</v>
      </c>
      <c r="E203" s="793">
        <v>4396</v>
      </c>
      <c r="F203" s="793">
        <v>4422</v>
      </c>
      <c r="G203" s="63">
        <v>4460</v>
      </c>
      <c r="H203" s="63">
        <v>4380</v>
      </c>
      <c r="I203" s="63">
        <v>4282</v>
      </c>
      <c r="J203" s="63">
        <v>4144</v>
      </c>
      <c r="K203" s="58">
        <v>4285</v>
      </c>
      <c r="L203" s="58">
        <v>4287</v>
      </c>
      <c r="M203" s="58">
        <v>4303</v>
      </c>
      <c r="N203" s="58">
        <v>4431</v>
      </c>
      <c r="O203" s="58">
        <v>4426</v>
      </c>
      <c r="Q203" s="791" t="s">
        <v>2496</v>
      </c>
    </row>
    <row r="204" spans="1:17">
      <c r="A204" s="800">
        <v>21</v>
      </c>
      <c r="B204" s="791" t="s">
        <v>6396</v>
      </c>
      <c r="C204" s="55" t="s">
        <v>188</v>
      </c>
      <c r="D204" s="793">
        <v>1374</v>
      </c>
      <c r="E204" s="793">
        <v>1364</v>
      </c>
      <c r="F204" s="793">
        <v>1376</v>
      </c>
      <c r="G204" s="63">
        <v>1366</v>
      </c>
      <c r="H204" s="63">
        <v>1377</v>
      </c>
      <c r="I204" s="63">
        <v>1389</v>
      </c>
      <c r="J204" s="63">
        <v>1357</v>
      </c>
      <c r="K204" s="58">
        <v>1390</v>
      </c>
      <c r="L204" s="58">
        <v>1412</v>
      </c>
      <c r="M204" s="58">
        <v>1416</v>
      </c>
      <c r="N204" s="58">
        <v>1442</v>
      </c>
      <c r="O204" s="58">
        <v>1438</v>
      </c>
      <c r="Q204" s="791" t="s">
        <v>2496</v>
      </c>
    </row>
    <row r="205" spans="1:17">
      <c r="A205" s="800">
        <v>22</v>
      </c>
      <c r="B205" s="791" t="s">
        <v>5580</v>
      </c>
      <c r="C205" s="55" t="s">
        <v>189</v>
      </c>
      <c r="D205" s="793">
        <v>1502</v>
      </c>
      <c r="E205" s="793">
        <v>1476</v>
      </c>
      <c r="F205" s="793">
        <v>1504</v>
      </c>
      <c r="G205" s="63">
        <v>1487</v>
      </c>
      <c r="H205" s="63">
        <v>1455</v>
      </c>
      <c r="I205" s="63">
        <v>1439</v>
      </c>
      <c r="J205" s="63">
        <v>1405</v>
      </c>
      <c r="K205" s="58">
        <v>1429</v>
      </c>
      <c r="L205" s="58">
        <v>1441</v>
      </c>
      <c r="M205" s="58">
        <v>1439</v>
      </c>
      <c r="N205" s="58">
        <v>1450</v>
      </c>
      <c r="O205" s="58">
        <v>1452</v>
      </c>
      <c r="Q205" s="791" t="s">
        <v>2496</v>
      </c>
    </row>
    <row r="206" spans="1:17">
      <c r="A206" s="800">
        <v>23</v>
      </c>
      <c r="B206" s="791" t="s">
        <v>5581</v>
      </c>
      <c r="C206" s="55" t="s">
        <v>190</v>
      </c>
      <c r="D206" s="793">
        <v>1522</v>
      </c>
      <c r="E206" s="793">
        <v>1513</v>
      </c>
      <c r="F206" s="793">
        <v>1513</v>
      </c>
      <c r="G206" s="63">
        <v>1497</v>
      </c>
      <c r="H206" s="63">
        <v>1464</v>
      </c>
      <c r="I206" s="63">
        <v>1413</v>
      </c>
      <c r="J206" s="63">
        <v>1354</v>
      </c>
      <c r="K206" s="58">
        <v>1393</v>
      </c>
      <c r="L206" s="58">
        <v>1395</v>
      </c>
      <c r="M206" s="58">
        <v>1363</v>
      </c>
      <c r="N206" s="58">
        <v>1398</v>
      </c>
      <c r="O206" s="58">
        <v>1397</v>
      </c>
      <c r="Q206" s="791" t="s">
        <v>2496</v>
      </c>
    </row>
    <row r="207" spans="1:17">
      <c r="A207" s="800">
        <v>24</v>
      </c>
      <c r="B207" s="791" t="s">
        <v>5582</v>
      </c>
      <c r="C207" s="55" t="s">
        <v>191</v>
      </c>
      <c r="D207" s="795">
        <v>1449</v>
      </c>
      <c r="E207" s="795">
        <v>1430</v>
      </c>
      <c r="F207" s="795">
        <v>1441</v>
      </c>
      <c r="G207" s="63">
        <v>1453</v>
      </c>
      <c r="H207" s="63">
        <v>1433</v>
      </c>
      <c r="I207" s="63">
        <v>1401</v>
      </c>
      <c r="J207" s="63">
        <v>1371</v>
      </c>
      <c r="K207" s="58">
        <v>1399</v>
      </c>
      <c r="L207" s="58">
        <v>1355</v>
      </c>
      <c r="M207" s="58">
        <v>1367</v>
      </c>
      <c r="N207" s="58">
        <v>1362</v>
      </c>
      <c r="O207" s="58">
        <v>1359</v>
      </c>
      <c r="Q207" s="791" t="s">
        <v>2496</v>
      </c>
    </row>
    <row r="208" spans="1:17">
      <c r="A208" s="800">
        <v>25</v>
      </c>
      <c r="B208" s="791" t="s">
        <v>5583</v>
      </c>
      <c r="C208" s="55" t="s">
        <v>192</v>
      </c>
      <c r="D208" s="795">
        <v>4725</v>
      </c>
      <c r="E208" s="795">
        <v>4670</v>
      </c>
      <c r="F208" s="795">
        <v>4702</v>
      </c>
      <c r="G208" s="63">
        <v>4736</v>
      </c>
      <c r="H208" s="63">
        <v>4660</v>
      </c>
      <c r="I208" s="63">
        <v>4620</v>
      </c>
      <c r="J208" s="63">
        <v>4493</v>
      </c>
      <c r="K208" s="58">
        <v>4680</v>
      </c>
      <c r="L208" s="58">
        <v>4700</v>
      </c>
      <c r="M208" s="58">
        <v>4731</v>
      </c>
      <c r="N208" s="58">
        <v>4830</v>
      </c>
      <c r="O208" s="58">
        <v>4824</v>
      </c>
      <c r="Q208" s="791" t="s">
        <v>2496</v>
      </c>
    </row>
    <row r="209" spans="1:17">
      <c r="D209" s="795"/>
      <c r="E209" s="795"/>
      <c r="F209" s="795"/>
      <c r="G209" s="795"/>
      <c r="H209" s="795"/>
      <c r="I209" s="795"/>
      <c r="J209" s="795"/>
      <c r="K209" s="795"/>
      <c r="L209" s="795"/>
      <c r="M209" s="795"/>
      <c r="N209" s="795"/>
      <c r="O209" s="795"/>
    </row>
    <row r="210" spans="1:17">
      <c r="A210" s="791" t="s">
        <v>6228</v>
      </c>
      <c r="D210" s="793">
        <f t="shared" ref="D210:I210" si="100">SUM(D184:D208)</f>
        <v>57679</v>
      </c>
      <c r="E210" s="793">
        <f t="shared" si="100"/>
        <v>57433</v>
      </c>
      <c r="F210" s="793">
        <f t="shared" si="100"/>
        <v>57557</v>
      </c>
      <c r="G210" s="793">
        <f t="shared" si="100"/>
        <v>57719</v>
      </c>
      <c r="H210" s="793">
        <f t="shared" si="100"/>
        <v>57220</v>
      </c>
      <c r="I210" s="793">
        <f t="shared" si="100"/>
        <v>56360</v>
      </c>
      <c r="J210" s="793">
        <f t="shared" ref="J210:O210" si="101">SUM(J184:J208)</f>
        <v>54902</v>
      </c>
      <c r="K210" s="793">
        <f t="shared" si="101"/>
        <v>56655</v>
      </c>
      <c r="L210" s="793">
        <f t="shared" si="101"/>
        <v>57137</v>
      </c>
      <c r="M210" s="793">
        <f t="shared" si="101"/>
        <v>56993</v>
      </c>
      <c r="N210" s="793">
        <f t="shared" si="101"/>
        <v>57861</v>
      </c>
      <c r="O210" s="793">
        <f t="shared" si="101"/>
        <v>57754</v>
      </c>
    </row>
    <row r="211" spans="1:17">
      <c r="A211" s="791"/>
      <c r="B211" s="791"/>
      <c r="D211" s="793"/>
      <c r="E211" s="793"/>
      <c r="F211" s="793"/>
      <c r="G211" s="793"/>
      <c r="H211" s="793"/>
      <c r="I211" s="793"/>
      <c r="J211" s="793"/>
      <c r="K211" s="793"/>
      <c r="L211" s="793"/>
      <c r="M211" s="793"/>
      <c r="N211" s="793"/>
      <c r="O211" s="793"/>
    </row>
    <row r="212" spans="1:17">
      <c r="A212" s="791" t="s">
        <v>5584</v>
      </c>
      <c r="B212" s="791"/>
      <c r="D212" s="793"/>
      <c r="E212" s="793"/>
      <c r="F212" s="793"/>
      <c r="G212" s="793"/>
      <c r="H212" s="793"/>
      <c r="I212" s="793"/>
      <c r="J212" s="793"/>
      <c r="K212" s="793"/>
      <c r="L212" s="793"/>
      <c r="M212" s="793"/>
      <c r="N212" s="793"/>
      <c r="O212" s="793"/>
    </row>
    <row r="213" spans="1:17">
      <c r="A213" s="791"/>
      <c r="B213" s="791"/>
      <c r="D213" s="801"/>
      <c r="E213" s="801"/>
      <c r="F213" s="801"/>
      <c r="G213" s="801"/>
      <c r="H213" s="801"/>
      <c r="I213" s="801"/>
      <c r="J213" s="801"/>
      <c r="K213" s="801"/>
      <c r="L213" s="801"/>
      <c r="M213" s="801"/>
      <c r="N213" s="801"/>
      <c r="O213" s="801"/>
    </row>
    <row r="214" spans="1:17">
      <c r="A214" s="791"/>
      <c r="B214" s="791"/>
      <c r="D214" s="801"/>
      <c r="E214" s="801"/>
      <c r="F214" s="801"/>
      <c r="G214" s="801"/>
      <c r="H214" s="801"/>
      <c r="I214" s="801"/>
      <c r="J214" s="801"/>
      <c r="K214" s="801"/>
      <c r="L214" s="801"/>
      <c r="M214" s="801"/>
      <c r="N214" s="801"/>
      <c r="O214" s="801"/>
    </row>
    <row r="215" spans="1:17">
      <c r="E215" s="51" t="s">
        <v>1526</v>
      </c>
      <c r="F215" s="51"/>
      <c r="G215" s="51"/>
      <c r="H215" s="51"/>
      <c r="I215" s="51"/>
      <c r="J215" s="51"/>
      <c r="K215" s="51"/>
      <c r="L215" s="51"/>
      <c r="M215" s="51"/>
      <c r="N215" s="51"/>
      <c r="O215" s="51"/>
      <c r="P215" s="52"/>
      <c r="Q215" s="53" t="s">
        <v>9479</v>
      </c>
    </row>
    <row r="216" spans="1:17">
      <c r="D216" s="40">
        <v>2010</v>
      </c>
      <c r="E216" s="40">
        <v>2011</v>
      </c>
      <c r="F216" s="40">
        <v>2012</v>
      </c>
      <c r="G216" s="40">
        <v>2013</v>
      </c>
      <c r="H216" s="40">
        <v>2014</v>
      </c>
      <c r="I216" s="40">
        <v>2015</v>
      </c>
      <c r="J216" s="40">
        <v>2016</v>
      </c>
      <c r="K216" s="40">
        <v>2017</v>
      </c>
      <c r="L216" s="40">
        <v>2018</v>
      </c>
      <c r="M216" s="40">
        <v>2019</v>
      </c>
      <c r="N216" s="40">
        <v>2020</v>
      </c>
      <c r="O216" s="982" t="s">
        <v>14823</v>
      </c>
      <c r="P216" s="52"/>
      <c r="Q216" s="54" t="s">
        <v>1527</v>
      </c>
    </row>
    <row r="217" spans="1:17">
      <c r="A217" s="791" t="s">
        <v>5585</v>
      </c>
      <c r="D217" s="793">
        <f t="shared" ref="D217:J217" si="102">SUM(D218:D236)</f>
        <v>83767</v>
      </c>
      <c r="E217" s="793">
        <f t="shared" si="102"/>
        <v>84310</v>
      </c>
      <c r="F217" s="793">
        <f t="shared" si="102"/>
        <v>85279</v>
      </c>
      <c r="G217" s="793">
        <f t="shared" si="102"/>
        <v>85634</v>
      </c>
      <c r="H217" s="793">
        <f t="shared" si="102"/>
        <v>85283</v>
      </c>
      <c r="I217" s="793">
        <f t="shared" si="102"/>
        <v>85237</v>
      </c>
      <c r="J217" s="793">
        <f t="shared" si="102"/>
        <v>84625</v>
      </c>
      <c r="K217" s="793">
        <f>SUM(K218:K236)</f>
        <v>86017</v>
      </c>
      <c r="L217" s="793">
        <f>SUM(L218:L236)</f>
        <v>85564</v>
      </c>
      <c r="M217" s="793">
        <f>SUM(M218:M236)</f>
        <v>85799</v>
      </c>
      <c r="N217" s="793">
        <f>SUM(N218:N236)</f>
        <v>85924</v>
      </c>
      <c r="O217" s="793">
        <f>SUM(O218:O236)</f>
        <v>86361</v>
      </c>
    </row>
    <row r="218" spans="1:17">
      <c r="A218" s="800">
        <v>1</v>
      </c>
      <c r="B218" s="791" t="s">
        <v>10494</v>
      </c>
      <c r="C218" s="55" t="s">
        <v>10496</v>
      </c>
      <c r="D218" s="793">
        <v>69599</v>
      </c>
      <c r="E218" s="793">
        <v>70022</v>
      </c>
      <c r="F218" s="793">
        <v>70899</v>
      </c>
      <c r="G218" s="63">
        <v>71149</v>
      </c>
      <c r="H218" s="63">
        <v>70792</v>
      </c>
      <c r="I218" s="63">
        <v>70836</v>
      </c>
      <c r="J218" s="63">
        <v>3431</v>
      </c>
      <c r="K218" s="63">
        <v>3516</v>
      </c>
      <c r="L218" s="63">
        <v>3409</v>
      </c>
      <c r="M218" s="63">
        <v>3462</v>
      </c>
      <c r="N218" s="63">
        <v>3462</v>
      </c>
      <c r="O218" s="63">
        <v>3535</v>
      </c>
      <c r="Q218" s="791" t="s">
        <v>2500</v>
      </c>
    </row>
    <row r="219" spans="1:17">
      <c r="A219" s="800">
        <v>2</v>
      </c>
      <c r="B219" s="791" t="s">
        <v>1241</v>
      </c>
      <c r="C219" s="55" t="s">
        <v>10504</v>
      </c>
      <c r="D219" s="793">
        <v>0</v>
      </c>
      <c r="E219" s="793">
        <v>0</v>
      </c>
      <c r="F219" s="793">
        <v>0</v>
      </c>
      <c r="G219" s="63">
        <v>0</v>
      </c>
      <c r="H219" s="63">
        <v>0</v>
      </c>
      <c r="I219" s="63">
        <v>0</v>
      </c>
      <c r="J219" s="63">
        <v>3706</v>
      </c>
      <c r="K219" s="63">
        <v>3756</v>
      </c>
      <c r="L219" s="63">
        <v>3712</v>
      </c>
      <c r="M219" s="63">
        <v>3718</v>
      </c>
      <c r="N219" s="63">
        <v>3677</v>
      </c>
      <c r="O219" s="63">
        <v>3639</v>
      </c>
      <c r="Q219" s="791" t="s">
        <v>2500</v>
      </c>
    </row>
    <row r="220" spans="1:17">
      <c r="A220" s="800">
        <v>3</v>
      </c>
      <c r="B220" s="791" t="s">
        <v>5589</v>
      </c>
      <c r="C220" s="55" t="s">
        <v>10505</v>
      </c>
      <c r="D220" s="793">
        <v>0</v>
      </c>
      <c r="E220" s="793">
        <v>0</v>
      </c>
      <c r="F220" s="793">
        <v>0</v>
      </c>
      <c r="G220" s="63">
        <v>0</v>
      </c>
      <c r="H220" s="63">
        <v>0</v>
      </c>
      <c r="I220" s="63">
        <v>0</v>
      </c>
      <c r="J220" s="63">
        <v>3531</v>
      </c>
      <c r="K220" s="63">
        <v>3533</v>
      </c>
      <c r="L220" s="63">
        <v>3547</v>
      </c>
      <c r="M220" s="63">
        <v>3572</v>
      </c>
      <c r="N220" s="63">
        <v>3597</v>
      </c>
      <c r="O220" s="63">
        <v>3609</v>
      </c>
      <c r="Q220" s="791" t="s">
        <v>2500</v>
      </c>
    </row>
    <row r="221" spans="1:17">
      <c r="A221" s="800">
        <v>4</v>
      </c>
      <c r="B221" s="791" t="s">
        <v>5590</v>
      </c>
      <c r="C221" s="55" t="s">
        <v>10506</v>
      </c>
      <c r="D221" s="793">
        <v>0</v>
      </c>
      <c r="E221" s="793">
        <v>0</v>
      </c>
      <c r="F221" s="793">
        <v>0</v>
      </c>
      <c r="G221" s="63">
        <v>0</v>
      </c>
      <c r="H221" s="63">
        <v>0</v>
      </c>
      <c r="I221" s="63">
        <v>0</v>
      </c>
      <c r="J221" s="63">
        <v>3587</v>
      </c>
      <c r="K221" s="63">
        <v>3755</v>
      </c>
      <c r="L221" s="63">
        <v>3723</v>
      </c>
      <c r="M221" s="63">
        <v>3740</v>
      </c>
      <c r="N221" s="63">
        <v>3720</v>
      </c>
      <c r="O221" s="63">
        <v>3772</v>
      </c>
      <c r="Q221" s="791" t="s">
        <v>2500</v>
      </c>
    </row>
    <row r="222" spans="1:17">
      <c r="A222" s="800">
        <v>5</v>
      </c>
      <c r="B222" s="791" t="s">
        <v>5586</v>
      </c>
      <c r="C222" s="55" t="s">
        <v>10507</v>
      </c>
      <c r="D222" s="793">
        <v>0</v>
      </c>
      <c r="E222" s="793">
        <v>0</v>
      </c>
      <c r="F222" s="793">
        <v>0</v>
      </c>
      <c r="G222" s="63">
        <v>0</v>
      </c>
      <c r="H222" s="63">
        <v>0</v>
      </c>
      <c r="I222" s="63">
        <v>0</v>
      </c>
      <c r="J222" s="63">
        <v>5583</v>
      </c>
      <c r="K222" s="63">
        <v>5620</v>
      </c>
      <c r="L222" s="63">
        <v>5608</v>
      </c>
      <c r="M222" s="63">
        <v>5604</v>
      </c>
      <c r="N222" s="63">
        <v>5611</v>
      </c>
      <c r="O222" s="63">
        <v>5625</v>
      </c>
      <c r="Q222" s="791" t="s">
        <v>2500</v>
      </c>
    </row>
    <row r="223" spans="1:17">
      <c r="A223" s="800">
        <v>6</v>
      </c>
      <c r="B223" s="791" t="s">
        <v>10495</v>
      </c>
      <c r="C223" s="55" t="s">
        <v>10508</v>
      </c>
      <c r="D223" s="793">
        <v>0</v>
      </c>
      <c r="E223" s="793">
        <v>0</v>
      </c>
      <c r="F223" s="793">
        <v>0</v>
      </c>
      <c r="G223" s="63">
        <v>0</v>
      </c>
      <c r="H223" s="63">
        <v>0</v>
      </c>
      <c r="I223" s="63">
        <v>0</v>
      </c>
      <c r="J223" s="63">
        <v>3232</v>
      </c>
      <c r="K223" s="63">
        <v>3260</v>
      </c>
      <c r="L223" s="63">
        <v>3279</v>
      </c>
      <c r="M223" s="63">
        <v>3294</v>
      </c>
      <c r="N223" s="63">
        <v>3292</v>
      </c>
      <c r="O223" s="63">
        <v>3302</v>
      </c>
      <c r="Q223" s="791" t="s">
        <v>2500</v>
      </c>
    </row>
    <row r="224" spans="1:17">
      <c r="A224" s="800">
        <v>7</v>
      </c>
      <c r="B224" s="791" t="s">
        <v>5587</v>
      </c>
      <c r="C224" s="55" t="s">
        <v>10509</v>
      </c>
      <c r="D224" s="793">
        <v>0</v>
      </c>
      <c r="E224" s="793">
        <v>0</v>
      </c>
      <c r="F224" s="793">
        <v>0</v>
      </c>
      <c r="G224" s="63">
        <v>0</v>
      </c>
      <c r="H224" s="63">
        <v>0</v>
      </c>
      <c r="I224" s="63">
        <v>0</v>
      </c>
      <c r="J224" s="63">
        <v>3502</v>
      </c>
      <c r="K224" s="63">
        <v>3538</v>
      </c>
      <c r="L224" s="63">
        <v>3541</v>
      </c>
      <c r="M224" s="63">
        <v>3677</v>
      </c>
      <c r="N224" s="63">
        <v>3775</v>
      </c>
      <c r="O224" s="63">
        <v>3834</v>
      </c>
      <c r="Q224" s="791" t="s">
        <v>2500</v>
      </c>
    </row>
    <row r="225" spans="1:17">
      <c r="A225" s="800">
        <v>8</v>
      </c>
      <c r="B225" s="791" t="s">
        <v>10497</v>
      </c>
      <c r="C225" s="55" t="s">
        <v>10510</v>
      </c>
      <c r="D225" s="793">
        <v>0</v>
      </c>
      <c r="E225" s="793">
        <v>0</v>
      </c>
      <c r="F225" s="793">
        <v>0</v>
      </c>
      <c r="G225" s="63">
        <v>0</v>
      </c>
      <c r="H225" s="63">
        <v>0</v>
      </c>
      <c r="I225" s="63">
        <v>0</v>
      </c>
      <c r="J225" s="63">
        <v>4975</v>
      </c>
      <c r="K225" s="63">
        <v>4996</v>
      </c>
      <c r="L225" s="63">
        <v>5002</v>
      </c>
      <c r="M225" s="63">
        <v>4958</v>
      </c>
      <c r="N225" s="63">
        <v>4963</v>
      </c>
      <c r="O225" s="63">
        <v>4983</v>
      </c>
      <c r="Q225" s="791" t="s">
        <v>2500</v>
      </c>
    </row>
    <row r="226" spans="1:17">
      <c r="A226" s="800">
        <v>9</v>
      </c>
      <c r="B226" s="791" t="s">
        <v>10498</v>
      </c>
      <c r="C226" s="55" t="s">
        <v>10511</v>
      </c>
      <c r="D226" s="793">
        <v>0</v>
      </c>
      <c r="E226" s="793">
        <v>0</v>
      </c>
      <c r="F226" s="793">
        <v>0</v>
      </c>
      <c r="G226" s="63">
        <v>0</v>
      </c>
      <c r="H226" s="63">
        <v>0</v>
      </c>
      <c r="I226" s="63">
        <v>0</v>
      </c>
      <c r="J226" s="63">
        <v>5867</v>
      </c>
      <c r="K226" s="63">
        <v>5941</v>
      </c>
      <c r="L226" s="63">
        <v>5906</v>
      </c>
      <c r="M226" s="63">
        <v>5990</v>
      </c>
      <c r="N226" s="63">
        <v>6037</v>
      </c>
      <c r="O226" s="63">
        <v>6110</v>
      </c>
      <c r="Q226" s="791" t="s">
        <v>2500</v>
      </c>
    </row>
    <row r="227" spans="1:17">
      <c r="A227" s="800">
        <v>10</v>
      </c>
      <c r="B227" s="791" t="s">
        <v>10499</v>
      </c>
      <c r="C227" s="55" t="s">
        <v>10512</v>
      </c>
      <c r="D227" s="793">
        <v>14168</v>
      </c>
      <c r="E227" s="793">
        <v>14288</v>
      </c>
      <c r="F227" s="793">
        <v>14380</v>
      </c>
      <c r="G227" s="63">
        <v>14485</v>
      </c>
      <c r="H227" s="63">
        <v>14491</v>
      </c>
      <c r="I227" s="63">
        <v>14401</v>
      </c>
      <c r="J227" s="63">
        <v>3523</v>
      </c>
      <c r="K227" s="63">
        <v>3602</v>
      </c>
      <c r="L227" s="63">
        <v>3626</v>
      </c>
      <c r="M227" s="63">
        <v>3578</v>
      </c>
      <c r="N227" s="63">
        <v>3578</v>
      </c>
      <c r="O227" s="63">
        <v>3547</v>
      </c>
      <c r="Q227" s="791" t="s">
        <v>2503</v>
      </c>
    </row>
    <row r="228" spans="1:17">
      <c r="A228" s="800">
        <v>11</v>
      </c>
      <c r="B228" s="791" t="s">
        <v>5588</v>
      </c>
      <c r="C228" s="55" t="s">
        <v>10513</v>
      </c>
      <c r="D228" s="793">
        <v>0</v>
      </c>
      <c r="E228" s="793">
        <v>0</v>
      </c>
      <c r="F228" s="793">
        <v>0</v>
      </c>
      <c r="G228" s="63">
        <v>0</v>
      </c>
      <c r="H228" s="63">
        <v>0</v>
      </c>
      <c r="I228" s="63">
        <v>0</v>
      </c>
      <c r="J228" s="63">
        <v>3437</v>
      </c>
      <c r="K228" s="63">
        <v>3529</v>
      </c>
      <c r="L228" s="63">
        <v>3470</v>
      </c>
      <c r="M228" s="63">
        <v>3499</v>
      </c>
      <c r="N228" s="63">
        <v>3511</v>
      </c>
      <c r="O228" s="63">
        <v>3558</v>
      </c>
      <c r="Q228" s="791" t="s">
        <v>2500</v>
      </c>
    </row>
    <row r="229" spans="1:17">
      <c r="A229" s="800">
        <v>12</v>
      </c>
      <c r="B229" s="791" t="s">
        <v>4055</v>
      </c>
      <c r="C229" s="55" t="s">
        <v>10514</v>
      </c>
      <c r="D229" s="793">
        <v>0</v>
      </c>
      <c r="E229" s="793">
        <v>0</v>
      </c>
      <c r="F229" s="793">
        <v>0</v>
      </c>
      <c r="G229" s="63">
        <v>0</v>
      </c>
      <c r="H229" s="63">
        <v>0</v>
      </c>
      <c r="I229" s="63">
        <v>0</v>
      </c>
      <c r="J229" s="63">
        <v>5180</v>
      </c>
      <c r="K229" s="63">
        <v>5409</v>
      </c>
      <c r="L229" s="63">
        <v>5325</v>
      </c>
      <c r="M229" s="63">
        <v>5358</v>
      </c>
      <c r="N229" s="63">
        <v>5407</v>
      </c>
      <c r="O229" s="63">
        <v>5444</v>
      </c>
      <c r="Q229" s="791" t="s">
        <v>2500</v>
      </c>
    </row>
    <row r="230" spans="1:17">
      <c r="A230" s="800">
        <v>13</v>
      </c>
      <c r="B230" s="791" t="s">
        <v>4056</v>
      </c>
      <c r="C230" s="55" t="s">
        <v>10515</v>
      </c>
      <c r="D230" s="793">
        <v>0</v>
      </c>
      <c r="E230" s="793">
        <v>0</v>
      </c>
      <c r="F230" s="793">
        <v>0</v>
      </c>
      <c r="G230" s="63">
        <v>0</v>
      </c>
      <c r="H230" s="63">
        <v>0</v>
      </c>
      <c r="I230" s="63">
        <v>0</v>
      </c>
      <c r="J230" s="63">
        <v>3658</v>
      </c>
      <c r="K230" s="63">
        <v>3718</v>
      </c>
      <c r="L230" s="63">
        <v>3689</v>
      </c>
      <c r="M230" s="63">
        <v>3660</v>
      </c>
      <c r="N230" s="63">
        <v>3686</v>
      </c>
      <c r="O230" s="63">
        <v>3722</v>
      </c>
      <c r="Q230" s="791" t="s">
        <v>2500</v>
      </c>
    </row>
    <row r="231" spans="1:17">
      <c r="A231" s="800">
        <v>14</v>
      </c>
      <c r="B231" s="791" t="s">
        <v>10500</v>
      </c>
      <c r="C231" s="55" t="s">
        <v>10516</v>
      </c>
      <c r="D231" s="793">
        <v>0</v>
      </c>
      <c r="E231" s="793">
        <v>0</v>
      </c>
      <c r="F231" s="793">
        <v>0</v>
      </c>
      <c r="G231" s="63">
        <v>0</v>
      </c>
      <c r="H231" s="63">
        <v>0</v>
      </c>
      <c r="I231" s="63">
        <v>0</v>
      </c>
      <c r="J231" s="63">
        <v>5674</v>
      </c>
      <c r="K231" s="63">
        <v>5715</v>
      </c>
      <c r="L231" s="63">
        <v>5690</v>
      </c>
      <c r="M231" s="63">
        <v>5686</v>
      </c>
      <c r="N231" s="63">
        <v>5677</v>
      </c>
      <c r="O231" s="63">
        <v>5701</v>
      </c>
      <c r="Q231" s="791" t="s">
        <v>2503</v>
      </c>
    </row>
    <row r="232" spans="1:17">
      <c r="A232" s="800">
        <v>15</v>
      </c>
      <c r="B232" s="791" t="s">
        <v>10501</v>
      </c>
      <c r="C232" s="55" t="s">
        <v>10517</v>
      </c>
      <c r="D232" s="793">
        <v>0</v>
      </c>
      <c r="E232" s="793">
        <v>0</v>
      </c>
      <c r="F232" s="793">
        <v>0</v>
      </c>
      <c r="G232" s="63">
        <v>0</v>
      </c>
      <c r="H232" s="63">
        <v>0</v>
      </c>
      <c r="I232" s="63">
        <v>0</v>
      </c>
      <c r="J232" s="63">
        <v>5922</v>
      </c>
      <c r="K232" s="63">
        <v>6059</v>
      </c>
      <c r="L232" s="63">
        <v>6053</v>
      </c>
      <c r="M232" s="63">
        <v>6033</v>
      </c>
      <c r="N232" s="63">
        <v>6089</v>
      </c>
      <c r="O232" s="63">
        <v>6155</v>
      </c>
      <c r="Q232" s="791" t="s">
        <v>2500</v>
      </c>
    </row>
    <row r="233" spans="1:17">
      <c r="A233" s="800">
        <v>16</v>
      </c>
      <c r="B233" s="791" t="s">
        <v>4057</v>
      </c>
      <c r="C233" s="55" t="s">
        <v>10518</v>
      </c>
      <c r="D233" s="793">
        <v>0</v>
      </c>
      <c r="E233" s="793">
        <v>0</v>
      </c>
      <c r="F233" s="793">
        <v>0</v>
      </c>
      <c r="G233" s="63">
        <v>0</v>
      </c>
      <c r="H233" s="63">
        <v>0</v>
      </c>
      <c r="I233" s="63">
        <v>0</v>
      </c>
      <c r="J233" s="63">
        <v>5097</v>
      </c>
      <c r="K233" s="63">
        <v>5148</v>
      </c>
      <c r="L233" s="63">
        <v>5118</v>
      </c>
      <c r="M233" s="63">
        <v>5122</v>
      </c>
      <c r="N233" s="63">
        <v>5058</v>
      </c>
      <c r="O233" s="63">
        <v>5071</v>
      </c>
      <c r="Q233" s="791" t="s">
        <v>2500</v>
      </c>
    </row>
    <row r="234" spans="1:17">
      <c r="A234" s="800">
        <v>17</v>
      </c>
      <c r="B234" s="791" t="s">
        <v>10502</v>
      </c>
      <c r="C234" s="55" t="s">
        <v>10519</v>
      </c>
      <c r="D234" s="793">
        <v>0</v>
      </c>
      <c r="E234" s="793">
        <v>0</v>
      </c>
      <c r="F234" s="793">
        <v>0</v>
      </c>
      <c r="G234" s="63">
        <v>0</v>
      </c>
      <c r="H234" s="63">
        <v>0</v>
      </c>
      <c r="I234" s="63">
        <v>0</v>
      </c>
      <c r="J234" s="63">
        <v>3807</v>
      </c>
      <c r="K234" s="63">
        <v>3845</v>
      </c>
      <c r="L234" s="63">
        <v>3834</v>
      </c>
      <c r="M234" s="63">
        <v>3818</v>
      </c>
      <c r="N234" s="63">
        <v>3784</v>
      </c>
      <c r="O234" s="63">
        <v>3776</v>
      </c>
      <c r="Q234" s="791" t="s">
        <v>2500</v>
      </c>
    </row>
    <row r="235" spans="1:17">
      <c r="A235" s="800">
        <v>18</v>
      </c>
      <c r="B235" s="791" t="s">
        <v>10503</v>
      </c>
      <c r="C235" s="55" t="s">
        <v>10520</v>
      </c>
      <c r="D235" s="793">
        <v>0</v>
      </c>
      <c r="E235" s="793">
        <v>0</v>
      </c>
      <c r="F235" s="793">
        <v>0</v>
      </c>
      <c r="G235" s="63">
        <v>0</v>
      </c>
      <c r="H235" s="63">
        <v>0</v>
      </c>
      <c r="I235" s="63">
        <v>0</v>
      </c>
      <c r="J235" s="63">
        <v>5129</v>
      </c>
      <c r="K235" s="63">
        <v>5224</v>
      </c>
      <c r="L235" s="63">
        <v>5219</v>
      </c>
      <c r="M235" s="63">
        <v>5202</v>
      </c>
      <c r="N235" s="63">
        <v>5143</v>
      </c>
      <c r="O235" s="63">
        <v>5127</v>
      </c>
      <c r="Q235" s="791" t="s">
        <v>2503</v>
      </c>
    </row>
    <row r="236" spans="1:17">
      <c r="A236" s="800">
        <v>19</v>
      </c>
      <c r="B236" s="791" t="s">
        <v>4059</v>
      </c>
      <c r="C236" s="55" t="s">
        <v>10521</v>
      </c>
      <c r="D236" s="793">
        <v>0</v>
      </c>
      <c r="E236" s="793">
        <v>0</v>
      </c>
      <c r="F236" s="793">
        <v>0</v>
      </c>
      <c r="G236" s="63">
        <v>0</v>
      </c>
      <c r="H236" s="63">
        <v>0</v>
      </c>
      <c r="I236" s="63">
        <v>0</v>
      </c>
      <c r="J236" s="63">
        <v>5784</v>
      </c>
      <c r="K236" s="63">
        <v>5853</v>
      </c>
      <c r="L236" s="63">
        <v>5813</v>
      </c>
      <c r="M236" s="63">
        <v>5828</v>
      </c>
      <c r="N236" s="63">
        <v>5857</v>
      </c>
      <c r="O236" s="63">
        <v>5851</v>
      </c>
      <c r="Q236" s="791" t="s">
        <v>2500</v>
      </c>
    </row>
    <row r="237" spans="1:17">
      <c r="D237" s="795"/>
      <c r="E237" s="795"/>
      <c r="F237" s="795"/>
      <c r="G237" s="795"/>
      <c r="H237" s="795"/>
      <c r="I237" s="795"/>
      <c r="J237" s="795"/>
      <c r="K237" s="795"/>
      <c r="L237" s="795"/>
      <c r="M237" s="795"/>
      <c r="N237" s="795"/>
      <c r="O237" s="795"/>
    </row>
    <row r="238" spans="1:17">
      <c r="A238" s="791" t="s">
        <v>2500</v>
      </c>
      <c r="D238" s="793">
        <f>SUM(D218:D226)+SUM(D228:D230)+SUM(D232:D234)+D236</f>
        <v>69599</v>
      </c>
      <c r="E238" s="793">
        <f t="shared" ref="E238:J238" si="103">SUM(E218:E226)+SUM(E228:E230)+SUM(E232:E234)+E236</f>
        <v>70022</v>
      </c>
      <c r="F238" s="793">
        <f t="shared" si="103"/>
        <v>70899</v>
      </c>
      <c r="G238" s="793">
        <f t="shared" si="103"/>
        <v>71149</v>
      </c>
      <c r="H238" s="793">
        <f t="shared" si="103"/>
        <v>70792</v>
      </c>
      <c r="I238" s="793">
        <f t="shared" si="103"/>
        <v>70836</v>
      </c>
      <c r="J238" s="793">
        <f t="shared" si="103"/>
        <v>70299</v>
      </c>
      <c r="K238" s="793">
        <f>SUM(K218:K226)+SUM(K228:K230)+SUM(K232:K234)+K236</f>
        <v>71476</v>
      </c>
      <c r="L238" s="793">
        <f>SUM(L218:L226)+SUM(L228:L230)+SUM(L232:L234)+L236</f>
        <v>71029</v>
      </c>
      <c r="M238" s="793">
        <f>SUM(M218:M226)+SUM(M228:M230)+SUM(M232:M234)+M236</f>
        <v>71333</v>
      </c>
      <c r="N238" s="793">
        <f>SUM(N218:N226)+SUM(N228:N230)+SUM(N232:N234)+N236</f>
        <v>71526</v>
      </c>
      <c r="O238" s="793">
        <f>SUM(O218:O226)+SUM(O228:O230)+SUM(O232:O234)+O236</f>
        <v>71986</v>
      </c>
    </row>
    <row r="239" spans="1:17">
      <c r="A239" s="791" t="s">
        <v>5535</v>
      </c>
      <c r="D239" s="793">
        <f>D227+D231+D235</f>
        <v>14168</v>
      </c>
      <c r="E239" s="793">
        <f t="shared" ref="E239:J239" si="104">E227+E231+E235</f>
        <v>14288</v>
      </c>
      <c r="F239" s="793">
        <f t="shared" si="104"/>
        <v>14380</v>
      </c>
      <c r="G239" s="793">
        <f t="shared" si="104"/>
        <v>14485</v>
      </c>
      <c r="H239" s="793">
        <f t="shared" si="104"/>
        <v>14491</v>
      </c>
      <c r="I239" s="793">
        <f t="shared" si="104"/>
        <v>14401</v>
      </c>
      <c r="J239" s="793">
        <f t="shared" si="104"/>
        <v>14326</v>
      </c>
      <c r="K239" s="793">
        <f>K227+K231+K235</f>
        <v>14541</v>
      </c>
      <c r="L239" s="793">
        <f>L227+L231+L235</f>
        <v>14535</v>
      </c>
      <c r="M239" s="793">
        <f>M227+M231+M235</f>
        <v>14466</v>
      </c>
      <c r="N239" s="793">
        <f>N227+N231+N235</f>
        <v>14398</v>
      </c>
      <c r="O239" s="793">
        <f>O227+O231+O235</f>
        <v>14375</v>
      </c>
    </row>
    <row r="240" spans="1:17">
      <c r="A240" s="791"/>
      <c r="B240" s="791"/>
      <c r="D240" s="793"/>
      <c r="E240" s="793"/>
      <c r="F240" s="793"/>
      <c r="G240" s="793"/>
      <c r="H240" s="793"/>
      <c r="I240" s="793"/>
      <c r="J240" s="793"/>
      <c r="K240" s="793"/>
      <c r="L240" s="793"/>
      <c r="M240" s="793"/>
      <c r="N240" s="793"/>
      <c r="O240" s="793"/>
    </row>
    <row r="241" spans="1:17">
      <c r="A241" s="791" t="s">
        <v>10522</v>
      </c>
      <c r="B241" s="791"/>
      <c r="D241" s="793"/>
      <c r="E241" s="793"/>
      <c r="F241" s="793"/>
      <c r="G241" s="793"/>
      <c r="H241" s="793"/>
      <c r="I241" s="793"/>
      <c r="J241" s="793"/>
      <c r="K241" s="793"/>
      <c r="L241" s="793"/>
      <c r="M241" s="793"/>
      <c r="N241" s="793"/>
      <c r="O241" s="793"/>
    </row>
    <row r="242" spans="1:17">
      <c r="A242" s="791"/>
      <c r="B242" s="791"/>
      <c r="D242" s="801"/>
      <c r="E242" s="801"/>
      <c r="F242" s="801"/>
      <c r="G242" s="801"/>
      <c r="H242" s="801"/>
      <c r="I242" s="801"/>
      <c r="J242" s="801"/>
      <c r="K242" s="801"/>
      <c r="L242" s="801"/>
      <c r="M242" s="801"/>
      <c r="N242" s="801"/>
      <c r="O242" s="801"/>
    </row>
    <row r="243" spans="1:17">
      <c r="A243" s="791"/>
      <c r="B243" s="791"/>
      <c r="D243" s="801"/>
      <c r="E243" s="801"/>
      <c r="F243" s="801"/>
      <c r="G243" s="801"/>
      <c r="H243" s="801"/>
      <c r="I243" s="801"/>
      <c r="J243" s="801"/>
      <c r="K243" s="801"/>
      <c r="L243" s="801"/>
      <c r="M243" s="801"/>
      <c r="N243" s="801"/>
      <c r="O243" s="801"/>
    </row>
    <row r="244" spans="1:17">
      <c r="E244" s="51" t="s">
        <v>1526</v>
      </c>
      <c r="F244" s="51"/>
      <c r="G244" s="51"/>
      <c r="H244" s="51"/>
      <c r="I244" s="51"/>
      <c r="J244" s="51"/>
      <c r="K244" s="51"/>
      <c r="L244" s="51"/>
      <c r="M244" s="51"/>
      <c r="N244" s="51"/>
      <c r="O244" s="51"/>
      <c r="P244" s="52"/>
      <c r="Q244" s="53" t="s">
        <v>9479</v>
      </c>
    </row>
    <row r="245" spans="1:17">
      <c r="D245" s="40">
        <v>2010</v>
      </c>
      <c r="E245" s="40">
        <v>2011</v>
      </c>
      <c r="F245" s="40">
        <v>2012</v>
      </c>
      <c r="G245" s="40">
        <v>2013</v>
      </c>
      <c r="H245" s="40">
        <v>2014</v>
      </c>
      <c r="I245" s="40">
        <v>2015</v>
      </c>
      <c r="J245" s="40">
        <v>2016</v>
      </c>
      <c r="K245" s="40">
        <v>2017</v>
      </c>
      <c r="L245" s="40">
        <v>2018</v>
      </c>
      <c r="M245" s="40">
        <v>2019</v>
      </c>
      <c r="N245" s="40">
        <v>2020</v>
      </c>
      <c r="O245" s="982" t="s">
        <v>14823</v>
      </c>
      <c r="P245" s="52"/>
      <c r="Q245" s="54" t="s">
        <v>1527</v>
      </c>
    </row>
    <row r="246" spans="1:17">
      <c r="A246" s="791" t="s">
        <v>4060</v>
      </c>
      <c r="D246" s="793">
        <f t="shared" ref="D246:I246" si="105">SUM(D247:D274)</f>
        <v>71685</v>
      </c>
      <c r="E246" s="793">
        <f t="shared" si="105"/>
        <v>72178</v>
      </c>
      <c r="F246" s="793">
        <f t="shared" si="105"/>
        <v>72211</v>
      </c>
      <c r="G246" s="793">
        <f t="shared" si="105"/>
        <v>72226</v>
      </c>
      <c r="H246" s="793">
        <f t="shared" si="105"/>
        <v>72226</v>
      </c>
      <c r="I246" s="793">
        <f t="shared" si="105"/>
        <v>71263</v>
      </c>
      <c r="J246" s="793">
        <f t="shared" ref="J246:O246" si="106">SUM(J247:J274)</f>
        <v>71130</v>
      </c>
      <c r="K246" s="793">
        <f t="shared" si="106"/>
        <v>72415</v>
      </c>
      <c r="L246" s="793">
        <f t="shared" si="106"/>
        <v>71880</v>
      </c>
      <c r="M246" s="793">
        <f t="shared" si="106"/>
        <v>72126</v>
      </c>
      <c r="N246" s="793">
        <f t="shared" si="106"/>
        <v>74265</v>
      </c>
      <c r="O246" s="793">
        <f t="shared" si="106"/>
        <v>73960</v>
      </c>
    </row>
    <row r="247" spans="1:17">
      <c r="A247" s="800">
        <v>1</v>
      </c>
      <c r="B247" s="791" t="s">
        <v>4061</v>
      </c>
      <c r="C247" s="55" t="s">
        <v>10523</v>
      </c>
      <c r="D247" s="793">
        <v>71685</v>
      </c>
      <c r="E247" s="793">
        <v>72178</v>
      </c>
      <c r="F247" s="793">
        <v>72211</v>
      </c>
      <c r="G247" s="56">
        <v>72226</v>
      </c>
      <c r="H247" s="56">
        <v>72226</v>
      </c>
      <c r="I247" s="56">
        <v>71263</v>
      </c>
      <c r="J247" s="56">
        <v>1380</v>
      </c>
      <c r="K247" s="56">
        <v>1438</v>
      </c>
      <c r="L247" s="56">
        <v>1433</v>
      </c>
      <c r="M247" s="56">
        <v>1394</v>
      </c>
      <c r="N247" s="56">
        <v>1418</v>
      </c>
      <c r="O247" s="56">
        <v>1414</v>
      </c>
      <c r="Q247" s="791" t="s">
        <v>2502</v>
      </c>
    </row>
    <row r="248" spans="1:17">
      <c r="A248" s="800">
        <v>2</v>
      </c>
      <c r="B248" s="791" t="s">
        <v>4062</v>
      </c>
      <c r="C248" s="55" t="s">
        <v>10524</v>
      </c>
      <c r="D248" s="793">
        <v>0</v>
      </c>
      <c r="E248" s="793">
        <v>0</v>
      </c>
      <c r="F248" s="793">
        <v>0</v>
      </c>
      <c r="G248" s="56">
        <v>0</v>
      </c>
      <c r="H248" s="56">
        <v>0</v>
      </c>
      <c r="I248" s="56">
        <v>0</v>
      </c>
      <c r="J248" s="56">
        <v>3127</v>
      </c>
      <c r="K248" s="56">
        <v>3267</v>
      </c>
      <c r="L248" s="56">
        <v>3346</v>
      </c>
      <c r="M248" s="56">
        <v>3443</v>
      </c>
      <c r="N248" s="56">
        <v>3650</v>
      </c>
      <c r="O248" s="56">
        <v>3627</v>
      </c>
      <c r="Q248" s="791" t="s">
        <v>2502</v>
      </c>
    </row>
    <row r="249" spans="1:17">
      <c r="A249" s="800">
        <v>3</v>
      </c>
      <c r="B249" s="791" t="s">
        <v>4063</v>
      </c>
      <c r="C249" s="55" t="s">
        <v>10525</v>
      </c>
      <c r="D249" s="793">
        <v>0</v>
      </c>
      <c r="E249" s="793">
        <v>0</v>
      </c>
      <c r="F249" s="793">
        <v>0</v>
      </c>
      <c r="G249" s="56">
        <v>0</v>
      </c>
      <c r="H249" s="56">
        <v>0</v>
      </c>
      <c r="I249" s="56">
        <v>0</v>
      </c>
      <c r="J249" s="56">
        <v>1594</v>
      </c>
      <c r="K249" s="56">
        <v>1614</v>
      </c>
      <c r="L249" s="56">
        <v>1595</v>
      </c>
      <c r="M249" s="56">
        <v>1609</v>
      </c>
      <c r="N249" s="56">
        <v>1649</v>
      </c>
      <c r="O249" s="56">
        <v>1640</v>
      </c>
      <c r="Q249" s="791" t="s">
        <v>2502</v>
      </c>
    </row>
    <row r="250" spans="1:17">
      <c r="A250" s="800">
        <v>4</v>
      </c>
      <c r="B250" s="791" t="s">
        <v>4064</v>
      </c>
      <c r="C250" s="55" t="s">
        <v>10526</v>
      </c>
      <c r="D250" s="793">
        <v>0</v>
      </c>
      <c r="E250" s="793">
        <v>0</v>
      </c>
      <c r="F250" s="793">
        <v>0</v>
      </c>
      <c r="G250" s="56">
        <v>0</v>
      </c>
      <c r="H250" s="56">
        <v>0</v>
      </c>
      <c r="I250" s="56">
        <v>0</v>
      </c>
      <c r="J250" s="56">
        <v>2949</v>
      </c>
      <c r="K250" s="56">
        <v>3019</v>
      </c>
      <c r="L250" s="56">
        <v>2944</v>
      </c>
      <c r="M250" s="56">
        <v>2896</v>
      </c>
      <c r="N250" s="56">
        <v>3061</v>
      </c>
      <c r="O250" s="56">
        <v>3040</v>
      </c>
      <c r="Q250" s="791" t="s">
        <v>2502</v>
      </c>
    </row>
    <row r="251" spans="1:17">
      <c r="A251" s="800">
        <v>5</v>
      </c>
      <c r="B251" s="791" t="s">
        <v>4065</v>
      </c>
      <c r="C251" s="55" t="s">
        <v>10527</v>
      </c>
      <c r="D251" s="793">
        <v>0</v>
      </c>
      <c r="E251" s="793">
        <v>0</v>
      </c>
      <c r="F251" s="793">
        <v>0</v>
      </c>
      <c r="G251" s="56">
        <v>0</v>
      </c>
      <c r="H251" s="56">
        <v>0</v>
      </c>
      <c r="I251" s="56">
        <v>0</v>
      </c>
      <c r="J251" s="56">
        <v>1744</v>
      </c>
      <c r="K251" s="56">
        <v>1779</v>
      </c>
      <c r="L251" s="56">
        <v>1707</v>
      </c>
      <c r="M251" s="56">
        <v>1706</v>
      </c>
      <c r="N251" s="56">
        <v>1742</v>
      </c>
      <c r="O251" s="56">
        <v>1737</v>
      </c>
      <c r="Q251" s="791" t="s">
        <v>2502</v>
      </c>
    </row>
    <row r="252" spans="1:17">
      <c r="A252" s="800">
        <v>6</v>
      </c>
      <c r="B252" s="791" t="s">
        <v>4066</v>
      </c>
      <c r="C252" s="55" t="s">
        <v>10528</v>
      </c>
      <c r="D252" s="793">
        <v>0</v>
      </c>
      <c r="E252" s="793">
        <v>0</v>
      </c>
      <c r="F252" s="793">
        <v>0</v>
      </c>
      <c r="G252" s="56">
        <v>0</v>
      </c>
      <c r="H252" s="56">
        <v>0</v>
      </c>
      <c r="I252" s="56">
        <v>0</v>
      </c>
      <c r="J252" s="56">
        <v>3472</v>
      </c>
      <c r="K252" s="56">
        <v>3646</v>
      </c>
      <c r="L252" s="56">
        <v>3686</v>
      </c>
      <c r="M252" s="56">
        <v>3839</v>
      </c>
      <c r="N252" s="56">
        <v>4002</v>
      </c>
      <c r="O252" s="56">
        <v>3987</v>
      </c>
      <c r="Q252" s="791" t="s">
        <v>2502</v>
      </c>
    </row>
    <row r="253" spans="1:17">
      <c r="A253" s="800">
        <v>7</v>
      </c>
      <c r="B253" s="791" t="s">
        <v>4067</v>
      </c>
      <c r="C253" s="55" t="s">
        <v>10529</v>
      </c>
      <c r="D253" s="793">
        <v>0</v>
      </c>
      <c r="E253" s="793">
        <v>0</v>
      </c>
      <c r="F253" s="793">
        <v>0</v>
      </c>
      <c r="G253" s="56">
        <v>0</v>
      </c>
      <c r="H253" s="56">
        <v>0</v>
      </c>
      <c r="I253" s="56">
        <v>0</v>
      </c>
      <c r="J253" s="56">
        <v>3203</v>
      </c>
      <c r="K253" s="56">
        <v>3211</v>
      </c>
      <c r="L253" s="56">
        <v>3168</v>
      </c>
      <c r="M253" s="56">
        <v>3204</v>
      </c>
      <c r="N253" s="56">
        <v>3284</v>
      </c>
      <c r="O253" s="56">
        <v>3267</v>
      </c>
      <c r="Q253" s="791" t="s">
        <v>2502</v>
      </c>
    </row>
    <row r="254" spans="1:17">
      <c r="A254" s="800">
        <v>8</v>
      </c>
      <c r="B254" s="791" t="s">
        <v>4068</v>
      </c>
      <c r="C254" s="55" t="s">
        <v>10530</v>
      </c>
      <c r="D254" s="793">
        <v>0</v>
      </c>
      <c r="E254" s="793">
        <v>0</v>
      </c>
      <c r="F254" s="793">
        <v>0</v>
      </c>
      <c r="G254" s="56">
        <v>0</v>
      </c>
      <c r="H254" s="56">
        <v>0</v>
      </c>
      <c r="I254" s="56">
        <v>0</v>
      </c>
      <c r="J254" s="56">
        <v>3181</v>
      </c>
      <c r="K254" s="56">
        <v>3183</v>
      </c>
      <c r="L254" s="56">
        <v>3137</v>
      </c>
      <c r="M254" s="56">
        <v>3159</v>
      </c>
      <c r="N254" s="56">
        <v>3151</v>
      </c>
      <c r="O254" s="56">
        <v>3140</v>
      </c>
      <c r="Q254" s="791" t="s">
        <v>2502</v>
      </c>
    </row>
    <row r="255" spans="1:17">
      <c r="A255" s="800">
        <v>9</v>
      </c>
      <c r="B255" s="791" t="s">
        <v>4069</v>
      </c>
      <c r="C255" s="55" t="s">
        <v>10531</v>
      </c>
      <c r="D255" s="793">
        <v>0</v>
      </c>
      <c r="E255" s="793">
        <v>0</v>
      </c>
      <c r="F255" s="793">
        <v>0</v>
      </c>
      <c r="G255" s="56">
        <v>0</v>
      </c>
      <c r="H255" s="56">
        <v>0</v>
      </c>
      <c r="I255" s="56">
        <v>0</v>
      </c>
      <c r="J255" s="56">
        <v>1644</v>
      </c>
      <c r="K255" s="56">
        <v>1664</v>
      </c>
      <c r="L255" s="56">
        <v>1689</v>
      </c>
      <c r="M255" s="56">
        <v>1765</v>
      </c>
      <c r="N255" s="56">
        <v>1934</v>
      </c>
      <c r="O255" s="56">
        <v>1932</v>
      </c>
      <c r="Q255" s="791" t="s">
        <v>2502</v>
      </c>
    </row>
    <row r="256" spans="1:17">
      <c r="A256" s="800">
        <v>10</v>
      </c>
      <c r="B256" s="791" t="s">
        <v>4070</v>
      </c>
      <c r="C256" s="55" t="s">
        <v>10532</v>
      </c>
      <c r="D256" s="793">
        <v>0</v>
      </c>
      <c r="E256" s="793">
        <v>0</v>
      </c>
      <c r="F256" s="793">
        <v>0</v>
      </c>
      <c r="G256" s="56">
        <v>0</v>
      </c>
      <c r="H256" s="56">
        <v>0</v>
      </c>
      <c r="I256" s="56">
        <v>0</v>
      </c>
      <c r="J256" s="56">
        <v>1674</v>
      </c>
      <c r="K256" s="56">
        <v>1683</v>
      </c>
      <c r="L256" s="56">
        <v>1735</v>
      </c>
      <c r="M256" s="56">
        <v>1733</v>
      </c>
      <c r="N256" s="56">
        <v>1757</v>
      </c>
      <c r="O256" s="56">
        <v>1755</v>
      </c>
      <c r="Q256" s="791" t="s">
        <v>2502</v>
      </c>
    </row>
    <row r="257" spans="1:17">
      <c r="A257" s="800">
        <v>11</v>
      </c>
      <c r="B257" s="791" t="s">
        <v>4071</v>
      </c>
      <c r="C257" s="55" t="s">
        <v>10533</v>
      </c>
      <c r="D257" s="793">
        <v>0</v>
      </c>
      <c r="E257" s="793">
        <v>0</v>
      </c>
      <c r="F257" s="793">
        <v>0</v>
      </c>
      <c r="G257" s="56">
        <v>0</v>
      </c>
      <c r="H257" s="56">
        <v>0</v>
      </c>
      <c r="I257" s="56">
        <v>0</v>
      </c>
      <c r="J257" s="56">
        <v>1736</v>
      </c>
      <c r="K257" s="56">
        <v>1752</v>
      </c>
      <c r="L257" s="56">
        <v>1707</v>
      </c>
      <c r="M257" s="56">
        <v>1706</v>
      </c>
      <c r="N257" s="56">
        <v>1770</v>
      </c>
      <c r="O257" s="56">
        <v>1760</v>
      </c>
      <c r="Q257" s="791" t="s">
        <v>2502</v>
      </c>
    </row>
    <row r="258" spans="1:17">
      <c r="A258" s="800">
        <v>12</v>
      </c>
      <c r="B258" s="791" t="s">
        <v>4072</v>
      </c>
      <c r="C258" s="55" t="s">
        <v>10534</v>
      </c>
      <c r="D258" s="793">
        <v>0</v>
      </c>
      <c r="E258" s="793">
        <v>0</v>
      </c>
      <c r="F258" s="793">
        <v>0</v>
      </c>
      <c r="G258" s="56">
        <v>0</v>
      </c>
      <c r="H258" s="56">
        <v>0</v>
      </c>
      <c r="I258" s="56">
        <v>0</v>
      </c>
      <c r="J258" s="56">
        <v>3399</v>
      </c>
      <c r="K258" s="56">
        <v>3431</v>
      </c>
      <c r="L258" s="56">
        <v>3384</v>
      </c>
      <c r="M258" s="56">
        <v>3346</v>
      </c>
      <c r="N258" s="56">
        <v>3438</v>
      </c>
      <c r="O258" s="56">
        <v>3408</v>
      </c>
      <c r="Q258" s="791" t="s">
        <v>2502</v>
      </c>
    </row>
    <row r="259" spans="1:17">
      <c r="A259" s="800">
        <v>13</v>
      </c>
      <c r="B259" s="791" t="s">
        <v>4073</v>
      </c>
      <c r="C259" s="55" t="s">
        <v>10535</v>
      </c>
      <c r="D259" s="793">
        <v>0</v>
      </c>
      <c r="E259" s="793">
        <v>0</v>
      </c>
      <c r="F259" s="793">
        <v>0</v>
      </c>
      <c r="G259" s="56">
        <v>0</v>
      </c>
      <c r="H259" s="56">
        <v>0</v>
      </c>
      <c r="I259" s="56">
        <v>0</v>
      </c>
      <c r="J259" s="56">
        <v>1625</v>
      </c>
      <c r="K259" s="56">
        <v>1702</v>
      </c>
      <c r="L259" s="56">
        <v>1670</v>
      </c>
      <c r="M259" s="56">
        <v>1690</v>
      </c>
      <c r="N259" s="56">
        <v>1724</v>
      </c>
      <c r="O259" s="56">
        <v>1711</v>
      </c>
      <c r="Q259" s="791" t="s">
        <v>2502</v>
      </c>
    </row>
    <row r="260" spans="1:17">
      <c r="A260" s="800">
        <v>14</v>
      </c>
      <c r="B260" s="791" t="s">
        <v>4074</v>
      </c>
      <c r="C260" s="55" t="s">
        <v>10536</v>
      </c>
      <c r="D260" s="793">
        <v>0</v>
      </c>
      <c r="E260" s="793">
        <v>0</v>
      </c>
      <c r="F260" s="793">
        <v>0</v>
      </c>
      <c r="G260" s="56">
        <v>0</v>
      </c>
      <c r="H260" s="56">
        <v>0</v>
      </c>
      <c r="I260" s="56">
        <v>0</v>
      </c>
      <c r="J260" s="56">
        <v>3183</v>
      </c>
      <c r="K260" s="56">
        <v>3212</v>
      </c>
      <c r="L260" s="56">
        <v>3165</v>
      </c>
      <c r="M260" s="56">
        <v>3179</v>
      </c>
      <c r="N260" s="56">
        <v>3267</v>
      </c>
      <c r="O260" s="56">
        <v>3244</v>
      </c>
      <c r="Q260" s="791" t="s">
        <v>2502</v>
      </c>
    </row>
    <row r="261" spans="1:17">
      <c r="A261" s="800">
        <v>15</v>
      </c>
      <c r="B261" s="791" t="s">
        <v>4075</v>
      </c>
      <c r="C261" s="55" t="s">
        <v>10537</v>
      </c>
      <c r="D261" s="793">
        <v>0</v>
      </c>
      <c r="E261" s="793">
        <v>0</v>
      </c>
      <c r="F261" s="793">
        <v>0</v>
      </c>
      <c r="G261" s="56">
        <v>0</v>
      </c>
      <c r="H261" s="56">
        <v>0</v>
      </c>
      <c r="I261" s="56">
        <v>0</v>
      </c>
      <c r="J261" s="58">
        <v>3408</v>
      </c>
      <c r="K261" s="58">
        <v>3467</v>
      </c>
      <c r="L261" s="58">
        <v>3491</v>
      </c>
      <c r="M261" s="58">
        <v>3521</v>
      </c>
      <c r="N261" s="58">
        <v>3657</v>
      </c>
      <c r="O261" s="58">
        <v>3645</v>
      </c>
      <c r="Q261" s="791" t="s">
        <v>2502</v>
      </c>
    </row>
    <row r="262" spans="1:17">
      <c r="A262" s="800">
        <v>16</v>
      </c>
      <c r="B262" s="791" t="s">
        <v>4076</v>
      </c>
      <c r="C262" s="55" t="s">
        <v>10538</v>
      </c>
      <c r="D262" s="793">
        <v>0</v>
      </c>
      <c r="E262" s="793">
        <v>0</v>
      </c>
      <c r="F262" s="793">
        <v>0</v>
      </c>
      <c r="G262" s="56">
        <v>0</v>
      </c>
      <c r="H262" s="56">
        <v>0</v>
      </c>
      <c r="I262" s="56">
        <v>0</v>
      </c>
      <c r="J262" s="58">
        <v>1675</v>
      </c>
      <c r="K262" s="58">
        <v>1687</v>
      </c>
      <c r="L262" s="58">
        <v>1698</v>
      </c>
      <c r="M262" s="58">
        <v>1706</v>
      </c>
      <c r="N262" s="58">
        <v>1745</v>
      </c>
      <c r="O262" s="58">
        <v>1739</v>
      </c>
      <c r="Q262" s="791" t="s">
        <v>2502</v>
      </c>
    </row>
    <row r="263" spans="1:17">
      <c r="A263" s="800">
        <v>17</v>
      </c>
      <c r="B263" s="791" t="s">
        <v>4077</v>
      </c>
      <c r="C263" s="55" t="s">
        <v>10539</v>
      </c>
      <c r="D263" s="793">
        <v>0</v>
      </c>
      <c r="E263" s="793">
        <v>0</v>
      </c>
      <c r="F263" s="793">
        <v>0</v>
      </c>
      <c r="G263" s="56">
        <v>0</v>
      </c>
      <c r="H263" s="56">
        <v>0</v>
      </c>
      <c r="I263" s="56">
        <v>0</v>
      </c>
      <c r="J263" s="58">
        <v>3034</v>
      </c>
      <c r="K263" s="58">
        <v>3084</v>
      </c>
      <c r="L263" s="58">
        <v>3082</v>
      </c>
      <c r="M263" s="58">
        <v>3072</v>
      </c>
      <c r="N263" s="58">
        <v>3191</v>
      </c>
      <c r="O263" s="58">
        <v>3175</v>
      </c>
      <c r="Q263" s="791" t="s">
        <v>2502</v>
      </c>
    </row>
    <row r="264" spans="1:17">
      <c r="A264" s="800">
        <v>18</v>
      </c>
      <c r="B264" s="791" t="s">
        <v>4078</v>
      </c>
      <c r="C264" s="55" t="s">
        <v>10540</v>
      </c>
      <c r="D264" s="793">
        <v>0</v>
      </c>
      <c r="E264" s="793">
        <v>0</v>
      </c>
      <c r="F264" s="793">
        <v>0</v>
      </c>
      <c r="G264" s="56">
        <v>0</v>
      </c>
      <c r="H264" s="56">
        <v>0</v>
      </c>
      <c r="I264" s="56">
        <v>0</v>
      </c>
      <c r="J264" s="58">
        <v>3415</v>
      </c>
      <c r="K264" s="58">
        <v>3533</v>
      </c>
      <c r="L264" s="58">
        <v>3461</v>
      </c>
      <c r="M264" s="58">
        <v>3415</v>
      </c>
      <c r="N264" s="58">
        <v>3482</v>
      </c>
      <c r="O264" s="58">
        <v>3478</v>
      </c>
      <c r="Q264" s="791" t="s">
        <v>2502</v>
      </c>
    </row>
    <row r="265" spans="1:17">
      <c r="A265" s="800">
        <v>19</v>
      </c>
      <c r="B265" s="791" t="s">
        <v>4079</v>
      </c>
      <c r="C265" s="55" t="s">
        <v>10541</v>
      </c>
      <c r="D265" s="793">
        <v>0</v>
      </c>
      <c r="E265" s="793">
        <v>0</v>
      </c>
      <c r="F265" s="793">
        <v>0</v>
      </c>
      <c r="G265" s="56">
        <v>0</v>
      </c>
      <c r="H265" s="56">
        <v>0</v>
      </c>
      <c r="I265" s="56">
        <v>0</v>
      </c>
      <c r="J265" s="58">
        <v>3689</v>
      </c>
      <c r="K265" s="58">
        <v>3729</v>
      </c>
      <c r="L265" s="58">
        <v>3648</v>
      </c>
      <c r="M265" s="58">
        <v>3695</v>
      </c>
      <c r="N265" s="58">
        <v>3850</v>
      </c>
      <c r="O265" s="58">
        <v>3835</v>
      </c>
      <c r="Q265" s="791" t="s">
        <v>2502</v>
      </c>
    </row>
    <row r="266" spans="1:17">
      <c r="A266" s="800">
        <v>20</v>
      </c>
      <c r="B266" s="791" t="s">
        <v>4080</v>
      </c>
      <c r="C266" s="55" t="s">
        <v>10542</v>
      </c>
      <c r="D266" s="793">
        <v>0</v>
      </c>
      <c r="E266" s="793">
        <v>0</v>
      </c>
      <c r="F266" s="793">
        <v>0</v>
      </c>
      <c r="G266" s="56">
        <v>0</v>
      </c>
      <c r="H266" s="56">
        <v>0</v>
      </c>
      <c r="I266" s="56">
        <v>0</v>
      </c>
      <c r="J266" s="58">
        <v>1814</v>
      </c>
      <c r="K266" s="58">
        <v>1881</v>
      </c>
      <c r="L266" s="58">
        <v>1850</v>
      </c>
      <c r="M266" s="58">
        <v>1871</v>
      </c>
      <c r="N266" s="58">
        <v>1878</v>
      </c>
      <c r="O266" s="58">
        <v>1876</v>
      </c>
      <c r="Q266" s="791" t="s">
        <v>2502</v>
      </c>
    </row>
    <row r="267" spans="1:17">
      <c r="A267" s="800">
        <v>21</v>
      </c>
      <c r="B267" s="791" t="s">
        <v>4949</v>
      </c>
      <c r="C267" s="55" t="s">
        <v>10543</v>
      </c>
      <c r="D267" s="793">
        <v>0</v>
      </c>
      <c r="E267" s="793">
        <v>0</v>
      </c>
      <c r="F267" s="793">
        <v>0</v>
      </c>
      <c r="G267" s="56">
        <v>0</v>
      </c>
      <c r="H267" s="56">
        <v>0</v>
      </c>
      <c r="I267" s="56">
        <v>0</v>
      </c>
      <c r="J267" s="58">
        <v>1488</v>
      </c>
      <c r="K267" s="58">
        <v>1553</v>
      </c>
      <c r="L267" s="58">
        <v>1561</v>
      </c>
      <c r="M267" s="58">
        <v>1562</v>
      </c>
      <c r="N267" s="58">
        <v>1603</v>
      </c>
      <c r="O267" s="58">
        <v>1595</v>
      </c>
      <c r="Q267" s="791" t="s">
        <v>2502</v>
      </c>
    </row>
    <row r="268" spans="1:17">
      <c r="A268" s="800">
        <v>22</v>
      </c>
      <c r="B268" s="791" t="s">
        <v>4081</v>
      </c>
      <c r="C268" s="55" t="s">
        <v>10544</v>
      </c>
      <c r="D268" s="793">
        <v>0</v>
      </c>
      <c r="E268" s="793">
        <v>0</v>
      </c>
      <c r="F268" s="793">
        <v>0</v>
      </c>
      <c r="G268" s="56">
        <v>0</v>
      </c>
      <c r="H268" s="56">
        <v>0</v>
      </c>
      <c r="I268" s="56">
        <v>0</v>
      </c>
      <c r="J268" s="58">
        <v>1654</v>
      </c>
      <c r="K268" s="58">
        <v>1668</v>
      </c>
      <c r="L268" s="58">
        <v>1663</v>
      </c>
      <c r="M268" s="58">
        <v>1650</v>
      </c>
      <c r="N268" s="58">
        <v>1643</v>
      </c>
      <c r="O268" s="58">
        <v>1641</v>
      </c>
      <c r="Q268" s="791" t="s">
        <v>2502</v>
      </c>
    </row>
    <row r="269" spans="1:17">
      <c r="A269" s="800">
        <v>23</v>
      </c>
      <c r="B269" s="791" t="s">
        <v>4082</v>
      </c>
      <c r="C269" s="55" t="s">
        <v>10545</v>
      </c>
      <c r="D269" s="793">
        <v>0</v>
      </c>
      <c r="E269" s="793">
        <v>0</v>
      </c>
      <c r="F269" s="793">
        <v>0</v>
      </c>
      <c r="G269" s="56">
        <v>0</v>
      </c>
      <c r="H269" s="56">
        <v>0</v>
      </c>
      <c r="I269" s="56">
        <v>0</v>
      </c>
      <c r="J269" s="58">
        <v>3500</v>
      </c>
      <c r="K269" s="58">
        <v>3506</v>
      </c>
      <c r="L269" s="58">
        <v>3475</v>
      </c>
      <c r="M269" s="58">
        <v>3462</v>
      </c>
      <c r="N269" s="58">
        <v>3503</v>
      </c>
      <c r="O269" s="58">
        <v>3489</v>
      </c>
      <c r="Q269" s="791" t="s">
        <v>2502</v>
      </c>
    </row>
    <row r="270" spans="1:17">
      <c r="A270" s="800">
        <v>24</v>
      </c>
      <c r="B270" s="791" t="s">
        <v>4083</v>
      </c>
      <c r="C270" s="55" t="s">
        <v>10546</v>
      </c>
      <c r="D270" s="793">
        <v>0</v>
      </c>
      <c r="E270" s="793">
        <v>0</v>
      </c>
      <c r="F270" s="793">
        <v>0</v>
      </c>
      <c r="G270" s="56">
        <v>0</v>
      </c>
      <c r="H270" s="56">
        <v>0</v>
      </c>
      <c r="I270" s="56">
        <v>0</v>
      </c>
      <c r="J270" s="58">
        <v>3157</v>
      </c>
      <c r="K270" s="58">
        <v>3178</v>
      </c>
      <c r="L270" s="58">
        <v>3160</v>
      </c>
      <c r="M270" s="58">
        <v>3113</v>
      </c>
      <c r="N270" s="58">
        <v>3220</v>
      </c>
      <c r="O270" s="58">
        <v>3208</v>
      </c>
      <c r="Q270" s="791" t="s">
        <v>2502</v>
      </c>
    </row>
    <row r="271" spans="1:17">
      <c r="A271" s="800">
        <v>25</v>
      </c>
      <c r="B271" s="791" t="s">
        <v>4084</v>
      </c>
      <c r="C271" s="55" t="s">
        <v>10547</v>
      </c>
      <c r="D271" s="793">
        <v>0</v>
      </c>
      <c r="E271" s="793">
        <v>0</v>
      </c>
      <c r="F271" s="793">
        <v>0</v>
      </c>
      <c r="G271" s="56">
        <v>0</v>
      </c>
      <c r="H271" s="56">
        <v>0</v>
      </c>
      <c r="I271" s="56">
        <v>0</v>
      </c>
      <c r="J271" s="58">
        <v>1801</v>
      </c>
      <c r="K271" s="58">
        <v>1805</v>
      </c>
      <c r="L271" s="58">
        <v>1819</v>
      </c>
      <c r="M271" s="58">
        <v>1812</v>
      </c>
      <c r="N271" s="58">
        <v>1858</v>
      </c>
      <c r="O271" s="58">
        <v>1859</v>
      </c>
      <c r="Q271" s="791" t="s">
        <v>2502</v>
      </c>
    </row>
    <row r="272" spans="1:17">
      <c r="A272" s="800">
        <v>26</v>
      </c>
      <c r="B272" s="791" t="s">
        <v>4085</v>
      </c>
      <c r="C272" s="55" t="s">
        <v>10548</v>
      </c>
      <c r="D272" s="793">
        <v>0</v>
      </c>
      <c r="E272" s="793">
        <v>0</v>
      </c>
      <c r="F272" s="793">
        <v>0</v>
      </c>
      <c r="G272" s="56">
        <v>0</v>
      </c>
      <c r="H272" s="56">
        <v>0</v>
      </c>
      <c r="I272" s="56">
        <v>0</v>
      </c>
      <c r="J272" s="58">
        <v>1627</v>
      </c>
      <c r="K272" s="58">
        <v>1641</v>
      </c>
      <c r="L272" s="58">
        <v>1617</v>
      </c>
      <c r="M272" s="58">
        <v>1626</v>
      </c>
      <c r="N272" s="58">
        <v>1644</v>
      </c>
      <c r="O272" s="58">
        <v>1639</v>
      </c>
      <c r="Q272" s="791" t="s">
        <v>2502</v>
      </c>
    </row>
    <row r="273" spans="1:17">
      <c r="A273" s="800">
        <v>27</v>
      </c>
      <c r="B273" s="791" t="s">
        <v>4086</v>
      </c>
      <c r="C273" s="55" t="s">
        <v>10549</v>
      </c>
      <c r="D273" s="793">
        <v>0</v>
      </c>
      <c r="E273" s="793">
        <v>0</v>
      </c>
      <c r="F273" s="793">
        <v>0</v>
      </c>
      <c r="G273" s="56">
        <v>0</v>
      </c>
      <c r="H273" s="56">
        <v>0</v>
      </c>
      <c r="I273" s="56">
        <v>0</v>
      </c>
      <c r="J273" s="58">
        <v>5217</v>
      </c>
      <c r="K273" s="58">
        <v>5330</v>
      </c>
      <c r="L273" s="58">
        <v>5258</v>
      </c>
      <c r="M273" s="58">
        <v>5214</v>
      </c>
      <c r="N273" s="58">
        <v>5357</v>
      </c>
      <c r="O273" s="58">
        <v>5331</v>
      </c>
      <c r="Q273" s="791" t="s">
        <v>2502</v>
      </c>
    </row>
    <row r="274" spans="1:17">
      <c r="A274" s="800">
        <v>28</v>
      </c>
      <c r="B274" s="791" t="s">
        <v>6304</v>
      </c>
      <c r="C274" s="55" t="s">
        <v>10550</v>
      </c>
      <c r="D274" s="793">
        <v>0</v>
      </c>
      <c r="E274" s="793">
        <v>0</v>
      </c>
      <c r="F274" s="793">
        <v>0</v>
      </c>
      <c r="G274" s="56">
        <v>0</v>
      </c>
      <c r="H274" s="56">
        <v>0</v>
      </c>
      <c r="I274" s="56">
        <v>0</v>
      </c>
      <c r="J274" s="58">
        <v>1740</v>
      </c>
      <c r="K274" s="58">
        <v>1752</v>
      </c>
      <c r="L274" s="58">
        <v>1731</v>
      </c>
      <c r="M274" s="58">
        <v>1738</v>
      </c>
      <c r="N274" s="58">
        <v>1787</v>
      </c>
      <c r="O274" s="58">
        <v>1788</v>
      </c>
      <c r="Q274" s="791" t="s">
        <v>2502</v>
      </c>
    </row>
    <row r="275" spans="1:17">
      <c r="D275" s="795"/>
      <c r="E275" s="795"/>
      <c r="F275" s="795"/>
      <c r="G275" s="795"/>
      <c r="H275" s="795"/>
      <c r="I275" s="795"/>
      <c r="J275" s="795"/>
      <c r="K275" s="795"/>
      <c r="L275" s="795"/>
      <c r="M275" s="795"/>
      <c r="N275" s="795"/>
      <c r="O275" s="795"/>
    </row>
    <row r="276" spans="1:17">
      <c r="A276" s="791" t="s">
        <v>2502</v>
      </c>
      <c r="D276" s="793">
        <f t="shared" ref="D276:I276" si="107">SUM(D247:D274)</f>
        <v>71685</v>
      </c>
      <c r="E276" s="793">
        <f t="shared" si="107"/>
        <v>72178</v>
      </c>
      <c r="F276" s="793">
        <f t="shared" si="107"/>
        <v>72211</v>
      </c>
      <c r="G276" s="793">
        <f t="shared" si="107"/>
        <v>72226</v>
      </c>
      <c r="H276" s="793">
        <f t="shared" si="107"/>
        <v>72226</v>
      </c>
      <c r="I276" s="793">
        <f t="shared" si="107"/>
        <v>71263</v>
      </c>
      <c r="J276" s="793">
        <f t="shared" ref="J276:O276" si="108">SUM(J247:J274)</f>
        <v>71130</v>
      </c>
      <c r="K276" s="793">
        <f t="shared" si="108"/>
        <v>72415</v>
      </c>
      <c r="L276" s="793">
        <f t="shared" si="108"/>
        <v>71880</v>
      </c>
      <c r="M276" s="793">
        <f t="shared" si="108"/>
        <v>72126</v>
      </c>
      <c r="N276" s="793">
        <f t="shared" si="108"/>
        <v>74265</v>
      </c>
      <c r="O276" s="793">
        <f t="shared" si="108"/>
        <v>73960</v>
      </c>
    </row>
    <row r="277" spans="1:17">
      <c r="B277" s="791"/>
      <c r="D277" s="793"/>
      <c r="E277" s="793"/>
      <c r="F277" s="793"/>
      <c r="G277" s="793"/>
      <c r="H277" s="793"/>
      <c r="I277" s="793"/>
      <c r="J277" s="793"/>
      <c r="K277" s="793"/>
      <c r="L277" s="793"/>
      <c r="M277" s="793"/>
      <c r="N277" s="793"/>
      <c r="O277" s="793"/>
    </row>
    <row r="278" spans="1:17">
      <c r="A278" s="791" t="s">
        <v>10551</v>
      </c>
      <c r="B278" s="791"/>
      <c r="D278" s="793"/>
      <c r="E278" s="793"/>
      <c r="F278" s="793"/>
      <c r="G278" s="793"/>
      <c r="H278" s="793"/>
      <c r="I278" s="793"/>
      <c r="J278" s="793"/>
      <c r="K278" s="793"/>
      <c r="L278" s="793"/>
      <c r="M278" s="793"/>
      <c r="N278" s="793"/>
      <c r="O278" s="793"/>
    </row>
    <row r="279" spans="1:17">
      <c r="A279" s="791"/>
      <c r="B279" s="791"/>
      <c r="D279" s="801"/>
      <c r="E279" s="801"/>
      <c r="F279" s="801"/>
      <c r="G279" s="801"/>
      <c r="H279" s="801"/>
      <c r="I279" s="801"/>
      <c r="J279" s="801"/>
      <c r="K279" s="801"/>
      <c r="L279" s="801"/>
      <c r="M279" s="801"/>
      <c r="N279" s="801"/>
      <c r="O279" s="801"/>
    </row>
    <row r="280" spans="1:17">
      <c r="A280" s="791"/>
      <c r="B280" s="791"/>
      <c r="D280" s="801"/>
      <c r="E280" s="801"/>
      <c r="F280" s="801"/>
      <c r="G280" s="801"/>
      <c r="H280" s="801"/>
      <c r="I280" s="801"/>
      <c r="J280" s="801"/>
      <c r="K280" s="801"/>
      <c r="L280" s="801"/>
      <c r="M280" s="801"/>
      <c r="N280" s="801"/>
      <c r="O280" s="801"/>
    </row>
    <row r="281" spans="1:17">
      <c r="E281" s="51" t="s">
        <v>1526</v>
      </c>
      <c r="F281" s="51"/>
      <c r="G281" s="51"/>
      <c r="H281" s="51"/>
      <c r="I281" s="51"/>
      <c r="J281" s="51"/>
      <c r="K281" s="51"/>
      <c r="L281" s="51"/>
      <c r="M281" s="51"/>
      <c r="N281" s="51"/>
      <c r="O281" s="51"/>
      <c r="P281" s="52"/>
      <c r="Q281" s="53" t="s">
        <v>9479</v>
      </c>
    </row>
    <row r="282" spans="1:17">
      <c r="D282" s="40">
        <v>2010</v>
      </c>
      <c r="E282" s="40">
        <v>2011</v>
      </c>
      <c r="F282" s="40">
        <v>2012</v>
      </c>
      <c r="G282" s="40">
        <v>2013</v>
      </c>
      <c r="H282" s="40">
        <v>2014</v>
      </c>
      <c r="I282" s="40">
        <v>2015</v>
      </c>
      <c r="J282" s="40">
        <v>2016</v>
      </c>
      <c r="K282" s="40">
        <v>2017</v>
      </c>
      <c r="L282" s="40">
        <v>2018</v>
      </c>
      <c r="M282" s="40">
        <v>2019</v>
      </c>
      <c r="N282" s="40">
        <v>2020</v>
      </c>
      <c r="O282" s="982" t="s">
        <v>14823</v>
      </c>
      <c r="P282" s="52"/>
      <c r="Q282" s="54" t="s">
        <v>1527</v>
      </c>
    </row>
    <row r="283" spans="1:17">
      <c r="A283" s="791" t="s">
        <v>5651</v>
      </c>
      <c r="D283" s="793">
        <f t="shared" ref="D283:L283" si="109">SUM(D284:D311)</f>
        <v>78010</v>
      </c>
      <c r="E283" s="793">
        <f t="shared" si="109"/>
        <v>78763</v>
      </c>
      <c r="F283" s="793">
        <f t="shared" si="109"/>
        <v>79146</v>
      </c>
      <c r="G283" s="793">
        <f t="shared" si="109"/>
        <v>79419</v>
      </c>
      <c r="H283" s="793">
        <f t="shared" si="109"/>
        <v>79712</v>
      </c>
      <c r="I283" s="793">
        <f t="shared" si="109"/>
        <v>77640</v>
      </c>
      <c r="J283" s="793">
        <f t="shared" si="109"/>
        <v>77256</v>
      </c>
      <c r="K283" s="793">
        <f t="shared" si="109"/>
        <v>78439</v>
      </c>
      <c r="L283" s="793">
        <f t="shared" si="109"/>
        <v>78466</v>
      </c>
      <c r="M283" s="58">
        <f>SUM(M284:M298,M300:M303,M305:M311)</f>
        <v>78091</v>
      </c>
      <c r="N283" s="58">
        <f>SUM(N284:N298,N300:N303,N305:N311)</f>
        <v>79594</v>
      </c>
      <c r="O283" s="58">
        <f>SUM(O284:O298,O300:O303,O305:O311)</f>
        <v>79972</v>
      </c>
    </row>
    <row r="284" spans="1:17">
      <c r="A284" s="800">
        <v>1</v>
      </c>
      <c r="B284" s="791" t="s">
        <v>5652</v>
      </c>
      <c r="C284" s="55" t="s">
        <v>14499</v>
      </c>
      <c r="D284" s="793">
        <v>63683</v>
      </c>
      <c r="E284" s="793">
        <v>64295</v>
      </c>
      <c r="F284" s="793">
        <v>64624</v>
      </c>
      <c r="G284" s="56">
        <v>64780</v>
      </c>
      <c r="H284" s="56">
        <v>64929</v>
      </c>
      <c r="I284" s="56">
        <v>63277</v>
      </c>
      <c r="J284" s="56">
        <v>62909</v>
      </c>
      <c r="K284" s="56">
        <v>63792</v>
      </c>
      <c r="L284" s="56">
        <v>63747</v>
      </c>
      <c r="M284" s="58">
        <v>1588</v>
      </c>
      <c r="N284" s="58">
        <v>1625</v>
      </c>
      <c r="O284" s="58">
        <v>1632</v>
      </c>
      <c r="Q284" s="791" t="s">
        <v>2504</v>
      </c>
    </row>
    <row r="285" spans="1:17">
      <c r="A285" s="800">
        <v>2</v>
      </c>
      <c r="B285" s="791" t="s">
        <v>14501</v>
      </c>
      <c r="C285" s="55" t="s">
        <v>14500</v>
      </c>
      <c r="D285" s="793">
        <v>0</v>
      </c>
      <c r="E285" s="793">
        <v>0</v>
      </c>
      <c r="F285" s="793">
        <v>0</v>
      </c>
      <c r="G285" s="793">
        <v>0</v>
      </c>
      <c r="H285" s="793">
        <v>0</v>
      </c>
      <c r="I285" s="793">
        <v>0</v>
      </c>
      <c r="J285" s="793">
        <v>0</v>
      </c>
      <c r="K285" s="793">
        <v>0</v>
      </c>
      <c r="L285" s="793">
        <v>0</v>
      </c>
      <c r="M285" s="58">
        <v>1578</v>
      </c>
      <c r="N285" s="58">
        <v>1587</v>
      </c>
      <c r="O285" s="58">
        <v>1607</v>
      </c>
      <c r="Q285" s="791" t="s">
        <v>2504</v>
      </c>
    </row>
    <row r="286" spans="1:17">
      <c r="A286" s="800">
        <v>3</v>
      </c>
      <c r="B286" s="791" t="s">
        <v>14503</v>
      </c>
      <c r="C286" s="55" t="s">
        <v>14502</v>
      </c>
      <c r="D286" s="793">
        <v>0</v>
      </c>
      <c r="E286" s="793">
        <v>0</v>
      </c>
      <c r="F286" s="793">
        <v>0</v>
      </c>
      <c r="G286" s="793">
        <v>0</v>
      </c>
      <c r="H286" s="793">
        <v>0</v>
      </c>
      <c r="I286" s="793">
        <v>0</v>
      </c>
      <c r="J286" s="793">
        <v>0</v>
      </c>
      <c r="K286" s="793">
        <v>0</v>
      </c>
      <c r="L286" s="793">
        <v>0</v>
      </c>
      <c r="M286" s="58">
        <v>2771</v>
      </c>
      <c r="N286" s="58">
        <v>2821</v>
      </c>
      <c r="O286" s="58">
        <v>2833</v>
      </c>
      <c r="Q286" s="791" t="s">
        <v>2504</v>
      </c>
    </row>
    <row r="287" spans="1:17">
      <c r="A287" s="800">
        <v>4</v>
      </c>
      <c r="B287" s="791" t="s">
        <v>5653</v>
      </c>
      <c r="C287" s="55" t="s">
        <v>14504</v>
      </c>
      <c r="D287" s="793">
        <v>0</v>
      </c>
      <c r="E287" s="793">
        <v>0</v>
      </c>
      <c r="F287" s="793">
        <v>0</v>
      </c>
      <c r="G287" s="793">
        <v>0</v>
      </c>
      <c r="H287" s="793">
        <v>0</v>
      </c>
      <c r="I287" s="793">
        <v>0</v>
      </c>
      <c r="J287" s="793">
        <v>0</v>
      </c>
      <c r="K287" s="793">
        <v>0</v>
      </c>
      <c r="L287" s="793">
        <v>0</v>
      </c>
      <c r="M287" s="58">
        <v>4702</v>
      </c>
      <c r="N287" s="58">
        <v>4869</v>
      </c>
      <c r="O287" s="58">
        <v>4881</v>
      </c>
      <c r="Q287" s="791" t="s">
        <v>2504</v>
      </c>
    </row>
    <row r="288" spans="1:17">
      <c r="A288" s="800">
        <v>5</v>
      </c>
      <c r="B288" s="791" t="s">
        <v>5654</v>
      </c>
      <c r="C288" s="55" t="s">
        <v>14505</v>
      </c>
      <c r="D288" s="793">
        <v>0</v>
      </c>
      <c r="E288" s="793">
        <v>0</v>
      </c>
      <c r="F288" s="793">
        <v>0</v>
      </c>
      <c r="G288" s="793">
        <v>0</v>
      </c>
      <c r="H288" s="793">
        <v>0</v>
      </c>
      <c r="I288" s="793">
        <v>0</v>
      </c>
      <c r="J288" s="793">
        <v>0</v>
      </c>
      <c r="K288" s="793">
        <v>0</v>
      </c>
      <c r="L288" s="793">
        <v>0</v>
      </c>
      <c r="M288" s="58">
        <v>2757</v>
      </c>
      <c r="N288" s="58">
        <v>2821</v>
      </c>
      <c r="O288" s="58">
        <v>2835</v>
      </c>
      <c r="Q288" s="791" t="s">
        <v>2504</v>
      </c>
    </row>
    <row r="289" spans="1:17">
      <c r="A289" s="800">
        <v>6</v>
      </c>
      <c r="B289" s="791" t="s">
        <v>5655</v>
      </c>
      <c r="C289" s="55" t="s">
        <v>14506</v>
      </c>
      <c r="D289" s="793">
        <v>0</v>
      </c>
      <c r="E289" s="793">
        <v>0</v>
      </c>
      <c r="F289" s="793">
        <v>0</v>
      </c>
      <c r="G289" s="793">
        <v>0</v>
      </c>
      <c r="H289" s="793">
        <v>0</v>
      </c>
      <c r="I289" s="793">
        <v>0</v>
      </c>
      <c r="J289" s="793">
        <v>0</v>
      </c>
      <c r="K289" s="793">
        <v>0</v>
      </c>
      <c r="L289" s="793">
        <v>0</v>
      </c>
      <c r="M289" s="58">
        <v>3007</v>
      </c>
      <c r="N289" s="58">
        <v>3034</v>
      </c>
      <c r="O289" s="58">
        <v>3029</v>
      </c>
      <c r="Q289" s="791" t="s">
        <v>2504</v>
      </c>
    </row>
    <row r="290" spans="1:17">
      <c r="A290" s="800">
        <v>7</v>
      </c>
      <c r="B290" s="791" t="s">
        <v>5656</v>
      </c>
      <c r="C290" s="55" t="s">
        <v>14507</v>
      </c>
      <c r="D290" s="793">
        <v>0</v>
      </c>
      <c r="E290" s="793">
        <v>0</v>
      </c>
      <c r="F290" s="793">
        <v>0</v>
      </c>
      <c r="G290" s="793">
        <v>0</v>
      </c>
      <c r="H290" s="793">
        <v>0</v>
      </c>
      <c r="I290" s="793">
        <v>0</v>
      </c>
      <c r="J290" s="793">
        <v>0</v>
      </c>
      <c r="K290" s="793">
        <v>0</v>
      </c>
      <c r="L290" s="793">
        <v>0</v>
      </c>
      <c r="M290" s="58">
        <v>2808</v>
      </c>
      <c r="N290" s="58">
        <v>2860</v>
      </c>
      <c r="O290" s="58">
        <v>2877</v>
      </c>
      <c r="Q290" s="791" t="s">
        <v>2504</v>
      </c>
    </row>
    <row r="291" spans="1:17">
      <c r="A291" s="800">
        <v>8</v>
      </c>
      <c r="B291" s="791" t="s">
        <v>5657</v>
      </c>
      <c r="C291" s="55" t="s">
        <v>14508</v>
      </c>
      <c r="D291" s="793">
        <v>0</v>
      </c>
      <c r="E291" s="793">
        <v>0</v>
      </c>
      <c r="F291" s="793">
        <v>0</v>
      </c>
      <c r="G291" s="793">
        <v>0</v>
      </c>
      <c r="H291" s="793">
        <v>0</v>
      </c>
      <c r="I291" s="793">
        <v>0</v>
      </c>
      <c r="J291" s="793">
        <v>0</v>
      </c>
      <c r="K291" s="793">
        <v>0</v>
      </c>
      <c r="L291" s="793">
        <v>0</v>
      </c>
      <c r="M291" s="58">
        <v>4852</v>
      </c>
      <c r="N291" s="58">
        <v>4908</v>
      </c>
      <c r="O291" s="58">
        <v>4937</v>
      </c>
      <c r="Q291" s="791" t="s">
        <v>2504</v>
      </c>
    </row>
    <row r="292" spans="1:17">
      <c r="A292" s="800">
        <v>9</v>
      </c>
      <c r="B292" s="791" t="s">
        <v>2617</v>
      </c>
      <c r="C292" s="55" t="s">
        <v>14509</v>
      </c>
      <c r="D292" s="793">
        <v>0</v>
      </c>
      <c r="E292" s="793">
        <v>0</v>
      </c>
      <c r="F292" s="793">
        <v>0</v>
      </c>
      <c r="G292" s="793">
        <v>0</v>
      </c>
      <c r="H292" s="793">
        <v>0</v>
      </c>
      <c r="I292" s="793">
        <v>0</v>
      </c>
      <c r="J292" s="793">
        <v>0</v>
      </c>
      <c r="K292" s="793">
        <v>0</v>
      </c>
      <c r="L292" s="793">
        <v>0</v>
      </c>
      <c r="M292" s="58">
        <v>1499</v>
      </c>
      <c r="N292" s="58">
        <v>1511</v>
      </c>
      <c r="O292" s="58">
        <v>1521</v>
      </c>
      <c r="Q292" s="791" t="s">
        <v>2504</v>
      </c>
    </row>
    <row r="293" spans="1:17">
      <c r="A293" s="800">
        <v>10</v>
      </c>
      <c r="B293" s="791" t="s">
        <v>2618</v>
      </c>
      <c r="C293" s="55" t="s">
        <v>14510</v>
      </c>
      <c r="D293" s="793">
        <v>0</v>
      </c>
      <c r="E293" s="793">
        <v>0</v>
      </c>
      <c r="F293" s="793">
        <v>0</v>
      </c>
      <c r="G293" s="793">
        <v>0</v>
      </c>
      <c r="H293" s="793">
        <v>0</v>
      </c>
      <c r="I293" s="793">
        <v>0</v>
      </c>
      <c r="J293" s="793">
        <v>0</v>
      </c>
      <c r="K293" s="793">
        <v>0</v>
      </c>
      <c r="L293" s="793">
        <v>0</v>
      </c>
      <c r="M293" s="58">
        <v>3028</v>
      </c>
      <c r="N293" s="58">
        <v>3085</v>
      </c>
      <c r="O293" s="58">
        <v>3089</v>
      </c>
      <c r="Q293" s="791" t="s">
        <v>2504</v>
      </c>
    </row>
    <row r="294" spans="1:17">
      <c r="A294" s="800">
        <v>11</v>
      </c>
      <c r="B294" s="163" t="s">
        <v>14512</v>
      </c>
      <c r="C294" s="55" t="s">
        <v>14511</v>
      </c>
      <c r="D294" s="793">
        <v>0</v>
      </c>
      <c r="E294" s="793">
        <v>0</v>
      </c>
      <c r="F294" s="793">
        <v>0</v>
      </c>
      <c r="G294" s="793">
        <v>0</v>
      </c>
      <c r="H294" s="793">
        <v>0</v>
      </c>
      <c r="I294" s="793">
        <v>0</v>
      </c>
      <c r="J294" s="793">
        <v>0</v>
      </c>
      <c r="K294" s="793">
        <v>0</v>
      </c>
      <c r="L294" s="793">
        <v>0</v>
      </c>
      <c r="M294" s="58">
        <v>4524</v>
      </c>
      <c r="N294" s="58">
        <v>4667</v>
      </c>
      <c r="O294" s="58">
        <v>4688</v>
      </c>
      <c r="Q294" s="791" t="s">
        <v>2504</v>
      </c>
    </row>
    <row r="295" spans="1:17">
      <c r="A295" s="800">
        <v>12</v>
      </c>
      <c r="B295" s="791" t="s">
        <v>2619</v>
      </c>
      <c r="C295" s="55" t="s">
        <v>14513</v>
      </c>
      <c r="D295" s="793">
        <v>0</v>
      </c>
      <c r="E295" s="793">
        <v>0</v>
      </c>
      <c r="F295" s="793">
        <v>0</v>
      </c>
      <c r="G295" s="793">
        <v>0</v>
      </c>
      <c r="H295" s="793">
        <v>0</v>
      </c>
      <c r="I295" s="793">
        <v>0</v>
      </c>
      <c r="J295" s="793">
        <v>0</v>
      </c>
      <c r="K295" s="793">
        <v>0</v>
      </c>
      <c r="L295" s="793">
        <v>0</v>
      </c>
      <c r="M295" s="58">
        <v>4689</v>
      </c>
      <c r="N295" s="58">
        <v>4720</v>
      </c>
      <c r="O295" s="58">
        <v>4726</v>
      </c>
      <c r="Q295" s="791" t="s">
        <v>2504</v>
      </c>
    </row>
    <row r="296" spans="1:17">
      <c r="A296" s="800">
        <v>13</v>
      </c>
      <c r="B296" s="163" t="s">
        <v>2620</v>
      </c>
      <c r="C296" s="55" t="s">
        <v>14514</v>
      </c>
      <c r="D296" s="793">
        <v>0</v>
      </c>
      <c r="E296" s="793">
        <v>0</v>
      </c>
      <c r="F296" s="793">
        <v>0</v>
      </c>
      <c r="G296" s="793">
        <v>0</v>
      </c>
      <c r="H296" s="793">
        <v>0</v>
      </c>
      <c r="I296" s="793">
        <v>0</v>
      </c>
      <c r="J296" s="793">
        <v>0</v>
      </c>
      <c r="K296" s="793">
        <v>0</v>
      </c>
      <c r="L296" s="793">
        <v>0</v>
      </c>
      <c r="M296" s="58">
        <v>2814</v>
      </c>
      <c r="N296" s="58">
        <v>2911</v>
      </c>
      <c r="O296" s="58">
        <v>2930</v>
      </c>
      <c r="Q296" s="791" t="s">
        <v>2504</v>
      </c>
    </row>
    <row r="297" spans="1:17">
      <c r="A297" s="800">
        <v>14</v>
      </c>
      <c r="B297" s="791" t="s">
        <v>14516</v>
      </c>
      <c r="C297" s="55" t="s">
        <v>14515</v>
      </c>
      <c r="D297" s="793">
        <v>0</v>
      </c>
      <c r="E297" s="793">
        <v>0</v>
      </c>
      <c r="F297" s="793">
        <v>0</v>
      </c>
      <c r="G297" s="793">
        <v>0</v>
      </c>
      <c r="H297" s="793">
        <v>0</v>
      </c>
      <c r="I297" s="793">
        <v>0</v>
      </c>
      <c r="J297" s="793">
        <v>0</v>
      </c>
      <c r="K297" s="793">
        <v>0</v>
      </c>
      <c r="L297" s="793">
        <v>0</v>
      </c>
      <c r="M297" s="58">
        <v>2581</v>
      </c>
      <c r="N297" s="58">
        <v>2700</v>
      </c>
      <c r="O297" s="58">
        <v>2729</v>
      </c>
      <c r="Q297" s="791" t="s">
        <v>2492</v>
      </c>
    </row>
    <row r="298" spans="1:17" ht="15.75" thickBot="1">
      <c r="A298" s="800"/>
      <c r="B298" s="791"/>
      <c r="C298" s="55" t="s">
        <v>14515</v>
      </c>
      <c r="D298" s="793">
        <v>0</v>
      </c>
      <c r="E298" s="793">
        <v>0</v>
      </c>
      <c r="F298" s="793">
        <v>0</v>
      </c>
      <c r="G298" s="793">
        <v>0</v>
      </c>
      <c r="H298" s="793">
        <v>0</v>
      </c>
      <c r="I298" s="793">
        <v>0</v>
      </c>
      <c r="J298" s="793">
        <v>0</v>
      </c>
      <c r="K298" s="793">
        <v>0</v>
      </c>
      <c r="L298" s="793">
        <v>0</v>
      </c>
      <c r="M298" s="58">
        <v>362</v>
      </c>
      <c r="N298" s="58">
        <v>375</v>
      </c>
      <c r="O298" s="58">
        <v>377</v>
      </c>
      <c r="Q298" s="791" t="s">
        <v>2504</v>
      </c>
    </row>
    <row r="299" spans="1:17" ht="15.75" thickBot="1">
      <c r="A299" s="800"/>
      <c r="B299" s="791"/>
      <c r="C299" s="55" t="s">
        <v>14515</v>
      </c>
      <c r="D299" s="799">
        <f t="shared" ref="D299:M299" si="110">D297+D298</f>
        <v>0</v>
      </c>
      <c r="E299" s="799">
        <f t="shared" si="110"/>
        <v>0</v>
      </c>
      <c r="F299" s="799">
        <f t="shared" si="110"/>
        <v>0</v>
      </c>
      <c r="G299" s="799">
        <f t="shared" si="110"/>
        <v>0</v>
      </c>
      <c r="H299" s="799">
        <f t="shared" si="110"/>
        <v>0</v>
      </c>
      <c r="I299" s="799">
        <f t="shared" si="110"/>
        <v>0</v>
      </c>
      <c r="J299" s="799">
        <f t="shared" si="110"/>
        <v>0</v>
      </c>
      <c r="K299" s="799">
        <f t="shared" si="110"/>
        <v>0</v>
      </c>
      <c r="L299" s="799">
        <f t="shared" si="110"/>
        <v>0</v>
      </c>
      <c r="M299" s="799">
        <f t="shared" si="110"/>
        <v>2943</v>
      </c>
      <c r="N299" s="799">
        <f>N297+N298</f>
        <v>3075</v>
      </c>
      <c r="O299" s="799">
        <f>O297+O298</f>
        <v>3106</v>
      </c>
      <c r="Q299" s="791"/>
    </row>
    <row r="300" spans="1:17">
      <c r="A300" s="800">
        <v>15</v>
      </c>
      <c r="B300" s="791" t="s">
        <v>2621</v>
      </c>
      <c r="C300" s="55" t="s">
        <v>14517</v>
      </c>
      <c r="D300" s="793">
        <v>0</v>
      </c>
      <c r="E300" s="793">
        <v>0</v>
      </c>
      <c r="F300" s="793">
        <v>0</v>
      </c>
      <c r="G300" s="793">
        <v>0</v>
      </c>
      <c r="H300" s="793">
        <v>0</v>
      </c>
      <c r="I300" s="793">
        <v>0</v>
      </c>
      <c r="J300" s="793">
        <v>0</v>
      </c>
      <c r="K300" s="793">
        <v>0</v>
      </c>
      <c r="L300" s="793">
        <v>0</v>
      </c>
      <c r="M300" s="58">
        <v>2963</v>
      </c>
      <c r="N300" s="58">
        <v>2979</v>
      </c>
      <c r="O300" s="58">
        <v>2998</v>
      </c>
      <c r="Q300" s="791" t="s">
        <v>2504</v>
      </c>
    </row>
    <row r="301" spans="1:17">
      <c r="A301" s="800">
        <v>16</v>
      </c>
      <c r="B301" s="791" t="s">
        <v>2622</v>
      </c>
      <c r="C301" s="55" t="s">
        <v>14518</v>
      </c>
      <c r="D301" s="793">
        <v>0</v>
      </c>
      <c r="E301" s="793">
        <v>0</v>
      </c>
      <c r="F301" s="793">
        <v>0</v>
      </c>
      <c r="G301" s="793">
        <v>0</v>
      </c>
      <c r="H301" s="793">
        <v>0</v>
      </c>
      <c r="I301" s="793">
        <v>0</v>
      </c>
      <c r="J301" s="793">
        <v>0</v>
      </c>
      <c r="K301" s="793">
        <v>0</v>
      </c>
      <c r="L301" s="793">
        <v>0</v>
      </c>
      <c r="M301" s="58">
        <v>4262</v>
      </c>
      <c r="N301" s="58">
        <v>4280</v>
      </c>
      <c r="O301" s="58">
        <v>4301</v>
      </c>
      <c r="Q301" s="791" t="s">
        <v>2504</v>
      </c>
    </row>
    <row r="302" spans="1:17">
      <c r="A302" s="800">
        <v>17</v>
      </c>
      <c r="B302" s="791" t="s">
        <v>2623</v>
      </c>
      <c r="C302" s="55" t="s">
        <v>14519</v>
      </c>
      <c r="D302" s="793">
        <v>0</v>
      </c>
      <c r="E302" s="793">
        <v>0</v>
      </c>
      <c r="F302" s="793">
        <v>0</v>
      </c>
      <c r="G302" s="793">
        <v>0</v>
      </c>
      <c r="H302" s="793">
        <v>0</v>
      </c>
      <c r="I302" s="793">
        <v>0</v>
      </c>
      <c r="J302" s="793">
        <v>0</v>
      </c>
      <c r="K302" s="793">
        <v>0</v>
      </c>
      <c r="L302" s="793">
        <v>0</v>
      </c>
      <c r="M302" s="58">
        <v>244</v>
      </c>
      <c r="N302" s="58">
        <v>246</v>
      </c>
      <c r="O302" s="58">
        <v>245</v>
      </c>
      <c r="Q302" s="791" t="s">
        <v>2492</v>
      </c>
    </row>
    <row r="303" spans="1:17" ht="15.75" thickBot="1">
      <c r="A303" s="800"/>
      <c r="B303" s="791"/>
      <c r="C303" s="55" t="s">
        <v>14519</v>
      </c>
      <c r="D303" s="793">
        <v>0</v>
      </c>
      <c r="E303" s="793">
        <v>0</v>
      </c>
      <c r="F303" s="793">
        <v>0</v>
      </c>
      <c r="G303" s="793">
        <v>0</v>
      </c>
      <c r="H303" s="793">
        <v>0</v>
      </c>
      <c r="I303" s="793">
        <v>0</v>
      </c>
      <c r="J303" s="793">
        <v>0</v>
      </c>
      <c r="K303" s="793">
        <v>0</v>
      </c>
      <c r="L303" s="793">
        <v>0</v>
      </c>
      <c r="M303" s="58">
        <v>4258</v>
      </c>
      <c r="N303" s="58">
        <v>4371</v>
      </c>
      <c r="O303" s="58">
        <v>4369</v>
      </c>
      <c r="Q303" s="791" t="s">
        <v>2504</v>
      </c>
    </row>
    <row r="304" spans="1:17" ht="15.75" thickBot="1">
      <c r="A304" s="800"/>
      <c r="B304" s="791"/>
      <c r="C304" s="55" t="s">
        <v>14519</v>
      </c>
      <c r="D304" s="799">
        <f t="shared" ref="D304:M304" si="111">D302+D303</f>
        <v>0</v>
      </c>
      <c r="E304" s="799">
        <f t="shared" si="111"/>
        <v>0</v>
      </c>
      <c r="F304" s="799">
        <f t="shared" si="111"/>
        <v>0</v>
      </c>
      <c r="G304" s="799">
        <f t="shared" si="111"/>
        <v>0</v>
      </c>
      <c r="H304" s="799">
        <f t="shared" si="111"/>
        <v>0</v>
      </c>
      <c r="I304" s="799">
        <f t="shared" si="111"/>
        <v>0</v>
      </c>
      <c r="J304" s="799">
        <f t="shared" si="111"/>
        <v>0</v>
      </c>
      <c r="K304" s="799">
        <f t="shared" si="111"/>
        <v>0</v>
      </c>
      <c r="L304" s="799">
        <f t="shared" si="111"/>
        <v>0</v>
      </c>
      <c r="M304" s="799">
        <f t="shared" si="111"/>
        <v>4502</v>
      </c>
      <c r="N304" s="799">
        <f>N302+N303</f>
        <v>4617</v>
      </c>
      <c r="O304" s="799">
        <f>O302+O303</f>
        <v>4614</v>
      </c>
      <c r="Q304" s="791"/>
    </row>
    <row r="305" spans="1:17">
      <c r="A305" s="800">
        <v>18</v>
      </c>
      <c r="B305" s="791" t="s">
        <v>14521</v>
      </c>
      <c r="C305" s="55" t="s">
        <v>14520</v>
      </c>
      <c r="D305" s="793">
        <v>14327</v>
      </c>
      <c r="E305" s="793">
        <v>14468</v>
      </c>
      <c r="F305" s="793">
        <v>14522</v>
      </c>
      <c r="G305" s="793">
        <v>14639</v>
      </c>
      <c r="H305" s="56">
        <v>14783</v>
      </c>
      <c r="I305" s="56">
        <v>14363</v>
      </c>
      <c r="J305" s="56">
        <v>14347</v>
      </c>
      <c r="K305" s="56">
        <v>14647</v>
      </c>
      <c r="L305" s="56">
        <v>14719</v>
      </c>
      <c r="M305" s="58">
        <v>4243</v>
      </c>
      <c r="N305" s="58">
        <v>4291</v>
      </c>
      <c r="O305" s="58">
        <v>4314</v>
      </c>
      <c r="Q305" s="791" t="s">
        <v>2492</v>
      </c>
    </row>
    <row r="306" spans="1:17">
      <c r="A306" s="800">
        <v>19</v>
      </c>
      <c r="B306" s="791" t="s">
        <v>14523</v>
      </c>
      <c r="C306" s="55" t="s">
        <v>14522</v>
      </c>
      <c r="D306" s="793">
        <v>0</v>
      </c>
      <c r="E306" s="793">
        <v>0</v>
      </c>
      <c r="F306" s="793">
        <v>0</v>
      </c>
      <c r="G306" s="793">
        <v>0</v>
      </c>
      <c r="H306" s="793">
        <v>0</v>
      </c>
      <c r="I306" s="793">
        <v>0</v>
      </c>
      <c r="J306" s="793">
        <v>0</v>
      </c>
      <c r="K306" s="793">
        <v>0</v>
      </c>
      <c r="L306" s="793">
        <v>0</v>
      </c>
      <c r="M306" s="58">
        <v>1422</v>
      </c>
      <c r="N306" s="58">
        <v>1430</v>
      </c>
      <c r="O306" s="58">
        <v>1434</v>
      </c>
      <c r="Q306" s="791" t="s">
        <v>2504</v>
      </c>
    </row>
    <row r="307" spans="1:17">
      <c r="A307" s="800">
        <v>20</v>
      </c>
      <c r="B307" s="791" t="s">
        <v>2624</v>
      </c>
      <c r="C307" s="55" t="s">
        <v>14524</v>
      </c>
      <c r="D307" s="793">
        <v>0</v>
      </c>
      <c r="E307" s="793">
        <v>0</v>
      </c>
      <c r="F307" s="793">
        <v>0</v>
      </c>
      <c r="G307" s="793">
        <v>0</v>
      </c>
      <c r="H307" s="793">
        <v>0</v>
      </c>
      <c r="I307" s="793">
        <v>0</v>
      </c>
      <c r="J307" s="793">
        <v>0</v>
      </c>
      <c r="K307" s="793">
        <v>0</v>
      </c>
      <c r="L307" s="793">
        <v>0</v>
      </c>
      <c r="M307" s="58">
        <v>4513</v>
      </c>
      <c r="N307" s="58">
        <v>4656</v>
      </c>
      <c r="O307" s="58">
        <v>4701</v>
      </c>
      <c r="Q307" s="791" t="s">
        <v>2492</v>
      </c>
    </row>
    <row r="308" spans="1:17">
      <c r="A308" s="800">
        <v>21</v>
      </c>
      <c r="B308" s="791" t="s">
        <v>6890</v>
      </c>
      <c r="C308" s="55" t="s">
        <v>14525</v>
      </c>
      <c r="D308" s="793">
        <v>0</v>
      </c>
      <c r="E308" s="793">
        <v>0</v>
      </c>
      <c r="F308" s="793">
        <v>0</v>
      </c>
      <c r="G308" s="793">
        <v>0</v>
      </c>
      <c r="H308" s="793">
        <v>0</v>
      </c>
      <c r="I308" s="793">
        <v>0</v>
      </c>
      <c r="J308" s="793">
        <v>0</v>
      </c>
      <c r="K308" s="793">
        <v>0</v>
      </c>
      <c r="L308" s="793">
        <v>0</v>
      </c>
      <c r="M308" s="58">
        <v>3206</v>
      </c>
      <c r="N308" s="58">
        <v>3248</v>
      </c>
      <c r="O308" s="58">
        <v>3256</v>
      </c>
      <c r="Q308" s="791" t="s">
        <v>2492</v>
      </c>
    </row>
    <row r="309" spans="1:17">
      <c r="A309" s="800">
        <v>22</v>
      </c>
      <c r="B309" s="791" t="s">
        <v>2625</v>
      </c>
      <c r="C309" s="55" t="s">
        <v>14526</v>
      </c>
      <c r="D309" s="793">
        <v>0</v>
      </c>
      <c r="E309" s="793">
        <v>0</v>
      </c>
      <c r="F309" s="793">
        <v>0</v>
      </c>
      <c r="G309" s="793">
        <v>0</v>
      </c>
      <c r="H309" s="793">
        <v>0</v>
      </c>
      <c r="I309" s="793">
        <v>0</v>
      </c>
      <c r="J309" s="793">
        <v>0</v>
      </c>
      <c r="K309" s="793">
        <v>0</v>
      </c>
      <c r="L309" s="793">
        <v>0</v>
      </c>
      <c r="M309" s="58">
        <v>3807</v>
      </c>
      <c r="N309" s="58">
        <v>3949</v>
      </c>
      <c r="O309" s="58">
        <v>3997</v>
      </c>
      <c r="Q309" s="791" t="s">
        <v>2504</v>
      </c>
    </row>
    <row r="310" spans="1:17">
      <c r="A310" s="800">
        <v>23</v>
      </c>
      <c r="B310" s="791" t="s">
        <v>2626</v>
      </c>
      <c r="C310" s="55" t="s">
        <v>14527</v>
      </c>
      <c r="D310" s="793">
        <v>0</v>
      </c>
      <c r="E310" s="793">
        <v>0</v>
      </c>
      <c r="F310" s="793">
        <v>0</v>
      </c>
      <c r="G310" s="793">
        <v>0</v>
      </c>
      <c r="H310" s="793">
        <v>0</v>
      </c>
      <c r="I310" s="793">
        <v>0</v>
      </c>
      <c r="J310" s="793">
        <v>0</v>
      </c>
      <c r="K310" s="793">
        <v>0</v>
      </c>
      <c r="L310" s="793">
        <v>0</v>
      </c>
      <c r="M310" s="58">
        <v>1409</v>
      </c>
      <c r="N310" s="58">
        <v>1433</v>
      </c>
      <c r="O310" s="58">
        <v>1445</v>
      </c>
      <c r="Q310" s="791" t="s">
        <v>2504</v>
      </c>
    </row>
    <row r="311" spans="1:17">
      <c r="A311" s="800">
        <v>24</v>
      </c>
      <c r="B311" s="791" t="s">
        <v>1311</v>
      </c>
      <c r="C311" s="55" t="s">
        <v>14528</v>
      </c>
      <c r="D311" s="793">
        <v>0</v>
      </c>
      <c r="E311" s="793">
        <v>0</v>
      </c>
      <c r="F311" s="793">
        <v>0</v>
      </c>
      <c r="G311" s="793">
        <v>0</v>
      </c>
      <c r="H311" s="793">
        <v>0</v>
      </c>
      <c r="I311" s="793">
        <v>0</v>
      </c>
      <c r="J311" s="793">
        <v>0</v>
      </c>
      <c r="K311" s="793">
        <v>0</v>
      </c>
      <c r="L311" s="793">
        <v>0</v>
      </c>
      <c r="M311" s="58">
        <v>4204</v>
      </c>
      <c r="N311" s="58">
        <v>4217</v>
      </c>
      <c r="O311" s="58">
        <v>4221</v>
      </c>
      <c r="Q311" s="791" t="s">
        <v>2504</v>
      </c>
    </row>
    <row r="312" spans="1:17">
      <c r="D312" s="795"/>
      <c r="E312" s="795"/>
      <c r="F312" s="795"/>
      <c r="G312" s="795"/>
      <c r="H312" s="795"/>
      <c r="I312" s="795"/>
      <c r="J312" s="795"/>
      <c r="K312" s="795"/>
      <c r="L312" s="795"/>
      <c r="M312" s="58"/>
      <c r="N312" s="58"/>
      <c r="O312" s="58"/>
    </row>
    <row r="313" spans="1:17">
      <c r="A313" s="791" t="s">
        <v>4013</v>
      </c>
      <c r="D313" s="58">
        <f t="shared" ref="D313:L313" si="112">SUM(D297,D302,D305,D307:D308)</f>
        <v>14327</v>
      </c>
      <c r="E313" s="58">
        <f t="shared" si="112"/>
        <v>14468</v>
      </c>
      <c r="F313" s="58">
        <f t="shared" si="112"/>
        <v>14522</v>
      </c>
      <c r="G313" s="58">
        <f t="shared" si="112"/>
        <v>14639</v>
      </c>
      <c r="H313" s="58">
        <f t="shared" si="112"/>
        <v>14783</v>
      </c>
      <c r="I313" s="58">
        <f t="shared" si="112"/>
        <v>14363</v>
      </c>
      <c r="J313" s="58">
        <f t="shared" si="112"/>
        <v>14347</v>
      </c>
      <c r="K313" s="58">
        <f t="shared" si="112"/>
        <v>14647</v>
      </c>
      <c r="L313" s="58">
        <f t="shared" si="112"/>
        <v>14719</v>
      </c>
      <c r="M313" s="58">
        <f>SUM(M297,M302,M305,M307:M308)</f>
        <v>14787</v>
      </c>
      <c r="N313" s="58">
        <f>SUM(N297,N302,N305,N307:N308)</f>
        <v>15141</v>
      </c>
      <c r="O313" s="58">
        <f>SUM(O297,O302,O305,O307:O308)</f>
        <v>15245</v>
      </c>
    </row>
    <row r="314" spans="1:17">
      <c r="A314" s="791" t="s">
        <v>4031</v>
      </c>
      <c r="D314" s="58">
        <f t="shared" ref="D314:L314" si="113">SUM(D284:D296,D298,D300:D301,D303,D306,D309:D311)</f>
        <v>63683</v>
      </c>
      <c r="E314" s="58">
        <f t="shared" si="113"/>
        <v>64295</v>
      </c>
      <c r="F314" s="58">
        <f t="shared" si="113"/>
        <v>64624</v>
      </c>
      <c r="G314" s="58">
        <f t="shared" si="113"/>
        <v>64780</v>
      </c>
      <c r="H314" s="58">
        <f t="shared" si="113"/>
        <v>64929</v>
      </c>
      <c r="I314" s="58">
        <f t="shared" si="113"/>
        <v>63277</v>
      </c>
      <c r="J314" s="58">
        <f t="shared" si="113"/>
        <v>62909</v>
      </c>
      <c r="K314" s="58">
        <f t="shared" si="113"/>
        <v>63792</v>
      </c>
      <c r="L314" s="58">
        <f t="shared" si="113"/>
        <v>63747</v>
      </c>
      <c r="M314" s="58">
        <f>SUM(M284:M296,M298,M300:M301,M303,M306,M309:M311)</f>
        <v>63304</v>
      </c>
      <c r="N314" s="58">
        <f>SUM(N284:N296,N298,N300:N301,N303,N306,N309:N311)</f>
        <v>64453</v>
      </c>
      <c r="O314" s="58">
        <f>SUM(O284:O296,O298,O300:O301,O303,O306,O309:O311)</f>
        <v>64727</v>
      </c>
    </row>
    <row r="315" spans="1:17">
      <c r="A315" s="791"/>
      <c r="B315" s="791"/>
      <c r="D315" s="793"/>
      <c r="E315" s="793"/>
      <c r="F315" s="793"/>
      <c r="G315" s="793"/>
      <c r="H315" s="793"/>
      <c r="I315" s="793"/>
      <c r="J315" s="793"/>
      <c r="K315" s="793"/>
      <c r="L315" s="793"/>
      <c r="M315" s="793"/>
      <c r="N315" s="793"/>
      <c r="O315" s="793"/>
    </row>
    <row r="316" spans="1:17">
      <c r="A316" s="791" t="s">
        <v>1312</v>
      </c>
      <c r="B316" s="791"/>
      <c r="D316" s="793"/>
      <c r="E316" s="793"/>
      <c r="F316" s="793"/>
      <c r="G316" s="793"/>
      <c r="H316" s="793"/>
      <c r="I316" s="793"/>
      <c r="J316" s="793"/>
      <c r="K316" s="793"/>
      <c r="L316" s="793"/>
      <c r="M316" s="793"/>
      <c r="N316" s="793"/>
      <c r="O316" s="793"/>
    </row>
    <row r="317" spans="1:17">
      <c r="A317" s="791"/>
      <c r="B317" s="791"/>
      <c r="D317" s="801"/>
      <c r="E317" s="801"/>
      <c r="F317" s="801"/>
      <c r="G317" s="801"/>
      <c r="H317" s="801"/>
      <c r="I317" s="801"/>
      <c r="J317" s="801"/>
      <c r="K317" s="801"/>
      <c r="L317" s="801"/>
      <c r="M317" s="801"/>
      <c r="N317" s="801"/>
      <c r="O317" s="801"/>
    </row>
    <row r="318" spans="1:17">
      <c r="A318" s="791"/>
      <c r="B318" s="791"/>
      <c r="D318" s="801"/>
      <c r="E318" s="801"/>
      <c r="F318" s="801"/>
      <c r="G318" s="801"/>
      <c r="H318" s="801"/>
      <c r="I318" s="801"/>
      <c r="J318" s="801"/>
      <c r="K318" s="801"/>
      <c r="L318" s="801"/>
      <c r="M318" s="801"/>
      <c r="N318" s="801"/>
      <c r="O318" s="801"/>
    </row>
    <row r="319" spans="1:17">
      <c r="E319" s="51" t="s">
        <v>1526</v>
      </c>
      <c r="F319" s="51"/>
      <c r="G319" s="51"/>
      <c r="H319" s="51"/>
      <c r="I319" s="51"/>
      <c r="J319" s="51"/>
      <c r="K319" s="51"/>
      <c r="L319" s="51"/>
      <c r="M319" s="51"/>
      <c r="N319" s="51"/>
      <c r="O319" s="51"/>
      <c r="P319" s="52"/>
      <c r="Q319" s="53" t="s">
        <v>9479</v>
      </c>
    </row>
    <row r="320" spans="1:17">
      <c r="D320" s="40">
        <v>2010</v>
      </c>
      <c r="E320" s="40">
        <v>2011</v>
      </c>
      <c r="F320" s="40">
        <v>2012</v>
      </c>
      <c r="G320" s="40">
        <v>2013</v>
      </c>
      <c r="H320" s="40">
        <v>2014</v>
      </c>
      <c r="I320" s="40">
        <v>2015</v>
      </c>
      <c r="J320" s="40">
        <v>2016</v>
      </c>
      <c r="K320" s="40">
        <v>2017</v>
      </c>
      <c r="L320" s="40">
        <v>2018</v>
      </c>
      <c r="M320" s="40">
        <v>2019</v>
      </c>
      <c r="N320" s="40">
        <v>2020</v>
      </c>
      <c r="O320" s="982" t="s">
        <v>14823</v>
      </c>
      <c r="P320" s="52"/>
      <c r="Q320" s="54" t="s">
        <v>1527</v>
      </c>
    </row>
    <row r="321" spans="1:17">
      <c r="A321" s="791" t="s">
        <v>1313</v>
      </c>
      <c r="D321" s="793">
        <f t="shared" ref="D321:I321" si="114">SUM(D322:D336)</f>
        <v>70443</v>
      </c>
      <c r="E321" s="793">
        <f t="shared" si="114"/>
        <v>71326</v>
      </c>
      <c r="F321" s="793">
        <f t="shared" si="114"/>
        <v>72354</v>
      </c>
      <c r="G321" s="793">
        <f t="shared" si="114"/>
        <v>73346</v>
      </c>
      <c r="H321" s="793">
        <f t="shared" si="114"/>
        <v>74205</v>
      </c>
      <c r="I321" s="793">
        <f t="shared" si="114"/>
        <v>72972</v>
      </c>
      <c r="J321" s="793">
        <f t="shared" ref="J321:O321" si="115">SUM(J322:J336)</f>
        <v>71577</v>
      </c>
      <c r="K321" s="793">
        <f t="shared" si="115"/>
        <v>75362</v>
      </c>
      <c r="L321" s="793">
        <f t="shared" si="115"/>
        <v>78689</v>
      </c>
      <c r="M321" s="793">
        <f t="shared" si="115"/>
        <v>76831</v>
      </c>
      <c r="N321" s="793">
        <f t="shared" si="115"/>
        <v>79941</v>
      </c>
      <c r="O321" s="793">
        <f t="shared" si="115"/>
        <v>80515</v>
      </c>
    </row>
    <row r="322" spans="1:17">
      <c r="A322" s="800">
        <v>1</v>
      </c>
      <c r="B322" s="791" t="s">
        <v>1314</v>
      </c>
      <c r="C322" s="55" t="s">
        <v>9071</v>
      </c>
      <c r="D322" s="793">
        <v>70443</v>
      </c>
      <c r="E322" s="793">
        <v>71326</v>
      </c>
      <c r="F322" s="793">
        <v>5287</v>
      </c>
      <c r="G322" s="56">
        <v>5261</v>
      </c>
      <c r="H322" s="56">
        <v>5374</v>
      </c>
      <c r="I322" s="56">
        <v>5335</v>
      </c>
      <c r="J322" s="56">
        <v>5323</v>
      </c>
      <c r="K322" s="56">
        <v>5698</v>
      </c>
      <c r="L322" s="56">
        <v>6046</v>
      </c>
      <c r="M322" s="56">
        <v>6206</v>
      </c>
      <c r="N322" s="56">
        <v>6747</v>
      </c>
      <c r="O322" s="56">
        <v>6846</v>
      </c>
      <c r="Q322" s="791" t="s">
        <v>2505</v>
      </c>
    </row>
    <row r="323" spans="1:17">
      <c r="A323" s="800">
        <v>2</v>
      </c>
      <c r="B323" s="791" t="s">
        <v>1315</v>
      </c>
      <c r="C323" s="55" t="s">
        <v>9072</v>
      </c>
      <c r="D323" s="793">
        <v>0</v>
      </c>
      <c r="E323" s="793">
        <v>0</v>
      </c>
      <c r="F323" s="793">
        <v>5382</v>
      </c>
      <c r="G323" s="56">
        <v>5606</v>
      </c>
      <c r="H323" s="56">
        <v>5977</v>
      </c>
      <c r="I323" s="56">
        <v>5919</v>
      </c>
      <c r="J323" s="56">
        <v>5858</v>
      </c>
      <c r="K323" s="56">
        <v>6207</v>
      </c>
      <c r="L323" s="56">
        <v>6463</v>
      </c>
      <c r="M323" s="56">
        <v>6279</v>
      </c>
      <c r="N323" s="56">
        <v>6540</v>
      </c>
      <c r="O323" s="56">
        <v>6568</v>
      </c>
      <c r="Q323" s="791" t="s">
        <v>2505</v>
      </c>
    </row>
    <row r="324" spans="1:17">
      <c r="A324" s="800">
        <v>3</v>
      </c>
      <c r="B324" s="791" t="s">
        <v>1316</v>
      </c>
      <c r="C324" s="55" t="s">
        <v>9073</v>
      </c>
      <c r="D324" s="793">
        <v>0</v>
      </c>
      <c r="E324" s="793">
        <v>0</v>
      </c>
      <c r="F324" s="793">
        <v>4427</v>
      </c>
      <c r="G324" s="56">
        <v>4464</v>
      </c>
      <c r="H324" s="56">
        <v>4501</v>
      </c>
      <c r="I324" s="56">
        <v>4351</v>
      </c>
      <c r="J324" s="56">
        <v>4246</v>
      </c>
      <c r="K324" s="56">
        <v>4450</v>
      </c>
      <c r="L324" s="56">
        <v>4559</v>
      </c>
      <c r="M324" s="56">
        <v>4494</v>
      </c>
      <c r="N324" s="56">
        <v>4945</v>
      </c>
      <c r="O324" s="56">
        <v>5031</v>
      </c>
      <c r="Q324" s="791" t="s">
        <v>2505</v>
      </c>
    </row>
    <row r="325" spans="1:17">
      <c r="A325" s="800">
        <v>4</v>
      </c>
      <c r="B325" s="791" t="s">
        <v>1317</v>
      </c>
      <c r="C325" s="55" t="s">
        <v>9074</v>
      </c>
      <c r="D325" s="793">
        <v>0</v>
      </c>
      <c r="E325" s="793">
        <v>0</v>
      </c>
      <c r="F325" s="793">
        <v>1979</v>
      </c>
      <c r="G325" s="56">
        <v>1984</v>
      </c>
      <c r="H325" s="56">
        <v>2011</v>
      </c>
      <c r="I325" s="56">
        <v>1971</v>
      </c>
      <c r="J325" s="56">
        <v>1934</v>
      </c>
      <c r="K325" s="56">
        <v>2038</v>
      </c>
      <c r="L325" s="56">
        <v>2107</v>
      </c>
      <c r="M325" s="56">
        <v>2008</v>
      </c>
      <c r="N325" s="56">
        <v>2054</v>
      </c>
      <c r="O325" s="56">
        <v>2056</v>
      </c>
      <c r="Q325" s="791" t="s">
        <v>2505</v>
      </c>
    </row>
    <row r="326" spans="1:17">
      <c r="A326" s="800">
        <v>5</v>
      </c>
      <c r="B326" s="791" t="s">
        <v>1318</v>
      </c>
      <c r="C326" s="55" t="s">
        <v>9075</v>
      </c>
      <c r="D326" s="793">
        <v>0</v>
      </c>
      <c r="E326" s="793">
        <v>0</v>
      </c>
      <c r="F326" s="793">
        <v>6789</v>
      </c>
      <c r="G326" s="56">
        <v>6891</v>
      </c>
      <c r="H326" s="56">
        <v>6941</v>
      </c>
      <c r="I326" s="56">
        <v>6739</v>
      </c>
      <c r="J326" s="56">
        <v>6589</v>
      </c>
      <c r="K326" s="56">
        <v>6959</v>
      </c>
      <c r="L326" s="56">
        <v>7268</v>
      </c>
      <c r="M326" s="56">
        <v>7001</v>
      </c>
      <c r="N326" s="56">
        <v>7214</v>
      </c>
      <c r="O326" s="56">
        <v>7257</v>
      </c>
      <c r="Q326" s="791" t="s">
        <v>2505</v>
      </c>
    </row>
    <row r="327" spans="1:17">
      <c r="A327" s="800">
        <v>6</v>
      </c>
      <c r="B327" s="791" t="s">
        <v>6151</v>
      </c>
      <c r="C327" s="55" t="s">
        <v>9076</v>
      </c>
      <c r="D327" s="793">
        <v>0</v>
      </c>
      <c r="E327" s="793">
        <v>0</v>
      </c>
      <c r="F327" s="793">
        <v>3989</v>
      </c>
      <c r="G327" s="56">
        <v>4058</v>
      </c>
      <c r="H327" s="56">
        <v>4059</v>
      </c>
      <c r="I327" s="56">
        <v>4004</v>
      </c>
      <c r="J327" s="56">
        <v>3923</v>
      </c>
      <c r="K327" s="56">
        <v>4122</v>
      </c>
      <c r="L327" s="56">
        <v>4373</v>
      </c>
      <c r="M327" s="56">
        <v>4350</v>
      </c>
      <c r="N327" s="56">
        <v>4574</v>
      </c>
      <c r="O327" s="56">
        <v>4612</v>
      </c>
      <c r="Q327" s="791" t="s">
        <v>2505</v>
      </c>
    </row>
    <row r="328" spans="1:17">
      <c r="A328" s="800">
        <v>7</v>
      </c>
      <c r="B328" s="791" t="s">
        <v>1319</v>
      </c>
      <c r="C328" s="55" t="s">
        <v>9077</v>
      </c>
      <c r="D328" s="793">
        <v>0</v>
      </c>
      <c r="E328" s="793">
        <v>0</v>
      </c>
      <c r="F328" s="793">
        <v>4068</v>
      </c>
      <c r="G328" s="56">
        <v>4149</v>
      </c>
      <c r="H328" s="56">
        <v>4232</v>
      </c>
      <c r="I328" s="56">
        <v>4243</v>
      </c>
      <c r="J328" s="56">
        <v>4175</v>
      </c>
      <c r="K328" s="56">
        <v>4387</v>
      </c>
      <c r="L328" s="56">
        <v>4566</v>
      </c>
      <c r="M328" s="56">
        <v>4361</v>
      </c>
      <c r="N328" s="56">
        <v>4462</v>
      </c>
      <c r="O328" s="56">
        <v>4463</v>
      </c>
      <c r="Q328" s="791" t="s">
        <v>2505</v>
      </c>
    </row>
    <row r="329" spans="1:17">
      <c r="A329" s="800">
        <v>8</v>
      </c>
      <c r="B329" s="791" t="s">
        <v>1320</v>
      </c>
      <c r="C329" s="55" t="s">
        <v>9078</v>
      </c>
      <c r="D329" s="793">
        <v>0</v>
      </c>
      <c r="E329" s="793">
        <v>0</v>
      </c>
      <c r="F329" s="793">
        <v>6345</v>
      </c>
      <c r="G329" s="56">
        <v>6391</v>
      </c>
      <c r="H329" s="56">
        <v>6350</v>
      </c>
      <c r="I329" s="56">
        <v>6219</v>
      </c>
      <c r="J329" s="56">
        <v>6031</v>
      </c>
      <c r="K329" s="56">
        <v>6289</v>
      </c>
      <c r="L329" s="56">
        <v>6483</v>
      </c>
      <c r="M329" s="56">
        <v>6189</v>
      </c>
      <c r="N329" s="56">
        <v>6242</v>
      </c>
      <c r="O329" s="56">
        <v>6238</v>
      </c>
      <c r="Q329" s="791" t="s">
        <v>2505</v>
      </c>
    </row>
    <row r="330" spans="1:17">
      <c r="A330" s="800">
        <v>9</v>
      </c>
      <c r="B330" s="791" t="s">
        <v>1321</v>
      </c>
      <c r="C330" s="55" t="s">
        <v>9079</v>
      </c>
      <c r="D330" s="793">
        <v>0</v>
      </c>
      <c r="E330" s="793">
        <v>0</v>
      </c>
      <c r="F330" s="793">
        <v>6355</v>
      </c>
      <c r="G330" s="56">
        <v>6462</v>
      </c>
      <c r="H330" s="56">
        <v>6450</v>
      </c>
      <c r="I330" s="56">
        <v>6316</v>
      </c>
      <c r="J330" s="56">
        <v>6169</v>
      </c>
      <c r="K330" s="56">
        <v>6286</v>
      </c>
      <c r="L330" s="56">
        <v>6453</v>
      </c>
      <c r="M330" s="56">
        <v>6202</v>
      </c>
      <c r="N330" s="56">
        <v>6192</v>
      </c>
      <c r="O330" s="56">
        <v>6223</v>
      </c>
      <c r="Q330" s="791" t="s">
        <v>2505</v>
      </c>
    </row>
    <row r="331" spans="1:17">
      <c r="A331" s="800">
        <v>10</v>
      </c>
      <c r="B331" s="791" t="s">
        <v>1322</v>
      </c>
      <c r="C331" s="55" t="s">
        <v>9080</v>
      </c>
      <c r="D331" s="793">
        <v>0</v>
      </c>
      <c r="E331" s="793">
        <v>0</v>
      </c>
      <c r="F331" s="793">
        <v>4123</v>
      </c>
      <c r="G331" s="56">
        <v>4145</v>
      </c>
      <c r="H331" s="56">
        <v>4126</v>
      </c>
      <c r="I331" s="56">
        <v>4041</v>
      </c>
      <c r="J331" s="56">
        <v>3886</v>
      </c>
      <c r="K331" s="56">
        <v>4203</v>
      </c>
      <c r="L331" s="56">
        <v>4345</v>
      </c>
      <c r="M331" s="56">
        <v>4217</v>
      </c>
      <c r="N331" s="56">
        <v>4424</v>
      </c>
      <c r="O331" s="56">
        <v>4469</v>
      </c>
      <c r="Q331" s="791" t="s">
        <v>2505</v>
      </c>
    </row>
    <row r="332" spans="1:17">
      <c r="A332" s="800">
        <v>11</v>
      </c>
      <c r="B332" s="791" t="s">
        <v>1323</v>
      </c>
      <c r="C332" s="55" t="s">
        <v>9081</v>
      </c>
      <c r="D332" s="793">
        <v>0</v>
      </c>
      <c r="E332" s="793">
        <v>0</v>
      </c>
      <c r="F332" s="793">
        <v>4165</v>
      </c>
      <c r="G332" s="56">
        <v>4231</v>
      </c>
      <c r="H332" s="56">
        <v>4246</v>
      </c>
      <c r="I332" s="56">
        <v>4156</v>
      </c>
      <c r="J332" s="56">
        <v>4111</v>
      </c>
      <c r="K332" s="56">
        <v>4204</v>
      </c>
      <c r="L332" s="56">
        <v>4345</v>
      </c>
      <c r="M332" s="56">
        <v>4219</v>
      </c>
      <c r="N332" s="56">
        <v>4307</v>
      </c>
      <c r="O332" s="56">
        <v>4343</v>
      </c>
      <c r="Q332" s="791" t="s">
        <v>2505</v>
      </c>
    </row>
    <row r="333" spans="1:17">
      <c r="A333" s="800">
        <v>12</v>
      </c>
      <c r="B333" s="791" t="s">
        <v>1324</v>
      </c>
      <c r="C333" s="55" t="s">
        <v>9082</v>
      </c>
      <c r="D333" s="793">
        <v>0</v>
      </c>
      <c r="E333" s="793">
        <v>0</v>
      </c>
      <c r="F333" s="793">
        <v>3259</v>
      </c>
      <c r="G333" s="56">
        <v>3295</v>
      </c>
      <c r="H333" s="56">
        <v>3303</v>
      </c>
      <c r="I333" s="56">
        <v>3350</v>
      </c>
      <c r="J333" s="56">
        <v>3394</v>
      </c>
      <c r="K333" s="56">
        <v>3823</v>
      </c>
      <c r="L333" s="56">
        <v>4116</v>
      </c>
      <c r="M333" s="56">
        <v>3969</v>
      </c>
      <c r="N333" s="56">
        <v>4033</v>
      </c>
      <c r="O333" s="56">
        <v>4052</v>
      </c>
      <c r="Q333" s="791" t="s">
        <v>2505</v>
      </c>
    </row>
    <row r="334" spans="1:17">
      <c r="A334" s="800">
        <v>13</v>
      </c>
      <c r="B334" s="791" t="s">
        <v>1325</v>
      </c>
      <c r="C334" s="55" t="s">
        <v>9083</v>
      </c>
      <c r="D334" s="793">
        <v>0</v>
      </c>
      <c r="E334" s="793">
        <v>0</v>
      </c>
      <c r="F334" s="793">
        <v>6102</v>
      </c>
      <c r="G334" s="56">
        <v>6180</v>
      </c>
      <c r="H334" s="56">
        <v>6222</v>
      </c>
      <c r="I334" s="56">
        <v>6100</v>
      </c>
      <c r="J334" s="56">
        <v>5876</v>
      </c>
      <c r="K334" s="56">
        <v>6071</v>
      </c>
      <c r="L334" s="56">
        <v>6237</v>
      </c>
      <c r="M334" s="56">
        <v>6102</v>
      </c>
      <c r="N334" s="56">
        <v>6305</v>
      </c>
      <c r="O334" s="56">
        <v>6327</v>
      </c>
      <c r="Q334" s="791" t="s">
        <v>2505</v>
      </c>
    </row>
    <row r="335" spans="1:17">
      <c r="A335" s="800">
        <v>14</v>
      </c>
      <c r="B335" s="791" t="s">
        <v>1326</v>
      </c>
      <c r="C335" s="55" t="s">
        <v>9084</v>
      </c>
      <c r="D335" s="793">
        <v>0</v>
      </c>
      <c r="E335" s="793">
        <v>0</v>
      </c>
      <c r="F335" s="793">
        <v>3542</v>
      </c>
      <c r="G335" s="56">
        <v>3586</v>
      </c>
      <c r="H335" s="56">
        <v>3580</v>
      </c>
      <c r="I335" s="56">
        <v>3582</v>
      </c>
      <c r="J335" s="56">
        <v>3635</v>
      </c>
      <c r="K335" s="56">
        <v>3922</v>
      </c>
      <c r="L335" s="56">
        <v>4377</v>
      </c>
      <c r="M335" s="56">
        <v>4529</v>
      </c>
      <c r="N335" s="56">
        <v>5120</v>
      </c>
      <c r="O335" s="56">
        <v>5217</v>
      </c>
      <c r="Q335" s="791" t="s">
        <v>2505</v>
      </c>
    </row>
    <row r="336" spans="1:17">
      <c r="A336" s="800">
        <v>15</v>
      </c>
      <c r="B336" s="791" t="s">
        <v>1327</v>
      </c>
      <c r="C336" s="55" t="s">
        <v>9085</v>
      </c>
      <c r="D336" s="793">
        <v>0</v>
      </c>
      <c r="E336" s="793">
        <v>0</v>
      </c>
      <c r="F336" s="793">
        <v>6542</v>
      </c>
      <c r="G336" s="56">
        <v>6643</v>
      </c>
      <c r="H336" s="56">
        <v>6833</v>
      </c>
      <c r="I336" s="56">
        <v>6646</v>
      </c>
      <c r="J336" s="56">
        <v>6427</v>
      </c>
      <c r="K336" s="56">
        <v>6703</v>
      </c>
      <c r="L336" s="56">
        <v>6951</v>
      </c>
      <c r="M336" s="56">
        <v>6705</v>
      </c>
      <c r="N336" s="56">
        <v>6782</v>
      </c>
      <c r="O336" s="56">
        <v>6813</v>
      </c>
      <c r="Q336" s="791" t="s">
        <v>2505</v>
      </c>
    </row>
    <row r="337" spans="1:15">
      <c r="D337" s="795"/>
      <c r="E337" s="795"/>
      <c r="F337" s="795"/>
      <c r="G337" s="795"/>
      <c r="H337" s="795"/>
      <c r="I337" s="795"/>
      <c r="J337" s="795"/>
      <c r="K337" s="795"/>
      <c r="L337" s="795"/>
      <c r="M337" s="795"/>
      <c r="N337" s="795"/>
      <c r="O337" s="795"/>
    </row>
    <row r="338" spans="1:15" ht="15" customHeight="1">
      <c r="A338" s="791" t="s">
        <v>2505</v>
      </c>
      <c r="D338" s="793">
        <f>SUM(D322:D336)</f>
        <v>70443</v>
      </c>
      <c r="E338" s="793">
        <f t="shared" ref="E338:L338" si="116">SUM(E322:E336)</f>
        <v>71326</v>
      </c>
      <c r="F338" s="793">
        <f t="shared" si="116"/>
        <v>72354</v>
      </c>
      <c r="G338" s="793">
        <f t="shared" si="116"/>
        <v>73346</v>
      </c>
      <c r="H338" s="793">
        <f t="shared" si="116"/>
        <v>74205</v>
      </c>
      <c r="I338" s="793">
        <f t="shared" si="116"/>
        <v>72972</v>
      </c>
      <c r="J338" s="793">
        <f t="shared" si="116"/>
        <v>71577</v>
      </c>
      <c r="K338" s="793">
        <f t="shared" si="116"/>
        <v>75362</v>
      </c>
      <c r="L338" s="793">
        <f t="shared" si="116"/>
        <v>78689</v>
      </c>
      <c r="M338" s="793">
        <f>SUM(M322:M336)</f>
        <v>76831</v>
      </c>
      <c r="N338" s="793">
        <f>SUM(N322:N336)</f>
        <v>79941</v>
      </c>
      <c r="O338" s="793">
        <f>SUM(O322:O336)</f>
        <v>80515</v>
      </c>
    </row>
    <row r="340" spans="1:15">
      <c r="A340" s="163" t="s">
        <v>9092</v>
      </c>
    </row>
  </sheetData>
  <sortState ref="R63:V79">
    <sortCondition ref="S63:S79"/>
  </sortState>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217:K217 D90:E90 D107:E107 D246:K246 D276:K276 D62:K62 D127:K127 D154:K154 D210:K210 D321:K321 D283:K283 D117:E119 D338:K338 F90:F119 G107:K107 G90:K90 D3:K55 D175:K176 D81:K83 D238:K239 G117:K119 L3:L127 L145 L312 L147:L182 L315:L338 L184:L28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dimension ref="A1:Q401"/>
  <sheetViews>
    <sheetView showGridLines="0" topLeftCell="A391" zoomScale="90" zoomScaleNormal="90" workbookViewId="0">
      <selection activeCell="A178" sqref="A178"/>
    </sheetView>
  </sheetViews>
  <sheetFormatPr defaultColWidth="12.5703125" defaultRowHeight="15"/>
  <cols>
    <col min="1" max="1" width="4.85546875" style="162" customWidth="1"/>
    <col min="2" max="2" width="40.7109375" style="162" customWidth="1"/>
    <col min="3" max="3" width="11.5703125" style="162" customWidth="1"/>
    <col min="4" max="12" width="10.140625" style="162" customWidth="1"/>
    <col min="13" max="15" width="10" style="162" customWidth="1"/>
    <col min="16" max="16" width="2.28515625" style="162" customWidth="1"/>
    <col min="17" max="17" width="36" style="162" customWidth="1"/>
    <col min="18" max="16384" width="12.5703125" style="162"/>
  </cols>
  <sheetData>
    <row r="1" spans="1:17">
      <c r="A1" s="776" t="s">
        <v>6924</v>
      </c>
      <c r="D1" s="777">
        <v>2010</v>
      </c>
      <c r="E1" s="777">
        <v>2011</v>
      </c>
      <c r="F1" s="777">
        <v>2012</v>
      </c>
      <c r="G1" s="777">
        <v>2013</v>
      </c>
      <c r="H1" s="777">
        <v>2014</v>
      </c>
      <c r="I1" s="777">
        <v>2015</v>
      </c>
      <c r="J1" s="777">
        <v>2016</v>
      </c>
      <c r="K1" s="777">
        <v>2017</v>
      </c>
      <c r="L1" s="777">
        <v>2018</v>
      </c>
      <c r="M1" s="777">
        <v>2019</v>
      </c>
      <c r="N1" s="777">
        <v>2020</v>
      </c>
      <c r="O1" s="981" t="s">
        <v>14823</v>
      </c>
    </row>
    <row r="3" spans="1:17">
      <c r="A3" s="776" t="s">
        <v>1328</v>
      </c>
      <c r="C3" s="776"/>
      <c r="D3" s="778">
        <f t="shared" ref="D3:I3" si="0">SUM(D8:D15)</f>
        <v>585374</v>
      </c>
      <c r="E3" s="778">
        <f t="shared" si="0"/>
        <v>587002</v>
      </c>
      <c r="F3" s="778">
        <f t="shared" si="0"/>
        <v>590480</v>
      </c>
      <c r="G3" s="778">
        <f t="shared" si="0"/>
        <v>592601</v>
      </c>
      <c r="H3" s="778">
        <f t="shared" si="0"/>
        <v>584823</v>
      </c>
      <c r="I3" s="778">
        <f t="shared" si="0"/>
        <v>580485</v>
      </c>
      <c r="J3" s="778">
        <f t="shared" ref="J3:O3" si="1">SUM(J8:J15)</f>
        <v>578059</v>
      </c>
      <c r="K3" s="778">
        <f t="shared" si="1"/>
        <v>595659</v>
      </c>
      <c r="L3" s="778">
        <f t="shared" si="1"/>
        <v>602870</v>
      </c>
      <c r="M3" s="778">
        <f t="shared" si="1"/>
        <v>601464</v>
      </c>
      <c r="N3" s="778">
        <f t="shared" si="1"/>
        <v>615417</v>
      </c>
      <c r="O3" s="778">
        <f t="shared" si="1"/>
        <v>625570</v>
      </c>
    </row>
    <row r="4" spans="1:17">
      <c r="A4" s="776" t="s">
        <v>1329</v>
      </c>
      <c r="C4" s="776"/>
      <c r="D4" s="778">
        <f t="shared" ref="D4:I4" si="2">D72</f>
        <v>179541</v>
      </c>
      <c r="E4" s="778">
        <f t="shared" si="2"/>
        <v>182688</v>
      </c>
      <c r="F4" s="778">
        <f t="shared" si="2"/>
        <v>178511</v>
      </c>
      <c r="G4" s="778">
        <f t="shared" si="2"/>
        <v>180278</v>
      </c>
      <c r="H4" s="778">
        <f t="shared" si="2"/>
        <v>178524</v>
      </c>
      <c r="I4" s="778">
        <f t="shared" si="2"/>
        <v>174034</v>
      </c>
      <c r="J4" s="778">
        <f t="shared" ref="J4:O4" si="3">J72</f>
        <v>176755</v>
      </c>
      <c r="K4" s="778">
        <f t="shared" si="3"/>
        <v>180356</v>
      </c>
      <c r="L4" s="778">
        <f t="shared" si="3"/>
        <v>183050</v>
      </c>
      <c r="M4" s="778">
        <f t="shared" si="3"/>
        <v>182454</v>
      </c>
      <c r="N4" s="778">
        <f t="shared" si="3"/>
        <v>191014</v>
      </c>
      <c r="O4" s="778">
        <f t="shared" si="3"/>
        <v>191011</v>
      </c>
    </row>
    <row r="5" spans="1:17" ht="15.75" thickBot="1">
      <c r="A5" s="776" t="s">
        <v>2697</v>
      </c>
      <c r="C5" s="776"/>
      <c r="D5" s="779">
        <f t="shared" ref="D5:I5" si="4">D103</f>
        <v>103442</v>
      </c>
      <c r="E5" s="779">
        <f t="shared" si="4"/>
        <v>103358</v>
      </c>
      <c r="F5" s="779">
        <f t="shared" si="4"/>
        <v>103991</v>
      </c>
      <c r="G5" s="779">
        <f t="shared" si="4"/>
        <v>105363</v>
      </c>
      <c r="H5" s="779">
        <f t="shared" si="4"/>
        <v>106330</v>
      </c>
      <c r="I5" s="779">
        <f t="shared" si="4"/>
        <v>103113</v>
      </c>
      <c r="J5" s="779">
        <f t="shared" ref="J5:O5" si="5">J103</f>
        <v>97951</v>
      </c>
      <c r="K5" s="779">
        <f t="shared" si="5"/>
        <v>100267</v>
      </c>
      <c r="L5" s="779">
        <f t="shared" si="5"/>
        <v>101796</v>
      </c>
      <c r="M5" s="779">
        <f t="shared" si="5"/>
        <v>98918</v>
      </c>
      <c r="N5" s="779">
        <f t="shared" si="5"/>
        <v>103099</v>
      </c>
      <c r="O5" s="779">
        <f t="shared" si="5"/>
        <v>102873</v>
      </c>
    </row>
    <row r="6" spans="1:17" ht="15.75" thickBot="1">
      <c r="A6" s="76"/>
      <c r="C6" s="76"/>
      <c r="D6" s="780">
        <f t="shared" ref="D6:I6" si="6">SUM(D3:D5)</f>
        <v>868357</v>
      </c>
      <c r="E6" s="780">
        <f t="shared" si="6"/>
        <v>873048</v>
      </c>
      <c r="F6" s="780">
        <f t="shared" si="6"/>
        <v>872982</v>
      </c>
      <c r="G6" s="780">
        <f t="shared" si="6"/>
        <v>878242</v>
      </c>
      <c r="H6" s="780">
        <f t="shared" si="6"/>
        <v>869677</v>
      </c>
      <c r="I6" s="780">
        <f t="shared" si="6"/>
        <v>857632</v>
      </c>
      <c r="J6" s="780">
        <f t="shared" ref="J6:O6" si="7">SUM(J3:J5)</f>
        <v>852765</v>
      </c>
      <c r="K6" s="780">
        <f t="shared" si="7"/>
        <v>876282</v>
      </c>
      <c r="L6" s="780">
        <f t="shared" si="7"/>
        <v>887716</v>
      </c>
      <c r="M6" s="780">
        <f t="shared" si="7"/>
        <v>882836</v>
      </c>
      <c r="N6" s="780">
        <f t="shared" si="7"/>
        <v>909530</v>
      </c>
      <c r="O6" s="780">
        <f t="shared" si="7"/>
        <v>919454</v>
      </c>
      <c r="P6" s="76"/>
    </row>
    <row r="7" spans="1:17">
      <c r="A7" s="76"/>
      <c r="C7" s="76"/>
      <c r="D7" s="199"/>
      <c r="E7" s="199"/>
      <c r="F7" s="199"/>
      <c r="G7" s="199"/>
      <c r="H7" s="199"/>
      <c r="I7" s="199"/>
      <c r="J7" s="199"/>
      <c r="K7" s="199"/>
      <c r="L7" s="199"/>
      <c r="M7" s="199"/>
      <c r="N7" s="199"/>
      <c r="O7" s="199"/>
      <c r="P7" s="76"/>
      <c r="Q7" s="76"/>
    </row>
    <row r="8" spans="1:17">
      <c r="A8" s="776" t="s">
        <v>2688</v>
      </c>
      <c r="C8" s="776"/>
      <c r="D8" s="778">
        <f t="shared" ref="D8:I8" si="8">D137</f>
        <v>104424</v>
      </c>
      <c r="E8" s="778">
        <f t="shared" si="8"/>
        <v>103381</v>
      </c>
      <c r="F8" s="778">
        <f t="shared" si="8"/>
        <v>103382</v>
      </c>
      <c r="G8" s="778">
        <f t="shared" si="8"/>
        <v>103526</v>
      </c>
      <c r="H8" s="778">
        <f t="shared" si="8"/>
        <v>96974</v>
      </c>
      <c r="I8" s="778">
        <f t="shared" si="8"/>
        <v>102056</v>
      </c>
      <c r="J8" s="778">
        <f t="shared" ref="J8:O8" si="9">J137</f>
        <v>107456</v>
      </c>
      <c r="K8" s="778">
        <f t="shared" si="9"/>
        <v>112596</v>
      </c>
      <c r="L8" s="778">
        <f t="shared" si="9"/>
        <v>114428</v>
      </c>
      <c r="M8" s="778">
        <f t="shared" si="9"/>
        <v>117120</v>
      </c>
      <c r="N8" s="778">
        <f t="shared" si="9"/>
        <v>118919</v>
      </c>
      <c r="O8" s="778">
        <f t="shared" si="9"/>
        <v>119865</v>
      </c>
      <c r="P8" s="781"/>
      <c r="Q8" s="781"/>
    </row>
    <row r="9" spans="1:17">
      <c r="A9" s="776" t="s">
        <v>2689</v>
      </c>
      <c r="C9" s="776"/>
      <c r="D9" s="778">
        <f t="shared" ref="D9:I9" si="10">D182</f>
        <v>84910</v>
      </c>
      <c r="E9" s="778">
        <f t="shared" si="10"/>
        <v>85924</v>
      </c>
      <c r="F9" s="778">
        <f t="shared" si="10"/>
        <v>87388</v>
      </c>
      <c r="G9" s="778">
        <f t="shared" si="10"/>
        <v>87289</v>
      </c>
      <c r="H9" s="778">
        <f t="shared" si="10"/>
        <v>88519</v>
      </c>
      <c r="I9" s="778">
        <f t="shared" si="10"/>
        <v>83742</v>
      </c>
      <c r="J9" s="778">
        <f t="shared" ref="J9:O9" si="11">J182</f>
        <v>81231</v>
      </c>
      <c r="K9" s="778">
        <f t="shared" si="11"/>
        <v>83654</v>
      </c>
      <c r="L9" s="778">
        <f t="shared" si="11"/>
        <v>85456</v>
      </c>
      <c r="M9" s="778">
        <f t="shared" si="11"/>
        <v>85955</v>
      </c>
      <c r="N9" s="778">
        <f t="shared" si="11"/>
        <v>92506</v>
      </c>
      <c r="O9" s="778">
        <f t="shared" si="11"/>
        <v>92188</v>
      </c>
      <c r="P9" s="781"/>
      <c r="Q9" s="781"/>
    </row>
    <row r="10" spans="1:17">
      <c r="A10" s="776" t="s">
        <v>2690</v>
      </c>
      <c r="C10" s="776"/>
      <c r="D10" s="778">
        <f t="shared" ref="D10:I10" si="12">D211</f>
        <v>59582</v>
      </c>
      <c r="E10" s="778">
        <f t="shared" si="12"/>
        <v>59274</v>
      </c>
      <c r="F10" s="778">
        <f t="shared" si="12"/>
        <v>59841</v>
      </c>
      <c r="G10" s="778">
        <f t="shared" si="12"/>
        <v>59912</v>
      </c>
      <c r="H10" s="778">
        <f t="shared" si="12"/>
        <v>59488</v>
      </c>
      <c r="I10" s="778">
        <f t="shared" si="12"/>
        <v>59038</v>
      </c>
      <c r="J10" s="778">
        <f t="shared" ref="J10:O10" si="13">J211</f>
        <v>57917</v>
      </c>
      <c r="K10" s="778">
        <f t="shared" si="13"/>
        <v>59306</v>
      </c>
      <c r="L10" s="778">
        <f t="shared" si="13"/>
        <v>62441</v>
      </c>
      <c r="M10" s="778">
        <f t="shared" si="13"/>
        <v>61261</v>
      </c>
      <c r="N10" s="778">
        <f t="shared" si="13"/>
        <v>61019</v>
      </c>
      <c r="O10" s="778">
        <f t="shared" si="13"/>
        <v>62983</v>
      </c>
      <c r="P10" s="781"/>
      <c r="Q10" s="781"/>
    </row>
    <row r="11" spans="1:17">
      <c r="A11" s="776" t="s">
        <v>2691</v>
      </c>
      <c r="C11" s="776"/>
      <c r="D11" s="778">
        <f t="shared" ref="D11:I11" si="14">D247</f>
        <v>74408</v>
      </c>
      <c r="E11" s="778">
        <f t="shared" si="14"/>
        <v>75098</v>
      </c>
      <c r="F11" s="778">
        <f t="shared" si="14"/>
        <v>75353</v>
      </c>
      <c r="G11" s="778">
        <f t="shared" si="14"/>
        <v>75744</v>
      </c>
      <c r="H11" s="778">
        <f t="shared" si="14"/>
        <v>74228</v>
      </c>
      <c r="I11" s="778">
        <f t="shared" si="14"/>
        <v>73358</v>
      </c>
      <c r="J11" s="778">
        <f t="shared" ref="J11:O11" si="15">J247</f>
        <v>73240</v>
      </c>
      <c r="K11" s="778">
        <f t="shared" si="15"/>
        <v>75489</v>
      </c>
      <c r="L11" s="778">
        <f t="shared" si="15"/>
        <v>74101</v>
      </c>
      <c r="M11" s="778">
        <f t="shared" si="15"/>
        <v>73462</v>
      </c>
      <c r="N11" s="778">
        <f t="shared" si="15"/>
        <v>74112</v>
      </c>
      <c r="O11" s="778">
        <f t="shared" si="15"/>
        <v>76455</v>
      </c>
      <c r="P11" s="781"/>
      <c r="Q11" s="781"/>
    </row>
    <row r="12" spans="1:17">
      <c r="A12" s="776" t="s">
        <v>2692</v>
      </c>
      <c r="C12" s="776"/>
      <c r="D12" s="778">
        <f t="shared" ref="D12:I12" si="16">D281</f>
        <v>68490</v>
      </c>
      <c r="E12" s="778">
        <f t="shared" si="16"/>
        <v>68283</v>
      </c>
      <c r="F12" s="778">
        <f t="shared" si="16"/>
        <v>68020</v>
      </c>
      <c r="G12" s="778">
        <f t="shared" si="16"/>
        <v>68347</v>
      </c>
      <c r="H12" s="778">
        <f t="shared" si="16"/>
        <v>68002</v>
      </c>
      <c r="I12" s="778">
        <f t="shared" si="16"/>
        <v>67311</v>
      </c>
      <c r="J12" s="778">
        <f t="shared" ref="J12:O12" si="17">J281</f>
        <v>65782</v>
      </c>
      <c r="K12" s="778">
        <f t="shared" si="17"/>
        <v>67245</v>
      </c>
      <c r="L12" s="778">
        <f t="shared" si="17"/>
        <v>67313</v>
      </c>
      <c r="M12" s="778">
        <f t="shared" si="17"/>
        <v>66473</v>
      </c>
      <c r="N12" s="778">
        <f t="shared" si="17"/>
        <v>70146</v>
      </c>
      <c r="O12" s="778">
        <f t="shared" si="17"/>
        <v>69785</v>
      </c>
      <c r="P12" s="781"/>
      <c r="Q12" s="781"/>
    </row>
    <row r="13" spans="1:17">
      <c r="A13" s="776" t="s">
        <v>2685</v>
      </c>
      <c r="C13" s="776"/>
      <c r="D13" s="778">
        <f t="shared" ref="D13:I13" si="18">D313</f>
        <v>101385</v>
      </c>
      <c r="E13" s="778">
        <f t="shared" si="18"/>
        <v>101677</v>
      </c>
      <c r="F13" s="778">
        <f t="shared" si="18"/>
        <v>102062</v>
      </c>
      <c r="G13" s="778">
        <f t="shared" si="18"/>
        <v>102475</v>
      </c>
      <c r="H13" s="778">
        <f t="shared" si="18"/>
        <v>103042</v>
      </c>
      <c r="I13" s="778">
        <f t="shared" si="18"/>
        <v>101328</v>
      </c>
      <c r="J13" s="778">
        <f t="shared" ref="J13:O13" si="19">J313</f>
        <v>99599</v>
      </c>
      <c r="K13" s="778">
        <f t="shared" si="19"/>
        <v>102036</v>
      </c>
      <c r="L13" s="778">
        <f t="shared" si="19"/>
        <v>103295</v>
      </c>
      <c r="M13" s="778">
        <f t="shared" si="19"/>
        <v>102452</v>
      </c>
      <c r="N13" s="778">
        <f t="shared" si="19"/>
        <v>103031</v>
      </c>
      <c r="O13" s="778">
        <f t="shared" si="19"/>
        <v>106425</v>
      </c>
      <c r="P13" s="781"/>
      <c r="Q13" s="781"/>
    </row>
    <row r="14" spans="1:17">
      <c r="A14" s="776" t="s">
        <v>2686</v>
      </c>
      <c r="C14" s="776"/>
      <c r="D14" s="778">
        <f t="shared" ref="D14:I14" si="20">D351</f>
        <v>50482</v>
      </c>
      <c r="E14" s="778">
        <f t="shared" si="20"/>
        <v>50920</v>
      </c>
      <c r="F14" s="778">
        <f t="shared" si="20"/>
        <v>51235</v>
      </c>
      <c r="G14" s="778">
        <f t="shared" si="20"/>
        <v>51915</v>
      </c>
      <c r="H14" s="778">
        <f t="shared" si="20"/>
        <v>51695</v>
      </c>
      <c r="I14" s="778">
        <f t="shared" si="20"/>
        <v>51119</v>
      </c>
      <c r="J14" s="778">
        <f t="shared" ref="J14:O14" si="21">J351</f>
        <v>51061</v>
      </c>
      <c r="K14" s="778">
        <f t="shared" si="21"/>
        <v>52193</v>
      </c>
      <c r="L14" s="778">
        <f t="shared" si="21"/>
        <v>52558</v>
      </c>
      <c r="M14" s="778">
        <f t="shared" si="21"/>
        <v>52351</v>
      </c>
      <c r="N14" s="778">
        <f t="shared" si="21"/>
        <v>52792</v>
      </c>
      <c r="O14" s="778">
        <f t="shared" si="21"/>
        <v>53777</v>
      </c>
      <c r="P14" s="781"/>
      <c r="Q14" s="781"/>
    </row>
    <row r="15" spans="1:17">
      <c r="A15" s="776" t="s">
        <v>2687</v>
      </c>
      <c r="C15" s="776"/>
      <c r="D15" s="778">
        <f t="shared" ref="D15:I15" si="22">D376</f>
        <v>41693</v>
      </c>
      <c r="E15" s="778">
        <f t="shared" si="22"/>
        <v>42445</v>
      </c>
      <c r="F15" s="778">
        <f t="shared" si="22"/>
        <v>43199</v>
      </c>
      <c r="G15" s="778">
        <f t="shared" si="22"/>
        <v>43393</v>
      </c>
      <c r="H15" s="778">
        <f t="shared" si="22"/>
        <v>42875</v>
      </c>
      <c r="I15" s="778">
        <f t="shared" si="22"/>
        <v>42533</v>
      </c>
      <c r="J15" s="778">
        <f t="shared" ref="J15:O15" si="23">J376</f>
        <v>41773</v>
      </c>
      <c r="K15" s="778">
        <f t="shared" si="23"/>
        <v>43140</v>
      </c>
      <c r="L15" s="778">
        <f t="shared" si="23"/>
        <v>43278</v>
      </c>
      <c r="M15" s="778">
        <f t="shared" si="23"/>
        <v>42390</v>
      </c>
      <c r="N15" s="778">
        <f t="shared" si="23"/>
        <v>42892</v>
      </c>
      <c r="O15" s="778">
        <f t="shared" si="23"/>
        <v>44092</v>
      </c>
      <c r="P15" s="781"/>
      <c r="Q15" s="781"/>
    </row>
    <row r="16" spans="1:17">
      <c r="A16" s="776"/>
      <c r="D16" s="782"/>
      <c r="E16" s="782"/>
      <c r="F16" s="782"/>
      <c r="G16" s="782"/>
      <c r="H16" s="782"/>
      <c r="I16" s="782"/>
      <c r="J16" s="782"/>
      <c r="K16" s="782"/>
      <c r="L16" s="782"/>
      <c r="M16" s="782"/>
      <c r="N16" s="782"/>
      <c r="O16" s="782"/>
    </row>
    <row r="17" spans="1:17">
      <c r="A17" s="776" t="s">
        <v>4125</v>
      </c>
      <c r="D17" s="778">
        <f t="shared" ref="D17:I17" si="24">D3/8</f>
        <v>73171.75</v>
      </c>
      <c r="E17" s="778">
        <f t="shared" si="24"/>
        <v>73375.25</v>
      </c>
      <c r="F17" s="778">
        <f t="shared" si="24"/>
        <v>73810</v>
      </c>
      <c r="G17" s="778">
        <f t="shared" si="24"/>
        <v>74075.125</v>
      </c>
      <c r="H17" s="778">
        <f t="shared" si="24"/>
        <v>73102.875</v>
      </c>
      <c r="I17" s="778">
        <f t="shared" si="24"/>
        <v>72560.625</v>
      </c>
      <c r="J17" s="778">
        <f t="shared" ref="J17:O17" si="25">J3/8</f>
        <v>72257.375</v>
      </c>
      <c r="K17" s="778">
        <f t="shared" si="25"/>
        <v>74457.375</v>
      </c>
      <c r="L17" s="778">
        <f t="shared" si="25"/>
        <v>75358.75</v>
      </c>
      <c r="M17" s="778">
        <f t="shared" si="25"/>
        <v>75183</v>
      </c>
      <c r="N17" s="778">
        <f t="shared" si="25"/>
        <v>76927.125</v>
      </c>
      <c r="O17" s="778">
        <f t="shared" si="25"/>
        <v>78196.25</v>
      </c>
    </row>
    <row r="18" spans="1:17">
      <c r="A18" s="776" t="s">
        <v>9504</v>
      </c>
      <c r="D18" s="778">
        <f t="shared" ref="D18:I18" si="26">D4/2</f>
        <v>89770.5</v>
      </c>
      <c r="E18" s="778">
        <f t="shared" si="26"/>
        <v>91344</v>
      </c>
      <c r="F18" s="778">
        <f t="shared" si="26"/>
        <v>89255.5</v>
      </c>
      <c r="G18" s="778">
        <f t="shared" si="26"/>
        <v>90139</v>
      </c>
      <c r="H18" s="778">
        <f t="shared" si="26"/>
        <v>89262</v>
      </c>
      <c r="I18" s="778">
        <f t="shared" si="26"/>
        <v>87017</v>
      </c>
      <c r="J18" s="778">
        <f t="shared" ref="J18:O18" si="27">J4/2</f>
        <v>88377.5</v>
      </c>
      <c r="K18" s="778">
        <f t="shared" si="27"/>
        <v>90178</v>
      </c>
      <c r="L18" s="778">
        <f t="shared" si="27"/>
        <v>91525</v>
      </c>
      <c r="M18" s="778">
        <f t="shared" si="27"/>
        <v>91227</v>
      </c>
      <c r="N18" s="778">
        <f t="shared" si="27"/>
        <v>95507</v>
      </c>
      <c r="O18" s="778">
        <f t="shared" si="27"/>
        <v>95505.5</v>
      </c>
    </row>
    <row r="19" spans="1:17">
      <c r="A19" s="776" t="s">
        <v>2696</v>
      </c>
      <c r="D19" s="778">
        <f t="shared" ref="D19:I19" si="28">D5/1</f>
        <v>103442</v>
      </c>
      <c r="E19" s="778">
        <f t="shared" si="28"/>
        <v>103358</v>
      </c>
      <c r="F19" s="778">
        <f t="shared" si="28"/>
        <v>103991</v>
      </c>
      <c r="G19" s="778">
        <f t="shared" si="28"/>
        <v>105363</v>
      </c>
      <c r="H19" s="778">
        <f t="shared" si="28"/>
        <v>106330</v>
      </c>
      <c r="I19" s="778">
        <f t="shared" si="28"/>
        <v>103113</v>
      </c>
      <c r="J19" s="778">
        <f t="shared" ref="J19:O19" si="29">J5/1</f>
        <v>97951</v>
      </c>
      <c r="K19" s="778">
        <f t="shared" si="29"/>
        <v>100267</v>
      </c>
      <c r="L19" s="778">
        <f t="shared" si="29"/>
        <v>101796</v>
      </c>
      <c r="M19" s="778">
        <f t="shared" si="29"/>
        <v>98918</v>
      </c>
      <c r="N19" s="778">
        <f t="shared" si="29"/>
        <v>103099</v>
      </c>
      <c r="O19" s="778">
        <f t="shared" si="29"/>
        <v>102873</v>
      </c>
    </row>
    <row r="20" spans="1:17">
      <c r="A20" s="776" t="s">
        <v>1571</v>
      </c>
      <c r="D20" s="778">
        <f t="shared" ref="D20:I20" si="30">D5/2</f>
        <v>51721</v>
      </c>
      <c r="E20" s="778">
        <f t="shared" si="30"/>
        <v>51679</v>
      </c>
      <c r="F20" s="778">
        <f t="shared" si="30"/>
        <v>51995.5</v>
      </c>
      <c r="G20" s="778">
        <f t="shared" si="30"/>
        <v>52681.5</v>
      </c>
      <c r="H20" s="778">
        <f t="shared" si="30"/>
        <v>53165</v>
      </c>
      <c r="I20" s="778">
        <f t="shared" si="30"/>
        <v>51556.5</v>
      </c>
      <c r="J20" s="778">
        <f t="shared" ref="J20:O20" si="31">J5/2</f>
        <v>48975.5</v>
      </c>
      <c r="K20" s="778">
        <f t="shared" si="31"/>
        <v>50133.5</v>
      </c>
      <c r="L20" s="778">
        <f t="shared" si="31"/>
        <v>50898</v>
      </c>
      <c r="M20" s="778">
        <f t="shared" si="31"/>
        <v>49459</v>
      </c>
      <c r="N20" s="778">
        <f t="shared" si="31"/>
        <v>51549.5</v>
      </c>
      <c r="O20" s="778">
        <f t="shared" si="31"/>
        <v>51436.5</v>
      </c>
    </row>
    <row r="21" spans="1:17">
      <c r="A21" s="776" t="s">
        <v>2489</v>
      </c>
      <c r="D21" s="778">
        <f t="shared" ref="D21:I21" si="32">D6/11</f>
        <v>78941.545454545456</v>
      </c>
      <c r="E21" s="778">
        <f t="shared" si="32"/>
        <v>79368</v>
      </c>
      <c r="F21" s="778">
        <f t="shared" si="32"/>
        <v>79362</v>
      </c>
      <c r="G21" s="778">
        <f t="shared" si="32"/>
        <v>79840.181818181823</v>
      </c>
      <c r="H21" s="778">
        <f t="shared" si="32"/>
        <v>79061.545454545456</v>
      </c>
      <c r="I21" s="778">
        <f t="shared" si="32"/>
        <v>77966.545454545456</v>
      </c>
      <c r="J21" s="778">
        <f t="shared" ref="J21:O21" si="33">J6/11</f>
        <v>77524.090909090912</v>
      </c>
      <c r="K21" s="778">
        <f t="shared" si="33"/>
        <v>79662</v>
      </c>
      <c r="L21" s="778">
        <f t="shared" si="33"/>
        <v>80701.454545454544</v>
      </c>
      <c r="M21" s="778">
        <f t="shared" si="33"/>
        <v>80257.818181818177</v>
      </c>
      <c r="N21" s="778">
        <f t="shared" si="33"/>
        <v>82684.545454545456</v>
      </c>
      <c r="O21" s="778">
        <f t="shared" si="33"/>
        <v>83586.727272727279</v>
      </c>
    </row>
    <row r="22" spans="1:17">
      <c r="A22" s="776"/>
      <c r="D22" s="783"/>
      <c r="E22" s="783"/>
      <c r="F22" s="783"/>
      <c r="G22" s="783"/>
      <c r="H22" s="783"/>
      <c r="I22" s="783"/>
      <c r="J22" s="783"/>
      <c r="K22" s="783"/>
      <c r="L22" s="783"/>
      <c r="M22" s="783"/>
      <c r="N22" s="783"/>
      <c r="O22" s="783"/>
    </row>
    <row r="23" spans="1:17">
      <c r="A23" s="162" t="s">
        <v>1572</v>
      </c>
      <c r="D23" s="784">
        <f t="shared" ref="D23:I23" si="34">D173</f>
        <v>1625</v>
      </c>
      <c r="E23" s="784">
        <f t="shared" si="34"/>
        <v>1593</v>
      </c>
      <c r="F23" s="784">
        <f t="shared" si="34"/>
        <v>1592</v>
      </c>
      <c r="G23" s="784">
        <f t="shared" si="34"/>
        <v>1596</v>
      </c>
      <c r="H23" s="784">
        <f t="shared" si="34"/>
        <v>1444</v>
      </c>
      <c r="I23" s="784">
        <f t="shared" si="34"/>
        <v>1512</v>
      </c>
      <c r="J23" s="784">
        <f t="shared" ref="J23:O23" si="35">J173</f>
        <v>1587</v>
      </c>
      <c r="K23" s="784">
        <f t="shared" si="35"/>
        <v>1661</v>
      </c>
      <c r="L23" s="784">
        <f t="shared" si="35"/>
        <v>1662</v>
      </c>
      <c r="M23" s="784">
        <f t="shared" si="35"/>
        <v>1703</v>
      </c>
      <c r="N23" s="784">
        <f t="shared" si="35"/>
        <v>1706</v>
      </c>
      <c r="O23" s="784">
        <f t="shared" si="35"/>
        <v>1722</v>
      </c>
      <c r="Q23" s="776" t="s">
        <v>1573</v>
      </c>
    </row>
    <row r="24" spans="1:17">
      <c r="D24" s="784">
        <f t="shared" ref="D24:I24" si="36">D237</f>
        <v>21884</v>
      </c>
      <c r="E24" s="784">
        <f t="shared" si="36"/>
        <v>21945</v>
      </c>
      <c r="F24" s="784">
        <f t="shared" si="36"/>
        <v>22202</v>
      </c>
      <c r="G24" s="784">
        <f t="shared" si="36"/>
        <v>22255</v>
      </c>
      <c r="H24" s="784">
        <f t="shared" si="36"/>
        <v>22072</v>
      </c>
      <c r="I24" s="784">
        <f t="shared" si="36"/>
        <v>21859</v>
      </c>
      <c r="J24" s="784">
        <f t="shared" ref="J24:O24" si="37">J237</f>
        <v>21423</v>
      </c>
      <c r="K24" s="784">
        <f t="shared" si="37"/>
        <v>21807</v>
      </c>
      <c r="L24" s="784">
        <f t="shared" si="37"/>
        <v>22861</v>
      </c>
      <c r="M24" s="784">
        <f t="shared" si="37"/>
        <v>22319</v>
      </c>
      <c r="N24" s="784">
        <f t="shared" si="37"/>
        <v>22265</v>
      </c>
      <c r="O24" s="784">
        <f t="shared" si="37"/>
        <v>22963</v>
      </c>
      <c r="Q24" s="162" t="s">
        <v>1574</v>
      </c>
    </row>
    <row r="25" spans="1:17">
      <c r="D25" s="784">
        <f t="shared" ref="D25:I25" si="38">D341</f>
        <v>31979</v>
      </c>
      <c r="E25" s="784">
        <f t="shared" si="38"/>
        <v>32077</v>
      </c>
      <c r="F25" s="784">
        <f t="shared" si="38"/>
        <v>32141</v>
      </c>
      <c r="G25" s="784">
        <f t="shared" si="38"/>
        <v>32305</v>
      </c>
      <c r="H25" s="784">
        <f t="shared" si="38"/>
        <v>32488</v>
      </c>
      <c r="I25" s="784">
        <f t="shared" si="38"/>
        <v>32008</v>
      </c>
      <c r="J25" s="784">
        <f t="shared" ref="J25:O25" si="39">J341</f>
        <v>31703</v>
      </c>
      <c r="K25" s="784">
        <f t="shared" si="39"/>
        <v>32223</v>
      </c>
      <c r="L25" s="784">
        <f t="shared" si="39"/>
        <v>32571</v>
      </c>
      <c r="M25" s="784">
        <f t="shared" si="39"/>
        <v>32200</v>
      </c>
      <c r="N25" s="784">
        <f t="shared" si="39"/>
        <v>32286</v>
      </c>
      <c r="O25" s="784">
        <f t="shared" si="39"/>
        <v>33331</v>
      </c>
      <c r="Q25" s="162" t="s">
        <v>1575</v>
      </c>
    </row>
    <row r="26" spans="1:17" ht="15.75" thickBot="1">
      <c r="D26" s="785">
        <f t="shared" ref="D26:I26" si="40">D398</f>
        <v>15601</v>
      </c>
      <c r="E26" s="785">
        <f t="shared" si="40"/>
        <v>15948</v>
      </c>
      <c r="F26" s="785">
        <f t="shared" si="40"/>
        <v>16391</v>
      </c>
      <c r="G26" s="785">
        <f t="shared" si="40"/>
        <v>16466</v>
      </c>
      <c r="H26" s="785">
        <f t="shared" si="40"/>
        <v>16291</v>
      </c>
      <c r="I26" s="785">
        <f t="shared" si="40"/>
        <v>16196</v>
      </c>
      <c r="J26" s="785">
        <f t="shared" ref="J26:O26" si="41">J398</f>
        <v>15830</v>
      </c>
      <c r="K26" s="785">
        <f t="shared" si="41"/>
        <v>16523</v>
      </c>
      <c r="L26" s="785">
        <f t="shared" si="41"/>
        <v>16724</v>
      </c>
      <c r="M26" s="785">
        <f t="shared" si="41"/>
        <v>16462</v>
      </c>
      <c r="N26" s="785">
        <f t="shared" si="41"/>
        <v>16730</v>
      </c>
      <c r="O26" s="785">
        <f t="shared" si="41"/>
        <v>17270</v>
      </c>
      <c r="Q26" s="162" t="s">
        <v>1576</v>
      </c>
    </row>
    <row r="27" spans="1:17" ht="15.75" thickBot="1">
      <c r="D27" s="786">
        <f t="shared" ref="D27:I27" si="42">SUM(D23:D26)</f>
        <v>71089</v>
      </c>
      <c r="E27" s="786">
        <f t="shared" si="42"/>
        <v>71563</v>
      </c>
      <c r="F27" s="786">
        <f t="shared" si="42"/>
        <v>72326</v>
      </c>
      <c r="G27" s="786">
        <f t="shared" si="42"/>
        <v>72622</v>
      </c>
      <c r="H27" s="786">
        <f t="shared" si="42"/>
        <v>72295</v>
      </c>
      <c r="I27" s="786">
        <f t="shared" si="42"/>
        <v>71575</v>
      </c>
      <c r="J27" s="786">
        <f t="shared" ref="J27:O27" si="43">SUM(J23:J26)</f>
        <v>70543</v>
      </c>
      <c r="K27" s="786">
        <f t="shared" si="43"/>
        <v>72214</v>
      </c>
      <c r="L27" s="786">
        <f t="shared" si="43"/>
        <v>73818</v>
      </c>
      <c r="M27" s="786">
        <f t="shared" si="43"/>
        <v>72684</v>
      </c>
      <c r="N27" s="786">
        <f t="shared" si="43"/>
        <v>72987</v>
      </c>
      <c r="O27" s="786">
        <f t="shared" si="43"/>
        <v>75286</v>
      </c>
    </row>
    <row r="28" spans="1:17">
      <c r="A28" s="776"/>
      <c r="D28" s="783"/>
      <c r="E28" s="783"/>
      <c r="F28" s="783"/>
      <c r="G28" s="783"/>
      <c r="H28" s="783"/>
      <c r="I28" s="783"/>
      <c r="J28" s="783"/>
      <c r="K28" s="783"/>
      <c r="L28" s="783"/>
      <c r="M28" s="783"/>
      <c r="N28" s="783"/>
      <c r="O28" s="783"/>
    </row>
    <row r="29" spans="1:17">
      <c r="A29" s="776" t="s">
        <v>1577</v>
      </c>
      <c r="D29" s="778">
        <f t="shared" ref="D29:I29" si="44">D174</f>
        <v>63780</v>
      </c>
      <c r="E29" s="778">
        <f t="shared" si="44"/>
        <v>63278</v>
      </c>
      <c r="F29" s="778">
        <f t="shared" si="44"/>
        <v>63454</v>
      </c>
      <c r="G29" s="778">
        <f t="shared" si="44"/>
        <v>63470</v>
      </c>
      <c r="H29" s="778">
        <f t="shared" si="44"/>
        <v>59641</v>
      </c>
      <c r="I29" s="778">
        <f t="shared" si="44"/>
        <v>63001</v>
      </c>
      <c r="J29" s="778">
        <f t="shared" ref="J29:O29" si="45">J174</f>
        <v>66579</v>
      </c>
      <c r="K29" s="778">
        <f t="shared" si="45"/>
        <v>69914</v>
      </c>
      <c r="L29" s="778">
        <f t="shared" si="45"/>
        <v>71261</v>
      </c>
      <c r="M29" s="778">
        <f t="shared" si="45"/>
        <v>73195</v>
      </c>
      <c r="N29" s="778">
        <f t="shared" si="45"/>
        <v>74575</v>
      </c>
      <c r="O29" s="778">
        <f t="shared" si="45"/>
        <v>75291</v>
      </c>
      <c r="Q29" s="776" t="s">
        <v>1573</v>
      </c>
    </row>
    <row r="30" spans="1:17" ht="15.75" thickBot="1">
      <c r="A30" s="776"/>
      <c r="D30" s="779">
        <f t="shared" ref="D30:I30" si="46">D203</f>
        <v>8974</v>
      </c>
      <c r="E30" s="779">
        <f t="shared" si="46"/>
        <v>9128</v>
      </c>
      <c r="F30" s="779">
        <f t="shared" si="46"/>
        <v>9352</v>
      </c>
      <c r="G30" s="779">
        <f t="shared" si="46"/>
        <v>9501</v>
      </c>
      <c r="H30" s="779">
        <f t="shared" si="46"/>
        <v>9693</v>
      </c>
      <c r="I30" s="779">
        <f t="shared" si="46"/>
        <v>9702</v>
      </c>
      <c r="J30" s="779">
        <f t="shared" ref="J30:O30" si="47">J203</f>
        <v>9827</v>
      </c>
      <c r="K30" s="779">
        <f t="shared" si="47"/>
        <v>10445</v>
      </c>
      <c r="L30" s="779">
        <f t="shared" si="47"/>
        <v>10689</v>
      </c>
      <c r="M30" s="779">
        <f t="shared" si="47"/>
        <v>11000</v>
      </c>
      <c r="N30" s="779">
        <f t="shared" si="47"/>
        <v>11522</v>
      </c>
      <c r="O30" s="779">
        <f t="shared" si="47"/>
        <v>11512</v>
      </c>
      <c r="Q30" s="776" t="s">
        <v>886</v>
      </c>
    </row>
    <row r="31" spans="1:17" ht="15.75" thickBot="1">
      <c r="A31" s="776"/>
      <c r="D31" s="787">
        <f t="shared" ref="D31:I31" si="48">D29+D30</f>
        <v>72754</v>
      </c>
      <c r="E31" s="787">
        <f t="shared" si="48"/>
        <v>72406</v>
      </c>
      <c r="F31" s="787">
        <f t="shared" si="48"/>
        <v>72806</v>
      </c>
      <c r="G31" s="787">
        <f t="shared" si="48"/>
        <v>72971</v>
      </c>
      <c r="H31" s="787">
        <f t="shared" si="48"/>
        <v>69334</v>
      </c>
      <c r="I31" s="787">
        <f t="shared" si="48"/>
        <v>72703</v>
      </c>
      <c r="J31" s="787">
        <f t="shared" ref="J31:O31" si="49">J29+J30</f>
        <v>76406</v>
      </c>
      <c r="K31" s="787">
        <f t="shared" si="49"/>
        <v>80359</v>
      </c>
      <c r="L31" s="787">
        <f t="shared" si="49"/>
        <v>81950</v>
      </c>
      <c r="M31" s="787">
        <f t="shared" si="49"/>
        <v>84195</v>
      </c>
      <c r="N31" s="787">
        <f t="shared" si="49"/>
        <v>86097</v>
      </c>
      <c r="O31" s="787">
        <f t="shared" si="49"/>
        <v>86803</v>
      </c>
      <c r="Q31" s="776"/>
    </row>
    <row r="32" spans="1:17">
      <c r="D32" s="784"/>
      <c r="E32" s="784"/>
      <c r="F32" s="784"/>
      <c r="G32" s="784"/>
      <c r="H32" s="784"/>
      <c r="I32" s="784"/>
      <c r="J32" s="784"/>
      <c r="K32" s="784"/>
      <c r="L32" s="784"/>
      <c r="M32" s="784"/>
      <c r="N32" s="784"/>
      <c r="O32" s="784"/>
    </row>
    <row r="33" spans="1:17">
      <c r="A33" s="776" t="s">
        <v>887</v>
      </c>
      <c r="D33" s="778">
        <f t="shared" ref="D33:I33" si="50">D204</f>
        <v>75936</v>
      </c>
      <c r="E33" s="778">
        <f t="shared" si="50"/>
        <v>76796</v>
      </c>
      <c r="F33" s="778">
        <f t="shared" si="50"/>
        <v>78036</v>
      </c>
      <c r="G33" s="778">
        <f t="shared" si="50"/>
        <v>77788</v>
      </c>
      <c r="H33" s="778">
        <f t="shared" si="50"/>
        <v>78826</v>
      </c>
      <c r="I33" s="778">
        <f t="shared" si="50"/>
        <v>74040</v>
      </c>
      <c r="J33" s="778">
        <f t="shared" ref="J33:O33" si="51">J204</f>
        <v>71404</v>
      </c>
      <c r="K33" s="778">
        <f t="shared" si="51"/>
        <v>73209</v>
      </c>
      <c r="L33" s="778">
        <f t="shared" si="51"/>
        <v>74767</v>
      </c>
      <c r="M33" s="778">
        <f t="shared" si="51"/>
        <v>74955</v>
      </c>
      <c r="N33" s="778">
        <f t="shared" si="51"/>
        <v>80984</v>
      </c>
      <c r="O33" s="778">
        <f t="shared" si="51"/>
        <v>80676</v>
      </c>
      <c r="Q33" s="776" t="s">
        <v>886</v>
      </c>
    </row>
    <row r="34" spans="1:17">
      <c r="D34" s="784"/>
      <c r="E34" s="784"/>
      <c r="F34" s="784"/>
      <c r="G34" s="784"/>
      <c r="H34" s="784"/>
      <c r="I34" s="784"/>
      <c r="J34" s="784"/>
      <c r="K34" s="784"/>
      <c r="L34" s="784"/>
      <c r="M34" s="784"/>
      <c r="N34" s="784"/>
      <c r="O34" s="784"/>
    </row>
    <row r="35" spans="1:17">
      <c r="A35" s="776" t="s">
        <v>888</v>
      </c>
      <c r="D35" s="778">
        <f t="shared" ref="D35:I35" si="52">D342</f>
        <v>69406</v>
      </c>
      <c r="E35" s="778">
        <f t="shared" si="52"/>
        <v>69600</v>
      </c>
      <c r="F35" s="778">
        <f t="shared" si="52"/>
        <v>69921</v>
      </c>
      <c r="G35" s="778">
        <f t="shared" si="52"/>
        <v>70170</v>
      </c>
      <c r="H35" s="778">
        <f t="shared" si="52"/>
        <v>70554</v>
      </c>
      <c r="I35" s="778">
        <f t="shared" si="52"/>
        <v>69320</v>
      </c>
      <c r="J35" s="778">
        <f t="shared" ref="J35:O35" si="53">J342</f>
        <v>67896</v>
      </c>
      <c r="K35" s="778">
        <f t="shared" si="53"/>
        <v>69813</v>
      </c>
      <c r="L35" s="778">
        <f t="shared" si="53"/>
        <v>70724</v>
      </c>
      <c r="M35" s="778">
        <f t="shared" si="53"/>
        <v>70252</v>
      </c>
      <c r="N35" s="778">
        <f t="shared" si="53"/>
        <v>70745</v>
      </c>
      <c r="O35" s="778">
        <f t="shared" si="53"/>
        <v>73094</v>
      </c>
      <c r="Q35" s="776" t="s">
        <v>1575</v>
      </c>
    </row>
    <row r="36" spans="1:17">
      <c r="D36" s="784"/>
      <c r="E36" s="784"/>
      <c r="F36" s="784"/>
      <c r="G36" s="784"/>
      <c r="H36" s="784"/>
      <c r="I36" s="784"/>
      <c r="J36" s="784"/>
      <c r="K36" s="784"/>
      <c r="L36" s="784"/>
      <c r="M36" s="784"/>
      <c r="N36" s="784"/>
      <c r="O36" s="784"/>
    </row>
    <row r="37" spans="1:17">
      <c r="A37" s="776" t="s">
        <v>889</v>
      </c>
      <c r="D37" s="788">
        <f t="shared" ref="D37:I37" si="54">D274</f>
        <v>74408</v>
      </c>
      <c r="E37" s="788">
        <f t="shared" si="54"/>
        <v>75098</v>
      </c>
      <c r="F37" s="788">
        <f t="shared" si="54"/>
        <v>75353</v>
      </c>
      <c r="G37" s="788">
        <f t="shared" si="54"/>
        <v>75744</v>
      </c>
      <c r="H37" s="788">
        <f t="shared" si="54"/>
        <v>74228</v>
      </c>
      <c r="I37" s="788">
        <f t="shared" si="54"/>
        <v>73358</v>
      </c>
      <c r="J37" s="788">
        <f t="shared" ref="J37:O37" si="55">J274</f>
        <v>73240</v>
      </c>
      <c r="K37" s="788">
        <f t="shared" si="55"/>
        <v>75489</v>
      </c>
      <c r="L37" s="788">
        <f t="shared" si="55"/>
        <v>74101</v>
      </c>
      <c r="M37" s="788">
        <f t="shared" si="55"/>
        <v>73462</v>
      </c>
      <c r="N37" s="788">
        <f t="shared" si="55"/>
        <v>74112</v>
      </c>
      <c r="O37" s="788">
        <f t="shared" si="55"/>
        <v>76455</v>
      </c>
      <c r="Q37" s="776" t="s">
        <v>2353</v>
      </c>
    </row>
    <row r="38" spans="1:17">
      <c r="D38" s="784"/>
      <c r="E38" s="784"/>
      <c r="F38" s="784"/>
      <c r="G38" s="784"/>
      <c r="H38" s="784"/>
      <c r="I38" s="784"/>
      <c r="J38" s="784"/>
      <c r="K38" s="784"/>
      <c r="L38" s="784"/>
      <c r="M38" s="784"/>
      <c r="N38" s="784"/>
      <c r="O38" s="784"/>
    </row>
    <row r="39" spans="1:17">
      <c r="A39" s="776" t="s">
        <v>890</v>
      </c>
      <c r="D39" s="778">
        <f t="shared" ref="D39:I39" si="56">D94</f>
        <v>67501</v>
      </c>
      <c r="E39" s="778">
        <f t="shared" si="56"/>
        <v>68556</v>
      </c>
      <c r="F39" s="778">
        <f t="shared" si="56"/>
        <v>67843</v>
      </c>
      <c r="G39" s="778">
        <f t="shared" si="56"/>
        <v>67966</v>
      </c>
      <c r="H39" s="778">
        <f t="shared" si="56"/>
        <v>67024</v>
      </c>
      <c r="I39" s="778">
        <f t="shared" si="56"/>
        <v>66426</v>
      </c>
      <c r="J39" s="778">
        <f t="shared" ref="J39:O39" si="57">J94</f>
        <v>65905</v>
      </c>
      <c r="K39" s="778">
        <f t="shared" si="57"/>
        <v>67209</v>
      </c>
      <c r="L39" s="778">
        <f t="shared" si="57"/>
        <v>68035</v>
      </c>
      <c r="M39" s="778">
        <f t="shared" si="57"/>
        <v>68057</v>
      </c>
      <c r="N39" s="778">
        <f t="shared" si="57"/>
        <v>69369</v>
      </c>
      <c r="O39" s="778">
        <f t="shared" si="57"/>
        <v>69368</v>
      </c>
      <c r="Q39" s="776" t="s">
        <v>891</v>
      </c>
    </row>
    <row r="40" spans="1:17">
      <c r="D40" s="784"/>
      <c r="E40" s="784"/>
      <c r="F40" s="784"/>
      <c r="G40" s="784"/>
      <c r="H40" s="784"/>
      <c r="I40" s="784"/>
      <c r="J40" s="784"/>
      <c r="K40" s="784"/>
      <c r="L40" s="784"/>
      <c r="M40" s="784"/>
      <c r="N40" s="784"/>
      <c r="O40" s="784"/>
    </row>
    <row r="41" spans="1:17">
      <c r="A41" s="776" t="s">
        <v>1592</v>
      </c>
      <c r="D41" s="778">
        <f t="shared" ref="D41:I41" si="58">D95</f>
        <v>69474</v>
      </c>
      <c r="E41" s="778">
        <f t="shared" si="58"/>
        <v>71236</v>
      </c>
      <c r="F41" s="778">
        <f t="shared" si="58"/>
        <v>67781</v>
      </c>
      <c r="G41" s="778">
        <f t="shared" si="58"/>
        <v>70020</v>
      </c>
      <c r="H41" s="778">
        <f t="shared" si="58"/>
        <v>69069</v>
      </c>
      <c r="I41" s="778">
        <f t="shared" si="58"/>
        <v>65754</v>
      </c>
      <c r="J41" s="778">
        <f t="shared" ref="J41:O41" si="59">J95</f>
        <v>68987</v>
      </c>
      <c r="K41" s="778">
        <f t="shared" si="59"/>
        <v>70530</v>
      </c>
      <c r="L41" s="778">
        <f t="shared" si="59"/>
        <v>72304</v>
      </c>
      <c r="M41" s="778">
        <f t="shared" si="59"/>
        <v>71693</v>
      </c>
      <c r="N41" s="778">
        <f t="shared" si="59"/>
        <v>77507</v>
      </c>
      <c r="O41" s="778">
        <f t="shared" si="59"/>
        <v>77505</v>
      </c>
      <c r="Q41" s="776" t="s">
        <v>891</v>
      </c>
    </row>
    <row r="42" spans="1:17">
      <c r="D42" s="784"/>
      <c r="E42" s="784"/>
      <c r="F42" s="784"/>
      <c r="G42" s="784"/>
      <c r="H42" s="784"/>
      <c r="I42" s="784"/>
      <c r="J42" s="784"/>
      <c r="K42" s="784"/>
      <c r="L42" s="784"/>
      <c r="M42" s="784"/>
      <c r="N42" s="784"/>
      <c r="O42" s="784"/>
    </row>
    <row r="43" spans="1:17">
      <c r="A43" s="776" t="s">
        <v>1593</v>
      </c>
      <c r="D43" s="778">
        <f t="shared" ref="D43:I43" si="60">D96</f>
        <v>42566</v>
      </c>
      <c r="E43" s="778">
        <f t="shared" si="60"/>
        <v>42896</v>
      </c>
      <c r="F43" s="778">
        <f t="shared" si="60"/>
        <v>42887</v>
      </c>
      <c r="G43" s="778">
        <f t="shared" si="60"/>
        <v>42292</v>
      </c>
      <c r="H43" s="778">
        <f t="shared" si="60"/>
        <v>42431</v>
      </c>
      <c r="I43" s="778">
        <f t="shared" si="60"/>
        <v>41854</v>
      </c>
      <c r="J43" s="778">
        <f t="shared" ref="J43:O43" si="61">J96</f>
        <v>41863</v>
      </c>
      <c r="K43" s="778">
        <f t="shared" si="61"/>
        <v>42617</v>
      </c>
      <c r="L43" s="778">
        <f t="shared" si="61"/>
        <v>42711</v>
      </c>
      <c r="M43" s="778">
        <f t="shared" si="61"/>
        <v>42704</v>
      </c>
      <c r="N43" s="778">
        <f t="shared" si="61"/>
        <v>44138</v>
      </c>
      <c r="O43" s="778">
        <f t="shared" si="61"/>
        <v>44138</v>
      </c>
      <c r="Q43" s="776" t="s">
        <v>891</v>
      </c>
    </row>
    <row r="44" spans="1:17" ht="15.75" thickBot="1">
      <c r="D44" s="779">
        <f t="shared" ref="D44:I44" si="62">D305</f>
        <v>27848</v>
      </c>
      <c r="E44" s="779">
        <f t="shared" si="62"/>
        <v>27860</v>
      </c>
      <c r="F44" s="779">
        <f t="shared" si="62"/>
        <v>27843</v>
      </c>
      <c r="G44" s="779">
        <f t="shared" si="62"/>
        <v>28038</v>
      </c>
      <c r="H44" s="779">
        <f t="shared" si="62"/>
        <v>27799</v>
      </c>
      <c r="I44" s="779">
        <f t="shared" si="62"/>
        <v>27413</v>
      </c>
      <c r="J44" s="779">
        <f t="shared" ref="J44:O44" si="63">J305</f>
        <v>26802</v>
      </c>
      <c r="K44" s="779">
        <f t="shared" si="63"/>
        <v>27444</v>
      </c>
      <c r="L44" s="779">
        <f t="shared" si="63"/>
        <v>27328</v>
      </c>
      <c r="M44" s="779">
        <f t="shared" si="63"/>
        <v>27203</v>
      </c>
      <c r="N44" s="779">
        <f t="shared" si="63"/>
        <v>28516</v>
      </c>
      <c r="O44" s="779">
        <f t="shared" si="63"/>
        <v>28417</v>
      </c>
      <c r="Q44" s="776" t="s">
        <v>1594</v>
      </c>
    </row>
    <row r="45" spans="1:17" ht="15.75" thickBot="1">
      <c r="D45" s="779">
        <f t="shared" ref="D45:I45" si="64">SUM(D43:D44)</f>
        <v>70414</v>
      </c>
      <c r="E45" s="779">
        <f t="shared" si="64"/>
        <v>70756</v>
      </c>
      <c r="F45" s="779">
        <f t="shared" si="64"/>
        <v>70730</v>
      </c>
      <c r="G45" s="779">
        <f t="shared" si="64"/>
        <v>70330</v>
      </c>
      <c r="H45" s="779">
        <f t="shared" si="64"/>
        <v>70230</v>
      </c>
      <c r="I45" s="779">
        <f t="shared" si="64"/>
        <v>69267</v>
      </c>
      <c r="J45" s="779">
        <f t="shared" ref="J45:O45" si="65">SUM(J43:J44)</f>
        <v>68665</v>
      </c>
      <c r="K45" s="779">
        <f t="shared" si="65"/>
        <v>70061</v>
      </c>
      <c r="L45" s="779">
        <f t="shared" si="65"/>
        <v>70039</v>
      </c>
      <c r="M45" s="779">
        <f t="shared" si="65"/>
        <v>69907</v>
      </c>
      <c r="N45" s="779">
        <f t="shared" si="65"/>
        <v>72654</v>
      </c>
      <c r="O45" s="779">
        <f t="shared" si="65"/>
        <v>72555</v>
      </c>
    </row>
    <row r="46" spans="1:17">
      <c r="D46" s="784"/>
      <c r="E46" s="784"/>
      <c r="F46" s="784"/>
      <c r="G46" s="784"/>
      <c r="H46" s="784"/>
      <c r="I46" s="784"/>
      <c r="J46" s="784"/>
      <c r="K46" s="784"/>
      <c r="L46" s="784"/>
      <c r="M46" s="784"/>
      <c r="N46" s="784"/>
      <c r="O46" s="784"/>
    </row>
    <row r="47" spans="1:17">
      <c r="A47" s="776" t="s">
        <v>1595</v>
      </c>
      <c r="D47" s="778">
        <f t="shared" ref="D47:I47" si="66">D175</f>
        <v>39019</v>
      </c>
      <c r="E47" s="778">
        <f t="shared" si="66"/>
        <v>38510</v>
      </c>
      <c r="F47" s="778">
        <f t="shared" si="66"/>
        <v>38336</v>
      </c>
      <c r="G47" s="778">
        <f t="shared" si="66"/>
        <v>38460</v>
      </c>
      <c r="H47" s="778">
        <f t="shared" si="66"/>
        <v>35889</v>
      </c>
      <c r="I47" s="778">
        <f t="shared" si="66"/>
        <v>37543</v>
      </c>
      <c r="J47" s="778">
        <f t="shared" ref="J47:O47" si="67">J175</f>
        <v>39290</v>
      </c>
      <c r="K47" s="778">
        <f t="shared" si="67"/>
        <v>41021</v>
      </c>
      <c r="L47" s="778">
        <f t="shared" si="67"/>
        <v>41505</v>
      </c>
      <c r="M47" s="778">
        <f t="shared" si="67"/>
        <v>42222</v>
      </c>
      <c r="N47" s="778">
        <f t="shared" si="67"/>
        <v>42638</v>
      </c>
      <c r="O47" s="778">
        <f t="shared" si="67"/>
        <v>42852</v>
      </c>
      <c r="Q47" s="776" t="s">
        <v>1573</v>
      </c>
    </row>
    <row r="48" spans="1:17" ht="15.75" thickBot="1">
      <c r="D48" s="779">
        <f t="shared" ref="D48:I48" si="68">D238</f>
        <v>37698</v>
      </c>
      <c r="E48" s="779">
        <f t="shared" si="68"/>
        <v>37329</v>
      </c>
      <c r="F48" s="779">
        <f t="shared" si="68"/>
        <v>37639</v>
      </c>
      <c r="G48" s="779">
        <f t="shared" si="68"/>
        <v>37657</v>
      </c>
      <c r="H48" s="779">
        <f t="shared" si="68"/>
        <v>37416</v>
      </c>
      <c r="I48" s="779">
        <f t="shared" si="68"/>
        <v>37179</v>
      </c>
      <c r="J48" s="779">
        <f t="shared" ref="J48:O48" si="69">J238</f>
        <v>36494</v>
      </c>
      <c r="K48" s="779">
        <f t="shared" si="69"/>
        <v>37499</v>
      </c>
      <c r="L48" s="779">
        <f t="shared" si="69"/>
        <v>39580</v>
      </c>
      <c r="M48" s="779">
        <f t="shared" si="69"/>
        <v>38942</v>
      </c>
      <c r="N48" s="779">
        <f t="shared" si="69"/>
        <v>38754</v>
      </c>
      <c r="O48" s="779">
        <f t="shared" si="69"/>
        <v>40020</v>
      </c>
      <c r="Q48" s="776" t="s">
        <v>1574</v>
      </c>
    </row>
    <row r="49" spans="1:17" ht="15.75" thickBot="1">
      <c r="D49" s="779">
        <f t="shared" ref="D49:I49" si="70">D47+D48</f>
        <v>76717</v>
      </c>
      <c r="E49" s="779">
        <f t="shared" si="70"/>
        <v>75839</v>
      </c>
      <c r="F49" s="779">
        <f t="shared" si="70"/>
        <v>75975</v>
      </c>
      <c r="G49" s="779">
        <f t="shared" si="70"/>
        <v>76117</v>
      </c>
      <c r="H49" s="779">
        <f t="shared" si="70"/>
        <v>73305</v>
      </c>
      <c r="I49" s="779">
        <f t="shared" si="70"/>
        <v>74722</v>
      </c>
      <c r="J49" s="779">
        <f t="shared" ref="J49:O49" si="71">J47+J48</f>
        <v>75784</v>
      </c>
      <c r="K49" s="779">
        <f t="shared" si="71"/>
        <v>78520</v>
      </c>
      <c r="L49" s="779">
        <f t="shared" si="71"/>
        <v>81085</v>
      </c>
      <c r="M49" s="779">
        <f t="shared" si="71"/>
        <v>81164</v>
      </c>
      <c r="N49" s="779">
        <f t="shared" si="71"/>
        <v>81392</v>
      </c>
      <c r="O49" s="779">
        <f t="shared" si="71"/>
        <v>82872</v>
      </c>
    </row>
    <row r="50" spans="1:17">
      <c r="D50" s="784"/>
      <c r="E50" s="784"/>
      <c r="F50" s="784"/>
      <c r="G50" s="784"/>
      <c r="H50" s="784"/>
      <c r="I50" s="784"/>
      <c r="J50" s="784"/>
      <c r="K50" s="784"/>
      <c r="L50" s="784"/>
      <c r="M50" s="784"/>
      <c r="N50" s="784"/>
      <c r="O50" s="784"/>
    </row>
    <row r="51" spans="1:17">
      <c r="A51" s="776" t="s">
        <v>1596</v>
      </c>
      <c r="D51" s="778">
        <f t="shared" ref="D51:I51" si="72">D129</f>
        <v>76253</v>
      </c>
      <c r="E51" s="778">
        <f t="shared" si="72"/>
        <v>76219</v>
      </c>
      <c r="F51" s="778">
        <f t="shared" si="72"/>
        <v>76793</v>
      </c>
      <c r="G51" s="778">
        <f t="shared" si="72"/>
        <v>77769</v>
      </c>
      <c r="H51" s="778">
        <f t="shared" si="72"/>
        <v>78410</v>
      </c>
      <c r="I51" s="778">
        <f t="shared" si="72"/>
        <v>75754</v>
      </c>
      <c r="J51" s="778">
        <f t="shared" ref="J51:O51" si="73">J129</f>
        <v>71459</v>
      </c>
      <c r="K51" s="778">
        <f t="shared" si="73"/>
        <v>73277</v>
      </c>
      <c r="L51" s="778">
        <f t="shared" si="73"/>
        <v>74377</v>
      </c>
      <c r="M51" s="778">
        <f t="shared" si="73"/>
        <v>71954</v>
      </c>
      <c r="N51" s="778">
        <f t="shared" si="73"/>
        <v>74942</v>
      </c>
      <c r="O51" s="778">
        <f t="shared" si="73"/>
        <v>74783</v>
      </c>
      <c r="Q51" s="776" t="s">
        <v>1597</v>
      </c>
    </row>
    <row r="52" spans="1:17">
      <c r="D52" s="784"/>
      <c r="E52" s="784"/>
      <c r="F52" s="784"/>
      <c r="G52" s="784"/>
      <c r="H52" s="784"/>
      <c r="I52" s="784"/>
      <c r="J52" s="784"/>
      <c r="K52" s="784"/>
      <c r="L52" s="784"/>
      <c r="M52" s="784"/>
      <c r="N52" s="784"/>
      <c r="O52" s="784"/>
    </row>
    <row r="53" spans="1:17">
      <c r="A53" s="776" t="s">
        <v>1598</v>
      </c>
      <c r="D53" s="778">
        <f t="shared" ref="D53:I53" si="74">D369</f>
        <v>50482</v>
      </c>
      <c r="E53" s="778">
        <f t="shared" si="74"/>
        <v>50920</v>
      </c>
      <c r="F53" s="778">
        <f t="shared" si="74"/>
        <v>51235</v>
      </c>
      <c r="G53" s="778">
        <f t="shared" si="74"/>
        <v>51915</v>
      </c>
      <c r="H53" s="778">
        <f t="shared" si="74"/>
        <v>51695</v>
      </c>
      <c r="I53" s="778">
        <f t="shared" si="74"/>
        <v>51119</v>
      </c>
      <c r="J53" s="778">
        <f t="shared" ref="J53:O53" si="75">J369</f>
        <v>51061</v>
      </c>
      <c r="K53" s="778">
        <f t="shared" si="75"/>
        <v>52193</v>
      </c>
      <c r="L53" s="778">
        <f t="shared" si="75"/>
        <v>52558</v>
      </c>
      <c r="M53" s="778">
        <f t="shared" si="75"/>
        <v>52351</v>
      </c>
      <c r="N53" s="778">
        <f t="shared" si="75"/>
        <v>52792</v>
      </c>
      <c r="O53" s="778">
        <f t="shared" si="75"/>
        <v>53777</v>
      </c>
      <c r="Q53" s="776" t="s">
        <v>2356</v>
      </c>
    </row>
    <row r="54" spans="1:17" ht="15.75" thickBot="1">
      <c r="D54" s="779">
        <f t="shared" ref="D54:I54" si="76">D399</f>
        <v>26092</v>
      </c>
      <c r="E54" s="779">
        <f t="shared" si="76"/>
        <v>26497</v>
      </c>
      <c r="F54" s="779">
        <f t="shared" si="76"/>
        <v>26808</v>
      </c>
      <c r="G54" s="779">
        <f t="shared" si="76"/>
        <v>26927</v>
      </c>
      <c r="H54" s="779">
        <f t="shared" si="76"/>
        <v>26584</v>
      </c>
      <c r="I54" s="779">
        <f t="shared" si="76"/>
        <v>26337</v>
      </c>
      <c r="J54" s="779">
        <f t="shared" ref="J54:O54" si="77">J399</f>
        <v>25943</v>
      </c>
      <c r="K54" s="779">
        <f t="shared" si="77"/>
        <v>26617</v>
      </c>
      <c r="L54" s="779">
        <f t="shared" si="77"/>
        <v>26554</v>
      </c>
      <c r="M54" s="779">
        <f t="shared" si="77"/>
        <v>25928</v>
      </c>
      <c r="N54" s="779">
        <f t="shared" si="77"/>
        <v>26162</v>
      </c>
      <c r="O54" s="779">
        <f t="shared" si="77"/>
        <v>26822</v>
      </c>
      <c r="Q54" s="776" t="s">
        <v>1576</v>
      </c>
    </row>
    <row r="55" spans="1:17" ht="15.75" thickBot="1">
      <c r="D55" s="779">
        <f t="shared" ref="D55:I55" si="78">SUM(D53:D54)</f>
        <v>76574</v>
      </c>
      <c r="E55" s="779">
        <f t="shared" si="78"/>
        <v>77417</v>
      </c>
      <c r="F55" s="779">
        <f t="shared" si="78"/>
        <v>78043</v>
      </c>
      <c r="G55" s="779">
        <f t="shared" si="78"/>
        <v>78842</v>
      </c>
      <c r="H55" s="779">
        <f t="shared" si="78"/>
        <v>78279</v>
      </c>
      <c r="I55" s="779">
        <f t="shared" si="78"/>
        <v>77456</v>
      </c>
      <c r="J55" s="779">
        <f t="shared" ref="J55:O55" si="79">SUM(J53:J54)</f>
        <v>77004</v>
      </c>
      <c r="K55" s="779">
        <f t="shared" si="79"/>
        <v>78810</v>
      </c>
      <c r="L55" s="779">
        <f t="shared" si="79"/>
        <v>79112</v>
      </c>
      <c r="M55" s="779">
        <f t="shared" si="79"/>
        <v>78279</v>
      </c>
      <c r="N55" s="779">
        <f t="shared" si="79"/>
        <v>78954</v>
      </c>
      <c r="O55" s="779">
        <f t="shared" si="79"/>
        <v>80599</v>
      </c>
    </row>
    <row r="56" spans="1:17">
      <c r="D56" s="784"/>
      <c r="E56" s="784"/>
      <c r="F56" s="784"/>
      <c r="G56" s="784"/>
      <c r="H56" s="784"/>
      <c r="I56" s="784"/>
      <c r="J56" s="784"/>
      <c r="K56" s="784"/>
      <c r="L56" s="784"/>
      <c r="M56" s="784"/>
      <c r="N56" s="784"/>
      <c r="O56" s="784"/>
    </row>
    <row r="57" spans="1:17">
      <c r="A57" s="776" t="s">
        <v>1599</v>
      </c>
      <c r="D57" s="778">
        <f t="shared" ref="D57:I57" si="80">D306</f>
        <v>40642</v>
      </c>
      <c r="E57" s="778">
        <f t="shared" si="80"/>
        <v>40423</v>
      </c>
      <c r="F57" s="778">
        <f t="shared" si="80"/>
        <v>40177</v>
      </c>
      <c r="G57" s="778">
        <f t="shared" si="80"/>
        <v>40309</v>
      </c>
      <c r="H57" s="778">
        <f t="shared" si="80"/>
        <v>40203</v>
      </c>
      <c r="I57" s="778">
        <f t="shared" si="80"/>
        <v>39898</v>
      </c>
      <c r="J57" s="778">
        <f t="shared" ref="J57:O57" si="81">J306</f>
        <v>38980</v>
      </c>
      <c r="K57" s="778">
        <f t="shared" si="81"/>
        <v>39801</v>
      </c>
      <c r="L57" s="778">
        <f t="shared" si="81"/>
        <v>39985</v>
      </c>
      <c r="M57" s="778">
        <f t="shared" si="81"/>
        <v>39270</v>
      </c>
      <c r="N57" s="778">
        <f t="shared" si="81"/>
        <v>41630</v>
      </c>
      <c r="O57" s="778">
        <f t="shared" si="81"/>
        <v>41368</v>
      </c>
      <c r="Q57" s="776" t="s">
        <v>1594</v>
      </c>
    </row>
    <row r="58" spans="1:17" ht="15.75" thickBot="1">
      <c r="D58" s="779">
        <f t="shared" ref="D58:I58" si="82">D130</f>
        <v>27189</v>
      </c>
      <c r="E58" s="779">
        <f t="shared" si="82"/>
        <v>27139</v>
      </c>
      <c r="F58" s="779">
        <f t="shared" si="82"/>
        <v>27198</v>
      </c>
      <c r="G58" s="779">
        <f t="shared" si="82"/>
        <v>27594</v>
      </c>
      <c r="H58" s="779">
        <f t="shared" si="82"/>
        <v>27920</v>
      </c>
      <c r="I58" s="779">
        <f t="shared" si="82"/>
        <v>27359</v>
      </c>
      <c r="J58" s="779">
        <f t="shared" ref="J58:O58" si="83">J130</f>
        <v>26492</v>
      </c>
      <c r="K58" s="779">
        <f t="shared" si="83"/>
        <v>26990</v>
      </c>
      <c r="L58" s="779">
        <f t="shared" si="83"/>
        <v>27419</v>
      </c>
      <c r="M58" s="779">
        <f t="shared" si="83"/>
        <v>26964</v>
      </c>
      <c r="N58" s="779">
        <f t="shared" si="83"/>
        <v>28157</v>
      </c>
      <c r="O58" s="779">
        <f t="shared" si="83"/>
        <v>28090</v>
      </c>
      <c r="Q58" s="776" t="s">
        <v>1600</v>
      </c>
    </row>
    <row r="59" spans="1:17" ht="15.75" thickBot="1">
      <c r="D59" s="779">
        <f t="shared" ref="D59:I59" si="84">SUM(D57:D58)</f>
        <v>67831</v>
      </c>
      <c r="E59" s="779">
        <f t="shared" si="84"/>
        <v>67562</v>
      </c>
      <c r="F59" s="779">
        <f t="shared" si="84"/>
        <v>67375</v>
      </c>
      <c r="G59" s="779">
        <f t="shared" si="84"/>
        <v>67903</v>
      </c>
      <c r="H59" s="779">
        <f t="shared" si="84"/>
        <v>68123</v>
      </c>
      <c r="I59" s="779">
        <f t="shared" si="84"/>
        <v>67257</v>
      </c>
      <c r="J59" s="779">
        <f t="shared" ref="J59:O59" si="85">SUM(J57:J58)</f>
        <v>65472</v>
      </c>
      <c r="K59" s="779">
        <f t="shared" si="85"/>
        <v>66791</v>
      </c>
      <c r="L59" s="779">
        <f t="shared" si="85"/>
        <v>67404</v>
      </c>
      <c r="M59" s="779">
        <f t="shared" si="85"/>
        <v>66234</v>
      </c>
      <c r="N59" s="779">
        <f t="shared" si="85"/>
        <v>69787</v>
      </c>
      <c r="O59" s="779">
        <f t="shared" si="85"/>
        <v>69458</v>
      </c>
    </row>
    <row r="60" spans="1:17">
      <c r="D60" s="784"/>
      <c r="E60" s="784"/>
      <c r="F60" s="784"/>
      <c r="G60" s="784"/>
      <c r="H60" s="784"/>
      <c r="I60" s="784"/>
      <c r="J60" s="784"/>
      <c r="K60" s="784"/>
      <c r="L60" s="784"/>
      <c r="M60" s="784"/>
      <c r="N60" s="784"/>
      <c r="O60" s="784"/>
    </row>
    <row r="61" spans="1:17">
      <c r="A61" s="776" t="s">
        <v>6796</v>
      </c>
      <c r="D61" s="778">
        <f t="shared" ref="D61:I61" si="86">D27+D31+D33+D35+D37+D39+D41+D45+D49+D51+D55+D59</f>
        <v>868357</v>
      </c>
      <c r="E61" s="778">
        <f t="shared" si="86"/>
        <v>873048</v>
      </c>
      <c r="F61" s="778">
        <f t="shared" si="86"/>
        <v>872982</v>
      </c>
      <c r="G61" s="778">
        <f t="shared" si="86"/>
        <v>878242</v>
      </c>
      <c r="H61" s="778">
        <f t="shared" si="86"/>
        <v>869677</v>
      </c>
      <c r="I61" s="778">
        <f t="shared" si="86"/>
        <v>857632</v>
      </c>
      <c r="J61" s="778">
        <f t="shared" ref="J61:O61" si="87">J27+J31+J33+J35+J37+J39+J41+J45+J49+J51+J55+J59</f>
        <v>852765</v>
      </c>
      <c r="K61" s="778">
        <f t="shared" si="87"/>
        <v>876282</v>
      </c>
      <c r="L61" s="778">
        <f t="shared" si="87"/>
        <v>887716</v>
      </c>
      <c r="M61" s="778">
        <f t="shared" si="87"/>
        <v>882836</v>
      </c>
      <c r="N61" s="778">
        <f t="shared" si="87"/>
        <v>909530</v>
      </c>
      <c r="O61" s="778">
        <f t="shared" si="87"/>
        <v>919454</v>
      </c>
    </row>
    <row r="62" spans="1:17">
      <c r="D62" s="784"/>
      <c r="E62" s="784"/>
      <c r="F62" s="784"/>
      <c r="G62" s="784"/>
      <c r="H62" s="784"/>
      <c r="I62" s="784"/>
      <c r="J62" s="784"/>
      <c r="K62" s="784"/>
      <c r="L62" s="784"/>
      <c r="M62" s="784"/>
      <c r="N62" s="784"/>
      <c r="O62" s="784"/>
    </row>
    <row r="63" spans="1:17">
      <c r="A63" s="776" t="s">
        <v>6797</v>
      </c>
      <c r="D63" s="778">
        <f t="shared" ref="D63:I63" si="88">MAX(D27,D31,D33,D35,D37,D39,D41,D45,D49,D51,D55,D59)-MIN(D27,D31,D33,D35,D37,D39,D41,D45,D49,D51,D55,D59)</f>
        <v>9216</v>
      </c>
      <c r="E63" s="778">
        <f t="shared" si="88"/>
        <v>9855</v>
      </c>
      <c r="F63" s="778">
        <f t="shared" si="88"/>
        <v>10668</v>
      </c>
      <c r="G63" s="778">
        <f t="shared" si="88"/>
        <v>10939</v>
      </c>
      <c r="H63" s="778">
        <f t="shared" si="88"/>
        <v>11802</v>
      </c>
      <c r="I63" s="778">
        <f t="shared" si="88"/>
        <v>11702</v>
      </c>
      <c r="J63" s="778">
        <f t="shared" ref="J63:O63" si="89">MAX(J27,J31,J33,J35,J37,J39,J41,J45,J49,J51,J55,J59)-MIN(J27,J31,J33,J35,J37,J39,J41,J45,J49,J51,J55,J59)</f>
        <v>11532</v>
      </c>
      <c r="K63" s="778">
        <f t="shared" si="89"/>
        <v>13568</v>
      </c>
      <c r="L63" s="778">
        <f t="shared" si="89"/>
        <v>14546</v>
      </c>
      <c r="M63" s="778">
        <f t="shared" si="89"/>
        <v>17961</v>
      </c>
      <c r="N63" s="778">
        <f t="shared" si="89"/>
        <v>16728</v>
      </c>
      <c r="O63" s="778">
        <f t="shared" si="89"/>
        <v>17435</v>
      </c>
    </row>
    <row r="64" spans="1:17">
      <c r="D64" s="784"/>
      <c r="E64" s="784"/>
      <c r="F64" s="784"/>
      <c r="G64" s="784"/>
      <c r="H64" s="784"/>
      <c r="I64" s="784"/>
      <c r="J64" s="784"/>
      <c r="K64" s="784"/>
      <c r="L64" s="784"/>
      <c r="M64" s="784"/>
      <c r="N64" s="784"/>
      <c r="O64" s="784"/>
    </row>
    <row r="65" spans="1:17">
      <c r="A65" s="776" t="s">
        <v>6800</v>
      </c>
      <c r="D65" s="778">
        <f t="shared" ref="D65:I65" si="90">STDEVP(D27,D31,D33,D35,D37,D39,D41,D45,D49,D51,D55,D59)</f>
        <v>3361.7094723353011</v>
      </c>
      <c r="E65" s="778">
        <f t="shared" si="90"/>
        <v>3259.1258541721481</v>
      </c>
      <c r="F65" s="778">
        <f t="shared" si="90"/>
        <v>3866.5929123713036</v>
      </c>
      <c r="G65" s="778">
        <f t="shared" si="90"/>
        <v>3787.1064555350904</v>
      </c>
      <c r="H65" s="778">
        <f t="shared" si="90"/>
        <v>3998.8581173949592</v>
      </c>
      <c r="I65" s="778">
        <f t="shared" si="90"/>
        <v>3671.9747033744966</v>
      </c>
      <c r="J65" s="778">
        <f t="shared" ref="J65:O65" si="91">STDEVP(J27,J31,J33,J35,J37,J39,J41,J45,J49,J51,J55,J59)</f>
        <v>3756.8615475553529</v>
      </c>
      <c r="K65" s="778">
        <f t="shared" si="91"/>
        <v>4303.9810350418602</v>
      </c>
      <c r="L65" s="778">
        <f t="shared" si="91"/>
        <v>4552.3422969817302</v>
      </c>
      <c r="M65" s="778">
        <f t="shared" si="91"/>
        <v>5084.4564496993071</v>
      </c>
      <c r="N65" s="778">
        <f t="shared" si="91"/>
        <v>5012.4547684298914</v>
      </c>
      <c r="O65" s="778">
        <f t="shared" si="91"/>
        <v>5114.2918837530406</v>
      </c>
    </row>
    <row r="66" spans="1:17">
      <c r="A66" s="776"/>
      <c r="D66" s="783"/>
      <c r="E66" s="783"/>
      <c r="F66" s="783"/>
      <c r="G66" s="783"/>
      <c r="H66" s="783"/>
      <c r="I66" s="783"/>
      <c r="J66" s="783"/>
      <c r="K66" s="783"/>
      <c r="L66" s="783"/>
      <c r="M66" s="783"/>
      <c r="N66" s="783"/>
      <c r="O66" s="783"/>
    </row>
    <row r="67" spans="1:17">
      <c r="A67" s="776" t="s">
        <v>4130</v>
      </c>
      <c r="D67" s="783"/>
      <c r="E67" s="783"/>
      <c r="F67" s="783"/>
      <c r="G67" s="783"/>
      <c r="H67" s="783"/>
      <c r="I67" s="783"/>
      <c r="J67" s="783"/>
      <c r="K67" s="783"/>
      <c r="L67" s="783"/>
      <c r="M67" s="783"/>
      <c r="N67" s="783"/>
      <c r="O67" s="783"/>
    </row>
    <row r="68" spans="1:17">
      <c r="A68" s="776"/>
      <c r="D68" s="783"/>
      <c r="E68" s="783"/>
      <c r="F68" s="783"/>
      <c r="G68" s="783"/>
      <c r="H68" s="783"/>
      <c r="I68" s="783"/>
      <c r="J68" s="783"/>
      <c r="K68" s="783"/>
      <c r="L68" s="783"/>
      <c r="M68" s="783"/>
      <c r="N68" s="783"/>
      <c r="O68" s="783"/>
    </row>
    <row r="69" spans="1:17">
      <c r="A69" s="776"/>
      <c r="D69" s="783"/>
      <c r="E69" s="783"/>
      <c r="F69" s="783"/>
      <c r="G69" s="783"/>
      <c r="H69" s="783"/>
      <c r="I69" s="783"/>
      <c r="J69" s="783"/>
      <c r="K69" s="783"/>
      <c r="L69" s="783"/>
      <c r="M69" s="783"/>
      <c r="N69" s="783"/>
      <c r="O69" s="783"/>
    </row>
    <row r="70" spans="1:17">
      <c r="E70" s="51" t="s">
        <v>1526</v>
      </c>
      <c r="F70" s="51"/>
      <c r="G70" s="51"/>
      <c r="H70" s="51"/>
      <c r="I70" s="51"/>
      <c r="J70" s="51"/>
      <c r="K70" s="51"/>
      <c r="L70" s="51"/>
      <c r="M70" s="51"/>
      <c r="N70" s="51"/>
      <c r="O70" s="51"/>
      <c r="P70" s="11"/>
      <c r="Q70" s="11" t="s">
        <v>9479</v>
      </c>
    </row>
    <row r="71" spans="1:17">
      <c r="D71" s="350">
        <v>2010</v>
      </c>
      <c r="E71" s="350">
        <v>2011</v>
      </c>
      <c r="F71" s="350">
        <v>2012</v>
      </c>
      <c r="G71" s="350">
        <v>2013</v>
      </c>
      <c r="H71" s="350">
        <v>2014</v>
      </c>
      <c r="I71" s="350">
        <v>2015</v>
      </c>
      <c r="J71" s="350">
        <v>2016</v>
      </c>
      <c r="K71" s="350">
        <v>2017</v>
      </c>
      <c r="L71" s="350">
        <v>2018</v>
      </c>
      <c r="M71" s="350">
        <v>2019</v>
      </c>
      <c r="N71" s="350">
        <v>2020</v>
      </c>
      <c r="O71" s="981" t="s">
        <v>14823</v>
      </c>
      <c r="Q71" s="13" t="s">
        <v>1527</v>
      </c>
    </row>
    <row r="72" spans="1:17">
      <c r="A72" s="776" t="s">
        <v>1329</v>
      </c>
      <c r="C72" s="776"/>
      <c r="D72" s="778">
        <f t="shared" ref="D72:I72" si="92">SUM(D73:D92)</f>
        <v>179541</v>
      </c>
      <c r="E72" s="778">
        <f t="shared" si="92"/>
        <v>182688</v>
      </c>
      <c r="F72" s="778">
        <f t="shared" si="92"/>
        <v>178511</v>
      </c>
      <c r="G72" s="778">
        <f t="shared" si="92"/>
        <v>180278</v>
      </c>
      <c r="H72" s="778">
        <f t="shared" si="92"/>
        <v>178524</v>
      </c>
      <c r="I72" s="778">
        <f t="shared" si="92"/>
        <v>174034</v>
      </c>
      <c r="J72" s="778">
        <f t="shared" ref="J72:O72" si="93">SUM(J73:J92)</f>
        <v>176755</v>
      </c>
      <c r="K72" s="778">
        <f t="shared" si="93"/>
        <v>180356</v>
      </c>
      <c r="L72" s="778">
        <f t="shared" si="93"/>
        <v>183050</v>
      </c>
      <c r="M72" s="778">
        <f t="shared" si="93"/>
        <v>182454</v>
      </c>
      <c r="N72" s="778">
        <f t="shared" si="93"/>
        <v>191014</v>
      </c>
      <c r="O72" s="778">
        <f t="shared" si="93"/>
        <v>191011</v>
      </c>
    </row>
    <row r="73" spans="1:17">
      <c r="A73" s="776" t="s">
        <v>5387</v>
      </c>
      <c r="B73" s="776" t="s">
        <v>4131</v>
      </c>
      <c r="C73" s="55" t="s">
        <v>7508</v>
      </c>
      <c r="D73" s="778">
        <v>9459</v>
      </c>
      <c r="E73" s="778">
        <v>9660</v>
      </c>
      <c r="F73" s="778">
        <v>9661</v>
      </c>
      <c r="G73" s="63">
        <v>9632</v>
      </c>
      <c r="H73" s="63">
        <v>9221</v>
      </c>
      <c r="I73" s="63">
        <v>9153</v>
      </c>
      <c r="J73" s="63">
        <v>9146</v>
      </c>
      <c r="K73" s="63">
        <v>9351</v>
      </c>
      <c r="L73" s="63">
        <v>9433</v>
      </c>
      <c r="M73" s="63">
        <v>9243</v>
      </c>
      <c r="N73" s="63">
        <v>9445</v>
      </c>
      <c r="O73" s="63">
        <v>9444</v>
      </c>
      <c r="Q73" s="776" t="s">
        <v>890</v>
      </c>
    </row>
    <row r="74" spans="1:17">
      <c r="A74" s="776" t="s">
        <v>5389</v>
      </c>
      <c r="B74" s="776" t="s">
        <v>3003</v>
      </c>
      <c r="C74" s="55" t="s">
        <v>7509</v>
      </c>
      <c r="D74" s="778">
        <v>9208</v>
      </c>
      <c r="E74" s="778">
        <v>9311</v>
      </c>
      <c r="F74" s="778">
        <v>9023</v>
      </c>
      <c r="G74" s="63">
        <v>8835</v>
      </c>
      <c r="H74" s="63">
        <v>8242</v>
      </c>
      <c r="I74" s="63">
        <v>8270</v>
      </c>
      <c r="J74" s="63">
        <v>8529</v>
      </c>
      <c r="K74" s="63">
        <v>8595</v>
      </c>
      <c r="L74" s="63">
        <v>8844</v>
      </c>
      <c r="M74" s="63">
        <v>8824</v>
      </c>
      <c r="N74" s="63">
        <v>9360</v>
      </c>
      <c r="O74" s="63">
        <v>9358</v>
      </c>
      <c r="Q74" s="776" t="s">
        <v>1592</v>
      </c>
    </row>
    <row r="75" spans="1:17">
      <c r="A75" s="776" t="s">
        <v>5391</v>
      </c>
      <c r="B75" s="776" t="s">
        <v>4132</v>
      </c>
      <c r="C75" s="55" t="s">
        <v>7510</v>
      </c>
      <c r="D75" s="778">
        <v>9208</v>
      </c>
      <c r="E75" s="778">
        <v>9616</v>
      </c>
      <c r="F75" s="778">
        <v>9174</v>
      </c>
      <c r="G75" s="63">
        <v>9568</v>
      </c>
      <c r="H75" s="63">
        <v>9343</v>
      </c>
      <c r="I75" s="63">
        <v>9334</v>
      </c>
      <c r="J75" s="63">
        <v>9380</v>
      </c>
      <c r="K75" s="63">
        <v>9732</v>
      </c>
      <c r="L75" s="63">
        <v>10129</v>
      </c>
      <c r="M75" s="63">
        <v>10183</v>
      </c>
      <c r="N75" s="63">
        <v>10592</v>
      </c>
      <c r="O75" s="63">
        <v>10592</v>
      </c>
      <c r="Q75" s="776" t="s">
        <v>1592</v>
      </c>
    </row>
    <row r="76" spans="1:17">
      <c r="A76" s="776" t="s">
        <v>5393</v>
      </c>
      <c r="B76" s="776" t="s">
        <v>4133</v>
      </c>
      <c r="C76" s="55" t="s">
        <v>7511</v>
      </c>
      <c r="D76" s="778">
        <v>4474</v>
      </c>
      <c r="E76" s="778">
        <v>4520</v>
      </c>
      <c r="F76" s="778">
        <v>3332</v>
      </c>
      <c r="G76" s="63">
        <v>4747</v>
      </c>
      <c r="H76" s="63">
        <v>6075</v>
      </c>
      <c r="I76" s="63">
        <v>3948</v>
      </c>
      <c r="J76" s="63">
        <v>5504</v>
      </c>
      <c r="K76" s="63">
        <v>5316</v>
      </c>
      <c r="L76" s="63">
        <v>5460</v>
      </c>
      <c r="M76" s="63">
        <v>5083</v>
      </c>
      <c r="N76" s="63">
        <v>7156</v>
      </c>
      <c r="O76" s="63">
        <v>7159</v>
      </c>
      <c r="Q76" s="776" t="s">
        <v>1592</v>
      </c>
    </row>
    <row r="77" spans="1:17">
      <c r="A77" s="776" t="s">
        <v>5394</v>
      </c>
      <c r="B77" s="776" t="s">
        <v>4134</v>
      </c>
      <c r="C77" s="55" t="s">
        <v>7512</v>
      </c>
      <c r="D77" s="778">
        <v>9292</v>
      </c>
      <c r="E77" s="778">
        <v>9322</v>
      </c>
      <c r="F77" s="778">
        <v>9112</v>
      </c>
      <c r="G77" s="63">
        <v>9572</v>
      </c>
      <c r="H77" s="63">
        <v>9224</v>
      </c>
      <c r="I77" s="63">
        <v>9021</v>
      </c>
      <c r="J77" s="63">
        <v>9121</v>
      </c>
      <c r="K77" s="63">
        <v>9386</v>
      </c>
      <c r="L77" s="63">
        <v>9406</v>
      </c>
      <c r="M77" s="63">
        <v>9587</v>
      </c>
      <c r="N77" s="63">
        <v>9933</v>
      </c>
      <c r="O77" s="63">
        <v>9933</v>
      </c>
      <c r="Q77" s="776" t="s">
        <v>1592</v>
      </c>
    </row>
    <row r="78" spans="1:17">
      <c r="A78" s="776" t="s">
        <v>5416</v>
      </c>
      <c r="B78" s="776" t="s">
        <v>4135</v>
      </c>
      <c r="C78" s="55" t="s">
        <v>7513</v>
      </c>
      <c r="D78" s="778">
        <v>10184</v>
      </c>
      <c r="E78" s="778">
        <v>10355</v>
      </c>
      <c r="F78" s="778">
        <v>10358</v>
      </c>
      <c r="G78" s="63">
        <v>10263</v>
      </c>
      <c r="H78" s="63">
        <v>10208</v>
      </c>
      <c r="I78" s="63">
        <v>10076</v>
      </c>
      <c r="J78" s="63">
        <v>9854</v>
      </c>
      <c r="K78" s="63">
        <v>9959</v>
      </c>
      <c r="L78" s="63">
        <v>10034</v>
      </c>
      <c r="M78" s="63">
        <v>10022</v>
      </c>
      <c r="N78" s="63">
        <v>10209</v>
      </c>
      <c r="O78" s="63">
        <v>10208</v>
      </c>
      <c r="Q78" s="776" t="s">
        <v>890</v>
      </c>
    </row>
    <row r="79" spans="1:17">
      <c r="A79" s="776" t="s">
        <v>5418</v>
      </c>
      <c r="B79" s="776" t="s">
        <v>4136</v>
      </c>
      <c r="C79" s="55" t="s">
        <v>7514</v>
      </c>
      <c r="D79" s="778">
        <v>9623</v>
      </c>
      <c r="E79" s="778">
        <v>9631</v>
      </c>
      <c r="F79" s="778">
        <v>9140</v>
      </c>
      <c r="G79" s="63">
        <v>9223</v>
      </c>
      <c r="H79" s="63">
        <v>9170</v>
      </c>
      <c r="I79" s="63">
        <v>9145</v>
      </c>
      <c r="J79" s="63">
        <v>9094</v>
      </c>
      <c r="K79" s="63">
        <v>9543</v>
      </c>
      <c r="L79" s="63">
        <v>9873</v>
      </c>
      <c r="M79" s="63">
        <v>9895</v>
      </c>
      <c r="N79" s="63">
        <v>10078</v>
      </c>
      <c r="O79" s="63">
        <v>10077</v>
      </c>
      <c r="Q79" s="776" t="s">
        <v>890</v>
      </c>
    </row>
    <row r="80" spans="1:17">
      <c r="A80" s="776" t="s">
        <v>5420</v>
      </c>
      <c r="B80" s="776" t="s">
        <v>4137</v>
      </c>
      <c r="C80" s="55" t="s">
        <v>7515</v>
      </c>
      <c r="D80" s="778">
        <v>10027</v>
      </c>
      <c r="E80" s="778">
        <v>10298</v>
      </c>
      <c r="F80" s="778">
        <v>10183</v>
      </c>
      <c r="G80" s="63">
        <v>10189</v>
      </c>
      <c r="H80" s="63">
        <v>10031</v>
      </c>
      <c r="I80" s="63">
        <v>9999</v>
      </c>
      <c r="J80" s="63">
        <v>9761</v>
      </c>
      <c r="K80" s="63">
        <v>9936</v>
      </c>
      <c r="L80" s="63">
        <v>9968</v>
      </c>
      <c r="M80" s="63">
        <v>9961</v>
      </c>
      <c r="N80" s="63">
        <v>10155</v>
      </c>
      <c r="O80" s="63">
        <v>10155</v>
      </c>
      <c r="Q80" s="776" t="s">
        <v>890</v>
      </c>
    </row>
    <row r="81" spans="1:17">
      <c r="A81" s="776" t="s">
        <v>5422</v>
      </c>
      <c r="B81" s="776" t="s">
        <v>4138</v>
      </c>
      <c r="C81" s="55" t="s">
        <v>7516</v>
      </c>
      <c r="D81" s="778">
        <v>9237</v>
      </c>
      <c r="E81" s="778">
        <v>9257</v>
      </c>
      <c r="F81" s="778">
        <v>9250</v>
      </c>
      <c r="G81" s="63">
        <v>9209</v>
      </c>
      <c r="H81" s="63">
        <v>9017</v>
      </c>
      <c r="I81" s="63">
        <v>9001</v>
      </c>
      <c r="J81" s="63">
        <v>9142</v>
      </c>
      <c r="K81" s="63">
        <v>9436</v>
      </c>
      <c r="L81" s="63">
        <v>9619</v>
      </c>
      <c r="M81" s="63">
        <v>9707</v>
      </c>
      <c r="N81" s="63">
        <v>10142</v>
      </c>
      <c r="O81" s="63">
        <v>10144</v>
      </c>
      <c r="Q81" s="776" t="s">
        <v>890</v>
      </c>
    </row>
    <row r="82" spans="1:17">
      <c r="A82" s="776" t="s">
        <v>5424</v>
      </c>
      <c r="B82" s="776" t="s">
        <v>1338</v>
      </c>
      <c r="C82" s="55" t="s">
        <v>7517</v>
      </c>
      <c r="D82" s="778">
        <v>9877</v>
      </c>
      <c r="E82" s="778">
        <v>10154</v>
      </c>
      <c r="F82" s="778">
        <v>10041</v>
      </c>
      <c r="G82" s="63">
        <v>10036</v>
      </c>
      <c r="H82" s="63">
        <v>9873</v>
      </c>
      <c r="I82" s="63">
        <v>9777</v>
      </c>
      <c r="J82" s="63">
        <v>9846</v>
      </c>
      <c r="K82" s="63">
        <v>9987</v>
      </c>
      <c r="L82" s="63">
        <v>10005</v>
      </c>
      <c r="M82" s="63">
        <v>9928</v>
      </c>
      <c r="N82" s="63">
        <v>10157</v>
      </c>
      <c r="O82" s="63">
        <v>10157</v>
      </c>
      <c r="Q82" s="776" t="s">
        <v>1592</v>
      </c>
    </row>
    <row r="83" spans="1:17">
      <c r="A83" s="776" t="s">
        <v>5426</v>
      </c>
      <c r="B83" s="776" t="s">
        <v>1339</v>
      </c>
      <c r="C83" s="55" t="s">
        <v>7518</v>
      </c>
      <c r="D83" s="778">
        <v>6126</v>
      </c>
      <c r="E83" s="778">
        <v>6219</v>
      </c>
      <c r="F83" s="778">
        <v>6246</v>
      </c>
      <c r="G83" s="63">
        <v>6201</v>
      </c>
      <c r="H83" s="63">
        <v>6178</v>
      </c>
      <c r="I83" s="63">
        <v>6090</v>
      </c>
      <c r="J83" s="63">
        <v>5945</v>
      </c>
      <c r="K83" s="63">
        <v>6028</v>
      </c>
      <c r="L83" s="63">
        <v>5974</v>
      </c>
      <c r="M83" s="63">
        <v>5866</v>
      </c>
      <c r="N83" s="63">
        <v>6238</v>
      </c>
      <c r="O83" s="63">
        <v>6239</v>
      </c>
      <c r="Q83" s="776" t="s">
        <v>1593</v>
      </c>
    </row>
    <row r="84" spans="1:17">
      <c r="A84" s="776" t="s">
        <v>5428</v>
      </c>
      <c r="B84" s="776" t="s">
        <v>1340</v>
      </c>
      <c r="C84" s="55" t="s">
        <v>7519</v>
      </c>
      <c r="D84" s="778">
        <v>6851</v>
      </c>
      <c r="E84" s="778">
        <v>6914</v>
      </c>
      <c r="F84" s="778">
        <v>6927</v>
      </c>
      <c r="G84" s="63">
        <v>6845</v>
      </c>
      <c r="H84" s="63">
        <v>6889</v>
      </c>
      <c r="I84" s="63">
        <v>6773</v>
      </c>
      <c r="J84" s="63">
        <v>6680</v>
      </c>
      <c r="K84" s="63">
        <v>6766</v>
      </c>
      <c r="L84" s="63">
        <v>6666</v>
      </c>
      <c r="M84" s="63">
        <v>6656</v>
      </c>
      <c r="N84" s="63">
        <v>6837</v>
      </c>
      <c r="O84" s="63">
        <v>6837</v>
      </c>
      <c r="Q84" s="776" t="s">
        <v>1593</v>
      </c>
    </row>
    <row r="85" spans="1:17">
      <c r="A85" s="776" t="s">
        <v>5429</v>
      </c>
      <c r="B85" s="776" t="s">
        <v>1341</v>
      </c>
      <c r="C85" s="55" t="s">
        <v>7520</v>
      </c>
      <c r="D85" s="778">
        <v>10082</v>
      </c>
      <c r="E85" s="778">
        <v>10113</v>
      </c>
      <c r="F85" s="778">
        <v>10152</v>
      </c>
      <c r="G85" s="63">
        <v>10076</v>
      </c>
      <c r="H85" s="63">
        <v>10178</v>
      </c>
      <c r="I85" s="63">
        <v>9988</v>
      </c>
      <c r="J85" s="63">
        <v>9973</v>
      </c>
      <c r="K85" s="63">
        <v>10055</v>
      </c>
      <c r="L85" s="63">
        <v>10053</v>
      </c>
      <c r="M85" s="63">
        <v>10012</v>
      </c>
      <c r="N85" s="63">
        <v>10115</v>
      </c>
      <c r="O85" s="63">
        <v>10115</v>
      </c>
      <c r="Q85" s="776" t="s">
        <v>1593</v>
      </c>
    </row>
    <row r="86" spans="1:17">
      <c r="A86" s="776" t="s">
        <v>5431</v>
      </c>
      <c r="B86" s="776" t="s">
        <v>1342</v>
      </c>
      <c r="C86" s="55" t="s">
        <v>7521</v>
      </c>
      <c r="D86" s="778">
        <v>9763</v>
      </c>
      <c r="E86" s="778">
        <v>9828</v>
      </c>
      <c r="F86" s="778">
        <v>9752</v>
      </c>
      <c r="G86" s="63">
        <v>9632</v>
      </c>
      <c r="H86" s="63">
        <v>9559</v>
      </c>
      <c r="I86" s="63">
        <v>9459</v>
      </c>
      <c r="J86" s="63">
        <v>9465</v>
      </c>
      <c r="K86" s="63">
        <v>9544</v>
      </c>
      <c r="L86" s="63">
        <v>9547</v>
      </c>
      <c r="M86" s="63">
        <v>9608</v>
      </c>
      <c r="N86" s="63">
        <v>10021</v>
      </c>
      <c r="O86" s="63">
        <v>10020</v>
      </c>
      <c r="Q86" s="776" t="s">
        <v>1593</v>
      </c>
    </row>
    <row r="87" spans="1:17">
      <c r="A87" s="776" t="s">
        <v>5433</v>
      </c>
      <c r="B87" s="776" t="s">
        <v>1343</v>
      </c>
      <c r="C87" s="55" t="s">
        <v>7522</v>
      </c>
      <c r="D87" s="778">
        <v>9744</v>
      </c>
      <c r="E87" s="778">
        <v>9822</v>
      </c>
      <c r="F87" s="778">
        <v>9810</v>
      </c>
      <c r="G87" s="63">
        <v>9538</v>
      </c>
      <c r="H87" s="63">
        <v>9627</v>
      </c>
      <c r="I87" s="63">
        <v>9544</v>
      </c>
      <c r="J87" s="63">
        <v>9800</v>
      </c>
      <c r="K87" s="63">
        <v>10224</v>
      </c>
      <c r="L87" s="63">
        <v>10471</v>
      </c>
      <c r="M87" s="63">
        <v>10562</v>
      </c>
      <c r="N87" s="63">
        <v>10927</v>
      </c>
      <c r="O87" s="63">
        <v>10927</v>
      </c>
      <c r="Q87" s="776" t="s">
        <v>1593</v>
      </c>
    </row>
    <row r="88" spans="1:17">
      <c r="A88" s="776" t="s">
        <v>5435</v>
      </c>
      <c r="B88" s="776" t="s">
        <v>1344</v>
      </c>
      <c r="C88" s="55" t="s">
        <v>7523</v>
      </c>
      <c r="D88" s="778">
        <v>9543</v>
      </c>
      <c r="E88" s="778">
        <v>9642</v>
      </c>
      <c r="F88" s="778">
        <v>9338</v>
      </c>
      <c r="G88" s="63">
        <v>9534</v>
      </c>
      <c r="H88" s="63">
        <v>9533</v>
      </c>
      <c r="I88" s="63">
        <v>9403</v>
      </c>
      <c r="J88" s="63">
        <v>9238</v>
      </c>
      <c r="K88" s="63">
        <v>9390</v>
      </c>
      <c r="L88" s="63">
        <v>9489</v>
      </c>
      <c r="M88" s="63">
        <v>9504</v>
      </c>
      <c r="N88" s="63">
        <v>9341</v>
      </c>
      <c r="O88" s="63">
        <v>9341</v>
      </c>
      <c r="Q88" s="776" t="s">
        <v>890</v>
      </c>
    </row>
    <row r="89" spans="1:17">
      <c r="A89" s="776" t="s">
        <v>5436</v>
      </c>
      <c r="B89" s="776" t="s">
        <v>1345</v>
      </c>
      <c r="C89" s="55" t="s">
        <v>7524</v>
      </c>
      <c r="D89" s="778">
        <v>8849</v>
      </c>
      <c r="E89" s="778">
        <v>9390</v>
      </c>
      <c r="F89" s="778">
        <v>8898</v>
      </c>
      <c r="G89" s="63">
        <v>9532</v>
      </c>
      <c r="H89" s="63">
        <v>9152</v>
      </c>
      <c r="I89" s="63">
        <v>8354</v>
      </c>
      <c r="J89" s="63">
        <v>9221</v>
      </c>
      <c r="K89" s="63">
        <v>9488</v>
      </c>
      <c r="L89" s="63">
        <v>9962</v>
      </c>
      <c r="M89" s="63">
        <v>9900</v>
      </c>
      <c r="N89" s="63">
        <v>11080</v>
      </c>
      <c r="O89" s="63">
        <v>11076</v>
      </c>
      <c r="Q89" s="776" t="s">
        <v>1592</v>
      </c>
    </row>
    <row r="90" spans="1:17">
      <c r="A90" s="776" t="s">
        <v>5437</v>
      </c>
      <c r="B90" s="776" t="s">
        <v>1346</v>
      </c>
      <c r="C90" s="55" t="s">
        <v>7525</v>
      </c>
      <c r="D90" s="778">
        <v>9428</v>
      </c>
      <c r="E90" s="778">
        <v>9713</v>
      </c>
      <c r="F90" s="778">
        <v>9913</v>
      </c>
      <c r="G90" s="63">
        <v>9916</v>
      </c>
      <c r="H90" s="63">
        <v>9844</v>
      </c>
      <c r="I90" s="63">
        <v>9649</v>
      </c>
      <c r="J90" s="63">
        <v>9670</v>
      </c>
      <c r="K90" s="63">
        <v>9594</v>
      </c>
      <c r="L90" s="63">
        <v>9619</v>
      </c>
      <c r="M90" s="63">
        <v>9725</v>
      </c>
      <c r="N90" s="63">
        <v>9999</v>
      </c>
      <c r="O90" s="63">
        <v>9999</v>
      </c>
      <c r="Q90" s="776" t="s">
        <v>890</v>
      </c>
    </row>
    <row r="91" spans="1:17">
      <c r="A91" s="776" t="s">
        <v>5439</v>
      </c>
      <c r="B91" s="776" t="s">
        <v>1347</v>
      </c>
      <c r="C91" s="55" t="s">
        <v>7526</v>
      </c>
      <c r="D91" s="778">
        <v>9038</v>
      </c>
      <c r="E91" s="778">
        <v>9359</v>
      </c>
      <c r="F91" s="778">
        <v>9184</v>
      </c>
      <c r="G91" s="63">
        <v>9211</v>
      </c>
      <c r="H91" s="63">
        <v>8828</v>
      </c>
      <c r="I91" s="63">
        <v>8772</v>
      </c>
      <c r="J91" s="63">
        <v>8796</v>
      </c>
      <c r="K91" s="63">
        <v>9098</v>
      </c>
      <c r="L91" s="63">
        <v>9544</v>
      </c>
      <c r="M91" s="63">
        <v>9354</v>
      </c>
      <c r="N91" s="63">
        <v>9725</v>
      </c>
      <c r="O91" s="63">
        <v>9725</v>
      </c>
      <c r="Q91" s="776" t="s">
        <v>1592</v>
      </c>
    </row>
    <row r="92" spans="1:17">
      <c r="A92" s="776" t="s">
        <v>5441</v>
      </c>
      <c r="B92" s="776" t="s">
        <v>5676</v>
      </c>
      <c r="C92" s="55" t="s">
        <v>7527</v>
      </c>
      <c r="D92" s="778">
        <v>9528</v>
      </c>
      <c r="E92" s="778">
        <v>9564</v>
      </c>
      <c r="F92" s="778">
        <v>9017</v>
      </c>
      <c r="G92" s="63">
        <v>8519</v>
      </c>
      <c r="H92" s="63">
        <v>8332</v>
      </c>
      <c r="I92" s="63">
        <v>8278</v>
      </c>
      <c r="J92" s="63">
        <v>8590</v>
      </c>
      <c r="K92" s="63">
        <v>8928</v>
      </c>
      <c r="L92" s="63">
        <v>8954</v>
      </c>
      <c r="M92" s="63">
        <v>8834</v>
      </c>
      <c r="N92" s="63">
        <v>9504</v>
      </c>
      <c r="O92" s="63">
        <v>9505</v>
      </c>
      <c r="Q92" s="776" t="s">
        <v>1592</v>
      </c>
    </row>
    <row r="93" spans="1:17">
      <c r="D93" s="784"/>
      <c r="E93" s="784"/>
      <c r="F93" s="784"/>
      <c r="G93" s="784"/>
      <c r="H93" s="784"/>
      <c r="I93" s="784"/>
      <c r="J93" s="784"/>
      <c r="K93" s="784"/>
      <c r="L93" s="784"/>
      <c r="M93" s="784"/>
      <c r="N93" s="784"/>
      <c r="O93" s="784"/>
    </row>
    <row r="94" spans="1:17">
      <c r="A94" s="776" t="s">
        <v>890</v>
      </c>
      <c r="D94" s="778">
        <f t="shared" ref="D94:I94" si="94">D73+SUM(D78:D81)+D88+D90</f>
        <v>67501</v>
      </c>
      <c r="E94" s="778">
        <f t="shared" si="94"/>
        <v>68556</v>
      </c>
      <c r="F94" s="778">
        <f t="shared" si="94"/>
        <v>67843</v>
      </c>
      <c r="G94" s="778">
        <f t="shared" si="94"/>
        <v>67966</v>
      </c>
      <c r="H94" s="778">
        <f t="shared" si="94"/>
        <v>67024</v>
      </c>
      <c r="I94" s="778">
        <f t="shared" si="94"/>
        <v>66426</v>
      </c>
      <c r="J94" s="778">
        <f t="shared" ref="J94:O94" si="95">J73+SUM(J78:J81)+J88+J90</f>
        <v>65905</v>
      </c>
      <c r="K94" s="778">
        <f t="shared" si="95"/>
        <v>67209</v>
      </c>
      <c r="L94" s="778">
        <f t="shared" si="95"/>
        <v>68035</v>
      </c>
      <c r="M94" s="778">
        <f t="shared" si="95"/>
        <v>68057</v>
      </c>
      <c r="N94" s="778">
        <f t="shared" si="95"/>
        <v>69369</v>
      </c>
      <c r="O94" s="778">
        <f t="shared" si="95"/>
        <v>69368</v>
      </c>
    </row>
    <row r="95" spans="1:17">
      <c r="A95" s="776" t="s">
        <v>1592</v>
      </c>
      <c r="D95" s="778">
        <f t="shared" ref="D95:I95" si="96">SUM(D74:D77)+D82+D89+D91+D92</f>
        <v>69474</v>
      </c>
      <c r="E95" s="778">
        <f t="shared" si="96"/>
        <v>71236</v>
      </c>
      <c r="F95" s="778">
        <f t="shared" si="96"/>
        <v>67781</v>
      </c>
      <c r="G95" s="778">
        <f t="shared" si="96"/>
        <v>70020</v>
      </c>
      <c r="H95" s="778">
        <f t="shared" si="96"/>
        <v>69069</v>
      </c>
      <c r="I95" s="778">
        <f t="shared" si="96"/>
        <v>65754</v>
      </c>
      <c r="J95" s="778">
        <f t="shared" ref="J95:O95" si="97">SUM(J74:J77)+J82+J89+J91+J92</f>
        <v>68987</v>
      </c>
      <c r="K95" s="778">
        <f t="shared" si="97"/>
        <v>70530</v>
      </c>
      <c r="L95" s="778">
        <f t="shared" si="97"/>
        <v>72304</v>
      </c>
      <c r="M95" s="778">
        <f t="shared" si="97"/>
        <v>71693</v>
      </c>
      <c r="N95" s="778">
        <f t="shared" si="97"/>
        <v>77507</v>
      </c>
      <c r="O95" s="778">
        <f t="shared" si="97"/>
        <v>77505</v>
      </c>
    </row>
    <row r="96" spans="1:17">
      <c r="A96" s="776" t="s">
        <v>5677</v>
      </c>
      <c r="D96" s="778">
        <f t="shared" ref="D96:I96" si="98">SUM(D83:D87)</f>
        <v>42566</v>
      </c>
      <c r="E96" s="778">
        <f t="shared" si="98"/>
        <v>42896</v>
      </c>
      <c r="F96" s="778">
        <f t="shared" si="98"/>
        <v>42887</v>
      </c>
      <c r="G96" s="778">
        <f t="shared" si="98"/>
        <v>42292</v>
      </c>
      <c r="H96" s="778">
        <f t="shared" si="98"/>
        <v>42431</v>
      </c>
      <c r="I96" s="778">
        <f t="shared" si="98"/>
        <v>41854</v>
      </c>
      <c r="J96" s="778">
        <f t="shared" ref="J96:O96" si="99">SUM(J83:J87)</f>
        <v>41863</v>
      </c>
      <c r="K96" s="778">
        <f t="shared" si="99"/>
        <v>42617</v>
      </c>
      <c r="L96" s="778">
        <f t="shared" si="99"/>
        <v>42711</v>
      </c>
      <c r="M96" s="778">
        <f t="shared" si="99"/>
        <v>42704</v>
      </c>
      <c r="N96" s="778">
        <f t="shared" si="99"/>
        <v>44138</v>
      </c>
      <c r="O96" s="778">
        <f t="shared" si="99"/>
        <v>44138</v>
      </c>
      <c r="P96" s="778"/>
    </row>
    <row r="98" spans="1:17">
      <c r="A98" s="776" t="s">
        <v>5678</v>
      </c>
    </row>
    <row r="99" spans="1:17">
      <c r="A99" s="776"/>
    </row>
    <row r="100" spans="1:17">
      <c r="A100" s="776"/>
    </row>
    <row r="101" spans="1:17">
      <c r="E101" s="51" t="s">
        <v>1526</v>
      </c>
      <c r="F101" s="51"/>
      <c r="G101" s="51"/>
      <c r="H101" s="51"/>
      <c r="I101" s="51"/>
      <c r="J101" s="51"/>
      <c r="K101" s="51"/>
      <c r="L101" s="51"/>
      <c r="M101" s="51"/>
      <c r="N101" s="51"/>
      <c r="O101" s="51"/>
      <c r="P101" s="11"/>
      <c r="Q101" s="11" t="s">
        <v>9479</v>
      </c>
    </row>
    <row r="102" spans="1:17">
      <c r="D102" s="350">
        <v>2010</v>
      </c>
      <c r="E102" s="350">
        <v>2011</v>
      </c>
      <c r="F102" s="350">
        <v>2012</v>
      </c>
      <c r="G102" s="350">
        <v>2013</v>
      </c>
      <c r="H102" s="350">
        <v>2014</v>
      </c>
      <c r="I102" s="350">
        <v>2015</v>
      </c>
      <c r="J102" s="350">
        <v>2016</v>
      </c>
      <c r="K102" s="350">
        <v>2017</v>
      </c>
      <c r="L102" s="350">
        <v>2018</v>
      </c>
      <c r="M102" s="350">
        <v>2019</v>
      </c>
      <c r="N102" s="350">
        <v>2020</v>
      </c>
      <c r="O102" s="981" t="s">
        <v>14823</v>
      </c>
      <c r="Q102" s="13" t="s">
        <v>1527</v>
      </c>
    </row>
    <row r="103" spans="1:17">
      <c r="A103" s="776" t="s">
        <v>2697</v>
      </c>
      <c r="D103" s="778">
        <f t="shared" ref="D103:M103" si="100">SUM(D104:D106,D108:D109,D111:D116,D118:D119,D121:D127)</f>
        <v>103442</v>
      </c>
      <c r="E103" s="778">
        <f t="shared" si="100"/>
        <v>103358</v>
      </c>
      <c r="F103" s="778">
        <f t="shared" si="100"/>
        <v>103991</v>
      </c>
      <c r="G103" s="778">
        <f t="shared" si="100"/>
        <v>105363</v>
      </c>
      <c r="H103" s="778">
        <f t="shared" si="100"/>
        <v>106330</v>
      </c>
      <c r="I103" s="778">
        <f t="shared" si="100"/>
        <v>103113</v>
      </c>
      <c r="J103" s="778">
        <f t="shared" si="100"/>
        <v>97951</v>
      </c>
      <c r="K103" s="778">
        <f t="shared" si="100"/>
        <v>100267</v>
      </c>
      <c r="L103" s="778">
        <f t="shared" si="100"/>
        <v>101796</v>
      </c>
      <c r="M103" s="778">
        <f t="shared" si="100"/>
        <v>98918</v>
      </c>
      <c r="N103" s="778">
        <f>SUM(N104:N106,N108:N109,N111:N116,N118:N119,N121:N127)</f>
        <v>103099</v>
      </c>
      <c r="O103" s="778">
        <f>SUM(O104:O106,O108:O109,O111:O116,O118:O119,O121:O127)</f>
        <v>102873</v>
      </c>
    </row>
    <row r="104" spans="1:17">
      <c r="A104" s="776" t="s">
        <v>5387</v>
      </c>
      <c r="B104" s="776" t="s">
        <v>13849</v>
      </c>
      <c r="C104" s="162" t="s">
        <v>13848</v>
      </c>
      <c r="D104" s="778">
        <v>76253</v>
      </c>
      <c r="E104" s="778">
        <v>76219</v>
      </c>
      <c r="F104" s="778">
        <v>76793</v>
      </c>
      <c r="G104" s="778">
        <v>77769</v>
      </c>
      <c r="H104" s="778">
        <v>78410</v>
      </c>
      <c r="I104" s="778">
        <v>75754</v>
      </c>
      <c r="J104" s="778">
        <v>71459</v>
      </c>
      <c r="K104" s="778">
        <v>73277</v>
      </c>
      <c r="L104" s="778">
        <v>74377</v>
      </c>
      <c r="M104" s="778">
        <v>71954</v>
      </c>
      <c r="N104" s="56">
        <v>8495</v>
      </c>
      <c r="O104" s="56">
        <v>8497</v>
      </c>
      <c r="Q104" s="776" t="s">
        <v>1596</v>
      </c>
    </row>
    <row r="105" spans="1:17">
      <c r="A105" s="776" t="s">
        <v>5389</v>
      </c>
      <c r="B105" s="776" t="s">
        <v>13851</v>
      </c>
      <c r="C105" s="162" t="s">
        <v>13850</v>
      </c>
      <c r="D105" s="778">
        <v>0</v>
      </c>
      <c r="E105" s="778">
        <v>0</v>
      </c>
      <c r="F105" s="778">
        <v>0</v>
      </c>
      <c r="G105" s="778">
        <v>0</v>
      </c>
      <c r="H105" s="778">
        <v>0</v>
      </c>
      <c r="I105" s="778">
        <v>0</v>
      </c>
      <c r="J105" s="778">
        <v>0</v>
      </c>
      <c r="K105" s="778">
        <v>0</v>
      </c>
      <c r="L105" s="778">
        <v>0</v>
      </c>
      <c r="M105" s="778">
        <v>0</v>
      </c>
      <c r="N105" s="56">
        <v>42</v>
      </c>
      <c r="O105" s="56">
        <v>42</v>
      </c>
      <c r="Q105" s="776" t="s">
        <v>1596</v>
      </c>
    </row>
    <row r="106" spans="1:17" ht="15.75" thickBot="1">
      <c r="A106" s="776"/>
      <c r="B106" s="776"/>
      <c r="C106" s="162" t="s">
        <v>13850</v>
      </c>
      <c r="D106" s="779">
        <v>0</v>
      </c>
      <c r="E106" s="779">
        <v>0</v>
      </c>
      <c r="F106" s="779">
        <v>0</v>
      </c>
      <c r="G106" s="779">
        <v>0</v>
      </c>
      <c r="H106" s="779">
        <v>0</v>
      </c>
      <c r="I106" s="779">
        <v>0</v>
      </c>
      <c r="J106" s="779">
        <v>0</v>
      </c>
      <c r="K106" s="779">
        <v>0</v>
      </c>
      <c r="L106" s="779">
        <v>0</v>
      </c>
      <c r="M106" s="779">
        <v>0</v>
      </c>
      <c r="N106" s="58">
        <v>5767</v>
      </c>
      <c r="O106" s="58">
        <v>5761</v>
      </c>
      <c r="Q106" s="776" t="s">
        <v>1599</v>
      </c>
    </row>
    <row r="107" spans="1:17" ht="15.75" thickBot="1">
      <c r="A107" s="776"/>
      <c r="B107" s="776"/>
      <c r="C107" s="162" t="s">
        <v>13850</v>
      </c>
      <c r="D107" s="787">
        <f>D105+D106</f>
        <v>0</v>
      </c>
      <c r="E107" s="787">
        <f t="shared" ref="E107:N107" si="101">E105+E106</f>
        <v>0</v>
      </c>
      <c r="F107" s="787">
        <f t="shared" si="101"/>
        <v>0</v>
      </c>
      <c r="G107" s="787">
        <f t="shared" si="101"/>
        <v>0</v>
      </c>
      <c r="H107" s="787">
        <f t="shared" si="101"/>
        <v>0</v>
      </c>
      <c r="I107" s="787">
        <f t="shared" si="101"/>
        <v>0</v>
      </c>
      <c r="J107" s="787">
        <f t="shared" si="101"/>
        <v>0</v>
      </c>
      <c r="K107" s="787">
        <f t="shared" si="101"/>
        <v>0</v>
      </c>
      <c r="L107" s="787">
        <f t="shared" si="101"/>
        <v>0</v>
      </c>
      <c r="M107" s="787">
        <f t="shared" si="101"/>
        <v>0</v>
      </c>
      <c r="N107" s="787">
        <f t="shared" si="101"/>
        <v>5809</v>
      </c>
      <c r="O107" s="787">
        <f>O105+O106</f>
        <v>5803</v>
      </c>
      <c r="Q107" s="776"/>
    </row>
    <row r="108" spans="1:17">
      <c r="A108" s="776" t="s">
        <v>5391</v>
      </c>
      <c r="B108" s="776" t="s">
        <v>13853</v>
      </c>
      <c r="C108" s="162" t="s">
        <v>13852</v>
      </c>
      <c r="D108" s="778">
        <v>0</v>
      </c>
      <c r="E108" s="778">
        <v>0</v>
      </c>
      <c r="F108" s="778">
        <v>0</v>
      </c>
      <c r="G108" s="778">
        <v>0</v>
      </c>
      <c r="H108" s="778">
        <v>0</v>
      </c>
      <c r="I108" s="778">
        <v>0</v>
      </c>
      <c r="J108" s="778">
        <v>0</v>
      </c>
      <c r="K108" s="778">
        <v>0</v>
      </c>
      <c r="L108" s="778">
        <v>0</v>
      </c>
      <c r="M108" s="778">
        <v>0</v>
      </c>
      <c r="N108" s="56">
        <v>5227</v>
      </c>
      <c r="O108" s="56">
        <v>5215</v>
      </c>
      <c r="Q108" s="776" t="s">
        <v>1596</v>
      </c>
    </row>
    <row r="109" spans="1:17" ht="15.75" thickBot="1">
      <c r="A109" s="776"/>
      <c r="B109" s="776"/>
      <c r="C109" s="162" t="s">
        <v>13852</v>
      </c>
      <c r="D109" s="779">
        <v>0</v>
      </c>
      <c r="E109" s="779">
        <v>0</v>
      </c>
      <c r="F109" s="779">
        <v>0</v>
      </c>
      <c r="G109" s="779">
        <v>0</v>
      </c>
      <c r="H109" s="779">
        <v>0</v>
      </c>
      <c r="I109" s="779">
        <v>0</v>
      </c>
      <c r="J109" s="779">
        <v>0</v>
      </c>
      <c r="K109" s="779">
        <v>0</v>
      </c>
      <c r="L109" s="779">
        <v>0</v>
      </c>
      <c r="M109" s="779">
        <v>0</v>
      </c>
      <c r="N109" s="58">
        <v>861</v>
      </c>
      <c r="O109" s="58">
        <v>851</v>
      </c>
      <c r="Q109" s="776" t="s">
        <v>1599</v>
      </c>
    </row>
    <row r="110" spans="1:17" ht="15.75" thickBot="1">
      <c r="A110" s="776"/>
      <c r="B110" s="776"/>
      <c r="C110" s="162" t="s">
        <v>13852</v>
      </c>
      <c r="D110" s="787">
        <f>D108+D109</f>
        <v>0</v>
      </c>
      <c r="E110" s="787">
        <f t="shared" ref="E110:N110" si="102">E108+E109</f>
        <v>0</v>
      </c>
      <c r="F110" s="787">
        <f t="shared" si="102"/>
        <v>0</v>
      </c>
      <c r="G110" s="787">
        <f t="shared" si="102"/>
        <v>0</v>
      </c>
      <c r="H110" s="787">
        <f t="shared" si="102"/>
        <v>0</v>
      </c>
      <c r="I110" s="787">
        <f t="shared" si="102"/>
        <v>0</v>
      </c>
      <c r="J110" s="787">
        <f t="shared" si="102"/>
        <v>0</v>
      </c>
      <c r="K110" s="787">
        <f t="shared" si="102"/>
        <v>0</v>
      </c>
      <c r="L110" s="787">
        <f t="shared" si="102"/>
        <v>0</v>
      </c>
      <c r="M110" s="787">
        <f t="shared" si="102"/>
        <v>0</v>
      </c>
      <c r="N110" s="787">
        <f t="shared" si="102"/>
        <v>6088</v>
      </c>
      <c r="O110" s="787">
        <f>O108+O109</f>
        <v>6066</v>
      </c>
      <c r="Q110" s="776"/>
    </row>
    <row r="111" spans="1:17">
      <c r="A111" s="776" t="s">
        <v>5393</v>
      </c>
      <c r="B111" s="776" t="s">
        <v>13855</v>
      </c>
      <c r="C111" s="162" t="s">
        <v>13854</v>
      </c>
      <c r="D111" s="778">
        <v>0</v>
      </c>
      <c r="E111" s="778">
        <v>0</v>
      </c>
      <c r="F111" s="778">
        <v>0</v>
      </c>
      <c r="G111" s="778">
        <v>0</v>
      </c>
      <c r="H111" s="778">
        <v>0</v>
      </c>
      <c r="I111" s="778">
        <v>0</v>
      </c>
      <c r="J111" s="778">
        <v>0</v>
      </c>
      <c r="K111" s="778">
        <v>0</v>
      </c>
      <c r="L111" s="778">
        <v>0</v>
      </c>
      <c r="M111" s="778">
        <v>0</v>
      </c>
      <c r="N111" s="56">
        <v>6017</v>
      </c>
      <c r="O111" s="56">
        <v>6015</v>
      </c>
      <c r="Q111" s="776" t="s">
        <v>1596</v>
      </c>
    </row>
    <row r="112" spans="1:17">
      <c r="A112" s="776" t="s">
        <v>5394</v>
      </c>
      <c r="B112" s="776" t="s">
        <v>13857</v>
      </c>
      <c r="C112" s="162" t="s">
        <v>13856</v>
      </c>
      <c r="D112" s="778">
        <v>27189</v>
      </c>
      <c r="E112" s="778">
        <v>27139</v>
      </c>
      <c r="F112" s="778">
        <v>27198</v>
      </c>
      <c r="G112" s="778">
        <v>27594</v>
      </c>
      <c r="H112" s="778">
        <v>27920</v>
      </c>
      <c r="I112" s="778">
        <v>27359</v>
      </c>
      <c r="J112" s="778">
        <v>26492</v>
      </c>
      <c r="K112" s="778">
        <v>26990</v>
      </c>
      <c r="L112" s="778">
        <v>27419</v>
      </c>
      <c r="M112" s="778">
        <v>26964</v>
      </c>
      <c r="N112" s="56">
        <v>2261</v>
      </c>
      <c r="O112" s="56">
        <v>2274</v>
      </c>
      <c r="Q112" s="776" t="s">
        <v>1599</v>
      </c>
    </row>
    <row r="113" spans="1:17">
      <c r="A113" s="776" t="s">
        <v>5416</v>
      </c>
      <c r="B113" s="776" t="s">
        <v>4139</v>
      </c>
      <c r="C113" s="162" t="s">
        <v>13858</v>
      </c>
      <c r="D113" s="778">
        <v>0</v>
      </c>
      <c r="E113" s="778">
        <v>0</v>
      </c>
      <c r="F113" s="778">
        <v>0</v>
      </c>
      <c r="G113" s="778">
        <v>0</v>
      </c>
      <c r="H113" s="778">
        <v>0</v>
      </c>
      <c r="I113" s="778">
        <v>0</v>
      </c>
      <c r="J113" s="778">
        <v>0</v>
      </c>
      <c r="K113" s="778">
        <v>0</v>
      </c>
      <c r="L113" s="778">
        <v>0</v>
      </c>
      <c r="M113" s="778">
        <v>0</v>
      </c>
      <c r="N113" s="56">
        <v>5642</v>
      </c>
      <c r="O113" s="56">
        <v>5647</v>
      </c>
      <c r="Q113" s="776" t="s">
        <v>1596</v>
      </c>
    </row>
    <row r="114" spans="1:17">
      <c r="A114" s="776" t="s">
        <v>5418</v>
      </c>
      <c r="B114" s="776" t="s">
        <v>13860</v>
      </c>
      <c r="C114" s="162" t="s">
        <v>13859</v>
      </c>
      <c r="D114" s="778">
        <v>0</v>
      </c>
      <c r="E114" s="778">
        <v>0</v>
      </c>
      <c r="F114" s="778">
        <v>0</v>
      </c>
      <c r="G114" s="778">
        <v>0</v>
      </c>
      <c r="H114" s="778">
        <v>0</v>
      </c>
      <c r="I114" s="778">
        <v>0</v>
      </c>
      <c r="J114" s="778">
        <v>0</v>
      </c>
      <c r="K114" s="778">
        <v>0</v>
      </c>
      <c r="L114" s="778">
        <v>0</v>
      </c>
      <c r="M114" s="778">
        <v>0</v>
      </c>
      <c r="N114" s="56">
        <v>8225</v>
      </c>
      <c r="O114" s="56">
        <v>8194</v>
      </c>
      <c r="Q114" s="776" t="s">
        <v>1599</v>
      </c>
    </row>
    <row r="115" spans="1:17">
      <c r="A115" s="776" t="s">
        <v>5420</v>
      </c>
      <c r="B115" s="776" t="s">
        <v>13862</v>
      </c>
      <c r="C115" s="162" t="s">
        <v>13861</v>
      </c>
      <c r="D115" s="778">
        <v>0</v>
      </c>
      <c r="E115" s="778">
        <v>0</v>
      </c>
      <c r="F115" s="778">
        <v>0</v>
      </c>
      <c r="G115" s="778">
        <v>0</v>
      </c>
      <c r="H115" s="778">
        <v>0</v>
      </c>
      <c r="I115" s="778">
        <v>0</v>
      </c>
      <c r="J115" s="778">
        <v>0</v>
      </c>
      <c r="K115" s="778">
        <v>0</v>
      </c>
      <c r="L115" s="778">
        <v>0</v>
      </c>
      <c r="M115" s="778">
        <v>0</v>
      </c>
      <c r="N115" s="56">
        <v>5725</v>
      </c>
      <c r="O115" s="56">
        <v>5722</v>
      </c>
      <c r="Q115" s="776" t="s">
        <v>1596</v>
      </c>
    </row>
    <row r="116" spans="1:17" ht="15.75" thickBot="1">
      <c r="A116" s="776"/>
      <c r="B116" s="776"/>
      <c r="C116" s="162" t="s">
        <v>13861</v>
      </c>
      <c r="D116" s="779">
        <v>0</v>
      </c>
      <c r="E116" s="779">
        <v>0</v>
      </c>
      <c r="F116" s="779">
        <v>0</v>
      </c>
      <c r="G116" s="779">
        <v>0</v>
      </c>
      <c r="H116" s="779">
        <v>0</v>
      </c>
      <c r="I116" s="779">
        <v>0</v>
      </c>
      <c r="J116" s="779">
        <v>0</v>
      </c>
      <c r="K116" s="779">
        <v>0</v>
      </c>
      <c r="L116" s="779">
        <v>0</v>
      </c>
      <c r="M116" s="779">
        <v>0</v>
      </c>
      <c r="N116" s="58">
        <v>236</v>
      </c>
      <c r="O116" s="58">
        <v>237</v>
      </c>
      <c r="Q116" s="776" t="s">
        <v>1599</v>
      </c>
    </row>
    <row r="117" spans="1:17" ht="15.75" thickBot="1">
      <c r="A117" s="776"/>
      <c r="B117" s="776"/>
      <c r="C117" s="162" t="s">
        <v>13861</v>
      </c>
      <c r="D117" s="787">
        <f>D115+D116</f>
        <v>0</v>
      </c>
      <c r="E117" s="787">
        <f t="shared" ref="E117:N117" si="103">E115+E116</f>
        <v>0</v>
      </c>
      <c r="F117" s="787">
        <f t="shared" si="103"/>
        <v>0</v>
      </c>
      <c r="G117" s="787">
        <f t="shared" si="103"/>
        <v>0</v>
      </c>
      <c r="H117" s="787">
        <f t="shared" si="103"/>
        <v>0</v>
      </c>
      <c r="I117" s="787">
        <f t="shared" si="103"/>
        <v>0</v>
      </c>
      <c r="J117" s="787">
        <f t="shared" si="103"/>
        <v>0</v>
      </c>
      <c r="K117" s="787">
        <f t="shared" si="103"/>
        <v>0</v>
      </c>
      <c r="L117" s="787">
        <f t="shared" si="103"/>
        <v>0</v>
      </c>
      <c r="M117" s="787">
        <f t="shared" si="103"/>
        <v>0</v>
      </c>
      <c r="N117" s="787">
        <f t="shared" si="103"/>
        <v>5961</v>
      </c>
      <c r="O117" s="787">
        <f>O115+O116</f>
        <v>5959</v>
      </c>
      <c r="Q117" s="776"/>
    </row>
    <row r="118" spans="1:17">
      <c r="A118" s="776" t="s">
        <v>5422</v>
      </c>
      <c r="B118" s="776" t="s">
        <v>13864</v>
      </c>
      <c r="C118" s="162" t="s">
        <v>13863</v>
      </c>
      <c r="D118" s="778">
        <v>0</v>
      </c>
      <c r="E118" s="778">
        <v>0</v>
      </c>
      <c r="F118" s="778">
        <v>0</v>
      </c>
      <c r="G118" s="778">
        <v>0</v>
      </c>
      <c r="H118" s="778">
        <v>0</v>
      </c>
      <c r="I118" s="778">
        <v>0</v>
      </c>
      <c r="J118" s="778">
        <v>0</v>
      </c>
      <c r="K118" s="778">
        <v>0</v>
      </c>
      <c r="L118" s="778">
        <v>0</v>
      </c>
      <c r="M118" s="778">
        <v>0</v>
      </c>
      <c r="N118" s="56">
        <v>87</v>
      </c>
      <c r="O118" s="56">
        <v>87</v>
      </c>
      <c r="Q118" s="776" t="s">
        <v>1596</v>
      </c>
    </row>
    <row r="119" spans="1:17" ht="15.75" thickBot="1">
      <c r="A119" s="776"/>
      <c r="B119" s="776"/>
      <c r="C119" s="162" t="s">
        <v>13863</v>
      </c>
      <c r="D119" s="779">
        <v>0</v>
      </c>
      <c r="E119" s="779">
        <v>0</v>
      </c>
      <c r="F119" s="779">
        <v>0</v>
      </c>
      <c r="G119" s="779">
        <v>0</v>
      </c>
      <c r="H119" s="779">
        <v>0</v>
      </c>
      <c r="I119" s="779">
        <v>0</v>
      </c>
      <c r="J119" s="779">
        <v>0</v>
      </c>
      <c r="K119" s="779">
        <v>0</v>
      </c>
      <c r="L119" s="779">
        <v>0</v>
      </c>
      <c r="M119" s="779">
        <v>0</v>
      </c>
      <c r="N119" s="58">
        <v>5326</v>
      </c>
      <c r="O119" s="58">
        <v>5347</v>
      </c>
      <c r="Q119" s="776" t="s">
        <v>1599</v>
      </c>
    </row>
    <row r="120" spans="1:17" ht="15.75" thickBot="1">
      <c r="A120" s="776"/>
      <c r="B120" s="776"/>
      <c r="C120" s="162" t="s">
        <v>13863</v>
      </c>
      <c r="D120" s="787">
        <f>D118+D119</f>
        <v>0</v>
      </c>
      <c r="E120" s="787">
        <f t="shared" ref="E120:N120" si="104">E118+E119</f>
        <v>0</v>
      </c>
      <c r="F120" s="787">
        <f t="shared" si="104"/>
        <v>0</v>
      </c>
      <c r="G120" s="787">
        <f t="shared" si="104"/>
        <v>0</v>
      </c>
      <c r="H120" s="787">
        <f t="shared" si="104"/>
        <v>0</v>
      </c>
      <c r="I120" s="787">
        <f t="shared" si="104"/>
        <v>0</v>
      </c>
      <c r="J120" s="787">
        <f t="shared" si="104"/>
        <v>0</v>
      </c>
      <c r="K120" s="787">
        <f t="shared" si="104"/>
        <v>0</v>
      </c>
      <c r="L120" s="787">
        <f t="shared" si="104"/>
        <v>0</v>
      </c>
      <c r="M120" s="787">
        <f t="shared" si="104"/>
        <v>0</v>
      </c>
      <c r="N120" s="787">
        <f t="shared" si="104"/>
        <v>5413</v>
      </c>
      <c r="O120" s="787">
        <f>O118+O119</f>
        <v>5434</v>
      </c>
      <c r="Q120" s="776"/>
    </row>
    <row r="121" spans="1:17">
      <c r="A121" s="776" t="s">
        <v>5424</v>
      </c>
      <c r="B121" s="776" t="s">
        <v>3783</v>
      </c>
      <c r="C121" s="162" t="s">
        <v>13865</v>
      </c>
      <c r="D121" s="778">
        <v>0</v>
      </c>
      <c r="E121" s="778">
        <v>0</v>
      </c>
      <c r="F121" s="778">
        <v>0</v>
      </c>
      <c r="G121" s="778">
        <v>0</v>
      </c>
      <c r="H121" s="778">
        <v>0</v>
      </c>
      <c r="I121" s="778">
        <v>0</v>
      </c>
      <c r="J121" s="778">
        <v>0</v>
      </c>
      <c r="K121" s="778">
        <v>0</v>
      </c>
      <c r="L121" s="778">
        <v>0</v>
      </c>
      <c r="M121" s="778">
        <v>0</v>
      </c>
      <c r="N121" s="56">
        <v>8252</v>
      </c>
      <c r="O121" s="56">
        <v>8256</v>
      </c>
      <c r="Q121" s="776" t="s">
        <v>1596</v>
      </c>
    </row>
    <row r="122" spans="1:17">
      <c r="A122" s="776" t="s">
        <v>5426</v>
      </c>
      <c r="B122" s="776" t="s">
        <v>13867</v>
      </c>
      <c r="C122" s="162" t="s">
        <v>13866</v>
      </c>
      <c r="D122" s="778">
        <v>0</v>
      </c>
      <c r="E122" s="778">
        <v>0</v>
      </c>
      <c r="F122" s="778">
        <v>0</v>
      </c>
      <c r="G122" s="778">
        <v>0</v>
      </c>
      <c r="H122" s="778">
        <v>0</v>
      </c>
      <c r="I122" s="778">
        <v>0</v>
      </c>
      <c r="J122" s="778">
        <v>0</v>
      </c>
      <c r="K122" s="778">
        <v>0</v>
      </c>
      <c r="L122" s="778">
        <v>0</v>
      </c>
      <c r="M122" s="778">
        <v>0</v>
      </c>
      <c r="N122" s="56">
        <v>6166</v>
      </c>
      <c r="O122" s="56">
        <v>6153</v>
      </c>
      <c r="Q122" s="776" t="s">
        <v>1596</v>
      </c>
    </row>
    <row r="123" spans="1:17">
      <c r="A123" s="789">
        <v>12</v>
      </c>
      <c r="B123" s="776" t="s">
        <v>2710</v>
      </c>
      <c r="C123" s="162" t="s">
        <v>13868</v>
      </c>
      <c r="D123" s="778">
        <v>0</v>
      </c>
      <c r="E123" s="778">
        <v>0</v>
      </c>
      <c r="F123" s="778">
        <v>0</v>
      </c>
      <c r="G123" s="778">
        <v>0</v>
      </c>
      <c r="H123" s="778">
        <v>0</v>
      </c>
      <c r="I123" s="778">
        <v>0</v>
      </c>
      <c r="J123" s="778">
        <v>0</v>
      </c>
      <c r="K123" s="778">
        <v>0</v>
      </c>
      <c r="L123" s="778">
        <v>0</v>
      </c>
      <c r="M123" s="778">
        <v>0</v>
      </c>
      <c r="N123" s="56">
        <v>9093</v>
      </c>
      <c r="O123" s="56">
        <v>9091</v>
      </c>
      <c r="Q123" s="776" t="s">
        <v>1596</v>
      </c>
    </row>
    <row r="124" spans="1:17">
      <c r="A124" s="789">
        <v>13</v>
      </c>
      <c r="B124" s="776" t="s">
        <v>13870</v>
      </c>
      <c r="C124" s="162" t="s">
        <v>13869</v>
      </c>
      <c r="D124" s="778">
        <v>0</v>
      </c>
      <c r="E124" s="778">
        <v>0</v>
      </c>
      <c r="F124" s="778">
        <v>0</v>
      </c>
      <c r="G124" s="778">
        <v>0</v>
      </c>
      <c r="H124" s="778">
        <v>0</v>
      </c>
      <c r="I124" s="778">
        <v>0</v>
      </c>
      <c r="J124" s="778">
        <v>0</v>
      </c>
      <c r="K124" s="778">
        <v>0</v>
      </c>
      <c r="L124" s="778">
        <v>0</v>
      </c>
      <c r="M124" s="778">
        <v>0</v>
      </c>
      <c r="N124" s="56">
        <v>5481</v>
      </c>
      <c r="O124" s="56">
        <v>5426</v>
      </c>
      <c r="Q124" s="776" t="s">
        <v>1599</v>
      </c>
    </row>
    <row r="125" spans="1:17">
      <c r="A125" s="789">
        <v>14</v>
      </c>
      <c r="B125" s="776" t="s">
        <v>13872</v>
      </c>
      <c r="C125" s="162" t="s">
        <v>13871</v>
      </c>
      <c r="D125" s="778">
        <v>0</v>
      </c>
      <c r="E125" s="778">
        <v>0</v>
      </c>
      <c r="F125" s="778">
        <v>0</v>
      </c>
      <c r="G125" s="778">
        <v>0</v>
      </c>
      <c r="H125" s="778">
        <v>0</v>
      </c>
      <c r="I125" s="778">
        <v>0</v>
      </c>
      <c r="J125" s="778">
        <v>0</v>
      </c>
      <c r="K125" s="778">
        <v>0</v>
      </c>
      <c r="L125" s="778">
        <v>0</v>
      </c>
      <c r="M125" s="778">
        <v>0</v>
      </c>
      <c r="N125" s="56">
        <v>6093</v>
      </c>
      <c r="O125" s="56">
        <v>6092</v>
      </c>
      <c r="Q125" s="776" t="s">
        <v>1596</v>
      </c>
    </row>
    <row r="126" spans="1:17">
      <c r="A126" s="789">
        <v>15</v>
      </c>
      <c r="B126" s="776" t="s">
        <v>2711</v>
      </c>
      <c r="C126" s="162" t="s">
        <v>13873</v>
      </c>
      <c r="D126" s="778">
        <v>0</v>
      </c>
      <c r="E126" s="778">
        <v>0</v>
      </c>
      <c r="F126" s="778">
        <v>0</v>
      </c>
      <c r="G126" s="778">
        <v>0</v>
      </c>
      <c r="H126" s="778">
        <v>0</v>
      </c>
      <c r="I126" s="778">
        <v>0</v>
      </c>
      <c r="J126" s="778">
        <v>0</v>
      </c>
      <c r="K126" s="778">
        <v>0</v>
      </c>
      <c r="L126" s="778">
        <v>0</v>
      </c>
      <c r="M126" s="778">
        <v>0</v>
      </c>
      <c r="N126" s="56">
        <v>8359</v>
      </c>
      <c r="O126" s="56">
        <v>8240</v>
      </c>
      <c r="Q126" s="776" t="s">
        <v>1596</v>
      </c>
    </row>
    <row r="127" spans="1:17">
      <c r="A127" s="789">
        <v>16</v>
      </c>
      <c r="B127" s="776" t="s">
        <v>1359</v>
      </c>
      <c r="C127" s="162" t="s">
        <v>13874</v>
      </c>
      <c r="D127" s="778">
        <v>0</v>
      </c>
      <c r="E127" s="778">
        <v>0</v>
      </c>
      <c r="F127" s="778">
        <v>0</v>
      </c>
      <c r="G127" s="778">
        <v>0</v>
      </c>
      <c r="H127" s="778">
        <v>0</v>
      </c>
      <c r="I127" s="778">
        <v>0</v>
      </c>
      <c r="J127" s="778">
        <v>0</v>
      </c>
      <c r="K127" s="778">
        <v>0</v>
      </c>
      <c r="L127" s="778">
        <v>0</v>
      </c>
      <c r="M127" s="778">
        <v>0</v>
      </c>
      <c r="N127" s="56">
        <v>5744</v>
      </c>
      <c r="O127" s="56">
        <v>5726</v>
      </c>
      <c r="Q127" s="776" t="s">
        <v>1596</v>
      </c>
    </row>
    <row r="128" spans="1:17">
      <c r="D128" s="784"/>
      <c r="E128" s="784"/>
      <c r="F128" s="784"/>
      <c r="G128" s="784"/>
      <c r="H128" s="784"/>
      <c r="I128" s="784"/>
      <c r="J128" s="784"/>
      <c r="K128" s="784"/>
      <c r="L128" s="784"/>
      <c r="M128" s="784"/>
      <c r="N128" s="784"/>
      <c r="O128" s="784"/>
    </row>
    <row r="129" spans="1:17">
      <c r="A129" s="776" t="s">
        <v>1596</v>
      </c>
      <c r="D129" s="778">
        <f t="shared" ref="D129:M129" si="105">SUM(D104:D105,D108,D111,D113,D115,D118,D121:D123,D125:D127)</f>
        <v>76253</v>
      </c>
      <c r="E129" s="778">
        <f t="shared" si="105"/>
        <v>76219</v>
      </c>
      <c r="F129" s="778">
        <f t="shared" si="105"/>
        <v>76793</v>
      </c>
      <c r="G129" s="778">
        <f t="shared" si="105"/>
        <v>77769</v>
      </c>
      <c r="H129" s="778">
        <f t="shared" si="105"/>
        <v>78410</v>
      </c>
      <c r="I129" s="778">
        <f t="shared" si="105"/>
        <v>75754</v>
      </c>
      <c r="J129" s="778">
        <f t="shared" si="105"/>
        <v>71459</v>
      </c>
      <c r="K129" s="778">
        <f t="shared" si="105"/>
        <v>73277</v>
      </c>
      <c r="L129" s="778">
        <f t="shared" si="105"/>
        <v>74377</v>
      </c>
      <c r="M129" s="778">
        <f t="shared" si="105"/>
        <v>71954</v>
      </c>
      <c r="N129" s="778">
        <f>SUM(N104:N105,N108,N111,N113,N115,N118,N121:N123,N125:N127)</f>
        <v>74942</v>
      </c>
      <c r="O129" s="778">
        <f>SUM(O104:O105,O108,O111,O113,O115,O118,O121:O123,O125:O127)</f>
        <v>74783</v>
      </c>
    </row>
    <row r="130" spans="1:17">
      <c r="A130" s="776" t="s">
        <v>1360</v>
      </c>
      <c r="D130" s="778">
        <f t="shared" ref="D130:M130" si="106">SUM(D106,D109,D112,D114,D116,D119,D124)</f>
        <v>27189</v>
      </c>
      <c r="E130" s="778">
        <f t="shared" si="106"/>
        <v>27139</v>
      </c>
      <c r="F130" s="778">
        <f t="shared" si="106"/>
        <v>27198</v>
      </c>
      <c r="G130" s="778">
        <f t="shared" si="106"/>
        <v>27594</v>
      </c>
      <c r="H130" s="778">
        <f t="shared" si="106"/>
        <v>27920</v>
      </c>
      <c r="I130" s="778">
        <f t="shared" si="106"/>
        <v>27359</v>
      </c>
      <c r="J130" s="778">
        <f t="shared" si="106"/>
        <v>26492</v>
      </c>
      <c r="K130" s="778">
        <f t="shared" si="106"/>
        <v>26990</v>
      </c>
      <c r="L130" s="778">
        <f t="shared" si="106"/>
        <v>27419</v>
      </c>
      <c r="M130" s="778">
        <f t="shared" si="106"/>
        <v>26964</v>
      </c>
      <c r="N130" s="778">
        <f>SUM(N106,N109,N112,N114,N116,N119,N124)</f>
        <v>28157</v>
      </c>
      <c r="O130" s="778">
        <f>SUM(O106,O109,O112,O114,O116,O119,O124)</f>
        <v>28090</v>
      </c>
    </row>
    <row r="131" spans="1:17">
      <c r="A131" s="776"/>
      <c r="B131" s="776"/>
      <c r="D131" s="782"/>
      <c r="E131" s="782"/>
      <c r="F131" s="782"/>
      <c r="G131" s="782"/>
      <c r="H131" s="782"/>
      <c r="I131" s="782"/>
      <c r="J131" s="782"/>
      <c r="K131" s="782"/>
      <c r="L131" s="782"/>
      <c r="M131" s="782"/>
      <c r="N131" s="782"/>
      <c r="O131" s="782"/>
    </row>
    <row r="132" spans="1:17">
      <c r="A132" s="776" t="s">
        <v>13875</v>
      </c>
      <c r="B132" s="776"/>
      <c r="D132" s="782"/>
      <c r="E132" s="782"/>
      <c r="F132" s="782"/>
      <c r="G132" s="782"/>
      <c r="H132" s="782"/>
      <c r="I132" s="782"/>
      <c r="J132" s="782"/>
      <c r="K132" s="782"/>
      <c r="L132" s="782"/>
      <c r="M132" s="782"/>
      <c r="N132" s="782"/>
      <c r="O132" s="782"/>
    </row>
    <row r="133" spans="1:17">
      <c r="A133" s="776"/>
      <c r="B133" s="776"/>
      <c r="D133" s="782"/>
      <c r="E133" s="782"/>
      <c r="F133" s="782"/>
      <c r="G133" s="782"/>
      <c r="H133" s="782"/>
      <c r="I133" s="782"/>
      <c r="J133" s="782"/>
      <c r="K133" s="782"/>
      <c r="L133" s="782"/>
      <c r="M133" s="782"/>
      <c r="N133" s="782"/>
      <c r="O133" s="782"/>
    </row>
    <row r="134" spans="1:17">
      <c r="A134" s="776"/>
      <c r="B134" s="776"/>
      <c r="D134" s="782"/>
      <c r="E134" s="782"/>
      <c r="F134" s="782"/>
      <c r="G134" s="782"/>
      <c r="H134" s="782"/>
      <c r="I134" s="782"/>
      <c r="J134" s="782"/>
      <c r="K134" s="782"/>
      <c r="L134" s="782"/>
      <c r="M134" s="782"/>
      <c r="N134" s="782"/>
      <c r="O134" s="782"/>
    </row>
    <row r="135" spans="1:17">
      <c r="E135" s="51" t="s">
        <v>1526</v>
      </c>
      <c r="F135" s="51"/>
      <c r="G135" s="51"/>
      <c r="H135" s="51"/>
      <c r="I135" s="51"/>
      <c r="J135" s="51"/>
      <c r="K135" s="51"/>
      <c r="L135" s="51"/>
      <c r="M135" s="51"/>
      <c r="N135" s="51"/>
      <c r="O135" s="51"/>
      <c r="P135" s="11"/>
      <c r="Q135" s="11" t="s">
        <v>9479</v>
      </c>
    </row>
    <row r="136" spans="1:17">
      <c r="D136" s="350">
        <v>2010</v>
      </c>
      <c r="E136" s="350">
        <v>2011</v>
      </c>
      <c r="F136" s="350">
        <v>2012</v>
      </c>
      <c r="G136" s="350">
        <v>2013</v>
      </c>
      <c r="H136" s="350">
        <v>2014</v>
      </c>
      <c r="I136" s="350">
        <v>2015</v>
      </c>
      <c r="J136" s="350">
        <v>2016</v>
      </c>
      <c r="K136" s="350">
        <v>2017</v>
      </c>
      <c r="L136" s="350">
        <v>2018</v>
      </c>
      <c r="M136" s="350">
        <v>2019</v>
      </c>
      <c r="N136" s="350">
        <v>2020</v>
      </c>
      <c r="O136" s="981" t="s">
        <v>14823</v>
      </c>
      <c r="Q136" s="13" t="s">
        <v>1527</v>
      </c>
    </row>
    <row r="137" spans="1:17">
      <c r="A137" s="776" t="s">
        <v>1361</v>
      </c>
      <c r="D137" s="778">
        <f t="shared" ref="D137:M137" si="107">SUM(D138:D147,D149:D165,D167:D171)</f>
        <v>104424</v>
      </c>
      <c r="E137" s="778">
        <f t="shared" si="107"/>
        <v>103381</v>
      </c>
      <c r="F137" s="778">
        <f t="shared" si="107"/>
        <v>103382</v>
      </c>
      <c r="G137" s="778">
        <f t="shared" si="107"/>
        <v>103526</v>
      </c>
      <c r="H137" s="778">
        <f t="shared" si="107"/>
        <v>96974</v>
      </c>
      <c r="I137" s="778">
        <f t="shared" si="107"/>
        <v>102056</v>
      </c>
      <c r="J137" s="778">
        <f t="shared" si="107"/>
        <v>107456</v>
      </c>
      <c r="K137" s="778">
        <f t="shared" si="107"/>
        <v>112596</v>
      </c>
      <c r="L137" s="778">
        <f t="shared" si="107"/>
        <v>114428</v>
      </c>
      <c r="M137" s="778">
        <f t="shared" si="107"/>
        <v>117120</v>
      </c>
      <c r="N137" s="778">
        <f>SUM(N138:N147,N149:N165,N167:N171)</f>
        <v>118919</v>
      </c>
      <c r="O137" s="778">
        <f>SUM(O138:O147,O149:O165,O167:O171)</f>
        <v>119865</v>
      </c>
    </row>
    <row r="138" spans="1:17">
      <c r="A138" s="776" t="s">
        <v>5387</v>
      </c>
      <c r="B138" s="776" t="s">
        <v>14067</v>
      </c>
      <c r="C138" s="55" t="s">
        <v>14071</v>
      </c>
      <c r="D138" s="778">
        <v>39019</v>
      </c>
      <c r="E138" s="778">
        <v>38510</v>
      </c>
      <c r="F138" s="778">
        <v>38336</v>
      </c>
      <c r="G138" s="778">
        <v>38460</v>
      </c>
      <c r="H138" s="778">
        <v>35889</v>
      </c>
      <c r="I138" s="778">
        <v>37543</v>
      </c>
      <c r="J138" s="778">
        <v>39290</v>
      </c>
      <c r="K138" s="778">
        <v>41021</v>
      </c>
      <c r="L138" s="778">
        <v>41505</v>
      </c>
      <c r="M138" s="778">
        <v>42222</v>
      </c>
      <c r="N138" s="58">
        <v>6148</v>
      </c>
      <c r="O138" s="58">
        <v>6259</v>
      </c>
      <c r="Q138" s="776" t="s">
        <v>1595</v>
      </c>
    </row>
    <row r="139" spans="1:17">
      <c r="A139" s="776" t="s">
        <v>5389</v>
      </c>
      <c r="B139" s="776" t="s">
        <v>14068</v>
      </c>
      <c r="C139" s="55" t="s">
        <v>14072</v>
      </c>
      <c r="D139" s="778">
        <v>0</v>
      </c>
      <c r="E139" s="778">
        <v>0</v>
      </c>
      <c r="F139" s="778">
        <v>0</v>
      </c>
      <c r="G139" s="778">
        <v>0</v>
      </c>
      <c r="H139" s="778">
        <v>0</v>
      </c>
      <c r="I139" s="778">
        <v>0</v>
      </c>
      <c r="J139" s="778">
        <v>0</v>
      </c>
      <c r="K139" s="778">
        <v>0</v>
      </c>
      <c r="L139" s="778">
        <v>0</v>
      </c>
      <c r="M139" s="778">
        <v>0</v>
      </c>
      <c r="N139" s="58">
        <v>2206</v>
      </c>
      <c r="O139" s="58">
        <v>2185</v>
      </c>
      <c r="Q139" s="776" t="s">
        <v>1595</v>
      </c>
    </row>
    <row r="140" spans="1:17">
      <c r="A140" s="776" t="s">
        <v>5391</v>
      </c>
      <c r="B140" s="776" t="s">
        <v>1362</v>
      </c>
      <c r="C140" s="55" t="s">
        <v>14073</v>
      </c>
      <c r="D140" s="778">
        <v>63780</v>
      </c>
      <c r="E140" s="778">
        <v>63278</v>
      </c>
      <c r="F140" s="778">
        <v>63454</v>
      </c>
      <c r="G140" s="778">
        <v>63470</v>
      </c>
      <c r="H140" s="778">
        <v>59641</v>
      </c>
      <c r="I140" s="778">
        <v>63001</v>
      </c>
      <c r="J140" s="778">
        <v>66579</v>
      </c>
      <c r="K140" s="778">
        <v>69914</v>
      </c>
      <c r="L140" s="778">
        <v>71261</v>
      </c>
      <c r="M140" s="778">
        <v>73195</v>
      </c>
      <c r="N140" s="58">
        <v>4576</v>
      </c>
      <c r="O140" s="58">
        <v>4723</v>
      </c>
      <c r="Q140" s="776" t="s">
        <v>1577</v>
      </c>
    </row>
    <row r="141" spans="1:17">
      <c r="A141" s="776" t="s">
        <v>5393</v>
      </c>
      <c r="B141" s="776" t="s">
        <v>14061</v>
      </c>
      <c r="C141" s="55" t="s">
        <v>14074</v>
      </c>
      <c r="D141" s="778">
        <v>0</v>
      </c>
      <c r="E141" s="778">
        <v>0</v>
      </c>
      <c r="F141" s="778">
        <v>0</v>
      </c>
      <c r="G141" s="778">
        <v>0</v>
      </c>
      <c r="H141" s="778">
        <v>0</v>
      </c>
      <c r="I141" s="778">
        <v>0</v>
      </c>
      <c r="J141" s="778">
        <v>0</v>
      </c>
      <c r="K141" s="778">
        <v>0</v>
      </c>
      <c r="L141" s="778">
        <v>0</v>
      </c>
      <c r="M141" s="778">
        <v>0</v>
      </c>
      <c r="N141" s="56">
        <v>6666</v>
      </c>
      <c r="O141" s="56">
        <v>6694</v>
      </c>
      <c r="Q141" s="776" t="s">
        <v>1577</v>
      </c>
    </row>
    <row r="142" spans="1:17">
      <c r="A142" s="776" t="s">
        <v>5394</v>
      </c>
      <c r="B142" s="776" t="s">
        <v>1363</v>
      </c>
      <c r="C142" s="55" t="s">
        <v>14075</v>
      </c>
      <c r="D142" s="778">
        <v>0</v>
      </c>
      <c r="E142" s="778">
        <v>0</v>
      </c>
      <c r="F142" s="778">
        <v>0</v>
      </c>
      <c r="G142" s="778">
        <v>0</v>
      </c>
      <c r="H142" s="778">
        <v>0</v>
      </c>
      <c r="I142" s="778">
        <v>0</v>
      </c>
      <c r="J142" s="778">
        <v>0</v>
      </c>
      <c r="K142" s="778">
        <v>0</v>
      </c>
      <c r="L142" s="778">
        <v>0</v>
      </c>
      <c r="M142" s="778">
        <v>0</v>
      </c>
      <c r="N142" s="56">
        <v>1896</v>
      </c>
      <c r="O142" s="56">
        <v>1927</v>
      </c>
      <c r="Q142" s="776" t="s">
        <v>1577</v>
      </c>
    </row>
    <row r="143" spans="1:17">
      <c r="A143" s="776" t="s">
        <v>5416</v>
      </c>
      <c r="B143" s="776" t="s">
        <v>1364</v>
      </c>
      <c r="C143" s="55" t="s">
        <v>14076</v>
      </c>
      <c r="D143" s="778">
        <v>0</v>
      </c>
      <c r="E143" s="778">
        <v>0</v>
      </c>
      <c r="F143" s="778">
        <v>0</v>
      </c>
      <c r="G143" s="778">
        <v>0</v>
      </c>
      <c r="H143" s="778">
        <v>0</v>
      </c>
      <c r="I143" s="778">
        <v>0</v>
      </c>
      <c r="J143" s="778">
        <v>0</v>
      </c>
      <c r="K143" s="778">
        <v>0</v>
      </c>
      <c r="L143" s="778">
        <v>0</v>
      </c>
      <c r="M143" s="778">
        <v>0</v>
      </c>
      <c r="N143" s="56">
        <v>3977</v>
      </c>
      <c r="O143" s="56">
        <v>4017</v>
      </c>
      <c r="Q143" s="776" t="s">
        <v>1595</v>
      </c>
    </row>
    <row r="144" spans="1:17">
      <c r="A144" s="776" t="s">
        <v>5418</v>
      </c>
      <c r="B144" s="776" t="s">
        <v>6549</v>
      </c>
      <c r="C144" s="55" t="s">
        <v>14077</v>
      </c>
      <c r="D144" s="778">
        <v>0</v>
      </c>
      <c r="E144" s="778">
        <v>0</v>
      </c>
      <c r="F144" s="778">
        <v>0</v>
      </c>
      <c r="G144" s="778">
        <v>0</v>
      </c>
      <c r="H144" s="778">
        <v>0</v>
      </c>
      <c r="I144" s="778">
        <v>0</v>
      </c>
      <c r="J144" s="778">
        <v>0</v>
      </c>
      <c r="K144" s="778">
        <v>0</v>
      </c>
      <c r="L144" s="778">
        <v>0</v>
      </c>
      <c r="M144" s="778">
        <v>0</v>
      </c>
      <c r="N144" s="58">
        <v>3360</v>
      </c>
      <c r="O144" s="58">
        <v>3512</v>
      </c>
      <c r="Q144" s="776" t="s">
        <v>1577</v>
      </c>
    </row>
    <row r="145" spans="1:17">
      <c r="A145" s="776" t="s">
        <v>5420</v>
      </c>
      <c r="B145" s="776" t="s">
        <v>14069</v>
      </c>
      <c r="C145" s="55" t="s">
        <v>14078</v>
      </c>
      <c r="D145" s="778">
        <v>0</v>
      </c>
      <c r="E145" s="778">
        <v>0</v>
      </c>
      <c r="F145" s="778">
        <v>0</v>
      </c>
      <c r="G145" s="778">
        <v>0</v>
      </c>
      <c r="H145" s="778">
        <v>0</v>
      </c>
      <c r="I145" s="778">
        <v>0</v>
      </c>
      <c r="J145" s="778">
        <v>0</v>
      </c>
      <c r="K145" s="778">
        <v>0</v>
      </c>
      <c r="L145" s="778">
        <v>0</v>
      </c>
      <c r="M145" s="778">
        <v>0</v>
      </c>
      <c r="N145" s="58">
        <v>4626</v>
      </c>
      <c r="O145" s="58">
        <v>4651</v>
      </c>
      <c r="Q145" s="776" t="s">
        <v>1595</v>
      </c>
    </row>
    <row r="146" spans="1:17">
      <c r="A146" s="776" t="s">
        <v>5422</v>
      </c>
      <c r="B146" s="776" t="s">
        <v>1365</v>
      </c>
      <c r="C146" s="55" t="s">
        <v>14079</v>
      </c>
      <c r="D146" s="778">
        <v>1625</v>
      </c>
      <c r="E146" s="778">
        <v>1593</v>
      </c>
      <c r="F146" s="778">
        <v>1592</v>
      </c>
      <c r="G146" s="778">
        <v>1596</v>
      </c>
      <c r="H146" s="778">
        <v>1444</v>
      </c>
      <c r="I146" s="778">
        <v>1512</v>
      </c>
      <c r="J146" s="778">
        <v>1587</v>
      </c>
      <c r="K146" s="778">
        <v>1661</v>
      </c>
      <c r="L146" s="778">
        <v>1662</v>
      </c>
      <c r="M146" s="778">
        <v>1703</v>
      </c>
      <c r="N146" s="56">
        <v>1706</v>
      </c>
      <c r="O146" s="56">
        <v>1722</v>
      </c>
      <c r="Q146" s="776" t="s">
        <v>1572</v>
      </c>
    </row>
    <row r="147" spans="1:17" ht="15.75" thickBot="1">
      <c r="B147" s="776"/>
      <c r="C147" s="55" t="s">
        <v>14079</v>
      </c>
      <c r="D147" s="778">
        <v>0</v>
      </c>
      <c r="E147" s="778">
        <v>0</v>
      </c>
      <c r="F147" s="778">
        <v>0</v>
      </c>
      <c r="G147" s="778">
        <v>0</v>
      </c>
      <c r="H147" s="778">
        <v>0</v>
      </c>
      <c r="I147" s="778">
        <v>0</v>
      </c>
      <c r="J147" s="778">
        <v>0</v>
      </c>
      <c r="K147" s="778">
        <v>0</v>
      </c>
      <c r="L147" s="778">
        <v>0</v>
      </c>
      <c r="M147" s="778">
        <v>0</v>
      </c>
      <c r="N147" s="56">
        <v>256</v>
      </c>
      <c r="O147" s="56">
        <v>252</v>
      </c>
      <c r="Q147" s="776" t="s">
        <v>1577</v>
      </c>
    </row>
    <row r="148" spans="1:17" ht="15.75" thickBot="1">
      <c r="B148" s="776"/>
      <c r="C148" s="55" t="s">
        <v>14079</v>
      </c>
      <c r="D148" s="787">
        <f>SUM(D146:D147)</f>
        <v>1625</v>
      </c>
      <c r="E148" s="787">
        <f t="shared" ref="E148:N148" si="108">SUM(E146:E147)</f>
        <v>1593</v>
      </c>
      <c r="F148" s="787">
        <f t="shared" si="108"/>
        <v>1592</v>
      </c>
      <c r="G148" s="787">
        <f t="shared" si="108"/>
        <v>1596</v>
      </c>
      <c r="H148" s="787">
        <f t="shared" si="108"/>
        <v>1444</v>
      </c>
      <c r="I148" s="787">
        <f t="shared" si="108"/>
        <v>1512</v>
      </c>
      <c r="J148" s="787">
        <f t="shared" si="108"/>
        <v>1587</v>
      </c>
      <c r="K148" s="787">
        <f t="shared" si="108"/>
        <v>1661</v>
      </c>
      <c r="L148" s="787">
        <f t="shared" si="108"/>
        <v>1662</v>
      </c>
      <c r="M148" s="787">
        <f t="shared" si="108"/>
        <v>1703</v>
      </c>
      <c r="N148" s="787">
        <f t="shared" si="108"/>
        <v>1962</v>
      </c>
      <c r="O148" s="787">
        <f>SUM(O146:O147)</f>
        <v>1974</v>
      </c>
      <c r="Q148" s="776"/>
    </row>
    <row r="149" spans="1:17">
      <c r="A149" s="776" t="s">
        <v>5424</v>
      </c>
      <c r="B149" s="776" t="s">
        <v>1366</v>
      </c>
      <c r="C149" s="55" t="s">
        <v>14080</v>
      </c>
      <c r="D149" s="778">
        <v>0</v>
      </c>
      <c r="E149" s="778">
        <v>0</v>
      </c>
      <c r="F149" s="778">
        <v>0</v>
      </c>
      <c r="G149" s="778">
        <v>0</v>
      </c>
      <c r="H149" s="778">
        <v>0</v>
      </c>
      <c r="I149" s="778">
        <v>0</v>
      </c>
      <c r="J149" s="778">
        <v>0</v>
      </c>
      <c r="K149" s="778">
        <v>0</v>
      </c>
      <c r="L149" s="778">
        <v>0</v>
      </c>
      <c r="M149" s="778">
        <v>0</v>
      </c>
      <c r="N149" s="56">
        <v>6268</v>
      </c>
      <c r="O149" s="56">
        <v>6291</v>
      </c>
      <c r="Q149" s="776" t="s">
        <v>1577</v>
      </c>
    </row>
    <row r="150" spans="1:17">
      <c r="A150" s="776" t="s">
        <v>5426</v>
      </c>
      <c r="B150" s="776" t="s">
        <v>1367</v>
      </c>
      <c r="C150" s="55" t="s">
        <v>14081</v>
      </c>
      <c r="D150" s="778">
        <v>0</v>
      </c>
      <c r="E150" s="778">
        <v>0</v>
      </c>
      <c r="F150" s="778">
        <v>0</v>
      </c>
      <c r="G150" s="778">
        <v>0</v>
      </c>
      <c r="H150" s="778">
        <v>0</v>
      </c>
      <c r="I150" s="778">
        <v>0</v>
      </c>
      <c r="J150" s="778">
        <v>0</v>
      </c>
      <c r="K150" s="778">
        <v>0</v>
      </c>
      <c r="L150" s="778">
        <v>0</v>
      </c>
      <c r="M150" s="778">
        <v>0</v>
      </c>
      <c r="N150" s="778">
        <v>6107</v>
      </c>
      <c r="O150" s="778">
        <v>6111</v>
      </c>
      <c r="Q150" s="776" t="s">
        <v>1577</v>
      </c>
    </row>
    <row r="151" spans="1:17">
      <c r="A151" s="776" t="s">
        <v>5428</v>
      </c>
      <c r="B151" s="776" t="s">
        <v>1368</v>
      </c>
      <c r="C151" s="55" t="s">
        <v>14082</v>
      </c>
      <c r="D151" s="778">
        <v>0</v>
      </c>
      <c r="E151" s="778">
        <v>0</v>
      </c>
      <c r="F151" s="778">
        <v>0</v>
      </c>
      <c r="G151" s="778">
        <v>0</v>
      </c>
      <c r="H151" s="778">
        <v>0</v>
      </c>
      <c r="I151" s="778">
        <v>0</v>
      </c>
      <c r="J151" s="778">
        <v>0</v>
      </c>
      <c r="K151" s="778">
        <v>0</v>
      </c>
      <c r="L151" s="778">
        <v>0</v>
      </c>
      <c r="M151" s="778">
        <v>0</v>
      </c>
      <c r="N151" s="778">
        <v>6615</v>
      </c>
      <c r="O151" s="778">
        <v>6656</v>
      </c>
      <c r="Q151" s="776" t="s">
        <v>1577</v>
      </c>
    </row>
    <row r="152" spans="1:17">
      <c r="A152" s="776" t="s">
        <v>5429</v>
      </c>
      <c r="B152" s="776" t="s">
        <v>1369</v>
      </c>
      <c r="C152" s="55" t="s">
        <v>14083</v>
      </c>
      <c r="D152" s="778">
        <v>0</v>
      </c>
      <c r="E152" s="778">
        <v>0</v>
      </c>
      <c r="F152" s="778">
        <v>0</v>
      </c>
      <c r="G152" s="778">
        <v>0</v>
      </c>
      <c r="H152" s="778">
        <v>0</v>
      </c>
      <c r="I152" s="778">
        <v>0</v>
      </c>
      <c r="J152" s="778">
        <v>0</v>
      </c>
      <c r="K152" s="778">
        <v>0</v>
      </c>
      <c r="L152" s="778">
        <v>0</v>
      </c>
      <c r="M152" s="778">
        <v>0</v>
      </c>
      <c r="N152" s="778">
        <v>5677</v>
      </c>
      <c r="O152" s="778">
        <v>5797</v>
      </c>
      <c r="Q152" s="776" t="s">
        <v>1577</v>
      </c>
    </row>
    <row r="153" spans="1:17">
      <c r="A153" s="776" t="s">
        <v>5431</v>
      </c>
      <c r="B153" s="776" t="s">
        <v>1370</v>
      </c>
      <c r="C153" s="55" t="s">
        <v>14084</v>
      </c>
      <c r="D153" s="778">
        <v>0</v>
      </c>
      <c r="E153" s="778">
        <v>0</v>
      </c>
      <c r="F153" s="778">
        <v>0</v>
      </c>
      <c r="G153" s="778">
        <v>0</v>
      </c>
      <c r="H153" s="778">
        <v>0</v>
      </c>
      <c r="I153" s="778">
        <v>0</v>
      </c>
      <c r="J153" s="778">
        <v>0</v>
      </c>
      <c r="K153" s="778">
        <v>0</v>
      </c>
      <c r="L153" s="778">
        <v>0</v>
      </c>
      <c r="M153" s="778">
        <v>0</v>
      </c>
      <c r="N153" s="778">
        <v>3677</v>
      </c>
      <c r="O153" s="778">
        <v>3720</v>
      </c>
      <c r="Q153" s="776" t="s">
        <v>1577</v>
      </c>
    </row>
    <row r="154" spans="1:17">
      <c r="A154" s="776" t="s">
        <v>5433</v>
      </c>
      <c r="B154" s="776" t="s">
        <v>14070</v>
      </c>
      <c r="C154" s="55" t="s">
        <v>14085</v>
      </c>
      <c r="D154" s="778">
        <v>0</v>
      </c>
      <c r="E154" s="778">
        <v>0</v>
      </c>
      <c r="F154" s="778">
        <v>0</v>
      </c>
      <c r="G154" s="778">
        <v>0</v>
      </c>
      <c r="H154" s="778">
        <v>0</v>
      </c>
      <c r="I154" s="778">
        <v>0</v>
      </c>
      <c r="J154" s="778">
        <v>0</v>
      </c>
      <c r="K154" s="778">
        <v>0</v>
      </c>
      <c r="L154" s="778">
        <v>0</v>
      </c>
      <c r="M154" s="778">
        <v>0</v>
      </c>
      <c r="N154" s="778">
        <v>2023</v>
      </c>
      <c r="O154" s="778">
        <v>2066</v>
      </c>
      <c r="Q154" s="776" t="s">
        <v>1595</v>
      </c>
    </row>
    <row r="155" spans="1:17">
      <c r="A155" s="776" t="s">
        <v>5435</v>
      </c>
      <c r="B155" s="776" t="s">
        <v>1371</v>
      </c>
      <c r="C155" s="55" t="s">
        <v>14086</v>
      </c>
      <c r="D155" s="778">
        <v>0</v>
      </c>
      <c r="E155" s="778">
        <v>0</v>
      </c>
      <c r="F155" s="778">
        <v>0</v>
      </c>
      <c r="G155" s="778">
        <v>0</v>
      </c>
      <c r="H155" s="778">
        <v>0</v>
      </c>
      <c r="I155" s="778">
        <v>0</v>
      </c>
      <c r="J155" s="778">
        <v>0</v>
      </c>
      <c r="K155" s="778">
        <v>0</v>
      </c>
      <c r="L155" s="778">
        <v>0</v>
      </c>
      <c r="M155" s="778">
        <v>0</v>
      </c>
      <c r="N155" s="778">
        <v>5684</v>
      </c>
      <c r="O155" s="778">
        <v>5691</v>
      </c>
      <c r="Q155" s="776" t="s">
        <v>1595</v>
      </c>
    </row>
    <row r="156" spans="1:17">
      <c r="A156" s="776" t="s">
        <v>5436</v>
      </c>
      <c r="B156" s="776" t="s">
        <v>1372</v>
      </c>
      <c r="C156" s="55" t="s">
        <v>14087</v>
      </c>
      <c r="D156" s="778">
        <v>0</v>
      </c>
      <c r="E156" s="778">
        <v>0</v>
      </c>
      <c r="F156" s="778">
        <v>0</v>
      </c>
      <c r="G156" s="778">
        <v>0</v>
      </c>
      <c r="H156" s="778">
        <v>0</v>
      </c>
      <c r="I156" s="778">
        <v>0</v>
      </c>
      <c r="J156" s="778">
        <v>0</v>
      </c>
      <c r="K156" s="778">
        <v>0</v>
      </c>
      <c r="L156" s="778">
        <v>0</v>
      </c>
      <c r="M156" s="778">
        <v>0</v>
      </c>
      <c r="N156" s="778">
        <v>3799</v>
      </c>
      <c r="O156" s="778">
        <v>3827</v>
      </c>
      <c r="Q156" s="776" t="s">
        <v>1595</v>
      </c>
    </row>
    <row r="157" spans="1:17">
      <c r="A157" s="776" t="s">
        <v>5437</v>
      </c>
      <c r="B157" s="776" t="s">
        <v>1373</v>
      </c>
      <c r="C157" s="55" t="s">
        <v>14088</v>
      </c>
      <c r="D157" s="778">
        <v>0</v>
      </c>
      <c r="E157" s="778">
        <v>0</v>
      </c>
      <c r="F157" s="778">
        <v>0</v>
      </c>
      <c r="G157" s="778">
        <v>0</v>
      </c>
      <c r="H157" s="778">
        <v>0</v>
      </c>
      <c r="I157" s="778">
        <v>0</v>
      </c>
      <c r="J157" s="778">
        <v>0</v>
      </c>
      <c r="K157" s="778">
        <v>0</v>
      </c>
      <c r="L157" s="778">
        <v>0</v>
      </c>
      <c r="M157" s="778">
        <v>0</v>
      </c>
      <c r="N157" s="778">
        <v>2121</v>
      </c>
      <c r="O157" s="778">
        <v>2125</v>
      </c>
      <c r="Q157" s="776" t="s">
        <v>1595</v>
      </c>
    </row>
    <row r="158" spans="1:17">
      <c r="A158" s="776" t="s">
        <v>5439</v>
      </c>
      <c r="B158" s="776" t="s">
        <v>14062</v>
      </c>
      <c r="C158" s="55" t="s">
        <v>14089</v>
      </c>
      <c r="D158" s="778">
        <v>0</v>
      </c>
      <c r="E158" s="778">
        <v>0</v>
      </c>
      <c r="F158" s="778">
        <v>0</v>
      </c>
      <c r="G158" s="778">
        <v>0</v>
      </c>
      <c r="H158" s="778">
        <v>0</v>
      </c>
      <c r="I158" s="778">
        <v>0</v>
      </c>
      <c r="J158" s="778">
        <v>0</v>
      </c>
      <c r="K158" s="778">
        <v>0</v>
      </c>
      <c r="L158" s="778">
        <v>0</v>
      </c>
      <c r="M158" s="778">
        <v>0</v>
      </c>
      <c r="N158" s="778">
        <v>1838</v>
      </c>
      <c r="O158" s="778">
        <v>1859</v>
      </c>
      <c r="Q158" s="776" t="s">
        <v>1577</v>
      </c>
    </row>
    <row r="159" spans="1:17">
      <c r="A159" s="776" t="s">
        <v>5441</v>
      </c>
      <c r="B159" s="776" t="s">
        <v>14063</v>
      </c>
      <c r="C159" s="55" t="s">
        <v>14090</v>
      </c>
      <c r="D159" s="778">
        <v>0</v>
      </c>
      <c r="E159" s="778">
        <v>0</v>
      </c>
      <c r="F159" s="778">
        <v>0</v>
      </c>
      <c r="G159" s="778">
        <v>0</v>
      </c>
      <c r="H159" s="778">
        <v>0</v>
      </c>
      <c r="I159" s="778">
        <v>0</v>
      </c>
      <c r="J159" s="778">
        <v>0</v>
      </c>
      <c r="K159" s="778">
        <v>0</v>
      </c>
      <c r="L159" s="778">
        <v>0</v>
      </c>
      <c r="M159" s="778">
        <v>0</v>
      </c>
      <c r="N159" s="778">
        <v>6078</v>
      </c>
      <c r="O159" s="778">
        <v>6136</v>
      </c>
      <c r="Q159" s="776" t="s">
        <v>1577</v>
      </c>
    </row>
    <row r="160" spans="1:17">
      <c r="A160" s="776" t="s">
        <v>5886</v>
      </c>
      <c r="B160" s="776" t="s">
        <v>4950</v>
      </c>
      <c r="C160" s="55" t="s">
        <v>14091</v>
      </c>
      <c r="D160" s="778">
        <v>0</v>
      </c>
      <c r="E160" s="778">
        <v>0</v>
      </c>
      <c r="F160" s="778">
        <v>0</v>
      </c>
      <c r="G160" s="778">
        <v>0</v>
      </c>
      <c r="H160" s="778">
        <v>0</v>
      </c>
      <c r="I160" s="778">
        <v>0</v>
      </c>
      <c r="J160" s="778">
        <v>0</v>
      </c>
      <c r="K160" s="778">
        <v>0</v>
      </c>
      <c r="L160" s="778">
        <v>0</v>
      </c>
      <c r="M160" s="778">
        <v>0</v>
      </c>
      <c r="N160" s="778">
        <v>5974</v>
      </c>
      <c r="O160" s="778">
        <v>5953</v>
      </c>
      <c r="Q160" s="776" t="s">
        <v>1595</v>
      </c>
    </row>
    <row r="161" spans="1:17">
      <c r="A161" s="776" t="s">
        <v>5888</v>
      </c>
      <c r="B161" s="776" t="s">
        <v>4182</v>
      </c>
      <c r="C161" s="55" t="s">
        <v>14092</v>
      </c>
      <c r="D161" s="778">
        <v>0</v>
      </c>
      <c r="E161" s="778">
        <v>0</v>
      </c>
      <c r="F161" s="778">
        <v>0</v>
      </c>
      <c r="G161" s="778">
        <v>0</v>
      </c>
      <c r="H161" s="778">
        <v>0</v>
      </c>
      <c r="I161" s="778">
        <v>0</v>
      </c>
      <c r="J161" s="778">
        <v>0</v>
      </c>
      <c r="K161" s="778">
        <v>0</v>
      </c>
      <c r="L161" s="778">
        <v>0</v>
      </c>
      <c r="M161" s="778">
        <v>0</v>
      </c>
      <c r="N161" s="778">
        <v>1962</v>
      </c>
      <c r="O161" s="778">
        <v>1961</v>
      </c>
      <c r="Q161" s="776" t="s">
        <v>1577</v>
      </c>
    </row>
    <row r="162" spans="1:17">
      <c r="A162" s="776" t="s">
        <v>5889</v>
      </c>
      <c r="B162" s="776" t="s">
        <v>4183</v>
      </c>
      <c r="C162" s="55" t="s">
        <v>14093</v>
      </c>
      <c r="D162" s="778">
        <v>0</v>
      </c>
      <c r="E162" s="778">
        <v>0</v>
      </c>
      <c r="F162" s="778">
        <v>0</v>
      </c>
      <c r="G162" s="778">
        <v>0</v>
      </c>
      <c r="H162" s="778">
        <v>0</v>
      </c>
      <c r="I162" s="778">
        <v>0</v>
      </c>
      <c r="J162" s="778">
        <v>0</v>
      </c>
      <c r="K162" s="778">
        <v>0</v>
      </c>
      <c r="L162" s="778">
        <v>0</v>
      </c>
      <c r="M162" s="778">
        <v>0</v>
      </c>
      <c r="N162" s="778">
        <v>6440</v>
      </c>
      <c r="O162" s="778">
        <v>6437</v>
      </c>
      <c r="Q162" s="776" t="s">
        <v>1577</v>
      </c>
    </row>
    <row r="163" spans="1:17">
      <c r="A163" s="776" t="s">
        <v>4431</v>
      </c>
      <c r="B163" s="776" t="s">
        <v>4184</v>
      </c>
      <c r="C163" s="55" t="s">
        <v>14094</v>
      </c>
      <c r="D163" s="778">
        <v>0</v>
      </c>
      <c r="E163" s="778">
        <v>0</v>
      </c>
      <c r="F163" s="778">
        <v>0</v>
      </c>
      <c r="G163" s="778">
        <v>0</v>
      </c>
      <c r="H163" s="778">
        <v>0</v>
      </c>
      <c r="I163" s="778">
        <v>0</v>
      </c>
      <c r="J163" s="778">
        <v>0</v>
      </c>
      <c r="K163" s="778">
        <v>0</v>
      </c>
      <c r="L163" s="778">
        <v>0</v>
      </c>
      <c r="M163" s="778">
        <v>0</v>
      </c>
      <c r="N163" s="778">
        <v>3895</v>
      </c>
      <c r="O163" s="778">
        <v>3894</v>
      </c>
      <c r="Q163" s="776" t="s">
        <v>1577</v>
      </c>
    </row>
    <row r="164" spans="1:17">
      <c r="A164" s="776" t="s">
        <v>4432</v>
      </c>
      <c r="B164" s="776" t="s">
        <v>4185</v>
      </c>
      <c r="C164" s="55" t="s">
        <v>14095</v>
      </c>
      <c r="D164" s="778">
        <v>0</v>
      </c>
      <c r="E164" s="778">
        <v>0</v>
      </c>
      <c r="F164" s="778">
        <v>0</v>
      </c>
      <c r="G164" s="778">
        <v>0</v>
      </c>
      <c r="H164" s="778">
        <v>0</v>
      </c>
      <c r="I164" s="778">
        <v>0</v>
      </c>
      <c r="J164" s="778">
        <v>0</v>
      </c>
      <c r="K164" s="778">
        <v>0</v>
      </c>
      <c r="L164" s="778">
        <v>0</v>
      </c>
      <c r="M164" s="778">
        <v>0</v>
      </c>
      <c r="N164" s="778">
        <v>486</v>
      </c>
      <c r="O164" s="778">
        <v>485</v>
      </c>
      <c r="Q164" s="776" t="s">
        <v>1577</v>
      </c>
    </row>
    <row r="165" spans="1:17" ht="15.75" thickBot="1">
      <c r="B165" s="776"/>
      <c r="C165" s="55" t="s">
        <v>14095</v>
      </c>
      <c r="D165" s="778">
        <v>0</v>
      </c>
      <c r="E165" s="778">
        <v>0</v>
      </c>
      <c r="F165" s="778">
        <v>0</v>
      </c>
      <c r="G165" s="778">
        <v>0</v>
      </c>
      <c r="H165" s="778">
        <v>0</v>
      </c>
      <c r="I165" s="778">
        <v>0</v>
      </c>
      <c r="J165" s="778">
        <v>0</v>
      </c>
      <c r="K165" s="778">
        <v>0</v>
      </c>
      <c r="L165" s="778">
        <v>0</v>
      </c>
      <c r="M165" s="778">
        <v>0</v>
      </c>
      <c r="N165" s="778">
        <v>1727</v>
      </c>
      <c r="O165" s="778">
        <v>1739</v>
      </c>
      <c r="Q165" s="776" t="s">
        <v>1595</v>
      </c>
    </row>
    <row r="166" spans="1:17" ht="15.75" thickBot="1">
      <c r="B166" s="776"/>
      <c r="C166" s="55" t="s">
        <v>14095</v>
      </c>
      <c r="D166" s="787">
        <f>D164+D165</f>
        <v>0</v>
      </c>
      <c r="E166" s="787">
        <f t="shared" ref="E166:N166" si="109">E164+E165</f>
        <v>0</v>
      </c>
      <c r="F166" s="787">
        <f t="shared" si="109"/>
        <v>0</v>
      </c>
      <c r="G166" s="787">
        <f t="shared" si="109"/>
        <v>0</v>
      </c>
      <c r="H166" s="787">
        <f t="shared" si="109"/>
        <v>0</v>
      </c>
      <c r="I166" s="787">
        <f t="shared" si="109"/>
        <v>0</v>
      </c>
      <c r="J166" s="787">
        <f t="shared" si="109"/>
        <v>0</v>
      </c>
      <c r="K166" s="787">
        <f t="shared" si="109"/>
        <v>0</v>
      </c>
      <c r="L166" s="787">
        <f t="shared" si="109"/>
        <v>0</v>
      </c>
      <c r="M166" s="787">
        <f t="shared" si="109"/>
        <v>0</v>
      </c>
      <c r="N166" s="787">
        <f t="shared" si="109"/>
        <v>2213</v>
      </c>
      <c r="O166" s="787">
        <f>O164+O165</f>
        <v>2224</v>
      </c>
      <c r="Q166" s="776"/>
    </row>
    <row r="167" spans="1:17">
      <c r="A167" s="776" t="s">
        <v>4434</v>
      </c>
      <c r="B167" s="776" t="s">
        <v>4186</v>
      </c>
      <c r="C167" s="55" t="s">
        <v>14096</v>
      </c>
      <c r="D167" s="778">
        <v>0</v>
      </c>
      <c r="E167" s="778">
        <v>0</v>
      </c>
      <c r="F167" s="778">
        <v>0</v>
      </c>
      <c r="G167" s="778">
        <v>0</v>
      </c>
      <c r="H167" s="778">
        <v>0</v>
      </c>
      <c r="I167" s="778">
        <v>0</v>
      </c>
      <c r="J167" s="778">
        <v>0</v>
      </c>
      <c r="K167" s="778">
        <v>0</v>
      </c>
      <c r="L167" s="778">
        <v>0</v>
      </c>
      <c r="M167" s="778">
        <v>0</v>
      </c>
      <c r="N167" s="778">
        <v>2196</v>
      </c>
      <c r="O167" s="778">
        <v>2189</v>
      </c>
      <c r="Q167" s="776" t="s">
        <v>1595</v>
      </c>
    </row>
    <row r="168" spans="1:17">
      <c r="A168" s="776" t="s">
        <v>4533</v>
      </c>
      <c r="B168" s="776" t="s">
        <v>14064</v>
      </c>
      <c r="C168" s="55" t="s">
        <v>14097</v>
      </c>
      <c r="D168" s="778">
        <v>0</v>
      </c>
      <c r="E168" s="778">
        <v>0</v>
      </c>
      <c r="F168" s="778">
        <v>0</v>
      </c>
      <c r="G168" s="778">
        <v>0</v>
      </c>
      <c r="H168" s="778">
        <v>0</v>
      </c>
      <c r="I168" s="778">
        <v>0</v>
      </c>
      <c r="J168" s="778">
        <v>0</v>
      </c>
      <c r="K168" s="778">
        <v>0</v>
      </c>
      <c r="L168" s="778">
        <v>0</v>
      </c>
      <c r="M168" s="778">
        <v>0</v>
      </c>
      <c r="N168" s="778">
        <v>2205</v>
      </c>
      <c r="O168" s="778">
        <v>2214</v>
      </c>
      <c r="Q168" s="776" t="s">
        <v>1577</v>
      </c>
    </row>
    <row r="169" spans="1:17">
      <c r="A169" s="776" t="s">
        <v>4535</v>
      </c>
      <c r="B169" s="776" t="s">
        <v>14065</v>
      </c>
      <c r="C169" s="55" t="s">
        <v>14098</v>
      </c>
      <c r="D169" s="778">
        <v>0</v>
      </c>
      <c r="E169" s="778">
        <v>0</v>
      </c>
      <c r="F169" s="778">
        <v>0</v>
      </c>
      <c r="G169" s="778">
        <v>0</v>
      </c>
      <c r="H169" s="778">
        <v>0</v>
      </c>
      <c r="I169" s="778">
        <v>0</v>
      </c>
      <c r="J169" s="778">
        <v>0</v>
      </c>
      <c r="K169" s="778">
        <v>0</v>
      </c>
      <c r="L169" s="778">
        <v>0</v>
      </c>
      <c r="M169" s="778">
        <v>0</v>
      </c>
      <c r="N169" s="778">
        <v>2237</v>
      </c>
      <c r="O169" s="778">
        <v>2233</v>
      </c>
      <c r="Q169" s="776" t="s">
        <v>1577</v>
      </c>
    </row>
    <row r="170" spans="1:17">
      <c r="A170" s="776" t="s">
        <v>4537</v>
      </c>
      <c r="B170" s="776" t="s">
        <v>14066</v>
      </c>
      <c r="C170" s="55" t="s">
        <v>14099</v>
      </c>
      <c r="D170" s="778">
        <v>0</v>
      </c>
      <c r="E170" s="778">
        <v>0</v>
      </c>
      <c r="F170" s="778">
        <v>0</v>
      </c>
      <c r="G170" s="778">
        <v>0</v>
      </c>
      <c r="H170" s="778">
        <v>0</v>
      </c>
      <c r="I170" s="778">
        <v>0</v>
      </c>
      <c r="J170" s="778">
        <v>0</v>
      </c>
      <c r="K170" s="778">
        <v>0</v>
      </c>
      <c r="L170" s="778">
        <v>0</v>
      </c>
      <c r="M170" s="778">
        <v>0</v>
      </c>
      <c r="N170" s="778">
        <v>4336</v>
      </c>
      <c r="O170" s="778">
        <v>4389</v>
      </c>
      <c r="Q170" s="776" t="s">
        <v>1577</v>
      </c>
    </row>
    <row r="171" spans="1:17">
      <c r="A171" s="776" t="s">
        <v>4539</v>
      </c>
      <c r="B171" s="776" t="s">
        <v>4187</v>
      </c>
      <c r="C171" s="55" t="s">
        <v>14100</v>
      </c>
      <c r="D171" s="778">
        <v>0</v>
      </c>
      <c r="E171" s="778">
        <v>0</v>
      </c>
      <c r="F171" s="778">
        <v>0</v>
      </c>
      <c r="G171" s="778">
        <v>0</v>
      </c>
      <c r="H171" s="778">
        <v>0</v>
      </c>
      <c r="I171" s="778">
        <v>0</v>
      </c>
      <c r="J171" s="778">
        <v>0</v>
      </c>
      <c r="K171" s="778">
        <v>0</v>
      </c>
      <c r="L171" s="778">
        <v>0</v>
      </c>
      <c r="M171" s="778">
        <v>0</v>
      </c>
      <c r="N171" s="778">
        <v>2157</v>
      </c>
      <c r="O171" s="778">
        <v>2150</v>
      </c>
      <c r="Q171" s="776" t="s">
        <v>1595</v>
      </c>
    </row>
    <row r="172" spans="1:17">
      <c r="D172" s="784"/>
      <c r="E172" s="784"/>
      <c r="F172" s="784"/>
      <c r="G172" s="784"/>
      <c r="H172" s="784"/>
      <c r="I172" s="784"/>
      <c r="J172" s="784"/>
      <c r="K172" s="784"/>
      <c r="L172" s="784"/>
      <c r="M172" s="784"/>
      <c r="N172" s="784"/>
      <c r="O172" s="784"/>
    </row>
    <row r="173" spans="1:17">
      <c r="A173" s="162" t="s">
        <v>4188</v>
      </c>
      <c r="D173" s="784">
        <f t="shared" ref="D173:M173" si="110">D146</f>
        <v>1625</v>
      </c>
      <c r="E173" s="784">
        <f t="shared" si="110"/>
        <v>1593</v>
      </c>
      <c r="F173" s="784">
        <f t="shared" si="110"/>
        <v>1592</v>
      </c>
      <c r="G173" s="784">
        <f t="shared" si="110"/>
        <v>1596</v>
      </c>
      <c r="H173" s="784">
        <f t="shared" si="110"/>
        <v>1444</v>
      </c>
      <c r="I173" s="784">
        <f t="shared" si="110"/>
        <v>1512</v>
      </c>
      <c r="J173" s="784">
        <f t="shared" si="110"/>
        <v>1587</v>
      </c>
      <c r="K173" s="784">
        <f t="shared" si="110"/>
        <v>1661</v>
      </c>
      <c r="L173" s="784">
        <f t="shared" si="110"/>
        <v>1662</v>
      </c>
      <c r="M173" s="784">
        <f t="shared" si="110"/>
        <v>1703</v>
      </c>
      <c r="N173" s="784">
        <f>N146</f>
        <v>1706</v>
      </c>
      <c r="O173" s="784">
        <f>O146</f>
        <v>1722</v>
      </c>
    </row>
    <row r="174" spans="1:17">
      <c r="A174" s="776" t="s">
        <v>4189</v>
      </c>
      <c r="D174" s="778">
        <f t="shared" ref="D174:M174" si="111">SUM(D140:D142,D144,D147,D149:D153,D158:D159,D161:D164,D168:D170)</f>
        <v>63780</v>
      </c>
      <c r="E174" s="778">
        <f t="shared" si="111"/>
        <v>63278</v>
      </c>
      <c r="F174" s="778">
        <f t="shared" si="111"/>
        <v>63454</v>
      </c>
      <c r="G174" s="778">
        <f t="shared" si="111"/>
        <v>63470</v>
      </c>
      <c r="H174" s="778">
        <f t="shared" si="111"/>
        <v>59641</v>
      </c>
      <c r="I174" s="778">
        <f t="shared" si="111"/>
        <v>63001</v>
      </c>
      <c r="J174" s="778">
        <f t="shared" si="111"/>
        <v>66579</v>
      </c>
      <c r="K174" s="778">
        <f t="shared" si="111"/>
        <v>69914</v>
      </c>
      <c r="L174" s="778">
        <f t="shared" si="111"/>
        <v>71261</v>
      </c>
      <c r="M174" s="778">
        <f t="shared" si="111"/>
        <v>73195</v>
      </c>
      <c r="N174" s="778">
        <f>SUM(N140:N142,N144,N147,N149:N153,N158:N159,N161:N164,N168:N170)</f>
        <v>74575</v>
      </c>
      <c r="O174" s="778">
        <f>SUM(O140:O142,O144,O147,O149:O153,O158:O159,O161:O164,O168:O170)</f>
        <v>75291</v>
      </c>
    </row>
    <row r="175" spans="1:17">
      <c r="A175" s="776" t="s">
        <v>4190</v>
      </c>
      <c r="D175" s="778">
        <f t="shared" ref="D175:M175" si="112">SUM(D138:D139,D143,D145,D154:D157,D160,D165,D167,D171)</f>
        <v>39019</v>
      </c>
      <c r="E175" s="778">
        <f t="shared" si="112"/>
        <v>38510</v>
      </c>
      <c r="F175" s="778">
        <f t="shared" si="112"/>
        <v>38336</v>
      </c>
      <c r="G175" s="778">
        <f t="shared" si="112"/>
        <v>38460</v>
      </c>
      <c r="H175" s="778">
        <f t="shared" si="112"/>
        <v>35889</v>
      </c>
      <c r="I175" s="778">
        <f t="shared" si="112"/>
        <v>37543</v>
      </c>
      <c r="J175" s="778">
        <f t="shared" si="112"/>
        <v>39290</v>
      </c>
      <c r="K175" s="778">
        <f t="shared" si="112"/>
        <v>41021</v>
      </c>
      <c r="L175" s="778">
        <f t="shared" si="112"/>
        <v>41505</v>
      </c>
      <c r="M175" s="778">
        <f t="shared" si="112"/>
        <v>42222</v>
      </c>
      <c r="N175" s="778">
        <f>SUM(N138:N139,N143,N145,N154:N157,N160,N165,N167,N171)</f>
        <v>42638</v>
      </c>
      <c r="O175" s="778">
        <f>SUM(O138:O139,O143,O145,O154:O157,O160,O165,O167,O171)</f>
        <v>42852</v>
      </c>
    </row>
    <row r="176" spans="1:17">
      <c r="A176" s="776"/>
      <c r="D176" s="778"/>
      <c r="E176" s="778"/>
      <c r="F176" s="778"/>
      <c r="G176" s="778"/>
      <c r="H176" s="778"/>
      <c r="I176" s="778"/>
      <c r="J176" s="778"/>
      <c r="K176" s="778"/>
      <c r="L176" s="778"/>
      <c r="M176" s="778"/>
      <c r="N176" s="778"/>
      <c r="O176" s="778"/>
    </row>
    <row r="177" spans="1:17">
      <c r="A177" s="776" t="s">
        <v>14101</v>
      </c>
      <c r="D177" s="778"/>
      <c r="E177" s="778"/>
      <c r="F177" s="778"/>
      <c r="G177" s="778"/>
      <c r="H177" s="778"/>
      <c r="I177" s="778"/>
      <c r="J177" s="778"/>
      <c r="K177" s="778"/>
      <c r="L177" s="778"/>
      <c r="M177" s="778"/>
      <c r="N177" s="778"/>
      <c r="O177" s="778"/>
    </row>
    <row r="178" spans="1:17">
      <c r="A178" s="21"/>
      <c r="B178" s="776"/>
      <c r="D178" s="778"/>
      <c r="E178" s="778"/>
      <c r="F178" s="778"/>
      <c r="G178" s="778"/>
      <c r="H178" s="778"/>
      <c r="I178" s="778"/>
      <c r="J178" s="778"/>
      <c r="K178" s="778"/>
      <c r="L178" s="778"/>
      <c r="M178" s="778"/>
      <c r="N178" s="778"/>
      <c r="O178" s="778"/>
    </row>
    <row r="179" spans="1:17">
      <c r="A179" s="776"/>
      <c r="B179" s="776"/>
      <c r="D179" s="782"/>
      <c r="E179" s="782"/>
      <c r="F179" s="782"/>
      <c r="G179" s="782"/>
      <c r="H179" s="782"/>
      <c r="I179" s="782"/>
      <c r="J179" s="782"/>
      <c r="K179" s="782"/>
      <c r="L179" s="782"/>
      <c r="M179" s="782"/>
      <c r="N179" s="782"/>
      <c r="O179" s="782"/>
    </row>
    <row r="180" spans="1:17">
      <c r="E180" s="51" t="s">
        <v>1526</v>
      </c>
      <c r="F180" s="51"/>
      <c r="G180" s="51"/>
      <c r="H180" s="51"/>
      <c r="I180" s="51"/>
      <c r="J180" s="51"/>
      <c r="K180" s="51"/>
      <c r="L180" s="51"/>
      <c r="M180" s="51"/>
      <c r="N180" s="51"/>
      <c r="O180" s="51"/>
      <c r="P180" s="11"/>
      <c r="Q180" s="11" t="s">
        <v>9479</v>
      </c>
    </row>
    <row r="181" spans="1:17">
      <c r="D181" s="350">
        <v>2010</v>
      </c>
      <c r="E181" s="350">
        <v>2011</v>
      </c>
      <c r="F181" s="350">
        <v>2012</v>
      </c>
      <c r="G181" s="350">
        <v>2013</v>
      </c>
      <c r="H181" s="350">
        <v>2014</v>
      </c>
      <c r="I181" s="350">
        <v>2015</v>
      </c>
      <c r="J181" s="350">
        <v>2016</v>
      </c>
      <c r="K181" s="350">
        <v>2017</v>
      </c>
      <c r="L181" s="350">
        <v>2018</v>
      </c>
      <c r="M181" s="350">
        <v>2019</v>
      </c>
      <c r="N181" s="350">
        <v>2020</v>
      </c>
      <c r="O181" s="981" t="s">
        <v>14823</v>
      </c>
      <c r="Q181" s="13" t="s">
        <v>1527</v>
      </c>
    </row>
    <row r="182" spans="1:17">
      <c r="A182" s="776" t="s">
        <v>4191</v>
      </c>
      <c r="D182" s="778">
        <f t="shared" ref="D182:J182" si="113">SUM(D183:D192)+SUM(D194:D196)+SUM(D198:D200)</f>
        <v>84910</v>
      </c>
      <c r="E182" s="778">
        <f t="shared" si="113"/>
        <v>85924</v>
      </c>
      <c r="F182" s="778">
        <f t="shared" si="113"/>
        <v>87388</v>
      </c>
      <c r="G182" s="778">
        <f t="shared" si="113"/>
        <v>87289</v>
      </c>
      <c r="H182" s="778">
        <f t="shared" si="113"/>
        <v>88519</v>
      </c>
      <c r="I182" s="778">
        <f t="shared" si="113"/>
        <v>83742</v>
      </c>
      <c r="J182" s="778">
        <f t="shared" si="113"/>
        <v>81231</v>
      </c>
      <c r="K182" s="778">
        <f>SUM(K183:K192)+SUM(K194:K196)+SUM(K198:K200)</f>
        <v>83654</v>
      </c>
      <c r="L182" s="778">
        <f>SUM(L183:L192)+SUM(L194:L196)+SUM(L198:L200)</f>
        <v>85456</v>
      </c>
      <c r="M182" s="778">
        <f>SUM(M183:M192)+SUM(M194:M196)+SUM(M198:M200)</f>
        <v>85955</v>
      </c>
      <c r="N182" s="778">
        <f>SUM(N183:N192)+SUM(N194:N196)+SUM(N198:N200)</f>
        <v>92506</v>
      </c>
      <c r="O182" s="778">
        <f>SUM(O183:O192)+SUM(O194:O196)+SUM(O198:O200)</f>
        <v>92188</v>
      </c>
    </row>
    <row r="183" spans="1:17">
      <c r="A183" s="776" t="s">
        <v>5387</v>
      </c>
      <c r="B183" s="776" t="s">
        <v>4192</v>
      </c>
      <c r="C183" s="55" t="s">
        <v>11757</v>
      </c>
      <c r="D183" s="778">
        <v>75936</v>
      </c>
      <c r="E183" s="778">
        <v>76796</v>
      </c>
      <c r="F183" s="778">
        <v>78036</v>
      </c>
      <c r="G183" s="56">
        <v>77788</v>
      </c>
      <c r="H183" s="56">
        <v>78826</v>
      </c>
      <c r="I183" s="56">
        <v>74040</v>
      </c>
      <c r="J183" s="56">
        <v>71404</v>
      </c>
      <c r="K183" s="56">
        <v>6302</v>
      </c>
      <c r="L183" s="56">
        <v>6331</v>
      </c>
      <c r="M183" s="56">
        <v>6360</v>
      </c>
      <c r="N183" s="56">
        <v>6391</v>
      </c>
      <c r="O183" s="56">
        <v>6371</v>
      </c>
      <c r="Q183" s="776" t="s">
        <v>887</v>
      </c>
    </row>
    <row r="184" spans="1:17">
      <c r="A184" s="776" t="s">
        <v>5389</v>
      </c>
      <c r="B184" s="776" t="s">
        <v>11771</v>
      </c>
      <c r="C184" s="55" t="s">
        <v>11758</v>
      </c>
      <c r="D184" s="56">
        <v>0</v>
      </c>
      <c r="E184" s="56">
        <v>0</v>
      </c>
      <c r="F184" s="56">
        <v>0</v>
      </c>
      <c r="G184" s="56">
        <v>0</v>
      </c>
      <c r="H184" s="56">
        <v>0</v>
      </c>
      <c r="I184" s="56">
        <v>0</v>
      </c>
      <c r="J184" s="56">
        <v>0</v>
      </c>
      <c r="K184" s="56">
        <v>5991</v>
      </c>
      <c r="L184" s="56">
        <v>6312</v>
      </c>
      <c r="M184" s="56">
        <v>6200</v>
      </c>
      <c r="N184" s="56">
        <v>8569</v>
      </c>
      <c r="O184" s="56">
        <v>8499</v>
      </c>
      <c r="Q184" s="776" t="s">
        <v>887</v>
      </c>
    </row>
    <row r="185" spans="1:17">
      <c r="A185" s="776" t="s">
        <v>5391</v>
      </c>
      <c r="B185" s="776" t="s">
        <v>4193</v>
      </c>
      <c r="C185" s="55" t="s">
        <v>11759</v>
      </c>
      <c r="D185" s="56">
        <v>0</v>
      </c>
      <c r="E185" s="56">
        <v>0</v>
      </c>
      <c r="F185" s="56">
        <v>0</v>
      </c>
      <c r="G185" s="56">
        <v>0</v>
      </c>
      <c r="H185" s="56">
        <v>0</v>
      </c>
      <c r="I185" s="56">
        <v>0</v>
      </c>
      <c r="J185" s="56">
        <v>0</v>
      </c>
      <c r="K185" s="56">
        <v>7036</v>
      </c>
      <c r="L185" s="56">
        <v>7021</v>
      </c>
      <c r="M185" s="56">
        <v>6960</v>
      </c>
      <c r="N185" s="56">
        <v>7133</v>
      </c>
      <c r="O185" s="56">
        <v>7108</v>
      </c>
      <c r="Q185" s="776" t="s">
        <v>887</v>
      </c>
    </row>
    <row r="186" spans="1:17">
      <c r="A186" s="776" t="s">
        <v>5393</v>
      </c>
      <c r="B186" s="776" t="s">
        <v>4194</v>
      </c>
      <c r="C186" s="55" t="s">
        <v>11760</v>
      </c>
      <c r="D186" s="56">
        <v>0</v>
      </c>
      <c r="E186" s="56">
        <v>0</v>
      </c>
      <c r="F186" s="56">
        <v>0</v>
      </c>
      <c r="G186" s="56">
        <v>0</v>
      </c>
      <c r="H186" s="56">
        <v>0</v>
      </c>
      <c r="I186" s="56">
        <v>0</v>
      </c>
      <c r="J186" s="56">
        <v>0</v>
      </c>
      <c r="K186" s="56">
        <v>6597</v>
      </c>
      <c r="L186" s="56">
        <v>6620</v>
      </c>
      <c r="M186" s="56">
        <v>6623</v>
      </c>
      <c r="N186" s="56">
        <v>7024</v>
      </c>
      <c r="O186" s="56">
        <v>6989</v>
      </c>
      <c r="Q186" s="776" t="s">
        <v>887</v>
      </c>
    </row>
    <row r="187" spans="1:17">
      <c r="A187" s="776" t="s">
        <v>5394</v>
      </c>
      <c r="B187" s="776" t="s">
        <v>11772</v>
      </c>
      <c r="C187" s="55" t="s">
        <v>11761</v>
      </c>
      <c r="D187" s="56">
        <v>0</v>
      </c>
      <c r="E187" s="56">
        <v>0</v>
      </c>
      <c r="F187" s="56">
        <v>0</v>
      </c>
      <c r="G187" s="56">
        <v>0</v>
      </c>
      <c r="H187" s="56">
        <v>0</v>
      </c>
      <c r="I187" s="56">
        <v>0</v>
      </c>
      <c r="J187" s="56">
        <v>0</v>
      </c>
      <c r="K187" s="56">
        <v>6514</v>
      </c>
      <c r="L187" s="56">
        <v>6420</v>
      </c>
      <c r="M187" s="56">
        <v>6342</v>
      </c>
      <c r="N187" s="56">
        <v>6518</v>
      </c>
      <c r="O187" s="56">
        <v>6492</v>
      </c>
      <c r="Q187" s="776" t="s">
        <v>887</v>
      </c>
    </row>
    <row r="188" spans="1:17">
      <c r="A188" s="776" t="s">
        <v>5416</v>
      </c>
      <c r="B188" s="162" t="s">
        <v>11773</v>
      </c>
      <c r="C188" s="55" t="s">
        <v>11762</v>
      </c>
      <c r="D188" s="56">
        <v>0</v>
      </c>
      <c r="E188" s="56">
        <v>0</v>
      </c>
      <c r="F188" s="56">
        <v>0</v>
      </c>
      <c r="G188" s="56">
        <v>0</v>
      </c>
      <c r="H188" s="56">
        <v>0</v>
      </c>
      <c r="I188" s="56">
        <v>0</v>
      </c>
      <c r="J188" s="56">
        <v>0</v>
      </c>
      <c r="K188" s="56">
        <v>6373</v>
      </c>
      <c r="L188" s="56">
        <v>6803</v>
      </c>
      <c r="M188" s="56">
        <v>6657</v>
      </c>
      <c r="N188" s="56">
        <v>7280</v>
      </c>
      <c r="O188" s="56">
        <v>7237</v>
      </c>
      <c r="Q188" s="776" t="s">
        <v>887</v>
      </c>
    </row>
    <row r="189" spans="1:17">
      <c r="A189" s="776" t="s">
        <v>5418</v>
      </c>
      <c r="B189" s="776" t="s">
        <v>2987</v>
      </c>
      <c r="C189" s="55" t="s">
        <v>11763</v>
      </c>
      <c r="D189" s="56">
        <v>0</v>
      </c>
      <c r="E189" s="56">
        <v>0</v>
      </c>
      <c r="F189" s="56">
        <v>0</v>
      </c>
      <c r="G189" s="56">
        <v>0</v>
      </c>
      <c r="H189" s="56">
        <v>0</v>
      </c>
      <c r="I189" s="56">
        <v>0</v>
      </c>
      <c r="J189" s="56">
        <v>0</v>
      </c>
      <c r="K189" s="56">
        <v>7194</v>
      </c>
      <c r="L189" s="56">
        <v>7219</v>
      </c>
      <c r="M189" s="56">
        <v>7124</v>
      </c>
      <c r="N189" s="56">
        <v>8202</v>
      </c>
      <c r="O189" s="56">
        <v>8178</v>
      </c>
      <c r="Q189" s="776" t="s">
        <v>887</v>
      </c>
    </row>
    <row r="190" spans="1:17">
      <c r="A190" s="776" t="s">
        <v>5420</v>
      </c>
      <c r="B190" s="776" t="s">
        <v>2988</v>
      </c>
      <c r="C190" s="55" t="s">
        <v>11764</v>
      </c>
      <c r="D190" s="56">
        <v>0</v>
      </c>
      <c r="E190" s="56">
        <v>0</v>
      </c>
      <c r="F190" s="56">
        <v>0</v>
      </c>
      <c r="G190" s="56">
        <v>0</v>
      </c>
      <c r="H190" s="56">
        <v>0</v>
      </c>
      <c r="I190" s="56">
        <v>0</v>
      </c>
      <c r="J190" s="56">
        <v>0</v>
      </c>
      <c r="K190" s="56">
        <v>5101</v>
      </c>
      <c r="L190" s="56">
        <v>5572</v>
      </c>
      <c r="M190" s="56">
        <v>6054</v>
      </c>
      <c r="N190" s="56">
        <v>6393</v>
      </c>
      <c r="O190" s="56">
        <v>6399</v>
      </c>
      <c r="Q190" s="776" t="s">
        <v>887</v>
      </c>
    </row>
    <row r="191" spans="1:17">
      <c r="A191" s="776" t="s">
        <v>5422</v>
      </c>
      <c r="B191" s="776" t="s">
        <v>2989</v>
      </c>
      <c r="C191" s="55" t="s">
        <v>11765</v>
      </c>
      <c r="D191" s="778">
        <v>8974</v>
      </c>
      <c r="E191" s="778">
        <v>9128</v>
      </c>
      <c r="F191" s="778">
        <v>9352</v>
      </c>
      <c r="G191" s="56">
        <v>9501</v>
      </c>
      <c r="H191" s="56">
        <v>9693</v>
      </c>
      <c r="I191" s="56">
        <v>9702</v>
      </c>
      <c r="J191" s="56">
        <v>9827</v>
      </c>
      <c r="K191" s="56">
        <v>753</v>
      </c>
      <c r="L191" s="56">
        <v>755</v>
      </c>
      <c r="M191" s="56">
        <v>754</v>
      </c>
      <c r="N191" s="56">
        <v>765</v>
      </c>
      <c r="O191" s="56">
        <v>767</v>
      </c>
      <c r="Q191" s="776" t="s">
        <v>1577</v>
      </c>
    </row>
    <row r="192" spans="1:17" ht="15.75" thickBot="1">
      <c r="A192" s="776"/>
      <c r="B192" s="776"/>
      <c r="C192" s="55" t="s">
        <v>11765</v>
      </c>
      <c r="D192" s="778">
        <v>0</v>
      </c>
      <c r="E192" s="778">
        <v>0</v>
      </c>
      <c r="F192" s="778">
        <v>0</v>
      </c>
      <c r="G192" s="56">
        <v>0</v>
      </c>
      <c r="H192" s="56">
        <v>0</v>
      </c>
      <c r="I192" s="56">
        <v>0</v>
      </c>
      <c r="J192" s="56">
        <v>0</v>
      </c>
      <c r="K192" s="56">
        <v>5337</v>
      </c>
      <c r="L192" s="56">
        <v>5408</v>
      </c>
      <c r="M192" s="56">
        <v>5450</v>
      </c>
      <c r="N192" s="56">
        <v>5642</v>
      </c>
      <c r="O192" s="56">
        <v>5632</v>
      </c>
      <c r="Q192" s="776" t="s">
        <v>887</v>
      </c>
    </row>
    <row r="193" spans="1:17" ht="15.75" thickBot="1">
      <c r="A193" s="776"/>
      <c r="B193" s="776"/>
      <c r="C193" s="55" t="s">
        <v>11765</v>
      </c>
      <c r="D193" s="787">
        <f>D191+D192</f>
        <v>8974</v>
      </c>
      <c r="E193" s="787">
        <f t="shared" ref="E193:L193" si="114">E191+E192</f>
        <v>9128</v>
      </c>
      <c r="F193" s="787">
        <f t="shared" si="114"/>
        <v>9352</v>
      </c>
      <c r="G193" s="787">
        <f t="shared" si="114"/>
        <v>9501</v>
      </c>
      <c r="H193" s="787">
        <f t="shared" si="114"/>
        <v>9693</v>
      </c>
      <c r="I193" s="787">
        <f t="shared" si="114"/>
        <v>9702</v>
      </c>
      <c r="J193" s="787">
        <f t="shared" si="114"/>
        <v>9827</v>
      </c>
      <c r="K193" s="787">
        <f t="shared" si="114"/>
        <v>6090</v>
      </c>
      <c r="L193" s="787">
        <f t="shared" si="114"/>
        <v>6163</v>
      </c>
      <c r="M193" s="787">
        <f>M191+M192</f>
        <v>6204</v>
      </c>
      <c r="N193" s="787">
        <f>N191+N192</f>
        <v>6407</v>
      </c>
      <c r="O193" s="787">
        <f>O191+O192</f>
        <v>6399</v>
      </c>
      <c r="Q193" s="776"/>
    </row>
    <row r="194" spans="1:17">
      <c r="A194" s="776" t="s">
        <v>5424</v>
      </c>
      <c r="B194" s="776" t="s">
        <v>2990</v>
      </c>
      <c r="C194" s="55" t="s">
        <v>11766</v>
      </c>
      <c r="D194" s="778">
        <v>0</v>
      </c>
      <c r="E194" s="778">
        <v>0</v>
      </c>
      <c r="F194" s="778">
        <v>0</v>
      </c>
      <c r="G194" s="56">
        <v>0</v>
      </c>
      <c r="H194" s="56">
        <v>0</v>
      </c>
      <c r="I194" s="56">
        <v>0</v>
      </c>
      <c r="J194" s="56">
        <v>0</v>
      </c>
      <c r="K194" s="56">
        <v>6388</v>
      </c>
      <c r="L194" s="56">
        <v>6727</v>
      </c>
      <c r="M194" s="56">
        <v>6788</v>
      </c>
      <c r="N194" s="56">
        <v>7305</v>
      </c>
      <c r="O194" s="56">
        <v>7253</v>
      </c>
      <c r="Q194" s="776" t="s">
        <v>887</v>
      </c>
    </row>
    <row r="195" spans="1:17">
      <c r="A195" s="776" t="s">
        <v>5426</v>
      </c>
      <c r="B195" s="776" t="s">
        <v>2992</v>
      </c>
      <c r="C195" s="55" t="s">
        <v>11767</v>
      </c>
      <c r="D195" s="778">
        <v>0</v>
      </c>
      <c r="E195" s="778">
        <v>0</v>
      </c>
      <c r="F195" s="778">
        <v>0</v>
      </c>
      <c r="G195" s="56">
        <v>0</v>
      </c>
      <c r="H195" s="56">
        <v>0</v>
      </c>
      <c r="I195" s="56">
        <v>0</v>
      </c>
      <c r="J195" s="56">
        <v>0</v>
      </c>
      <c r="K195" s="56">
        <v>4768</v>
      </c>
      <c r="L195" s="56">
        <v>4820</v>
      </c>
      <c r="M195" s="56">
        <v>4978</v>
      </c>
      <c r="N195" s="56">
        <v>5135</v>
      </c>
      <c r="O195" s="56">
        <v>5125</v>
      </c>
      <c r="Q195" s="776" t="s">
        <v>1577</v>
      </c>
    </row>
    <row r="196" spans="1:17" ht="15.75" thickBot="1">
      <c r="B196" s="776"/>
      <c r="C196" s="55" t="s">
        <v>11767</v>
      </c>
      <c r="D196" s="778">
        <v>0</v>
      </c>
      <c r="E196" s="778">
        <v>0</v>
      </c>
      <c r="F196" s="778">
        <v>0</v>
      </c>
      <c r="G196" s="56">
        <v>0</v>
      </c>
      <c r="H196" s="56">
        <v>0</v>
      </c>
      <c r="I196" s="56">
        <v>0</v>
      </c>
      <c r="J196" s="56">
        <v>0</v>
      </c>
      <c r="K196" s="56">
        <v>1757</v>
      </c>
      <c r="L196" s="56">
        <v>1752</v>
      </c>
      <c r="M196" s="56">
        <v>1723</v>
      </c>
      <c r="N196" s="56">
        <v>1747</v>
      </c>
      <c r="O196" s="56">
        <v>1743</v>
      </c>
      <c r="Q196" s="776" t="s">
        <v>887</v>
      </c>
    </row>
    <row r="197" spans="1:17" ht="15.75" thickBot="1">
      <c r="A197" s="776"/>
      <c r="B197" s="776"/>
      <c r="C197" s="55" t="s">
        <v>11767</v>
      </c>
      <c r="D197" s="787">
        <f>D195+D196</f>
        <v>0</v>
      </c>
      <c r="E197" s="787">
        <f t="shared" ref="E197:L197" si="115">E195+E196</f>
        <v>0</v>
      </c>
      <c r="F197" s="787">
        <f t="shared" si="115"/>
        <v>0</v>
      </c>
      <c r="G197" s="787">
        <f t="shared" si="115"/>
        <v>0</v>
      </c>
      <c r="H197" s="787">
        <f t="shared" si="115"/>
        <v>0</v>
      </c>
      <c r="I197" s="787">
        <f t="shared" si="115"/>
        <v>0</v>
      </c>
      <c r="J197" s="787">
        <f t="shared" si="115"/>
        <v>0</v>
      </c>
      <c r="K197" s="787">
        <f t="shared" si="115"/>
        <v>6525</v>
      </c>
      <c r="L197" s="787">
        <f t="shared" si="115"/>
        <v>6572</v>
      </c>
      <c r="M197" s="787">
        <f>M195+M196</f>
        <v>6701</v>
      </c>
      <c r="N197" s="787">
        <f>N195+N196</f>
        <v>6882</v>
      </c>
      <c r="O197" s="787">
        <f>O195+O196</f>
        <v>6868</v>
      </c>
      <c r="Q197" s="776"/>
    </row>
    <row r="198" spans="1:17">
      <c r="A198" s="776" t="s">
        <v>5428</v>
      </c>
      <c r="B198" s="776" t="s">
        <v>2993</v>
      </c>
      <c r="C198" s="55" t="s">
        <v>11768</v>
      </c>
      <c r="D198" s="778">
        <v>0</v>
      </c>
      <c r="E198" s="778">
        <v>0</v>
      </c>
      <c r="F198" s="778">
        <v>0</v>
      </c>
      <c r="G198" s="56">
        <v>0</v>
      </c>
      <c r="H198" s="56">
        <v>0</v>
      </c>
      <c r="I198" s="56">
        <v>0</v>
      </c>
      <c r="J198" s="56">
        <v>0</v>
      </c>
      <c r="K198" s="56">
        <v>7064</v>
      </c>
      <c r="L198" s="56">
        <v>6996</v>
      </c>
      <c r="M198" s="56">
        <v>7087</v>
      </c>
      <c r="N198" s="56">
        <v>7190</v>
      </c>
      <c r="O198" s="56">
        <v>7187</v>
      </c>
      <c r="Q198" s="776" t="s">
        <v>887</v>
      </c>
    </row>
    <row r="199" spans="1:17">
      <c r="A199" s="776" t="s">
        <v>5429</v>
      </c>
      <c r="B199" s="162" t="s">
        <v>2994</v>
      </c>
      <c r="C199" s="55" t="s">
        <v>11769</v>
      </c>
      <c r="D199" s="778">
        <v>0</v>
      </c>
      <c r="E199" s="778">
        <v>0</v>
      </c>
      <c r="F199" s="778">
        <v>0</v>
      </c>
      <c r="G199" s="56">
        <v>0</v>
      </c>
      <c r="H199" s="56">
        <v>0</v>
      </c>
      <c r="I199" s="56">
        <v>0</v>
      </c>
      <c r="J199" s="56">
        <v>0</v>
      </c>
      <c r="K199" s="56">
        <v>4924</v>
      </c>
      <c r="L199" s="56">
        <v>5114</v>
      </c>
      <c r="M199" s="56">
        <v>5268</v>
      </c>
      <c r="N199" s="56">
        <v>5622</v>
      </c>
      <c r="O199" s="56">
        <v>5620</v>
      </c>
      <c r="Q199" s="776" t="s">
        <v>1577</v>
      </c>
    </row>
    <row r="200" spans="1:17" ht="15.75" thickBot="1">
      <c r="A200" s="776"/>
      <c r="C200" s="55" t="s">
        <v>11769</v>
      </c>
      <c r="D200" s="778">
        <v>0</v>
      </c>
      <c r="E200" s="778">
        <v>0</v>
      </c>
      <c r="F200" s="778">
        <v>0</v>
      </c>
      <c r="G200" s="56">
        <v>0</v>
      </c>
      <c r="H200" s="56">
        <v>0</v>
      </c>
      <c r="I200" s="56">
        <v>0</v>
      </c>
      <c r="J200" s="56">
        <v>0</v>
      </c>
      <c r="K200" s="58">
        <v>1555</v>
      </c>
      <c r="L200" s="58">
        <v>1586</v>
      </c>
      <c r="M200" s="58">
        <v>1587</v>
      </c>
      <c r="N200" s="58">
        <v>1590</v>
      </c>
      <c r="O200" s="58">
        <v>1588</v>
      </c>
      <c r="Q200" s="776" t="s">
        <v>887</v>
      </c>
    </row>
    <row r="201" spans="1:17" ht="15.75" thickBot="1">
      <c r="A201" s="776"/>
      <c r="C201" s="55" t="s">
        <v>11769</v>
      </c>
      <c r="D201" s="787">
        <f>D199+D200</f>
        <v>0</v>
      </c>
      <c r="E201" s="787">
        <f t="shared" ref="E201:K201" si="116">E199+E200</f>
        <v>0</v>
      </c>
      <c r="F201" s="787">
        <f t="shared" si="116"/>
        <v>0</v>
      </c>
      <c r="G201" s="787">
        <f t="shared" si="116"/>
        <v>0</v>
      </c>
      <c r="H201" s="787">
        <f t="shared" si="116"/>
        <v>0</v>
      </c>
      <c r="I201" s="787">
        <f t="shared" si="116"/>
        <v>0</v>
      </c>
      <c r="J201" s="787">
        <f t="shared" si="116"/>
        <v>0</v>
      </c>
      <c r="K201" s="787">
        <f t="shared" si="116"/>
        <v>6479</v>
      </c>
      <c r="L201" s="787">
        <f>L199+L200</f>
        <v>6700</v>
      </c>
      <c r="M201" s="787">
        <f>M199+M200</f>
        <v>6855</v>
      </c>
      <c r="N201" s="787">
        <f>N199+N200</f>
        <v>7212</v>
      </c>
      <c r="O201" s="787">
        <f>O199+O200</f>
        <v>7208</v>
      </c>
      <c r="Q201" s="776"/>
    </row>
    <row r="202" spans="1:17">
      <c r="A202" s="776"/>
      <c r="B202" s="776"/>
      <c r="C202" s="776"/>
      <c r="D202" s="778"/>
      <c r="E202" s="778"/>
      <c r="F202" s="778"/>
      <c r="G202" s="778"/>
      <c r="H202" s="778"/>
      <c r="I202" s="778"/>
      <c r="J202" s="778"/>
      <c r="K202" s="778"/>
      <c r="L202" s="778"/>
      <c r="M202" s="778"/>
      <c r="N202" s="778"/>
      <c r="O202" s="778"/>
      <c r="Q202" s="776"/>
    </row>
    <row r="203" spans="1:17">
      <c r="A203" s="776" t="s">
        <v>4189</v>
      </c>
      <c r="D203" s="778">
        <f t="shared" ref="D203:K203" si="117">D191+D195+D199</f>
        <v>8974</v>
      </c>
      <c r="E203" s="778">
        <f t="shared" si="117"/>
        <v>9128</v>
      </c>
      <c r="F203" s="778">
        <f t="shared" si="117"/>
        <v>9352</v>
      </c>
      <c r="G203" s="778">
        <f t="shared" si="117"/>
        <v>9501</v>
      </c>
      <c r="H203" s="778">
        <f t="shared" si="117"/>
        <v>9693</v>
      </c>
      <c r="I203" s="778">
        <f t="shared" si="117"/>
        <v>9702</v>
      </c>
      <c r="J203" s="778">
        <f t="shared" si="117"/>
        <v>9827</v>
      </c>
      <c r="K203" s="778">
        <f t="shared" si="117"/>
        <v>10445</v>
      </c>
      <c r="L203" s="778">
        <f>L191+L195+L199</f>
        <v>10689</v>
      </c>
      <c r="M203" s="778">
        <f>M191+M195+M199</f>
        <v>11000</v>
      </c>
      <c r="N203" s="778">
        <f>N191+N195+N199</f>
        <v>11522</v>
      </c>
      <c r="O203" s="778">
        <f>O191+O195+O199</f>
        <v>11512</v>
      </c>
    </row>
    <row r="204" spans="1:17">
      <c r="A204" s="776" t="s">
        <v>887</v>
      </c>
      <c r="D204" s="778">
        <f t="shared" ref="D204:K204" si="118">SUM(D183:D190)+D192+D196+D194+D198+D200</f>
        <v>75936</v>
      </c>
      <c r="E204" s="778">
        <f t="shared" si="118"/>
        <v>76796</v>
      </c>
      <c r="F204" s="778">
        <f t="shared" si="118"/>
        <v>78036</v>
      </c>
      <c r="G204" s="778">
        <f t="shared" si="118"/>
        <v>77788</v>
      </c>
      <c r="H204" s="778">
        <f t="shared" si="118"/>
        <v>78826</v>
      </c>
      <c r="I204" s="778">
        <f t="shared" si="118"/>
        <v>74040</v>
      </c>
      <c r="J204" s="778">
        <f t="shared" si="118"/>
        <v>71404</v>
      </c>
      <c r="K204" s="778">
        <f t="shared" si="118"/>
        <v>73209</v>
      </c>
      <c r="L204" s="778">
        <f>SUM(L183:L190)+L192+L196+L194+L198+L200</f>
        <v>74767</v>
      </c>
      <c r="M204" s="778">
        <f>SUM(M183:M190)+M192+M196+M194+M198+M200</f>
        <v>74955</v>
      </c>
      <c r="N204" s="778">
        <f>SUM(N183:N190)+N192+N196+N194+N198+N200</f>
        <v>80984</v>
      </c>
      <c r="O204" s="778">
        <f>SUM(O183:O190)+O192+O196+O194+O198+O200</f>
        <v>80676</v>
      </c>
    </row>
    <row r="205" spans="1:17">
      <c r="A205" s="776"/>
      <c r="B205" s="776"/>
      <c r="D205" s="782"/>
      <c r="E205" s="782"/>
      <c r="F205" s="782"/>
      <c r="G205" s="782"/>
      <c r="H205" s="782"/>
      <c r="I205" s="782"/>
      <c r="J205" s="782"/>
      <c r="K205" s="782"/>
      <c r="L205" s="782"/>
      <c r="M205" s="782"/>
      <c r="N205" s="782"/>
      <c r="O205" s="782"/>
    </row>
    <row r="206" spans="1:17">
      <c r="A206" s="776" t="s">
        <v>11770</v>
      </c>
      <c r="B206" s="776"/>
      <c r="D206" s="782"/>
      <c r="E206" s="782"/>
      <c r="F206" s="782"/>
      <c r="G206" s="782"/>
      <c r="H206" s="782"/>
      <c r="I206" s="782"/>
      <c r="J206" s="782"/>
      <c r="K206" s="782"/>
      <c r="L206" s="782"/>
      <c r="M206" s="782"/>
      <c r="N206" s="782"/>
      <c r="O206" s="782"/>
    </row>
    <row r="207" spans="1:17">
      <c r="A207" s="776"/>
      <c r="B207" s="776"/>
      <c r="D207" s="782"/>
      <c r="E207" s="782"/>
      <c r="F207" s="782"/>
      <c r="G207" s="782"/>
      <c r="H207" s="782"/>
      <c r="I207" s="782"/>
      <c r="J207" s="782"/>
      <c r="K207" s="782"/>
      <c r="L207" s="782"/>
      <c r="M207" s="782"/>
      <c r="N207" s="782"/>
      <c r="O207" s="782"/>
    </row>
    <row r="208" spans="1:17">
      <c r="A208" s="776"/>
      <c r="B208" s="776"/>
      <c r="D208" s="782"/>
      <c r="E208" s="782"/>
      <c r="F208" s="782"/>
      <c r="G208" s="782"/>
      <c r="H208" s="782"/>
      <c r="I208" s="782"/>
      <c r="J208" s="782"/>
      <c r="K208" s="782"/>
      <c r="L208" s="782"/>
      <c r="M208" s="782"/>
      <c r="N208" s="782"/>
      <c r="O208" s="782"/>
    </row>
    <row r="209" spans="1:17">
      <c r="E209" s="51" t="s">
        <v>1526</v>
      </c>
      <c r="F209" s="51"/>
      <c r="G209" s="51"/>
      <c r="H209" s="51"/>
      <c r="I209" s="51"/>
      <c r="J209" s="51"/>
      <c r="K209" s="51"/>
      <c r="L209" s="51"/>
      <c r="M209" s="51"/>
      <c r="N209" s="51"/>
      <c r="O209" s="51"/>
      <c r="P209" s="11"/>
      <c r="Q209" s="11" t="s">
        <v>9479</v>
      </c>
    </row>
    <row r="210" spans="1:17">
      <c r="D210" s="350">
        <v>2010</v>
      </c>
      <c r="E210" s="350">
        <v>2011</v>
      </c>
      <c r="F210" s="350">
        <v>2012</v>
      </c>
      <c r="G210" s="350">
        <v>2013</v>
      </c>
      <c r="H210" s="350">
        <v>2014</v>
      </c>
      <c r="I210" s="350">
        <v>2015</v>
      </c>
      <c r="J210" s="350">
        <v>2016</v>
      </c>
      <c r="K210" s="350">
        <v>2017</v>
      </c>
      <c r="L210" s="350">
        <v>2018</v>
      </c>
      <c r="M210" s="350">
        <v>2019</v>
      </c>
      <c r="N210" s="350">
        <v>2020</v>
      </c>
      <c r="O210" s="981" t="s">
        <v>14823</v>
      </c>
      <c r="Q210" s="13" t="s">
        <v>1527</v>
      </c>
    </row>
    <row r="211" spans="1:17">
      <c r="A211" s="776" t="s">
        <v>2995</v>
      </c>
      <c r="D211" s="778">
        <f t="shared" ref="D211:I211" si="119">SUM(D212:D235)</f>
        <v>59582</v>
      </c>
      <c r="E211" s="778">
        <f t="shared" si="119"/>
        <v>59274</v>
      </c>
      <c r="F211" s="778">
        <f t="shared" si="119"/>
        <v>59841</v>
      </c>
      <c r="G211" s="778">
        <f t="shared" si="119"/>
        <v>59912</v>
      </c>
      <c r="H211" s="778">
        <f t="shared" si="119"/>
        <v>59488</v>
      </c>
      <c r="I211" s="778">
        <f t="shared" si="119"/>
        <v>59038</v>
      </c>
      <c r="J211" s="778">
        <f t="shared" ref="J211:O211" si="120">SUM(J212:J235)</f>
        <v>57917</v>
      </c>
      <c r="K211" s="778">
        <f t="shared" si="120"/>
        <v>59306</v>
      </c>
      <c r="L211" s="778">
        <f t="shared" si="120"/>
        <v>62441</v>
      </c>
      <c r="M211" s="778">
        <f t="shared" si="120"/>
        <v>61261</v>
      </c>
      <c r="N211" s="778">
        <f t="shared" si="120"/>
        <v>61019</v>
      </c>
      <c r="O211" s="778">
        <f t="shared" si="120"/>
        <v>62983</v>
      </c>
    </row>
    <row r="212" spans="1:17">
      <c r="A212" s="776" t="s">
        <v>5387</v>
      </c>
      <c r="B212" s="776" t="s">
        <v>2996</v>
      </c>
      <c r="C212" s="55" t="s">
        <v>9262</v>
      </c>
      <c r="D212" s="778">
        <v>2980</v>
      </c>
      <c r="E212" s="778">
        <v>2900</v>
      </c>
      <c r="F212" s="778">
        <v>2938</v>
      </c>
      <c r="G212" s="56">
        <v>2920</v>
      </c>
      <c r="H212" s="56">
        <v>2892</v>
      </c>
      <c r="I212" s="56">
        <v>2876</v>
      </c>
      <c r="J212" s="56">
        <v>2798</v>
      </c>
      <c r="K212" s="56">
        <v>2828</v>
      </c>
      <c r="L212" s="56">
        <v>2924</v>
      </c>
      <c r="M212" s="56">
        <v>2847</v>
      </c>
      <c r="N212" s="56">
        <v>2910</v>
      </c>
      <c r="O212" s="56">
        <v>3032</v>
      </c>
      <c r="Q212" s="776" t="s">
        <v>1572</v>
      </c>
    </row>
    <row r="213" spans="1:17">
      <c r="A213" s="776" t="s">
        <v>5389</v>
      </c>
      <c r="B213" s="776" t="s">
        <v>2997</v>
      </c>
      <c r="C213" s="55" t="s">
        <v>8749</v>
      </c>
      <c r="D213" s="778">
        <v>1546</v>
      </c>
      <c r="E213" s="778">
        <v>1527</v>
      </c>
      <c r="F213" s="778">
        <v>1537</v>
      </c>
      <c r="G213" s="56">
        <v>1519</v>
      </c>
      <c r="H213" s="56">
        <v>1527</v>
      </c>
      <c r="I213" s="56">
        <v>1502</v>
      </c>
      <c r="J213" s="56">
        <v>1491</v>
      </c>
      <c r="K213" s="56">
        <v>1527</v>
      </c>
      <c r="L213" s="56">
        <v>1592</v>
      </c>
      <c r="M213" s="56">
        <v>1536</v>
      </c>
      <c r="N213" s="56">
        <v>1501</v>
      </c>
      <c r="O213" s="56">
        <v>1561</v>
      </c>
      <c r="Q213" s="776" t="s">
        <v>1572</v>
      </c>
    </row>
    <row r="214" spans="1:17">
      <c r="A214" s="776" t="s">
        <v>5391</v>
      </c>
      <c r="B214" s="776" t="s">
        <v>2998</v>
      </c>
      <c r="C214" s="55" t="s">
        <v>8750</v>
      </c>
      <c r="D214" s="778">
        <v>1272</v>
      </c>
      <c r="E214" s="778">
        <v>1288</v>
      </c>
      <c r="F214" s="778">
        <v>1294</v>
      </c>
      <c r="G214" s="56">
        <v>1328</v>
      </c>
      <c r="H214" s="56">
        <v>1307</v>
      </c>
      <c r="I214" s="56">
        <v>1302</v>
      </c>
      <c r="J214" s="56">
        <v>1288</v>
      </c>
      <c r="K214" s="56">
        <v>1310</v>
      </c>
      <c r="L214" s="56">
        <v>1366</v>
      </c>
      <c r="M214" s="56">
        <v>1334</v>
      </c>
      <c r="N214" s="56">
        <v>1334</v>
      </c>
      <c r="O214" s="56">
        <v>1370</v>
      </c>
      <c r="Q214" s="776" t="s">
        <v>1572</v>
      </c>
    </row>
    <row r="215" spans="1:17">
      <c r="A215" s="776" t="s">
        <v>5393</v>
      </c>
      <c r="B215" s="776" t="s">
        <v>2999</v>
      </c>
      <c r="C215" s="55" t="s">
        <v>8751</v>
      </c>
      <c r="D215" s="778">
        <v>2560</v>
      </c>
      <c r="E215" s="778">
        <v>2540</v>
      </c>
      <c r="F215" s="778">
        <v>2586</v>
      </c>
      <c r="G215" s="56">
        <v>2593</v>
      </c>
      <c r="H215" s="56">
        <v>2571</v>
      </c>
      <c r="I215" s="56">
        <v>2567</v>
      </c>
      <c r="J215" s="56">
        <v>2520</v>
      </c>
      <c r="K215" s="56">
        <v>2546</v>
      </c>
      <c r="L215" s="56">
        <v>2718</v>
      </c>
      <c r="M215" s="56">
        <v>2629</v>
      </c>
      <c r="N215" s="56">
        <v>2621</v>
      </c>
      <c r="O215" s="56">
        <v>2684</v>
      </c>
      <c r="Q215" s="776" t="s">
        <v>1595</v>
      </c>
    </row>
    <row r="216" spans="1:17">
      <c r="A216" s="776" t="s">
        <v>5394</v>
      </c>
      <c r="B216" s="776" t="s">
        <v>5904</v>
      </c>
      <c r="C216" s="55" t="s">
        <v>8752</v>
      </c>
      <c r="D216" s="778">
        <v>3211</v>
      </c>
      <c r="E216" s="778">
        <v>3158</v>
      </c>
      <c r="F216" s="778">
        <v>3118</v>
      </c>
      <c r="G216" s="56">
        <v>3076</v>
      </c>
      <c r="H216" s="56">
        <v>3020</v>
      </c>
      <c r="I216" s="56">
        <v>2969</v>
      </c>
      <c r="J216" s="56">
        <v>2924</v>
      </c>
      <c r="K216" s="56">
        <v>3025</v>
      </c>
      <c r="L216" s="56">
        <v>3215</v>
      </c>
      <c r="M216" s="56">
        <v>3183</v>
      </c>
      <c r="N216" s="56">
        <v>3123</v>
      </c>
      <c r="O216" s="56">
        <v>3239</v>
      </c>
      <c r="Q216" s="776" t="s">
        <v>1595</v>
      </c>
    </row>
    <row r="217" spans="1:17">
      <c r="A217" s="776" t="s">
        <v>5416</v>
      </c>
      <c r="B217" s="776" t="s">
        <v>3000</v>
      </c>
      <c r="C217" s="55" t="s">
        <v>8753</v>
      </c>
      <c r="D217" s="778">
        <v>2785</v>
      </c>
      <c r="E217" s="778">
        <v>2793</v>
      </c>
      <c r="F217" s="778">
        <v>2782</v>
      </c>
      <c r="G217" s="56">
        <v>2762</v>
      </c>
      <c r="H217" s="56">
        <v>2758</v>
      </c>
      <c r="I217" s="56">
        <v>2703</v>
      </c>
      <c r="J217" s="56">
        <v>2720</v>
      </c>
      <c r="K217" s="56">
        <v>2738</v>
      </c>
      <c r="L217" s="56">
        <v>2887</v>
      </c>
      <c r="M217" s="56">
        <v>2872</v>
      </c>
      <c r="N217" s="56">
        <v>2867</v>
      </c>
      <c r="O217" s="56">
        <v>2945</v>
      </c>
      <c r="Q217" s="776" t="s">
        <v>1595</v>
      </c>
    </row>
    <row r="218" spans="1:17">
      <c r="A218" s="776" t="s">
        <v>5418</v>
      </c>
      <c r="B218" s="776" t="s">
        <v>1431</v>
      </c>
      <c r="C218" s="55" t="s">
        <v>8754</v>
      </c>
      <c r="D218" s="778">
        <v>4006</v>
      </c>
      <c r="E218" s="778">
        <v>3917</v>
      </c>
      <c r="F218" s="778">
        <v>3943</v>
      </c>
      <c r="G218" s="58">
        <v>3913</v>
      </c>
      <c r="H218" s="58">
        <v>3887</v>
      </c>
      <c r="I218" s="58">
        <v>3856</v>
      </c>
      <c r="J218" s="58">
        <v>3784</v>
      </c>
      <c r="K218" s="58">
        <v>3833</v>
      </c>
      <c r="L218" s="58">
        <v>3969</v>
      </c>
      <c r="M218" s="58">
        <v>3861</v>
      </c>
      <c r="N218" s="58">
        <v>3802</v>
      </c>
      <c r="O218" s="58">
        <v>3949</v>
      </c>
      <c r="Q218" s="776" t="s">
        <v>1595</v>
      </c>
    </row>
    <row r="219" spans="1:17">
      <c r="A219" s="776" t="s">
        <v>5420</v>
      </c>
      <c r="B219" s="776" t="s">
        <v>1432</v>
      </c>
      <c r="C219" s="55" t="s">
        <v>8755</v>
      </c>
      <c r="D219" s="778">
        <v>3032</v>
      </c>
      <c r="E219" s="778">
        <v>3002</v>
      </c>
      <c r="F219" s="778">
        <v>3047</v>
      </c>
      <c r="G219" s="58">
        <v>3091</v>
      </c>
      <c r="H219" s="58">
        <v>3059</v>
      </c>
      <c r="I219" s="58">
        <v>3025</v>
      </c>
      <c r="J219" s="58">
        <v>2924</v>
      </c>
      <c r="K219" s="58">
        <v>3063</v>
      </c>
      <c r="L219" s="58">
        <v>3160</v>
      </c>
      <c r="M219" s="58">
        <v>3114</v>
      </c>
      <c r="N219" s="58">
        <v>3117</v>
      </c>
      <c r="O219" s="58">
        <v>3209</v>
      </c>
      <c r="Q219" s="776" t="s">
        <v>1595</v>
      </c>
    </row>
    <row r="220" spans="1:17">
      <c r="A220" s="776" t="s">
        <v>5422</v>
      </c>
      <c r="B220" s="776" t="s">
        <v>1433</v>
      </c>
      <c r="C220" s="55" t="s">
        <v>8756</v>
      </c>
      <c r="D220" s="778">
        <v>1449</v>
      </c>
      <c r="E220" s="778">
        <v>1476</v>
      </c>
      <c r="F220" s="778">
        <v>1459</v>
      </c>
      <c r="G220" s="58">
        <v>1507</v>
      </c>
      <c r="H220" s="58">
        <v>1461</v>
      </c>
      <c r="I220" s="58">
        <v>1442</v>
      </c>
      <c r="J220" s="58">
        <v>1440</v>
      </c>
      <c r="K220" s="58">
        <v>1474</v>
      </c>
      <c r="L220" s="58">
        <v>1676</v>
      </c>
      <c r="M220" s="58">
        <v>1806</v>
      </c>
      <c r="N220" s="58">
        <v>2089</v>
      </c>
      <c r="O220" s="58">
        <v>2182</v>
      </c>
      <c r="Q220" s="776" t="s">
        <v>1595</v>
      </c>
    </row>
    <row r="221" spans="1:17">
      <c r="A221" s="776" t="s">
        <v>5424</v>
      </c>
      <c r="B221" s="776" t="s">
        <v>9471</v>
      </c>
      <c r="C221" s="55" t="s">
        <v>8757</v>
      </c>
      <c r="D221" s="778">
        <v>2887</v>
      </c>
      <c r="E221" s="778">
        <v>2813</v>
      </c>
      <c r="F221" s="778">
        <v>2802</v>
      </c>
      <c r="G221" s="58">
        <v>2813</v>
      </c>
      <c r="H221" s="58">
        <v>2940</v>
      </c>
      <c r="I221" s="58">
        <v>2948</v>
      </c>
      <c r="J221" s="58">
        <v>3001</v>
      </c>
      <c r="K221" s="58">
        <v>3150</v>
      </c>
      <c r="L221" s="58">
        <v>3344</v>
      </c>
      <c r="M221" s="58">
        <v>3258</v>
      </c>
      <c r="N221" s="58">
        <v>3053</v>
      </c>
      <c r="O221" s="58">
        <v>3136</v>
      </c>
      <c r="Q221" s="776" t="s">
        <v>1595</v>
      </c>
    </row>
    <row r="222" spans="1:17">
      <c r="A222" s="776" t="s">
        <v>5426</v>
      </c>
      <c r="B222" s="776" t="s">
        <v>1434</v>
      </c>
      <c r="C222" s="55" t="s">
        <v>8758</v>
      </c>
      <c r="D222" s="778">
        <v>1547</v>
      </c>
      <c r="E222" s="778">
        <v>1543</v>
      </c>
      <c r="F222" s="778">
        <v>1563</v>
      </c>
      <c r="G222" s="58">
        <v>1545</v>
      </c>
      <c r="H222" s="58">
        <v>1521</v>
      </c>
      <c r="I222" s="58">
        <v>1524</v>
      </c>
      <c r="J222" s="58">
        <v>1504</v>
      </c>
      <c r="K222" s="58">
        <v>1534</v>
      </c>
      <c r="L222" s="58">
        <v>1633</v>
      </c>
      <c r="M222" s="58">
        <v>1579</v>
      </c>
      <c r="N222" s="58">
        <v>1574</v>
      </c>
      <c r="O222" s="58">
        <v>1626</v>
      </c>
      <c r="Q222" s="776" t="s">
        <v>1595</v>
      </c>
    </row>
    <row r="223" spans="1:17">
      <c r="A223" s="776" t="s">
        <v>5428</v>
      </c>
      <c r="B223" s="776" t="s">
        <v>1435</v>
      </c>
      <c r="C223" s="55" t="s">
        <v>8759</v>
      </c>
      <c r="D223" s="778">
        <v>2826</v>
      </c>
      <c r="E223" s="778">
        <v>2830</v>
      </c>
      <c r="F223" s="778">
        <v>2933</v>
      </c>
      <c r="G223" s="56">
        <v>2961</v>
      </c>
      <c r="H223" s="56">
        <v>2909</v>
      </c>
      <c r="I223" s="56">
        <v>2833</v>
      </c>
      <c r="J223" s="56">
        <v>2761</v>
      </c>
      <c r="K223" s="56">
        <v>2861</v>
      </c>
      <c r="L223" s="56">
        <v>2942</v>
      </c>
      <c r="M223" s="56">
        <v>2893</v>
      </c>
      <c r="N223" s="56">
        <v>2819</v>
      </c>
      <c r="O223" s="56">
        <v>2912</v>
      </c>
      <c r="Q223" s="776" t="s">
        <v>1572</v>
      </c>
    </row>
    <row r="224" spans="1:17">
      <c r="A224" s="776" t="s">
        <v>5429</v>
      </c>
      <c r="B224" s="776" t="s">
        <v>1436</v>
      </c>
      <c r="C224" s="55" t="s">
        <v>8760</v>
      </c>
      <c r="D224" s="778">
        <v>4445</v>
      </c>
      <c r="E224" s="778">
        <v>4436</v>
      </c>
      <c r="F224" s="778">
        <v>4491</v>
      </c>
      <c r="G224" s="58">
        <v>4503</v>
      </c>
      <c r="H224" s="58">
        <v>4491</v>
      </c>
      <c r="I224" s="58">
        <v>4488</v>
      </c>
      <c r="J224" s="58">
        <v>4354</v>
      </c>
      <c r="K224" s="58">
        <v>4490</v>
      </c>
      <c r="L224" s="58">
        <v>4686</v>
      </c>
      <c r="M224" s="58">
        <v>4539</v>
      </c>
      <c r="N224" s="58">
        <v>4493</v>
      </c>
      <c r="O224" s="58">
        <v>4618</v>
      </c>
      <c r="Q224" s="776" t="s">
        <v>1595</v>
      </c>
    </row>
    <row r="225" spans="1:17">
      <c r="A225" s="776" t="s">
        <v>5431</v>
      </c>
      <c r="B225" s="776" t="s">
        <v>1437</v>
      </c>
      <c r="C225" s="55" t="s">
        <v>8761</v>
      </c>
      <c r="D225" s="778">
        <v>4554</v>
      </c>
      <c r="E225" s="778">
        <v>4459</v>
      </c>
      <c r="F225" s="778">
        <v>4591</v>
      </c>
      <c r="G225" s="58">
        <v>4632</v>
      </c>
      <c r="H225" s="58">
        <v>4556</v>
      </c>
      <c r="I225" s="58">
        <v>4533</v>
      </c>
      <c r="J225" s="58">
        <v>4380</v>
      </c>
      <c r="K225" s="58">
        <v>4521</v>
      </c>
      <c r="L225" s="58">
        <v>4730</v>
      </c>
      <c r="M225" s="58">
        <v>4598</v>
      </c>
      <c r="N225" s="58">
        <v>4498</v>
      </c>
      <c r="O225" s="58">
        <v>4664</v>
      </c>
      <c r="Q225" s="776" t="s">
        <v>1595</v>
      </c>
    </row>
    <row r="226" spans="1:17">
      <c r="A226" s="776" t="s">
        <v>5433</v>
      </c>
      <c r="B226" s="776" t="s">
        <v>1438</v>
      </c>
      <c r="C226" s="55" t="s">
        <v>9467</v>
      </c>
      <c r="D226" s="778">
        <v>1237</v>
      </c>
      <c r="E226" s="778">
        <v>1281</v>
      </c>
      <c r="F226" s="778">
        <v>1285</v>
      </c>
      <c r="G226" s="56">
        <v>1307</v>
      </c>
      <c r="H226" s="56">
        <v>1274</v>
      </c>
      <c r="I226" s="56">
        <v>1258</v>
      </c>
      <c r="J226" s="56">
        <v>1195</v>
      </c>
      <c r="K226" s="56">
        <v>1222</v>
      </c>
      <c r="L226" s="56">
        <v>1279</v>
      </c>
      <c r="M226" s="56">
        <v>1265</v>
      </c>
      <c r="N226" s="56">
        <v>1264</v>
      </c>
      <c r="O226" s="56">
        <v>1306</v>
      </c>
      <c r="Q226" s="776" t="s">
        <v>1572</v>
      </c>
    </row>
    <row r="227" spans="1:17">
      <c r="A227" s="776" t="s">
        <v>5435</v>
      </c>
      <c r="B227" s="776" t="s">
        <v>1439</v>
      </c>
      <c r="C227" s="55" t="s">
        <v>8762</v>
      </c>
      <c r="D227" s="778">
        <v>2646</v>
      </c>
      <c r="E227" s="778">
        <v>2680</v>
      </c>
      <c r="F227" s="778">
        <v>2698</v>
      </c>
      <c r="G227" s="56">
        <v>2710</v>
      </c>
      <c r="H227" s="56">
        <v>2699</v>
      </c>
      <c r="I227" s="56">
        <v>2666</v>
      </c>
      <c r="J227" s="56">
        <v>2653</v>
      </c>
      <c r="K227" s="56">
        <v>2711</v>
      </c>
      <c r="L227" s="56">
        <v>2832</v>
      </c>
      <c r="M227" s="56">
        <v>2739</v>
      </c>
      <c r="N227" s="56">
        <v>2718</v>
      </c>
      <c r="O227" s="56">
        <v>2789</v>
      </c>
      <c r="Q227" s="776" t="s">
        <v>1572</v>
      </c>
    </row>
    <row r="228" spans="1:17">
      <c r="A228" s="776" t="s">
        <v>5436</v>
      </c>
      <c r="B228" s="776" t="s">
        <v>1440</v>
      </c>
      <c r="C228" s="55" t="s">
        <v>8763</v>
      </c>
      <c r="D228" s="778">
        <v>1468</v>
      </c>
      <c r="E228" s="778">
        <v>1464</v>
      </c>
      <c r="F228" s="778">
        <v>1483</v>
      </c>
      <c r="G228" s="56">
        <v>1498</v>
      </c>
      <c r="H228" s="56">
        <v>1474</v>
      </c>
      <c r="I228" s="56">
        <v>1491</v>
      </c>
      <c r="J228" s="56">
        <v>1469</v>
      </c>
      <c r="K228" s="56">
        <v>1448</v>
      </c>
      <c r="L228" s="56">
        <v>1562</v>
      </c>
      <c r="M228" s="56">
        <v>1541</v>
      </c>
      <c r="N228" s="56">
        <v>1518</v>
      </c>
      <c r="O228" s="56">
        <v>1563</v>
      </c>
      <c r="Q228" s="776" t="s">
        <v>1572</v>
      </c>
    </row>
    <row r="229" spans="1:17">
      <c r="A229" s="776" t="s">
        <v>5437</v>
      </c>
      <c r="B229" s="776" t="s">
        <v>1441</v>
      </c>
      <c r="C229" s="55" t="s">
        <v>8764</v>
      </c>
      <c r="D229" s="778">
        <v>1302</v>
      </c>
      <c r="E229" s="778">
        <v>1342</v>
      </c>
      <c r="F229" s="778">
        <v>1337</v>
      </c>
      <c r="G229" s="56">
        <v>1342</v>
      </c>
      <c r="H229" s="56">
        <v>1336</v>
      </c>
      <c r="I229" s="56">
        <v>1320</v>
      </c>
      <c r="J229" s="56">
        <v>1297</v>
      </c>
      <c r="K229" s="56">
        <v>1321</v>
      </c>
      <c r="L229" s="56">
        <v>1387</v>
      </c>
      <c r="M229" s="56">
        <v>1350</v>
      </c>
      <c r="N229" s="56">
        <v>1378</v>
      </c>
      <c r="O229" s="56">
        <v>1395</v>
      </c>
      <c r="Q229" s="776" t="s">
        <v>1572</v>
      </c>
    </row>
    <row r="230" spans="1:17">
      <c r="A230" s="776" t="s">
        <v>5439</v>
      </c>
      <c r="B230" s="776" t="s">
        <v>1442</v>
      </c>
      <c r="C230" s="55" t="s">
        <v>8765</v>
      </c>
      <c r="D230" s="778">
        <v>1342</v>
      </c>
      <c r="E230" s="778">
        <v>1346</v>
      </c>
      <c r="F230" s="778">
        <v>1372</v>
      </c>
      <c r="G230" s="56">
        <v>1374</v>
      </c>
      <c r="H230" s="56">
        <v>1336</v>
      </c>
      <c r="I230" s="56">
        <v>1327</v>
      </c>
      <c r="J230" s="56">
        <v>1315</v>
      </c>
      <c r="K230" s="56">
        <v>1369</v>
      </c>
      <c r="L230" s="56">
        <v>1429</v>
      </c>
      <c r="M230" s="56">
        <v>1385</v>
      </c>
      <c r="N230" s="56">
        <v>1386</v>
      </c>
      <c r="O230" s="56">
        <v>1422</v>
      </c>
      <c r="Q230" s="776" t="s">
        <v>1572</v>
      </c>
    </row>
    <row r="231" spans="1:17">
      <c r="A231" s="776" t="s">
        <v>5441</v>
      </c>
      <c r="B231" s="776" t="s">
        <v>1443</v>
      </c>
      <c r="C231" s="55" t="s">
        <v>8766</v>
      </c>
      <c r="D231" s="778">
        <v>3150</v>
      </c>
      <c r="E231" s="778">
        <v>3184</v>
      </c>
      <c r="F231" s="778">
        <v>3240</v>
      </c>
      <c r="G231" s="58">
        <v>3231</v>
      </c>
      <c r="H231" s="58">
        <v>3232</v>
      </c>
      <c r="I231" s="58">
        <v>3225</v>
      </c>
      <c r="J231" s="58">
        <v>3194</v>
      </c>
      <c r="K231" s="58">
        <v>3213</v>
      </c>
      <c r="L231" s="58">
        <v>3422</v>
      </c>
      <c r="M231" s="58">
        <v>3301</v>
      </c>
      <c r="N231" s="58">
        <v>3287</v>
      </c>
      <c r="O231" s="58">
        <v>3375</v>
      </c>
      <c r="Q231" s="776" t="s">
        <v>1595</v>
      </c>
    </row>
    <row r="232" spans="1:17">
      <c r="A232" s="776" t="s">
        <v>5886</v>
      </c>
      <c r="B232" s="776" t="s">
        <v>822</v>
      </c>
      <c r="C232" s="55" t="s">
        <v>8767</v>
      </c>
      <c r="D232" s="778">
        <v>1364</v>
      </c>
      <c r="E232" s="778">
        <v>1319</v>
      </c>
      <c r="F232" s="778">
        <v>1365</v>
      </c>
      <c r="G232" s="56">
        <v>1347</v>
      </c>
      <c r="H232" s="56">
        <v>1334</v>
      </c>
      <c r="I232" s="56">
        <v>1332</v>
      </c>
      <c r="J232" s="56">
        <v>1334</v>
      </c>
      <c r="K232" s="56">
        <v>1340</v>
      </c>
      <c r="L232" s="56">
        <v>1410</v>
      </c>
      <c r="M232" s="56">
        <v>1378</v>
      </c>
      <c r="N232" s="56">
        <v>1376</v>
      </c>
      <c r="O232" s="56">
        <v>1427</v>
      </c>
      <c r="Q232" s="776" t="s">
        <v>1572</v>
      </c>
    </row>
    <row r="233" spans="1:17">
      <c r="A233" s="776" t="s">
        <v>5888</v>
      </c>
      <c r="B233" s="776" t="s">
        <v>823</v>
      </c>
      <c r="C233" s="55" t="s">
        <v>8768</v>
      </c>
      <c r="D233" s="778">
        <v>1236</v>
      </c>
      <c r="E233" s="778">
        <v>1249</v>
      </c>
      <c r="F233" s="778">
        <v>1262</v>
      </c>
      <c r="G233" s="56">
        <v>1264</v>
      </c>
      <c r="H233" s="56">
        <v>1270</v>
      </c>
      <c r="I233" s="56">
        <v>1267</v>
      </c>
      <c r="J233" s="56">
        <v>1213</v>
      </c>
      <c r="K233" s="56">
        <v>1234</v>
      </c>
      <c r="L233" s="56">
        <v>1327</v>
      </c>
      <c r="M233" s="56">
        <v>1281</v>
      </c>
      <c r="N233" s="56">
        <v>1298</v>
      </c>
      <c r="O233" s="56">
        <v>1326</v>
      </c>
      <c r="Q233" s="776" t="s">
        <v>1572</v>
      </c>
    </row>
    <row r="234" spans="1:17">
      <c r="A234" s="776" t="s">
        <v>5889</v>
      </c>
      <c r="B234" s="776" t="s">
        <v>824</v>
      </c>
      <c r="C234" s="55" t="s">
        <v>8769</v>
      </c>
      <c r="D234" s="778">
        <v>4072</v>
      </c>
      <c r="E234" s="778">
        <v>4008</v>
      </c>
      <c r="F234" s="778">
        <v>4017</v>
      </c>
      <c r="G234" s="58">
        <v>3991</v>
      </c>
      <c r="H234" s="58">
        <v>3920</v>
      </c>
      <c r="I234" s="58">
        <v>3899</v>
      </c>
      <c r="J234" s="58">
        <v>3749</v>
      </c>
      <c r="K234" s="58">
        <v>3912</v>
      </c>
      <c r="L234" s="58">
        <v>4140</v>
      </c>
      <c r="M234" s="58">
        <v>4202</v>
      </c>
      <c r="N234" s="58">
        <v>4230</v>
      </c>
      <c r="O234" s="58">
        <v>4393</v>
      </c>
      <c r="Q234" s="776" t="s">
        <v>1595</v>
      </c>
    </row>
    <row r="235" spans="1:17">
      <c r="A235" s="776" t="s">
        <v>4431</v>
      </c>
      <c r="B235" s="776" t="s">
        <v>825</v>
      </c>
      <c r="C235" s="55" t="s">
        <v>11461</v>
      </c>
      <c r="D235" s="778">
        <v>2665</v>
      </c>
      <c r="E235" s="778">
        <v>2719</v>
      </c>
      <c r="F235" s="778">
        <v>2698</v>
      </c>
      <c r="G235" s="56">
        <v>2685</v>
      </c>
      <c r="H235" s="56">
        <v>2714</v>
      </c>
      <c r="I235" s="56">
        <v>2685</v>
      </c>
      <c r="J235" s="56">
        <v>2609</v>
      </c>
      <c r="K235" s="56">
        <v>2636</v>
      </c>
      <c r="L235" s="56">
        <v>2811</v>
      </c>
      <c r="M235" s="56">
        <v>2770</v>
      </c>
      <c r="N235" s="56">
        <v>2763</v>
      </c>
      <c r="O235" s="56">
        <v>2860</v>
      </c>
      <c r="Q235" s="776" t="s">
        <v>1572</v>
      </c>
    </row>
    <row r="236" spans="1:17">
      <c r="D236" s="778"/>
      <c r="E236" s="778"/>
      <c r="F236" s="778"/>
      <c r="G236" s="778"/>
      <c r="H236" s="778"/>
      <c r="I236" s="778"/>
      <c r="J236" s="778"/>
      <c r="K236" s="778"/>
      <c r="L236" s="778"/>
      <c r="M236" s="778"/>
      <c r="N236" s="778"/>
      <c r="O236" s="778"/>
    </row>
    <row r="237" spans="1:17">
      <c r="A237" s="776" t="s">
        <v>4188</v>
      </c>
      <c r="D237" s="778">
        <f t="shared" ref="D237:I237" si="121">SUM(D212:D214)+D223+SUM(D226:D230)+D232+D233+D235</f>
        <v>21884</v>
      </c>
      <c r="E237" s="778">
        <f t="shared" si="121"/>
        <v>21945</v>
      </c>
      <c r="F237" s="778">
        <f t="shared" si="121"/>
        <v>22202</v>
      </c>
      <c r="G237" s="778">
        <f t="shared" si="121"/>
        <v>22255</v>
      </c>
      <c r="H237" s="778">
        <f t="shared" si="121"/>
        <v>22072</v>
      </c>
      <c r="I237" s="778">
        <f t="shared" si="121"/>
        <v>21859</v>
      </c>
      <c r="J237" s="778">
        <f t="shared" ref="J237:O237" si="122">SUM(J212:J214)+J223+SUM(J226:J230)+J232+J233+J235</f>
        <v>21423</v>
      </c>
      <c r="K237" s="778">
        <f t="shared" si="122"/>
        <v>21807</v>
      </c>
      <c r="L237" s="778">
        <f t="shared" si="122"/>
        <v>22861</v>
      </c>
      <c r="M237" s="778">
        <f t="shared" si="122"/>
        <v>22319</v>
      </c>
      <c r="N237" s="778">
        <f t="shared" si="122"/>
        <v>22265</v>
      </c>
      <c r="O237" s="778">
        <f t="shared" si="122"/>
        <v>22963</v>
      </c>
    </row>
    <row r="238" spans="1:17">
      <c r="A238" s="776" t="s">
        <v>4190</v>
      </c>
      <c r="D238" s="778">
        <f t="shared" ref="D238:I238" si="123">SUM(D215:D222)+D224+D225+D231+D234</f>
        <v>37698</v>
      </c>
      <c r="E238" s="778">
        <f t="shared" si="123"/>
        <v>37329</v>
      </c>
      <c r="F238" s="778">
        <f t="shared" si="123"/>
        <v>37639</v>
      </c>
      <c r="G238" s="778">
        <f t="shared" si="123"/>
        <v>37657</v>
      </c>
      <c r="H238" s="778">
        <f t="shared" si="123"/>
        <v>37416</v>
      </c>
      <c r="I238" s="778">
        <f t="shared" si="123"/>
        <v>37179</v>
      </c>
      <c r="J238" s="778">
        <f t="shared" ref="J238:O238" si="124">SUM(J215:J222)+J224+J225+J231+J234</f>
        <v>36494</v>
      </c>
      <c r="K238" s="778">
        <f t="shared" si="124"/>
        <v>37499</v>
      </c>
      <c r="L238" s="778">
        <f t="shared" si="124"/>
        <v>39580</v>
      </c>
      <c r="M238" s="778">
        <f t="shared" si="124"/>
        <v>38942</v>
      </c>
      <c r="N238" s="778">
        <f t="shared" si="124"/>
        <v>38754</v>
      </c>
      <c r="O238" s="778">
        <f t="shared" si="124"/>
        <v>40020</v>
      </c>
    </row>
    <row r="239" spans="1:17">
      <c r="A239" s="776"/>
      <c r="D239" s="778"/>
      <c r="E239" s="778"/>
      <c r="F239" s="778"/>
      <c r="G239" s="778"/>
      <c r="H239" s="778"/>
      <c r="I239" s="778"/>
      <c r="J239" s="778"/>
      <c r="K239" s="778"/>
      <c r="L239" s="778"/>
      <c r="M239" s="778"/>
      <c r="N239" s="778"/>
      <c r="O239" s="778"/>
    </row>
    <row r="240" spans="1:17">
      <c r="A240" s="776" t="s">
        <v>9263</v>
      </c>
      <c r="D240" s="778"/>
      <c r="E240" s="778"/>
      <c r="F240" s="778"/>
      <c r="G240" s="778"/>
      <c r="H240" s="778"/>
      <c r="I240" s="778"/>
      <c r="J240" s="778"/>
      <c r="K240" s="778"/>
      <c r="L240" s="778"/>
      <c r="M240" s="778"/>
      <c r="N240" s="778"/>
      <c r="O240" s="778"/>
    </row>
    <row r="241" spans="1:17">
      <c r="A241" s="776" t="s">
        <v>9264</v>
      </c>
      <c r="D241" s="778"/>
      <c r="E241" s="778"/>
      <c r="F241" s="778"/>
      <c r="G241" s="778"/>
      <c r="H241" s="778"/>
      <c r="I241" s="778"/>
      <c r="J241" s="778"/>
      <c r="K241" s="778"/>
      <c r="L241" s="778"/>
      <c r="M241" s="778"/>
      <c r="N241" s="778"/>
      <c r="O241" s="778"/>
    </row>
    <row r="242" spans="1:17">
      <c r="A242" s="776"/>
      <c r="B242" s="776"/>
      <c r="D242" s="782"/>
      <c r="E242" s="782"/>
      <c r="F242" s="782"/>
      <c r="G242" s="782"/>
      <c r="H242" s="782"/>
      <c r="I242" s="782"/>
      <c r="J242" s="782"/>
      <c r="K242" s="782"/>
      <c r="L242" s="782"/>
      <c r="M242" s="782"/>
      <c r="N242" s="782"/>
      <c r="O242" s="782"/>
    </row>
    <row r="243" spans="1:17">
      <c r="A243" s="776"/>
      <c r="B243" s="776"/>
      <c r="D243" s="782"/>
      <c r="E243" s="782"/>
      <c r="F243" s="782"/>
      <c r="G243" s="782"/>
      <c r="H243" s="782"/>
      <c r="I243" s="782"/>
      <c r="J243" s="782"/>
      <c r="K243" s="782"/>
      <c r="L243" s="782"/>
      <c r="M243" s="782"/>
      <c r="N243" s="782"/>
      <c r="O243" s="782"/>
    </row>
    <row r="244" spans="1:17">
      <c r="A244" s="776"/>
      <c r="B244" s="776"/>
      <c r="D244" s="782"/>
      <c r="E244" s="782"/>
      <c r="F244" s="782"/>
      <c r="G244" s="782"/>
      <c r="H244" s="782"/>
      <c r="I244" s="782"/>
      <c r="J244" s="782"/>
      <c r="K244" s="782"/>
      <c r="L244" s="782"/>
      <c r="M244" s="782"/>
      <c r="N244" s="782"/>
      <c r="O244" s="782"/>
    </row>
    <row r="245" spans="1:17">
      <c r="E245" s="51" t="s">
        <v>1526</v>
      </c>
      <c r="F245" s="51"/>
      <c r="G245" s="51"/>
      <c r="H245" s="51"/>
      <c r="I245" s="51"/>
      <c r="J245" s="51"/>
      <c r="K245" s="51"/>
      <c r="L245" s="51"/>
      <c r="M245" s="51"/>
      <c r="N245" s="51"/>
      <c r="O245" s="51"/>
      <c r="P245" s="11"/>
      <c r="Q245" s="11" t="s">
        <v>9479</v>
      </c>
    </row>
    <row r="246" spans="1:17">
      <c r="D246" s="350">
        <v>2010</v>
      </c>
      <c r="E246" s="350">
        <v>2011</v>
      </c>
      <c r="F246" s="350">
        <v>2012</v>
      </c>
      <c r="G246" s="350">
        <v>2013</v>
      </c>
      <c r="H246" s="350">
        <v>2014</v>
      </c>
      <c r="I246" s="350">
        <v>2015</v>
      </c>
      <c r="J246" s="350">
        <v>2016</v>
      </c>
      <c r="K246" s="350">
        <v>2017</v>
      </c>
      <c r="L246" s="350">
        <v>2018</v>
      </c>
      <c r="M246" s="350">
        <v>2019</v>
      </c>
      <c r="N246" s="350">
        <v>2020</v>
      </c>
      <c r="O246" s="981" t="s">
        <v>14823</v>
      </c>
      <c r="Q246" s="13" t="s">
        <v>1527</v>
      </c>
    </row>
    <row r="247" spans="1:17">
      <c r="A247" s="776" t="s">
        <v>826</v>
      </c>
      <c r="D247" s="778">
        <f t="shared" ref="D247:N247" si="125">SUM(D248:D272)</f>
        <v>74408</v>
      </c>
      <c r="E247" s="778">
        <f t="shared" si="125"/>
        <v>75098</v>
      </c>
      <c r="F247" s="778">
        <f t="shared" si="125"/>
        <v>75353</v>
      </c>
      <c r="G247" s="778">
        <f t="shared" si="125"/>
        <v>75744</v>
      </c>
      <c r="H247" s="778">
        <f t="shared" si="125"/>
        <v>74228</v>
      </c>
      <c r="I247" s="778">
        <f t="shared" si="125"/>
        <v>73358</v>
      </c>
      <c r="J247" s="778">
        <f t="shared" si="125"/>
        <v>73240</v>
      </c>
      <c r="K247" s="778">
        <f t="shared" si="125"/>
        <v>75489</v>
      </c>
      <c r="L247" s="778">
        <f t="shared" si="125"/>
        <v>74101</v>
      </c>
      <c r="M247" s="778">
        <f t="shared" si="125"/>
        <v>73462</v>
      </c>
      <c r="N247" s="778">
        <f t="shared" si="125"/>
        <v>74112</v>
      </c>
      <c r="O247" s="778">
        <f>SUM(O248:O272)</f>
        <v>76455</v>
      </c>
    </row>
    <row r="248" spans="1:17">
      <c r="A248" s="776" t="s">
        <v>5387</v>
      </c>
      <c r="B248" s="776" t="s">
        <v>13535</v>
      </c>
      <c r="C248" s="55" t="s">
        <v>13534</v>
      </c>
      <c r="D248" s="778">
        <v>74408</v>
      </c>
      <c r="E248" s="778">
        <v>75098</v>
      </c>
      <c r="F248" s="778">
        <v>75353</v>
      </c>
      <c r="G248" s="56">
        <v>75744</v>
      </c>
      <c r="H248" s="56">
        <v>74228</v>
      </c>
      <c r="I248" s="56">
        <v>73358</v>
      </c>
      <c r="J248" s="56">
        <v>73240</v>
      </c>
      <c r="K248" s="56">
        <v>75489</v>
      </c>
      <c r="L248" s="56">
        <v>74101</v>
      </c>
      <c r="M248" s="56">
        <v>73462</v>
      </c>
      <c r="N248" s="56">
        <v>1734</v>
      </c>
      <c r="O248" s="56">
        <v>1816</v>
      </c>
      <c r="Q248" s="776" t="s">
        <v>889</v>
      </c>
    </row>
    <row r="249" spans="1:17">
      <c r="A249" s="776" t="s">
        <v>5389</v>
      </c>
      <c r="B249" s="776" t="s">
        <v>13537</v>
      </c>
      <c r="C249" s="55" t="s">
        <v>13536</v>
      </c>
      <c r="D249" s="778">
        <v>0</v>
      </c>
      <c r="E249" s="778">
        <v>0</v>
      </c>
      <c r="F249" s="778">
        <v>0</v>
      </c>
      <c r="G249" s="778">
        <v>0</v>
      </c>
      <c r="H249" s="778">
        <v>0</v>
      </c>
      <c r="I249" s="778">
        <v>0</v>
      </c>
      <c r="J249" s="778">
        <v>0</v>
      </c>
      <c r="K249" s="778">
        <v>0</v>
      </c>
      <c r="L249" s="778">
        <v>0</v>
      </c>
      <c r="M249" s="778">
        <v>0</v>
      </c>
      <c r="N249" s="56">
        <v>5836</v>
      </c>
      <c r="O249" s="56">
        <v>5988</v>
      </c>
      <c r="Q249" s="776" t="s">
        <v>889</v>
      </c>
    </row>
    <row r="250" spans="1:17">
      <c r="A250" s="776" t="s">
        <v>5391</v>
      </c>
      <c r="B250" s="776" t="s">
        <v>13539</v>
      </c>
      <c r="C250" s="55" t="s">
        <v>13538</v>
      </c>
      <c r="D250" s="778">
        <v>0</v>
      </c>
      <c r="E250" s="778">
        <v>0</v>
      </c>
      <c r="F250" s="778">
        <v>0</v>
      </c>
      <c r="G250" s="778">
        <v>0</v>
      </c>
      <c r="H250" s="778">
        <v>0</v>
      </c>
      <c r="I250" s="778">
        <v>0</v>
      </c>
      <c r="J250" s="778">
        <v>0</v>
      </c>
      <c r="K250" s="778">
        <v>0</v>
      </c>
      <c r="L250" s="778">
        <v>0</v>
      </c>
      <c r="M250" s="778">
        <v>0</v>
      </c>
      <c r="N250" s="56">
        <v>5375</v>
      </c>
      <c r="O250" s="56">
        <v>5563</v>
      </c>
      <c r="Q250" s="776" t="s">
        <v>889</v>
      </c>
    </row>
    <row r="251" spans="1:17">
      <c r="A251" s="776" t="s">
        <v>5393</v>
      </c>
      <c r="B251" s="776" t="s">
        <v>13541</v>
      </c>
      <c r="C251" s="55" t="s">
        <v>13540</v>
      </c>
      <c r="D251" s="778">
        <v>0</v>
      </c>
      <c r="E251" s="778">
        <v>0</v>
      </c>
      <c r="F251" s="778">
        <v>0</v>
      </c>
      <c r="G251" s="778">
        <v>0</v>
      </c>
      <c r="H251" s="778">
        <v>0</v>
      </c>
      <c r="I251" s="778">
        <v>0</v>
      </c>
      <c r="J251" s="778">
        <v>0</v>
      </c>
      <c r="K251" s="778">
        <v>0</v>
      </c>
      <c r="L251" s="778">
        <v>0</v>
      </c>
      <c r="M251" s="778">
        <v>0</v>
      </c>
      <c r="N251" s="56">
        <v>4939</v>
      </c>
      <c r="O251" s="56">
        <v>5096</v>
      </c>
      <c r="Q251" s="776" t="s">
        <v>889</v>
      </c>
    </row>
    <row r="252" spans="1:17">
      <c r="A252" s="776" t="s">
        <v>5394</v>
      </c>
      <c r="B252" s="776" t="s">
        <v>827</v>
      </c>
      <c r="C252" s="55" t="s">
        <v>13542</v>
      </c>
      <c r="D252" s="778">
        <v>0</v>
      </c>
      <c r="E252" s="778">
        <v>0</v>
      </c>
      <c r="F252" s="778">
        <v>0</v>
      </c>
      <c r="G252" s="778">
        <v>0</v>
      </c>
      <c r="H252" s="778">
        <v>0</v>
      </c>
      <c r="I252" s="778">
        <v>0</v>
      </c>
      <c r="J252" s="778">
        <v>0</v>
      </c>
      <c r="K252" s="778">
        <v>0</v>
      </c>
      <c r="L252" s="778">
        <v>0</v>
      </c>
      <c r="M252" s="778">
        <v>0</v>
      </c>
      <c r="N252" s="56">
        <v>1859</v>
      </c>
      <c r="O252" s="56">
        <v>1899</v>
      </c>
      <c r="Q252" s="776" t="s">
        <v>889</v>
      </c>
    </row>
    <row r="253" spans="1:17">
      <c r="A253" s="789">
        <v>6</v>
      </c>
      <c r="B253" s="776" t="s">
        <v>828</v>
      </c>
      <c r="C253" s="55" t="s">
        <v>13543</v>
      </c>
      <c r="D253" s="778">
        <v>0</v>
      </c>
      <c r="E253" s="778">
        <v>0</v>
      </c>
      <c r="F253" s="778">
        <v>0</v>
      </c>
      <c r="G253" s="778">
        <v>0</v>
      </c>
      <c r="H253" s="778">
        <v>0</v>
      </c>
      <c r="I253" s="778">
        <v>0</v>
      </c>
      <c r="J253" s="778">
        <v>0</v>
      </c>
      <c r="K253" s="778">
        <v>0</v>
      </c>
      <c r="L253" s="778">
        <v>0</v>
      </c>
      <c r="M253" s="778">
        <v>0</v>
      </c>
      <c r="N253" s="56">
        <v>1858</v>
      </c>
      <c r="O253" s="56">
        <v>1927</v>
      </c>
      <c r="Q253" s="776" t="s">
        <v>889</v>
      </c>
    </row>
    <row r="254" spans="1:17">
      <c r="A254" s="789">
        <v>7</v>
      </c>
      <c r="B254" s="776" t="s">
        <v>829</v>
      </c>
      <c r="C254" s="55" t="s">
        <v>13544</v>
      </c>
      <c r="D254" s="778">
        <v>0</v>
      </c>
      <c r="E254" s="778">
        <v>0</v>
      </c>
      <c r="F254" s="778">
        <v>0</v>
      </c>
      <c r="G254" s="778">
        <v>0</v>
      </c>
      <c r="H254" s="778">
        <v>0</v>
      </c>
      <c r="I254" s="778">
        <v>0</v>
      </c>
      <c r="J254" s="778">
        <v>0</v>
      </c>
      <c r="K254" s="778">
        <v>0</v>
      </c>
      <c r="L254" s="778">
        <v>0</v>
      </c>
      <c r="M254" s="778">
        <v>0</v>
      </c>
      <c r="N254" s="56">
        <v>3758</v>
      </c>
      <c r="O254" s="56">
        <v>3853</v>
      </c>
      <c r="Q254" s="776" t="s">
        <v>889</v>
      </c>
    </row>
    <row r="255" spans="1:17">
      <c r="A255" s="776" t="s">
        <v>5420</v>
      </c>
      <c r="B255" s="776" t="s">
        <v>13546</v>
      </c>
      <c r="C255" s="55" t="s">
        <v>13545</v>
      </c>
      <c r="D255" s="778">
        <v>0</v>
      </c>
      <c r="E255" s="778">
        <v>0</v>
      </c>
      <c r="F255" s="778">
        <v>0</v>
      </c>
      <c r="G255" s="778">
        <v>0</v>
      </c>
      <c r="H255" s="778">
        <v>0</v>
      </c>
      <c r="I255" s="778">
        <v>0</v>
      </c>
      <c r="J255" s="778">
        <v>0</v>
      </c>
      <c r="K255" s="778">
        <v>0</v>
      </c>
      <c r="L255" s="778">
        <v>0</v>
      </c>
      <c r="M255" s="778">
        <v>0</v>
      </c>
      <c r="N255" s="56">
        <v>3760</v>
      </c>
      <c r="O255" s="56">
        <v>3863</v>
      </c>
      <c r="Q255" s="776" t="s">
        <v>889</v>
      </c>
    </row>
    <row r="256" spans="1:17">
      <c r="A256" s="776" t="s">
        <v>5422</v>
      </c>
      <c r="B256" s="776" t="s">
        <v>830</v>
      </c>
      <c r="C256" s="55" t="s">
        <v>13547</v>
      </c>
      <c r="D256" s="778">
        <v>0</v>
      </c>
      <c r="E256" s="778">
        <v>0</v>
      </c>
      <c r="F256" s="778">
        <v>0</v>
      </c>
      <c r="G256" s="778">
        <v>0</v>
      </c>
      <c r="H256" s="778">
        <v>0</v>
      </c>
      <c r="I256" s="778">
        <v>0</v>
      </c>
      <c r="J256" s="778">
        <v>0</v>
      </c>
      <c r="K256" s="778">
        <v>0</v>
      </c>
      <c r="L256" s="778">
        <v>0</v>
      </c>
      <c r="M256" s="778">
        <v>0</v>
      </c>
      <c r="N256" s="56">
        <v>1960</v>
      </c>
      <c r="O256" s="56">
        <v>2007</v>
      </c>
      <c r="Q256" s="776" t="s">
        <v>889</v>
      </c>
    </row>
    <row r="257" spans="1:17">
      <c r="A257" s="776" t="s">
        <v>5424</v>
      </c>
      <c r="B257" s="776" t="s">
        <v>831</v>
      </c>
      <c r="C257" s="55" t="s">
        <v>13548</v>
      </c>
      <c r="D257" s="778">
        <v>0</v>
      </c>
      <c r="E257" s="778">
        <v>0</v>
      </c>
      <c r="F257" s="778">
        <v>0</v>
      </c>
      <c r="G257" s="778">
        <v>0</v>
      </c>
      <c r="H257" s="778">
        <v>0</v>
      </c>
      <c r="I257" s="778">
        <v>0</v>
      </c>
      <c r="J257" s="778">
        <v>0</v>
      </c>
      <c r="K257" s="778">
        <v>0</v>
      </c>
      <c r="L257" s="778">
        <v>0</v>
      </c>
      <c r="M257" s="778">
        <v>0</v>
      </c>
      <c r="N257" s="56">
        <v>1767</v>
      </c>
      <c r="O257" s="56">
        <v>1849</v>
      </c>
      <c r="Q257" s="776" t="s">
        <v>889</v>
      </c>
    </row>
    <row r="258" spans="1:17">
      <c r="A258" s="776" t="s">
        <v>5426</v>
      </c>
      <c r="B258" s="776" t="s">
        <v>832</v>
      </c>
      <c r="C258" s="55" t="s">
        <v>13549</v>
      </c>
      <c r="D258" s="778">
        <v>0</v>
      </c>
      <c r="E258" s="778">
        <v>0</v>
      </c>
      <c r="F258" s="778">
        <v>0</v>
      </c>
      <c r="G258" s="778">
        <v>0</v>
      </c>
      <c r="H258" s="778">
        <v>0</v>
      </c>
      <c r="I258" s="778">
        <v>0</v>
      </c>
      <c r="J258" s="778">
        <v>0</v>
      </c>
      <c r="K258" s="778">
        <v>0</v>
      </c>
      <c r="L258" s="778">
        <v>0</v>
      </c>
      <c r="M258" s="778">
        <v>0</v>
      </c>
      <c r="N258" s="56">
        <v>2122</v>
      </c>
      <c r="O258" s="56">
        <v>2174</v>
      </c>
      <c r="Q258" s="776" t="s">
        <v>889</v>
      </c>
    </row>
    <row r="259" spans="1:17">
      <c r="A259" s="776" t="s">
        <v>5428</v>
      </c>
      <c r="B259" s="776" t="s">
        <v>833</v>
      </c>
      <c r="C259" s="55" t="s">
        <v>13550</v>
      </c>
      <c r="D259" s="778">
        <v>0</v>
      </c>
      <c r="E259" s="778">
        <v>0</v>
      </c>
      <c r="F259" s="778">
        <v>0</v>
      </c>
      <c r="G259" s="778">
        <v>0</v>
      </c>
      <c r="H259" s="778">
        <v>0</v>
      </c>
      <c r="I259" s="778">
        <v>0</v>
      </c>
      <c r="J259" s="778">
        <v>0</v>
      </c>
      <c r="K259" s="778">
        <v>0</v>
      </c>
      <c r="L259" s="778">
        <v>0</v>
      </c>
      <c r="M259" s="778">
        <v>0</v>
      </c>
      <c r="N259" s="56">
        <v>4055</v>
      </c>
      <c r="O259" s="56">
        <v>4149</v>
      </c>
      <c r="Q259" s="776" t="s">
        <v>889</v>
      </c>
    </row>
    <row r="260" spans="1:17">
      <c r="A260" s="776" t="s">
        <v>5429</v>
      </c>
      <c r="B260" s="776" t="s">
        <v>834</v>
      </c>
      <c r="C260" s="55" t="s">
        <v>13551</v>
      </c>
      <c r="D260" s="778">
        <v>0</v>
      </c>
      <c r="E260" s="778">
        <v>0</v>
      </c>
      <c r="F260" s="778">
        <v>0</v>
      </c>
      <c r="G260" s="778">
        <v>0</v>
      </c>
      <c r="H260" s="778">
        <v>0</v>
      </c>
      <c r="I260" s="778">
        <v>0</v>
      </c>
      <c r="J260" s="778">
        <v>0</v>
      </c>
      <c r="K260" s="778">
        <v>0</v>
      </c>
      <c r="L260" s="778">
        <v>0</v>
      </c>
      <c r="M260" s="778">
        <v>0</v>
      </c>
      <c r="N260" s="56">
        <v>1655</v>
      </c>
      <c r="O260" s="56">
        <v>1763</v>
      </c>
      <c r="Q260" s="776" t="s">
        <v>889</v>
      </c>
    </row>
    <row r="261" spans="1:17">
      <c r="A261" s="776" t="s">
        <v>5431</v>
      </c>
      <c r="B261" s="776" t="s">
        <v>914</v>
      </c>
      <c r="C261" s="55" t="s">
        <v>13552</v>
      </c>
      <c r="D261" s="778">
        <v>0</v>
      </c>
      <c r="E261" s="778">
        <v>0</v>
      </c>
      <c r="F261" s="778">
        <v>0</v>
      </c>
      <c r="G261" s="778">
        <v>0</v>
      </c>
      <c r="H261" s="778">
        <v>0</v>
      </c>
      <c r="I261" s="778">
        <v>0</v>
      </c>
      <c r="J261" s="778">
        <v>0</v>
      </c>
      <c r="K261" s="778">
        <v>0</v>
      </c>
      <c r="L261" s="778">
        <v>0</v>
      </c>
      <c r="M261" s="778">
        <v>0</v>
      </c>
      <c r="N261" s="56">
        <v>5018</v>
      </c>
      <c r="O261" s="56">
        <v>5188</v>
      </c>
      <c r="Q261" s="776" t="s">
        <v>889</v>
      </c>
    </row>
    <row r="262" spans="1:17">
      <c r="A262" s="776" t="s">
        <v>5433</v>
      </c>
      <c r="B262" s="776" t="s">
        <v>1422</v>
      </c>
      <c r="C262" s="55" t="s">
        <v>13553</v>
      </c>
      <c r="D262" s="778">
        <v>0</v>
      </c>
      <c r="E262" s="778">
        <v>0</v>
      </c>
      <c r="F262" s="778">
        <v>0</v>
      </c>
      <c r="G262" s="778">
        <v>0</v>
      </c>
      <c r="H262" s="778">
        <v>0</v>
      </c>
      <c r="I262" s="778">
        <v>0</v>
      </c>
      <c r="J262" s="778">
        <v>0</v>
      </c>
      <c r="K262" s="778">
        <v>0</v>
      </c>
      <c r="L262" s="778">
        <v>0</v>
      </c>
      <c r="M262" s="778">
        <v>0</v>
      </c>
      <c r="N262" s="56">
        <v>3411</v>
      </c>
      <c r="O262" s="56">
        <v>3521</v>
      </c>
      <c r="Q262" s="776" t="s">
        <v>889</v>
      </c>
    </row>
    <row r="263" spans="1:17">
      <c r="A263" s="776" t="s">
        <v>5435</v>
      </c>
      <c r="B263" s="776" t="s">
        <v>1423</v>
      </c>
      <c r="C263" s="55" t="s">
        <v>13554</v>
      </c>
      <c r="D263" s="778">
        <v>0</v>
      </c>
      <c r="E263" s="778">
        <v>0</v>
      </c>
      <c r="F263" s="778">
        <v>0</v>
      </c>
      <c r="G263" s="778">
        <v>0</v>
      </c>
      <c r="H263" s="778">
        <v>0</v>
      </c>
      <c r="I263" s="778">
        <v>0</v>
      </c>
      <c r="J263" s="778">
        <v>0</v>
      </c>
      <c r="K263" s="778">
        <v>0</v>
      </c>
      <c r="L263" s="778">
        <v>0</v>
      </c>
      <c r="M263" s="778">
        <v>0</v>
      </c>
      <c r="N263" s="58">
        <v>1797</v>
      </c>
      <c r="O263" s="58">
        <v>1848</v>
      </c>
      <c r="Q263" s="776" t="s">
        <v>889</v>
      </c>
    </row>
    <row r="264" spans="1:17">
      <c r="A264" s="776" t="s">
        <v>5436</v>
      </c>
      <c r="B264" s="776" t="s">
        <v>13556</v>
      </c>
      <c r="C264" s="55" t="s">
        <v>13555</v>
      </c>
      <c r="D264" s="778">
        <v>0</v>
      </c>
      <c r="E264" s="778">
        <v>0</v>
      </c>
      <c r="F264" s="778">
        <v>0</v>
      </c>
      <c r="G264" s="778">
        <v>0</v>
      </c>
      <c r="H264" s="778">
        <v>0</v>
      </c>
      <c r="I264" s="778">
        <v>0</v>
      </c>
      <c r="J264" s="778">
        <v>0</v>
      </c>
      <c r="K264" s="778">
        <v>0</v>
      </c>
      <c r="L264" s="778">
        <v>0</v>
      </c>
      <c r="M264" s="778">
        <v>0</v>
      </c>
      <c r="N264" s="58">
        <v>3390</v>
      </c>
      <c r="O264" s="58">
        <v>3463</v>
      </c>
      <c r="Q264" s="776" t="s">
        <v>889</v>
      </c>
    </row>
    <row r="265" spans="1:17">
      <c r="A265" s="776" t="s">
        <v>5437</v>
      </c>
      <c r="B265" s="776" t="s">
        <v>13558</v>
      </c>
      <c r="C265" s="55" t="s">
        <v>13557</v>
      </c>
      <c r="D265" s="778">
        <v>0</v>
      </c>
      <c r="E265" s="778">
        <v>0</v>
      </c>
      <c r="F265" s="778">
        <v>0</v>
      </c>
      <c r="G265" s="778">
        <v>0</v>
      </c>
      <c r="H265" s="778">
        <v>0</v>
      </c>
      <c r="I265" s="778">
        <v>0</v>
      </c>
      <c r="J265" s="778">
        <v>0</v>
      </c>
      <c r="K265" s="778">
        <v>0</v>
      </c>
      <c r="L265" s="778">
        <v>0</v>
      </c>
      <c r="M265" s="778">
        <v>0</v>
      </c>
      <c r="N265" s="58">
        <v>1745</v>
      </c>
      <c r="O265" s="58">
        <v>1805</v>
      </c>
      <c r="Q265" s="776" t="s">
        <v>889</v>
      </c>
    </row>
    <row r="266" spans="1:17">
      <c r="A266" s="776" t="s">
        <v>5439</v>
      </c>
      <c r="B266" s="776" t="s">
        <v>2812</v>
      </c>
      <c r="C266" s="55" t="s">
        <v>13559</v>
      </c>
      <c r="D266" s="778">
        <v>0</v>
      </c>
      <c r="E266" s="778">
        <v>0</v>
      </c>
      <c r="F266" s="778">
        <v>0</v>
      </c>
      <c r="G266" s="778">
        <v>0</v>
      </c>
      <c r="H266" s="778">
        <v>0</v>
      </c>
      <c r="I266" s="778">
        <v>0</v>
      </c>
      <c r="J266" s="778">
        <v>0</v>
      </c>
      <c r="K266" s="778">
        <v>0</v>
      </c>
      <c r="L266" s="778">
        <v>0</v>
      </c>
      <c r="M266" s="778">
        <v>0</v>
      </c>
      <c r="N266" s="58">
        <v>1933</v>
      </c>
      <c r="O266" s="58">
        <v>1999</v>
      </c>
      <c r="Q266" s="776" t="s">
        <v>889</v>
      </c>
    </row>
    <row r="267" spans="1:17">
      <c r="A267" s="776" t="s">
        <v>5441</v>
      </c>
      <c r="B267" s="776" t="s">
        <v>13561</v>
      </c>
      <c r="C267" s="55" t="s">
        <v>13560</v>
      </c>
      <c r="D267" s="778">
        <v>0</v>
      </c>
      <c r="E267" s="778">
        <v>0</v>
      </c>
      <c r="F267" s="778">
        <v>0</v>
      </c>
      <c r="G267" s="778">
        <v>0</v>
      </c>
      <c r="H267" s="778">
        <v>0</v>
      </c>
      <c r="I267" s="778">
        <v>0</v>
      </c>
      <c r="J267" s="778">
        <v>0</v>
      </c>
      <c r="K267" s="778">
        <v>0</v>
      </c>
      <c r="L267" s="778">
        <v>0</v>
      </c>
      <c r="M267" s="778">
        <v>0</v>
      </c>
      <c r="N267" s="58">
        <v>1684</v>
      </c>
      <c r="O267" s="58">
        <v>1769</v>
      </c>
      <c r="Q267" s="776" t="s">
        <v>889</v>
      </c>
    </row>
    <row r="268" spans="1:17">
      <c r="A268" s="776" t="s">
        <v>5886</v>
      </c>
      <c r="B268" s="776" t="s">
        <v>2813</v>
      </c>
      <c r="C268" s="55" t="s">
        <v>13562</v>
      </c>
      <c r="D268" s="778">
        <v>0</v>
      </c>
      <c r="E268" s="778">
        <v>0</v>
      </c>
      <c r="F268" s="778">
        <v>0</v>
      </c>
      <c r="G268" s="778">
        <v>0</v>
      </c>
      <c r="H268" s="778">
        <v>0</v>
      </c>
      <c r="I268" s="778">
        <v>0</v>
      </c>
      <c r="J268" s="778">
        <v>0</v>
      </c>
      <c r="K268" s="778">
        <v>0</v>
      </c>
      <c r="L268" s="778">
        <v>0</v>
      </c>
      <c r="M268" s="778">
        <v>0</v>
      </c>
      <c r="N268" s="58">
        <v>3820</v>
      </c>
      <c r="O268" s="58">
        <v>3936</v>
      </c>
      <c r="Q268" s="776" t="s">
        <v>889</v>
      </c>
    </row>
    <row r="269" spans="1:17">
      <c r="A269" s="776" t="s">
        <v>5888</v>
      </c>
      <c r="B269" s="776" t="s">
        <v>2814</v>
      </c>
      <c r="C269" s="55" t="s">
        <v>13563</v>
      </c>
      <c r="D269" s="778">
        <v>0</v>
      </c>
      <c r="E269" s="778">
        <v>0</v>
      </c>
      <c r="F269" s="778">
        <v>0</v>
      </c>
      <c r="G269" s="778">
        <v>0</v>
      </c>
      <c r="H269" s="778">
        <v>0</v>
      </c>
      <c r="I269" s="778">
        <v>0</v>
      </c>
      <c r="J269" s="778">
        <v>0</v>
      </c>
      <c r="K269" s="778">
        <v>0</v>
      </c>
      <c r="L269" s="778">
        <v>0</v>
      </c>
      <c r="M269" s="778">
        <v>0</v>
      </c>
      <c r="N269" s="58">
        <v>1726</v>
      </c>
      <c r="O269" s="58">
        <v>1777</v>
      </c>
      <c r="Q269" s="776" t="s">
        <v>889</v>
      </c>
    </row>
    <row r="270" spans="1:17">
      <c r="A270" s="776" t="s">
        <v>5889</v>
      </c>
      <c r="B270" s="776" t="s">
        <v>13565</v>
      </c>
      <c r="C270" s="55" t="s">
        <v>13564</v>
      </c>
      <c r="D270" s="778">
        <v>0</v>
      </c>
      <c r="E270" s="778">
        <v>0</v>
      </c>
      <c r="F270" s="778">
        <v>0</v>
      </c>
      <c r="G270" s="778">
        <v>0</v>
      </c>
      <c r="H270" s="778">
        <v>0</v>
      </c>
      <c r="I270" s="778">
        <v>0</v>
      </c>
      <c r="J270" s="778">
        <v>0</v>
      </c>
      <c r="K270" s="778">
        <v>0</v>
      </c>
      <c r="L270" s="778">
        <v>0</v>
      </c>
      <c r="M270" s="778">
        <v>0</v>
      </c>
      <c r="N270" s="58">
        <v>2786</v>
      </c>
      <c r="O270" s="58">
        <v>2870</v>
      </c>
      <c r="Q270" s="776" t="s">
        <v>889</v>
      </c>
    </row>
    <row r="271" spans="1:17">
      <c r="A271" s="776" t="s">
        <v>4431</v>
      </c>
      <c r="B271" s="776" t="s">
        <v>2815</v>
      </c>
      <c r="C271" s="55" t="s">
        <v>13566</v>
      </c>
      <c r="D271" s="778">
        <v>0</v>
      </c>
      <c r="E271" s="778">
        <v>0</v>
      </c>
      <c r="F271" s="778">
        <v>0</v>
      </c>
      <c r="G271" s="778">
        <v>0</v>
      </c>
      <c r="H271" s="778">
        <v>0</v>
      </c>
      <c r="I271" s="778">
        <v>0</v>
      </c>
      <c r="J271" s="778">
        <v>0</v>
      </c>
      <c r="K271" s="778">
        <v>0</v>
      </c>
      <c r="L271" s="778">
        <v>0</v>
      </c>
      <c r="M271" s="778">
        <v>0</v>
      </c>
      <c r="N271" s="58">
        <v>4355</v>
      </c>
      <c r="O271" s="58">
        <v>4520</v>
      </c>
      <c r="Q271" s="776" t="s">
        <v>889</v>
      </c>
    </row>
    <row r="272" spans="1:17">
      <c r="A272" s="776" t="s">
        <v>4432</v>
      </c>
      <c r="B272" s="776" t="s">
        <v>2816</v>
      </c>
      <c r="C272" s="55" t="s">
        <v>13567</v>
      </c>
      <c r="D272" s="778">
        <v>0</v>
      </c>
      <c r="E272" s="778">
        <v>0</v>
      </c>
      <c r="F272" s="778">
        <v>0</v>
      </c>
      <c r="G272" s="778">
        <v>0</v>
      </c>
      <c r="H272" s="778">
        <v>0</v>
      </c>
      <c r="I272" s="778">
        <v>0</v>
      </c>
      <c r="J272" s="778">
        <v>0</v>
      </c>
      <c r="K272" s="778">
        <v>0</v>
      </c>
      <c r="L272" s="778">
        <v>0</v>
      </c>
      <c r="M272" s="778">
        <v>0</v>
      </c>
      <c r="N272" s="58">
        <v>1769</v>
      </c>
      <c r="O272" s="58">
        <v>1812</v>
      </c>
      <c r="Q272" s="776" t="s">
        <v>889</v>
      </c>
    </row>
    <row r="273" spans="1:17">
      <c r="D273" s="784"/>
      <c r="E273" s="784"/>
      <c r="F273" s="784"/>
      <c r="G273" s="784"/>
      <c r="H273" s="784"/>
      <c r="I273" s="784"/>
      <c r="J273" s="784"/>
      <c r="K273" s="784"/>
      <c r="L273" s="784"/>
      <c r="M273" s="784"/>
      <c r="N273" s="784"/>
      <c r="O273" s="784"/>
    </row>
    <row r="274" spans="1:17">
      <c r="A274" s="776" t="s">
        <v>889</v>
      </c>
      <c r="D274" s="778">
        <f t="shared" ref="D274:N274" si="126">SUM(D248:D272)</f>
        <v>74408</v>
      </c>
      <c r="E274" s="778">
        <f t="shared" si="126"/>
        <v>75098</v>
      </c>
      <c r="F274" s="778">
        <f t="shared" si="126"/>
        <v>75353</v>
      </c>
      <c r="G274" s="778">
        <f t="shared" si="126"/>
        <v>75744</v>
      </c>
      <c r="H274" s="778">
        <f t="shared" si="126"/>
        <v>74228</v>
      </c>
      <c r="I274" s="778">
        <f t="shared" si="126"/>
        <v>73358</v>
      </c>
      <c r="J274" s="778">
        <f t="shared" si="126"/>
        <v>73240</v>
      </c>
      <c r="K274" s="778">
        <f t="shared" si="126"/>
        <v>75489</v>
      </c>
      <c r="L274" s="778">
        <f t="shared" si="126"/>
        <v>74101</v>
      </c>
      <c r="M274" s="778">
        <f t="shared" si="126"/>
        <v>73462</v>
      </c>
      <c r="N274" s="778">
        <f t="shared" si="126"/>
        <v>74112</v>
      </c>
      <c r="O274" s="778">
        <f>SUM(O248:O272)</f>
        <v>76455</v>
      </c>
    </row>
    <row r="275" spans="1:17">
      <c r="A275" s="776"/>
      <c r="D275" s="778"/>
      <c r="E275" s="778"/>
      <c r="F275" s="778"/>
      <c r="G275" s="778"/>
      <c r="H275" s="778"/>
      <c r="I275" s="778"/>
      <c r="J275" s="778"/>
      <c r="K275" s="778"/>
      <c r="L275" s="778"/>
      <c r="M275" s="778"/>
      <c r="N275" s="778"/>
      <c r="O275" s="778"/>
    </row>
    <row r="276" spans="1:17">
      <c r="A276" s="776" t="s">
        <v>13568</v>
      </c>
      <c r="D276" s="778"/>
      <c r="E276" s="778"/>
      <c r="F276" s="778"/>
      <c r="G276" s="778"/>
      <c r="H276" s="778"/>
      <c r="I276" s="778"/>
      <c r="J276" s="778"/>
      <c r="K276" s="778"/>
      <c r="L276" s="778"/>
      <c r="M276" s="778"/>
      <c r="N276" s="778"/>
      <c r="O276" s="778"/>
    </row>
    <row r="277" spans="1:17">
      <c r="A277" s="776"/>
      <c r="B277" s="776"/>
      <c r="D277" s="782"/>
      <c r="E277" s="782"/>
      <c r="F277" s="782"/>
      <c r="G277" s="782"/>
      <c r="H277" s="782"/>
      <c r="I277" s="782"/>
      <c r="J277" s="782"/>
      <c r="K277" s="782"/>
      <c r="L277" s="782"/>
      <c r="M277" s="782"/>
      <c r="N277" s="782"/>
      <c r="O277" s="782"/>
    </row>
    <row r="278" spans="1:17">
      <c r="A278" s="776"/>
      <c r="B278" s="776"/>
      <c r="D278" s="782"/>
      <c r="E278" s="782"/>
      <c r="F278" s="782"/>
      <c r="G278" s="782"/>
      <c r="H278" s="782"/>
      <c r="I278" s="782"/>
      <c r="J278" s="782"/>
      <c r="K278" s="782"/>
      <c r="L278" s="782"/>
      <c r="M278" s="782"/>
      <c r="N278" s="782"/>
      <c r="O278" s="782"/>
    </row>
    <row r="279" spans="1:17">
      <c r="E279" s="51" t="s">
        <v>1526</v>
      </c>
      <c r="F279" s="51"/>
      <c r="G279" s="51"/>
      <c r="H279" s="51"/>
      <c r="I279" s="51"/>
      <c r="J279" s="51"/>
      <c r="K279" s="51"/>
      <c r="L279" s="51"/>
      <c r="M279" s="51"/>
      <c r="N279" s="51"/>
      <c r="O279" s="51"/>
      <c r="P279" s="11"/>
      <c r="Q279" s="11" t="s">
        <v>9479</v>
      </c>
    </row>
    <row r="280" spans="1:17">
      <c r="D280" s="350">
        <v>2010</v>
      </c>
      <c r="E280" s="350">
        <v>2011</v>
      </c>
      <c r="F280" s="350">
        <v>2012</v>
      </c>
      <c r="G280" s="350">
        <v>2013</v>
      </c>
      <c r="H280" s="350">
        <v>2014</v>
      </c>
      <c r="I280" s="350">
        <v>2015</v>
      </c>
      <c r="J280" s="350">
        <v>2016</v>
      </c>
      <c r="K280" s="350">
        <v>2017</v>
      </c>
      <c r="L280" s="350">
        <v>2018</v>
      </c>
      <c r="M280" s="350">
        <v>2019</v>
      </c>
      <c r="N280" s="350">
        <v>2020</v>
      </c>
      <c r="O280" s="981" t="s">
        <v>14823</v>
      </c>
      <c r="Q280" s="13" t="s">
        <v>1527</v>
      </c>
    </row>
    <row r="281" spans="1:17">
      <c r="A281" s="776" t="s">
        <v>2817</v>
      </c>
      <c r="D281" s="778">
        <f t="shared" ref="D281:I281" si="127">SUM(D282:D293)+SUM(D295:D303)</f>
        <v>68490</v>
      </c>
      <c r="E281" s="778">
        <f t="shared" si="127"/>
        <v>68283</v>
      </c>
      <c r="F281" s="778">
        <f t="shared" si="127"/>
        <v>68020</v>
      </c>
      <c r="G281" s="778">
        <f t="shared" si="127"/>
        <v>68347</v>
      </c>
      <c r="H281" s="778">
        <f t="shared" si="127"/>
        <v>68002</v>
      </c>
      <c r="I281" s="778">
        <f t="shared" si="127"/>
        <v>67311</v>
      </c>
      <c r="J281" s="778">
        <f t="shared" ref="J281:O281" si="128">SUM(J282:J293)+SUM(J295:J303)</f>
        <v>65782</v>
      </c>
      <c r="K281" s="778">
        <f t="shared" si="128"/>
        <v>67245</v>
      </c>
      <c r="L281" s="778">
        <f t="shared" si="128"/>
        <v>67313</v>
      </c>
      <c r="M281" s="778">
        <f t="shared" si="128"/>
        <v>66473</v>
      </c>
      <c r="N281" s="778">
        <f t="shared" si="128"/>
        <v>70146</v>
      </c>
      <c r="O281" s="778">
        <f t="shared" si="128"/>
        <v>69785</v>
      </c>
    </row>
    <row r="282" spans="1:17">
      <c r="A282" s="789">
        <v>1</v>
      </c>
      <c r="B282" s="776" t="s">
        <v>9880</v>
      </c>
      <c r="C282" s="55" t="s">
        <v>10320</v>
      </c>
      <c r="D282" s="778">
        <v>40642</v>
      </c>
      <c r="E282" s="778">
        <v>40423</v>
      </c>
      <c r="F282" s="778">
        <v>40177</v>
      </c>
      <c r="G282" s="56">
        <v>40309</v>
      </c>
      <c r="H282" s="56">
        <v>40203</v>
      </c>
      <c r="I282" s="56">
        <v>2359</v>
      </c>
      <c r="J282" s="56">
        <v>2306</v>
      </c>
      <c r="K282" s="56">
        <v>2375</v>
      </c>
      <c r="L282" s="56">
        <v>2392</v>
      </c>
      <c r="M282" s="56">
        <v>2316</v>
      </c>
      <c r="N282" s="56">
        <v>2447</v>
      </c>
      <c r="O282" s="56">
        <v>2435</v>
      </c>
      <c r="Q282" s="776" t="s">
        <v>1599</v>
      </c>
    </row>
    <row r="283" spans="1:17">
      <c r="A283" s="789">
        <v>2</v>
      </c>
      <c r="B283" s="776" t="s">
        <v>9881</v>
      </c>
      <c r="C283" s="55" t="s">
        <v>10321</v>
      </c>
      <c r="D283" s="778">
        <v>27848</v>
      </c>
      <c r="E283" s="778">
        <v>27860</v>
      </c>
      <c r="F283" s="778">
        <v>27843</v>
      </c>
      <c r="G283" s="56">
        <v>28038</v>
      </c>
      <c r="H283" s="56">
        <v>27799</v>
      </c>
      <c r="I283" s="56">
        <v>2236</v>
      </c>
      <c r="J283" s="56">
        <v>2197</v>
      </c>
      <c r="K283" s="56">
        <v>2283</v>
      </c>
      <c r="L283" s="56">
        <v>2248</v>
      </c>
      <c r="M283" s="56">
        <v>2255</v>
      </c>
      <c r="N283" s="56">
        <v>2290</v>
      </c>
      <c r="O283" s="56">
        <v>2273</v>
      </c>
      <c r="Q283" s="776" t="s">
        <v>1593</v>
      </c>
    </row>
    <row r="284" spans="1:17">
      <c r="A284" s="789">
        <v>3</v>
      </c>
      <c r="B284" s="776" t="s">
        <v>9882</v>
      </c>
      <c r="C284" s="55" t="s">
        <v>10322</v>
      </c>
      <c r="D284" s="778">
        <v>0</v>
      </c>
      <c r="E284" s="778">
        <v>0</v>
      </c>
      <c r="F284" s="778">
        <v>0</v>
      </c>
      <c r="G284" s="56">
        <v>0</v>
      </c>
      <c r="H284" s="56">
        <v>0</v>
      </c>
      <c r="I284" s="56">
        <v>1876</v>
      </c>
      <c r="J284" s="56">
        <v>1808</v>
      </c>
      <c r="K284" s="56">
        <v>1817</v>
      </c>
      <c r="L284" s="56">
        <v>1852</v>
      </c>
      <c r="M284" s="56">
        <v>1853</v>
      </c>
      <c r="N284" s="56">
        <v>1991</v>
      </c>
      <c r="O284" s="56">
        <v>1987</v>
      </c>
      <c r="Q284" s="776" t="s">
        <v>1599</v>
      </c>
    </row>
    <row r="285" spans="1:17">
      <c r="A285" s="789">
        <v>4</v>
      </c>
      <c r="B285" s="776" t="s">
        <v>1410</v>
      </c>
      <c r="C285" s="55" t="s">
        <v>10323</v>
      </c>
      <c r="D285" s="778">
        <v>0</v>
      </c>
      <c r="E285" s="778">
        <v>0</v>
      </c>
      <c r="F285" s="778">
        <v>0</v>
      </c>
      <c r="G285" s="56">
        <v>0</v>
      </c>
      <c r="H285" s="56">
        <v>0</v>
      </c>
      <c r="I285" s="56">
        <v>2280</v>
      </c>
      <c r="J285" s="56">
        <v>2217</v>
      </c>
      <c r="K285" s="56">
        <v>2247</v>
      </c>
      <c r="L285" s="56">
        <v>2245</v>
      </c>
      <c r="M285" s="56">
        <v>2272</v>
      </c>
      <c r="N285" s="56">
        <v>2455</v>
      </c>
      <c r="O285" s="56">
        <v>2442</v>
      </c>
      <c r="Q285" s="776" t="s">
        <v>1593</v>
      </c>
    </row>
    <row r="286" spans="1:17">
      <c r="A286" s="789">
        <v>5</v>
      </c>
      <c r="B286" s="776" t="s">
        <v>9883</v>
      </c>
      <c r="C286" s="55" t="s">
        <v>10324</v>
      </c>
      <c r="D286" s="778">
        <v>0</v>
      </c>
      <c r="E286" s="778">
        <v>0</v>
      </c>
      <c r="F286" s="778">
        <v>0</v>
      </c>
      <c r="G286" s="56">
        <v>0</v>
      </c>
      <c r="H286" s="56">
        <v>0</v>
      </c>
      <c r="I286" s="56">
        <v>2045</v>
      </c>
      <c r="J286" s="56">
        <v>1984</v>
      </c>
      <c r="K286" s="56">
        <v>2049</v>
      </c>
      <c r="L286" s="56">
        <v>2160</v>
      </c>
      <c r="M286" s="56">
        <v>2109</v>
      </c>
      <c r="N286" s="56">
        <v>2297</v>
      </c>
      <c r="O286" s="56">
        <v>2289</v>
      </c>
      <c r="Q286" s="776" t="s">
        <v>1599</v>
      </c>
    </row>
    <row r="287" spans="1:17">
      <c r="A287" s="789">
        <v>6</v>
      </c>
      <c r="B287" s="776" t="s">
        <v>9884</v>
      </c>
      <c r="C287" s="55" t="s">
        <v>10325</v>
      </c>
      <c r="D287" s="778">
        <v>0</v>
      </c>
      <c r="E287" s="778">
        <v>0</v>
      </c>
      <c r="F287" s="778">
        <v>0</v>
      </c>
      <c r="G287" s="56">
        <v>0</v>
      </c>
      <c r="H287" s="56">
        <v>0</v>
      </c>
      <c r="I287" s="56">
        <v>6359</v>
      </c>
      <c r="J287" s="56">
        <v>6216</v>
      </c>
      <c r="K287" s="56">
        <v>6276</v>
      </c>
      <c r="L287" s="56">
        <v>6149</v>
      </c>
      <c r="M287" s="56">
        <v>6021</v>
      </c>
      <c r="N287" s="56">
        <v>6313</v>
      </c>
      <c r="O287" s="56">
        <v>6278</v>
      </c>
      <c r="Q287" s="776" t="s">
        <v>1599</v>
      </c>
    </row>
    <row r="288" spans="1:17">
      <c r="A288" s="789">
        <v>7</v>
      </c>
      <c r="B288" s="776" t="s">
        <v>9885</v>
      </c>
      <c r="C288" s="55" t="s">
        <v>10326</v>
      </c>
      <c r="D288" s="778">
        <v>0</v>
      </c>
      <c r="E288" s="778">
        <v>0</v>
      </c>
      <c r="F288" s="778">
        <v>0</v>
      </c>
      <c r="G288" s="56">
        <v>0</v>
      </c>
      <c r="H288" s="56">
        <v>0</v>
      </c>
      <c r="I288" s="56">
        <v>2259</v>
      </c>
      <c r="J288" s="56">
        <v>2195</v>
      </c>
      <c r="K288" s="56">
        <v>2221</v>
      </c>
      <c r="L288" s="56">
        <v>2223</v>
      </c>
      <c r="M288" s="56">
        <v>2193</v>
      </c>
      <c r="N288" s="56">
        <v>2292</v>
      </c>
      <c r="O288" s="56">
        <v>2270</v>
      </c>
      <c r="Q288" s="776" t="s">
        <v>1593</v>
      </c>
    </row>
    <row r="289" spans="1:17">
      <c r="A289" s="789">
        <v>8</v>
      </c>
      <c r="B289" s="776" t="s">
        <v>9886</v>
      </c>
      <c r="C289" s="55" t="s">
        <v>10327</v>
      </c>
      <c r="D289" s="778">
        <v>0</v>
      </c>
      <c r="E289" s="778">
        <v>0</v>
      </c>
      <c r="F289" s="778">
        <v>0</v>
      </c>
      <c r="G289" s="56">
        <v>0</v>
      </c>
      <c r="H289" s="56">
        <v>0</v>
      </c>
      <c r="I289" s="56">
        <v>4376</v>
      </c>
      <c r="J289" s="56">
        <v>4201</v>
      </c>
      <c r="K289" s="56">
        <v>4291</v>
      </c>
      <c r="L289" s="56">
        <v>4266</v>
      </c>
      <c r="M289" s="56">
        <v>4223</v>
      </c>
      <c r="N289" s="56">
        <v>4420</v>
      </c>
      <c r="O289" s="56">
        <v>4408</v>
      </c>
      <c r="Q289" s="776" t="s">
        <v>1593</v>
      </c>
    </row>
    <row r="290" spans="1:17">
      <c r="A290" s="789">
        <v>9</v>
      </c>
      <c r="B290" s="776" t="s">
        <v>9887</v>
      </c>
      <c r="C290" s="55" t="s">
        <v>10328</v>
      </c>
      <c r="D290" s="778">
        <v>0</v>
      </c>
      <c r="E290" s="778">
        <v>0</v>
      </c>
      <c r="F290" s="778">
        <v>0</v>
      </c>
      <c r="G290" s="58">
        <v>0</v>
      </c>
      <c r="H290" s="58">
        <v>0</v>
      </c>
      <c r="I290" s="56">
        <v>4734</v>
      </c>
      <c r="J290" s="56">
        <v>4634</v>
      </c>
      <c r="K290" s="56">
        <v>4713</v>
      </c>
      <c r="L290" s="56">
        <v>4706</v>
      </c>
      <c r="M290" s="56">
        <v>4691</v>
      </c>
      <c r="N290" s="56">
        <v>4860</v>
      </c>
      <c r="O290" s="56">
        <v>4856</v>
      </c>
      <c r="Q290" s="776" t="s">
        <v>1593</v>
      </c>
    </row>
    <row r="291" spans="1:17">
      <c r="A291" s="789">
        <v>10</v>
      </c>
      <c r="B291" s="776" t="s">
        <v>9888</v>
      </c>
      <c r="C291" s="55" t="s">
        <v>10329</v>
      </c>
      <c r="D291" s="778">
        <v>0</v>
      </c>
      <c r="E291" s="778">
        <v>0</v>
      </c>
      <c r="F291" s="778">
        <v>0</v>
      </c>
      <c r="G291" s="58">
        <v>0</v>
      </c>
      <c r="H291" s="58">
        <v>0</v>
      </c>
      <c r="I291" s="56">
        <v>4640</v>
      </c>
      <c r="J291" s="56">
        <v>4454</v>
      </c>
      <c r="K291" s="56">
        <v>4500</v>
      </c>
      <c r="L291" s="56">
        <v>4436</v>
      </c>
      <c r="M291" s="56">
        <v>4369</v>
      </c>
      <c r="N291" s="56">
        <v>4523</v>
      </c>
      <c r="O291" s="56">
        <v>4475</v>
      </c>
      <c r="Q291" s="776" t="s">
        <v>1599</v>
      </c>
    </row>
    <row r="292" spans="1:17">
      <c r="A292" s="789">
        <v>11</v>
      </c>
      <c r="B292" s="776" t="s">
        <v>9889</v>
      </c>
      <c r="C292" s="55" t="s">
        <v>10330</v>
      </c>
      <c r="D292" s="778">
        <v>0</v>
      </c>
      <c r="E292" s="778">
        <v>0</v>
      </c>
      <c r="F292" s="778">
        <v>0</v>
      </c>
      <c r="G292" s="56">
        <v>0</v>
      </c>
      <c r="H292" s="56">
        <v>0</v>
      </c>
      <c r="I292" s="56">
        <v>698</v>
      </c>
      <c r="J292" s="56">
        <v>694</v>
      </c>
      <c r="K292" s="56">
        <v>718</v>
      </c>
      <c r="L292" s="56">
        <v>705</v>
      </c>
      <c r="M292" s="56">
        <v>716</v>
      </c>
      <c r="N292" s="56">
        <v>748</v>
      </c>
      <c r="O292" s="56">
        <v>750</v>
      </c>
      <c r="Q292" s="776" t="s">
        <v>1593</v>
      </c>
    </row>
    <row r="293" spans="1:17" ht="15.75" thickBot="1">
      <c r="A293" s="789"/>
      <c r="B293" s="776"/>
      <c r="C293" s="55" t="s">
        <v>10330</v>
      </c>
      <c r="D293" s="779">
        <v>0</v>
      </c>
      <c r="E293" s="779">
        <v>0</v>
      </c>
      <c r="F293" s="779">
        <v>0</v>
      </c>
      <c r="G293" s="274">
        <v>0</v>
      </c>
      <c r="H293" s="274">
        <v>0</v>
      </c>
      <c r="I293" s="56">
        <v>1317</v>
      </c>
      <c r="J293" s="56">
        <v>1360</v>
      </c>
      <c r="K293" s="56">
        <v>1426</v>
      </c>
      <c r="L293" s="56">
        <v>1443</v>
      </c>
      <c r="M293" s="56">
        <v>1444</v>
      </c>
      <c r="N293" s="56">
        <v>1502</v>
      </c>
      <c r="O293" s="56">
        <v>1497</v>
      </c>
      <c r="Q293" s="776" t="s">
        <v>1599</v>
      </c>
    </row>
    <row r="294" spans="1:17" ht="15.75" thickBot="1">
      <c r="A294" s="789"/>
      <c r="B294" s="776"/>
      <c r="C294" s="55" t="s">
        <v>10330</v>
      </c>
      <c r="D294" s="787">
        <f>D292+D293</f>
        <v>0</v>
      </c>
      <c r="E294" s="787">
        <f t="shared" ref="E294:L294" si="129">E292+E293</f>
        <v>0</v>
      </c>
      <c r="F294" s="787">
        <f t="shared" si="129"/>
        <v>0</v>
      </c>
      <c r="G294" s="787">
        <f t="shared" si="129"/>
        <v>0</v>
      </c>
      <c r="H294" s="787">
        <f t="shared" si="129"/>
        <v>0</v>
      </c>
      <c r="I294" s="787">
        <f t="shared" si="129"/>
        <v>2015</v>
      </c>
      <c r="J294" s="787">
        <f t="shared" si="129"/>
        <v>2054</v>
      </c>
      <c r="K294" s="787">
        <f t="shared" si="129"/>
        <v>2144</v>
      </c>
      <c r="L294" s="787">
        <f t="shared" si="129"/>
        <v>2148</v>
      </c>
      <c r="M294" s="787">
        <f>M292+M293</f>
        <v>2160</v>
      </c>
      <c r="N294" s="787">
        <f>N292+N293</f>
        <v>2250</v>
      </c>
      <c r="O294" s="787">
        <f>O292+O293</f>
        <v>2247</v>
      </c>
      <c r="Q294" s="776"/>
    </row>
    <row r="295" spans="1:17">
      <c r="A295" s="789">
        <v>12</v>
      </c>
      <c r="B295" s="776" t="s">
        <v>11468</v>
      </c>
      <c r="C295" s="55" t="s">
        <v>10331</v>
      </c>
      <c r="D295" s="778">
        <v>0</v>
      </c>
      <c r="E295" s="778">
        <v>0</v>
      </c>
      <c r="F295" s="56">
        <v>0</v>
      </c>
      <c r="G295" s="56">
        <v>0</v>
      </c>
      <c r="H295" s="56">
        <v>0</v>
      </c>
      <c r="I295" s="58">
        <v>2315</v>
      </c>
      <c r="J295" s="58">
        <v>2293</v>
      </c>
      <c r="K295" s="58">
        <v>2295</v>
      </c>
      <c r="L295" s="58">
        <v>2344</v>
      </c>
      <c r="M295" s="58">
        <v>2286</v>
      </c>
      <c r="N295" s="58">
        <v>2415</v>
      </c>
      <c r="O295" s="58">
        <v>2414</v>
      </c>
      <c r="Q295" s="776" t="s">
        <v>1599</v>
      </c>
    </row>
    <row r="296" spans="1:17">
      <c r="A296" s="789">
        <v>13</v>
      </c>
      <c r="B296" s="776" t="s">
        <v>11471</v>
      </c>
      <c r="C296" s="55" t="s">
        <v>10332</v>
      </c>
      <c r="D296" s="778">
        <v>0</v>
      </c>
      <c r="E296" s="778">
        <v>0</v>
      </c>
      <c r="F296" s="56">
        <v>0</v>
      </c>
      <c r="G296" s="56">
        <v>0</v>
      </c>
      <c r="H296" s="56">
        <v>0</v>
      </c>
      <c r="I296" s="56">
        <v>4803</v>
      </c>
      <c r="J296" s="56">
        <v>4785</v>
      </c>
      <c r="K296" s="56">
        <v>4929</v>
      </c>
      <c r="L296" s="56">
        <v>4930</v>
      </c>
      <c r="M296" s="56">
        <v>4795</v>
      </c>
      <c r="N296" s="56">
        <v>5059</v>
      </c>
      <c r="O296" s="56">
        <v>5043</v>
      </c>
      <c r="Q296" s="776" t="s">
        <v>1593</v>
      </c>
    </row>
    <row r="297" spans="1:17">
      <c r="A297" s="789">
        <v>14</v>
      </c>
      <c r="B297" s="776" t="s">
        <v>9890</v>
      </c>
      <c r="C297" s="55" t="s">
        <v>10333</v>
      </c>
      <c r="D297" s="778">
        <v>0</v>
      </c>
      <c r="E297" s="778">
        <v>0</v>
      </c>
      <c r="F297" s="56">
        <v>0</v>
      </c>
      <c r="G297" s="56">
        <v>0</v>
      </c>
      <c r="H297" s="56">
        <v>0</v>
      </c>
      <c r="I297" s="58">
        <v>4090</v>
      </c>
      <c r="J297" s="58">
        <v>3958</v>
      </c>
      <c r="K297" s="58">
        <v>4049</v>
      </c>
      <c r="L297" s="58">
        <v>3979</v>
      </c>
      <c r="M297" s="58">
        <v>3942</v>
      </c>
      <c r="N297" s="58">
        <v>4083</v>
      </c>
      <c r="O297" s="58">
        <v>4055</v>
      </c>
      <c r="Q297" s="776" t="s">
        <v>1599</v>
      </c>
    </row>
    <row r="298" spans="1:17">
      <c r="A298" s="789">
        <v>15</v>
      </c>
      <c r="B298" s="776" t="s">
        <v>5839</v>
      </c>
      <c r="C298" s="55" t="s">
        <v>10334</v>
      </c>
      <c r="D298" s="778">
        <v>0</v>
      </c>
      <c r="E298" s="778">
        <v>0</v>
      </c>
      <c r="F298" s="56">
        <v>0</v>
      </c>
      <c r="G298" s="56">
        <v>0</v>
      </c>
      <c r="H298" s="58">
        <v>0</v>
      </c>
      <c r="I298" s="58">
        <v>4139</v>
      </c>
      <c r="J298" s="58">
        <v>4075</v>
      </c>
      <c r="K298" s="58">
        <v>4153</v>
      </c>
      <c r="L298" s="58">
        <v>4195</v>
      </c>
      <c r="M298" s="58">
        <v>4115</v>
      </c>
      <c r="N298" s="58">
        <v>4357</v>
      </c>
      <c r="O298" s="58">
        <v>4335</v>
      </c>
      <c r="Q298" s="776" t="s">
        <v>1599</v>
      </c>
    </row>
    <row r="299" spans="1:17">
      <c r="A299" s="789">
        <v>16</v>
      </c>
      <c r="B299" s="776" t="s">
        <v>5840</v>
      </c>
      <c r="C299" s="55" t="s">
        <v>10335</v>
      </c>
      <c r="D299" s="778">
        <v>0</v>
      </c>
      <c r="E299" s="778">
        <v>0</v>
      </c>
      <c r="F299" s="56">
        <v>0</v>
      </c>
      <c r="G299" s="56">
        <v>0</v>
      </c>
      <c r="H299" s="58">
        <v>0</v>
      </c>
      <c r="I299" s="58">
        <v>2188</v>
      </c>
      <c r="J299" s="58">
        <v>2146</v>
      </c>
      <c r="K299" s="58">
        <v>2225</v>
      </c>
      <c r="L299" s="58">
        <v>2217</v>
      </c>
      <c r="M299" s="58">
        <v>2160</v>
      </c>
      <c r="N299" s="58">
        <v>2268</v>
      </c>
      <c r="O299" s="58">
        <v>2251</v>
      </c>
      <c r="Q299" s="776" t="s">
        <v>1599</v>
      </c>
    </row>
    <row r="300" spans="1:17">
      <c r="A300" s="789">
        <v>17</v>
      </c>
      <c r="B300" s="776" t="s">
        <v>9891</v>
      </c>
      <c r="C300" s="55" t="s">
        <v>10336</v>
      </c>
      <c r="D300" s="778">
        <v>0</v>
      </c>
      <c r="E300" s="778">
        <v>0</v>
      </c>
      <c r="F300" s="56">
        <v>0</v>
      </c>
      <c r="G300" s="56">
        <v>0</v>
      </c>
      <c r="H300" s="58">
        <v>0</v>
      </c>
      <c r="I300" s="58">
        <v>6541</v>
      </c>
      <c r="J300" s="58">
        <v>6364</v>
      </c>
      <c r="K300" s="58">
        <v>6583</v>
      </c>
      <c r="L300" s="58">
        <v>6751</v>
      </c>
      <c r="M300" s="58">
        <v>6636</v>
      </c>
      <c r="N300" s="58">
        <v>7267</v>
      </c>
      <c r="O300" s="58">
        <v>7200</v>
      </c>
      <c r="Q300" s="776" t="s">
        <v>1599</v>
      </c>
    </row>
    <row r="301" spans="1:17">
      <c r="A301" s="789">
        <v>18</v>
      </c>
      <c r="B301" s="776" t="s">
        <v>9892</v>
      </c>
      <c r="C301" s="55" t="s">
        <v>10337</v>
      </c>
      <c r="D301" s="778">
        <v>0</v>
      </c>
      <c r="E301" s="778">
        <v>0</v>
      </c>
      <c r="F301" s="56">
        <v>0</v>
      </c>
      <c r="G301" s="56">
        <v>0</v>
      </c>
      <c r="H301" s="56">
        <v>0</v>
      </c>
      <c r="I301" s="56">
        <v>3688</v>
      </c>
      <c r="J301" s="56">
        <v>3664</v>
      </c>
      <c r="K301" s="56">
        <v>3777</v>
      </c>
      <c r="L301" s="56">
        <v>3781</v>
      </c>
      <c r="M301" s="56">
        <v>3823</v>
      </c>
      <c r="N301" s="56">
        <v>4096</v>
      </c>
      <c r="O301" s="56">
        <v>4086</v>
      </c>
      <c r="Q301" s="776" t="s">
        <v>1593</v>
      </c>
    </row>
    <row r="302" spans="1:17">
      <c r="A302" s="789">
        <v>19</v>
      </c>
      <c r="B302" s="776" t="s">
        <v>5841</v>
      </c>
      <c r="C302" s="55" t="s">
        <v>10338</v>
      </c>
      <c r="D302" s="778">
        <v>0</v>
      </c>
      <c r="E302" s="778">
        <v>0</v>
      </c>
      <c r="F302" s="56">
        <v>0</v>
      </c>
      <c r="G302" s="56">
        <v>0</v>
      </c>
      <c r="H302" s="58">
        <v>0</v>
      </c>
      <c r="I302" s="58">
        <v>2029</v>
      </c>
      <c r="J302" s="58">
        <v>2016</v>
      </c>
      <c r="K302" s="58">
        <v>2053</v>
      </c>
      <c r="L302" s="58">
        <v>2067</v>
      </c>
      <c r="M302" s="58">
        <v>2019</v>
      </c>
      <c r="N302" s="58">
        <v>2167</v>
      </c>
      <c r="O302" s="58">
        <v>2152</v>
      </c>
      <c r="Q302" s="776" t="s">
        <v>1599</v>
      </c>
    </row>
    <row r="303" spans="1:17">
      <c r="A303" s="789">
        <v>20</v>
      </c>
      <c r="B303" s="776" t="s">
        <v>9893</v>
      </c>
      <c r="C303" s="55" t="s">
        <v>10339</v>
      </c>
      <c r="D303" s="778">
        <v>0</v>
      </c>
      <c r="E303" s="778">
        <v>0</v>
      </c>
      <c r="F303" s="56">
        <v>0</v>
      </c>
      <c r="G303" s="56">
        <v>0</v>
      </c>
      <c r="H303" s="58">
        <v>0</v>
      </c>
      <c r="I303" s="56">
        <v>2339</v>
      </c>
      <c r="J303" s="56">
        <v>2215</v>
      </c>
      <c r="K303" s="56">
        <v>2265</v>
      </c>
      <c r="L303" s="56">
        <v>2224</v>
      </c>
      <c r="M303" s="56">
        <v>2235</v>
      </c>
      <c r="N303" s="56">
        <v>2296</v>
      </c>
      <c r="O303" s="56">
        <v>2289</v>
      </c>
      <c r="Q303" s="776" t="s">
        <v>1593</v>
      </c>
    </row>
    <row r="304" spans="1:17">
      <c r="A304" s="776"/>
      <c r="B304" s="776"/>
      <c r="D304" s="778"/>
      <c r="E304" s="778"/>
      <c r="F304" s="778"/>
      <c r="G304" s="778"/>
      <c r="H304" s="778"/>
      <c r="I304" s="778"/>
      <c r="J304" s="778"/>
      <c r="K304" s="778"/>
      <c r="L304" s="778"/>
      <c r="M304" s="778"/>
      <c r="N304" s="778"/>
      <c r="O304" s="778"/>
      <c r="Q304" s="776"/>
    </row>
    <row r="305" spans="1:17">
      <c r="A305" s="776" t="s">
        <v>5677</v>
      </c>
      <c r="D305" s="778">
        <f>D283+D285+SUM(D288:D290)+D292+D296+D301+D303</f>
        <v>27848</v>
      </c>
      <c r="E305" s="778">
        <f>E283+E285+SUM(E288:E290)+E292+E296+E301+E303</f>
        <v>27860</v>
      </c>
      <c r="F305" s="778">
        <f>F283+F285+SUM(F288:F290)+F292+F296+F301+F303</f>
        <v>27843</v>
      </c>
      <c r="G305" s="778">
        <f>G283+G285+SUM(G288:G290)+G292+G296+G301+G303</f>
        <v>28038</v>
      </c>
      <c r="H305" s="778">
        <f>H283+H285+SUM(H288:H290)+H292+H296+H301+H303</f>
        <v>27799</v>
      </c>
      <c r="I305" s="778">
        <f t="shared" ref="I305:N305" si="130">I283+I285+SUM(I288:I290)+I292+I296+I301+I303</f>
        <v>27413</v>
      </c>
      <c r="J305" s="778">
        <f t="shared" si="130"/>
        <v>26802</v>
      </c>
      <c r="K305" s="778">
        <f t="shared" si="130"/>
        <v>27444</v>
      </c>
      <c r="L305" s="778">
        <f t="shared" si="130"/>
        <v>27328</v>
      </c>
      <c r="M305" s="778">
        <f t="shared" si="130"/>
        <v>27203</v>
      </c>
      <c r="N305" s="778">
        <f t="shared" si="130"/>
        <v>28516</v>
      </c>
      <c r="O305" s="778">
        <f>O283+O285+SUM(O288:O290)+O292+O296+O301+O303</f>
        <v>28417</v>
      </c>
    </row>
    <row r="306" spans="1:17">
      <c r="A306" s="776" t="s">
        <v>1360</v>
      </c>
      <c r="D306" s="778">
        <f>D282+D284+D286+D287+D291+D293+D295+SUM(D297:D300)+D302</f>
        <v>40642</v>
      </c>
      <c r="E306" s="778">
        <f>E282+E284+E286+E287+E291+E293+E295+SUM(E297:E300)+E302</f>
        <v>40423</v>
      </c>
      <c r="F306" s="778">
        <f>F282+F284+F286+F287+F291+F293+F295+SUM(F297:F300)+F302</f>
        <v>40177</v>
      </c>
      <c r="G306" s="778">
        <f>G282+G284+G286+G287+G291+G293+G295+SUM(G297:G300)+G302</f>
        <v>40309</v>
      </c>
      <c r="H306" s="778">
        <f>H282+H284+H286+H287+H291+H293+H295+SUM(H297:H300)+H302</f>
        <v>40203</v>
      </c>
      <c r="I306" s="778">
        <f t="shared" ref="I306:N306" si="131">I282+I284+I286+I287+I291+I293+I295+SUM(I297:I300)+I302</f>
        <v>39898</v>
      </c>
      <c r="J306" s="778">
        <f t="shared" si="131"/>
        <v>38980</v>
      </c>
      <c r="K306" s="778">
        <f t="shared" si="131"/>
        <v>39801</v>
      </c>
      <c r="L306" s="778">
        <f t="shared" si="131"/>
        <v>39985</v>
      </c>
      <c r="M306" s="778">
        <f t="shared" si="131"/>
        <v>39270</v>
      </c>
      <c r="N306" s="778">
        <f t="shared" si="131"/>
        <v>41630</v>
      </c>
      <c r="O306" s="778">
        <f>O282+O284+O286+O287+O291+O293+O295+SUM(O297:O300)+O302</f>
        <v>41368</v>
      </c>
    </row>
    <row r="307" spans="1:17">
      <c r="A307" s="776"/>
      <c r="B307" s="776"/>
      <c r="D307" s="782"/>
      <c r="E307" s="782"/>
      <c r="F307" s="782"/>
      <c r="G307" s="782"/>
      <c r="H307" s="782"/>
      <c r="I307" s="782"/>
      <c r="J307" s="782"/>
      <c r="K307" s="782"/>
      <c r="L307" s="782"/>
      <c r="M307" s="782"/>
      <c r="N307" s="782"/>
      <c r="O307" s="782"/>
    </row>
    <row r="308" spans="1:17">
      <c r="A308" s="776" t="s">
        <v>9894</v>
      </c>
      <c r="B308" s="776"/>
      <c r="D308" s="782"/>
      <c r="E308" s="782"/>
      <c r="F308" s="782"/>
      <c r="G308" s="782"/>
      <c r="H308" s="782"/>
      <c r="I308" s="782"/>
      <c r="J308" s="782"/>
      <c r="K308" s="782"/>
      <c r="L308" s="782"/>
      <c r="M308" s="782"/>
      <c r="N308" s="782"/>
      <c r="O308" s="782"/>
    </row>
    <row r="310" spans="1:17">
      <c r="A310" s="776"/>
      <c r="B310" s="776"/>
      <c r="D310" s="782"/>
      <c r="E310" s="782"/>
      <c r="F310" s="782"/>
      <c r="G310" s="782"/>
      <c r="H310" s="782"/>
      <c r="I310" s="782"/>
      <c r="J310" s="782"/>
      <c r="K310" s="782"/>
      <c r="L310" s="782"/>
      <c r="M310" s="782"/>
      <c r="N310" s="782"/>
      <c r="O310" s="782"/>
    </row>
    <row r="311" spans="1:17">
      <c r="E311" s="51" t="s">
        <v>1526</v>
      </c>
      <c r="F311" s="51"/>
      <c r="G311" s="51"/>
      <c r="H311" s="51"/>
      <c r="I311" s="51"/>
      <c r="J311" s="51"/>
      <c r="K311" s="51"/>
      <c r="L311" s="51"/>
      <c r="M311" s="51"/>
      <c r="N311" s="51"/>
      <c r="O311" s="51"/>
      <c r="P311" s="11"/>
      <c r="Q311" s="11" t="s">
        <v>9479</v>
      </c>
    </row>
    <row r="312" spans="1:17">
      <c r="D312" s="350">
        <v>2010</v>
      </c>
      <c r="E312" s="350">
        <v>2011</v>
      </c>
      <c r="F312" s="350">
        <v>2012</v>
      </c>
      <c r="G312" s="350">
        <v>2013</v>
      </c>
      <c r="H312" s="350">
        <v>2014</v>
      </c>
      <c r="I312" s="350">
        <v>2015</v>
      </c>
      <c r="J312" s="350">
        <v>2016</v>
      </c>
      <c r="K312" s="350">
        <v>2017</v>
      </c>
      <c r="L312" s="350">
        <v>2018</v>
      </c>
      <c r="M312" s="350">
        <v>2019</v>
      </c>
      <c r="N312" s="350">
        <v>2020</v>
      </c>
      <c r="O312" s="981" t="s">
        <v>14823</v>
      </c>
      <c r="Q312" s="13" t="s">
        <v>1527</v>
      </c>
    </row>
    <row r="313" spans="1:17">
      <c r="A313" s="776" t="s">
        <v>5842</v>
      </c>
      <c r="D313" s="778">
        <f t="shared" ref="D313:L313" si="132">SUM(D314:D316,D318:D339)</f>
        <v>101385</v>
      </c>
      <c r="E313" s="778">
        <f t="shared" si="132"/>
        <v>101677</v>
      </c>
      <c r="F313" s="778">
        <f t="shared" si="132"/>
        <v>102062</v>
      </c>
      <c r="G313" s="778">
        <f t="shared" si="132"/>
        <v>102475</v>
      </c>
      <c r="H313" s="778">
        <f t="shared" si="132"/>
        <v>103042</v>
      </c>
      <c r="I313" s="778">
        <f t="shared" si="132"/>
        <v>101328</v>
      </c>
      <c r="J313" s="778">
        <f t="shared" si="132"/>
        <v>99599</v>
      </c>
      <c r="K313" s="778">
        <f t="shared" si="132"/>
        <v>102036</v>
      </c>
      <c r="L313" s="778">
        <f t="shared" si="132"/>
        <v>103295</v>
      </c>
      <c r="M313" s="778">
        <f>SUM(M314:M316,M318:M339)</f>
        <v>102452</v>
      </c>
      <c r="N313" s="778">
        <f>SUM(N314:N316,N318:N339)</f>
        <v>103031</v>
      </c>
      <c r="O313" s="778">
        <f>SUM(O314:O316,O318:O339)</f>
        <v>106425</v>
      </c>
    </row>
    <row r="314" spans="1:17">
      <c r="A314" s="776" t="s">
        <v>5387</v>
      </c>
      <c r="B314" s="162" t="s">
        <v>5843</v>
      </c>
      <c r="C314" s="55" t="s">
        <v>14191</v>
      </c>
      <c r="D314" s="778">
        <v>69406</v>
      </c>
      <c r="E314" s="778">
        <v>69600</v>
      </c>
      <c r="F314" s="778">
        <v>69921</v>
      </c>
      <c r="G314" s="778">
        <v>70170</v>
      </c>
      <c r="H314" s="778">
        <v>70554</v>
      </c>
      <c r="I314" s="778">
        <v>69320</v>
      </c>
      <c r="J314" s="778">
        <v>67896</v>
      </c>
      <c r="K314" s="778">
        <v>69813</v>
      </c>
      <c r="L314" s="778">
        <v>70724</v>
      </c>
      <c r="M314" s="778">
        <v>4613</v>
      </c>
      <c r="N314" s="778">
        <v>4579</v>
      </c>
      <c r="O314" s="778">
        <v>4751</v>
      </c>
      <c r="Q314" s="776" t="s">
        <v>888</v>
      </c>
    </row>
    <row r="315" spans="1:17">
      <c r="A315" s="776" t="s">
        <v>5389</v>
      </c>
      <c r="B315" s="162" t="s">
        <v>12497</v>
      </c>
      <c r="C315" s="55" t="s">
        <v>14192</v>
      </c>
      <c r="D315" s="778">
        <v>0</v>
      </c>
      <c r="E315" s="778">
        <v>0</v>
      </c>
      <c r="F315" s="778">
        <v>0</v>
      </c>
      <c r="G315" s="778">
        <v>0</v>
      </c>
      <c r="H315" s="778">
        <v>0</v>
      </c>
      <c r="I315" s="778">
        <v>0</v>
      </c>
      <c r="J315" s="778">
        <v>0</v>
      </c>
      <c r="K315" s="778">
        <v>0</v>
      </c>
      <c r="L315" s="778">
        <v>0</v>
      </c>
      <c r="M315" s="778">
        <v>6673</v>
      </c>
      <c r="N315" s="778">
        <v>6634</v>
      </c>
      <c r="O315" s="778">
        <v>6899</v>
      </c>
      <c r="Q315" s="776" t="s">
        <v>1572</v>
      </c>
    </row>
    <row r="316" spans="1:17" ht="15.75" thickBot="1">
      <c r="A316" s="776"/>
      <c r="C316" s="55" t="s">
        <v>14192</v>
      </c>
      <c r="D316" s="779">
        <v>0</v>
      </c>
      <c r="E316" s="779">
        <v>0</v>
      </c>
      <c r="F316" s="779">
        <v>0</v>
      </c>
      <c r="G316" s="274">
        <v>0</v>
      </c>
      <c r="H316" s="274">
        <v>0</v>
      </c>
      <c r="I316" s="56">
        <v>0</v>
      </c>
      <c r="J316" s="56">
        <v>0</v>
      </c>
      <c r="K316" s="56">
        <v>0</v>
      </c>
      <c r="L316" s="56">
        <v>0</v>
      </c>
      <c r="M316" s="778">
        <v>129</v>
      </c>
      <c r="N316" s="778">
        <v>137</v>
      </c>
      <c r="O316" s="778">
        <v>138</v>
      </c>
      <c r="Q316" s="776" t="s">
        <v>888</v>
      </c>
    </row>
    <row r="317" spans="1:17" ht="15.75" thickBot="1">
      <c r="C317" s="55" t="s">
        <v>14192</v>
      </c>
      <c r="D317" s="787">
        <f>D315+D316</f>
        <v>0</v>
      </c>
      <c r="E317" s="787">
        <f t="shared" ref="E317:M317" si="133">E315+E316</f>
        <v>0</v>
      </c>
      <c r="F317" s="787">
        <f t="shared" si="133"/>
        <v>0</v>
      </c>
      <c r="G317" s="787">
        <f t="shared" si="133"/>
        <v>0</v>
      </c>
      <c r="H317" s="787">
        <f t="shared" si="133"/>
        <v>0</v>
      </c>
      <c r="I317" s="787">
        <f t="shared" si="133"/>
        <v>0</v>
      </c>
      <c r="J317" s="787">
        <f t="shared" si="133"/>
        <v>0</v>
      </c>
      <c r="K317" s="787">
        <f t="shared" si="133"/>
        <v>0</v>
      </c>
      <c r="L317" s="787">
        <f t="shared" si="133"/>
        <v>0</v>
      </c>
      <c r="M317" s="787">
        <f t="shared" si="133"/>
        <v>6802</v>
      </c>
      <c r="N317" s="787">
        <f>N315+N316</f>
        <v>6771</v>
      </c>
      <c r="O317" s="787">
        <f>O315+O316</f>
        <v>7037</v>
      </c>
    </row>
    <row r="318" spans="1:17">
      <c r="A318" s="776" t="s">
        <v>5391</v>
      </c>
      <c r="B318" s="162" t="s">
        <v>5844</v>
      </c>
      <c r="C318" s="55" t="s">
        <v>14193</v>
      </c>
      <c r="D318" s="778">
        <v>0</v>
      </c>
      <c r="E318" s="778">
        <v>0</v>
      </c>
      <c r="F318" s="778">
        <v>0</v>
      </c>
      <c r="G318" s="778">
        <v>0</v>
      </c>
      <c r="H318" s="778">
        <v>0</v>
      </c>
      <c r="I318" s="778">
        <v>0</v>
      </c>
      <c r="J318" s="778">
        <v>0</v>
      </c>
      <c r="K318" s="778">
        <v>0</v>
      </c>
      <c r="L318" s="778">
        <v>0</v>
      </c>
      <c r="M318" s="778">
        <v>2205</v>
      </c>
      <c r="N318" s="778">
        <v>2187</v>
      </c>
      <c r="O318" s="778">
        <v>2242</v>
      </c>
      <c r="Q318" s="776" t="s">
        <v>888</v>
      </c>
    </row>
    <row r="319" spans="1:17">
      <c r="A319" s="776" t="s">
        <v>5393</v>
      </c>
      <c r="B319" s="162" t="s">
        <v>5845</v>
      </c>
      <c r="C319" s="55" t="s">
        <v>14194</v>
      </c>
      <c r="D319" s="778">
        <v>31979</v>
      </c>
      <c r="E319" s="778">
        <v>32077</v>
      </c>
      <c r="F319" s="778">
        <v>32141</v>
      </c>
      <c r="G319" s="778">
        <v>32305</v>
      </c>
      <c r="H319" s="778">
        <v>32488</v>
      </c>
      <c r="I319" s="778">
        <v>32008</v>
      </c>
      <c r="J319" s="778">
        <v>31703</v>
      </c>
      <c r="K319" s="778">
        <v>32223</v>
      </c>
      <c r="L319" s="778">
        <v>32571</v>
      </c>
      <c r="M319" s="778">
        <v>6219</v>
      </c>
      <c r="N319" s="778">
        <v>6270</v>
      </c>
      <c r="O319" s="778">
        <v>6437</v>
      </c>
      <c r="Q319" s="776" t="s">
        <v>1572</v>
      </c>
    </row>
    <row r="320" spans="1:17">
      <c r="A320" s="776" t="s">
        <v>5394</v>
      </c>
      <c r="B320" s="162" t="s">
        <v>5846</v>
      </c>
      <c r="C320" s="55" t="s">
        <v>14195</v>
      </c>
      <c r="D320" s="778">
        <v>0</v>
      </c>
      <c r="E320" s="778">
        <v>0</v>
      </c>
      <c r="F320" s="778">
        <v>0</v>
      </c>
      <c r="G320" s="778">
        <v>0</v>
      </c>
      <c r="H320" s="778">
        <v>0</v>
      </c>
      <c r="I320" s="778">
        <v>0</v>
      </c>
      <c r="J320" s="778">
        <v>0</v>
      </c>
      <c r="K320" s="778">
        <v>0</v>
      </c>
      <c r="L320" s="778">
        <v>0</v>
      </c>
      <c r="M320" s="778">
        <v>5008</v>
      </c>
      <c r="N320" s="778">
        <v>5176</v>
      </c>
      <c r="O320" s="778">
        <v>5395</v>
      </c>
      <c r="Q320" s="776" t="s">
        <v>888</v>
      </c>
    </row>
    <row r="321" spans="1:17">
      <c r="A321" s="776" t="s">
        <v>5416</v>
      </c>
      <c r="B321" s="162" t="s">
        <v>12499</v>
      </c>
      <c r="C321" s="55" t="s">
        <v>14196</v>
      </c>
      <c r="D321" s="778">
        <v>0</v>
      </c>
      <c r="E321" s="778">
        <v>0</v>
      </c>
      <c r="F321" s="778">
        <v>0</v>
      </c>
      <c r="G321" s="778">
        <v>0</v>
      </c>
      <c r="H321" s="778">
        <v>0</v>
      </c>
      <c r="I321" s="778">
        <v>0</v>
      </c>
      <c r="J321" s="778">
        <v>0</v>
      </c>
      <c r="K321" s="778">
        <v>0</v>
      </c>
      <c r="L321" s="778">
        <v>0</v>
      </c>
      <c r="M321" s="778">
        <v>6356</v>
      </c>
      <c r="N321" s="778">
        <v>6377</v>
      </c>
      <c r="O321" s="778">
        <v>6552</v>
      </c>
      <c r="Q321" s="776" t="s">
        <v>888</v>
      </c>
    </row>
    <row r="322" spans="1:17">
      <c r="A322" s="776" t="s">
        <v>5418</v>
      </c>
      <c r="B322" s="162" t="s">
        <v>1412</v>
      </c>
      <c r="C322" s="55" t="s">
        <v>14197</v>
      </c>
      <c r="D322" s="778">
        <v>0</v>
      </c>
      <c r="E322" s="778">
        <v>0</v>
      </c>
      <c r="F322" s="778">
        <v>0</v>
      </c>
      <c r="G322" s="778">
        <v>0</v>
      </c>
      <c r="H322" s="778">
        <v>0</v>
      </c>
      <c r="I322" s="778">
        <v>0</v>
      </c>
      <c r="J322" s="778">
        <v>0</v>
      </c>
      <c r="K322" s="778">
        <v>0</v>
      </c>
      <c r="L322" s="778">
        <v>0</v>
      </c>
      <c r="M322" s="778">
        <v>4412</v>
      </c>
      <c r="N322" s="778">
        <v>4403</v>
      </c>
      <c r="O322" s="778">
        <v>4609</v>
      </c>
      <c r="Q322" s="776" t="s">
        <v>888</v>
      </c>
    </row>
    <row r="323" spans="1:17">
      <c r="A323" s="776" t="s">
        <v>5420</v>
      </c>
      <c r="B323" s="162" t="s">
        <v>1413</v>
      </c>
      <c r="C323" s="55" t="s">
        <v>14198</v>
      </c>
      <c r="D323" s="778">
        <v>0</v>
      </c>
      <c r="E323" s="778">
        <v>0</v>
      </c>
      <c r="F323" s="778">
        <v>0</v>
      </c>
      <c r="G323" s="778">
        <v>0</v>
      </c>
      <c r="H323" s="778">
        <v>0</v>
      </c>
      <c r="I323" s="778">
        <v>0</v>
      </c>
      <c r="J323" s="778">
        <v>0</v>
      </c>
      <c r="K323" s="778">
        <v>0</v>
      </c>
      <c r="L323" s="778">
        <v>0</v>
      </c>
      <c r="M323" s="778">
        <v>4580</v>
      </c>
      <c r="N323" s="778">
        <v>4599</v>
      </c>
      <c r="O323" s="778">
        <v>4719</v>
      </c>
      <c r="Q323" s="776" t="s">
        <v>1572</v>
      </c>
    </row>
    <row r="324" spans="1:17">
      <c r="A324" s="776" t="s">
        <v>5422</v>
      </c>
      <c r="B324" s="162" t="s">
        <v>1414</v>
      </c>
      <c r="C324" s="55" t="s">
        <v>14199</v>
      </c>
      <c r="D324" s="778">
        <v>0</v>
      </c>
      <c r="E324" s="778">
        <v>0</v>
      </c>
      <c r="F324" s="778">
        <v>0</v>
      </c>
      <c r="G324" s="778">
        <v>0</v>
      </c>
      <c r="H324" s="778">
        <v>0</v>
      </c>
      <c r="I324" s="778">
        <v>0</v>
      </c>
      <c r="J324" s="778">
        <v>0</v>
      </c>
      <c r="K324" s="778">
        <v>0</v>
      </c>
      <c r="L324" s="778">
        <v>0</v>
      </c>
      <c r="M324" s="778">
        <v>3933</v>
      </c>
      <c r="N324" s="778">
        <v>3894</v>
      </c>
      <c r="O324" s="778">
        <v>4039</v>
      </c>
      <c r="Q324" s="776" t="s">
        <v>888</v>
      </c>
    </row>
    <row r="325" spans="1:17">
      <c r="A325" s="776" t="s">
        <v>5424</v>
      </c>
      <c r="B325" s="162" t="s">
        <v>12500</v>
      </c>
      <c r="C325" s="55" t="s">
        <v>14200</v>
      </c>
      <c r="D325" s="778">
        <v>0</v>
      </c>
      <c r="E325" s="778">
        <v>0</v>
      </c>
      <c r="F325" s="778">
        <v>0</v>
      </c>
      <c r="G325" s="778">
        <v>0</v>
      </c>
      <c r="H325" s="778">
        <v>0</v>
      </c>
      <c r="I325" s="778">
        <v>0</v>
      </c>
      <c r="J325" s="778">
        <v>0</v>
      </c>
      <c r="K325" s="778">
        <v>0</v>
      </c>
      <c r="L325" s="778">
        <v>0</v>
      </c>
      <c r="M325" s="778">
        <v>6569</v>
      </c>
      <c r="N325" s="778">
        <v>6793</v>
      </c>
      <c r="O325" s="778">
        <v>7024</v>
      </c>
      <c r="Q325" s="776" t="s">
        <v>888</v>
      </c>
    </row>
    <row r="326" spans="1:17">
      <c r="A326" s="776" t="s">
        <v>5426</v>
      </c>
      <c r="B326" s="162" t="s">
        <v>1415</v>
      </c>
      <c r="C326" s="55" t="s">
        <v>14201</v>
      </c>
      <c r="D326" s="778">
        <v>0</v>
      </c>
      <c r="E326" s="778">
        <v>0</v>
      </c>
      <c r="F326" s="778">
        <v>0</v>
      </c>
      <c r="G326" s="778">
        <v>0</v>
      </c>
      <c r="H326" s="778">
        <v>0</v>
      </c>
      <c r="I326" s="778">
        <v>0</v>
      </c>
      <c r="J326" s="778">
        <v>0</v>
      </c>
      <c r="K326" s="778">
        <v>0</v>
      </c>
      <c r="L326" s="778">
        <v>0</v>
      </c>
      <c r="M326" s="778">
        <v>4651</v>
      </c>
      <c r="N326" s="778">
        <v>4705</v>
      </c>
      <c r="O326" s="778">
        <v>4837</v>
      </c>
      <c r="Q326" s="776" t="s">
        <v>888</v>
      </c>
    </row>
    <row r="327" spans="1:17">
      <c r="A327" s="776" t="s">
        <v>5428</v>
      </c>
      <c r="B327" s="162" t="s">
        <v>1416</v>
      </c>
      <c r="C327" s="55" t="s">
        <v>14202</v>
      </c>
      <c r="D327" s="778">
        <v>0</v>
      </c>
      <c r="E327" s="778">
        <v>0</v>
      </c>
      <c r="F327" s="778">
        <v>0</v>
      </c>
      <c r="G327" s="778">
        <v>0</v>
      </c>
      <c r="H327" s="778">
        <v>0</v>
      </c>
      <c r="I327" s="778">
        <v>0</v>
      </c>
      <c r="J327" s="778">
        <v>0</v>
      </c>
      <c r="K327" s="778">
        <v>0</v>
      </c>
      <c r="L327" s="778">
        <v>0</v>
      </c>
      <c r="M327" s="778">
        <v>2019</v>
      </c>
      <c r="N327" s="778">
        <v>2056</v>
      </c>
      <c r="O327" s="778">
        <v>2114</v>
      </c>
      <c r="Q327" s="776" t="s">
        <v>1572</v>
      </c>
    </row>
    <row r="328" spans="1:17">
      <c r="A328" s="776" t="s">
        <v>5429</v>
      </c>
      <c r="B328" s="162" t="s">
        <v>1417</v>
      </c>
      <c r="C328" s="55" t="s">
        <v>14203</v>
      </c>
      <c r="D328" s="778">
        <v>0</v>
      </c>
      <c r="E328" s="778">
        <v>0</v>
      </c>
      <c r="F328" s="778">
        <v>0</v>
      </c>
      <c r="G328" s="778">
        <v>0</v>
      </c>
      <c r="H328" s="778">
        <v>0</v>
      </c>
      <c r="I328" s="778">
        <v>0</v>
      </c>
      <c r="J328" s="778">
        <v>0</v>
      </c>
      <c r="K328" s="778">
        <v>0</v>
      </c>
      <c r="L328" s="778">
        <v>0</v>
      </c>
      <c r="M328" s="778">
        <v>2045</v>
      </c>
      <c r="N328" s="778">
        <v>2041</v>
      </c>
      <c r="O328" s="778">
        <v>2090</v>
      </c>
      <c r="Q328" s="776" t="s">
        <v>888</v>
      </c>
    </row>
    <row r="329" spans="1:17">
      <c r="A329" s="776" t="s">
        <v>5431</v>
      </c>
      <c r="B329" s="162" t="s">
        <v>1418</v>
      </c>
      <c r="C329" s="55" t="s">
        <v>14204</v>
      </c>
      <c r="D329" s="778">
        <v>0</v>
      </c>
      <c r="E329" s="778">
        <v>0</v>
      </c>
      <c r="F329" s="778">
        <v>0</v>
      </c>
      <c r="G329" s="778">
        <v>0</v>
      </c>
      <c r="H329" s="778">
        <v>0</v>
      </c>
      <c r="I329" s="778">
        <v>0</v>
      </c>
      <c r="J329" s="778">
        <v>0</v>
      </c>
      <c r="K329" s="778">
        <v>0</v>
      </c>
      <c r="L329" s="778">
        <v>0</v>
      </c>
      <c r="M329" s="778">
        <v>6372</v>
      </c>
      <c r="N329" s="778">
        <v>6383</v>
      </c>
      <c r="O329" s="778">
        <v>6626</v>
      </c>
      <c r="Q329" s="776" t="s">
        <v>1572</v>
      </c>
    </row>
    <row r="330" spans="1:17">
      <c r="A330" s="776" t="s">
        <v>5433</v>
      </c>
      <c r="B330" s="162" t="s">
        <v>12501</v>
      </c>
      <c r="C330" s="55" t="s">
        <v>14205</v>
      </c>
      <c r="D330" s="778">
        <v>0</v>
      </c>
      <c r="E330" s="778">
        <v>0</v>
      </c>
      <c r="F330" s="778">
        <v>0</v>
      </c>
      <c r="G330" s="778">
        <v>0</v>
      </c>
      <c r="H330" s="778">
        <v>0</v>
      </c>
      <c r="I330" s="778">
        <v>0</v>
      </c>
      <c r="J330" s="778">
        <v>0</v>
      </c>
      <c r="K330" s="778">
        <v>0</v>
      </c>
      <c r="L330" s="778">
        <v>0</v>
      </c>
      <c r="M330" s="778">
        <v>2318</v>
      </c>
      <c r="N330" s="778">
        <v>2333</v>
      </c>
      <c r="O330" s="778">
        <v>2425</v>
      </c>
      <c r="Q330" s="776" t="s">
        <v>888</v>
      </c>
    </row>
    <row r="331" spans="1:17">
      <c r="A331" s="776" t="s">
        <v>5435</v>
      </c>
      <c r="B331" s="162" t="s">
        <v>2795</v>
      </c>
      <c r="C331" s="55" t="s">
        <v>14206</v>
      </c>
      <c r="D331" s="778">
        <v>0</v>
      </c>
      <c r="E331" s="778">
        <v>0</v>
      </c>
      <c r="F331" s="778">
        <v>0</v>
      </c>
      <c r="G331" s="778">
        <v>0</v>
      </c>
      <c r="H331" s="778">
        <v>0</v>
      </c>
      <c r="I331" s="778">
        <v>0</v>
      </c>
      <c r="J331" s="778">
        <v>0</v>
      </c>
      <c r="K331" s="778">
        <v>0</v>
      </c>
      <c r="L331" s="778">
        <v>0</v>
      </c>
      <c r="M331" s="778">
        <v>4708</v>
      </c>
      <c r="N331" s="778">
        <v>4667</v>
      </c>
      <c r="O331" s="778">
        <v>4780</v>
      </c>
      <c r="Q331" s="776" t="s">
        <v>888</v>
      </c>
    </row>
    <row r="332" spans="1:17">
      <c r="A332" s="776" t="s">
        <v>5436</v>
      </c>
      <c r="B332" s="162" t="s">
        <v>9472</v>
      </c>
      <c r="C332" s="55" t="s">
        <v>14207</v>
      </c>
      <c r="D332" s="778">
        <v>0</v>
      </c>
      <c r="E332" s="778">
        <v>0</v>
      </c>
      <c r="F332" s="778">
        <v>0</v>
      </c>
      <c r="G332" s="778">
        <v>0</v>
      </c>
      <c r="H332" s="778">
        <v>0</v>
      </c>
      <c r="I332" s="778">
        <v>0</v>
      </c>
      <c r="J332" s="778">
        <v>0</v>
      </c>
      <c r="K332" s="778">
        <v>0</v>
      </c>
      <c r="L332" s="778">
        <v>0</v>
      </c>
      <c r="M332" s="778">
        <v>4914</v>
      </c>
      <c r="N332" s="778">
        <v>4952</v>
      </c>
      <c r="O332" s="778">
        <v>5058</v>
      </c>
      <c r="Q332" s="776" t="s">
        <v>888</v>
      </c>
    </row>
    <row r="333" spans="1:17">
      <c r="A333" s="776" t="s">
        <v>5437</v>
      </c>
      <c r="B333" s="162" t="s">
        <v>9473</v>
      </c>
      <c r="C333" s="55" t="s">
        <v>14208</v>
      </c>
      <c r="D333" s="778">
        <v>0</v>
      </c>
      <c r="E333" s="778">
        <v>0</v>
      </c>
      <c r="F333" s="778">
        <v>0</v>
      </c>
      <c r="G333" s="778">
        <v>0</v>
      </c>
      <c r="H333" s="778">
        <v>0</v>
      </c>
      <c r="I333" s="778">
        <v>0</v>
      </c>
      <c r="J333" s="778">
        <v>0</v>
      </c>
      <c r="K333" s="778">
        <v>0</v>
      </c>
      <c r="L333" s="778">
        <v>0</v>
      </c>
      <c r="M333" s="778">
        <v>4383</v>
      </c>
      <c r="N333" s="778">
        <v>4497</v>
      </c>
      <c r="O333" s="778">
        <v>4674</v>
      </c>
      <c r="Q333" s="776" t="s">
        <v>888</v>
      </c>
    </row>
    <row r="334" spans="1:17">
      <c r="A334" s="776" t="s">
        <v>5439</v>
      </c>
      <c r="B334" s="162" t="s">
        <v>12498</v>
      </c>
      <c r="C334" s="55" t="s">
        <v>14209</v>
      </c>
      <c r="D334" s="778">
        <v>0</v>
      </c>
      <c r="E334" s="778">
        <v>0</v>
      </c>
      <c r="F334" s="778">
        <v>0</v>
      </c>
      <c r="G334" s="778">
        <v>0</v>
      </c>
      <c r="H334" s="778">
        <v>0</v>
      </c>
      <c r="I334" s="778">
        <v>0</v>
      </c>
      <c r="J334" s="778">
        <v>0</v>
      </c>
      <c r="K334" s="778">
        <v>0</v>
      </c>
      <c r="L334" s="778">
        <v>0</v>
      </c>
      <c r="M334" s="778">
        <v>2381</v>
      </c>
      <c r="N334" s="778">
        <v>2376</v>
      </c>
      <c r="O334" s="778">
        <v>2455</v>
      </c>
      <c r="Q334" s="776" t="s">
        <v>1572</v>
      </c>
    </row>
    <row r="335" spans="1:17">
      <c r="A335" s="776" t="s">
        <v>5441</v>
      </c>
      <c r="B335" s="162" t="s">
        <v>12502</v>
      </c>
      <c r="C335" s="55" t="s">
        <v>14210</v>
      </c>
      <c r="D335" s="778">
        <v>0</v>
      </c>
      <c r="E335" s="778">
        <v>0</v>
      </c>
      <c r="F335" s="778">
        <v>0</v>
      </c>
      <c r="G335" s="778">
        <v>0</v>
      </c>
      <c r="H335" s="778">
        <v>0</v>
      </c>
      <c r="I335" s="778">
        <v>0</v>
      </c>
      <c r="J335" s="778">
        <v>0</v>
      </c>
      <c r="K335" s="778">
        <v>0</v>
      </c>
      <c r="L335" s="778">
        <v>0</v>
      </c>
      <c r="M335" s="778">
        <v>2038</v>
      </c>
      <c r="N335" s="778">
        <v>2037</v>
      </c>
      <c r="O335" s="778">
        <v>2118</v>
      </c>
      <c r="Q335" s="776" t="s">
        <v>888</v>
      </c>
    </row>
    <row r="336" spans="1:17">
      <c r="A336" s="776" t="s">
        <v>5886</v>
      </c>
      <c r="B336" s="162" t="s">
        <v>1444</v>
      </c>
      <c r="C336" s="55" t="s">
        <v>14211</v>
      </c>
      <c r="D336" s="778">
        <v>0</v>
      </c>
      <c r="E336" s="778">
        <v>0</v>
      </c>
      <c r="F336" s="778">
        <v>0</v>
      </c>
      <c r="G336" s="778">
        <v>0</v>
      </c>
      <c r="H336" s="778">
        <v>0</v>
      </c>
      <c r="I336" s="778">
        <v>0</v>
      </c>
      <c r="J336" s="778">
        <v>0</v>
      </c>
      <c r="K336" s="778">
        <v>0</v>
      </c>
      <c r="L336" s="778">
        <v>0</v>
      </c>
      <c r="M336" s="778">
        <v>3956</v>
      </c>
      <c r="N336" s="778">
        <v>3968</v>
      </c>
      <c r="O336" s="778">
        <v>4081</v>
      </c>
      <c r="Q336" s="776" t="s">
        <v>1572</v>
      </c>
    </row>
    <row r="337" spans="1:17">
      <c r="A337" s="776" t="s">
        <v>5888</v>
      </c>
      <c r="B337" s="162" t="s">
        <v>4261</v>
      </c>
      <c r="C337" s="55" t="s">
        <v>14212</v>
      </c>
      <c r="D337" s="778">
        <v>0</v>
      </c>
      <c r="E337" s="778">
        <v>0</v>
      </c>
      <c r="F337" s="778">
        <v>0</v>
      </c>
      <c r="G337" s="778">
        <v>0</v>
      </c>
      <c r="H337" s="778">
        <v>0</v>
      </c>
      <c r="I337" s="778">
        <v>0</v>
      </c>
      <c r="J337" s="778">
        <v>0</v>
      </c>
      <c r="K337" s="778">
        <v>0</v>
      </c>
      <c r="L337" s="778">
        <v>0</v>
      </c>
      <c r="M337" s="778">
        <v>4269</v>
      </c>
      <c r="N337" s="778">
        <v>4264</v>
      </c>
      <c r="O337" s="778">
        <v>4429</v>
      </c>
      <c r="Q337" s="776" t="s">
        <v>888</v>
      </c>
    </row>
    <row r="338" spans="1:17">
      <c r="A338" s="776" t="s">
        <v>5889</v>
      </c>
      <c r="B338" s="162" t="s">
        <v>4262</v>
      </c>
      <c r="C338" s="55" t="s">
        <v>14213</v>
      </c>
      <c r="D338" s="778">
        <v>0</v>
      </c>
      <c r="E338" s="778">
        <v>0</v>
      </c>
      <c r="F338" s="778">
        <v>0</v>
      </c>
      <c r="G338" s="778">
        <v>0</v>
      </c>
      <c r="H338" s="778">
        <v>0</v>
      </c>
      <c r="I338" s="778">
        <v>0</v>
      </c>
      <c r="J338" s="778">
        <v>0</v>
      </c>
      <c r="K338" s="778">
        <v>0</v>
      </c>
      <c r="L338" s="778">
        <v>0</v>
      </c>
      <c r="M338" s="778">
        <v>3867</v>
      </c>
      <c r="N338" s="778">
        <v>3878</v>
      </c>
      <c r="O338" s="778">
        <v>3973</v>
      </c>
      <c r="Q338" s="776" t="s">
        <v>888</v>
      </c>
    </row>
    <row r="339" spans="1:17">
      <c r="A339" s="776" t="s">
        <v>4431</v>
      </c>
      <c r="B339" s="162" t="s">
        <v>4263</v>
      </c>
      <c r="C339" s="55" t="s">
        <v>14214</v>
      </c>
      <c r="D339" s="778">
        <v>0</v>
      </c>
      <c r="E339" s="778">
        <v>0</v>
      </c>
      <c r="F339" s="778">
        <v>0</v>
      </c>
      <c r="G339" s="778">
        <v>0</v>
      </c>
      <c r="H339" s="778">
        <v>0</v>
      </c>
      <c r="I339" s="778">
        <v>0</v>
      </c>
      <c r="J339" s="778">
        <v>0</v>
      </c>
      <c r="K339" s="778">
        <v>0</v>
      </c>
      <c r="L339" s="778">
        <v>0</v>
      </c>
      <c r="M339" s="778">
        <v>3834</v>
      </c>
      <c r="N339" s="778">
        <v>3825</v>
      </c>
      <c r="O339" s="778">
        <v>3960</v>
      </c>
      <c r="Q339" s="776" t="s">
        <v>888</v>
      </c>
    </row>
    <row r="340" spans="1:17">
      <c r="A340" s="776"/>
      <c r="D340" s="784"/>
      <c r="E340" s="784"/>
      <c r="F340" s="784"/>
      <c r="G340" s="784"/>
      <c r="H340" s="784"/>
      <c r="I340" s="784"/>
      <c r="J340" s="784"/>
      <c r="K340" s="784"/>
      <c r="L340" s="784"/>
      <c r="M340" s="784"/>
      <c r="N340" s="784"/>
      <c r="O340" s="784"/>
    </row>
    <row r="341" spans="1:17">
      <c r="A341" s="776" t="s">
        <v>4188</v>
      </c>
      <c r="D341" s="778">
        <f t="shared" ref="D341:M341" si="134">SUM(D315,D319,D323,D327,D329,D334,D336)</f>
        <v>31979</v>
      </c>
      <c r="E341" s="778">
        <f t="shared" si="134"/>
        <v>32077</v>
      </c>
      <c r="F341" s="778">
        <f t="shared" si="134"/>
        <v>32141</v>
      </c>
      <c r="G341" s="778">
        <f t="shared" si="134"/>
        <v>32305</v>
      </c>
      <c r="H341" s="778">
        <f t="shared" si="134"/>
        <v>32488</v>
      </c>
      <c r="I341" s="778">
        <f t="shared" si="134"/>
        <v>32008</v>
      </c>
      <c r="J341" s="778">
        <f t="shared" si="134"/>
        <v>31703</v>
      </c>
      <c r="K341" s="778">
        <f t="shared" si="134"/>
        <v>32223</v>
      </c>
      <c r="L341" s="778">
        <f t="shared" si="134"/>
        <v>32571</v>
      </c>
      <c r="M341" s="778">
        <f t="shared" si="134"/>
        <v>32200</v>
      </c>
      <c r="N341" s="778">
        <f>SUM(N315,N319,N323,N327,N329,N334,N336)</f>
        <v>32286</v>
      </c>
      <c r="O341" s="778">
        <f>SUM(O315,O319,O323,O327,O329,O334,O336)</f>
        <v>33331</v>
      </c>
    </row>
    <row r="342" spans="1:17">
      <c r="A342" s="776" t="s">
        <v>888</v>
      </c>
      <c r="D342" s="778">
        <f t="shared" ref="D342:M342" si="135">SUM(D314,D316,D318,D320:D322,D324:D326,D328,D330:D333,D335,D337:D339)</f>
        <v>69406</v>
      </c>
      <c r="E342" s="778">
        <f t="shared" si="135"/>
        <v>69600</v>
      </c>
      <c r="F342" s="778">
        <f t="shared" si="135"/>
        <v>69921</v>
      </c>
      <c r="G342" s="778">
        <f t="shared" si="135"/>
        <v>70170</v>
      </c>
      <c r="H342" s="778">
        <f t="shared" si="135"/>
        <v>70554</v>
      </c>
      <c r="I342" s="778">
        <f t="shared" si="135"/>
        <v>69320</v>
      </c>
      <c r="J342" s="778">
        <f t="shared" si="135"/>
        <v>67896</v>
      </c>
      <c r="K342" s="778">
        <f t="shared" si="135"/>
        <v>69813</v>
      </c>
      <c r="L342" s="778">
        <f t="shared" si="135"/>
        <v>70724</v>
      </c>
      <c r="M342" s="778">
        <f t="shared" si="135"/>
        <v>70252</v>
      </c>
      <c r="N342" s="778">
        <f>SUM(N314,N316,N318,N320:N322,N324:N326,N328,N330:N333,N335,N337:N339)</f>
        <v>70745</v>
      </c>
      <c r="O342" s="778">
        <f>SUM(O314,O316,O318,O320:O322,O324:O326,O328,O330:O333,O335,O337:O339)</f>
        <v>73094</v>
      </c>
    </row>
    <row r="343" spans="1:17">
      <c r="A343" s="776"/>
      <c r="D343" s="778"/>
      <c r="E343" s="778"/>
      <c r="F343" s="778"/>
      <c r="G343" s="778"/>
      <c r="H343" s="778"/>
      <c r="I343" s="778"/>
      <c r="J343" s="778"/>
      <c r="K343" s="778"/>
      <c r="L343" s="778"/>
      <c r="M343" s="778"/>
      <c r="N343" s="778"/>
      <c r="O343" s="778"/>
    </row>
    <row r="344" spans="1:17">
      <c r="A344" s="776" t="s">
        <v>9265</v>
      </c>
      <c r="D344" s="778"/>
      <c r="E344" s="778"/>
      <c r="F344" s="778"/>
      <c r="G344" s="778"/>
      <c r="H344" s="778"/>
      <c r="I344" s="778"/>
      <c r="J344" s="778"/>
      <c r="K344" s="778"/>
      <c r="L344" s="778"/>
      <c r="M344" s="778"/>
      <c r="N344" s="778"/>
      <c r="O344" s="778"/>
    </row>
    <row r="345" spans="1:17">
      <c r="A345" s="776" t="s">
        <v>9266</v>
      </c>
      <c r="B345" s="776"/>
      <c r="D345" s="782"/>
      <c r="E345" s="782"/>
      <c r="F345" s="782"/>
      <c r="G345" s="782"/>
      <c r="H345" s="782"/>
      <c r="I345" s="782"/>
      <c r="J345" s="782"/>
      <c r="K345" s="782"/>
      <c r="L345" s="782"/>
      <c r="M345" s="782"/>
      <c r="N345" s="782"/>
      <c r="O345" s="782"/>
    </row>
    <row r="346" spans="1:17">
      <c r="A346" s="776" t="s">
        <v>12503</v>
      </c>
      <c r="B346" s="776"/>
      <c r="D346" s="782"/>
      <c r="E346" s="782"/>
      <c r="F346" s="782"/>
      <c r="G346" s="782"/>
      <c r="H346" s="782"/>
      <c r="I346" s="782"/>
      <c r="J346" s="782"/>
      <c r="K346" s="782"/>
      <c r="L346" s="782"/>
      <c r="M346" s="782"/>
      <c r="N346" s="782"/>
      <c r="O346" s="782"/>
    </row>
    <row r="347" spans="1:17">
      <c r="A347" s="776"/>
      <c r="B347" s="776"/>
      <c r="D347" s="782"/>
      <c r="E347" s="782"/>
      <c r="F347" s="782"/>
      <c r="G347" s="782"/>
      <c r="H347" s="782"/>
      <c r="I347" s="782"/>
      <c r="J347" s="782"/>
      <c r="K347" s="782"/>
      <c r="L347" s="782"/>
      <c r="M347" s="782"/>
      <c r="N347" s="782"/>
      <c r="O347" s="782"/>
    </row>
    <row r="348" spans="1:17">
      <c r="A348" s="776"/>
      <c r="B348" s="776"/>
      <c r="D348" s="782"/>
      <c r="E348" s="782"/>
      <c r="F348" s="782"/>
      <c r="G348" s="782"/>
      <c r="H348" s="782"/>
      <c r="I348" s="782"/>
      <c r="J348" s="782"/>
      <c r="K348" s="782"/>
      <c r="L348" s="782"/>
      <c r="M348" s="782"/>
      <c r="N348" s="782"/>
      <c r="O348" s="782"/>
    </row>
    <row r="349" spans="1:17">
      <c r="E349" s="51" t="s">
        <v>1526</v>
      </c>
      <c r="F349" s="51"/>
      <c r="G349" s="51"/>
      <c r="H349" s="51"/>
      <c r="I349" s="51"/>
      <c r="J349" s="51"/>
      <c r="K349" s="51"/>
      <c r="L349" s="51"/>
      <c r="M349" s="51"/>
      <c r="N349" s="51"/>
      <c r="O349" s="51"/>
      <c r="P349" s="11"/>
      <c r="Q349" s="11" t="s">
        <v>9479</v>
      </c>
    </row>
    <row r="350" spans="1:17">
      <c r="D350" s="350">
        <v>2010</v>
      </c>
      <c r="E350" s="350">
        <v>2011</v>
      </c>
      <c r="F350" s="350">
        <v>2012</v>
      </c>
      <c r="G350" s="350">
        <v>2013</v>
      </c>
      <c r="H350" s="350">
        <v>2014</v>
      </c>
      <c r="I350" s="350">
        <v>2015</v>
      </c>
      <c r="J350" s="350">
        <v>2016</v>
      </c>
      <c r="K350" s="350">
        <v>2017</v>
      </c>
      <c r="L350" s="350">
        <v>2018</v>
      </c>
      <c r="M350" s="350">
        <v>2019</v>
      </c>
      <c r="N350" s="350">
        <v>2020</v>
      </c>
      <c r="O350" s="981" t="s">
        <v>14823</v>
      </c>
      <c r="Q350" s="13" t="s">
        <v>1527</v>
      </c>
    </row>
    <row r="351" spans="1:17">
      <c r="A351" s="776" t="s">
        <v>1485</v>
      </c>
      <c r="D351" s="778">
        <f t="shared" ref="D351:N351" si="136">SUM(D352:D367)</f>
        <v>50482</v>
      </c>
      <c r="E351" s="778">
        <f t="shared" si="136"/>
        <v>50920</v>
      </c>
      <c r="F351" s="778">
        <f t="shared" si="136"/>
        <v>51235</v>
      </c>
      <c r="G351" s="778">
        <f t="shared" si="136"/>
        <v>51915</v>
      </c>
      <c r="H351" s="778">
        <f t="shared" si="136"/>
        <v>51695</v>
      </c>
      <c r="I351" s="778">
        <f t="shared" si="136"/>
        <v>51119</v>
      </c>
      <c r="J351" s="778">
        <f t="shared" si="136"/>
        <v>51061</v>
      </c>
      <c r="K351" s="778">
        <f t="shared" si="136"/>
        <v>52193</v>
      </c>
      <c r="L351" s="778">
        <f t="shared" si="136"/>
        <v>52558</v>
      </c>
      <c r="M351" s="778">
        <f t="shared" si="136"/>
        <v>52351</v>
      </c>
      <c r="N351" s="778">
        <f t="shared" si="136"/>
        <v>52792</v>
      </c>
      <c r="O351" s="778">
        <f>SUM(O352:O367)</f>
        <v>53777</v>
      </c>
    </row>
    <row r="352" spans="1:17">
      <c r="A352" s="776" t="s">
        <v>5387</v>
      </c>
      <c r="B352" s="776" t="s">
        <v>1486</v>
      </c>
      <c r="C352" s="55" t="s">
        <v>14224</v>
      </c>
      <c r="D352" s="778">
        <v>50482</v>
      </c>
      <c r="E352" s="778">
        <v>50920</v>
      </c>
      <c r="F352" s="778">
        <v>51235</v>
      </c>
      <c r="G352" s="56">
        <v>51915</v>
      </c>
      <c r="H352" s="56">
        <v>51695</v>
      </c>
      <c r="I352" s="56">
        <v>51119</v>
      </c>
      <c r="J352" s="56">
        <v>51061</v>
      </c>
      <c r="K352" s="56">
        <v>52193</v>
      </c>
      <c r="L352" s="56">
        <v>52558</v>
      </c>
      <c r="M352" s="56">
        <v>52351</v>
      </c>
      <c r="N352" s="56">
        <v>2944</v>
      </c>
      <c r="O352" s="56">
        <v>2991</v>
      </c>
      <c r="Q352" s="776" t="s">
        <v>1598</v>
      </c>
    </row>
    <row r="353" spans="1:17">
      <c r="A353" s="776" t="s">
        <v>5389</v>
      </c>
      <c r="B353" s="776" t="s">
        <v>1487</v>
      </c>
      <c r="C353" s="55" t="s">
        <v>14225</v>
      </c>
      <c r="D353" s="778">
        <v>0</v>
      </c>
      <c r="E353" s="778">
        <v>0</v>
      </c>
      <c r="F353" s="778">
        <v>0</v>
      </c>
      <c r="G353" s="778">
        <v>0</v>
      </c>
      <c r="H353" s="778">
        <v>0</v>
      </c>
      <c r="I353" s="778">
        <v>0</v>
      </c>
      <c r="J353" s="778">
        <v>0</v>
      </c>
      <c r="K353" s="778">
        <v>0</v>
      </c>
      <c r="L353" s="778">
        <v>0</v>
      </c>
      <c r="M353" s="778">
        <v>0</v>
      </c>
      <c r="N353" s="56">
        <v>4110</v>
      </c>
      <c r="O353" s="56">
        <v>4201</v>
      </c>
      <c r="Q353" s="776" t="s">
        <v>1598</v>
      </c>
    </row>
    <row r="354" spans="1:17">
      <c r="A354" s="776" t="s">
        <v>5391</v>
      </c>
      <c r="B354" s="776" t="s">
        <v>1488</v>
      </c>
      <c r="C354" s="55" t="s">
        <v>14226</v>
      </c>
      <c r="D354" s="778">
        <v>0</v>
      </c>
      <c r="E354" s="778">
        <v>0</v>
      </c>
      <c r="F354" s="778">
        <v>0</v>
      </c>
      <c r="G354" s="778">
        <v>0</v>
      </c>
      <c r="H354" s="778">
        <v>0</v>
      </c>
      <c r="I354" s="778">
        <v>0</v>
      </c>
      <c r="J354" s="778">
        <v>0</v>
      </c>
      <c r="K354" s="778">
        <v>0</v>
      </c>
      <c r="L354" s="778">
        <v>0</v>
      </c>
      <c r="M354" s="778">
        <v>0</v>
      </c>
      <c r="N354" s="56">
        <v>4514</v>
      </c>
      <c r="O354" s="56">
        <v>4629</v>
      </c>
      <c r="Q354" s="776" t="s">
        <v>1598</v>
      </c>
    </row>
    <row r="355" spans="1:17">
      <c r="A355" s="776" t="s">
        <v>5393</v>
      </c>
      <c r="B355" s="776" t="s">
        <v>1489</v>
      </c>
      <c r="C355" s="55" t="s">
        <v>14227</v>
      </c>
      <c r="D355" s="778">
        <v>0</v>
      </c>
      <c r="E355" s="778">
        <v>0</v>
      </c>
      <c r="F355" s="778">
        <v>0</v>
      </c>
      <c r="G355" s="778">
        <v>0</v>
      </c>
      <c r="H355" s="778">
        <v>0</v>
      </c>
      <c r="I355" s="778">
        <v>0</v>
      </c>
      <c r="J355" s="778">
        <v>0</v>
      </c>
      <c r="K355" s="778">
        <v>0</v>
      </c>
      <c r="L355" s="778">
        <v>0</v>
      </c>
      <c r="M355" s="778">
        <v>0</v>
      </c>
      <c r="N355" s="56">
        <v>2426</v>
      </c>
      <c r="O355" s="56">
        <v>2487</v>
      </c>
      <c r="Q355" s="776" t="s">
        <v>1598</v>
      </c>
    </row>
    <row r="356" spans="1:17">
      <c r="A356" s="776" t="s">
        <v>5394</v>
      </c>
      <c r="B356" s="776" t="s">
        <v>14216</v>
      </c>
      <c r="C356" s="55" t="s">
        <v>14228</v>
      </c>
      <c r="D356" s="778">
        <v>0</v>
      </c>
      <c r="E356" s="778">
        <v>0</v>
      </c>
      <c r="F356" s="778">
        <v>0</v>
      </c>
      <c r="G356" s="778">
        <v>0</v>
      </c>
      <c r="H356" s="778">
        <v>0</v>
      </c>
      <c r="I356" s="778">
        <v>0</v>
      </c>
      <c r="J356" s="778">
        <v>0</v>
      </c>
      <c r="K356" s="778">
        <v>0</v>
      </c>
      <c r="L356" s="778">
        <v>0</v>
      </c>
      <c r="M356" s="778">
        <v>0</v>
      </c>
      <c r="N356" s="56">
        <v>2106</v>
      </c>
      <c r="O356" s="56">
        <v>2151</v>
      </c>
      <c r="Q356" s="776" t="s">
        <v>1598</v>
      </c>
    </row>
    <row r="357" spans="1:17">
      <c r="A357" s="776" t="s">
        <v>5416</v>
      </c>
      <c r="B357" s="776" t="s">
        <v>6684</v>
      </c>
      <c r="C357" s="55" t="s">
        <v>14229</v>
      </c>
      <c r="D357" s="778">
        <v>0</v>
      </c>
      <c r="E357" s="778">
        <v>0</v>
      </c>
      <c r="F357" s="778">
        <v>0</v>
      </c>
      <c r="G357" s="778">
        <v>0</v>
      </c>
      <c r="H357" s="778">
        <v>0</v>
      </c>
      <c r="I357" s="778">
        <v>0</v>
      </c>
      <c r="J357" s="778">
        <v>0</v>
      </c>
      <c r="K357" s="778">
        <v>0</v>
      </c>
      <c r="L357" s="778">
        <v>0</v>
      </c>
      <c r="M357" s="778">
        <v>0</v>
      </c>
      <c r="N357" s="56">
        <v>3318</v>
      </c>
      <c r="O357" s="56">
        <v>3378</v>
      </c>
      <c r="Q357" s="776" t="s">
        <v>1598</v>
      </c>
    </row>
    <row r="358" spans="1:17">
      <c r="A358" s="776" t="s">
        <v>5418</v>
      </c>
      <c r="B358" s="776" t="s">
        <v>14217</v>
      </c>
      <c r="C358" s="55" t="s">
        <v>14230</v>
      </c>
      <c r="D358" s="778">
        <v>0</v>
      </c>
      <c r="E358" s="778">
        <v>0</v>
      </c>
      <c r="F358" s="778">
        <v>0</v>
      </c>
      <c r="G358" s="778">
        <v>0</v>
      </c>
      <c r="H358" s="778">
        <v>0</v>
      </c>
      <c r="I358" s="778">
        <v>0</v>
      </c>
      <c r="J358" s="778">
        <v>0</v>
      </c>
      <c r="K358" s="778">
        <v>0</v>
      </c>
      <c r="L358" s="778">
        <v>0</v>
      </c>
      <c r="M358" s="778">
        <v>0</v>
      </c>
      <c r="N358" s="56">
        <v>4383</v>
      </c>
      <c r="O358" s="56">
        <v>4463</v>
      </c>
      <c r="Q358" s="776" t="s">
        <v>1598</v>
      </c>
    </row>
    <row r="359" spans="1:17">
      <c r="A359" s="776" t="s">
        <v>5420</v>
      </c>
      <c r="B359" s="776" t="s">
        <v>14218</v>
      </c>
      <c r="C359" s="55" t="s">
        <v>14231</v>
      </c>
      <c r="D359" s="778">
        <v>0</v>
      </c>
      <c r="E359" s="778">
        <v>0</v>
      </c>
      <c r="F359" s="778">
        <v>0</v>
      </c>
      <c r="G359" s="778">
        <v>0</v>
      </c>
      <c r="H359" s="778">
        <v>0</v>
      </c>
      <c r="I359" s="778">
        <v>0</v>
      </c>
      <c r="J359" s="778">
        <v>0</v>
      </c>
      <c r="K359" s="778">
        <v>0</v>
      </c>
      <c r="L359" s="778">
        <v>0</v>
      </c>
      <c r="M359" s="778">
        <v>0</v>
      </c>
      <c r="N359" s="56">
        <v>4674</v>
      </c>
      <c r="O359" s="56">
        <v>4751</v>
      </c>
      <c r="Q359" s="776" t="s">
        <v>1598</v>
      </c>
    </row>
    <row r="360" spans="1:17">
      <c r="A360" s="776" t="s">
        <v>5422</v>
      </c>
      <c r="B360" s="776" t="s">
        <v>4331</v>
      </c>
      <c r="C360" s="55" t="s">
        <v>14232</v>
      </c>
      <c r="D360" s="778">
        <v>0</v>
      </c>
      <c r="E360" s="778">
        <v>0</v>
      </c>
      <c r="F360" s="778">
        <v>0</v>
      </c>
      <c r="G360" s="778">
        <v>0</v>
      </c>
      <c r="H360" s="778">
        <v>0</v>
      </c>
      <c r="I360" s="778">
        <v>0</v>
      </c>
      <c r="J360" s="778">
        <v>0</v>
      </c>
      <c r="K360" s="778">
        <v>0</v>
      </c>
      <c r="L360" s="778">
        <v>0</v>
      </c>
      <c r="M360" s="778">
        <v>0</v>
      </c>
      <c r="N360" s="56">
        <v>2482</v>
      </c>
      <c r="O360" s="56">
        <v>2516</v>
      </c>
      <c r="Q360" s="776" t="s">
        <v>1598</v>
      </c>
    </row>
    <row r="361" spans="1:17">
      <c r="A361" s="776" t="s">
        <v>5424</v>
      </c>
      <c r="B361" s="776" t="s">
        <v>14219</v>
      </c>
      <c r="C361" s="55" t="s">
        <v>14233</v>
      </c>
      <c r="D361" s="778">
        <v>0</v>
      </c>
      <c r="E361" s="778">
        <v>0</v>
      </c>
      <c r="F361" s="778">
        <v>0</v>
      </c>
      <c r="G361" s="778">
        <v>0</v>
      </c>
      <c r="H361" s="778">
        <v>0</v>
      </c>
      <c r="I361" s="778">
        <v>0</v>
      </c>
      <c r="J361" s="778">
        <v>0</v>
      </c>
      <c r="K361" s="778">
        <v>0</v>
      </c>
      <c r="L361" s="778">
        <v>0</v>
      </c>
      <c r="M361" s="778">
        <v>0</v>
      </c>
      <c r="N361" s="56">
        <v>3385</v>
      </c>
      <c r="O361" s="56">
        <v>3440</v>
      </c>
      <c r="Q361" s="776" t="s">
        <v>1598</v>
      </c>
    </row>
    <row r="362" spans="1:17">
      <c r="A362" s="776" t="s">
        <v>5426</v>
      </c>
      <c r="B362" s="776" t="s">
        <v>14220</v>
      </c>
      <c r="C362" s="55" t="s">
        <v>14234</v>
      </c>
      <c r="D362" s="778">
        <v>0</v>
      </c>
      <c r="E362" s="778">
        <v>0</v>
      </c>
      <c r="F362" s="778">
        <v>0</v>
      </c>
      <c r="G362" s="778">
        <v>0</v>
      </c>
      <c r="H362" s="778">
        <v>0</v>
      </c>
      <c r="I362" s="778">
        <v>0</v>
      </c>
      <c r="J362" s="778">
        <v>0</v>
      </c>
      <c r="K362" s="778">
        <v>0</v>
      </c>
      <c r="L362" s="778">
        <v>0</v>
      </c>
      <c r="M362" s="778">
        <v>0</v>
      </c>
      <c r="N362" s="56">
        <v>3198</v>
      </c>
      <c r="O362" s="56">
        <v>3253</v>
      </c>
      <c r="Q362" s="776" t="s">
        <v>1598</v>
      </c>
    </row>
    <row r="363" spans="1:17">
      <c r="A363" s="776" t="s">
        <v>5428</v>
      </c>
      <c r="B363" s="776" t="s">
        <v>2872</v>
      </c>
      <c r="C363" s="55" t="s">
        <v>14235</v>
      </c>
      <c r="D363" s="778">
        <v>0</v>
      </c>
      <c r="E363" s="778">
        <v>0</v>
      </c>
      <c r="F363" s="778">
        <v>0</v>
      </c>
      <c r="G363" s="778">
        <v>0</v>
      </c>
      <c r="H363" s="778">
        <v>0</v>
      </c>
      <c r="I363" s="778">
        <v>0</v>
      </c>
      <c r="J363" s="778">
        <v>0</v>
      </c>
      <c r="K363" s="778">
        <v>0</v>
      </c>
      <c r="L363" s="778">
        <v>0</v>
      </c>
      <c r="M363" s="778">
        <v>0</v>
      </c>
      <c r="N363" s="56">
        <v>4144</v>
      </c>
      <c r="O363" s="56">
        <v>4193</v>
      </c>
      <c r="Q363" s="776" t="s">
        <v>1598</v>
      </c>
    </row>
    <row r="364" spans="1:17">
      <c r="A364" s="776" t="s">
        <v>5429</v>
      </c>
      <c r="B364" s="776" t="s">
        <v>14221</v>
      </c>
      <c r="C364" s="55" t="s">
        <v>14236</v>
      </c>
      <c r="D364" s="778">
        <v>0</v>
      </c>
      <c r="E364" s="778">
        <v>0</v>
      </c>
      <c r="F364" s="778">
        <v>0</v>
      </c>
      <c r="G364" s="778">
        <v>0</v>
      </c>
      <c r="H364" s="778">
        <v>0</v>
      </c>
      <c r="I364" s="778">
        <v>0</v>
      </c>
      <c r="J364" s="778">
        <v>0</v>
      </c>
      <c r="K364" s="778">
        <v>0</v>
      </c>
      <c r="L364" s="778">
        <v>0</v>
      </c>
      <c r="M364" s="778">
        <v>0</v>
      </c>
      <c r="N364" s="56">
        <v>3074</v>
      </c>
      <c r="O364" s="56">
        <v>3131</v>
      </c>
      <c r="Q364" s="776" t="s">
        <v>1598</v>
      </c>
    </row>
    <row r="365" spans="1:17">
      <c r="A365" s="776" t="s">
        <v>5431</v>
      </c>
      <c r="B365" s="776" t="s">
        <v>14222</v>
      </c>
      <c r="C365" s="55" t="s">
        <v>14237</v>
      </c>
      <c r="D365" s="778">
        <v>0</v>
      </c>
      <c r="E365" s="778">
        <v>0</v>
      </c>
      <c r="F365" s="778">
        <v>0</v>
      </c>
      <c r="G365" s="778">
        <v>0</v>
      </c>
      <c r="H365" s="778">
        <v>0</v>
      </c>
      <c r="I365" s="778">
        <v>0</v>
      </c>
      <c r="J365" s="778">
        <v>0</v>
      </c>
      <c r="K365" s="778">
        <v>0</v>
      </c>
      <c r="L365" s="778">
        <v>0</v>
      </c>
      <c r="M365" s="778">
        <v>0</v>
      </c>
      <c r="N365" s="56">
        <v>3276</v>
      </c>
      <c r="O365" s="56">
        <v>3350</v>
      </c>
      <c r="Q365" s="776" t="s">
        <v>1598</v>
      </c>
    </row>
    <row r="366" spans="1:17">
      <c r="A366" s="776" t="s">
        <v>5433</v>
      </c>
      <c r="B366" s="776" t="s">
        <v>2862</v>
      </c>
      <c r="C366" s="55" t="s">
        <v>14238</v>
      </c>
      <c r="D366" s="778">
        <v>0</v>
      </c>
      <c r="E366" s="778">
        <v>0</v>
      </c>
      <c r="F366" s="778">
        <v>0</v>
      </c>
      <c r="G366" s="778">
        <v>0</v>
      </c>
      <c r="H366" s="778">
        <v>0</v>
      </c>
      <c r="I366" s="778">
        <v>0</v>
      </c>
      <c r="J366" s="778">
        <v>0</v>
      </c>
      <c r="K366" s="778">
        <v>0</v>
      </c>
      <c r="L366" s="778">
        <v>0</v>
      </c>
      <c r="M366" s="778">
        <v>0</v>
      </c>
      <c r="N366" s="56">
        <v>3020</v>
      </c>
      <c r="O366" s="56">
        <v>3076</v>
      </c>
      <c r="Q366" s="776" t="s">
        <v>1598</v>
      </c>
    </row>
    <row r="367" spans="1:17">
      <c r="A367" s="776" t="s">
        <v>5435</v>
      </c>
      <c r="B367" s="776" t="s">
        <v>2863</v>
      </c>
      <c r="C367" s="55" t="s">
        <v>14239</v>
      </c>
      <c r="D367" s="778">
        <v>0</v>
      </c>
      <c r="E367" s="778">
        <v>0</v>
      </c>
      <c r="F367" s="778">
        <v>0</v>
      </c>
      <c r="G367" s="778">
        <v>0</v>
      </c>
      <c r="H367" s="778">
        <v>0</v>
      </c>
      <c r="I367" s="778">
        <v>0</v>
      </c>
      <c r="J367" s="778">
        <v>0</v>
      </c>
      <c r="K367" s="778">
        <v>0</v>
      </c>
      <c r="L367" s="778">
        <v>0</v>
      </c>
      <c r="M367" s="778">
        <v>0</v>
      </c>
      <c r="N367" s="58">
        <v>1738</v>
      </c>
      <c r="O367" s="58">
        <v>1767</v>
      </c>
      <c r="Q367" s="776" t="s">
        <v>1598</v>
      </c>
    </row>
    <row r="368" spans="1:17">
      <c r="D368" s="784"/>
      <c r="E368" s="784"/>
      <c r="F368" s="784"/>
      <c r="G368" s="784"/>
      <c r="H368" s="784"/>
      <c r="I368" s="784"/>
      <c r="J368" s="784"/>
      <c r="K368" s="784"/>
      <c r="L368" s="784"/>
      <c r="M368" s="784"/>
      <c r="N368" s="784"/>
      <c r="O368" s="784"/>
    </row>
    <row r="369" spans="1:17">
      <c r="A369" s="776" t="s">
        <v>2864</v>
      </c>
      <c r="D369" s="778">
        <f t="shared" ref="D369:N369" si="137">SUM(D352:D367)</f>
        <v>50482</v>
      </c>
      <c r="E369" s="778">
        <f t="shared" si="137"/>
        <v>50920</v>
      </c>
      <c r="F369" s="778">
        <f t="shared" si="137"/>
        <v>51235</v>
      </c>
      <c r="G369" s="778">
        <f t="shared" si="137"/>
        <v>51915</v>
      </c>
      <c r="H369" s="778">
        <f t="shared" si="137"/>
        <v>51695</v>
      </c>
      <c r="I369" s="778">
        <f t="shared" si="137"/>
        <v>51119</v>
      </c>
      <c r="J369" s="778">
        <f t="shared" si="137"/>
        <v>51061</v>
      </c>
      <c r="K369" s="778">
        <f t="shared" si="137"/>
        <v>52193</v>
      </c>
      <c r="L369" s="778">
        <f t="shared" si="137"/>
        <v>52558</v>
      </c>
      <c r="M369" s="778">
        <f t="shared" si="137"/>
        <v>52351</v>
      </c>
      <c r="N369" s="778">
        <f t="shared" si="137"/>
        <v>52792</v>
      </c>
      <c r="O369" s="778">
        <f>SUM(O352:O367)</f>
        <v>53777</v>
      </c>
    </row>
    <row r="370" spans="1:17">
      <c r="A370" s="776"/>
      <c r="D370" s="778"/>
      <c r="E370" s="778"/>
      <c r="F370" s="778"/>
      <c r="G370" s="778"/>
      <c r="H370" s="778"/>
      <c r="I370" s="778"/>
      <c r="J370" s="778"/>
      <c r="K370" s="778"/>
      <c r="L370" s="778"/>
      <c r="M370" s="778"/>
      <c r="N370" s="778"/>
      <c r="O370" s="778"/>
    </row>
    <row r="371" spans="1:17">
      <c r="A371" s="776" t="s">
        <v>14223</v>
      </c>
      <c r="D371" s="778"/>
      <c r="E371" s="778"/>
      <c r="F371" s="778"/>
      <c r="G371" s="778"/>
      <c r="H371" s="778"/>
      <c r="I371" s="778"/>
      <c r="J371" s="778"/>
      <c r="K371" s="778"/>
      <c r="L371" s="778"/>
      <c r="M371" s="778"/>
      <c r="N371" s="778"/>
      <c r="O371" s="778"/>
    </row>
    <row r="372" spans="1:17">
      <c r="A372" s="776"/>
      <c r="B372" s="776"/>
      <c r="D372" s="782"/>
      <c r="E372" s="782"/>
      <c r="F372" s="782"/>
      <c r="G372" s="782"/>
      <c r="H372" s="782"/>
      <c r="I372" s="782"/>
      <c r="J372" s="782"/>
      <c r="K372" s="782"/>
      <c r="L372" s="782"/>
      <c r="M372" s="782"/>
      <c r="N372" s="782"/>
      <c r="O372" s="782"/>
    </row>
    <row r="373" spans="1:17">
      <c r="A373" s="776"/>
      <c r="B373" s="776"/>
      <c r="D373" s="782"/>
      <c r="E373" s="782"/>
      <c r="F373" s="782"/>
      <c r="G373" s="782"/>
      <c r="H373" s="782"/>
      <c r="I373" s="782"/>
      <c r="J373" s="782"/>
      <c r="K373" s="782"/>
      <c r="L373" s="782"/>
      <c r="M373" s="782"/>
      <c r="N373" s="782"/>
      <c r="O373" s="782"/>
    </row>
    <row r="374" spans="1:17">
      <c r="E374" s="51" t="s">
        <v>1526</v>
      </c>
      <c r="F374" s="51"/>
      <c r="G374" s="51"/>
      <c r="H374" s="51"/>
      <c r="I374" s="51"/>
      <c r="J374" s="51"/>
      <c r="K374" s="51"/>
      <c r="L374" s="51"/>
      <c r="M374" s="51"/>
      <c r="N374" s="51"/>
      <c r="O374" s="51"/>
      <c r="P374" s="11"/>
      <c r="Q374" s="11" t="s">
        <v>9479</v>
      </c>
    </row>
    <row r="375" spans="1:17">
      <c r="D375" s="350">
        <v>2010</v>
      </c>
      <c r="E375" s="350">
        <v>2011</v>
      </c>
      <c r="F375" s="350">
        <v>2012</v>
      </c>
      <c r="G375" s="350">
        <v>2013</v>
      </c>
      <c r="H375" s="350">
        <v>2014</v>
      </c>
      <c r="I375" s="350">
        <v>2015</v>
      </c>
      <c r="J375" s="350">
        <v>2016</v>
      </c>
      <c r="K375" s="350">
        <v>2017</v>
      </c>
      <c r="L375" s="350">
        <v>2018</v>
      </c>
      <c r="M375" s="350">
        <v>2019</v>
      </c>
      <c r="N375" s="350">
        <v>2020</v>
      </c>
      <c r="O375" s="981" t="s">
        <v>14823</v>
      </c>
      <c r="Q375" s="13" t="s">
        <v>1527</v>
      </c>
    </row>
    <row r="376" spans="1:17">
      <c r="A376" s="776" t="s">
        <v>2865</v>
      </c>
      <c r="D376" s="778">
        <f t="shared" ref="D376:J376" si="138">SUM(D377:D379)+SUM(D381:D396)</f>
        <v>41693</v>
      </c>
      <c r="E376" s="778">
        <f t="shared" si="138"/>
        <v>42445</v>
      </c>
      <c r="F376" s="778">
        <f t="shared" si="138"/>
        <v>43199</v>
      </c>
      <c r="G376" s="778">
        <f t="shared" si="138"/>
        <v>43393</v>
      </c>
      <c r="H376" s="778">
        <f t="shared" si="138"/>
        <v>42875</v>
      </c>
      <c r="I376" s="778">
        <f t="shared" si="138"/>
        <v>42533</v>
      </c>
      <c r="J376" s="778">
        <f t="shared" si="138"/>
        <v>41773</v>
      </c>
      <c r="K376" s="778">
        <f>SUM(K377:K379)+SUM(K381:K396)</f>
        <v>43140</v>
      </c>
      <c r="L376" s="778">
        <f>SUM(L377:L379)+SUM(L381:L396)</f>
        <v>43278</v>
      </c>
      <c r="M376" s="778">
        <f>SUM(M377:M379)+SUM(M381:M396)</f>
        <v>42390</v>
      </c>
      <c r="N376" s="778">
        <f>SUM(N377:N379)+SUM(N381:N396)</f>
        <v>42892</v>
      </c>
      <c r="O376" s="778">
        <f>SUM(O377:O379)+SUM(O381:O396)</f>
        <v>44092</v>
      </c>
    </row>
    <row r="377" spans="1:17">
      <c r="A377" s="776" t="s">
        <v>5387</v>
      </c>
      <c r="B377" s="776" t="s">
        <v>2866</v>
      </c>
      <c r="C377" s="55" t="s">
        <v>10552</v>
      </c>
      <c r="D377" s="778">
        <v>26092</v>
      </c>
      <c r="E377" s="778">
        <v>26497</v>
      </c>
      <c r="F377" s="778">
        <v>26808</v>
      </c>
      <c r="G377" s="56">
        <v>26927</v>
      </c>
      <c r="H377" s="56">
        <v>26584</v>
      </c>
      <c r="I377" s="56">
        <v>26337</v>
      </c>
      <c r="J377" s="56">
        <v>2847</v>
      </c>
      <c r="K377" s="56">
        <v>2957</v>
      </c>
      <c r="L377" s="56">
        <v>2955</v>
      </c>
      <c r="M377" s="56">
        <v>2942</v>
      </c>
      <c r="N377" s="56">
        <v>2922</v>
      </c>
      <c r="O377" s="56">
        <v>3016</v>
      </c>
      <c r="Q377" s="776" t="s">
        <v>1598</v>
      </c>
    </row>
    <row r="378" spans="1:17">
      <c r="A378" s="776" t="s">
        <v>5389</v>
      </c>
      <c r="B378" s="776" t="s">
        <v>2867</v>
      </c>
      <c r="C378" s="55" t="s">
        <v>10553</v>
      </c>
      <c r="D378" s="778">
        <v>0</v>
      </c>
      <c r="E378" s="778">
        <v>0</v>
      </c>
      <c r="F378" s="778">
        <v>0</v>
      </c>
      <c r="G378" s="56">
        <v>0</v>
      </c>
      <c r="H378" s="56">
        <v>0</v>
      </c>
      <c r="I378" s="56">
        <v>0</v>
      </c>
      <c r="J378" s="56">
        <v>191</v>
      </c>
      <c r="K378" s="56">
        <v>203</v>
      </c>
      <c r="L378" s="56">
        <v>205</v>
      </c>
      <c r="M378" s="56">
        <v>200</v>
      </c>
      <c r="N378" s="56">
        <v>206</v>
      </c>
      <c r="O378" s="56">
        <v>211</v>
      </c>
      <c r="Q378" s="776" t="s">
        <v>1572</v>
      </c>
    </row>
    <row r="379" spans="1:17" ht="15.75" thickBot="1">
      <c r="A379" s="776"/>
      <c r="B379" s="776"/>
      <c r="C379" s="55" t="s">
        <v>10553</v>
      </c>
      <c r="D379" s="779">
        <v>0</v>
      </c>
      <c r="E379" s="779">
        <v>0</v>
      </c>
      <c r="F379" s="779">
        <v>0</v>
      </c>
      <c r="G379" s="274">
        <v>0</v>
      </c>
      <c r="H379" s="274">
        <v>0</v>
      </c>
      <c r="I379" s="274">
        <v>0</v>
      </c>
      <c r="J379" s="56">
        <v>2274</v>
      </c>
      <c r="K379" s="56">
        <v>2395</v>
      </c>
      <c r="L379" s="56">
        <v>2380</v>
      </c>
      <c r="M379" s="56">
        <v>2306</v>
      </c>
      <c r="N379" s="56">
        <v>2334</v>
      </c>
      <c r="O379" s="56">
        <v>2400</v>
      </c>
      <c r="Q379" s="776" t="s">
        <v>1598</v>
      </c>
    </row>
    <row r="380" spans="1:17" ht="15.75" thickBot="1">
      <c r="A380" s="776"/>
      <c r="B380" s="776"/>
      <c r="C380" s="55" t="s">
        <v>10553</v>
      </c>
      <c r="D380" s="787">
        <f>D378+D379</f>
        <v>0</v>
      </c>
      <c r="E380" s="787">
        <f t="shared" ref="E380:L380" si="139">E378+E379</f>
        <v>0</v>
      </c>
      <c r="F380" s="787">
        <f t="shared" si="139"/>
        <v>0</v>
      </c>
      <c r="G380" s="787">
        <f t="shared" si="139"/>
        <v>0</v>
      </c>
      <c r="H380" s="787">
        <f t="shared" si="139"/>
        <v>0</v>
      </c>
      <c r="I380" s="787">
        <f t="shared" si="139"/>
        <v>0</v>
      </c>
      <c r="J380" s="787">
        <f t="shared" si="139"/>
        <v>2465</v>
      </c>
      <c r="K380" s="787">
        <f t="shared" si="139"/>
        <v>2598</v>
      </c>
      <c r="L380" s="787">
        <f t="shared" si="139"/>
        <v>2585</v>
      </c>
      <c r="M380" s="787">
        <f>M378+M379</f>
        <v>2506</v>
      </c>
      <c r="N380" s="787">
        <f>N378+N379</f>
        <v>2540</v>
      </c>
      <c r="O380" s="787">
        <f>O378+O379</f>
        <v>2611</v>
      </c>
      <c r="Q380" s="776"/>
    </row>
    <row r="381" spans="1:17">
      <c r="A381" s="776" t="s">
        <v>5391</v>
      </c>
      <c r="B381" s="776" t="s">
        <v>2868</v>
      </c>
      <c r="C381" s="55" t="s">
        <v>10558</v>
      </c>
      <c r="D381" s="778">
        <v>0</v>
      </c>
      <c r="E381" s="778">
        <v>0</v>
      </c>
      <c r="F381" s="778">
        <v>0</v>
      </c>
      <c r="G381" s="56">
        <v>0</v>
      </c>
      <c r="H381" s="56">
        <v>0</v>
      </c>
      <c r="I381" s="56">
        <v>0</v>
      </c>
      <c r="J381" s="56">
        <v>2969</v>
      </c>
      <c r="K381" s="56">
        <v>3015</v>
      </c>
      <c r="L381" s="56">
        <v>3030</v>
      </c>
      <c r="M381" s="56">
        <v>2931</v>
      </c>
      <c r="N381" s="56">
        <v>2978</v>
      </c>
      <c r="O381" s="56">
        <v>3070</v>
      </c>
      <c r="Q381" s="776" t="s">
        <v>1598</v>
      </c>
    </row>
    <row r="382" spans="1:17">
      <c r="A382" s="776" t="s">
        <v>5393</v>
      </c>
      <c r="B382" s="776" t="s">
        <v>2869</v>
      </c>
      <c r="C382" s="55" t="s">
        <v>10559</v>
      </c>
      <c r="D382" s="778">
        <v>0</v>
      </c>
      <c r="E382" s="778">
        <v>0</v>
      </c>
      <c r="F382" s="778">
        <v>0</v>
      </c>
      <c r="G382" s="56">
        <v>0</v>
      </c>
      <c r="H382" s="56">
        <v>0</v>
      </c>
      <c r="I382" s="56">
        <v>0</v>
      </c>
      <c r="J382" s="56">
        <v>2866</v>
      </c>
      <c r="K382" s="56">
        <v>2937</v>
      </c>
      <c r="L382" s="56">
        <v>2940</v>
      </c>
      <c r="M382" s="56">
        <v>2872</v>
      </c>
      <c r="N382" s="56">
        <v>2880</v>
      </c>
      <c r="O382" s="56">
        <v>2938</v>
      </c>
      <c r="Q382" s="776" t="s">
        <v>1598</v>
      </c>
    </row>
    <row r="383" spans="1:17">
      <c r="A383" s="776" t="s">
        <v>5394</v>
      </c>
      <c r="B383" s="776" t="s">
        <v>2870</v>
      </c>
      <c r="C383" s="55" t="s">
        <v>10560</v>
      </c>
      <c r="D383" s="778">
        <v>15601</v>
      </c>
      <c r="E383" s="778">
        <v>15948</v>
      </c>
      <c r="F383" s="778">
        <v>16391</v>
      </c>
      <c r="G383" s="790">
        <v>16466</v>
      </c>
      <c r="H383" s="56">
        <v>16291</v>
      </c>
      <c r="I383" s="56">
        <v>16196</v>
      </c>
      <c r="J383" s="56">
        <v>1152</v>
      </c>
      <c r="K383" s="56">
        <v>1212</v>
      </c>
      <c r="L383" s="56">
        <v>1201</v>
      </c>
      <c r="M383" s="56">
        <v>1162</v>
      </c>
      <c r="N383" s="56">
        <v>1178</v>
      </c>
      <c r="O383" s="56">
        <v>1226</v>
      </c>
      <c r="Q383" s="776" t="s">
        <v>1572</v>
      </c>
    </row>
    <row r="384" spans="1:17">
      <c r="A384" s="776" t="s">
        <v>5416</v>
      </c>
      <c r="B384" s="776" t="s">
        <v>10554</v>
      </c>
      <c r="C384" s="55" t="s">
        <v>10561</v>
      </c>
      <c r="D384" s="778">
        <v>0</v>
      </c>
      <c r="E384" s="778">
        <v>0</v>
      </c>
      <c r="F384" s="778">
        <v>0</v>
      </c>
      <c r="G384" s="56">
        <v>0</v>
      </c>
      <c r="H384" s="56">
        <v>0</v>
      </c>
      <c r="I384" s="56">
        <v>0</v>
      </c>
      <c r="J384" s="56">
        <v>1363</v>
      </c>
      <c r="K384" s="56">
        <v>1407</v>
      </c>
      <c r="L384" s="56">
        <v>1394</v>
      </c>
      <c r="M384" s="56">
        <v>1380</v>
      </c>
      <c r="N384" s="56">
        <v>1405</v>
      </c>
      <c r="O384" s="56">
        <v>1449</v>
      </c>
      <c r="Q384" s="776" t="s">
        <v>1598</v>
      </c>
    </row>
    <row r="385" spans="1:17">
      <c r="A385" s="776" t="s">
        <v>5418</v>
      </c>
      <c r="B385" s="776" t="s">
        <v>2871</v>
      </c>
      <c r="C385" s="55" t="s">
        <v>10562</v>
      </c>
      <c r="D385" s="778">
        <v>0</v>
      </c>
      <c r="E385" s="778">
        <v>0</v>
      </c>
      <c r="F385" s="778">
        <v>0</v>
      </c>
      <c r="G385" s="56">
        <v>0</v>
      </c>
      <c r="H385" s="56">
        <v>0</v>
      </c>
      <c r="I385" s="56">
        <v>0</v>
      </c>
      <c r="J385" s="56">
        <v>1325</v>
      </c>
      <c r="K385" s="56">
        <v>1400</v>
      </c>
      <c r="L385" s="56">
        <v>1408</v>
      </c>
      <c r="M385" s="56">
        <v>1353</v>
      </c>
      <c r="N385" s="56">
        <v>1354</v>
      </c>
      <c r="O385" s="56">
        <v>1406</v>
      </c>
      <c r="Q385" s="776" t="s">
        <v>1572</v>
      </c>
    </row>
    <row r="386" spans="1:17">
      <c r="A386" s="776" t="s">
        <v>5420</v>
      </c>
      <c r="B386" s="776" t="s">
        <v>6563</v>
      </c>
      <c r="C386" s="55" t="s">
        <v>10563</v>
      </c>
      <c r="D386" s="778">
        <v>0</v>
      </c>
      <c r="E386" s="778">
        <v>0</v>
      </c>
      <c r="F386" s="778">
        <v>0</v>
      </c>
      <c r="G386" s="56">
        <v>0</v>
      </c>
      <c r="H386" s="56">
        <v>0</v>
      </c>
      <c r="I386" s="56">
        <v>0</v>
      </c>
      <c r="J386" s="56">
        <v>2968</v>
      </c>
      <c r="K386" s="56">
        <v>3052</v>
      </c>
      <c r="L386" s="56">
        <v>3119</v>
      </c>
      <c r="M386" s="56">
        <v>3129</v>
      </c>
      <c r="N386" s="56">
        <v>3177</v>
      </c>
      <c r="O386" s="56">
        <v>3282</v>
      </c>
      <c r="Q386" s="776" t="s">
        <v>1572</v>
      </c>
    </row>
    <row r="387" spans="1:17">
      <c r="A387" s="776" t="s">
        <v>5422</v>
      </c>
      <c r="B387" s="776" t="s">
        <v>6564</v>
      </c>
      <c r="C387" s="55" t="s">
        <v>10564</v>
      </c>
      <c r="D387" s="778">
        <v>0</v>
      </c>
      <c r="E387" s="778">
        <v>0</v>
      </c>
      <c r="F387" s="778">
        <v>0</v>
      </c>
      <c r="G387" s="56">
        <v>0</v>
      </c>
      <c r="H387" s="56">
        <v>0</v>
      </c>
      <c r="I387" s="56">
        <v>0</v>
      </c>
      <c r="J387" s="56">
        <v>2341</v>
      </c>
      <c r="K387" s="56">
        <v>2387</v>
      </c>
      <c r="L387" s="56">
        <v>2401</v>
      </c>
      <c r="M387" s="56">
        <v>2372</v>
      </c>
      <c r="N387" s="56">
        <v>2427</v>
      </c>
      <c r="O387" s="56">
        <v>2506</v>
      </c>
      <c r="Q387" s="776" t="s">
        <v>1572</v>
      </c>
    </row>
    <row r="388" spans="1:17">
      <c r="A388" s="776" t="s">
        <v>5424</v>
      </c>
      <c r="B388" s="776" t="s">
        <v>6565</v>
      </c>
      <c r="C388" s="55" t="s">
        <v>10565</v>
      </c>
      <c r="D388" s="778">
        <v>0</v>
      </c>
      <c r="E388" s="778">
        <v>0</v>
      </c>
      <c r="F388" s="778">
        <v>0</v>
      </c>
      <c r="G388" s="56">
        <v>0</v>
      </c>
      <c r="H388" s="56">
        <v>0</v>
      </c>
      <c r="I388" s="56">
        <v>0</v>
      </c>
      <c r="J388" s="56">
        <v>1305</v>
      </c>
      <c r="K388" s="56">
        <v>1358</v>
      </c>
      <c r="L388" s="56">
        <v>1323</v>
      </c>
      <c r="M388" s="56">
        <v>1304</v>
      </c>
      <c r="N388" s="56">
        <v>1314</v>
      </c>
      <c r="O388" s="56">
        <v>1353</v>
      </c>
      <c r="Q388" s="776" t="s">
        <v>1598</v>
      </c>
    </row>
    <row r="389" spans="1:17">
      <c r="A389" s="776" t="s">
        <v>5426</v>
      </c>
      <c r="B389" s="776" t="s">
        <v>6566</v>
      </c>
      <c r="C389" s="55" t="s">
        <v>10566</v>
      </c>
      <c r="D389" s="778">
        <v>0</v>
      </c>
      <c r="E389" s="778">
        <v>0</v>
      </c>
      <c r="F389" s="778">
        <v>0</v>
      </c>
      <c r="G389" s="56">
        <v>0</v>
      </c>
      <c r="H389" s="56">
        <v>0</v>
      </c>
      <c r="I389" s="56">
        <v>0</v>
      </c>
      <c r="J389" s="56">
        <v>1454</v>
      </c>
      <c r="K389" s="56">
        <v>1476</v>
      </c>
      <c r="L389" s="56">
        <v>1490</v>
      </c>
      <c r="M389" s="56">
        <v>1444</v>
      </c>
      <c r="N389" s="56">
        <v>1459</v>
      </c>
      <c r="O389" s="56">
        <v>1493</v>
      </c>
      <c r="Q389" s="776" t="s">
        <v>1598</v>
      </c>
    </row>
    <row r="390" spans="1:17">
      <c r="A390" s="776" t="s">
        <v>5428</v>
      </c>
      <c r="B390" s="776" t="s">
        <v>10555</v>
      </c>
      <c r="C390" s="55" t="s">
        <v>10567</v>
      </c>
      <c r="D390" s="778">
        <v>0</v>
      </c>
      <c r="E390" s="778">
        <v>0</v>
      </c>
      <c r="F390" s="778">
        <v>0</v>
      </c>
      <c r="G390" s="56">
        <v>0</v>
      </c>
      <c r="H390" s="56">
        <v>0</v>
      </c>
      <c r="I390" s="56">
        <v>0</v>
      </c>
      <c r="J390" s="56">
        <v>3642</v>
      </c>
      <c r="K390" s="56">
        <v>3896</v>
      </c>
      <c r="L390" s="56">
        <v>4002</v>
      </c>
      <c r="M390" s="56">
        <v>3930</v>
      </c>
      <c r="N390" s="56">
        <v>4021</v>
      </c>
      <c r="O390" s="56">
        <v>4158</v>
      </c>
      <c r="Q390" s="776" t="s">
        <v>1572</v>
      </c>
    </row>
    <row r="391" spans="1:17">
      <c r="A391" s="776" t="s">
        <v>5429</v>
      </c>
      <c r="B391" s="776" t="s">
        <v>10556</v>
      </c>
      <c r="C391" s="55" t="s">
        <v>10568</v>
      </c>
      <c r="D391" s="778">
        <v>0</v>
      </c>
      <c r="E391" s="778">
        <v>0</v>
      </c>
      <c r="F391" s="778">
        <v>0</v>
      </c>
      <c r="G391" s="56">
        <v>0</v>
      </c>
      <c r="H391" s="56">
        <v>0</v>
      </c>
      <c r="I391" s="56">
        <v>0</v>
      </c>
      <c r="J391" s="56">
        <v>2696</v>
      </c>
      <c r="K391" s="56">
        <v>2790</v>
      </c>
      <c r="L391" s="56">
        <v>2806</v>
      </c>
      <c r="M391" s="56">
        <v>2759</v>
      </c>
      <c r="N391" s="56">
        <v>2794</v>
      </c>
      <c r="O391" s="56">
        <v>2879</v>
      </c>
      <c r="Q391" s="776" t="s">
        <v>1572</v>
      </c>
    </row>
    <row r="392" spans="1:17">
      <c r="A392" s="776" t="s">
        <v>5431</v>
      </c>
      <c r="B392" s="776" t="s">
        <v>5865</v>
      </c>
      <c r="C392" s="55" t="s">
        <v>10569</v>
      </c>
      <c r="D392" s="778">
        <v>0</v>
      </c>
      <c r="E392" s="778">
        <v>0</v>
      </c>
      <c r="F392" s="778">
        <v>0</v>
      </c>
      <c r="G392" s="56">
        <v>0</v>
      </c>
      <c r="H392" s="56">
        <v>0</v>
      </c>
      <c r="I392" s="56">
        <v>0</v>
      </c>
      <c r="J392" s="56">
        <v>1515</v>
      </c>
      <c r="K392" s="56">
        <v>1583</v>
      </c>
      <c r="L392" s="56">
        <v>1582</v>
      </c>
      <c r="M392" s="56">
        <v>1557</v>
      </c>
      <c r="N392" s="56">
        <v>1573</v>
      </c>
      <c r="O392" s="56">
        <v>1602</v>
      </c>
      <c r="Q392" s="776" t="s">
        <v>1572</v>
      </c>
    </row>
    <row r="393" spans="1:17">
      <c r="A393" s="776" t="s">
        <v>5433</v>
      </c>
      <c r="B393" s="776" t="s">
        <v>4330</v>
      </c>
      <c r="C393" s="55" t="s">
        <v>10570</v>
      </c>
      <c r="D393" s="778">
        <v>0</v>
      </c>
      <c r="E393" s="778">
        <v>0</v>
      </c>
      <c r="F393" s="778">
        <v>0</v>
      </c>
      <c r="G393" s="56">
        <v>0</v>
      </c>
      <c r="H393" s="56">
        <v>0</v>
      </c>
      <c r="I393" s="56">
        <v>0</v>
      </c>
      <c r="J393" s="58">
        <v>1400</v>
      </c>
      <c r="K393" s="58">
        <v>1411</v>
      </c>
      <c r="L393" s="58">
        <v>1429</v>
      </c>
      <c r="M393" s="58">
        <v>1397</v>
      </c>
      <c r="N393" s="58">
        <v>1414</v>
      </c>
      <c r="O393" s="58">
        <v>1443</v>
      </c>
      <c r="Q393" s="776" t="s">
        <v>1598</v>
      </c>
    </row>
    <row r="394" spans="1:17">
      <c r="A394" s="776" t="s">
        <v>5435</v>
      </c>
      <c r="B394" s="776" t="s">
        <v>5866</v>
      </c>
      <c r="C394" s="55" t="s">
        <v>10571</v>
      </c>
      <c r="D394" s="778">
        <v>0</v>
      </c>
      <c r="E394" s="778">
        <v>0</v>
      </c>
      <c r="F394" s="778">
        <v>0</v>
      </c>
      <c r="G394" s="56">
        <v>0</v>
      </c>
      <c r="H394" s="56">
        <v>0</v>
      </c>
      <c r="I394" s="56">
        <v>0</v>
      </c>
      <c r="J394" s="58">
        <v>3696</v>
      </c>
      <c r="K394" s="58">
        <v>3712</v>
      </c>
      <c r="L394" s="58">
        <v>3699</v>
      </c>
      <c r="M394" s="58">
        <v>3611</v>
      </c>
      <c r="N394" s="58">
        <v>3667</v>
      </c>
      <c r="O394" s="58">
        <v>3784</v>
      </c>
      <c r="Q394" s="776" t="s">
        <v>1598</v>
      </c>
    </row>
    <row r="395" spans="1:17">
      <c r="A395" s="776" t="s">
        <v>5436</v>
      </c>
      <c r="B395" s="776" t="s">
        <v>10557</v>
      </c>
      <c r="C395" s="55" t="s">
        <v>10572</v>
      </c>
      <c r="D395" s="778">
        <v>0</v>
      </c>
      <c r="E395" s="778">
        <v>0</v>
      </c>
      <c r="F395" s="778">
        <v>0</v>
      </c>
      <c r="G395" s="56">
        <v>0</v>
      </c>
      <c r="H395" s="56">
        <v>0</v>
      </c>
      <c r="I395" s="56">
        <v>0</v>
      </c>
      <c r="J395" s="58">
        <v>2946</v>
      </c>
      <c r="K395" s="58">
        <v>3020</v>
      </c>
      <c r="L395" s="58">
        <v>2979</v>
      </c>
      <c r="M395" s="58">
        <v>2913</v>
      </c>
      <c r="N395" s="58">
        <v>2926</v>
      </c>
      <c r="O395" s="58">
        <v>2963</v>
      </c>
      <c r="Q395" s="776" t="s">
        <v>1598</v>
      </c>
    </row>
    <row r="396" spans="1:17">
      <c r="A396" s="776" t="s">
        <v>5437</v>
      </c>
      <c r="B396" s="776" t="s">
        <v>5867</v>
      </c>
      <c r="C396" s="55" t="s">
        <v>10573</v>
      </c>
      <c r="D396" s="778">
        <v>0</v>
      </c>
      <c r="E396" s="778">
        <v>0</v>
      </c>
      <c r="F396" s="778">
        <v>0</v>
      </c>
      <c r="G396" s="56">
        <v>0</v>
      </c>
      <c r="H396" s="56">
        <v>0</v>
      </c>
      <c r="I396" s="56">
        <v>0</v>
      </c>
      <c r="J396" s="58">
        <v>2823</v>
      </c>
      <c r="K396" s="58">
        <v>2929</v>
      </c>
      <c r="L396" s="58">
        <v>2935</v>
      </c>
      <c r="M396" s="58">
        <v>2828</v>
      </c>
      <c r="N396" s="58">
        <v>2863</v>
      </c>
      <c r="O396" s="58">
        <v>2913</v>
      </c>
      <c r="Q396" s="776" t="s">
        <v>1598</v>
      </c>
    </row>
    <row r="397" spans="1:17">
      <c r="D397" s="784"/>
      <c r="E397" s="784"/>
      <c r="F397" s="784"/>
      <c r="G397" s="784"/>
      <c r="H397" s="784"/>
      <c r="I397" s="784"/>
      <c r="J397" s="784"/>
      <c r="K397" s="784"/>
      <c r="L397" s="784"/>
      <c r="M397" s="784"/>
      <c r="N397" s="784"/>
      <c r="O397" s="784"/>
    </row>
    <row r="398" spans="1:17">
      <c r="A398" s="776" t="s">
        <v>4188</v>
      </c>
      <c r="D398" s="778">
        <f>D378+D383+SUM(D385:D387)+SUM(D390:D392)</f>
        <v>15601</v>
      </c>
      <c r="E398" s="778">
        <f t="shared" ref="E398:J398" si="140">E378+E383+SUM(E385:E387)+SUM(E390:E392)</f>
        <v>15948</v>
      </c>
      <c r="F398" s="778">
        <f t="shared" si="140"/>
        <v>16391</v>
      </c>
      <c r="G398" s="778">
        <f t="shared" si="140"/>
        <v>16466</v>
      </c>
      <c r="H398" s="778">
        <f t="shared" si="140"/>
        <v>16291</v>
      </c>
      <c r="I398" s="778">
        <f t="shared" si="140"/>
        <v>16196</v>
      </c>
      <c r="J398" s="778">
        <f t="shared" si="140"/>
        <v>15830</v>
      </c>
      <c r="K398" s="778">
        <f>K378+K383+SUM(K385:K387)+SUM(K390:K392)</f>
        <v>16523</v>
      </c>
      <c r="L398" s="778">
        <f>L378+L383+SUM(L385:L387)+SUM(L390:L392)</f>
        <v>16724</v>
      </c>
      <c r="M398" s="778">
        <f>M378+M383+SUM(M385:M387)+SUM(M390:M392)</f>
        <v>16462</v>
      </c>
      <c r="N398" s="778">
        <f>N378+N383+SUM(N385:N387)+SUM(N390:N392)</f>
        <v>16730</v>
      </c>
      <c r="O398" s="778">
        <f>O378+O383+SUM(O385:O387)+SUM(O390:O392)</f>
        <v>17270</v>
      </c>
      <c r="P398" s="778"/>
    </row>
    <row r="399" spans="1:17">
      <c r="A399" s="776" t="s">
        <v>2864</v>
      </c>
      <c r="D399" s="778">
        <f t="shared" ref="D399:I399" si="141">D377+D379+D381+D382+D384+D388+D389+SUM(D393:D396)</f>
        <v>26092</v>
      </c>
      <c r="E399" s="778">
        <f t="shared" si="141"/>
        <v>26497</v>
      </c>
      <c r="F399" s="778">
        <f t="shared" si="141"/>
        <v>26808</v>
      </c>
      <c r="G399" s="778">
        <f t="shared" si="141"/>
        <v>26927</v>
      </c>
      <c r="H399" s="778">
        <f t="shared" si="141"/>
        <v>26584</v>
      </c>
      <c r="I399" s="778">
        <f t="shared" si="141"/>
        <v>26337</v>
      </c>
      <c r="J399" s="778">
        <f t="shared" ref="J399:O399" si="142">J377+J379+J381+J382+J384+J388+J389+SUM(J393:J396)</f>
        <v>25943</v>
      </c>
      <c r="K399" s="778">
        <f t="shared" si="142"/>
        <v>26617</v>
      </c>
      <c r="L399" s="778">
        <f t="shared" si="142"/>
        <v>26554</v>
      </c>
      <c r="M399" s="778">
        <f t="shared" si="142"/>
        <v>25928</v>
      </c>
      <c r="N399" s="778">
        <f t="shared" si="142"/>
        <v>26162</v>
      </c>
      <c r="O399" s="778">
        <f t="shared" si="142"/>
        <v>26822</v>
      </c>
      <c r="P399" s="778"/>
    </row>
    <row r="401" spans="1:1">
      <c r="A401" s="162" t="s">
        <v>10574</v>
      </c>
    </row>
  </sheetData>
  <phoneticPr fontId="6" type="noConversion"/>
  <printOptions gridLinesSet="0"/>
  <pageMargins left="0.78740157480314965" right="0" top="0.51181102362204722" bottom="0.51181102362204722" header="0.51181102362204722" footer="0.51181102362204722"/>
  <pageSetup paperSize="9" scale="67" orientation="portrait" horizontalDpi="300" verticalDpi="300" r:id="rId1"/>
  <headerFooter alignWithMargins="0">
    <oddFooter>&amp;C&amp;"Times New Roman,Regular"&amp;8&amp;P of &amp;N</oddFooter>
  </headerFooter>
  <ignoredErrors>
    <ignoredError sqref="D369:K369 D351:E351 D72:K72 D274:K274 D247:K247 D211:K211 F348:F351 F344 G351:K351 D3:K65 D294:K294 D281:K281 D380:K380 D376:K376 D398:K399 D193:K193 D197:K197 D201:K201 D203:K204 D182:K182 D237:K238 D305:K306 D94:K95 L128 L347:L351 L340 L344 L273:L312 L133:L136 L3:L102 L179:L247 L172 L176 L368:L399" unlockedFormula="1"/>
    <ignoredError sqref="D96:K96" formulaRange="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dimension ref="A1:Q187"/>
  <sheetViews>
    <sheetView showGridLines="0" topLeftCell="A166" zoomScale="90" zoomScaleNormal="90" workbookViewId="0">
      <selection activeCell="O109" sqref="O109"/>
    </sheetView>
  </sheetViews>
  <sheetFormatPr defaultColWidth="12.5703125" defaultRowHeight="15"/>
  <cols>
    <col min="1" max="1" width="4.85546875" style="11" customWidth="1"/>
    <col min="2" max="2" width="40.7109375" style="11" customWidth="1"/>
    <col min="3" max="3" width="11.5703125" style="11" customWidth="1"/>
    <col min="4" max="15" width="10" style="11" customWidth="1"/>
    <col min="16" max="16" width="2.28515625" style="11" customWidth="1"/>
    <col min="17" max="17" width="31.28515625" style="11" customWidth="1"/>
    <col min="18" max="16384" width="12.5703125" style="11"/>
  </cols>
  <sheetData>
    <row r="1" spans="1:17">
      <c r="A1" s="13" t="s">
        <v>6924</v>
      </c>
      <c r="D1" s="350">
        <v>2010</v>
      </c>
      <c r="E1" s="350">
        <v>2011</v>
      </c>
      <c r="F1" s="350">
        <v>2012</v>
      </c>
      <c r="G1" s="350">
        <v>2013</v>
      </c>
      <c r="H1" s="350">
        <v>2014</v>
      </c>
      <c r="I1" s="350">
        <v>2015</v>
      </c>
      <c r="J1" s="350">
        <v>2016</v>
      </c>
      <c r="K1" s="350">
        <v>2017</v>
      </c>
      <c r="L1" s="350">
        <v>2018</v>
      </c>
      <c r="M1" s="350">
        <v>2019</v>
      </c>
      <c r="N1" s="350">
        <v>2020</v>
      </c>
      <c r="O1" s="944" t="s">
        <v>14823</v>
      </c>
    </row>
    <row r="3" spans="1:17">
      <c r="A3" s="13" t="s">
        <v>13192</v>
      </c>
      <c r="C3" s="13"/>
      <c r="D3" s="15">
        <f>D42</f>
        <v>281161</v>
      </c>
      <c r="E3" s="15">
        <f t="shared" ref="E3:N3" si="0">E42</f>
        <v>284989</v>
      </c>
      <c r="F3" s="15">
        <f t="shared" si="0"/>
        <v>286104</v>
      </c>
      <c r="G3" s="15">
        <f t="shared" si="0"/>
        <v>287169</v>
      </c>
      <c r="H3" s="15">
        <f t="shared" si="0"/>
        <v>285033</v>
      </c>
      <c r="I3" s="15">
        <f t="shared" si="0"/>
        <v>277442</v>
      </c>
      <c r="J3" s="15">
        <f t="shared" si="0"/>
        <v>276641</v>
      </c>
      <c r="K3" s="15">
        <f t="shared" si="0"/>
        <v>283546</v>
      </c>
      <c r="L3" s="15">
        <f t="shared" si="0"/>
        <v>284702</v>
      </c>
      <c r="M3" s="15">
        <f t="shared" si="0"/>
        <v>280831</v>
      </c>
      <c r="N3" s="15">
        <f t="shared" si="0"/>
        <v>291415</v>
      </c>
      <c r="O3" s="15">
        <f>O42</f>
        <v>287759</v>
      </c>
    </row>
    <row r="4" spans="1:17" ht="15.75" thickBot="1">
      <c r="A4" s="13" t="s">
        <v>13193</v>
      </c>
      <c r="C4" s="13"/>
      <c r="D4" s="12">
        <f>D109</f>
        <v>291487</v>
      </c>
      <c r="E4" s="12">
        <f t="shared" ref="E4:N4" si="1">E109</f>
        <v>290460</v>
      </c>
      <c r="F4" s="12">
        <f t="shared" si="1"/>
        <v>291885</v>
      </c>
      <c r="G4" s="12">
        <f t="shared" si="1"/>
        <v>293380</v>
      </c>
      <c r="H4" s="12">
        <f t="shared" si="1"/>
        <v>291411</v>
      </c>
      <c r="I4" s="12">
        <f t="shared" si="1"/>
        <v>287131</v>
      </c>
      <c r="J4" s="12">
        <f t="shared" si="1"/>
        <v>279119</v>
      </c>
      <c r="K4" s="12">
        <f t="shared" si="1"/>
        <v>290757</v>
      </c>
      <c r="L4" s="12">
        <f t="shared" si="1"/>
        <v>291649</v>
      </c>
      <c r="M4" s="12">
        <f t="shared" si="1"/>
        <v>289437</v>
      </c>
      <c r="N4" s="12">
        <f t="shared" si="1"/>
        <v>304249</v>
      </c>
      <c r="O4" s="12">
        <f>O109</f>
        <v>299712</v>
      </c>
    </row>
    <row r="5" spans="1:17" ht="15.75" thickBot="1">
      <c r="D5" s="12">
        <f t="shared" ref="D5:N5" si="2">SUM(D3:D4)</f>
        <v>572648</v>
      </c>
      <c r="E5" s="12">
        <f t="shared" si="2"/>
        <v>575449</v>
      </c>
      <c r="F5" s="12">
        <f t="shared" si="2"/>
        <v>577989</v>
      </c>
      <c r="G5" s="12">
        <f t="shared" si="2"/>
        <v>580549</v>
      </c>
      <c r="H5" s="12">
        <f t="shared" si="2"/>
        <v>576444</v>
      </c>
      <c r="I5" s="12">
        <f t="shared" si="2"/>
        <v>564573</v>
      </c>
      <c r="J5" s="12">
        <f t="shared" si="2"/>
        <v>555760</v>
      </c>
      <c r="K5" s="12">
        <f t="shared" si="2"/>
        <v>574303</v>
      </c>
      <c r="L5" s="12">
        <f t="shared" si="2"/>
        <v>576351</v>
      </c>
      <c r="M5" s="12">
        <f t="shared" si="2"/>
        <v>570268</v>
      </c>
      <c r="N5" s="12">
        <f t="shared" si="2"/>
        <v>595664</v>
      </c>
      <c r="O5" s="12">
        <f>SUM(O3:O4)</f>
        <v>587471</v>
      </c>
    </row>
    <row r="6" spans="1:17">
      <c r="D6" s="14"/>
      <c r="E6" s="14"/>
      <c r="F6" s="14"/>
      <c r="G6" s="14"/>
      <c r="H6" s="14"/>
      <c r="I6" s="14"/>
      <c r="J6" s="14"/>
      <c r="K6" s="14"/>
      <c r="L6" s="14"/>
      <c r="M6" s="14"/>
      <c r="N6" s="14"/>
      <c r="O6" s="14"/>
    </row>
    <row r="7" spans="1:17">
      <c r="A7" s="13" t="s">
        <v>13194</v>
      </c>
      <c r="D7" s="15">
        <f>D3/4</f>
        <v>70290.25</v>
      </c>
      <c r="E7" s="15">
        <f t="shared" ref="E7:N7" si="3">E3/4</f>
        <v>71247.25</v>
      </c>
      <c r="F7" s="15">
        <f t="shared" si="3"/>
        <v>71526</v>
      </c>
      <c r="G7" s="15">
        <f t="shared" si="3"/>
        <v>71792.25</v>
      </c>
      <c r="H7" s="15">
        <f t="shared" si="3"/>
        <v>71258.25</v>
      </c>
      <c r="I7" s="15">
        <f t="shared" si="3"/>
        <v>69360.5</v>
      </c>
      <c r="J7" s="15">
        <f t="shared" si="3"/>
        <v>69160.25</v>
      </c>
      <c r="K7" s="15">
        <f t="shared" si="3"/>
        <v>70886.5</v>
      </c>
      <c r="L7" s="15">
        <f t="shared" si="3"/>
        <v>71175.5</v>
      </c>
      <c r="M7" s="15">
        <f t="shared" si="3"/>
        <v>70207.75</v>
      </c>
      <c r="N7" s="15">
        <f t="shared" si="3"/>
        <v>72853.75</v>
      </c>
      <c r="O7" s="15">
        <f>O3/4</f>
        <v>71939.75</v>
      </c>
    </row>
    <row r="8" spans="1:17">
      <c r="A8" s="13" t="s">
        <v>3758</v>
      </c>
      <c r="D8" s="15">
        <f>D4/4</f>
        <v>72871.75</v>
      </c>
      <c r="E8" s="15">
        <f t="shared" ref="E8:N8" si="4">E4/4</f>
        <v>72615</v>
      </c>
      <c r="F8" s="15">
        <f t="shared" si="4"/>
        <v>72971.25</v>
      </c>
      <c r="G8" s="15">
        <f t="shared" si="4"/>
        <v>73345</v>
      </c>
      <c r="H8" s="15">
        <f t="shared" si="4"/>
        <v>72852.75</v>
      </c>
      <c r="I8" s="15">
        <f t="shared" si="4"/>
        <v>71782.75</v>
      </c>
      <c r="J8" s="15">
        <f t="shared" si="4"/>
        <v>69779.75</v>
      </c>
      <c r="K8" s="15">
        <f t="shared" si="4"/>
        <v>72689.25</v>
      </c>
      <c r="L8" s="15">
        <f t="shared" si="4"/>
        <v>72912.25</v>
      </c>
      <c r="M8" s="15">
        <f t="shared" si="4"/>
        <v>72359.25</v>
      </c>
      <c r="N8" s="15">
        <f t="shared" si="4"/>
        <v>76062.25</v>
      </c>
      <c r="O8" s="15">
        <f>O4/4</f>
        <v>74928</v>
      </c>
    </row>
    <row r="9" spans="1:17">
      <c r="A9" s="13" t="s">
        <v>5995</v>
      </c>
      <c r="D9" s="15">
        <f t="shared" ref="D9:N9" si="5">D5/8</f>
        <v>71581</v>
      </c>
      <c r="E9" s="15">
        <f t="shared" si="5"/>
        <v>71931.125</v>
      </c>
      <c r="F9" s="15">
        <f t="shared" si="5"/>
        <v>72248.625</v>
      </c>
      <c r="G9" s="15">
        <f t="shared" si="5"/>
        <v>72568.625</v>
      </c>
      <c r="H9" s="15">
        <f t="shared" si="5"/>
        <v>72055.5</v>
      </c>
      <c r="I9" s="15">
        <f t="shared" si="5"/>
        <v>70571.625</v>
      </c>
      <c r="J9" s="15">
        <f t="shared" si="5"/>
        <v>69470</v>
      </c>
      <c r="K9" s="15">
        <f t="shared" si="5"/>
        <v>71787.875</v>
      </c>
      <c r="L9" s="15">
        <f t="shared" si="5"/>
        <v>72043.875</v>
      </c>
      <c r="M9" s="15">
        <f t="shared" si="5"/>
        <v>71283.5</v>
      </c>
      <c r="N9" s="15">
        <f t="shared" si="5"/>
        <v>74458</v>
      </c>
      <c r="O9" s="15">
        <f>O5/8</f>
        <v>73433.875</v>
      </c>
    </row>
    <row r="10" spans="1:17">
      <c r="D10" s="14"/>
      <c r="E10" s="14"/>
      <c r="F10" s="14"/>
      <c r="G10" s="14"/>
      <c r="H10" s="14"/>
      <c r="I10" s="14"/>
      <c r="J10" s="14"/>
      <c r="K10" s="14"/>
      <c r="L10" s="14"/>
      <c r="M10" s="14"/>
      <c r="N10" s="14"/>
      <c r="O10" s="14"/>
    </row>
    <row r="11" spans="1:17">
      <c r="A11" s="13" t="s">
        <v>2372</v>
      </c>
      <c r="D11" s="15">
        <f>D100</f>
        <v>71886</v>
      </c>
      <c r="E11" s="15">
        <f t="shared" ref="E11:N11" si="6">E100</f>
        <v>72961</v>
      </c>
      <c r="F11" s="15">
        <f t="shared" si="6"/>
        <v>73106</v>
      </c>
      <c r="G11" s="15">
        <f t="shared" si="6"/>
        <v>74212</v>
      </c>
      <c r="H11" s="15">
        <f t="shared" si="6"/>
        <v>72386</v>
      </c>
      <c r="I11" s="15">
        <f t="shared" si="6"/>
        <v>71411</v>
      </c>
      <c r="J11" s="15">
        <f t="shared" si="6"/>
        <v>71748</v>
      </c>
      <c r="K11" s="15">
        <f t="shared" si="6"/>
        <v>73835</v>
      </c>
      <c r="L11" s="15">
        <f t="shared" si="6"/>
        <v>73805</v>
      </c>
      <c r="M11" s="15">
        <f t="shared" si="6"/>
        <v>72636</v>
      </c>
      <c r="N11" s="15">
        <f t="shared" si="6"/>
        <v>74557</v>
      </c>
      <c r="O11" s="15">
        <f>O100</f>
        <v>73081</v>
      </c>
      <c r="Q11" s="13" t="s">
        <v>13195</v>
      </c>
    </row>
    <row r="12" spans="1:17">
      <c r="D12" s="14"/>
      <c r="E12" s="14"/>
      <c r="F12" s="14"/>
      <c r="G12" s="14"/>
      <c r="H12" s="14"/>
      <c r="I12" s="14"/>
      <c r="J12" s="14"/>
      <c r="K12" s="14"/>
      <c r="L12" s="14"/>
      <c r="M12" s="14"/>
      <c r="N12" s="14"/>
      <c r="O12" s="14"/>
    </row>
    <row r="13" spans="1:17">
      <c r="A13" s="13" t="s">
        <v>2373</v>
      </c>
      <c r="D13" s="15">
        <f>D101</f>
        <v>70913</v>
      </c>
      <c r="E13" s="15">
        <f t="shared" ref="E13:N13" si="7">E101</f>
        <v>72714</v>
      </c>
      <c r="F13" s="15">
        <f t="shared" si="7"/>
        <v>73181</v>
      </c>
      <c r="G13" s="15">
        <f t="shared" si="7"/>
        <v>73159</v>
      </c>
      <c r="H13" s="15">
        <f t="shared" si="7"/>
        <v>72092</v>
      </c>
      <c r="I13" s="15">
        <f t="shared" si="7"/>
        <v>69141</v>
      </c>
      <c r="J13" s="15">
        <f t="shared" si="7"/>
        <v>70999</v>
      </c>
      <c r="K13" s="15">
        <f t="shared" si="7"/>
        <v>71979</v>
      </c>
      <c r="L13" s="15">
        <f t="shared" si="7"/>
        <v>71920</v>
      </c>
      <c r="M13" s="15">
        <f t="shared" si="7"/>
        <v>70398</v>
      </c>
      <c r="N13" s="15">
        <f t="shared" si="7"/>
        <v>74599</v>
      </c>
      <c r="O13" s="15">
        <f>O101</f>
        <v>72857</v>
      </c>
      <c r="Q13" s="13" t="s">
        <v>13195</v>
      </c>
    </row>
    <row r="14" spans="1:17">
      <c r="D14" s="14"/>
      <c r="E14" s="14"/>
      <c r="F14" s="14"/>
      <c r="G14" s="14"/>
      <c r="H14" s="14"/>
      <c r="I14" s="14"/>
      <c r="J14" s="14"/>
      <c r="K14" s="14"/>
      <c r="L14" s="14"/>
      <c r="M14" s="14"/>
      <c r="N14" s="14"/>
      <c r="O14" s="14"/>
    </row>
    <row r="15" spans="1:17">
      <c r="A15" s="13" t="s">
        <v>5335</v>
      </c>
      <c r="D15" s="15">
        <f>D102</f>
        <v>38491</v>
      </c>
      <c r="E15" s="15">
        <f t="shared" ref="E15:N15" si="8">E102</f>
        <v>38984</v>
      </c>
      <c r="F15" s="15">
        <f t="shared" si="8"/>
        <v>39050</v>
      </c>
      <c r="G15" s="15">
        <f t="shared" si="8"/>
        <v>39384</v>
      </c>
      <c r="H15" s="15">
        <f t="shared" si="8"/>
        <v>39867</v>
      </c>
      <c r="I15" s="15">
        <f t="shared" si="8"/>
        <v>38260</v>
      </c>
      <c r="J15" s="15">
        <f t="shared" si="8"/>
        <v>37903</v>
      </c>
      <c r="K15" s="15">
        <f t="shared" si="8"/>
        <v>38870</v>
      </c>
      <c r="L15" s="15">
        <f t="shared" si="8"/>
        <v>39091</v>
      </c>
      <c r="M15" s="15">
        <f t="shared" si="8"/>
        <v>38395</v>
      </c>
      <c r="N15" s="15">
        <f t="shared" si="8"/>
        <v>40195</v>
      </c>
      <c r="O15" s="15">
        <f>O102</f>
        <v>40091</v>
      </c>
      <c r="Q15" s="13" t="s">
        <v>13195</v>
      </c>
    </row>
    <row r="16" spans="1:17" ht="15.75" thickBot="1">
      <c r="D16" s="12">
        <f>D183</f>
        <v>30192</v>
      </c>
      <c r="E16" s="12">
        <f t="shared" ref="E16:N16" si="9">E183</f>
        <v>30024</v>
      </c>
      <c r="F16" s="12">
        <f t="shared" si="9"/>
        <v>30326</v>
      </c>
      <c r="G16" s="12">
        <f t="shared" si="9"/>
        <v>30732</v>
      </c>
      <c r="H16" s="12">
        <f t="shared" si="9"/>
        <v>30865</v>
      </c>
      <c r="I16" s="12">
        <f t="shared" si="9"/>
        <v>29842</v>
      </c>
      <c r="J16" s="12">
        <f t="shared" si="9"/>
        <v>29697</v>
      </c>
      <c r="K16" s="12">
        <f t="shared" si="9"/>
        <v>30494</v>
      </c>
      <c r="L16" s="12">
        <f t="shared" si="9"/>
        <v>30486</v>
      </c>
      <c r="M16" s="12">
        <f t="shared" si="9"/>
        <v>30240</v>
      </c>
      <c r="N16" s="12">
        <f t="shared" si="9"/>
        <v>31720</v>
      </c>
      <c r="O16" s="12">
        <f>O183</f>
        <v>31362</v>
      </c>
      <c r="Q16" s="13" t="s">
        <v>13196</v>
      </c>
    </row>
    <row r="17" spans="1:17" ht="15.75" thickBot="1">
      <c r="D17" s="12">
        <f>D15+D16</f>
        <v>68683</v>
      </c>
      <c r="E17" s="12">
        <f t="shared" ref="E17:N17" si="10">E15+E16</f>
        <v>69008</v>
      </c>
      <c r="F17" s="12">
        <f t="shared" si="10"/>
        <v>69376</v>
      </c>
      <c r="G17" s="12">
        <f t="shared" si="10"/>
        <v>70116</v>
      </c>
      <c r="H17" s="12">
        <f t="shared" si="10"/>
        <v>70732</v>
      </c>
      <c r="I17" s="12">
        <f t="shared" si="10"/>
        <v>68102</v>
      </c>
      <c r="J17" s="12">
        <f t="shared" si="10"/>
        <v>67600</v>
      </c>
      <c r="K17" s="12">
        <f t="shared" si="10"/>
        <v>69364</v>
      </c>
      <c r="L17" s="12">
        <f t="shared" si="10"/>
        <v>69577</v>
      </c>
      <c r="M17" s="12">
        <f t="shared" si="10"/>
        <v>68635</v>
      </c>
      <c r="N17" s="12">
        <f t="shared" si="10"/>
        <v>71915</v>
      </c>
      <c r="O17" s="12">
        <f>O15+O16</f>
        <v>71453</v>
      </c>
    </row>
    <row r="18" spans="1:17">
      <c r="D18" s="14"/>
      <c r="E18" s="14"/>
      <c r="F18" s="14"/>
      <c r="G18" s="14"/>
      <c r="H18" s="14"/>
      <c r="I18" s="14"/>
      <c r="J18" s="14"/>
      <c r="K18" s="14"/>
      <c r="L18" s="14"/>
      <c r="M18" s="14"/>
      <c r="N18" s="14"/>
      <c r="O18" s="14"/>
    </row>
    <row r="19" spans="1:17">
      <c r="A19" s="13" t="s">
        <v>5336</v>
      </c>
      <c r="D19" s="15">
        <f>D103</f>
        <v>27557</v>
      </c>
      <c r="E19" s="15">
        <f t="shared" ref="E19:N19" si="11">E103</f>
        <v>27557</v>
      </c>
      <c r="F19" s="15">
        <f t="shared" si="11"/>
        <v>27637</v>
      </c>
      <c r="G19" s="15">
        <f t="shared" si="11"/>
        <v>27481</v>
      </c>
      <c r="H19" s="15">
        <f t="shared" si="11"/>
        <v>27483</v>
      </c>
      <c r="I19" s="15">
        <f t="shared" si="11"/>
        <v>27161</v>
      </c>
      <c r="J19" s="15">
        <f t="shared" si="11"/>
        <v>26355</v>
      </c>
      <c r="K19" s="15">
        <f t="shared" si="11"/>
        <v>26977</v>
      </c>
      <c r="L19" s="15">
        <f t="shared" si="11"/>
        <v>27221</v>
      </c>
      <c r="M19" s="15">
        <f t="shared" si="11"/>
        <v>26970</v>
      </c>
      <c r="N19" s="15">
        <f t="shared" si="11"/>
        <v>27572</v>
      </c>
      <c r="O19" s="15">
        <f>O103</f>
        <v>27490</v>
      </c>
      <c r="Q19" s="13" t="s">
        <v>13195</v>
      </c>
    </row>
    <row r="20" spans="1:17" ht="15.75" thickBot="1">
      <c r="D20" s="12">
        <f>D184</f>
        <v>37219</v>
      </c>
      <c r="E20" s="12">
        <f t="shared" ref="E20:N20" si="12">E184</f>
        <v>37148</v>
      </c>
      <c r="F20" s="12">
        <f t="shared" si="12"/>
        <v>37131</v>
      </c>
      <c r="G20" s="12">
        <f t="shared" si="12"/>
        <v>37274</v>
      </c>
      <c r="H20" s="12">
        <f t="shared" si="12"/>
        <v>37333</v>
      </c>
      <c r="I20" s="12">
        <f t="shared" si="12"/>
        <v>36588</v>
      </c>
      <c r="J20" s="12">
        <f t="shared" si="12"/>
        <v>36148</v>
      </c>
      <c r="K20" s="12">
        <f t="shared" si="12"/>
        <v>37339</v>
      </c>
      <c r="L20" s="12">
        <f t="shared" si="12"/>
        <v>37056</v>
      </c>
      <c r="M20" s="12">
        <f t="shared" si="12"/>
        <v>36576</v>
      </c>
      <c r="N20" s="12">
        <f t="shared" si="12"/>
        <v>38423</v>
      </c>
      <c r="O20" s="12">
        <f>O184</f>
        <v>37938</v>
      </c>
      <c r="Q20" s="13" t="s">
        <v>13196</v>
      </c>
    </row>
    <row r="21" spans="1:17" ht="15.75" thickBot="1">
      <c r="D21" s="12">
        <f>SUM(D19:D20)</f>
        <v>64776</v>
      </c>
      <c r="E21" s="12">
        <f t="shared" ref="E21:N21" si="13">SUM(E19:E20)</f>
        <v>64705</v>
      </c>
      <c r="F21" s="12">
        <f t="shared" si="13"/>
        <v>64768</v>
      </c>
      <c r="G21" s="12">
        <f t="shared" si="13"/>
        <v>64755</v>
      </c>
      <c r="H21" s="12">
        <f t="shared" si="13"/>
        <v>64816</v>
      </c>
      <c r="I21" s="12">
        <f t="shared" si="13"/>
        <v>63749</v>
      </c>
      <c r="J21" s="12">
        <f t="shared" si="13"/>
        <v>62503</v>
      </c>
      <c r="K21" s="12">
        <f t="shared" si="13"/>
        <v>64316</v>
      </c>
      <c r="L21" s="12">
        <f t="shared" si="13"/>
        <v>64277</v>
      </c>
      <c r="M21" s="12">
        <f t="shared" si="13"/>
        <v>63546</v>
      </c>
      <c r="N21" s="12">
        <f t="shared" si="13"/>
        <v>65995</v>
      </c>
      <c r="O21" s="12">
        <f>SUM(O19:O20)</f>
        <v>65428</v>
      </c>
    </row>
    <row r="22" spans="1:17">
      <c r="D22" s="14"/>
      <c r="E22" s="14"/>
      <c r="F22" s="14"/>
      <c r="G22" s="14"/>
      <c r="H22" s="14"/>
      <c r="I22" s="14"/>
      <c r="J22" s="14"/>
      <c r="K22" s="14"/>
      <c r="L22" s="14"/>
      <c r="M22" s="14"/>
      <c r="N22" s="14"/>
      <c r="O22" s="14"/>
    </row>
    <row r="23" spans="1:17">
      <c r="A23" s="13" t="s">
        <v>5337</v>
      </c>
      <c r="D23" s="15">
        <f>D185</f>
        <v>74031</v>
      </c>
      <c r="E23" s="15">
        <f t="shared" ref="E23:N23" si="14">E185</f>
        <v>73010</v>
      </c>
      <c r="F23" s="15">
        <f t="shared" si="14"/>
        <v>73935</v>
      </c>
      <c r="G23" s="15">
        <f t="shared" si="14"/>
        <v>74863</v>
      </c>
      <c r="H23" s="15">
        <f t="shared" si="14"/>
        <v>74477</v>
      </c>
      <c r="I23" s="15">
        <f t="shared" si="14"/>
        <v>72591</v>
      </c>
      <c r="J23" s="15">
        <f t="shared" si="14"/>
        <v>70440</v>
      </c>
      <c r="K23" s="15">
        <f t="shared" si="14"/>
        <v>74295</v>
      </c>
      <c r="L23" s="15">
        <f t="shared" si="14"/>
        <v>74687</v>
      </c>
      <c r="M23" s="15">
        <f t="shared" si="14"/>
        <v>73591</v>
      </c>
      <c r="N23" s="15">
        <f t="shared" si="14"/>
        <v>77277</v>
      </c>
      <c r="O23" s="15">
        <f>O185</f>
        <v>76258</v>
      </c>
      <c r="Q23" s="13" t="s">
        <v>13196</v>
      </c>
    </row>
    <row r="24" spans="1:17">
      <c r="D24" s="14"/>
      <c r="E24" s="14"/>
      <c r="F24" s="14"/>
      <c r="G24" s="14"/>
      <c r="H24" s="14"/>
      <c r="I24" s="14"/>
      <c r="J24" s="14"/>
      <c r="K24" s="14"/>
      <c r="L24" s="14"/>
      <c r="M24" s="14"/>
      <c r="N24" s="14"/>
      <c r="O24" s="14"/>
    </row>
    <row r="25" spans="1:17">
      <c r="A25" s="13" t="s">
        <v>5338</v>
      </c>
      <c r="D25" s="15">
        <f>D104</f>
        <v>72314</v>
      </c>
      <c r="E25" s="15">
        <f t="shared" ref="E25:N25" si="15">E104</f>
        <v>72773</v>
      </c>
      <c r="F25" s="15">
        <f t="shared" si="15"/>
        <v>73130</v>
      </c>
      <c r="G25" s="15">
        <f t="shared" si="15"/>
        <v>72933</v>
      </c>
      <c r="H25" s="15">
        <f t="shared" si="15"/>
        <v>73205</v>
      </c>
      <c r="I25" s="15">
        <f t="shared" si="15"/>
        <v>71469</v>
      </c>
      <c r="J25" s="15">
        <f t="shared" si="15"/>
        <v>69636</v>
      </c>
      <c r="K25" s="15">
        <f t="shared" si="15"/>
        <v>71885</v>
      </c>
      <c r="L25" s="15">
        <f t="shared" si="15"/>
        <v>72665</v>
      </c>
      <c r="M25" s="15">
        <f t="shared" si="15"/>
        <v>72432</v>
      </c>
      <c r="N25" s="15">
        <f t="shared" si="15"/>
        <v>74492</v>
      </c>
      <c r="O25" s="15">
        <f>O104</f>
        <v>74240</v>
      </c>
      <c r="Q25" s="13" t="s">
        <v>13195</v>
      </c>
    </row>
    <row r="26" spans="1:17">
      <c r="D26" s="14"/>
      <c r="E26" s="14"/>
      <c r="F26" s="14"/>
      <c r="G26" s="14"/>
      <c r="H26" s="14"/>
      <c r="I26" s="14"/>
      <c r="J26" s="14"/>
      <c r="K26" s="14"/>
      <c r="L26" s="14"/>
      <c r="M26" s="14"/>
      <c r="N26" s="14"/>
      <c r="O26" s="14"/>
    </row>
    <row r="27" spans="1:17">
      <c r="A27" s="13" t="s">
        <v>3806</v>
      </c>
      <c r="D27" s="15">
        <f>D186</f>
        <v>73168</v>
      </c>
      <c r="E27" s="15">
        <f t="shared" ref="E27:N27" si="16">E186</f>
        <v>73499</v>
      </c>
      <c r="F27" s="15">
        <f t="shared" si="16"/>
        <v>73101</v>
      </c>
      <c r="G27" s="15">
        <f t="shared" si="16"/>
        <v>72915</v>
      </c>
      <c r="H27" s="15">
        <f t="shared" si="16"/>
        <v>71158</v>
      </c>
      <c r="I27" s="15">
        <f t="shared" si="16"/>
        <v>70486</v>
      </c>
      <c r="J27" s="15">
        <f t="shared" si="16"/>
        <v>68211</v>
      </c>
      <c r="K27" s="15">
        <f t="shared" si="16"/>
        <v>71155</v>
      </c>
      <c r="L27" s="15">
        <f t="shared" si="16"/>
        <v>71224</v>
      </c>
      <c r="M27" s="15">
        <f t="shared" si="16"/>
        <v>70790</v>
      </c>
      <c r="N27" s="15">
        <f t="shared" si="16"/>
        <v>74313</v>
      </c>
      <c r="O27" s="15">
        <f>O186</f>
        <v>73063</v>
      </c>
      <c r="Q27" s="13" t="s">
        <v>13196</v>
      </c>
    </row>
    <row r="28" spans="1:17">
      <c r="D28" s="14"/>
      <c r="E28" s="14"/>
      <c r="F28" s="14"/>
      <c r="G28" s="14"/>
      <c r="H28" s="14"/>
      <c r="I28" s="14"/>
      <c r="J28" s="14"/>
      <c r="K28" s="14"/>
      <c r="L28" s="14"/>
      <c r="M28" s="14"/>
      <c r="N28" s="14"/>
      <c r="O28" s="14"/>
    </row>
    <row r="29" spans="1:17">
      <c r="A29" s="13" t="s">
        <v>3807</v>
      </c>
      <c r="D29" s="15">
        <f>D187</f>
        <v>76877</v>
      </c>
      <c r="E29" s="15">
        <f t="shared" ref="E29:N29" si="17">E187</f>
        <v>76779</v>
      </c>
      <c r="F29" s="15">
        <f t="shared" si="17"/>
        <v>77392</v>
      </c>
      <c r="G29" s="15">
        <f t="shared" si="17"/>
        <v>77596</v>
      </c>
      <c r="H29" s="15">
        <f t="shared" si="17"/>
        <v>77578</v>
      </c>
      <c r="I29" s="15">
        <f t="shared" si="17"/>
        <v>77624</v>
      </c>
      <c r="J29" s="15">
        <f t="shared" si="17"/>
        <v>74623</v>
      </c>
      <c r="K29" s="15">
        <f t="shared" si="17"/>
        <v>77474</v>
      </c>
      <c r="L29" s="15">
        <f t="shared" si="17"/>
        <v>78196</v>
      </c>
      <c r="M29" s="15">
        <f t="shared" si="17"/>
        <v>78240</v>
      </c>
      <c r="N29" s="15">
        <f t="shared" si="17"/>
        <v>82516</v>
      </c>
      <c r="O29" s="15">
        <f>O187</f>
        <v>81091</v>
      </c>
      <c r="Q29" s="13" t="s">
        <v>13196</v>
      </c>
    </row>
    <row r="30" spans="1:17">
      <c r="D30" s="14"/>
      <c r="E30" s="14"/>
      <c r="F30" s="14"/>
      <c r="G30" s="14"/>
      <c r="H30" s="14"/>
      <c r="I30" s="14"/>
      <c r="J30" s="14"/>
      <c r="K30" s="14"/>
      <c r="L30" s="14"/>
      <c r="M30" s="14"/>
      <c r="N30" s="14"/>
      <c r="O30" s="14"/>
    </row>
    <row r="31" spans="1:17">
      <c r="A31" s="13" t="s">
        <v>6796</v>
      </c>
      <c r="D31" s="15">
        <f>D11+D13+D17+D21+D23+D25+D27+D29</f>
        <v>572648</v>
      </c>
      <c r="E31" s="15">
        <f t="shared" ref="E31:N31" si="18">E11+E13+E17+E21+E23+E25+E27+E29</f>
        <v>575449</v>
      </c>
      <c r="F31" s="15">
        <f t="shared" si="18"/>
        <v>577989</v>
      </c>
      <c r="G31" s="15">
        <f t="shared" si="18"/>
        <v>580549</v>
      </c>
      <c r="H31" s="15">
        <f t="shared" si="18"/>
        <v>576444</v>
      </c>
      <c r="I31" s="15">
        <f t="shared" si="18"/>
        <v>564573</v>
      </c>
      <c r="J31" s="15">
        <f t="shared" si="18"/>
        <v>555760</v>
      </c>
      <c r="K31" s="15">
        <f t="shared" si="18"/>
        <v>574303</v>
      </c>
      <c r="L31" s="15">
        <f t="shared" si="18"/>
        <v>576351</v>
      </c>
      <c r="M31" s="15">
        <f t="shared" si="18"/>
        <v>570268</v>
      </c>
      <c r="N31" s="15">
        <f t="shared" si="18"/>
        <v>595664</v>
      </c>
      <c r="O31" s="15">
        <f>O11+O13+O17+O21+O23+O25+O27+O29</f>
        <v>587471</v>
      </c>
    </row>
    <row r="32" spans="1:17">
      <c r="D32" s="14"/>
      <c r="E32" s="14"/>
      <c r="F32" s="14"/>
      <c r="G32" s="14"/>
      <c r="H32" s="14"/>
      <c r="I32" s="14"/>
      <c r="J32" s="14"/>
      <c r="K32" s="14"/>
      <c r="L32" s="14"/>
      <c r="M32" s="14"/>
      <c r="N32" s="14"/>
      <c r="O32" s="14"/>
    </row>
    <row r="33" spans="1:17">
      <c r="A33" s="13" t="s">
        <v>6797</v>
      </c>
      <c r="D33" s="15">
        <f>MAX(D11,D13,D17,D21,D23,D25,D27,D29)-MIN(D11,D13,D17,D21,D23,D25,D27,D29)</f>
        <v>12101</v>
      </c>
      <c r="E33" s="15">
        <f t="shared" ref="E33:N33" si="19">MAX(E11,E13,E17,E21,E23,E25,E27,E29)-MIN(E11,E13,E17,E21,E23,E25,E27,E29)</f>
        <v>12074</v>
      </c>
      <c r="F33" s="15">
        <f t="shared" si="19"/>
        <v>12624</v>
      </c>
      <c r="G33" s="15">
        <f t="shared" si="19"/>
        <v>12841</v>
      </c>
      <c r="H33" s="15">
        <f t="shared" si="19"/>
        <v>12762</v>
      </c>
      <c r="I33" s="15">
        <f t="shared" si="19"/>
        <v>13875</v>
      </c>
      <c r="J33" s="15">
        <f t="shared" si="19"/>
        <v>12120</v>
      </c>
      <c r="K33" s="15">
        <f t="shared" si="19"/>
        <v>13158</v>
      </c>
      <c r="L33" s="15">
        <f t="shared" si="19"/>
        <v>13919</v>
      </c>
      <c r="M33" s="15">
        <f t="shared" si="19"/>
        <v>14694</v>
      </c>
      <c r="N33" s="15">
        <f t="shared" si="19"/>
        <v>16521</v>
      </c>
      <c r="O33" s="15">
        <f>MAX(O11,O13,O17,O21,O23,O25,O27,O29)-MIN(O11,O13,O17,O21,O23,O25,O27,O29)</f>
        <v>15663</v>
      </c>
    </row>
    <row r="34" spans="1:17">
      <c r="D34" s="14"/>
      <c r="E34" s="14"/>
      <c r="F34" s="14"/>
      <c r="G34" s="14"/>
      <c r="H34" s="14"/>
      <c r="I34" s="14"/>
      <c r="J34" s="14"/>
      <c r="K34" s="14"/>
      <c r="L34" s="14"/>
      <c r="M34" s="14"/>
      <c r="N34" s="14"/>
      <c r="O34" s="14"/>
    </row>
    <row r="35" spans="1:17">
      <c r="A35" s="13" t="s">
        <v>6800</v>
      </c>
      <c r="D35" s="15">
        <f>STDEVP(D11,D13,D17,D21,D23,D25,D27,D29)</f>
        <v>3397.6398425966222</v>
      </c>
      <c r="E35" s="15">
        <f t="shared" ref="E35:N35" si="20">STDEVP(E11,E13,E17,E21,E23,E25,E27,E29)</f>
        <v>3359.0907786743423</v>
      </c>
      <c r="F35" s="15">
        <f t="shared" si="20"/>
        <v>3475.227903947452</v>
      </c>
      <c r="G35" s="15">
        <f t="shared" si="20"/>
        <v>3551.5618021336754</v>
      </c>
      <c r="H35" s="15">
        <f t="shared" si="20"/>
        <v>3405.1633587832462</v>
      </c>
      <c r="I35" s="15">
        <f t="shared" si="20"/>
        <v>3708.5202553545532</v>
      </c>
      <c r="J35" s="15">
        <f t="shared" si="20"/>
        <v>3329.2277633108852</v>
      </c>
      <c r="K35" s="15">
        <f t="shared" si="20"/>
        <v>3622.1366773459831</v>
      </c>
      <c r="L35" s="15">
        <f t="shared" si="20"/>
        <v>3798.346167659683</v>
      </c>
      <c r="M35" s="15">
        <f t="shared" si="20"/>
        <v>3949.3174726780321</v>
      </c>
      <c r="N35" s="15">
        <f t="shared" si="20"/>
        <v>4344.8130857379811</v>
      </c>
      <c r="O35" s="15">
        <f>STDEVP(O11,O13,O17,O21,O23,O25,O27,O29)</f>
        <v>4121.1320786132301</v>
      </c>
    </row>
    <row r="37" spans="1:17">
      <c r="A37" s="13" t="s">
        <v>2424</v>
      </c>
    </row>
    <row r="40" spans="1:17">
      <c r="E40" s="51" t="s">
        <v>1526</v>
      </c>
      <c r="F40" s="51"/>
      <c r="G40" s="51"/>
      <c r="H40" s="51"/>
      <c r="I40" s="51"/>
      <c r="J40" s="51"/>
      <c r="K40" s="51"/>
      <c r="L40" s="51"/>
      <c r="M40" s="51"/>
      <c r="N40" s="51"/>
      <c r="O40" s="51"/>
      <c r="P40" s="173"/>
      <c r="Q40" s="138" t="s">
        <v>9479</v>
      </c>
    </row>
    <row r="41" spans="1:17">
      <c r="D41" s="51">
        <v>2010</v>
      </c>
      <c r="E41" s="51">
        <v>2011</v>
      </c>
      <c r="F41" s="51">
        <v>2012</v>
      </c>
      <c r="G41" s="51">
        <v>2013</v>
      </c>
      <c r="H41" s="51">
        <v>2014</v>
      </c>
      <c r="I41" s="51">
        <v>2015</v>
      </c>
      <c r="J41" s="51">
        <v>2016</v>
      </c>
      <c r="K41" s="51">
        <v>2017</v>
      </c>
      <c r="L41" s="51">
        <v>2018</v>
      </c>
      <c r="M41" s="51">
        <v>2019</v>
      </c>
      <c r="N41" s="51">
        <v>2020</v>
      </c>
      <c r="O41" s="944" t="s">
        <v>14823</v>
      </c>
      <c r="P41" s="172"/>
      <c r="Q41" s="206" t="s">
        <v>1527</v>
      </c>
    </row>
    <row r="42" spans="1:17">
      <c r="A42" s="13" t="s">
        <v>13135</v>
      </c>
      <c r="D42" s="15">
        <f t="shared" ref="D42:M42" si="21">SUM(D43:D44,D46:D47,D49:D53,D55:D57,D59:D61,D63:D66,D68:D70,D72:D79,D81:D82,D84:D94,D96)</f>
        <v>281161</v>
      </c>
      <c r="E42" s="15">
        <f t="shared" si="21"/>
        <v>284989</v>
      </c>
      <c r="F42" s="15">
        <f t="shared" si="21"/>
        <v>286104</v>
      </c>
      <c r="G42" s="15">
        <f t="shared" si="21"/>
        <v>287169</v>
      </c>
      <c r="H42" s="15">
        <f t="shared" si="21"/>
        <v>285033</v>
      </c>
      <c r="I42" s="15">
        <f t="shared" si="21"/>
        <v>277442</v>
      </c>
      <c r="J42" s="15">
        <f t="shared" si="21"/>
        <v>276641</v>
      </c>
      <c r="K42" s="15">
        <f t="shared" si="21"/>
        <v>283546</v>
      </c>
      <c r="L42" s="15">
        <f t="shared" si="21"/>
        <v>284702</v>
      </c>
      <c r="M42" s="15">
        <f t="shared" si="21"/>
        <v>280831</v>
      </c>
      <c r="N42" s="15">
        <f>SUM(N43:N44,N46:N47,N49:N53,N55:N57,N59:N61,N63:N66,N68:N70,N72:N79,N81:N82,N84:N94,N96)</f>
        <v>291415</v>
      </c>
      <c r="O42" s="15">
        <f>SUM(O43:O44,O46:O47,O49:O53,O55:O57,O59:O61,O63:O66,O68:O70,O72:O79,O81:O82,O84:O94,O96)</f>
        <v>287759</v>
      </c>
    </row>
    <row r="43" spans="1:17">
      <c r="A43" s="13" t="s">
        <v>5387</v>
      </c>
      <c r="B43" s="11" t="s">
        <v>13171</v>
      </c>
      <c r="C43" s="11" t="s">
        <v>13138</v>
      </c>
      <c r="D43" s="15">
        <v>0</v>
      </c>
      <c r="E43" s="15">
        <v>0</v>
      </c>
      <c r="F43" s="15">
        <v>0</v>
      </c>
      <c r="G43" s="15">
        <v>0</v>
      </c>
      <c r="H43" s="15">
        <v>0</v>
      </c>
      <c r="I43" s="15">
        <v>0</v>
      </c>
      <c r="J43" s="15">
        <v>0</v>
      </c>
      <c r="K43" s="15">
        <v>0</v>
      </c>
      <c r="L43" s="15">
        <v>0</v>
      </c>
      <c r="M43" s="15">
        <v>0</v>
      </c>
      <c r="N43" s="15">
        <v>9293</v>
      </c>
      <c r="O43" s="15">
        <v>9257</v>
      </c>
      <c r="Q43" s="11" t="s">
        <v>2373</v>
      </c>
    </row>
    <row r="44" spans="1:17" ht="15.75" thickBot="1">
      <c r="A44" s="13"/>
      <c r="C44" s="11" t="s">
        <v>13138</v>
      </c>
      <c r="D44" s="12">
        <v>0</v>
      </c>
      <c r="E44" s="15">
        <v>0</v>
      </c>
      <c r="F44" s="15">
        <v>0</v>
      </c>
      <c r="G44" s="15">
        <v>0</v>
      </c>
      <c r="H44" s="15">
        <v>0</v>
      </c>
      <c r="I44" s="15">
        <v>0</v>
      </c>
      <c r="J44" s="15">
        <v>0</v>
      </c>
      <c r="K44" s="15">
        <v>0</v>
      </c>
      <c r="L44" s="15">
        <v>0</v>
      </c>
      <c r="M44" s="15">
        <v>0</v>
      </c>
      <c r="N44" s="12">
        <v>2403</v>
      </c>
      <c r="O44" s="12">
        <v>2388</v>
      </c>
      <c r="Q44" s="11" t="s">
        <v>5338</v>
      </c>
    </row>
    <row r="45" spans="1:17" ht="15.75" thickBot="1">
      <c r="A45" s="13"/>
      <c r="C45" s="11" t="s">
        <v>13138</v>
      </c>
      <c r="D45" s="774">
        <f t="shared" ref="D45:O45" si="22">D43+D44</f>
        <v>0</v>
      </c>
      <c r="E45" s="774">
        <f t="shared" si="22"/>
        <v>0</v>
      </c>
      <c r="F45" s="774">
        <f t="shared" si="22"/>
        <v>0</v>
      </c>
      <c r="G45" s="774">
        <f t="shared" si="22"/>
        <v>0</v>
      </c>
      <c r="H45" s="774">
        <f t="shared" si="22"/>
        <v>0</v>
      </c>
      <c r="I45" s="774">
        <f t="shared" si="22"/>
        <v>0</v>
      </c>
      <c r="J45" s="774">
        <f t="shared" si="22"/>
        <v>0</v>
      </c>
      <c r="K45" s="774">
        <f t="shared" si="22"/>
        <v>0</v>
      </c>
      <c r="L45" s="774">
        <f t="shared" si="22"/>
        <v>0</v>
      </c>
      <c r="M45" s="774">
        <f t="shared" si="22"/>
        <v>0</v>
      </c>
      <c r="N45" s="774">
        <f t="shared" si="22"/>
        <v>11696</v>
      </c>
      <c r="O45" s="774">
        <f t="shared" si="22"/>
        <v>11645</v>
      </c>
    </row>
    <row r="46" spans="1:17">
      <c r="A46" s="13" t="s">
        <v>5389</v>
      </c>
      <c r="B46" s="11" t="s">
        <v>13172</v>
      </c>
      <c r="C46" s="11" t="s">
        <v>13139</v>
      </c>
      <c r="D46" s="15">
        <v>0</v>
      </c>
      <c r="E46" s="15">
        <v>0</v>
      </c>
      <c r="F46" s="15">
        <v>0</v>
      </c>
      <c r="G46" s="15">
        <v>0</v>
      </c>
      <c r="H46" s="15">
        <v>0</v>
      </c>
      <c r="I46" s="15">
        <v>0</v>
      </c>
      <c r="J46" s="15">
        <v>0</v>
      </c>
      <c r="K46" s="15">
        <v>0</v>
      </c>
      <c r="L46" s="15">
        <v>0</v>
      </c>
      <c r="M46" s="15">
        <v>0</v>
      </c>
      <c r="N46" s="15">
        <v>2611</v>
      </c>
      <c r="O46" s="15">
        <v>2598</v>
      </c>
      <c r="Q46" s="11" t="s">
        <v>2373</v>
      </c>
    </row>
    <row r="47" spans="1:17" ht="15.75" thickBot="1">
      <c r="A47" s="13"/>
      <c r="C47" s="11" t="s">
        <v>13139</v>
      </c>
      <c r="D47" s="12">
        <v>27557</v>
      </c>
      <c r="E47" s="12">
        <v>27557</v>
      </c>
      <c r="F47" s="12">
        <v>27637</v>
      </c>
      <c r="G47" s="12">
        <v>27481</v>
      </c>
      <c r="H47" s="12">
        <v>27483</v>
      </c>
      <c r="I47" s="12">
        <v>27161</v>
      </c>
      <c r="J47" s="12">
        <v>26355</v>
      </c>
      <c r="K47" s="12">
        <v>26977</v>
      </c>
      <c r="L47" s="12">
        <v>27221</v>
      </c>
      <c r="M47" s="12">
        <v>26970</v>
      </c>
      <c r="N47" s="12">
        <v>8270</v>
      </c>
      <c r="O47" s="12">
        <v>8257</v>
      </c>
      <c r="Q47" s="11" t="s">
        <v>5336</v>
      </c>
    </row>
    <row r="48" spans="1:17" ht="15.75" thickBot="1">
      <c r="A48" s="13"/>
      <c r="C48" s="11" t="s">
        <v>13139</v>
      </c>
      <c r="D48" s="774">
        <f t="shared" ref="D48:O48" si="23">D46+D47</f>
        <v>27557</v>
      </c>
      <c r="E48" s="774">
        <f t="shared" si="23"/>
        <v>27557</v>
      </c>
      <c r="F48" s="774">
        <f t="shared" si="23"/>
        <v>27637</v>
      </c>
      <c r="G48" s="774">
        <f t="shared" si="23"/>
        <v>27481</v>
      </c>
      <c r="H48" s="774">
        <f t="shared" si="23"/>
        <v>27483</v>
      </c>
      <c r="I48" s="774">
        <f t="shared" si="23"/>
        <v>27161</v>
      </c>
      <c r="J48" s="774">
        <f t="shared" si="23"/>
        <v>26355</v>
      </c>
      <c r="K48" s="774">
        <f t="shared" si="23"/>
        <v>26977</v>
      </c>
      <c r="L48" s="774">
        <f t="shared" si="23"/>
        <v>27221</v>
      </c>
      <c r="M48" s="774">
        <f t="shared" si="23"/>
        <v>26970</v>
      </c>
      <c r="N48" s="774">
        <f t="shared" si="23"/>
        <v>10881</v>
      </c>
      <c r="O48" s="774">
        <f t="shared" si="23"/>
        <v>10855</v>
      </c>
    </row>
    <row r="49" spans="1:17">
      <c r="A49" s="13" t="s">
        <v>5391</v>
      </c>
      <c r="B49" s="11" t="s">
        <v>13173</v>
      </c>
      <c r="C49" s="11" t="s">
        <v>13140</v>
      </c>
      <c r="D49" s="15">
        <v>71886</v>
      </c>
      <c r="E49" s="15">
        <v>72961</v>
      </c>
      <c r="F49" s="15">
        <v>73106</v>
      </c>
      <c r="G49" s="15">
        <v>74212</v>
      </c>
      <c r="H49" s="15">
        <v>72386</v>
      </c>
      <c r="I49" s="15">
        <v>71411</v>
      </c>
      <c r="J49" s="15">
        <v>71748</v>
      </c>
      <c r="K49" s="15">
        <v>73835</v>
      </c>
      <c r="L49" s="15">
        <v>73805</v>
      </c>
      <c r="M49" s="15">
        <v>72636</v>
      </c>
      <c r="N49" s="15">
        <v>7504</v>
      </c>
      <c r="O49" s="15">
        <v>7348</v>
      </c>
      <c r="Q49" s="11" t="s">
        <v>2372</v>
      </c>
    </row>
    <row r="50" spans="1:17">
      <c r="A50" s="13" t="s">
        <v>5393</v>
      </c>
      <c r="B50" s="11" t="s">
        <v>2425</v>
      </c>
      <c r="C50" s="11" t="s">
        <v>13141</v>
      </c>
      <c r="D50" s="15">
        <v>0</v>
      </c>
      <c r="E50" s="15">
        <v>0</v>
      </c>
      <c r="F50" s="15">
        <v>0</v>
      </c>
      <c r="G50" s="15">
        <v>0</v>
      </c>
      <c r="H50" s="15">
        <v>0</v>
      </c>
      <c r="I50" s="15">
        <v>0</v>
      </c>
      <c r="J50" s="15">
        <v>0</v>
      </c>
      <c r="K50" s="15">
        <v>0</v>
      </c>
      <c r="L50" s="15">
        <v>0</v>
      </c>
      <c r="M50" s="15">
        <v>0</v>
      </c>
      <c r="N50" s="15">
        <v>6303</v>
      </c>
      <c r="O50" s="15">
        <v>6071</v>
      </c>
      <c r="Q50" s="11" t="s">
        <v>2372</v>
      </c>
    </row>
    <row r="51" spans="1:17">
      <c r="A51" s="13" t="s">
        <v>5394</v>
      </c>
      <c r="B51" s="11" t="s">
        <v>13174</v>
      </c>
      <c r="C51" s="11" t="s">
        <v>13142</v>
      </c>
      <c r="D51" s="15">
        <v>70913</v>
      </c>
      <c r="E51" s="15">
        <v>72714</v>
      </c>
      <c r="F51" s="15">
        <v>73181</v>
      </c>
      <c r="G51" s="15">
        <v>73159</v>
      </c>
      <c r="H51" s="15">
        <v>72092</v>
      </c>
      <c r="I51" s="15">
        <v>69141</v>
      </c>
      <c r="J51" s="15">
        <v>70999</v>
      </c>
      <c r="K51" s="15">
        <v>71979</v>
      </c>
      <c r="L51" s="15">
        <v>71920</v>
      </c>
      <c r="M51" s="15">
        <v>70398</v>
      </c>
      <c r="N51" s="15">
        <v>8150</v>
      </c>
      <c r="O51" s="15">
        <v>7813</v>
      </c>
      <c r="Q51" s="11" t="s">
        <v>2373</v>
      </c>
    </row>
    <row r="52" spans="1:17">
      <c r="A52" s="13" t="s">
        <v>5416</v>
      </c>
      <c r="B52" s="11" t="s">
        <v>2454</v>
      </c>
      <c r="C52" s="11" t="s">
        <v>13143</v>
      </c>
      <c r="D52" s="15">
        <v>0</v>
      </c>
      <c r="E52" s="15">
        <v>0</v>
      </c>
      <c r="F52" s="15">
        <v>0</v>
      </c>
      <c r="G52" s="15">
        <v>0</v>
      </c>
      <c r="H52" s="15">
        <v>0</v>
      </c>
      <c r="I52" s="15">
        <v>0</v>
      </c>
      <c r="J52" s="15">
        <v>0</v>
      </c>
      <c r="K52" s="15">
        <v>0</v>
      </c>
      <c r="L52" s="15">
        <v>0</v>
      </c>
      <c r="M52" s="15">
        <v>0</v>
      </c>
      <c r="N52" s="15">
        <v>8749</v>
      </c>
      <c r="O52" s="15">
        <v>8710</v>
      </c>
      <c r="Q52" s="11" t="s">
        <v>5336</v>
      </c>
    </row>
    <row r="53" spans="1:17" ht="15.75" thickBot="1">
      <c r="A53" s="13"/>
      <c r="C53" s="11" t="s">
        <v>13143</v>
      </c>
      <c r="D53" s="12">
        <v>0</v>
      </c>
      <c r="E53" s="12">
        <v>0</v>
      </c>
      <c r="F53" s="12">
        <v>0</v>
      </c>
      <c r="G53" s="12">
        <v>0</v>
      </c>
      <c r="H53" s="12">
        <v>0</v>
      </c>
      <c r="I53" s="12">
        <v>0</v>
      </c>
      <c r="J53" s="12">
        <v>0</v>
      </c>
      <c r="K53" s="12">
        <v>0</v>
      </c>
      <c r="L53" s="12">
        <v>0</v>
      </c>
      <c r="M53" s="12">
        <v>0</v>
      </c>
      <c r="N53" s="12">
        <v>137</v>
      </c>
      <c r="O53" s="12">
        <v>137</v>
      </c>
      <c r="Q53" s="11" t="s">
        <v>5338</v>
      </c>
    </row>
    <row r="54" spans="1:17" ht="15.75" thickBot="1">
      <c r="A54" s="13"/>
      <c r="C54" s="11" t="s">
        <v>13143</v>
      </c>
      <c r="D54" s="774">
        <f t="shared" ref="D54:O54" si="24">D52+D53</f>
        <v>0</v>
      </c>
      <c r="E54" s="774">
        <f t="shared" si="24"/>
        <v>0</v>
      </c>
      <c r="F54" s="774">
        <f t="shared" si="24"/>
        <v>0</v>
      </c>
      <c r="G54" s="774">
        <f t="shared" si="24"/>
        <v>0</v>
      </c>
      <c r="H54" s="774">
        <f t="shared" si="24"/>
        <v>0</v>
      </c>
      <c r="I54" s="774">
        <f t="shared" si="24"/>
        <v>0</v>
      </c>
      <c r="J54" s="774">
        <f t="shared" si="24"/>
        <v>0</v>
      </c>
      <c r="K54" s="774">
        <f t="shared" si="24"/>
        <v>0</v>
      </c>
      <c r="L54" s="774">
        <f t="shared" si="24"/>
        <v>0</v>
      </c>
      <c r="M54" s="774">
        <f t="shared" si="24"/>
        <v>0</v>
      </c>
      <c r="N54" s="774">
        <f t="shared" si="24"/>
        <v>8886</v>
      </c>
      <c r="O54" s="774">
        <f t="shared" si="24"/>
        <v>8847</v>
      </c>
    </row>
    <row r="55" spans="1:17">
      <c r="A55" s="13" t="s">
        <v>5418</v>
      </c>
      <c r="B55" s="11" t="s">
        <v>13175</v>
      </c>
      <c r="C55" s="11" t="s">
        <v>13144</v>
      </c>
      <c r="D55" s="15">
        <v>38491</v>
      </c>
      <c r="E55" s="15">
        <v>38984</v>
      </c>
      <c r="F55" s="15">
        <v>39050</v>
      </c>
      <c r="G55" s="15">
        <v>39384</v>
      </c>
      <c r="H55" s="15">
        <v>39867</v>
      </c>
      <c r="I55" s="15">
        <v>38260</v>
      </c>
      <c r="J55" s="15">
        <v>37903</v>
      </c>
      <c r="K55" s="15">
        <v>38870</v>
      </c>
      <c r="L55" s="15">
        <v>39091</v>
      </c>
      <c r="M55" s="15">
        <v>38395</v>
      </c>
      <c r="N55" s="15">
        <v>7136</v>
      </c>
      <c r="O55" s="15">
        <v>7158</v>
      </c>
      <c r="Q55" s="11" t="s">
        <v>5335</v>
      </c>
    </row>
    <row r="56" spans="1:17">
      <c r="A56" s="13" t="s">
        <v>5420</v>
      </c>
      <c r="B56" s="11" t="s">
        <v>2455</v>
      </c>
      <c r="C56" s="11" t="s">
        <v>13145</v>
      </c>
      <c r="D56" s="15">
        <v>0</v>
      </c>
      <c r="E56" s="15">
        <v>0</v>
      </c>
      <c r="F56" s="15">
        <v>0</v>
      </c>
      <c r="G56" s="15">
        <v>0</v>
      </c>
      <c r="H56" s="15">
        <v>0</v>
      </c>
      <c r="I56" s="15">
        <v>0</v>
      </c>
      <c r="J56" s="15">
        <v>0</v>
      </c>
      <c r="K56" s="15">
        <v>0</v>
      </c>
      <c r="L56" s="15">
        <v>0</v>
      </c>
      <c r="M56" s="15">
        <v>0</v>
      </c>
      <c r="N56" s="15">
        <v>15</v>
      </c>
      <c r="O56" s="15">
        <v>15</v>
      </c>
      <c r="Q56" s="11" t="s">
        <v>2373</v>
      </c>
    </row>
    <row r="57" spans="1:17" ht="15.75" thickBot="1">
      <c r="A57" s="13"/>
      <c r="C57" s="11" t="s">
        <v>13145</v>
      </c>
      <c r="D57" s="12">
        <v>0</v>
      </c>
      <c r="E57" s="12">
        <v>0</v>
      </c>
      <c r="F57" s="12">
        <v>0</v>
      </c>
      <c r="G57" s="12">
        <v>0</v>
      </c>
      <c r="H57" s="12">
        <v>0</v>
      </c>
      <c r="I57" s="12">
        <v>0</v>
      </c>
      <c r="J57" s="12">
        <v>0</v>
      </c>
      <c r="K57" s="12">
        <v>0</v>
      </c>
      <c r="L57" s="12">
        <v>0</v>
      </c>
      <c r="M57" s="12">
        <v>0</v>
      </c>
      <c r="N57" s="12">
        <v>7969</v>
      </c>
      <c r="O57" s="12">
        <v>7922</v>
      </c>
      <c r="Q57" s="11" t="s">
        <v>5338</v>
      </c>
    </row>
    <row r="58" spans="1:17" ht="15.75" thickBot="1">
      <c r="A58" s="13"/>
      <c r="C58" s="11" t="s">
        <v>13145</v>
      </c>
      <c r="D58" s="774">
        <f t="shared" ref="D58:O58" si="25">D56+D57</f>
        <v>0</v>
      </c>
      <c r="E58" s="774">
        <f t="shared" si="25"/>
        <v>0</v>
      </c>
      <c r="F58" s="774">
        <f t="shared" si="25"/>
        <v>0</v>
      </c>
      <c r="G58" s="774">
        <f t="shared" si="25"/>
        <v>0</v>
      </c>
      <c r="H58" s="774">
        <f t="shared" si="25"/>
        <v>0</v>
      </c>
      <c r="I58" s="774">
        <f t="shared" si="25"/>
        <v>0</v>
      </c>
      <c r="J58" s="774">
        <f t="shared" si="25"/>
        <v>0</v>
      </c>
      <c r="K58" s="774">
        <f t="shared" si="25"/>
        <v>0</v>
      </c>
      <c r="L58" s="774">
        <f t="shared" si="25"/>
        <v>0</v>
      </c>
      <c r="M58" s="774">
        <f t="shared" si="25"/>
        <v>0</v>
      </c>
      <c r="N58" s="774">
        <f t="shared" si="25"/>
        <v>7984</v>
      </c>
      <c r="O58" s="774">
        <f t="shared" si="25"/>
        <v>7937</v>
      </c>
    </row>
    <row r="59" spans="1:17">
      <c r="A59" s="13" t="s">
        <v>5422</v>
      </c>
      <c r="B59" s="11" t="s">
        <v>13176</v>
      </c>
      <c r="C59" s="11" t="s">
        <v>13146</v>
      </c>
      <c r="D59" s="15">
        <v>0</v>
      </c>
      <c r="E59" s="15">
        <v>0</v>
      </c>
      <c r="F59" s="15">
        <v>0</v>
      </c>
      <c r="G59" s="15">
        <v>0</v>
      </c>
      <c r="H59" s="15">
        <v>0</v>
      </c>
      <c r="I59" s="15">
        <v>0</v>
      </c>
      <c r="J59" s="15">
        <v>0</v>
      </c>
      <c r="K59" s="15">
        <v>0</v>
      </c>
      <c r="L59" s="15">
        <v>0</v>
      </c>
      <c r="M59" s="15">
        <v>0</v>
      </c>
      <c r="N59" s="15">
        <v>0</v>
      </c>
      <c r="O59" s="15">
        <v>0</v>
      </c>
      <c r="Q59" s="11" t="s">
        <v>2373</v>
      </c>
    </row>
    <row r="60" spans="1:17">
      <c r="A60" s="13"/>
      <c r="C60" s="11" t="s">
        <v>13146</v>
      </c>
      <c r="D60" s="15">
        <v>0</v>
      </c>
      <c r="E60" s="15">
        <v>0</v>
      </c>
      <c r="F60" s="15">
        <v>0</v>
      </c>
      <c r="G60" s="15">
        <v>0</v>
      </c>
      <c r="H60" s="15">
        <v>0</v>
      </c>
      <c r="I60" s="15">
        <v>0</v>
      </c>
      <c r="J60" s="15">
        <v>0</v>
      </c>
      <c r="K60" s="15">
        <v>0</v>
      </c>
      <c r="L60" s="15">
        <v>0</v>
      </c>
      <c r="M60" s="15">
        <v>0</v>
      </c>
      <c r="N60" s="15">
        <v>10553</v>
      </c>
      <c r="O60" s="15">
        <v>10523</v>
      </c>
      <c r="Q60" s="11" t="s">
        <v>5336</v>
      </c>
    </row>
    <row r="61" spans="1:17" ht="15.75" thickBot="1">
      <c r="A61" s="13"/>
      <c r="C61" s="11" t="s">
        <v>13146</v>
      </c>
      <c r="D61" s="12">
        <v>0</v>
      </c>
      <c r="E61" s="12">
        <v>0</v>
      </c>
      <c r="F61" s="12">
        <v>0</v>
      </c>
      <c r="G61" s="12">
        <v>0</v>
      </c>
      <c r="H61" s="12">
        <v>0</v>
      </c>
      <c r="I61" s="12">
        <v>0</v>
      </c>
      <c r="J61" s="12">
        <v>0</v>
      </c>
      <c r="K61" s="12">
        <v>0</v>
      </c>
      <c r="L61" s="12">
        <v>0</v>
      </c>
      <c r="M61" s="12">
        <v>0</v>
      </c>
      <c r="N61" s="12">
        <v>14</v>
      </c>
      <c r="O61" s="12">
        <v>14</v>
      </c>
      <c r="Q61" s="11" t="s">
        <v>5338</v>
      </c>
    </row>
    <row r="62" spans="1:17" ht="15.75" thickBot="1">
      <c r="A62" s="13"/>
      <c r="C62" s="11" t="s">
        <v>13146</v>
      </c>
      <c r="D62" s="774">
        <f>SUM(D59:D61)</f>
        <v>0</v>
      </c>
      <c r="E62" s="774">
        <f t="shared" ref="E62:N62" si="26">SUM(E59:E61)</f>
        <v>0</v>
      </c>
      <c r="F62" s="774">
        <f t="shared" si="26"/>
        <v>0</v>
      </c>
      <c r="G62" s="774">
        <f t="shared" si="26"/>
        <v>0</v>
      </c>
      <c r="H62" s="774">
        <f t="shared" si="26"/>
        <v>0</v>
      </c>
      <c r="I62" s="774">
        <f t="shared" si="26"/>
        <v>0</v>
      </c>
      <c r="J62" s="774">
        <f t="shared" si="26"/>
        <v>0</v>
      </c>
      <c r="K62" s="774">
        <f t="shared" si="26"/>
        <v>0</v>
      </c>
      <c r="L62" s="774">
        <f t="shared" si="26"/>
        <v>0</v>
      </c>
      <c r="M62" s="774">
        <f t="shared" si="26"/>
        <v>0</v>
      </c>
      <c r="N62" s="774">
        <f t="shared" si="26"/>
        <v>10567</v>
      </c>
      <c r="O62" s="774">
        <f>SUM(O59:O61)</f>
        <v>10537</v>
      </c>
    </row>
    <row r="63" spans="1:17">
      <c r="A63" s="13" t="s">
        <v>5424</v>
      </c>
      <c r="B63" s="11" t="s">
        <v>13177</v>
      </c>
      <c r="C63" s="11" t="s">
        <v>13147</v>
      </c>
      <c r="D63" s="15">
        <v>0</v>
      </c>
      <c r="E63" s="15">
        <v>0</v>
      </c>
      <c r="F63" s="15">
        <v>0</v>
      </c>
      <c r="G63" s="15">
        <v>0</v>
      </c>
      <c r="H63" s="15">
        <v>0</v>
      </c>
      <c r="I63" s="15">
        <v>0</v>
      </c>
      <c r="J63" s="15">
        <v>0</v>
      </c>
      <c r="K63" s="15">
        <v>0</v>
      </c>
      <c r="L63" s="15">
        <v>0</v>
      </c>
      <c r="M63" s="15">
        <v>0</v>
      </c>
      <c r="N63" s="15">
        <v>8150</v>
      </c>
      <c r="O63" s="15">
        <v>8111</v>
      </c>
      <c r="Q63" s="11" t="s">
        <v>5335</v>
      </c>
    </row>
    <row r="64" spans="1:17">
      <c r="A64" s="13" t="s">
        <v>5426</v>
      </c>
      <c r="B64" s="11" t="s">
        <v>13178</v>
      </c>
      <c r="C64" s="11" t="s">
        <v>13148</v>
      </c>
      <c r="D64" s="15">
        <v>0</v>
      </c>
      <c r="E64" s="15">
        <v>0</v>
      </c>
      <c r="F64" s="15">
        <v>0</v>
      </c>
      <c r="G64" s="15">
        <v>0</v>
      </c>
      <c r="H64" s="15">
        <v>0</v>
      </c>
      <c r="I64" s="15">
        <v>0</v>
      </c>
      <c r="J64" s="15">
        <v>0</v>
      </c>
      <c r="K64" s="15">
        <v>0</v>
      </c>
      <c r="L64" s="15">
        <v>0</v>
      </c>
      <c r="M64" s="15">
        <v>0</v>
      </c>
      <c r="N64" s="15">
        <v>8068</v>
      </c>
      <c r="O64" s="15">
        <v>8036</v>
      </c>
      <c r="Q64" s="11" t="s">
        <v>5335</v>
      </c>
    </row>
    <row r="65" spans="1:17">
      <c r="A65" s="13" t="s">
        <v>5428</v>
      </c>
      <c r="B65" s="11" t="s">
        <v>2456</v>
      </c>
      <c r="C65" s="11" t="s">
        <v>13149</v>
      </c>
      <c r="D65" s="15">
        <v>0</v>
      </c>
      <c r="E65" s="15">
        <v>0</v>
      </c>
      <c r="F65" s="15">
        <v>0</v>
      </c>
      <c r="G65" s="15">
        <v>0</v>
      </c>
      <c r="H65" s="15">
        <v>0</v>
      </c>
      <c r="I65" s="15">
        <v>0</v>
      </c>
      <c r="J65" s="15">
        <v>0</v>
      </c>
      <c r="K65" s="15">
        <v>0</v>
      </c>
      <c r="L65" s="15">
        <v>0</v>
      </c>
      <c r="M65" s="15">
        <v>0</v>
      </c>
      <c r="N65" s="15">
        <v>0</v>
      </c>
      <c r="O65" s="15">
        <v>0</v>
      </c>
      <c r="Q65" s="11" t="s">
        <v>5336</v>
      </c>
    </row>
    <row r="66" spans="1:17" ht="15.75" thickBot="1">
      <c r="A66" s="13"/>
      <c r="C66" s="11" t="s">
        <v>13149</v>
      </c>
      <c r="D66" s="12">
        <v>0</v>
      </c>
      <c r="E66" s="12">
        <v>0</v>
      </c>
      <c r="F66" s="12">
        <v>0</v>
      </c>
      <c r="G66" s="12">
        <v>0</v>
      </c>
      <c r="H66" s="12">
        <v>0</v>
      </c>
      <c r="I66" s="12">
        <v>0</v>
      </c>
      <c r="J66" s="12">
        <v>0</v>
      </c>
      <c r="K66" s="12">
        <v>0</v>
      </c>
      <c r="L66" s="12">
        <v>0</v>
      </c>
      <c r="M66" s="12">
        <v>0</v>
      </c>
      <c r="N66" s="12">
        <v>7191</v>
      </c>
      <c r="O66" s="12">
        <v>7169</v>
      </c>
      <c r="Q66" s="11" t="s">
        <v>5338</v>
      </c>
    </row>
    <row r="67" spans="1:17" ht="15.75" thickBot="1">
      <c r="A67" s="13"/>
      <c r="C67" s="11" t="s">
        <v>13149</v>
      </c>
      <c r="D67" s="774">
        <f t="shared" ref="D67:O67" si="27">D65+D66</f>
        <v>0</v>
      </c>
      <c r="E67" s="774">
        <f t="shared" si="27"/>
        <v>0</v>
      </c>
      <c r="F67" s="774">
        <f t="shared" si="27"/>
        <v>0</v>
      </c>
      <c r="G67" s="774">
        <f t="shared" si="27"/>
        <v>0</v>
      </c>
      <c r="H67" s="774">
        <f t="shared" si="27"/>
        <v>0</v>
      </c>
      <c r="I67" s="774">
        <f t="shared" si="27"/>
        <v>0</v>
      </c>
      <c r="J67" s="774">
        <f t="shared" si="27"/>
        <v>0</v>
      </c>
      <c r="K67" s="774">
        <f t="shared" si="27"/>
        <v>0</v>
      </c>
      <c r="L67" s="774">
        <f t="shared" si="27"/>
        <v>0</v>
      </c>
      <c r="M67" s="774">
        <f t="shared" si="27"/>
        <v>0</v>
      </c>
      <c r="N67" s="774">
        <f t="shared" si="27"/>
        <v>7191</v>
      </c>
      <c r="O67" s="774">
        <f t="shared" si="27"/>
        <v>7169</v>
      </c>
    </row>
    <row r="68" spans="1:17">
      <c r="A68" s="13" t="s">
        <v>5429</v>
      </c>
      <c r="B68" s="11" t="s">
        <v>13179</v>
      </c>
      <c r="C68" s="11" t="s">
        <v>13150</v>
      </c>
      <c r="D68" s="15">
        <v>0</v>
      </c>
      <c r="E68" s="15">
        <v>0</v>
      </c>
      <c r="F68" s="15">
        <v>0</v>
      </c>
      <c r="G68" s="15">
        <v>0</v>
      </c>
      <c r="H68" s="15">
        <v>0</v>
      </c>
      <c r="I68" s="15">
        <v>0</v>
      </c>
      <c r="J68" s="15">
        <v>0</v>
      </c>
      <c r="K68" s="15">
        <v>0</v>
      </c>
      <c r="L68" s="15">
        <v>0</v>
      </c>
      <c r="M68" s="15">
        <v>0</v>
      </c>
      <c r="N68" s="15">
        <v>10188</v>
      </c>
      <c r="O68" s="15">
        <v>9879</v>
      </c>
      <c r="Q68" s="11" t="s">
        <v>2372</v>
      </c>
    </row>
    <row r="69" spans="1:17">
      <c r="A69" s="775">
        <v>14</v>
      </c>
      <c r="B69" s="11" t="s">
        <v>13180</v>
      </c>
      <c r="C69" s="11" t="s">
        <v>13151</v>
      </c>
      <c r="D69" s="15">
        <v>0</v>
      </c>
      <c r="E69" s="15">
        <v>0</v>
      </c>
      <c r="F69" s="15">
        <v>0</v>
      </c>
      <c r="G69" s="15">
        <v>0</v>
      </c>
      <c r="H69" s="15">
        <v>0</v>
      </c>
      <c r="I69" s="15">
        <v>0</v>
      </c>
      <c r="J69" s="15">
        <v>0</v>
      </c>
      <c r="K69" s="15">
        <v>0</v>
      </c>
      <c r="L69" s="15">
        <v>0</v>
      </c>
      <c r="M69" s="15">
        <v>0</v>
      </c>
      <c r="N69" s="15">
        <v>7702</v>
      </c>
      <c r="O69" s="15">
        <v>7586</v>
      </c>
      <c r="Q69" s="11" t="s">
        <v>2372</v>
      </c>
    </row>
    <row r="70" spans="1:17" ht="15.75" thickBot="1">
      <c r="A70" s="775"/>
      <c r="C70" s="11" t="s">
        <v>13151</v>
      </c>
      <c r="D70" s="12">
        <v>0</v>
      </c>
      <c r="E70" s="12">
        <v>0</v>
      </c>
      <c r="F70" s="12">
        <v>0</v>
      </c>
      <c r="G70" s="12">
        <v>0</v>
      </c>
      <c r="H70" s="12">
        <v>0</v>
      </c>
      <c r="I70" s="12">
        <v>0</v>
      </c>
      <c r="J70" s="12">
        <v>0</v>
      </c>
      <c r="K70" s="12">
        <v>0</v>
      </c>
      <c r="L70" s="12">
        <v>0</v>
      </c>
      <c r="M70" s="12">
        <v>0</v>
      </c>
      <c r="N70" s="12">
        <v>0</v>
      </c>
      <c r="O70" s="12">
        <v>0</v>
      </c>
      <c r="Q70" s="11" t="s">
        <v>5335</v>
      </c>
    </row>
    <row r="71" spans="1:17" ht="15.75" thickBot="1">
      <c r="A71" s="775"/>
      <c r="C71" s="11" t="s">
        <v>13151</v>
      </c>
      <c r="D71" s="774">
        <f t="shared" ref="D71:O71" si="28">D69+D70</f>
        <v>0</v>
      </c>
      <c r="E71" s="774">
        <f t="shared" si="28"/>
        <v>0</v>
      </c>
      <c r="F71" s="774">
        <f t="shared" si="28"/>
        <v>0</v>
      </c>
      <c r="G71" s="774">
        <f t="shared" si="28"/>
        <v>0</v>
      </c>
      <c r="H71" s="774">
        <f t="shared" si="28"/>
        <v>0</v>
      </c>
      <c r="I71" s="774">
        <f t="shared" si="28"/>
        <v>0</v>
      </c>
      <c r="J71" s="774">
        <f t="shared" si="28"/>
        <v>0</v>
      </c>
      <c r="K71" s="774">
        <f t="shared" si="28"/>
        <v>0</v>
      </c>
      <c r="L71" s="774">
        <f t="shared" si="28"/>
        <v>0</v>
      </c>
      <c r="M71" s="774">
        <f t="shared" si="28"/>
        <v>0</v>
      </c>
      <c r="N71" s="774">
        <f t="shared" si="28"/>
        <v>7702</v>
      </c>
      <c r="O71" s="774">
        <f t="shared" si="28"/>
        <v>7586</v>
      </c>
    </row>
    <row r="72" spans="1:17">
      <c r="A72" s="775">
        <v>15</v>
      </c>
      <c r="B72" s="11" t="s">
        <v>13181</v>
      </c>
      <c r="C72" s="11" t="s">
        <v>13152</v>
      </c>
      <c r="D72" s="15">
        <v>72314</v>
      </c>
      <c r="E72" s="15">
        <v>72773</v>
      </c>
      <c r="F72" s="15">
        <v>73130</v>
      </c>
      <c r="G72" s="15">
        <v>72933</v>
      </c>
      <c r="H72" s="15">
        <v>73205</v>
      </c>
      <c r="I72" s="15">
        <v>71469</v>
      </c>
      <c r="J72" s="15">
        <v>69636</v>
      </c>
      <c r="K72" s="15">
        <v>71885</v>
      </c>
      <c r="L72" s="15">
        <v>72665</v>
      </c>
      <c r="M72" s="15">
        <v>72432</v>
      </c>
      <c r="N72" s="15">
        <v>10215</v>
      </c>
      <c r="O72" s="15">
        <v>10206</v>
      </c>
      <c r="Q72" s="11" t="s">
        <v>5338</v>
      </c>
    </row>
    <row r="73" spans="1:17">
      <c r="A73" s="775">
        <v>16</v>
      </c>
      <c r="B73" s="11" t="s">
        <v>13182</v>
      </c>
      <c r="C73" s="11" t="s">
        <v>13153</v>
      </c>
      <c r="D73" s="15">
        <v>0</v>
      </c>
      <c r="E73" s="15">
        <v>0</v>
      </c>
      <c r="F73" s="15">
        <v>0</v>
      </c>
      <c r="G73" s="15">
        <v>0</v>
      </c>
      <c r="H73" s="15">
        <v>0</v>
      </c>
      <c r="I73" s="15">
        <v>0</v>
      </c>
      <c r="J73" s="15">
        <v>0</v>
      </c>
      <c r="K73" s="15">
        <v>0</v>
      </c>
      <c r="L73" s="15">
        <v>0</v>
      </c>
      <c r="M73" s="15">
        <v>0</v>
      </c>
      <c r="N73" s="15">
        <v>8617</v>
      </c>
      <c r="O73" s="15">
        <v>8586</v>
      </c>
      <c r="Q73" s="11" t="s">
        <v>5335</v>
      </c>
    </row>
    <row r="74" spans="1:17">
      <c r="A74" s="775">
        <v>17</v>
      </c>
      <c r="B74" s="11" t="s">
        <v>13183</v>
      </c>
      <c r="C74" s="11" t="s">
        <v>13154</v>
      </c>
      <c r="D74" s="15">
        <v>0</v>
      </c>
      <c r="E74" s="15">
        <v>0</v>
      </c>
      <c r="F74" s="15">
        <v>0</v>
      </c>
      <c r="G74" s="15">
        <v>0</v>
      </c>
      <c r="H74" s="15">
        <v>0</v>
      </c>
      <c r="I74" s="15">
        <v>0</v>
      </c>
      <c r="J74" s="15">
        <v>0</v>
      </c>
      <c r="K74" s="15">
        <v>0</v>
      </c>
      <c r="L74" s="15">
        <v>0</v>
      </c>
      <c r="M74" s="15">
        <v>0</v>
      </c>
      <c r="N74" s="15">
        <v>12885</v>
      </c>
      <c r="O74" s="15">
        <v>12709</v>
      </c>
      <c r="Q74" s="11" t="s">
        <v>2373</v>
      </c>
    </row>
    <row r="75" spans="1:17">
      <c r="A75" s="775">
        <v>18</v>
      </c>
      <c r="B75" s="11" t="s">
        <v>13184</v>
      </c>
      <c r="C75" s="11" t="s">
        <v>13155</v>
      </c>
      <c r="D75" s="15">
        <v>0</v>
      </c>
      <c r="E75" s="15">
        <v>0</v>
      </c>
      <c r="F75" s="15">
        <v>0</v>
      </c>
      <c r="G75" s="15">
        <v>0</v>
      </c>
      <c r="H75" s="15">
        <v>0</v>
      </c>
      <c r="I75" s="15">
        <v>0</v>
      </c>
      <c r="J75" s="15">
        <v>0</v>
      </c>
      <c r="K75" s="15">
        <v>0</v>
      </c>
      <c r="L75" s="15">
        <v>0</v>
      </c>
      <c r="M75" s="15">
        <v>0</v>
      </c>
      <c r="N75" s="15">
        <v>7523</v>
      </c>
      <c r="O75" s="15">
        <v>7415</v>
      </c>
      <c r="Q75" s="11" t="s">
        <v>2372</v>
      </c>
    </row>
    <row r="76" spans="1:17">
      <c r="A76" s="775">
        <v>19</v>
      </c>
      <c r="B76" s="11" t="s">
        <v>3842</v>
      </c>
      <c r="C76" s="11" t="s">
        <v>13156</v>
      </c>
      <c r="D76" s="15">
        <v>0</v>
      </c>
      <c r="E76" s="15">
        <v>0</v>
      </c>
      <c r="F76" s="15">
        <v>0</v>
      </c>
      <c r="G76" s="15">
        <v>0</v>
      </c>
      <c r="H76" s="15">
        <v>0</v>
      </c>
      <c r="I76" s="15">
        <v>0</v>
      </c>
      <c r="J76" s="15">
        <v>0</v>
      </c>
      <c r="K76" s="15">
        <v>0</v>
      </c>
      <c r="L76" s="15">
        <v>0</v>
      </c>
      <c r="M76" s="15">
        <v>0</v>
      </c>
      <c r="N76" s="15">
        <v>7451</v>
      </c>
      <c r="O76" s="15">
        <v>7330</v>
      </c>
      <c r="Q76" s="11" t="s">
        <v>2372</v>
      </c>
    </row>
    <row r="77" spans="1:17">
      <c r="A77" s="775">
        <v>20</v>
      </c>
      <c r="B77" s="11" t="s">
        <v>13185</v>
      </c>
      <c r="C77" s="11" t="s">
        <v>13157</v>
      </c>
      <c r="D77" s="15">
        <v>0</v>
      </c>
      <c r="E77" s="15">
        <v>0</v>
      </c>
      <c r="F77" s="15">
        <v>0</v>
      </c>
      <c r="G77" s="15">
        <v>0</v>
      </c>
      <c r="H77" s="15">
        <v>0</v>
      </c>
      <c r="I77" s="15">
        <v>0</v>
      </c>
      <c r="J77" s="15">
        <v>0</v>
      </c>
      <c r="K77" s="15">
        <v>0</v>
      </c>
      <c r="L77" s="15">
        <v>0</v>
      </c>
      <c r="M77" s="15">
        <v>0</v>
      </c>
      <c r="N77" s="15">
        <v>8224</v>
      </c>
      <c r="O77" s="15">
        <v>8200</v>
      </c>
      <c r="Q77" s="11" t="s">
        <v>5335</v>
      </c>
    </row>
    <row r="78" spans="1:17">
      <c r="A78" s="775">
        <v>21</v>
      </c>
      <c r="B78" s="11" t="s">
        <v>13186</v>
      </c>
      <c r="C78" s="11" t="s">
        <v>13158</v>
      </c>
      <c r="D78" s="15">
        <v>0</v>
      </c>
      <c r="E78" s="15">
        <v>0</v>
      </c>
      <c r="F78" s="15">
        <v>0</v>
      </c>
      <c r="G78" s="15">
        <v>0</v>
      </c>
      <c r="H78" s="15">
        <v>0</v>
      </c>
      <c r="I78" s="15">
        <v>0</v>
      </c>
      <c r="J78" s="15">
        <v>0</v>
      </c>
      <c r="K78" s="15">
        <v>0</v>
      </c>
      <c r="L78" s="15">
        <v>0</v>
      </c>
      <c r="M78" s="15">
        <v>0</v>
      </c>
      <c r="N78" s="15">
        <v>12492</v>
      </c>
      <c r="O78" s="15">
        <v>12347</v>
      </c>
      <c r="Q78" s="11" t="s">
        <v>2372</v>
      </c>
    </row>
    <row r="79" spans="1:17" ht="15.75" thickBot="1">
      <c r="A79" s="775"/>
      <c r="C79" s="11" t="s">
        <v>13158</v>
      </c>
      <c r="D79" s="12">
        <v>0</v>
      </c>
      <c r="E79" s="12">
        <v>0</v>
      </c>
      <c r="F79" s="12">
        <v>0</v>
      </c>
      <c r="G79" s="12">
        <v>0</v>
      </c>
      <c r="H79" s="12">
        <v>0</v>
      </c>
      <c r="I79" s="12">
        <v>0</v>
      </c>
      <c r="J79" s="12">
        <v>0</v>
      </c>
      <c r="K79" s="12">
        <v>0</v>
      </c>
      <c r="L79" s="12">
        <v>0</v>
      </c>
      <c r="M79" s="12">
        <v>0</v>
      </c>
      <c r="N79" s="12">
        <v>94</v>
      </c>
      <c r="O79" s="12">
        <v>92</v>
      </c>
      <c r="Q79" s="11" t="s">
        <v>2373</v>
      </c>
    </row>
    <row r="80" spans="1:17" ht="15.75" thickBot="1">
      <c r="A80" s="775"/>
      <c r="C80" s="11" t="s">
        <v>13158</v>
      </c>
      <c r="D80" s="774">
        <f t="shared" ref="D80:O80" si="29">D78+D79</f>
        <v>0</v>
      </c>
      <c r="E80" s="774">
        <f t="shared" si="29"/>
        <v>0</v>
      </c>
      <c r="F80" s="774">
        <f t="shared" si="29"/>
        <v>0</v>
      </c>
      <c r="G80" s="774">
        <f t="shared" si="29"/>
        <v>0</v>
      </c>
      <c r="H80" s="774">
        <f t="shared" si="29"/>
        <v>0</v>
      </c>
      <c r="I80" s="774">
        <f t="shared" si="29"/>
        <v>0</v>
      </c>
      <c r="J80" s="774">
        <f t="shared" si="29"/>
        <v>0</v>
      </c>
      <c r="K80" s="774">
        <f t="shared" si="29"/>
        <v>0</v>
      </c>
      <c r="L80" s="774">
        <f t="shared" si="29"/>
        <v>0</v>
      </c>
      <c r="M80" s="774">
        <f t="shared" si="29"/>
        <v>0</v>
      </c>
      <c r="N80" s="774">
        <f t="shared" si="29"/>
        <v>12586</v>
      </c>
      <c r="O80" s="774">
        <f t="shared" si="29"/>
        <v>12439</v>
      </c>
    </row>
    <row r="81" spans="1:17">
      <c r="A81" s="775">
        <v>22</v>
      </c>
      <c r="B81" s="11" t="s">
        <v>13187</v>
      </c>
      <c r="C81" s="11" t="s">
        <v>13159</v>
      </c>
      <c r="D81" s="15">
        <v>0</v>
      </c>
      <c r="E81" s="15">
        <v>0</v>
      </c>
      <c r="F81" s="15">
        <v>0</v>
      </c>
      <c r="G81" s="15">
        <v>0</v>
      </c>
      <c r="H81" s="15">
        <v>0</v>
      </c>
      <c r="I81" s="15">
        <v>0</v>
      </c>
      <c r="J81" s="15">
        <v>0</v>
      </c>
      <c r="K81" s="15">
        <v>0</v>
      </c>
      <c r="L81" s="15">
        <v>0</v>
      </c>
      <c r="M81" s="15">
        <v>0</v>
      </c>
      <c r="N81" s="15">
        <v>460</v>
      </c>
      <c r="O81" s="15">
        <v>457</v>
      </c>
      <c r="Q81" s="11" t="s">
        <v>2373</v>
      </c>
    </row>
    <row r="82" spans="1:17" ht="15.75" thickBot="1">
      <c r="A82" s="775"/>
      <c r="C82" s="11" t="s">
        <v>13159</v>
      </c>
      <c r="D82" s="12">
        <v>0</v>
      </c>
      <c r="E82" s="12">
        <v>0</v>
      </c>
      <c r="F82" s="12">
        <v>0</v>
      </c>
      <c r="G82" s="12">
        <v>0</v>
      </c>
      <c r="H82" s="12">
        <v>0</v>
      </c>
      <c r="I82" s="12">
        <v>0</v>
      </c>
      <c r="J82" s="12">
        <v>0</v>
      </c>
      <c r="K82" s="12">
        <v>0</v>
      </c>
      <c r="L82" s="12">
        <v>0</v>
      </c>
      <c r="M82" s="12">
        <v>0</v>
      </c>
      <c r="N82" s="12">
        <v>11950</v>
      </c>
      <c r="O82" s="12">
        <v>11919</v>
      </c>
      <c r="Q82" s="11" t="s">
        <v>5338</v>
      </c>
    </row>
    <row r="83" spans="1:17" ht="15.75" thickBot="1">
      <c r="A83" s="775"/>
      <c r="C83" s="11" t="s">
        <v>13159</v>
      </c>
      <c r="D83" s="774">
        <f t="shared" ref="D83:O83" si="30">D81+D82</f>
        <v>0</v>
      </c>
      <c r="E83" s="774">
        <f t="shared" si="30"/>
        <v>0</v>
      </c>
      <c r="F83" s="774">
        <f t="shared" si="30"/>
        <v>0</v>
      </c>
      <c r="G83" s="774">
        <f t="shared" si="30"/>
        <v>0</v>
      </c>
      <c r="H83" s="774">
        <f t="shared" si="30"/>
        <v>0</v>
      </c>
      <c r="I83" s="774">
        <f t="shared" si="30"/>
        <v>0</v>
      </c>
      <c r="J83" s="774">
        <f t="shared" si="30"/>
        <v>0</v>
      </c>
      <c r="K83" s="774">
        <f t="shared" si="30"/>
        <v>0</v>
      </c>
      <c r="L83" s="774">
        <f t="shared" si="30"/>
        <v>0</v>
      </c>
      <c r="M83" s="774">
        <f t="shared" si="30"/>
        <v>0</v>
      </c>
      <c r="N83" s="774">
        <f t="shared" si="30"/>
        <v>12410</v>
      </c>
      <c r="O83" s="774">
        <f t="shared" si="30"/>
        <v>12376</v>
      </c>
    </row>
    <row r="84" spans="1:17">
      <c r="A84" s="775">
        <v>23</v>
      </c>
      <c r="B84" s="11" t="s">
        <v>2457</v>
      </c>
      <c r="C84" s="11" t="s">
        <v>13160</v>
      </c>
      <c r="D84" s="15">
        <v>0</v>
      </c>
      <c r="E84" s="15">
        <v>0</v>
      </c>
      <c r="F84" s="15">
        <v>0</v>
      </c>
      <c r="G84" s="15">
        <v>0</v>
      </c>
      <c r="H84" s="15">
        <v>0</v>
      </c>
      <c r="I84" s="15">
        <v>0</v>
      </c>
      <c r="J84" s="15">
        <v>0</v>
      </c>
      <c r="K84" s="15">
        <v>0</v>
      </c>
      <c r="L84" s="15">
        <v>0</v>
      </c>
      <c r="M84" s="15">
        <v>0</v>
      </c>
      <c r="N84" s="15">
        <v>8453</v>
      </c>
      <c r="O84" s="15">
        <v>8435</v>
      </c>
      <c r="Q84" s="11" t="s">
        <v>5338</v>
      </c>
    </row>
    <row r="85" spans="1:17">
      <c r="A85" s="775">
        <v>24</v>
      </c>
      <c r="B85" s="11" t="s">
        <v>2458</v>
      </c>
      <c r="C85" s="11" t="s">
        <v>13161</v>
      </c>
      <c r="D85" s="15">
        <v>0</v>
      </c>
      <c r="E85" s="15">
        <v>0</v>
      </c>
      <c r="F85" s="15">
        <v>0</v>
      </c>
      <c r="G85" s="15">
        <v>0</v>
      </c>
      <c r="H85" s="15">
        <v>0</v>
      </c>
      <c r="I85" s="15">
        <v>0</v>
      </c>
      <c r="J85" s="15">
        <v>0</v>
      </c>
      <c r="K85" s="15">
        <v>0</v>
      </c>
      <c r="L85" s="15">
        <v>0</v>
      </c>
      <c r="M85" s="15">
        <v>0</v>
      </c>
      <c r="N85" s="15">
        <v>8101</v>
      </c>
      <c r="O85" s="15">
        <v>8072</v>
      </c>
      <c r="Q85" s="11" t="s">
        <v>5338</v>
      </c>
    </row>
    <row r="86" spans="1:17">
      <c r="A86" s="775">
        <v>25</v>
      </c>
      <c r="B86" s="11" t="s">
        <v>2459</v>
      </c>
      <c r="C86" s="11" t="s">
        <v>13162</v>
      </c>
      <c r="D86" s="15">
        <v>0</v>
      </c>
      <c r="E86" s="15">
        <v>0</v>
      </c>
      <c r="F86" s="15">
        <v>0</v>
      </c>
      <c r="G86" s="15">
        <v>0</v>
      </c>
      <c r="H86" s="15">
        <v>0</v>
      </c>
      <c r="I86" s="15">
        <v>0</v>
      </c>
      <c r="J86" s="15">
        <v>0</v>
      </c>
      <c r="K86" s="15">
        <v>0</v>
      </c>
      <c r="L86" s="15">
        <v>0</v>
      </c>
      <c r="M86" s="15">
        <v>0</v>
      </c>
      <c r="N86" s="15">
        <v>8424</v>
      </c>
      <c r="O86" s="15">
        <v>8404</v>
      </c>
      <c r="Q86" s="11" t="s">
        <v>5338</v>
      </c>
    </row>
    <row r="87" spans="1:17">
      <c r="A87" s="775">
        <v>26</v>
      </c>
      <c r="B87" s="11" t="s">
        <v>2460</v>
      </c>
      <c r="C87" s="11" t="s">
        <v>13163</v>
      </c>
      <c r="D87" s="15">
        <v>0</v>
      </c>
      <c r="E87" s="15">
        <v>0</v>
      </c>
      <c r="F87" s="15">
        <v>0</v>
      </c>
      <c r="G87" s="15">
        <v>0</v>
      </c>
      <c r="H87" s="15">
        <v>0</v>
      </c>
      <c r="I87" s="15">
        <v>0</v>
      </c>
      <c r="J87" s="15">
        <v>0</v>
      </c>
      <c r="K87" s="15">
        <v>0</v>
      </c>
      <c r="L87" s="15">
        <v>0</v>
      </c>
      <c r="M87" s="15">
        <v>0</v>
      </c>
      <c r="N87" s="15">
        <v>9623</v>
      </c>
      <c r="O87" s="15">
        <v>9563</v>
      </c>
      <c r="Q87" s="11" t="s">
        <v>5338</v>
      </c>
    </row>
    <row r="88" spans="1:17">
      <c r="A88" s="775">
        <v>27</v>
      </c>
      <c r="B88" s="11" t="s">
        <v>5885</v>
      </c>
      <c r="C88" s="11" t="s">
        <v>13164</v>
      </c>
      <c r="D88" s="15">
        <v>0</v>
      </c>
      <c r="E88" s="15">
        <v>0</v>
      </c>
      <c r="F88" s="15">
        <v>0</v>
      </c>
      <c r="G88" s="15">
        <v>0</v>
      </c>
      <c r="H88" s="15">
        <v>0</v>
      </c>
      <c r="I88" s="15">
        <v>0</v>
      </c>
      <c r="J88" s="15">
        <v>0</v>
      </c>
      <c r="K88" s="15">
        <v>0</v>
      </c>
      <c r="L88" s="15">
        <v>0</v>
      </c>
      <c r="M88" s="15">
        <v>0</v>
      </c>
      <c r="N88" s="15">
        <v>7566</v>
      </c>
      <c r="O88" s="15">
        <v>7411</v>
      </c>
      <c r="Q88" s="11" t="s">
        <v>2372</v>
      </c>
    </row>
    <row r="89" spans="1:17">
      <c r="A89" s="775">
        <v>28</v>
      </c>
      <c r="B89" s="11" t="s">
        <v>13188</v>
      </c>
      <c r="C89" s="11" t="s">
        <v>13165</v>
      </c>
      <c r="D89" s="15">
        <v>0</v>
      </c>
      <c r="E89" s="15">
        <v>0</v>
      </c>
      <c r="F89" s="15">
        <v>0</v>
      </c>
      <c r="G89" s="15">
        <v>0</v>
      </c>
      <c r="H89" s="15">
        <v>0</v>
      </c>
      <c r="I89" s="15">
        <v>0</v>
      </c>
      <c r="J89" s="15">
        <v>0</v>
      </c>
      <c r="K89" s="15">
        <v>0</v>
      </c>
      <c r="L89" s="15">
        <v>0</v>
      </c>
      <c r="M89" s="15">
        <v>0</v>
      </c>
      <c r="N89" s="15">
        <v>7584</v>
      </c>
      <c r="O89" s="15">
        <v>7444</v>
      </c>
      <c r="Q89" s="11" t="s">
        <v>2373</v>
      </c>
    </row>
    <row r="90" spans="1:17">
      <c r="A90" s="775">
        <v>29</v>
      </c>
      <c r="B90" s="11" t="s">
        <v>13189</v>
      </c>
      <c r="C90" s="11" t="s">
        <v>13166</v>
      </c>
      <c r="D90" s="15">
        <v>0</v>
      </c>
      <c r="E90" s="15">
        <v>0</v>
      </c>
      <c r="F90" s="15">
        <v>0</v>
      </c>
      <c r="G90" s="15">
        <v>0</v>
      </c>
      <c r="H90" s="15">
        <v>0</v>
      </c>
      <c r="I90" s="15">
        <v>0</v>
      </c>
      <c r="J90" s="15">
        <v>0</v>
      </c>
      <c r="K90" s="15">
        <v>0</v>
      </c>
      <c r="L90" s="15">
        <v>0</v>
      </c>
      <c r="M90" s="15">
        <v>0</v>
      </c>
      <c r="N90" s="15">
        <v>10082</v>
      </c>
      <c r="O90" s="15">
        <v>9879</v>
      </c>
      <c r="Q90" s="11" t="s">
        <v>2373</v>
      </c>
    </row>
    <row r="91" spans="1:17">
      <c r="A91" s="775">
        <v>30</v>
      </c>
      <c r="B91" s="11" t="s">
        <v>13190</v>
      </c>
      <c r="C91" s="11" t="s">
        <v>13167</v>
      </c>
      <c r="D91" s="15">
        <v>0</v>
      </c>
      <c r="E91" s="15">
        <v>0</v>
      </c>
      <c r="F91" s="15">
        <v>0</v>
      </c>
      <c r="G91" s="15">
        <v>0</v>
      </c>
      <c r="H91" s="15">
        <v>0</v>
      </c>
      <c r="I91" s="15">
        <v>0</v>
      </c>
      <c r="J91" s="15">
        <v>0</v>
      </c>
      <c r="K91" s="15">
        <v>0</v>
      </c>
      <c r="L91" s="15">
        <v>0</v>
      </c>
      <c r="M91" s="15">
        <v>0</v>
      </c>
      <c r="N91" s="15">
        <v>7842</v>
      </c>
      <c r="O91" s="15">
        <v>7612</v>
      </c>
      <c r="Q91" s="11" t="s">
        <v>2373</v>
      </c>
    </row>
    <row r="92" spans="1:17">
      <c r="A92" s="775">
        <v>31</v>
      </c>
      <c r="B92" s="11" t="s">
        <v>3860</v>
      </c>
      <c r="C92" s="11" t="s">
        <v>13168</v>
      </c>
      <c r="D92" s="15">
        <v>0</v>
      </c>
      <c r="E92" s="15">
        <v>0</v>
      </c>
      <c r="F92" s="15">
        <v>0</v>
      </c>
      <c r="G92" s="15">
        <v>0</v>
      </c>
      <c r="H92" s="15">
        <v>0</v>
      </c>
      <c r="I92" s="15">
        <v>0</v>
      </c>
      <c r="J92" s="15">
        <v>0</v>
      </c>
      <c r="K92" s="15">
        <v>0</v>
      </c>
      <c r="L92" s="15">
        <v>0</v>
      </c>
      <c r="M92" s="15">
        <v>0</v>
      </c>
      <c r="N92" s="15">
        <v>7828</v>
      </c>
      <c r="O92" s="15">
        <v>7694</v>
      </c>
      <c r="Q92" s="11" t="s">
        <v>2372</v>
      </c>
    </row>
    <row r="93" spans="1:17">
      <c r="A93" s="775">
        <v>32</v>
      </c>
      <c r="B93" s="11" t="s">
        <v>13191</v>
      </c>
      <c r="C93" s="11" t="s">
        <v>13169</v>
      </c>
      <c r="D93" s="15">
        <v>0</v>
      </c>
      <c r="E93" s="15">
        <v>0</v>
      </c>
      <c r="F93" s="15">
        <v>0</v>
      </c>
      <c r="G93" s="15">
        <v>0</v>
      </c>
      <c r="H93" s="15">
        <v>0</v>
      </c>
      <c r="I93" s="15">
        <v>0</v>
      </c>
      <c r="J93" s="15">
        <v>0</v>
      </c>
      <c r="K93" s="15">
        <v>0</v>
      </c>
      <c r="L93" s="15">
        <v>0</v>
      </c>
      <c r="M93" s="15">
        <v>0</v>
      </c>
      <c r="N93" s="15">
        <v>7628</v>
      </c>
      <c r="O93" s="15">
        <v>7381</v>
      </c>
      <c r="Q93" s="11" t="s">
        <v>2373</v>
      </c>
    </row>
    <row r="94" spans="1:17" ht="15.75" thickBot="1">
      <c r="A94" s="775"/>
      <c r="C94" s="11" t="s">
        <v>13169</v>
      </c>
      <c r="D94" s="12">
        <v>0</v>
      </c>
      <c r="E94" s="12">
        <v>0</v>
      </c>
      <c r="F94" s="12">
        <v>0</v>
      </c>
      <c r="G94" s="12">
        <v>0</v>
      </c>
      <c r="H94" s="12">
        <v>0</v>
      </c>
      <c r="I94" s="12">
        <v>0</v>
      </c>
      <c r="J94" s="12">
        <v>0</v>
      </c>
      <c r="K94" s="12">
        <v>0</v>
      </c>
      <c r="L94" s="12">
        <v>0</v>
      </c>
      <c r="M94" s="12">
        <v>0</v>
      </c>
      <c r="N94" s="12">
        <v>12</v>
      </c>
      <c r="O94" s="12">
        <v>11</v>
      </c>
      <c r="Q94" s="11" t="s">
        <v>5338</v>
      </c>
    </row>
    <row r="95" spans="1:17" ht="15.75" thickBot="1">
      <c r="A95" s="775"/>
      <c r="C95" s="11" t="s">
        <v>13169</v>
      </c>
      <c r="D95" s="774">
        <f t="shared" ref="D95:O95" si="31">D93+D94</f>
        <v>0</v>
      </c>
      <c r="E95" s="774">
        <f t="shared" si="31"/>
        <v>0</v>
      </c>
      <c r="F95" s="774">
        <f t="shared" si="31"/>
        <v>0</v>
      </c>
      <c r="G95" s="774">
        <f t="shared" si="31"/>
        <v>0</v>
      </c>
      <c r="H95" s="774">
        <f t="shared" si="31"/>
        <v>0</v>
      </c>
      <c r="I95" s="774">
        <f t="shared" si="31"/>
        <v>0</v>
      </c>
      <c r="J95" s="774">
        <f t="shared" si="31"/>
        <v>0</v>
      </c>
      <c r="K95" s="774">
        <f t="shared" si="31"/>
        <v>0</v>
      </c>
      <c r="L95" s="774">
        <f t="shared" si="31"/>
        <v>0</v>
      </c>
      <c r="M95" s="774">
        <f t="shared" si="31"/>
        <v>0</v>
      </c>
      <c r="N95" s="774">
        <f t="shared" si="31"/>
        <v>7640</v>
      </c>
      <c r="O95" s="774">
        <f t="shared" si="31"/>
        <v>7392</v>
      </c>
    </row>
    <row r="96" spans="1:17">
      <c r="A96" s="775">
        <v>33</v>
      </c>
      <c r="B96" s="11" t="s">
        <v>3861</v>
      </c>
      <c r="C96" s="11" t="s">
        <v>13170</v>
      </c>
      <c r="D96" s="15">
        <v>0</v>
      </c>
      <c r="E96" s="15">
        <v>0</v>
      </c>
      <c r="F96" s="15">
        <v>0</v>
      </c>
      <c r="G96" s="15">
        <v>0</v>
      </c>
      <c r="H96" s="15">
        <v>0</v>
      </c>
      <c r="I96" s="15">
        <v>0</v>
      </c>
      <c r="J96" s="15">
        <v>0</v>
      </c>
      <c r="K96" s="15">
        <v>0</v>
      </c>
      <c r="L96" s="15">
        <v>0</v>
      </c>
      <c r="M96" s="15">
        <v>0</v>
      </c>
      <c r="N96" s="15">
        <v>7955</v>
      </c>
      <c r="O96" s="15">
        <v>7600</v>
      </c>
      <c r="Q96" s="11" t="s">
        <v>2373</v>
      </c>
    </row>
    <row r="98" spans="1:17">
      <c r="A98" s="11" t="s">
        <v>13043</v>
      </c>
    </row>
    <row r="100" spans="1:17">
      <c r="A100" s="11" t="s">
        <v>2372</v>
      </c>
      <c r="D100" s="15">
        <f t="shared" ref="D100:M100" si="32">SUM(D49:D50,D68:D69,D75:D76,D78,D88,D92)</f>
        <v>71886</v>
      </c>
      <c r="E100" s="15">
        <f t="shared" si="32"/>
        <v>72961</v>
      </c>
      <c r="F100" s="15">
        <f t="shared" si="32"/>
        <v>73106</v>
      </c>
      <c r="G100" s="15">
        <f t="shared" si="32"/>
        <v>74212</v>
      </c>
      <c r="H100" s="15">
        <f t="shared" si="32"/>
        <v>72386</v>
      </c>
      <c r="I100" s="15">
        <f t="shared" si="32"/>
        <v>71411</v>
      </c>
      <c r="J100" s="15">
        <f t="shared" si="32"/>
        <v>71748</v>
      </c>
      <c r="K100" s="15">
        <f t="shared" si="32"/>
        <v>73835</v>
      </c>
      <c r="L100" s="15">
        <f t="shared" si="32"/>
        <v>73805</v>
      </c>
      <c r="M100" s="15">
        <f t="shared" si="32"/>
        <v>72636</v>
      </c>
      <c r="N100" s="15">
        <f>SUM(N49:N50,N68:N69,N75:N76,N78,N88,N92)</f>
        <v>74557</v>
      </c>
      <c r="O100" s="15">
        <f>SUM(O49:O50,O68:O69,O75:O76,O78,O88,O92)</f>
        <v>73081</v>
      </c>
    </row>
    <row r="101" spans="1:17">
      <c r="A101" s="11" t="s">
        <v>2373</v>
      </c>
      <c r="D101" s="15">
        <f t="shared" ref="D101:M101" si="33">SUM(D43,D46,D51,D56,D59,D74,D79,D81,D89:D91,D93,D96)</f>
        <v>70913</v>
      </c>
      <c r="E101" s="15">
        <f t="shared" si="33"/>
        <v>72714</v>
      </c>
      <c r="F101" s="15">
        <f t="shared" si="33"/>
        <v>73181</v>
      </c>
      <c r="G101" s="15">
        <f t="shared" si="33"/>
        <v>73159</v>
      </c>
      <c r="H101" s="15">
        <f t="shared" si="33"/>
        <v>72092</v>
      </c>
      <c r="I101" s="15">
        <f t="shared" si="33"/>
        <v>69141</v>
      </c>
      <c r="J101" s="15">
        <f t="shared" si="33"/>
        <v>70999</v>
      </c>
      <c r="K101" s="15">
        <f t="shared" si="33"/>
        <v>71979</v>
      </c>
      <c r="L101" s="15">
        <f t="shared" si="33"/>
        <v>71920</v>
      </c>
      <c r="M101" s="15">
        <f t="shared" si="33"/>
        <v>70398</v>
      </c>
      <c r="N101" s="15">
        <f>SUM(N43,N46,N51,N56,N59,N74,N79,N81,N89:N91,N93,N96)</f>
        <v>74599</v>
      </c>
      <c r="O101" s="15">
        <f>SUM(O43,O46,O51,O56,O59,O74,O79,O81,O89:O91,O93,O96)</f>
        <v>72857</v>
      </c>
    </row>
    <row r="102" spans="1:17">
      <c r="A102" s="11" t="s">
        <v>2462</v>
      </c>
      <c r="D102" s="15">
        <f t="shared" ref="D102:M102" si="34">SUM(D55,D63:D64,D70,D73,D77)</f>
        <v>38491</v>
      </c>
      <c r="E102" s="15">
        <f t="shared" si="34"/>
        <v>38984</v>
      </c>
      <c r="F102" s="15">
        <f t="shared" si="34"/>
        <v>39050</v>
      </c>
      <c r="G102" s="15">
        <f t="shared" si="34"/>
        <v>39384</v>
      </c>
      <c r="H102" s="15">
        <f t="shared" si="34"/>
        <v>39867</v>
      </c>
      <c r="I102" s="15">
        <f t="shared" si="34"/>
        <v>38260</v>
      </c>
      <c r="J102" s="15">
        <f t="shared" si="34"/>
        <v>37903</v>
      </c>
      <c r="K102" s="15">
        <f t="shared" si="34"/>
        <v>38870</v>
      </c>
      <c r="L102" s="15">
        <f t="shared" si="34"/>
        <v>39091</v>
      </c>
      <c r="M102" s="15">
        <f t="shared" si="34"/>
        <v>38395</v>
      </c>
      <c r="N102" s="15">
        <f>SUM(N55,N63:N64,N70,N73,N77)</f>
        <v>40195</v>
      </c>
      <c r="O102" s="15">
        <f>SUM(O55,O63:O64,O70,O73,O77)</f>
        <v>40091</v>
      </c>
    </row>
    <row r="103" spans="1:17">
      <c r="A103" s="11" t="s">
        <v>2461</v>
      </c>
      <c r="D103" s="15">
        <f t="shared" ref="D103:M103" si="35">SUM(D47,D52,D60,D65)</f>
        <v>27557</v>
      </c>
      <c r="E103" s="15">
        <f t="shared" si="35"/>
        <v>27557</v>
      </c>
      <c r="F103" s="15">
        <f t="shared" si="35"/>
        <v>27637</v>
      </c>
      <c r="G103" s="15">
        <f t="shared" si="35"/>
        <v>27481</v>
      </c>
      <c r="H103" s="15">
        <f t="shared" si="35"/>
        <v>27483</v>
      </c>
      <c r="I103" s="15">
        <f t="shared" si="35"/>
        <v>27161</v>
      </c>
      <c r="J103" s="15">
        <f t="shared" si="35"/>
        <v>26355</v>
      </c>
      <c r="K103" s="15">
        <f t="shared" si="35"/>
        <v>26977</v>
      </c>
      <c r="L103" s="15">
        <f t="shared" si="35"/>
        <v>27221</v>
      </c>
      <c r="M103" s="15">
        <f t="shared" si="35"/>
        <v>26970</v>
      </c>
      <c r="N103" s="15">
        <f>SUM(N47,N52,N60,N65)</f>
        <v>27572</v>
      </c>
      <c r="O103" s="15">
        <f>SUM(O47,O52,O60,O65)</f>
        <v>27490</v>
      </c>
    </row>
    <row r="104" spans="1:17">
      <c r="A104" s="11" t="s">
        <v>5338</v>
      </c>
      <c r="D104" s="15">
        <f t="shared" ref="D104:M104" si="36">SUM(D44,D53,D57,D61,D66,D72,D82,D84:D87,D94)</f>
        <v>72314</v>
      </c>
      <c r="E104" s="15">
        <f t="shared" si="36"/>
        <v>72773</v>
      </c>
      <c r="F104" s="15">
        <f t="shared" si="36"/>
        <v>73130</v>
      </c>
      <c r="G104" s="15">
        <f t="shared" si="36"/>
        <v>72933</v>
      </c>
      <c r="H104" s="15">
        <f t="shared" si="36"/>
        <v>73205</v>
      </c>
      <c r="I104" s="15">
        <f t="shared" si="36"/>
        <v>71469</v>
      </c>
      <c r="J104" s="15">
        <f t="shared" si="36"/>
        <v>69636</v>
      </c>
      <c r="K104" s="15">
        <f t="shared" si="36"/>
        <v>71885</v>
      </c>
      <c r="L104" s="15">
        <f t="shared" si="36"/>
        <v>72665</v>
      </c>
      <c r="M104" s="15">
        <f t="shared" si="36"/>
        <v>72432</v>
      </c>
      <c r="N104" s="15">
        <f>SUM(N44,N53,N57,N61,N66,N72,N82,N84:N87,N94)</f>
        <v>74492</v>
      </c>
      <c r="O104" s="15">
        <f>SUM(O44,O53,O57,O61,O66,O72,O82,O84:O87,O94)</f>
        <v>74240</v>
      </c>
    </row>
    <row r="107" spans="1:17">
      <c r="E107" s="51" t="s">
        <v>1526</v>
      </c>
      <c r="F107" s="51"/>
      <c r="G107" s="51"/>
      <c r="H107" s="51"/>
      <c r="I107" s="51"/>
      <c r="J107" s="51"/>
      <c r="K107" s="51"/>
      <c r="L107" s="51"/>
      <c r="M107" s="51"/>
      <c r="N107" s="51"/>
      <c r="O107" s="51"/>
      <c r="P107" s="173"/>
      <c r="Q107" s="138" t="s">
        <v>9479</v>
      </c>
    </row>
    <row r="108" spans="1:17">
      <c r="D108" s="51">
        <v>2010</v>
      </c>
      <c r="E108" s="51">
        <v>2011</v>
      </c>
      <c r="F108" s="51">
        <v>2012</v>
      </c>
      <c r="G108" s="51">
        <v>2013</v>
      </c>
      <c r="H108" s="51">
        <v>2014</v>
      </c>
      <c r="I108" s="51">
        <v>2015</v>
      </c>
      <c r="J108" s="51">
        <v>2016</v>
      </c>
      <c r="K108" s="51">
        <v>2017</v>
      </c>
      <c r="L108" s="51">
        <v>2018</v>
      </c>
      <c r="M108" s="51">
        <v>2019</v>
      </c>
      <c r="N108" s="51">
        <v>2020</v>
      </c>
      <c r="O108" s="944" t="s">
        <v>14823</v>
      </c>
      <c r="P108" s="172"/>
      <c r="Q108" s="206" t="s">
        <v>1527</v>
      </c>
    </row>
    <row r="109" spans="1:17">
      <c r="A109" s="13" t="s">
        <v>13136</v>
      </c>
      <c r="D109" s="15">
        <f t="shared" ref="D109:M109" si="37">SUM(D110:D116,D118:D121,D123:D124,D126:D145,D147:D153,D155:D164,D166:D167,D169:D171,D173:D176,D178:D179)</f>
        <v>291487</v>
      </c>
      <c r="E109" s="15">
        <f t="shared" si="37"/>
        <v>290460</v>
      </c>
      <c r="F109" s="15">
        <f t="shared" si="37"/>
        <v>291885</v>
      </c>
      <c r="G109" s="15">
        <f t="shared" si="37"/>
        <v>293380</v>
      </c>
      <c r="H109" s="15">
        <f t="shared" si="37"/>
        <v>291411</v>
      </c>
      <c r="I109" s="15">
        <f t="shared" si="37"/>
        <v>287131</v>
      </c>
      <c r="J109" s="15">
        <f t="shared" si="37"/>
        <v>279119</v>
      </c>
      <c r="K109" s="15">
        <f t="shared" si="37"/>
        <v>290757</v>
      </c>
      <c r="L109" s="15">
        <f t="shared" si="37"/>
        <v>291649</v>
      </c>
      <c r="M109" s="15">
        <f t="shared" si="37"/>
        <v>289437</v>
      </c>
      <c r="N109" s="15">
        <f>SUM(N110:N116,N118:N121,N123:N124,N126:N145,N147:N153,N155:N164,N166:N167,N169:N171,N173:N176,N178:N179)</f>
        <v>304249</v>
      </c>
      <c r="O109" s="15">
        <f>SUM(O110:O116,O118:O121,O123:O124,O126:O145,O147:O153,O155:O164,O166:O167,O169:O171,O173:O176,O178:O179)</f>
        <v>299712</v>
      </c>
    </row>
    <row r="110" spans="1:17">
      <c r="A110" s="13" t="s">
        <v>5387</v>
      </c>
      <c r="B110" s="11" t="s">
        <v>3648</v>
      </c>
      <c r="C110" s="11" t="s">
        <v>13044</v>
      </c>
      <c r="D110" s="15">
        <v>74031</v>
      </c>
      <c r="E110" s="15">
        <v>73010</v>
      </c>
      <c r="F110" s="15">
        <v>73935</v>
      </c>
      <c r="G110" s="15">
        <v>74863</v>
      </c>
      <c r="H110" s="15">
        <v>74477</v>
      </c>
      <c r="I110" s="15">
        <v>72591</v>
      </c>
      <c r="J110" s="15">
        <v>70440</v>
      </c>
      <c r="K110" s="15">
        <v>74295</v>
      </c>
      <c r="L110" s="15">
        <v>74687</v>
      </c>
      <c r="M110" s="15">
        <v>73591</v>
      </c>
      <c r="N110" s="15">
        <v>3942</v>
      </c>
      <c r="O110" s="15">
        <v>3897</v>
      </c>
      <c r="Q110" s="11" t="s">
        <v>5337</v>
      </c>
    </row>
    <row r="111" spans="1:17">
      <c r="A111" s="13" t="s">
        <v>5389</v>
      </c>
      <c r="B111" s="11" t="s">
        <v>2483</v>
      </c>
      <c r="C111" s="11" t="s">
        <v>13045</v>
      </c>
      <c r="D111" s="15">
        <v>76877</v>
      </c>
      <c r="E111" s="15">
        <v>76779</v>
      </c>
      <c r="F111" s="15">
        <v>77392</v>
      </c>
      <c r="G111" s="15">
        <v>77596</v>
      </c>
      <c r="H111" s="15">
        <v>77578</v>
      </c>
      <c r="I111" s="15">
        <v>77624</v>
      </c>
      <c r="J111" s="15">
        <v>74623</v>
      </c>
      <c r="K111" s="15">
        <v>77474</v>
      </c>
      <c r="L111" s="15">
        <v>78196</v>
      </c>
      <c r="M111" s="15">
        <v>78240</v>
      </c>
      <c r="N111" s="15">
        <v>3485</v>
      </c>
      <c r="O111" s="15">
        <v>3430</v>
      </c>
      <c r="Q111" s="11" t="s">
        <v>3807</v>
      </c>
    </row>
    <row r="112" spans="1:17">
      <c r="A112" s="13" t="s">
        <v>5391</v>
      </c>
      <c r="B112" s="11" t="s">
        <v>13047</v>
      </c>
      <c r="C112" s="11" t="s">
        <v>13046</v>
      </c>
      <c r="D112" s="15">
        <v>0</v>
      </c>
      <c r="E112" s="15">
        <v>0</v>
      </c>
      <c r="F112" s="15">
        <v>0</v>
      </c>
      <c r="G112" s="15">
        <v>0</v>
      </c>
      <c r="H112" s="15">
        <v>0</v>
      </c>
      <c r="I112" s="15">
        <v>0</v>
      </c>
      <c r="J112" s="15">
        <v>0</v>
      </c>
      <c r="K112" s="15">
        <v>0</v>
      </c>
      <c r="L112" s="15">
        <v>0</v>
      </c>
      <c r="M112" s="15">
        <v>0</v>
      </c>
      <c r="N112" s="15">
        <v>3760</v>
      </c>
      <c r="O112" s="15">
        <v>3706</v>
      </c>
      <c r="Q112" s="11" t="s">
        <v>5337</v>
      </c>
    </row>
    <row r="113" spans="1:17">
      <c r="A113" s="13" t="s">
        <v>5393</v>
      </c>
      <c r="B113" s="11" t="s">
        <v>13049</v>
      </c>
      <c r="C113" s="11" t="s">
        <v>13048</v>
      </c>
      <c r="D113" s="15">
        <v>0</v>
      </c>
      <c r="E113" s="15">
        <v>0</v>
      </c>
      <c r="F113" s="15">
        <v>0</v>
      </c>
      <c r="G113" s="15">
        <v>0</v>
      </c>
      <c r="H113" s="15">
        <v>0</v>
      </c>
      <c r="I113" s="15">
        <v>0</v>
      </c>
      <c r="J113" s="15">
        <v>0</v>
      </c>
      <c r="K113" s="15">
        <v>0</v>
      </c>
      <c r="L113" s="15">
        <v>0</v>
      </c>
      <c r="M113" s="15">
        <v>0</v>
      </c>
      <c r="N113" s="15">
        <v>8330</v>
      </c>
      <c r="O113" s="15">
        <v>8199</v>
      </c>
      <c r="Q113" s="11" t="s">
        <v>5337</v>
      </c>
    </row>
    <row r="114" spans="1:17">
      <c r="A114" s="13" t="s">
        <v>5394</v>
      </c>
      <c r="B114" s="11" t="s">
        <v>13051</v>
      </c>
      <c r="C114" s="11" t="s">
        <v>13050</v>
      </c>
      <c r="D114" s="15">
        <v>0</v>
      </c>
      <c r="E114" s="15">
        <v>0</v>
      </c>
      <c r="F114" s="15">
        <v>0</v>
      </c>
      <c r="G114" s="15">
        <v>0</v>
      </c>
      <c r="H114" s="15">
        <v>0</v>
      </c>
      <c r="I114" s="15">
        <v>0</v>
      </c>
      <c r="J114" s="15">
        <v>0</v>
      </c>
      <c r="K114" s="15">
        <v>0</v>
      </c>
      <c r="L114" s="15">
        <v>0</v>
      </c>
      <c r="M114" s="15">
        <v>0</v>
      </c>
      <c r="N114" s="15">
        <v>12515</v>
      </c>
      <c r="O114" s="15">
        <v>12276</v>
      </c>
      <c r="Q114" s="11" t="s">
        <v>3807</v>
      </c>
    </row>
    <row r="115" spans="1:17">
      <c r="A115" s="13" t="s">
        <v>5416</v>
      </c>
      <c r="B115" s="11" t="s">
        <v>13053</v>
      </c>
      <c r="C115" s="11" t="s">
        <v>13052</v>
      </c>
      <c r="D115" s="15">
        <v>0</v>
      </c>
      <c r="E115" s="15">
        <v>0</v>
      </c>
      <c r="F115" s="15">
        <v>0</v>
      </c>
      <c r="G115" s="15">
        <v>0</v>
      </c>
      <c r="H115" s="15">
        <v>0</v>
      </c>
      <c r="I115" s="15">
        <v>0</v>
      </c>
      <c r="J115" s="15">
        <v>0</v>
      </c>
      <c r="K115" s="15">
        <v>0</v>
      </c>
      <c r="L115" s="15">
        <v>0</v>
      </c>
      <c r="M115" s="15">
        <v>0</v>
      </c>
      <c r="N115" s="15">
        <v>409</v>
      </c>
      <c r="O115" s="15">
        <v>405</v>
      </c>
      <c r="Q115" s="11" t="s">
        <v>5337</v>
      </c>
    </row>
    <row r="116" spans="1:17" ht="15.75" thickBot="1">
      <c r="A116" s="13"/>
      <c r="C116" s="11" t="s">
        <v>13052</v>
      </c>
      <c r="D116" s="12">
        <v>0</v>
      </c>
      <c r="E116" s="12">
        <v>0</v>
      </c>
      <c r="F116" s="12">
        <v>0</v>
      </c>
      <c r="G116" s="12">
        <v>0</v>
      </c>
      <c r="H116" s="12">
        <v>0</v>
      </c>
      <c r="I116" s="12">
        <v>0</v>
      </c>
      <c r="J116" s="12">
        <v>0</v>
      </c>
      <c r="K116" s="12">
        <v>0</v>
      </c>
      <c r="L116" s="12">
        <v>0</v>
      </c>
      <c r="M116" s="12">
        <v>0</v>
      </c>
      <c r="N116" s="12">
        <v>3619</v>
      </c>
      <c r="O116" s="12">
        <v>3556</v>
      </c>
      <c r="Q116" s="11" t="s">
        <v>3807</v>
      </c>
    </row>
    <row r="117" spans="1:17" ht="15.75" thickBot="1">
      <c r="A117" s="13"/>
      <c r="C117" s="11" t="s">
        <v>13052</v>
      </c>
      <c r="D117" s="774">
        <f t="shared" ref="D117:N117" si="38">D115+D116</f>
        <v>0</v>
      </c>
      <c r="E117" s="774">
        <f t="shared" si="38"/>
        <v>0</v>
      </c>
      <c r="F117" s="774">
        <f t="shared" si="38"/>
        <v>0</v>
      </c>
      <c r="G117" s="774">
        <f t="shared" si="38"/>
        <v>0</v>
      </c>
      <c r="H117" s="774">
        <f t="shared" si="38"/>
        <v>0</v>
      </c>
      <c r="I117" s="774">
        <f t="shared" si="38"/>
        <v>0</v>
      </c>
      <c r="J117" s="774">
        <f t="shared" si="38"/>
        <v>0</v>
      </c>
      <c r="K117" s="774">
        <f t="shared" si="38"/>
        <v>0</v>
      </c>
      <c r="L117" s="774">
        <f t="shared" si="38"/>
        <v>0</v>
      </c>
      <c r="M117" s="774">
        <f t="shared" si="38"/>
        <v>0</v>
      </c>
      <c r="N117" s="774">
        <f t="shared" si="38"/>
        <v>4028</v>
      </c>
      <c r="O117" s="774">
        <f>O115+O116</f>
        <v>3961</v>
      </c>
    </row>
    <row r="118" spans="1:17">
      <c r="A118" s="13" t="s">
        <v>5418</v>
      </c>
      <c r="B118" s="11" t="s">
        <v>13055</v>
      </c>
      <c r="C118" s="11" t="s">
        <v>13054</v>
      </c>
      <c r="D118" s="15">
        <v>0</v>
      </c>
      <c r="E118" s="15">
        <v>0</v>
      </c>
      <c r="F118" s="15">
        <v>0</v>
      </c>
      <c r="G118" s="15">
        <v>0</v>
      </c>
      <c r="H118" s="15">
        <v>0</v>
      </c>
      <c r="I118" s="15">
        <v>0</v>
      </c>
      <c r="J118" s="15">
        <v>0</v>
      </c>
      <c r="K118" s="15">
        <v>0</v>
      </c>
      <c r="L118" s="15">
        <v>0</v>
      </c>
      <c r="M118" s="15">
        <v>0</v>
      </c>
      <c r="N118" s="15">
        <v>4005</v>
      </c>
      <c r="O118" s="15">
        <v>3940</v>
      </c>
      <c r="Q118" s="11" t="s">
        <v>3807</v>
      </c>
    </row>
    <row r="119" spans="1:17">
      <c r="A119" s="13" t="s">
        <v>5420</v>
      </c>
      <c r="B119" s="11" t="s">
        <v>13057</v>
      </c>
      <c r="C119" s="11" t="s">
        <v>13056</v>
      </c>
      <c r="D119" s="15">
        <v>0</v>
      </c>
      <c r="E119" s="15">
        <v>0</v>
      </c>
      <c r="F119" s="15">
        <v>0</v>
      </c>
      <c r="G119" s="15">
        <v>0</v>
      </c>
      <c r="H119" s="15">
        <v>0</v>
      </c>
      <c r="I119" s="15">
        <v>0</v>
      </c>
      <c r="J119" s="15">
        <v>0</v>
      </c>
      <c r="K119" s="15">
        <v>0</v>
      </c>
      <c r="L119" s="15">
        <v>0</v>
      </c>
      <c r="M119" s="15">
        <v>0</v>
      </c>
      <c r="N119" s="15">
        <v>3431</v>
      </c>
      <c r="O119" s="15">
        <v>3383</v>
      </c>
      <c r="Q119" s="11" t="s">
        <v>3807</v>
      </c>
    </row>
    <row r="120" spans="1:17">
      <c r="A120" s="13" t="s">
        <v>5422</v>
      </c>
      <c r="B120" s="11" t="s">
        <v>13059</v>
      </c>
      <c r="C120" s="11" t="s">
        <v>13058</v>
      </c>
      <c r="D120" s="15">
        <v>0</v>
      </c>
      <c r="E120" s="15">
        <v>0</v>
      </c>
      <c r="F120" s="15">
        <v>0</v>
      </c>
      <c r="G120" s="15">
        <v>0</v>
      </c>
      <c r="H120" s="15">
        <v>0</v>
      </c>
      <c r="I120" s="15">
        <v>0</v>
      </c>
      <c r="J120" s="15">
        <v>0</v>
      </c>
      <c r="K120" s="15">
        <v>0</v>
      </c>
      <c r="L120" s="15">
        <v>0</v>
      </c>
      <c r="M120" s="15">
        <v>0</v>
      </c>
      <c r="N120" s="15">
        <v>1335</v>
      </c>
      <c r="O120" s="15">
        <v>1321</v>
      </c>
      <c r="Q120" s="11" t="s">
        <v>3806</v>
      </c>
    </row>
    <row r="121" spans="1:17" ht="15.75" thickBot="1">
      <c r="A121" s="13"/>
      <c r="C121" s="11" t="s">
        <v>13058</v>
      </c>
      <c r="D121" s="12">
        <v>0</v>
      </c>
      <c r="E121" s="12">
        <v>0</v>
      </c>
      <c r="F121" s="12">
        <v>0</v>
      </c>
      <c r="G121" s="12">
        <v>0</v>
      </c>
      <c r="H121" s="12">
        <v>0</v>
      </c>
      <c r="I121" s="12">
        <v>0</v>
      </c>
      <c r="J121" s="12">
        <v>0</v>
      </c>
      <c r="K121" s="12">
        <v>0</v>
      </c>
      <c r="L121" s="12">
        <v>0</v>
      </c>
      <c r="M121" s="12">
        <v>0</v>
      </c>
      <c r="N121" s="12">
        <v>4944</v>
      </c>
      <c r="O121" s="12">
        <v>4897</v>
      </c>
      <c r="Q121" s="11" t="s">
        <v>3807</v>
      </c>
    </row>
    <row r="122" spans="1:17" ht="15.75" thickBot="1">
      <c r="A122" s="13"/>
      <c r="C122" s="11" t="s">
        <v>13058</v>
      </c>
      <c r="D122" s="774">
        <f t="shared" ref="D122:N122" si="39">D120+D121</f>
        <v>0</v>
      </c>
      <c r="E122" s="774">
        <f t="shared" si="39"/>
        <v>0</v>
      </c>
      <c r="F122" s="774">
        <f t="shared" si="39"/>
        <v>0</v>
      </c>
      <c r="G122" s="774">
        <f t="shared" si="39"/>
        <v>0</v>
      </c>
      <c r="H122" s="774">
        <f t="shared" si="39"/>
        <v>0</v>
      </c>
      <c r="I122" s="774">
        <f t="shared" si="39"/>
        <v>0</v>
      </c>
      <c r="J122" s="774">
        <f t="shared" si="39"/>
        <v>0</v>
      </c>
      <c r="K122" s="774">
        <f t="shared" si="39"/>
        <v>0</v>
      </c>
      <c r="L122" s="774">
        <f t="shared" si="39"/>
        <v>0</v>
      </c>
      <c r="M122" s="774">
        <f t="shared" si="39"/>
        <v>0</v>
      </c>
      <c r="N122" s="774">
        <f t="shared" si="39"/>
        <v>6279</v>
      </c>
      <c r="O122" s="774">
        <f>O120+O121</f>
        <v>6218</v>
      </c>
    </row>
    <row r="123" spans="1:17">
      <c r="A123" s="13" t="s">
        <v>5424</v>
      </c>
      <c r="B123" s="11" t="s">
        <v>13061</v>
      </c>
      <c r="C123" s="11" t="s">
        <v>13060</v>
      </c>
      <c r="D123" s="15">
        <v>0</v>
      </c>
      <c r="E123" s="15">
        <v>0</v>
      </c>
      <c r="F123" s="15">
        <v>0</v>
      </c>
      <c r="G123" s="15">
        <v>0</v>
      </c>
      <c r="H123" s="15">
        <v>0</v>
      </c>
      <c r="I123" s="15">
        <v>0</v>
      </c>
      <c r="J123" s="15">
        <v>0</v>
      </c>
      <c r="K123" s="15">
        <v>0</v>
      </c>
      <c r="L123" s="15">
        <v>0</v>
      </c>
      <c r="M123" s="15">
        <v>0</v>
      </c>
      <c r="N123" s="15">
        <v>1017</v>
      </c>
      <c r="O123" s="15">
        <v>1008</v>
      </c>
      <c r="Q123" s="11" t="s">
        <v>5335</v>
      </c>
    </row>
    <row r="124" spans="1:17" ht="15.75" thickBot="1">
      <c r="A124" s="13"/>
      <c r="C124" s="11" t="s">
        <v>13060</v>
      </c>
      <c r="D124" s="12">
        <v>0</v>
      </c>
      <c r="E124" s="12">
        <v>0</v>
      </c>
      <c r="F124" s="12">
        <v>0</v>
      </c>
      <c r="G124" s="12">
        <v>0</v>
      </c>
      <c r="H124" s="12">
        <v>0</v>
      </c>
      <c r="I124" s="12">
        <v>0</v>
      </c>
      <c r="J124" s="12">
        <v>0</v>
      </c>
      <c r="K124" s="12">
        <v>0</v>
      </c>
      <c r="L124" s="12">
        <v>0</v>
      </c>
      <c r="M124" s="12">
        <v>0</v>
      </c>
      <c r="N124" s="12">
        <v>5953</v>
      </c>
      <c r="O124" s="12">
        <v>5906</v>
      </c>
      <c r="Q124" s="11" t="s">
        <v>5336</v>
      </c>
    </row>
    <row r="125" spans="1:17" ht="15.75" thickBot="1">
      <c r="A125" s="13"/>
      <c r="C125" s="11" t="s">
        <v>13060</v>
      </c>
      <c r="D125" s="774">
        <f t="shared" ref="D125:N125" si="40">D123+D124</f>
        <v>0</v>
      </c>
      <c r="E125" s="774">
        <f t="shared" si="40"/>
        <v>0</v>
      </c>
      <c r="F125" s="774">
        <f t="shared" si="40"/>
        <v>0</v>
      </c>
      <c r="G125" s="774">
        <f t="shared" si="40"/>
        <v>0</v>
      </c>
      <c r="H125" s="774">
        <f t="shared" si="40"/>
        <v>0</v>
      </c>
      <c r="I125" s="774">
        <f t="shared" si="40"/>
        <v>0</v>
      </c>
      <c r="J125" s="774">
        <f t="shared" si="40"/>
        <v>0</v>
      </c>
      <c r="K125" s="774">
        <f t="shared" si="40"/>
        <v>0</v>
      </c>
      <c r="L125" s="774">
        <f t="shared" si="40"/>
        <v>0</v>
      </c>
      <c r="M125" s="774">
        <f t="shared" si="40"/>
        <v>0</v>
      </c>
      <c r="N125" s="774">
        <f t="shared" si="40"/>
        <v>6970</v>
      </c>
      <c r="O125" s="774">
        <f>O123+O124</f>
        <v>6914</v>
      </c>
    </row>
    <row r="126" spans="1:17">
      <c r="A126" s="13" t="s">
        <v>5426</v>
      </c>
      <c r="B126" s="11" t="s">
        <v>10575</v>
      </c>
      <c r="C126" s="11" t="s">
        <v>13062</v>
      </c>
      <c r="D126" s="15">
        <v>37219</v>
      </c>
      <c r="E126" s="15">
        <v>37148</v>
      </c>
      <c r="F126" s="15">
        <v>37131</v>
      </c>
      <c r="G126" s="15">
        <v>37274</v>
      </c>
      <c r="H126" s="15">
        <v>37333</v>
      </c>
      <c r="I126" s="15">
        <v>36588</v>
      </c>
      <c r="J126" s="15">
        <v>36148</v>
      </c>
      <c r="K126" s="15">
        <v>37339</v>
      </c>
      <c r="L126" s="15">
        <v>37056</v>
      </c>
      <c r="M126" s="15">
        <v>36576</v>
      </c>
      <c r="N126" s="15">
        <v>8213</v>
      </c>
      <c r="O126" s="15">
        <v>8124</v>
      </c>
      <c r="Q126" s="11" t="s">
        <v>5336</v>
      </c>
    </row>
    <row r="127" spans="1:17">
      <c r="A127" s="13" t="s">
        <v>5428</v>
      </c>
      <c r="B127" s="11" t="s">
        <v>13064</v>
      </c>
      <c r="C127" s="11" t="s">
        <v>13063</v>
      </c>
      <c r="D127" s="15">
        <v>0</v>
      </c>
      <c r="E127" s="15">
        <v>0</v>
      </c>
      <c r="F127" s="15">
        <v>0</v>
      </c>
      <c r="G127" s="15">
        <v>0</v>
      </c>
      <c r="H127" s="15">
        <v>0</v>
      </c>
      <c r="I127" s="15">
        <v>0</v>
      </c>
      <c r="J127" s="15">
        <v>0</v>
      </c>
      <c r="K127" s="15">
        <v>0</v>
      </c>
      <c r="L127" s="15">
        <v>0</v>
      </c>
      <c r="M127" s="15">
        <v>0</v>
      </c>
      <c r="N127" s="15">
        <v>4118</v>
      </c>
      <c r="O127" s="15">
        <v>4080</v>
      </c>
      <c r="Q127" s="11" t="s">
        <v>5337</v>
      </c>
    </row>
    <row r="128" spans="1:17">
      <c r="A128" s="13" t="s">
        <v>5429</v>
      </c>
      <c r="B128" s="11" t="s">
        <v>13066</v>
      </c>
      <c r="C128" s="11" t="s">
        <v>13065</v>
      </c>
      <c r="D128" s="15">
        <v>0</v>
      </c>
      <c r="E128" s="15">
        <v>0</v>
      </c>
      <c r="F128" s="15">
        <v>0</v>
      </c>
      <c r="G128" s="15">
        <v>0</v>
      </c>
      <c r="H128" s="15">
        <v>0</v>
      </c>
      <c r="I128" s="15">
        <v>0</v>
      </c>
      <c r="J128" s="15">
        <v>0</v>
      </c>
      <c r="K128" s="15">
        <v>0</v>
      </c>
      <c r="L128" s="15">
        <v>0</v>
      </c>
      <c r="M128" s="15">
        <v>0</v>
      </c>
      <c r="N128" s="15">
        <v>3457</v>
      </c>
      <c r="O128" s="15">
        <v>3391</v>
      </c>
      <c r="Q128" s="11" t="s">
        <v>5337</v>
      </c>
    </row>
    <row r="129" spans="1:17">
      <c r="A129" s="775">
        <v>14</v>
      </c>
      <c r="B129" s="11" t="s">
        <v>13068</v>
      </c>
      <c r="C129" s="11" t="s">
        <v>13067</v>
      </c>
      <c r="D129" s="15">
        <v>73168</v>
      </c>
      <c r="E129" s="15">
        <v>73499</v>
      </c>
      <c r="F129" s="15">
        <v>73101</v>
      </c>
      <c r="G129" s="15">
        <v>72915</v>
      </c>
      <c r="H129" s="15">
        <v>71158</v>
      </c>
      <c r="I129" s="15">
        <v>70486</v>
      </c>
      <c r="J129" s="15">
        <v>68211</v>
      </c>
      <c r="K129" s="15">
        <v>71155</v>
      </c>
      <c r="L129" s="15">
        <v>71224</v>
      </c>
      <c r="M129" s="15">
        <v>70790</v>
      </c>
      <c r="N129" s="15">
        <v>3087</v>
      </c>
      <c r="O129" s="15">
        <v>3031</v>
      </c>
      <c r="Q129" s="11" t="s">
        <v>3806</v>
      </c>
    </row>
    <row r="130" spans="1:17">
      <c r="A130" s="775">
        <v>15</v>
      </c>
      <c r="B130" s="11" t="s">
        <v>19</v>
      </c>
      <c r="C130" s="11" t="s">
        <v>13069</v>
      </c>
      <c r="D130" s="15">
        <v>0</v>
      </c>
      <c r="E130" s="15">
        <v>0</v>
      </c>
      <c r="F130" s="15">
        <v>0</v>
      </c>
      <c r="G130" s="15">
        <v>0</v>
      </c>
      <c r="H130" s="15">
        <v>0</v>
      </c>
      <c r="I130" s="15">
        <v>0</v>
      </c>
      <c r="J130" s="15">
        <v>0</v>
      </c>
      <c r="K130" s="15">
        <v>0</v>
      </c>
      <c r="L130" s="15">
        <v>0</v>
      </c>
      <c r="M130" s="15">
        <v>0</v>
      </c>
      <c r="N130" s="15">
        <v>6884</v>
      </c>
      <c r="O130" s="15">
        <v>6772</v>
      </c>
      <c r="Q130" s="11" t="s">
        <v>3807</v>
      </c>
    </row>
    <row r="131" spans="1:17">
      <c r="A131" s="775">
        <v>16</v>
      </c>
      <c r="B131" s="11" t="s">
        <v>13071</v>
      </c>
      <c r="C131" s="11" t="s">
        <v>13070</v>
      </c>
      <c r="D131" s="15">
        <v>0</v>
      </c>
      <c r="E131" s="15">
        <v>0</v>
      </c>
      <c r="F131" s="15">
        <v>0</v>
      </c>
      <c r="G131" s="15">
        <v>0</v>
      </c>
      <c r="H131" s="15">
        <v>0</v>
      </c>
      <c r="I131" s="15">
        <v>0</v>
      </c>
      <c r="J131" s="15">
        <v>0</v>
      </c>
      <c r="K131" s="15">
        <v>0</v>
      </c>
      <c r="L131" s="15">
        <v>0</v>
      </c>
      <c r="M131" s="15">
        <v>0</v>
      </c>
      <c r="N131" s="15">
        <v>3031</v>
      </c>
      <c r="O131" s="15">
        <v>3001</v>
      </c>
      <c r="Q131" s="11" t="s">
        <v>3807</v>
      </c>
    </row>
    <row r="132" spans="1:17">
      <c r="A132" s="775">
        <v>17</v>
      </c>
      <c r="B132" s="11" t="s">
        <v>20</v>
      </c>
      <c r="C132" s="11" t="s">
        <v>13072</v>
      </c>
      <c r="D132" s="15">
        <v>0</v>
      </c>
      <c r="E132" s="15">
        <v>0</v>
      </c>
      <c r="F132" s="15">
        <v>0</v>
      </c>
      <c r="G132" s="15">
        <v>0</v>
      </c>
      <c r="H132" s="15">
        <v>0</v>
      </c>
      <c r="I132" s="15">
        <v>0</v>
      </c>
      <c r="J132" s="15">
        <v>0</v>
      </c>
      <c r="K132" s="15">
        <v>0</v>
      </c>
      <c r="L132" s="15">
        <v>0</v>
      </c>
      <c r="M132" s="15">
        <v>0</v>
      </c>
      <c r="N132" s="15">
        <v>7196</v>
      </c>
      <c r="O132" s="15">
        <v>7026</v>
      </c>
      <c r="Q132" s="11" t="s">
        <v>3807</v>
      </c>
    </row>
    <row r="133" spans="1:17">
      <c r="A133" s="775">
        <v>18</v>
      </c>
      <c r="B133" s="11" t="s">
        <v>13074</v>
      </c>
      <c r="C133" s="11" t="s">
        <v>13073</v>
      </c>
      <c r="D133" s="15">
        <v>0</v>
      </c>
      <c r="E133" s="15">
        <v>0</v>
      </c>
      <c r="F133" s="15">
        <v>0</v>
      </c>
      <c r="G133" s="15">
        <v>0</v>
      </c>
      <c r="H133" s="15">
        <v>0</v>
      </c>
      <c r="I133" s="15">
        <v>0</v>
      </c>
      <c r="J133" s="15">
        <v>0</v>
      </c>
      <c r="K133" s="15">
        <v>0</v>
      </c>
      <c r="L133" s="15">
        <v>0</v>
      </c>
      <c r="M133" s="15">
        <v>0</v>
      </c>
      <c r="N133" s="15">
        <v>4330</v>
      </c>
      <c r="O133" s="15">
        <v>4261</v>
      </c>
      <c r="Q133" s="11" t="s">
        <v>3807</v>
      </c>
    </row>
    <row r="134" spans="1:17">
      <c r="A134" s="775">
        <v>19</v>
      </c>
      <c r="B134" s="11" t="s">
        <v>13076</v>
      </c>
      <c r="C134" s="11" t="s">
        <v>13075</v>
      </c>
      <c r="D134" s="15">
        <v>30192</v>
      </c>
      <c r="E134" s="15">
        <v>30024</v>
      </c>
      <c r="F134" s="15">
        <v>30326</v>
      </c>
      <c r="G134" s="15">
        <v>30732</v>
      </c>
      <c r="H134" s="15">
        <v>30865</v>
      </c>
      <c r="I134" s="15">
        <v>29842</v>
      </c>
      <c r="J134" s="15">
        <v>29697</v>
      </c>
      <c r="K134" s="15">
        <v>30494</v>
      </c>
      <c r="L134" s="15">
        <v>30486</v>
      </c>
      <c r="M134" s="15">
        <v>30240</v>
      </c>
      <c r="N134" s="15">
        <v>7585</v>
      </c>
      <c r="O134" s="15">
        <v>7501</v>
      </c>
      <c r="Q134" s="11" t="s">
        <v>5335</v>
      </c>
    </row>
    <row r="135" spans="1:17">
      <c r="A135" s="775">
        <v>20</v>
      </c>
      <c r="B135" s="11" t="s">
        <v>13078</v>
      </c>
      <c r="C135" s="11" t="s">
        <v>13077</v>
      </c>
      <c r="D135" s="15">
        <v>0</v>
      </c>
      <c r="E135" s="15">
        <v>0</v>
      </c>
      <c r="F135" s="15">
        <v>0</v>
      </c>
      <c r="G135" s="15">
        <v>0</v>
      </c>
      <c r="H135" s="15">
        <v>0</v>
      </c>
      <c r="I135" s="15">
        <v>0</v>
      </c>
      <c r="J135" s="15">
        <v>0</v>
      </c>
      <c r="K135" s="15">
        <v>0</v>
      </c>
      <c r="L135" s="15">
        <v>0</v>
      </c>
      <c r="M135" s="15">
        <v>0</v>
      </c>
      <c r="N135" s="15">
        <v>6947</v>
      </c>
      <c r="O135" s="15">
        <v>6870</v>
      </c>
      <c r="Q135" s="11" t="s">
        <v>5335</v>
      </c>
    </row>
    <row r="136" spans="1:17">
      <c r="A136" s="775">
        <v>21</v>
      </c>
      <c r="B136" s="11" t="s">
        <v>13080</v>
      </c>
      <c r="C136" s="11" t="s">
        <v>13079</v>
      </c>
      <c r="D136" s="15">
        <v>0</v>
      </c>
      <c r="E136" s="15">
        <v>0</v>
      </c>
      <c r="F136" s="15">
        <v>0</v>
      </c>
      <c r="G136" s="15">
        <v>0</v>
      </c>
      <c r="H136" s="15">
        <v>0</v>
      </c>
      <c r="I136" s="15">
        <v>0</v>
      </c>
      <c r="J136" s="15">
        <v>0</v>
      </c>
      <c r="K136" s="15">
        <v>0</v>
      </c>
      <c r="L136" s="15">
        <v>0</v>
      </c>
      <c r="M136" s="15">
        <v>0</v>
      </c>
      <c r="N136" s="15">
        <v>12349</v>
      </c>
      <c r="O136" s="15">
        <v>12163</v>
      </c>
      <c r="Q136" s="11" t="s">
        <v>5337</v>
      </c>
    </row>
    <row r="137" spans="1:17">
      <c r="A137" s="775">
        <v>22</v>
      </c>
      <c r="B137" s="11" t="s">
        <v>13082</v>
      </c>
      <c r="C137" s="11" t="s">
        <v>13081</v>
      </c>
      <c r="D137" s="15">
        <v>0</v>
      </c>
      <c r="E137" s="15">
        <v>0</v>
      </c>
      <c r="F137" s="15">
        <v>0</v>
      </c>
      <c r="G137" s="15">
        <v>0</v>
      </c>
      <c r="H137" s="15">
        <v>0</v>
      </c>
      <c r="I137" s="15">
        <v>0</v>
      </c>
      <c r="J137" s="15">
        <v>0</v>
      </c>
      <c r="K137" s="15">
        <v>0</v>
      </c>
      <c r="L137" s="15">
        <v>0</v>
      </c>
      <c r="M137" s="15">
        <v>0</v>
      </c>
      <c r="N137" s="15">
        <v>3717</v>
      </c>
      <c r="O137" s="15">
        <v>3663</v>
      </c>
      <c r="Q137" s="11" t="s">
        <v>5337</v>
      </c>
    </row>
    <row r="138" spans="1:17">
      <c r="A138" s="775">
        <v>23</v>
      </c>
      <c r="B138" s="11" t="s">
        <v>13084</v>
      </c>
      <c r="C138" s="11" t="s">
        <v>13083</v>
      </c>
      <c r="D138" s="15">
        <v>0</v>
      </c>
      <c r="E138" s="15">
        <v>0</v>
      </c>
      <c r="F138" s="15">
        <v>0</v>
      </c>
      <c r="G138" s="15">
        <v>0</v>
      </c>
      <c r="H138" s="15">
        <v>0</v>
      </c>
      <c r="I138" s="15">
        <v>0</v>
      </c>
      <c r="J138" s="15">
        <v>0</v>
      </c>
      <c r="K138" s="15">
        <v>0</v>
      </c>
      <c r="L138" s="15">
        <v>0</v>
      </c>
      <c r="M138" s="15">
        <v>0</v>
      </c>
      <c r="N138" s="15">
        <v>7882</v>
      </c>
      <c r="O138" s="15">
        <v>7790</v>
      </c>
      <c r="Q138" s="11" t="s">
        <v>3806</v>
      </c>
    </row>
    <row r="139" spans="1:17">
      <c r="A139" s="775">
        <v>24</v>
      </c>
      <c r="B139" s="11" t="s">
        <v>13086</v>
      </c>
      <c r="C139" s="11" t="s">
        <v>13085</v>
      </c>
      <c r="D139" s="15">
        <v>0</v>
      </c>
      <c r="E139" s="15">
        <v>0</v>
      </c>
      <c r="F139" s="15">
        <v>0</v>
      </c>
      <c r="G139" s="15">
        <v>0</v>
      </c>
      <c r="H139" s="15">
        <v>0</v>
      </c>
      <c r="I139" s="15">
        <v>0</v>
      </c>
      <c r="J139" s="15">
        <v>0</v>
      </c>
      <c r="K139" s="15">
        <v>0</v>
      </c>
      <c r="L139" s="15">
        <v>0</v>
      </c>
      <c r="M139" s="15">
        <v>0</v>
      </c>
      <c r="N139" s="15">
        <v>4391</v>
      </c>
      <c r="O139" s="15">
        <v>4294</v>
      </c>
      <c r="Q139" s="11" t="s">
        <v>3807</v>
      </c>
    </row>
    <row r="140" spans="1:17">
      <c r="A140" s="775">
        <v>25</v>
      </c>
      <c r="B140" s="11" t="s">
        <v>13088</v>
      </c>
      <c r="C140" s="11" t="s">
        <v>13087</v>
      </c>
      <c r="D140" s="15">
        <v>0</v>
      </c>
      <c r="E140" s="15">
        <v>0</v>
      </c>
      <c r="F140" s="15">
        <v>0</v>
      </c>
      <c r="G140" s="15">
        <v>0</v>
      </c>
      <c r="H140" s="15">
        <v>0</v>
      </c>
      <c r="I140" s="15">
        <v>0</v>
      </c>
      <c r="J140" s="15">
        <v>0</v>
      </c>
      <c r="K140" s="15">
        <v>0</v>
      </c>
      <c r="L140" s="15">
        <v>0</v>
      </c>
      <c r="M140" s="15">
        <v>0</v>
      </c>
      <c r="N140" s="15">
        <v>9787</v>
      </c>
      <c r="O140" s="15">
        <v>9677</v>
      </c>
      <c r="Q140" s="11" t="s">
        <v>5336</v>
      </c>
    </row>
    <row r="141" spans="1:17">
      <c r="A141" s="775">
        <v>26</v>
      </c>
      <c r="B141" s="11" t="s">
        <v>13090</v>
      </c>
      <c r="C141" s="11" t="s">
        <v>13089</v>
      </c>
      <c r="D141" s="15">
        <v>0</v>
      </c>
      <c r="E141" s="15">
        <v>0</v>
      </c>
      <c r="F141" s="15">
        <v>0</v>
      </c>
      <c r="G141" s="15">
        <v>0</v>
      </c>
      <c r="H141" s="15">
        <v>0</v>
      </c>
      <c r="I141" s="15">
        <v>0</v>
      </c>
      <c r="J141" s="15">
        <v>0</v>
      </c>
      <c r="K141" s="15">
        <v>0</v>
      </c>
      <c r="L141" s="15">
        <v>0</v>
      </c>
      <c r="M141" s="15">
        <v>0</v>
      </c>
      <c r="N141" s="15">
        <v>4028</v>
      </c>
      <c r="O141" s="15">
        <v>3967</v>
      </c>
      <c r="Q141" s="11" t="s">
        <v>3807</v>
      </c>
    </row>
    <row r="142" spans="1:17">
      <c r="A142" s="775">
        <v>27</v>
      </c>
      <c r="B142" s="11" t="s">
        <v>1464</v>
      </c>
      <c r="C142" s="11" t="s">
        <v>13091</v>
      </c>
      <c r="D142" s="15">
        <v>0</v>
      </c>
      <c r="E142" s="15">
        <v>0</v>
      </c>
      <c r="F142" s="15">
        <v>0</v>
      </c>
      <c r="G142" s="15">
        <v>0</v>
      </c>
      <c r="H142" s="15">
        <v>0</v>
      </c>
      <c r="I142" s="15">
        <v>0</v>
      </c>
      <c r="J142" s="15">
        <v>0</v>
      </c>
      <c r="K142" s="15">
        <v>0</v>
      </c>
      <c r="L142" s="15">
        <v>0</v>
      </c>
      <c r="M142" s="15">
        <v>0</v>
      </c>
      <c r="N142" s="15">
        <v>3479</v>
      </c>
      <c r="O142" s="15">
        <v>3365</v>
      </c>
      <c r="Q142" s="11" t="s">
        <v>3806</v>
      </c>
    </row>
    <row r="143" spans="1:17">
      <c r="A143" s="775">
        <v>28</v>
      </c>
      <c r="B143" s="11" t="s">
        <v>6642</v>
      </c>
      <c r="C143" s="11" t="s">
        <v>13092</v>
      </c>
      <c r="D143" s="15">
        <v>0</v>
      </c>
      <c r="E143" s="15">
        <v>0</v>
      </c>
      <c r="F143" s="15">
        <v>0</v>
      </c>
      <c r="G143" s="15">
        <v>0</v>
      </c>
      <c r="H143" s="15">
        <v>0</v>
      </c>
      <c r="I143" s="15">
        <v>0</v>
      </c>
      <c r="J143" s="15">
        <v>0</v>
      </c>
      <c r="K143" s="15">
        <v>0</v>
      </c>
      <c r="L143" s="15">
        <v>0</v>
      </c>
      <c r="M143" s="15">
        <v>0</v>
      </c>
      <c r="N143" s="15">
        <v>9680</v>
      </c>
      <c r="O143" s="15">
        <v>9503</v>
      </c>
      <c r="Q143" s="11" t="s">
        <v>3806</v>
      </c>
    </row>
    <row r="144" spans="1:17">
      <c r="A144" s="775">
        <v>29</v>
      </c>
      <c r="B144" s="11" t="s">
        <v>13094</v>
      </c>
      <c r="C144" s="11" t="s">
        <v>13093</v>
      </c>
      <c r="D144" s="15">
        <v>0</v>
      </c>
      <c r="E144" s="15">
        <v>0</v>
      </c>
      <c r="F144" s="15">
        <v>0</v>
      </c>
      <c r="G144" s="15">
        <v>0</v>
      </c>
      <c r="H144" s="15">
        <v>0</v>
      </c>
      <c r="I144" s="15">
        <v>0</v>
      </c>
      <c r="J144" s="15">
        <v>0</v>
      </c>
      <c r="K144" s="15">
        <v>0</v>
      </c>
      <c r="L144" s="15">
        <v>0</v>
      </c>
      <c r="M144" s="15">
        <v>0</v>
      </c>
      <c r="N144" s="15">
        <v>2851</v>
      </c>
      <c r="O144" s="15">
        <v>2817</v>
      </c>
      <c r="Q144" s="11" t="s">
        <v>5337</v>
      </c>
    </row>
    <row r="145" spans="1:17" ht="15.75" thickBot="1">
      <c r="A145" s="775"/>
      <c r="C145" s="11" t="s">
        <v>13093</v>
      </c>
      <c r="D145" s="12">
        <v>0</v>
      </c>
      <c r="E145" s="12">
        <v>0</v>
      </c>
      <c r="F145" s="12">
        <v>0</v>
      </c>
      <c r="G145" s="12">
        <v>0</v>
      </c>
      <c r="H145" s="12">
        <v>0</v>
      </c>
      <c r="I145" s="12">
        <v>0</v>
      </c>
      <c r="J145" s="12">
        <v>0</v>
      </c>
      <c r="K145" s="12">
        <v>0</v>
      </c>
      <c r="L145" s="12">
        <v>0</v>
      </c>
      <c r="M145" s="12">
        <v>0</v>
      </c>
      <c r="N145" s="12">
        <v>1606</v>
      </c>
      <c r="O145" s="12">
        <v>1590</v>
      </c>
      <c r="Q145" s="11" t="s">
        <v>3807</v>
      </c>
    </row>
    <row r="146" spans="1:17" ht="15.75" thickBot="1">
      <c r="A146" s="775"/>
      <c r="C146" s="11" t="s">
        <v>13093</v>
      </c>
      <c r="D146" s="774">
        <f t="shared" ref="D146:N146" si="41">D144+D145</f>
        <v>0</v>
      </c>
      <c r="E146" s="774">
        <f t="shared" si="41"/>
        <v>0</v>
      </c>
      <c r="F146" s="774">
        <f t="shared" si="41"/>
        <v>0</v>
      </c>
      <c r="G146" s="774">
        <f t="shared" si="41"/>
        <v>0</v>
      </c>
      <c r="H146" s="774">
        <f t="shared" si="41"/>
        <v>0</v>
      </c>
      <c r="I146" s="774">
        <f t="shared" si="41"/>
        <v>0</v>
      </c>
      <c r="J146" s="774">
        <f t="shared" si="41"/>
        <v>0</v>
      </c>
      <c r="K146" s="774">
        <f t="shared" si="41"/>
        <v>0</v>
      </c>
      <c r="L146" s="774">
        <f t="shared" si="41"/>
        <v>0</v>
      </c>
      <c r="M146" s="774">
        <f t="shared" si="41"/>
        <v>0</v>
      </c>
      <c r="N146" s="774">
        <f t="shared" si="41"/>
        <v>4457</v>
      </c>
      <c r="O146" s="774">
        <f>O144+O145</f>
        <v>4407</v>
      </c>
    </row>
    <row r="147" spans="1:17">
      <c r="A147" s="775">
        <v>30</v>
      </c>
      <c r="B147" s="11" t="s">
        <v>1465</v>
      </c>
      <c r="C147" s="11" t="s">
        <v>13095</v>
      </c>
      <c r="D147" s="15">
        <v>0</v>
      </c>
      <c r="E147" s="15">
        <v>0</v>
      </c>
      <c r="F147" s="15">
        <v>0</v>
      </c>
      <c r="G147" s="15">
        <v>0</v>
      </c>
      <c r="H147" s="15">
        <v>0</v>
      </c>
      <c r="I147" s="15">
        <v>0</v>
      </c>
      <c r="J147" s="15">
        <v>0</v>
      </c>
      <c r="K147" s="15">
        <v>0</v>
      </c>
      <c r="L147" s="15">
        <v>0</v>
      </c>
      <c r="M147" s="15">
        <v>0</v>
      </c>
      <c r="N147" s="15">
        <v>7560</v>
      </c>
      <c r="O147" s="15">
        <v>7476</v>
      </c>
      <c r="Q147" s="11" t="s">
        <v>3806</v>
      </c>
    </row>
    <row r="148" spans="1:17">
      <c r="A148" s="775">
        <v>31</v>
      </c>
      <c r="B148" s="11" t="s">
        <v>13097</v>
      </c>
      <c r="C148" s="11" t="s">
        <v>13096</v>
      </c>
      <c r="D148" s="15">
        <v>0</v>
      </c>
      <c r="E148" s="15">
        <v>0</v>
      </c>
      <c r="F148" s="15">
        <v>0</v>
      </c>
      <c r="G148" s="15">
        <v>0</v>
      </c>
      <c r="H148" s="15">
        <v>0</v>
      </c>
      <c r="I148" s="15">
        <v>0</v>
      </c>
      <c r="J148" s="15">
        <v>0</v>
      </c>
      <c r="K148" s="15">
        <v>0</v>
      </c>
      <c r="L148" s="15">
        <v>0</v>
      </c>
      <c r="M148" s="15">
        <v>0</v>
      </c>
      <c r="N148" s="15">
        <v>11331</v>
      </c>
      <c r="O148" s="15">
        <v>11122</v>
      </c>
      <c r="Q148" s="11" t="s">
        <v>3806</v>
      </c>
    </row>
    <row r="149" spans="1:17">
      <c r="A149" s="775">
        <v>32</v>
      </c>
      <c r="B149" s="11" t="s">
        <v>13099</v>
      </c>
      <c r="C149" s="11" t="s">
        <v>13098</v>
      </c>
      <c r="D149" s="15">
        <v>0</v>
      </c>
      <c r="E149" s="15">
        <v>0</v>
      </c>
      <c r="F149" s="15">
        <v>0</v>
      </c>
      <c r="G149" s="15">
        <v>0</v>
      </c>
      <c r="H149" s="15">
        <v>0</v>
      </c>
      <c r="I149" s="15">
        <v>0</v>
      </c>
      <c r="J149" s="15">
        <v>0</v>
      </c>
      <c r="K149" s="15">
        <v>0</v>
      </c>
      <c r="L149" s="15">
        <v>0</v>
      </c>
      <c r="M149" s="15">
        <v>0</v>
      </c>
      <c r="N149" s="15">
        <v>6516</v>
      </c>
      <c r="O149" s="15">
        <v>6456</v>
      </c>
      <c r="Q149" s="11" t="s">
        <v>5335</v>
      </c>
    </row>
    <row r="150" spans="1:17">
      <c r="A150" s="775">
        <v>33</v>
      </c>
      <c r="B150" s="11" t="s">
        <v>13101</v>
      </c>
      <c r="C150" s="11" t="s">
        <v>13100</v>
      </c>
      <c r="D150" s="15">
        <v>0</v>
      </c>
      <c r="E150" s="15">
        <v>0</v>
      </c>
      <c r="F150" s="15">
        <v>0</v>
      </c>
      <c r="G150" s="15">
        <v>0</v>
      </c>
      <c r="H150" s="15">
        <v>0</v>
      </c>
      <c r="I150" s="15">
        <v>0</v>
      </c>
      <c r="J150" s="15">
        <v>0</v>
      </c>
      <c r="K150" s="15">
        <v>0</v>
      </c>
      <c r="L150" s="15">
        <v>0</v>
      </c>
      <c r="M150" s="15">
        <v>0</v>
      </c>
      <c r="N150" s="15">
        <v>6763</v>
      </c>
      <c r="O150" s="15">
        <v>6663</v>
      </c>
      <c r="Q150" s="11" t="s">
        <v>5337</v>
      </c>
    </row>
    <row r="151" spans="1:17">
      <c r="A151" s="775">
        <v>34</v>
      </c>
      <c r="B151" s="11" t="s">
        <v>1389</v>
      </c>
      <c r="C151" s="11" t="s">
        <v>13102</v>
      </c>
      <c r="D151" s="15">
        <v>0</v>
      </c>
      <c r="E151" s="15">
        <v>0</v>
      </c>
      <c r="F151" s="15">
        <v>0</v>
      </c>
      <c r="G151" s="15">
        <v>0</v>
      </c>
      <c r="H151" s="15">
        <v>0</v>
      </c>
      <c r="I151" s="15">
        <v>0</v>
      </c>
      <c r="J151" s="15">
        <v>0</v>
      </c>
      <c r="K151" s="15">
        <v>0</v>
      </c>
      <c r="L151" s="15">
        <v>0</v>
      </c>
      <c r="M151" s="15">
        <v>0</v>
      </c>
      <c r="N151" s="15">
        <v>3973</v>
      </c>
      <c r="O151" s="15">
        <v>3875</v>
      </c>
      <c r="Q151" s="11" t="s">
        <v>3807</v>
      </c>
    </row>
    <row r="152" spans="1:17">
      <c r="A152" s="775">
        <v>35</v>
      </c>
      <c r="B152" s="11" t="s">
        <v>13104</v>
      </c>
      <c r="C152" s="11" t="s">
        <v>13103</v>
      </c>
      <c r="D152" s="15">
        <v>0</v>
      </c>
      <c r="E152" s="15">
        <v>0</v>
      </c>
      <c r="F152" s="15">
        <v>0</v>
      </c>
      <c r="G152" s="15">
        <v>0</v>
      </c>
      <c r="H152" s="15">
        <v>0</v>
      </c>
      <c r="I152" s="15">
        <v>0</v>
      </c>
      <c r="J152" s="15">
        <v>0</v>
      </c>
      <c r="K152" s="15">
        <v>0</v>
      </c>
      <c r="L152" s="15">
        <v>0</v>
      </c>
      <c r="M152" s="15">
        <v>0</v>
      </c>
      <c r="N152" s="15">
        <v>185</v>
      </c>
      <c r="O152" s="15">
        <v>184</v>
      </c>
      <c r="Q152" s="11" t="s">
        <v>5337</v>
      </c>
    </row>
    <row r="153" spans="1:17" ht="15.75" thickBot="1">
      <c r="A153" s="775"/>
      <c r="C153" s="11" t="s">
        <v>13103</v>
      </c>
      <c r="D153" s="12">
        <v>0</v>
      </c>
      <c r="E153" s="12">
        <v>0</v>
      </c>
      <c r="F153" s="12">
        <v>0</v>
      </c>
      <c r="G153" s="12">
        <v>0</v>
      </c>
      <c r="H153" s="12">
        <v>0</v>
      </c>
      <c r="I153" s="12">
        <v>0</v>
      </c>
      <c r="J153" s="12">
        <v>0</v>
      </c>
      <c r="K153" s="12">
        <v>0</v>
      </c>
      <c r="L153" s="12">
        <v>0</v>
      </c>
      <c r="M153" s="12">
        <v>0</v>
      </c>
      <c r="N153" s="12">
        <v>3923</v>
      </c>
      <c r="O153" s="12">
        <v>3861</v>
      </c>
      <c r="Q153" s="11" t="s">
        <v>3807</v>
      </c>
    </row>
    <row r="154" spans="1:17" ht="15.75" thickBot="1">
      <c r="A154" s="775"/>
      <c r="C154" s="11" t="s">
        <v>13103</v>
      </c>
      <c r="D154" s="774">
        <f t="shared" ref="D154:N154" si="42">D152+D153</f>
        <v>0</v>
      </c>
      <c r="E154" s="774">
        <f t="shared" si="42"/>
        <v>0</v>
      </c>
      <c r="F154" s="774">
        <f t="shared" si="42"/>
        <v>0</v>
      </c>
      <c r="G154" s="774">
        <f t="shared" si="42"/>
        <v>0</v>
      </c>
      <c r="H154" s="774">
        <f t="shared" si="42"/>
        <v>0</v>
      </c>
      <c r="I154" s="774">
        <f t="shared" si="42"/>
        <v>0</v>
      </c>
      <c r="J154" s="774">
        <f t="shared" si="42"/>
        <v>0</v>
      </c>
      <c r="K154" s="774">
        <f t="shared" si="42"/>
        <v>0</v>
      </c>
      <c r="L154" s="774">
        <f t="shared" si="42"/>
        <v>0</v>
      </c>
      <c r="M154" s="774">
        <f t="shared" si="42"/>
        <v>0</v>
      </c>
      <c r="N154" s="774">
        <f t="shared" si="42"/>
        <v>4108</v>
      </c>
      <c r="O154" s="774">
        <f>O152+O153</f>
        <v>4045</v>
      </c>
    </row>
    <row r="155" spans="1:17">
      <c r="A155" s="775">
        <v>36</v>
      </c>
      <c r="B155" s="11" t="s">
        <v>1390</v>
      </c>
      <c r="C155" s="11" t="s">
        <v>13105</v>
      </c>
      <c r="D155" s="15">
        <v>0</v>
      </c>
      <c r="E155" s="15">
        <v>0</v>
      </c>
      <c r="F155" s="15">
        <v>0</v>
      </c>
      <c r="G155" s="15">
        <v>0</v>
      </c>
      <c r="H155" s="15">
        <v>0</v>
      </c>
      <c r="I155" s="15">
        <v>0</v>
      </c>
      <c r="J155" s="15">
        <v>0</v>
      </c>
      <c r="K155" s="15">
        <v>0</v>
      </c>
      <c r="L155" s="15">
        <v>0</v>
      </c>
      <c r="M155" s="15">
        <v>0</v>
      </c>
      <c r="N155" s="15">
        <v>3624</v>
      </c>
      <c r="O155" s="15">
        <v>3566</v>
      </c>
      <c r="Q155" s="11" t="s">
        <v>3807</v>
      </c>
    </row>
    <row r="156" spans="1:17">
      <c r="A156" s="775">
        <v>37</v>
      </c>
      <c r="B156" s="11" t="s">
        <v>13107</v>
      </c>
      <c r="C156" s="11" t="s">
        <v>13106</v>
      </c>
      <c r="D156" s="15">
        <v>0</v>
      </c>
      <c r="E156" s="15">
        <v>0</v>
      </c>
      <c r="F156" s="15">
        <v>0</v>
      </c>
      <c r="G156" s="15">
        <v>0</v>
      </c>
      <c r="H156" s="15">
        <v>0</v>
      </c>
      <c r="I156" s="15">
        <v>0</v>
      </c>
      <c r="J156" s="15">
        <v>0</v>
      </c>
      <c r="K156" s="15">
        <v>0</v>
      </c>
      <c r="L156" s="15">
        <v>0</v>
      </c>
      <c r="M156" s="15">
        <v>0</v>
      </c>
      <c r="N156" s="15">
        <v>3634</v>
      </c>
      <c r="O156" s="15">
        <v>3573</v>
      </c>
      <c r="Q156" s="11" t="s">
        <v>3806</v>
      </c>
    </row>
    <row r="157" spans="1:17">
      <c r="A157" s="775">
        <v>38</v>
      </c>
      <c r="B157" s="11" t="s">
        <v>13109</v>
      </c>
      <c r="C157" s="11" t="s">
        <v>13108</v>
      </c>
      <c r="D157" s="15">
        <v>0</v>
      </c>
      <c r="E157" s="15">
        <v>0</v>
      </c>
      <c r="F157" s="15">
        <v>0</v>
      </c>
      <c r="G157" s="15">
        <v>0</v>
      </c>
      <c r="H157" s="15">
        <v>0</v>
      </c>
      <c r="I157" s="15">
        <v>0</v>
      </c>
      <c r="J157" s="15">
        <v>0</v>
      </c>
      <c r="K157" s="15">
        <v>0</v>
      </c>
      <c r="L157" s="15">
        <v>0</v>
      </c>
      <c r="M157" s="15">
        <v>0</v>
      </c>
      <c r="N157" s="15">
        <v>4332</v>
      </c>
      <c r="O157" s="15">
        <v>4288</v>
      </c>
      <c r="Q157" s="11" t="s">
        <v>5337</v>
      </c>
    </row>
    <row r="158" spans="1:17">
      <c r="A158" s="775">
        <v>39</v>
      </c>
      <c r="B158" s="11" t="s">
        <v>13111</v>
      </c>
      <c r="C158" s="11" t="s">
        <v>13110</v>
      </c>
      <c r="D158" s="15">
        <v>0</v>
      </c>
      <c r="E158" s="15">
        <v>0</v>
      </c>
      <c r="F158" s="15">
        <v>0</v>
      </c>
      <c r="G158" s="15">
        <v>0</v>
      </c>
      <c r="H158" s="15">
        <v>0</v>
      </c>
      <c r="I158" s="15">
        <v>0</v>
      </c>
      <c r="J158" s="15">
        <v>0</v>
      </c>
      <c r="K158" s="15">
        <v>0</v>
      </c>
      <c r="L158" s="15">
        <v>0</v>
      </c>
      <c r="M158" s="15">
        <v>0</v>
      </c>
      <c r="N158" s="15">
        <v>4033</v>
      </c>
      <c r="O158" s="15">
        <v>3997</v>
      </c>
      <c r="Q158" s="11" t="s">
        <v>5337</v>
      </c>
    </row>
    <row r="159" spans="1:17">
      <c r="A159" s="775">
        <v>40</v>
      </c>
      <c r="B159" s="11" t="s">
        <v>10695</v>
      </c>
      <c r="C159" s="11" t="s">
        <v>13112</v>
      </c>
      <c r="D159" s="15">
        <v>0</v>
      </c>
      <c r="E159" s="15">
        <v>0</v>
      </c>
      <c r="F159" s="15">
        <v>0</v>
      </c>
      <c r="G159" s="15">
        <v>0</v>
      </c>
      <c r="H159" s="15">
        <v>0</v>
      </c>
      <c r="I159" s="15">
        <v>0</v>
      </c>
      <c r="J159" s="15">
        <v>0</v>
      </c>
      <c r="K159" s="15">
        <v>0</v>
      </c>
      <c r="L159" s="15">
        <v>0</v>
      </c>
      <c r="M159" s="15">
        <v>0</v>
      </c>
      <c r="N159" s="15">
        <v>3500</v>
      </c>
      <c r="O159" s="15">
        <v>3446</v>
      </c>
      <c r="Q159" s="11" t="s">
        <v>5337</v>
      </c>
    </row>
    <row r="160" spans="1:17">
      <c r="A160" s="775">
        <v>41</v>
      </c>
      <c r="B160" s="11" t="s">
        <v>13114</v>
      </c>
      <c r="C160" s="11" t="s">
        <v>13113</v>
      </c>
      <c r="D160" s="15">
        <v>0</v>
      </c>
      <c r="E160" s="15">
        <v>0</v>
      </c>
      <c r="F160" s="15">
        <v>0</v>
      </c>
      <c r="G160" s="15">
        <v>0</v>
      </c>
      <c r="H160" s="15">
        <v>0</v>
      </c>
      <c r="I160" s="15">
        <v>0</v>
      </c>
      <c r="J160" s="15">
        <v>0</v>
      </c>
      <c r="K160" s="15">
        <v>0</v>
      </c>
      <c r="L160" s="15">
        <v>0</v>
      </c>
      <c r="M160" s="15">
        <v>0</v>
      </c>
      <c r="N160" s="15">
        <v>8226</v>
      </c>
      <c r="O160" s="15">
        <v>8077</v>
      </c>
      <c r="Q160" s="11" t="s">
        <v>3806</v>
      </c>
    </row>
    <row r="161" spans="1:17">
      <c r="A161" s="775">
        <v>42</v>
      </c>
      <c r="B161" s="11" t="s">
        <v>13116</v>
      </c>
      <c r="C161" s="11" t="s">
        <v>13115</v>
      </c>
      <c r="D161" s="15">
        <v>0</v>
      </c>
      <c r="E161" s="15">
        <v>0</v>
      </c>
      <c r="F161" s="15">
        <v>0</v>
      </c>
      <c r="G161" s="15">
        <v>0</v>
      </c>
      <c r="H161" s="15">
        <v>0</v>
      </c>
      <c r="I161" s="15">
        <v>0</v>
      </c>
      <c r="J161" s="15">
        <v>0</v>
      </c>
      <c r="K161" s="15">
        <v>0</v>
      </c>
      <c r="L161" s="15">
        <v>0</v>
      </c>
      <c r="M161" s="15">
        <v>0</v>
      </c>
      <c r="N161" s="15">
        <v>3894</v>
      </c>
      <c r="O161" s="15">
        <v>3840</v>
      </c>
      <c r="Q161" s="11" t="s">
        <v>3806</v>
      </c>
    </row>
    <row r="162" spans="1:17">
      <c r="A162" s="775">
        <v>43</v>
      </c>
      <c r="B162" s="11" t="s">
        <v>13118</v>
      </c>
      <c r="C162" s="11" t="s">
        <v>13117</v>
      </c>
      <c r="D162" s="15">
        <v>0</v>
      </c>
      <c r="E162" s="15">
        <v>0</v>
      </c>
      <c r="F162" s="15">
        <v>0</v>
      </c>
      <c r="G162" s="15">
        <v>0</v>
      </c>
      <c r="H162" s="15">
        <v>0</v>
      </c>
      <c r="I162" s="15">
        <v>0</v>
      </c>
      <c r="J162" s="15">
        <v>0</v>
      </c>
      <c r="K162" s="15">
        <v>0</v>
      </c>
      <c r="L162" s="15">
        <v>0</v>
      </c>
      <c r="M162" s="15">
        <v>0</v>
      </c>
      <c r="N162" s="15">
        <v>10878</v>
      </c>
      <c r="O162" s="15">
        <v>10761</v>
      </c>
      <c r="Q162" s="11" t="s">
        <v>5337</v>
      </c>
    </row>
    <row r="163" spans="1:17">
      <c r="A163" s="775">
        <v>44</v>
      </c>
      <c r="B163" s="11" t="s">
        <v>1096</v>
      </c>
      <c r="C163" s="11" t="s">
        <v>13119</v>
      </c>
      <c r="D163" s="15">
        <v>0</v>
      </c>
      <c r="E163" s="15">
        <v>0</v>
      </c>
      <c r="F163" s="15">
        <v>0</v>
      </c>
      <c r="G163" s="15">
        <v>0</v>
      </c>
      <c r="H163" s="15">
        <v>0</v>
      </c>
      <c r="I163" s="15">
        <v>0</v>
      </c>
      <c r="J163" s="15">
        <v>0</v>
      </c>
      <c r="K163" s="15">
        <v>0</v>
      </c>
      <c r="L163" s="15">
        <v>0</v>
      </c>
      <c r="M163" s="15">
        <v>0</v>
      </c>
      <c r="N163" s="15">
        <v>6998</v>
      </c>
      <c r="O163" s="15">
        <v>6894</v>
      </c>
      <c r="Q163" s="11" t="s">
        <v>5336</v>
      </c>
    </row>
    <row r="164" spans="1:17" ht="15.75" thickBot="1">
      <c r="A164" s="775"/>
      <c r="C164" s="11" t="s">
        <v>13119</v>
      </c>
      <c r="D164" s="12">
        <v>0</v>
      </c>
      <c r="E164" s="12">
        <v>0</v>
      </c>
      <c r="F164" s="12">
        <v>0</v>
      </c>
      <c r="G164" s="12">
        <v>0</v>
      </c>
      <c r="H164" s="12">
        <v>0</v>
      </c>
      <c r="I164" s="12">
        <v>0</v>
      </c>
      <c r="J164" s="12">
        <v>0</v>
      </c>
      <c r="K164" s="12">
        <v>0</v>
      </c>
      <c r="L164" s="12">
        <v>0</v>
      </c>
      <c r="M164" s="12">
        <v>0</v>
      </c>
      <c r="N164" s="12">
        <v>1134</v>
      </c>
      <c r="O164" s="12">
        <v>1123</v>
      </c>
      <c r="Q164" s="11" t="s">
        <v>3806</v>
      </c>
    </row>
    <row r="165" spans="1:17" ht="15.75" thickBot="1">
      <c r="A165" s="775"/>
      <c r="C165" s="11" t="s">
        <v>13119</v>
      </c>
      <c r="D165" s="774">
        <f t="shared" ref="D165:N165" si="43">D163+D164</f>
        <v>0</v>
      </c>
      <c r="E165" s="774">
        <f t="shared" si="43"/>
        <v>0</v>
      </c>
      <c r="F165" s="774">
        <f t="shared" si="43"/>
        <v>0</v>
      </c>
      <c r="G165" s="774">
        <f t="shared" si="43"/>
        <v>0</v>
      </c>
      <c r="H165" s="774">
        <f t="shared" si="43"/>
        <v>0</v>
      </c>
      <c r="I165" s="774">
        <f t="shared" si="43"/>
        <v>0</v>
      </c>
      <c r="J165" s="774">
        <f t="shared" si="43"/>
        <v>0</v>
      </c>
      <c r="K165" s="774">
        <f t="shared" si="43"/>
        <v>0</v>
      </c>
      <c r="L165" s="774">
        <f t="shared" si="43"/>
        <v>0</v>
      </c>
      <c r="M165" s="774">
        <f t="shared" si="43"/>
        <v>0</v>
      </c>
      <c r="N165" s="774">
        <f t="shared" si="43"/>
        <v>8132</v>
      </c>
      <c r="O165" s="774">
        <f>O163+O164</f>
        <v>8017</v>
      </c>
    </row>
    <row r="166" spans="1:17">
      <c r="A166" s="775">
        <v>45</v>
      </c>
      <c r="B166" s="11" t="s">
        <v>13121</v>
      </c>
      <c r="C166" s="11" t="s">
        <v>13120</v>
      </c>
      <c r="D166" s="15">
        <v>0</v>
      </c>
      <c r="E166" s="15">
        <v>0</v>
      </c>
      <c r="F166" s="15">
        <v>0</v>
      </c>
      <c r="G166" s="15">
        <v>0</v>
      </c>
      <c r="H166" s="15">
        <v>0</v>
      </c>
      <c r="I166" s="15">
        <v>0</v>
      </c>
      <c r="J166" s="15">
        <v>0</v>
      </c>
      <c r="K166" s="15">
        <v>0</v>
      </c>
      <c r="L166" s="15">
        <v>0</v>
      </c>
      <c r="M166" s="15">
        <v>0</v>
      </c>
      <c r="N166" s="15">
        <v>6527</v>
      </c>
      <c r="O166" s="15">
        <v>6431</v>
      </c>
      <c r="Q166" s="11" t="s">
        <v>5335</v>
      </c>
    </row>
    <row r="167" spans="1:17" ht="15.75" thickBot="1">
      <c r="A167" s="775"/>
      <c r="C167" s="11" t="s">
        <v>13120</v>
      </c>
      <c r="D167" s="12">
        <v>0</v>
      </c>
      <c r="E167" s="12">
        <v>0</v>
      </c>
      <c r="F167" s="12">
        <v>0</v>
      </c>
      <c r="G167" s="12">
        <v>0</v>
      </c>
      <c r="H167" s="12">
        <v>0</v>
      </c>
      <c r="I167" s="12">
        <v>0</v>
      </c>
      <c r="J167" s="12">
        <v>0</v>
      </c>
      <c r="K167" s="12">
        <v>0</v>
      </c>
      <c r="L167" s="12">
        <v>0</v>
      </c>
      <c r="M167" s="12">
        <v>0</v>
      </c>
      <c r="N167" s="12">
        <v>1174</v>
      </c>
      <c r="O167" s="12">
        <v>1153</v>
      </c>
      <c r="Q167" s="11" t="s">
        <v>5337</v>
      </c>
    </row>
    <row r="168" spans="1:17" ht="15.75" thickBot="1">
      <c r="A168" s="775"/>
      <c r="C168" s="11" t="s">
        <v>13120</v>
      </c>
      <c r="D168" s="774">
        <f t="shared" ref="D168:N168" si="44">D166+D167</f>
        <v>0</v>
      </c>
      <c r="E168" s="774">
        <f t="shared" si="44"/>
        <v>0</v>
      </c>
      <c r="F168" s="774">
        <f t="shared" si="44"/>
        <v>0</v>
      </c>
      <c r="G168" s="774">
        <f t="shared" si="44"/>
        <v>0</v>
      </c>
      <c r="H168" s="774">
        <f t="shared" si="44"/>
        <v>0</v>
      </c>
      <c r="I168" s="774">
        <f t="shared" si="44"/>
        <v>0</v>
      </c>
      <c r="J168" s="774">
        <f t="shared" si="44"/>
        <v>0</v>
      </c>
      <c r="K168" s="774">
        <f t="shared" si="44"/>
        <v>0</v>
      </c>
      <c r="L168" s="774">
        <f t="shared" si="44"/>
        <v>0</v>
      </c>
      <c r="M168" s="774">
        <f t="shared" si="44"/>
        <v>0</v>
      </c>
      <c r="N168" s="774">
        <f t="shared" si="44"/>
        <v>7701</v>
      </c>
      <c r="O168" s="774">
        <f>O166+O167</f>
        <v>7584</v>
      </c>
    </row>
    <row r="169" spans="1:17">
      <c r="A169" s="775">
        <v>46</v>
      </c>
      <c r="B169" s="11" t="s">
        <v>13123</v>
      </c>
      <c r="C169" s="11" t="s">
        <v>13122</v>
      </c>
      <c r="D169" s="15">
        <v>0</v>
      </c>
      <c r="E169" s="15">
        <v>0</v>
      </c>
      <c r="F169" s="15">
        <v>0</v>
      </c>
      <c r="G169" s="15">
        <v>0</v>
      </c>
      <c r="H169" s="15">
        <v>0</v>
      </c>
      <c r="I169" s="15">
        <v>0</v>
      </c>
      <c r="J169" s="15">
        <v>0</v>
      </c>
      <c r="K169" s="15">
        <v>0</v>
      </c>
      <c r="L169" s="15">
        <v>0</v>
      </c>
      <c r="M169" s="15">
        <v>0</v>
      </c>
      <c r="N169" s="15">
        <v>3128</v>
      </c>
      <c r="O169" s="15">
        <v>3096</v>
      </c>
      <c r="Q169" s="11" t="s">
        <v>5335</v>
      </c>
    </row>
    <row r="170" spans="1:17">
      <c r="A170" s="775">
        <v>47</v>
      </c>
      <c r="B170" s="11" t="s">
        <v>13125</v>
      </c>
      <c r="C170" s="11" t="s">
        <v>13124</v>
      </c>
      <c r="D170" s="15">
        <v>0</v>
      </c>
      <c r="E170" s="15">
        <v>0</v>
      </c>
      <c r="F170" s="15">
        <v>0</v>
      </c>
      <c r="G170" s="15">
        <v>0</v>
      </c>
      <c r="H170" s="15">
        <v>0</v>
      </c>
      <c r="I170" s="15">
        <v>0</v>
      </c>
      <c r="J170" s="15">
        <v>0</v>
      </c>
      <c r="K170" s="15">
        <v>0</v>
      </c>
      <c r="L170" s="15">
        <v>0</v>
      </c>
      <c r="M170" s="15">
        <v>0</v>
      </c>
      <c r="N170" s="15">
        <v>1584</v>
      </c>
      <c r="O170" s="15">
        <v>1556</v>
      </c>
      <c r="Q170" s="11" t="s">
        <v>5336</v>
      </c>
    </row>
    <row r="171" spans="1:17" ht="15.75" thickBot="1">
      <c r="A171" s="775"/>
      <c r="C171" s="11" t="s">
        <v>13124</v>
      </c>
      <c r="D171" s="12">
        <v>0</v>
      </c>
      <c r="E171" s="12">
        <v>0</v>
      </c>
      <c r="F171" s="12">
        <v>0</v>
      </c>
      <c r="G171" s="12">
        <v>0</v>
      </c>
      <c r="H171" s="12">
        <v>0</v>
      </c>
      <c r="I171" s="12">
        <v>0</v>
      </c>
      <c r="J171" s="12">
        <v>0</v>
      </c>
      <c r="K171" s="12">
        <v>0</v>
      </c>
      <c r="L171" s="12">
        <v>0</v>
      </c>
      <c r="M171" s="12">
        <v>0</v>
      </c>
      <c r="N171" s="12">
        <v>5882</v>
      </c>
      <c r="O171" s="12">
        <v>5762</v>
      </c>
      <c r="Q171" s="11" t="s">
        <v>3806</v>
      </c>
    </row>
    <row r="172" spans="1:17" ht="15.75" thickBot="1">
      <c r="A172" s="775"/>
      <c r="C172" s="11" t="s">
        <v>13124</v>
      </c>
      <c r="D172" s="774">
        <f t="shared" ref="D172:N172" si="45">D170+D171</f>
        <v>0</v>
      </c>
      <c r="E172" s="774">
        <f t="shared" si="45"/>
        <v>0</v>
      </c>
      <c r="F172" s="774">
        <f t="shared" si="45"/>
        <v>0</v>
      </c>
      <c r="G172" s="774">
        <f t="shared" si="45"/>
        <v>0</v>
      </c>
      <c r="H172" s="774">
        <f t="shared" si="45"/>
        <v>0</v>
      </c>
      <c r="I172" s="774">
        <f t="shared" si="45"/>
        <v>0</v>
      </c>
      <c r="J172" s="774">
        <f t="shared" si="45"/>
        <v>0</v>
      </c>
      <c r="K172" s="774">
        <f t="shared" si="45"/>
        <v>0</v>
      </c>
      <c r="L172" s="774">
        <f t="shared" si="45"/>
        <v>0</v>
      </c>
      <c r="M172" s="774">
        <f t="shared" si="45"/>
        <v>0</v>
      </c>
      <c r="N172" s="774">
        <f t="shared" si="45"/>
        <v>7466</v>
      </c>
      <c r="O172" s="774">
        <f>O170+O171</f>
        <v>7318</v>
      </c>
    </row>
    <row r="173" spans="1:17">
      <c r="A173" s="775">
        <v>48</v>
      </c>
      <c r="B173" s="11" t="s">
        <v>13127</v>
      </c>
      <c r="C173" s="11" t="s">
        <v>13126</v>
      </c>
      <c r="D173" s="15">
        <v>0</v>
      </c>
      <c r="E173" s="15">
        <v>0</v>
      </c>
      <c r="F173" s="15">
        <v>0</v>
      </c>
      <c r="G173" s="15">
        <v>0</v>
      </c>
      <c r="H173" s="15">
        <v>0</v>
      </c>
      <c r="I173" s="15">
        <v>0</v>
      </c>
      <c r="J173" s="15">
        <v>0</v>
      </c>
      <c r="K173" s="15">
        <v>0</v>
      </c>
      <c r="L173" s="15">
        <v>0</v>
      </c>
      <c r="M173" s="15">
        <v>0</v>
      </c>
      <c r="N173" s="15">
        <v>6984</v>
      </c>
      <c r="O173" s="15">
        <v>6883</v>
      </c>
      <c r="Q173" s="11" t="s">
        <v>3806</v>
      </c>
    </row>
    <row r="174" spans="1:17">
      <c r="A174" s="775">
        <v>49</v>
      </c>
      <c r="B174" s="11" t="s">
        <v>6802</v>
      </c>
      <c r="C174" s="11" t="s">
        <v>13128</v>
      </c>
      <c r="D174" s="15">
        <v>0</v>
      </c>
      <c r="E174" s="15">
        <v>0</v>
      </c>
      <c r="F174" s="15">
        <v>0</v>
      </c>
      <c r="G174" s="15">
        <v>0</v>
      </c>
      <c r="H174" s="15">
        <v>0</v>
      </c>
      <c r="I174" s="15">
        <v>0</v>
      </c>
      <c r="J174" s="15">
        <v>0</v>
      </c>
      <c r="K174" s="15">
        <v>0</v>
      </c>
      <c r="L174" s="15">
        <v>0</v>
      </c>
      <c r="M174" s="15">
        <v>0</v>
      </c>
      <c r="N174" s="15">
        <v>5888</v>
      </c>
      <c r="O174" s="15">
        <v>5781</v>
      </c>
      <c r="Q174" s="11" t="s">
        <v>5336</v>
      </c>
    </row>
    <row r="175" spans="1:17">
      <c r="A175" s="775">
        <v>50</v>
      </c>
      <c r="B175" s="11" t="s">
        <v>13130</v>
      </c>
      <c r="C175" s="11" t="s">
        <v>13129</v>
      </c>
      <c r="D175" s="15">
        <v>0</v>
      </c>
      <c r="E175" s="15">
        <v>0</v>
      </c>
      <c r="F175" s="15">
        <v>0</v>
      </c>
      <c r="G175" s="15">
        <v>0</v>
      </c>
      <c r="H175" s="15">
        <v>0</v>
      </c>
      <c r="I175" s="15">
        <v>0</v>
      </c>
      <c r="J175" s="15">
        <v>0</v>
      </c>
      <c r="K175" s="15">
        <v>0</v>
      </c>
      <c r="L175" s="15">
        <v>0</v>
      </c>
      <c r="M175" s="15">
        <v>0</v>
      </c>
      <c r="N175" s="15">
        <v>205</v>
      </c>
      <c r="O175" s="15">
        <v>197</v>
      </c>
      <c r="Q175" s="11" t="s">
        <v>3806</v>
      </c>
    </row>
    <row r="176" spans="1:17" ht="15.75" thickBot="1">
      <c r="A176" s="775"/>
      <c r="C176" s="11" t="s">
        <v>13129</v>
      </c>
      <c r="D176" s="12">
        <v>0</v>
      </c>
      <c r="E176" s="12">
        <v>0</v>
      </c>
      <c r="F176" s="12">
        <v>0</v>
      </c>
      <c r="G176" s="12">
        <v>0</v>
      </c>
      <c r="H176" s="12">
        <v>0</v>
      </c>
      <c r="I176" s="12">
        <v>0</v>
      </c>
      <c r="J176" s="12">
        <v>0</v>
      </c>
      <c r="K176" s="12">
        <v>0</v>
      </c>
      <c r="L176" s="12">
        <v>0</v>
      </c>
      <c r="M176" s="12">
        <v>0</v>
      </c>
      <c r="N176" s="12">
        <v>3397</v>
      </c>
      <c r="O176" s="12">
        <v>3347</v>
      </c>
      <c r="Q176" s="11" t="s">
        <v>3807</v>
      </c>
    </row>
    <row r="177" spans="1:17" ht="15.75" thickBot="1">
      <c r="A177" s="775"/>
      <c r="C177" s="11" t="s">
        <v>13129</v>
      </c>
      <c r="D177" s="774">
        <f t="shared" ref="D177:N177" si="46">D175+D176</f>
        <v>0</v>
      </c>
      <c r="E177" s="774">
        <f t="shared" si="46"/>
        <v>0</v>
      </c>
      <c r="F177" s="774">
        <f t="shared" si="46"/>
        <v>0</v>
      </c>
      <c r="G177" s="774">
        <f t="shared" si="46"/>
        <v>0</v>
      </c>
      <c r="H177" s="774">
        <f t="shared" si="46"/>
        <v>0</v>
      </c>
      <c r="I177" s="774">
        <f t="shared" si="46"/>
        <v>0</v>
      </c>
      <c r="J177" s="774">
        <f t="shared" si="46"/>
        <v>0</v>
      </c>
      <c r="K177" s="774">
        <f t="shared" si="46"/>
        <v>0</v>
      </c>
      <c r="L177" s="774">
        <f t="shared" si="46"/>
        <v>0</v>
      </c>
      <c r="M177" s="774">
        <f t="shared" si="46"/>
        <v>0</v>
      </c>
      <c r="N177" s="774">
        <f t="shared" si="46"/>
        <v>3602</v>
      </c>
      <c r="O177" s="774">
        <f>O175+O176</f>
        <v>3544</v>
      </c>
    </row>
    <row r="178" spans="1:17">
      <c r="A178" s="775">
        <v>51</v>
      </c>
      <c r="B178" s="11" t="s">
        <v>13132</v>
      </c>
      <c r="C178" s="11" t="s">
        <v>13131</v>
      </c>
      <c r="D178" s="15">
        <v>0</v>
      </c>
      <c r="E178" s="15">
        <v>0</v>
      </c>
      <c r="F178" s="15">
        <v>0</v>
      </c>
      <c r="G178" s="15">
        <v>0</v>
      </c>
      <c r="H178" s="15">
        <v>0</v>
      </c>
      <c r="I178" s="15">
        <v>0</v>
      </c>
      <c r="J178" s="15">
        <v>0</v>
      </c>
      <c r="K178" s="15">
        <v>0</v>
      </c>
      <c r="L178" s="15">
        <v>0</v>
      </c>
      <c r="M178" s="15">
        <v>0</v>
      </c>
      <c r="N178" s="15">
        <v>3479</v>
      </c>
      <c r="O178" s="15">
        <v>3445</v>
      </c>
      <c r="Q178" s="11" t="s">
        <v>5337</v>
      </c>
    </row>
    <row r="179" spans="1:17">
      <c r="A179" s="775">
        <v>52</v>
      </c>
      <c r="B179" s="11" t="s">
        <v>13134</v>
      </c>
      <c r="C179" s="11" t="s">
        <v>13133</v>
      </c>
      <c r="D179" s="15">
        <v>0</v>
      </c>
      <c r="E179" s="15">
        <v>0</v>
      </c>
      <c r="F179" s="15">
        <v>0</v>
      </c>
      <c r="G179" s="15">
        <v>0</v>
      </c>
      <c r="H179" s="15">
        <v>0</v>
      </c>
      <c r="I179" s="15">
        <v>0</v>
      </c>
      <c r="J179" s="15">
        <v>0</v>
      </c>
      <c r="K179" s="15">
        <v>0</v>
      </c>
      <c r="L179" s="15">
        <v>0</v>
      </c>
      <c r="M179" s="15">
        <v>0</v>
      </c>
      <c r="N179" s="15">
        <v>4134</v>
      </c>
      <c r="O179" s="15">
        <v>4049</v>
      </c>
      <c r="Q179" s="11" t="s">
        <v>3807</v>
      </c>
    </row>
    <row r="181" spans="1:17">
      <c r="A181" s="11" t="s">
        <v>13137</v>
      </c>
    </row>
    <row r="183" spans="1:17">
      <c r="A183" s="11" t="s">
        <v>2462</v>
      </c>
      <c r="D183" s="15">
        <f>SUM(D123,D134,D135,D149,D166,D169)</f>
        <v>30192</v>
      </c>
      <c r="E183" s="15">
        <f t="shared" ref="E183:N183" si="47">SUM(E123,E134,E135,E149,E166,E169)</f>
        <v>30024</v>
      </c>
      <c r="F183" s="15">
        <f t="shared" si="47"/>
        <v>30326</v>
      </c>
      <c r="G183" s="15">
        <f t="shared" si="47"/>
        <v>30732</v>
      </c>
      <c r="H183" s="15">
        <f t="shared" si="47"/>
        <v>30865</v>
      </c>
      <c r="I183" s="15">
        <f t="shared" si="47"/>
        <v>29842</v>
      </c>
      <c r="J183" s="15">
        <f t="shared" si="47"/>
        <v>29697</v>
      </c>
      <c r="K183" s="15">
        <f t="shared" si="47"/>
        <v>30494</v>
      </c>
      <c r="L183" s="15">
        <f t="shared" si="47"/>
        <v>30486</v>
      </c>
      <c r="M183" s="15">
        <f t="shared" si="47"/>
        <v>30240</v>
      </c>
      <c r="N183" s="15">
        <f t="shared" si="47"/>
        <v>31720</v>
      </c>
      <c r="O183" s="15">
        <f>SUM(O123,O134,O135,O149,O166,O169)</f>
        <v>31362</v>
      </c>
    </row>
    <row r="184" spans="1:17">
      <c r="A184" s="11" t="s">
        <v>2461</v>
      </c>
      <c r="D184" s="15">
        <f>SUM(D124,D126,D140,D163,D170,D174)</f>
        <v>37219</v>
      </c>
      <c r="E184" s="15">
        <f t="shared" ref="E184:N184" si="48">SUM(E124,E126,E140,E163,E170,E174)</f>
        <v>37148</v>
      </c>
      <c r="F184" s="15">
        <f t="shared" si="48"/>
        <v>37131</v>
      </c>
      <c r="G184" s="15">
        <f t="shared" si="48"/>
        <v>37274</v>
      </c>
      <c r="H184" s="15">
        <f t="shared" si="48"/>
        <v>37333</v>
      </c>
      <c r="I184" s="15">
        <f t="shared" si="48"/>
        <v>36588</v>
      </c>
      <c r="J184" s="15">
        <f t="shared" si="48"/>
        <v>36148</v>
      </c>
      <c r="K184" s="15">
        <f t="shared" si="48"/>
        <v>37339</v>
      </c>
      <c r="L184" s="15">
        <f t="shared" si="48"/>
        <v>37056</v>
      </c>
      <c r="M184" s="15">
        <f t="shared" si="48"/>
        <v>36576</v>
      </c>
      <c r="N184" s="15">
        <f t="shared" si="48"/>
        <v>38423</v>
      </c>
      <c r="O184" s="15">
        <f>SUM(O124,O126,O140,O163,O170,O174)</f>
        <v>37938</v>
      </c>
    </row>
    <row r="185" spans="1:17">
      <c r="A185" s="11" t="s">
        <v>5337</v>
      </c>
      <c r="D185" s="15">
        <f>SUM(D110,D112,D113,D115,D127,D128,D136,D137,D144,D150,D152,D157,D158,D159,D162,D167,D178)</f>
        <v>74031</v>
      </c>
      <c r="E185" s="15">
        <f t="shared" ref="E185:N185" si="49">SUM(E110,E112,E113,E115,E127,E128,E136,E137,E144,E150,E152,E157,E158,E159,E162,E167,E178)</f>
        <v>73010</v>
      </c>
      <c r="F185" s="15">
        <f t="shared" si="49"/>
        <v>73935</v>
      </c>
      <c r="G185" s="15">
        <f t="shared" si="49"/>
        <v>74863</v>
      </c>
      <c r="H185" s="15">
        <f t="shared" si="49"/>
        <v>74477</v>
      </c>
      <c r="I185" s="15">
        <f t="shared" si="49"/>
        <v>72591</v>
      </c>
      <c r="J185" s="15">
        <f t="shared" si="49"/>
        <v>70440</v>
      </c>
      <c r="K185" s="15">
        <f t="shared" si="49"/>
        <v>74295</v>
      </c>
      <c r="L185" s="15">
        <f t="shared" si="49"/>
        <v>74687</v>
      </c>
      <c r="M185" s="15">
        <f t="shared" si="49"/>
        <v>73591</v>
      </c>
      <c r="N185" s="15">
        <f t="shared" si="49"/>
        <v>77277</v>
      </c>
      <c r="O185" s="15">
        <f>SUM(O110,O112,O113,O115,O127,O128,O136,O137,O144,O150,O152,O157,O158,O159,O162,O167,O178)</f>
        <v>76258</v>
      </c>
    </row>
    <row r="186" spans="1:17">
      <c r="A186" s="11" t="s">
        <v>3806</v>
      </c>
      <c r="D186" s="15">
        <f>SUM(D120,D129,D138,D142,D143,D147,D148,D156,D160,D161,D164,D171,D173,D175)</f>
        <v>73168</v>
      </c>
      <c r="E186" s="15">
        <f t="shared" ref="E186:N186" si="50">SUM(E120,E129,E138,E142,E143,E147,E148,E156,E160,E161,E164,E171,E173,E175)</f>
        <v>73499</v>
      </c>
      <c r="F186" s="15">
        <f t="shared" si="50"/>
        <v>73101</v>
      </c>
      <c r="G186" s="15">
        <f t="shared" si="50"/>
        <v>72915</v>
      </c>
      <c r="H186" s="15">
        <f t="shared" si="50"/>
        <v>71158</v>
      </c>
      <c r="I186" s="15">
        <f t="shared" si="50"/>
        <v>70486</v>
      </c>
      <c r="J186" s="15">
        <f t="shared" si="50"/>
        <v>68211</v>
      </c>
      <c r="K186" s="15">
        <f t="shared" si="50"/>
        <v>71155</v>
      </c>
      <c r="L186" s="15">
        <f t="shared" si="50"/>
        <v>71224</v>
      </c>
      <c r="M186" s="15">
        <f t="shared" si="50"/>
        <v>70790</v>
      </c>
      <c r="N186" s="15">
        <f t="shared" si="50"/>
        <v>74313</v>
      </c>
      <c r="O186" s="15">
        <f>SUM(O120,O129,O138,O142,O143,O147,O148,O156,O160,O161,O164,O171,O173,O175)</f>
        <v>73063</v>
      </c>
    </row>
    <row r="187" spans="1:17">
      <c r="A187" s="11" t="s">
        <v>3807</v>
      </c>
      <c r="D187" s="15">
        <f>SUM(D111,D114,D116,D118,D119,D121,D130,D131,D132,D133,D139,D141,D145,D151,D153,D155,D176,D179)</f>
        <v>76877</v>
      </c>
      <c r="E187" s="15">
        <f t="shared" ref="E187:N187" si="51">SUM(E111,E114,E116,E118,E119,E121,E130,E131,E132,E133,E139,E141,E145,E151,E153,E155,E176,E179)</f>
        <v>76779</v>
      </c>
      <c r="F187" s="15">
        <f t="shared" si="51"/>
        <v>77392</v>
      </c>
      <c r="G187" s="15">
        <f t="shared" si="51"/>
        <v>77596</v>
      </c>
      <c r="H187" s="15">
        <f t="shared" si="51"/>
        <v>77578</v>
      </c>
      <c r="I187" s="15">
        <f t="shared" si="51"/>
        <v>77624</v>
      </c>
      <c r="J187" s="15">
        <f t="shared" si="51"/>
        <v>74623</v>
      </c>
      <c r="K187" s="15">
        <f t="shared" si="51"/>
        <v>77474</v>
      </c>
      <c r="L187" s="15">
        <f t="shared" si="51"/>
        <v>78196</v>
      </c>
      <c r="M187" s="15">
        <f t="shared" si="51"/>
        <v>78240</v>
      </c>
      <c r="N187" s="15">
        <f t="shared" si="51"/>
        <v>82516</v>
      </c>
      <c r="O187" s="15">
        <f>SUM(O111,O114,O116,O118,O119,O121,O130,O131,O132,O133,O139,O141,O145,O151,O153,O155,O176,O179)</f>
        <v>81091</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5:D6 E5:E6 F5:F6 G5:I6 J5:J6 K5:K6 L5:L6 D9:D10 E9:E10 F9:F10 G9:I10 J9:J10 K9:K10 L9:L10 D12 D14 D21:D22 D24 F36:F39 L36:L39 D28 D17:D18 D26 D30 D32 D34"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Q158"/>
  <sheetViews>
    <sheetView showGridLines="0" topLeftCell="A145" zoomScale="90" zoomScaleNormal="90" workbookViewId="0">
      <selection activeCell="Q76" sqref="Q76"/>
    </sheetView>
  </sheetViews>
  <sheetFormatPr defaultColWidth="12.5703125" defaultRowHeight="15"/>
  <cols>
    <col min="1" max="1" width="4.85546875" style="161" customWidth="1"/>
    <col min="2" max="2" width="40.85546875" style="161" customWidth="1"/>
    <col min="3" max="3" width="11.5703125" style="161" customWidth="1"/>
    <col min="4" max="15" width="10" style="161" customWidth="1"/>
    <col min="16" max="16" width="2.28515625" style="161" customWidth="1"/>
    <col min="17" max="17" width="25.7109375" style="161" customWidth="1"/>
    <col min="18" max="16384" width="12.5703125" style="161"/>
  </cols>
  <sheetData>
    <row r="1" spans="1:17">
      <c r="A1" s="767" t="s">
        <v>6924</v>
      </c>
      <c r="D1" s="768">
        <v>2010</v>
      </c>
      <c r="E1" s="768">
        <v>2011</v>
      </c>
      <c r="F1" s="768">
        <v>2012</v>
      </c>
      <c r="G1" s="768">
        <v>2013</v>
      </c>
      <c r="H1" s="768">
        <v>2014</v>
      </c>
      <c r="I1" s="768">
        <v>2015</v>
      </c>
      <c r="J1" s="768">
        <v>2016</v>
      </c>
      <c r="K1" s="768">
        <v>2017</v>
      </c>
      <c r="L1" s="768">
        <v>2018</v>
      </c>
      <c r="M1" s="768">
        <v>2019</v>
      </c>
      <c r="N1" s="768">
        <v>2020</v>
      </c>
      <c r="O1" s="980" t="s">
        <v>14823</v>
      </c>
    </row>
    <row r="3" spans="1:17">
      <c r="A3" s="767" t="s">
        <v>803</v>
      </c>
      <c r="C3" s="767"/>
      <c r="D3" s="769">
        <f t="shared" ref="D3:I3" si="0">D39</f>
        <v>79460</v>
      </c>
      <c r="E3" s="769">
        <f t="shared" si="0"/>
        <v>78463</v>
      </c>
      <c r="F3" s="769">
        <f t="shared" si="0"/>
        <v>79127</v>
      </c>
      <c r="G3" s="769">
        <f t="shared" si="0"/>
        <v>79236</v>
      </c>
      <c r="H3" s="769">
        <f t="shared" si="0"/>
        <v>78571</v>
      </c>
      <c r="I3" s="769">
        <f t="shared" si="0"/>
        <v>76844</v>
      </c>
      <c r="J3" s="769">
        <f t="shared" ref="J3:O3" si="1">J39</f>
        <v>74929</v>
      </c>
      <c r="K3" s="769">
        <f t="shared" si="1"/>
        <v>76577</v>
      </c>
      <c r="L3" s="769">
        <f t="shared" si="1"/>
        <v>77458</v>
      </c>
      <c r="M3" s="769">
        <f t="shared" si="1"/>
        <v>76623</v>
      </c>
      <c r="N3" s="769">
        <f t="shared" si="1"/>
        <v>77578</v>
      </c>
      <c r="O3" s="769">
        <f t="shared" si="1"/>
        <v>78498</v>
      </c>
    </row>
    <row r="4" spans="1:17" ht="15.75" thickBot="1">
      <c r="A4" s="767" t="s">
        <v>804</v>
      </c>
      <c r="C4" s="767"/>
      <c r="D4" s="770">
        <f t="shared" ref="D4:I4" si="2">D73</f>
        <v>391444</v>
      </c>
      <c r="E4" s="770">
        <f t="shared" si="2"/>
        <v>404896</v>
      </c>
      <c r="F4" s="770">
        <f t="shared" si="2"/>
        <v>406894</v>
      </c>
      <c r="G4" s="770">
        <f t="shared" si="2"/>
        <v>407465</v>
      </c>
      <c r="H4" s="770">
        <f t="shared" si="2"/>
        <v>400686</v>
      </c>
      <c r="I4" s="770">
        <f t="shared" si="2"/>
        <v>374451</v>
      </c>
      <c r="J4" s="770">
        <f t="shared" ref="J4:O4" si="3">J73</f>
        <v>377715</v>
      </c>
      <c r="K4" s="770">
        <f t="shared" si="3"/>
        <v>386910</v>
      </c>
      <c r="L4" s="770">
        <f t="shared" si="3"/>
        <v>392746</v>
      </c>
      <c r="M4" s="770">
        <f t="shared" si="3"/>
        <v>381915</v>
      </c>
      <c r="N4" s="770">
        <f t="shared" si="3"/>
        <v>394433</v>
      </c>
      <c r="O4" s="770">
        <f t="shared" si="3"/>
        <v>393533</v>
      </c>
    </row>
    <row r="5" spans="1:17" ht="15.75" thickBot="1">
      <c r="D5" s="770">
        <f t="shared" ref="D5:I5" si="4">D3+D4</f>
        <v>470904</v>
      </c>
      <c r="E5" s="770">
        <f t="shared" si="4"/>
        <v>483359</v>
      </c>
      <c r="F5" s="770">
        <f t="shared" si="4"/>
        <v>486021</v>
      </c>
      <c r="G5" s="770">
        <f t="shared" si="4"/>
        <v>486701</v>
      </c>
      <c r="H5" s="770">
        <f t="shared" si="4"/>
        <v>479257</v>
      </c>
      <c r="I5" s="770">
        <f t="shared" si="4"/>
        <v>451295</v>
      </c>
      <c r="J5" s="770">
        <f t="shared" ref="J5:O5" si="5">J3+J4</f>
        <v>452644</v>
      </c>
      <c r="K5" s="770">
        <f t="shared" si="5"/>
        <v>463487</v>
      </c>
      <c r="L5" s="770">
        <f t="shared" si="5"/>
        <v>470204</v>
      </c>
      <c r="M5" s="770">
        <f t="shared" si="5"/>
        <v>458538</v>
      </c>
      <c r="N5" s="770">
        <f t="shared" si="5"/>
        <v>472011</v>
      </c>
      <c r="O5" s="770">
        <f t="shared" si="5"/>
        <v>472031</v>
      </c>
    </row>
    <row r="6" spans="1:17">
      <c r="D6" s="771"/>
      <c r="E6" s="771"/>
      <c r="F6" s="771"/>
      <c r="G6" s="771"/>
      <c r="H6" s="771"/>
      <c r="I6" s="771"/>
      <c r="J6" s="771"/>
      <c r="K6" s="771"/>
      <c r="L6" s="771"/>
      <c r="M6" s="771"/>
      <c r="N6" s="771"/>
      <c r="O6" s="771"/>
    </row>
    <row r="7" spans="1:17">
      <c r="A7" s="767" t="s">
        <v>1490</v>
      </c>
      <c r="D7" s="772">
        <f t="shared" ref="D7:I7" si="6">D3/1</f>
        <v>79460</v>
      </c>
      <c r="E7" s="772">
        <f t="shared" si="6"/>
        <v>78463</v>
      </c>
      <c r="F7" s="772">
        <f t="shared" si="6"/>
        <v>79127</v>
      </c>
      <c r="G7" s="772">
        <f t="shared" si="6"/>
        <v>79236</v>
      </c>
      <c r="H7" s="772">
        <f t="shared" si="6"/>
        <v>78571</v>
      </c>
      <c r="I7" s="772">
        <f t="shared" si="6"/>
        <v>76844</v>
      </c>
      <c r="J7" s="772">
        <f t="shared" ref="J7:O7" si="7">J3/1</f>
        <v>74929</v>
      </c>
      <c r="K7" s="772">
        <f t="shared" si="7"/>
        <v>76577</v>
      </c>
      <c r="L7" s="772">
        <f t="shared" si="7"/>
        <v>77458</v>
      </c>
      <c r="M7" s="772">
        <f t="shared" si="7"/>
        <v>76623</v>
      </c>
      <c r="N7" s="772">
        <f t="shared" si="7"/>
        <v>77578</v>
      </c>
      <c r="O7" s="772">
        <f t="shared" si="7"/>
        <v>78498</v>
      </c>
    </row>
    <row r="8" spans="1:17">
      <c r="A8" s="767" t="s">
        <v>9505</v>
      </c>
      <c r="D8" s="772">
        <f t="shared" ref="D8:I8" si="8">D4/5</f>
        <v>78288.800000000003</v>
      </c>
      <c r="E8" s="772">
        <f t="shared" si="8"/>
        <v>80979.199999999997</v>
      </c>
      <c r="F8" s="772">
        <f t="shared" si="8"/>
        <v>81378.8</v>
      </c>
      <c r="G8" s="772">
        <f t="shared" si="8"/>
        <v>81493</v>
      </c>
      <c r="H8" s="772">
        <f t="shared" si="8"/>
        <v>80137.2</v>
      </c>
      <c r="I8" s="772">
        <f t="shared" si="8"/>
        <v>74890.2</v>
      </c>
      <c r="J8" s="772">
        <f t="shared" ref="J8:O8" si="9">J4/5</f>
        <v>75543</v>
      </c>
      <c r="K8" s="772">
        <f t="shared" si="9"/>
        <v>77382</v>
      </c>
      <c r="L8" s="772">
        <f t="shared" si="9"/>
        <v>78549.2</v>
      </c>
      <c r="M8" s="772">
        <f t="shared" si="9"/>
        <v>76383</v>
      </c>
      <c r="N8" s="772">
        <f t="shared" si="9"/>
        <v>78886.600000000006</v>
      </c>
      <c r="O8" s="772">
        <f t="shared" si="9"/>
        <v>78706.600000000006</v>
      </c>
    </row>
    <row r="9" spans="1:17">
      <c r="A9" s="767" t="s">
        <v>5868</v>
      </c>
      <c r="D9" s="772">
        <f t="shared" ref="D9:I9" si="10">D5/6</f>
        <v>78484</v>
      </c>
      <c r="E9" s="772">
        <f t="shared" si="10"/>
        <v>80559.833333333328</v>
      </c>
      <c r="F9" s="772">
        <f t="shared" si="10"/>
        <v>81003.5</v>
      </c>
      <c r="G9" s="772">
        <f t="shared" si="10"/>
        <v>81116.833333333328</v>
      </c>
      <c r="H9" s="772">
        <f t="shared" si="10"/>
        <v>79876.166666666672</v>
      </c>
      <c r="I9" s="772">
        <f t="shared" si="10"/>
        <v>75215.833333333328</v>
      </c>
      <c r="J9" s="772">
        <f t="shared" ref="J9:O9" si="11">J5/6</f>
        <v>75440.666666666672</v>
      </c>
      <c r="K9" s="772">
        <f t="shared" si="11"/>
        <v>77247.833333333328</v>
      </c>
      <c r="L9" s="772">
        <f t="shared" si="11"/>
        <v>78367.333333333328</v>
      </c>
      <c r="M9" s="772">
        <f t="shared" si="11"/>
        <v>76423</v>
      </c>
      <c r="N9" s="772">
        <f t="shared" si="11"/>
        <v>78668.5</v>
      </c>
      <c r="O9" s="772">
        <f t="shared" si="11"/>
        <v>78671.833333333328</v>
      </c>
    </row>
    <row r="10" spans="1:17">
      <c r="D10" s="771"/>
      <c r="E10" s="771"/>
      <c r="F10" s="771"/>
      <c r="G10" s="771"/>
      <c r="H10" s="771"/>
      <c r="I10" s="771"/>
      <c r="J10" s="771"/>
      <c r="K10" s="771"/>
      <c r="L10" s="771"/>
      <c r="M10" s="771"/>
      <c r="N10" s="771"/>
      <c r="O10" s="771"/>
    </row>
    <row r="11" spans="1:17">
      <c r="A11" s="767" t="s">
        <v>1491</v>
      </c>
      <c r="D11" s="772">
        <f t="shared" ref="D11:I11" si="12">D151</f>
        <v>68170</v>
      </c>
      <c r="E11" s="772">
        <f t="shared" si="12"/>
        <v>68501</v>
      </c>
      <c r="F11" s="772">
        <f t="shared" si="12"/>
        <v>69096</v>
      </c>
      <c r="G11" s="772">
        <f t="shared" si="12"/>
        <v>69397</v>
      </c>
      <c r="H11" s="772">
        <f t="shared" si="12"/>
        <v>68525</v>
      </c>
      <c r="I11" s="772">
        <f t="shared" si="12"/>
        <v>64953</v>
      </c>
      <c r="J11" s="772">
        <f t="shared" ref="J11:O11" si="13">J151</f>
        <v>65234</v>
      </c>
      <c r="K11" s="772">
        <f t="shared" si="13"/>
        <v>66825</v>
      </c>
      <c r="L11" s="772">
        <f t="shared" si="13"/>
        <v>67151</v>
      </c>
      <c r="M11" s="772">
        <f t="shared" si="13"/>
        <v>67037</v>
      </c>
      <c r="N11" s="772">
        <f t="shared" si="13"/>
        <v>68545</v>
      </c>
      <c r="O11" s="772">
        <f t="shared" si="13"/>
        <v>68478</v>
      </c>
      <c r="Q11" s="767" t="s">
        <v>1492</v>
      </c>
    </row>
    <row r="12" spans="1:17">
      <c r="D12" s="771"/>
      <c r="E12" s="771"/>
      <c r="F12" s="771"/>
      <c r="G12" s="771"/>
      <c r="H12" s="771"/>
      <c r="I12" s="771"/>
      <c r="J12" s="771"/>
      <c r="K12" s="771"/>
      <c r="L12" s="771"/>
      <c r="M12" s="771"/>
      <c r="N12" s="771"/>
      <c r="O12" s="771"/>
    </row>
    <row r="13" spans="1:17">
      <c r="A13" s="767" t="s">
        <v>1493</v>
      </c>
      <c r="D13" s="772">
        <f t="shared" ref="D13:I13" si="14">D152</f>
        <v>67642</v>
      </c>
      <c r="E13" s="772">
        <f t="shared" si="14"/>
        <v>72659</v>
      </c>
      <c r="F13" s="772">
        <f t="shared" si="14"/>
        <v>73567</v>
      </c>
      <c r="G13" s="772">
        <f t="shared" si="14"/>
        <v>73679</v>
      </c>
      <c r="H13" s="772">
        <f t="shared" si="14"/>
        <v>73036</v>
      </c>
      <c r="I13" s="772">
        <f t="shared" si="14"/>
        <v>64614</v>
      </c>
      <c r="J13" s="772">
        <f t="shared" ref="J13:O13" si="15">J152</f>
        <v>66618</v>
      </c>
      <c r="K13" s="772">
        <f t="shared" si="15"/>
        <v>68508</v>
      </c>
      <c r="L13" s="772">
        <f t="shared" si="15"/>
        <v>73538</v>
      </c>
      <c r="M13" s="772">
        <f t="shared" si="15"/>
        <v>65232</v>
      </c>
      <c r="N13" s="772">
        <f t="shared" si="15"/>
        <v>71696</v>
      </c>
      <c r="O13" s="772">
        <f t="shared" si="15"/>
        <v>71482</v>
      </c>
      <c r="Q13" s="767" t="s">
        <v>1492</v>
      </c>
    </row>
    <row r="14" spans="1:17">
      <c r="D14" s="771"/>
      <c r="E14" s="771"/>
      <c r="F14" s="771"/>
      <c r="G14" s="771"/>
      <c r="H14" s="771"/>
      <c r="I14" s="771"/>
      <c r="J14" s="771"/>
      <c r="K14" s="771"/>
      <c r="L14" s="771"/>
      <c r="M14" s="771"/>
      <c r="N14" s="771"/>
      <c r="O14" s="771"/>
    </row>
    <row r="15" spans="1:17">
      <c r="A15" s="767" t="s">
        <v>1494</v>
      </c>
      <c r="D15" s="772">
        <f t="shared" ref="D15:I15" si="16">D65</f>
        <v>68508</v>
      </c>
      <c r="E15" s="772">
        <f t="shared" si="16"/>
        <v>67476</v>
      </c>
      <c r="F15" s="772">
        <f t="shared" si="16"/>
        <v>67928</v>
      </c>
      <c r="G15" s="772">
        <f t="shared" si="16"/>
        <v>67998</v>
      </c>
      <c r="H15" s="772">
        <f t="shared" si="16"/>
        <v>67273</v>
      </c>
      <c r="I15" s="772">
        <f t="shared" si="16"/>
        <v>65769</v>
      </c>
      <c r="J15" s="772">
        <f t="shared" ref="J15:O15" si="17">J65</f>
        <v>63995</v>
      </c>
      <c r="K15" s="772">
        <f t="shared" si="17"/>
        <v>65342</v>
      </c>
      <c r="L15" s="772">
        <f t="shared" si="17"/>
        <v>66193</v>
      </c>
      <c r="M15" s="772">
        <f t="shared" si="17"/>
        <v>65286</v>
      </c>
      <c r="N15" s="772">
        <f t="shared" si="17"/>
        <v>65969</v>
      </c>
      <c r="O15" s="772">
        <f t="shared" si="17"/>
        <v>66729</v>
      </c>
      <c r="Q15" s="767" t="s">
        <v>1495</v>
      </c>
    </row>
    <row r="16" spans="1:17">
      <c r="D16" s="771"/>
      <c r="E16" s="771"/>
      <c r="F16" s="771"/>
      <c r="G16" s="771"/>
      <c r="H16" s="771"/>
      <c r="I16" s="771"/>
      <c r="J16" s="771"/>
      <c r="K16" s="771"/>
      <c r="L16" s="771"/>
      <c r="M16" s="771"/>
      <c r="N16" s="771"/>
      <c r="O16" s="771"/>
    </row>
    <row r="17" spans="1:17">
      <c r="A17" s="767" t="s">
        <v>1496</v>
      </c>
      <c r="D17" s="772">
        <f t="shared" ref="D17:I17" si="18">D153</f>
        <v>63387</v>
      </c>
      <c r="E17" s="772">
        <f t="shared" si="18"/>
        <v>65618</v>
      </c>
      <c r="F17" s="772">
        <f t="shared" si="18"/>
        <v>66096</v>
      </c>
      <c r="G17" s="772">
        <f t="shared" si="18"/>
        <v>66164</v>
      </c>
      <c r="H17" s="772">
        <f t="shared" si="18"/>
        <v>64884</v>
      </c>
      <c r="I17" s="772">
        <f t="shared" si="18"/>
        <v>60820</v>
      </c>
      <c r="J17" s="772">
        <f t="shared" ref="J17:O17" si="19">J153</f>
        <v>60833</v>
      </c>
      <c r="K17" s="772">
        <f t="shared" si="19"/>
        <v>61870</v>
      </c>
      <c r="L17" s="772">
        <f t="shared" si="19"/>
        <v>61851</v>
      </c>
      <c r="M17" s="772">
        <f t="shared" si="19"/>
        <v>60895</v>
      </c>
      <c r="N17" s="772">
        <f t="shared" si="19"/>
        <v>61535</v>
      </c>
      <c r="O17" s="772">
        <f t="shared" si="19"/>
        <v>61335</v>
      </c>
      <c r="Q17" s="767" t="s">
        <v>1492</v>
      </c>
    </row>
    <row r="18" spans="1:17">
      <c r="D18" s="771"/>
      <c r="E18" s="771"/>
      <c r="F18" s="771"/>
      <c r="G18" s="771"/>
      <c r="H18" s="771"/>
      <c r="I18" s="771"/>
      <c r="J18" s="771"/>
      <c r="K18" s="771"/>
      <c r="L18" s="771"/>
      <c r="M18" s="771"/>
      <c r="N18" s="771"/>
      <c r="O18" s="771"/>
    </row>
    <row r="19" spans="1:17">
      <c r="A19" s="767" t="s">
        <v>1497</v>
      </c>
      <c r="D19" s="772">
        <f t="shared" ref="D19:I19" si="20">D154</f>
        <v>67284</v>
      </c>
      <c r="E19" s="772">
        <f t="shared" si="20"/>
        <v>68959</v>
      </c>
      <c r="F19" s="772">
        <f t="shared" si="20"/>
        <v>69697</v>
      </c>
      <c r="G19" s="772">
        <f t="shared" si="20"/>
        <v>69808</v>
      </c>
      <c r="H19" s="772">
        <f t="shared" si="20"/>
        <v>68294</v>
      </c>
      <c r="I19" s="772">
        <f t="shared" si="20"/>
        <v>64406</v>
      </c>
      <c r="J19" s="772">
        <f t="shared" ref="J19:O19" si="21">J154</f>
        <v>64810</v>
      </c>
      <c r="K19" s="772">
        <f t="shared" si="21"/>
        <v>66404</v>
      </c>
      <c r="L19" s="772">
        <f t="shared" si="21"/>
        <v>66386</v>
      </c>
      <c r="M19" s="772">
        <f t="shared" si="21"/>
        <v>66050</v>
      </c>
      <c r="N19" s="772">
        <f t="shared" si="21"/>
        <v>67173</v>
      </c>
      <c r="O19" s="772">
        <f t="shared" si="21"/>
        <v>66994</v>
      </c>
      <c r="Q19" s="767" t="s">
        <v>1492</v>
      </c>
    </row>
    <row r="20" spans="1:17">
      <c r="D20" s="771"/>
      <c r="E20" s="771"/>
      <c r="F20" s="771"/>
      <c r="G20" s="771"/>
      <c r="H20" s="771"/>
      <c r="I20" s="771"/>
      <c r="J20" s="771"/>
      <c r="K20" s="771"/>
      <c r="L20" s="771"/>
      <c r="M20" s="771"/>
      <c r="N20" s="771"/>
      <c r="O20" s="771"/>
    </row>
    <row r="21" spans="1:17">
      <c r="A21" s="767" t="s">
        <v>1498</v>
      </c>
      <c r="D21" s="772">
        <f t="shared" ref="D21:I21" si="22">D155</f>
        <v>70167</v>
      </c>
      <c r="E21" s="772">
        <f t="shared" si="22"/>
        <v>72760</v>
      </c>
      <c r="F21" s="772">
        <f t="shared" si="22"/>
        <v>72615</v>
      </c>
      <c r="G21" s="772">
        <f t="shared" si="22"/>
        <v>72742</v>
      </c>
      <c r="H21" s="772">
        <f t="shared" si="22"/>
        <v>71776</v>
      </c>
      <c r="I21" s="772">
        <f t="shared" si="22"/>
        <v>68615</v>
      </c>
      <c r="J21" s="772">
        <f t="shared" ref="J21:O21" si="23">J155</f>
        <v>69094</v>
      </c>
      <c r="K21" s="772">
        <f t="shared" si="23"/>
        <v>71244</v>
      </c>
      <c r="L21" s="772">
        <f t="shared" si="23"/>
        <v>71567</v>
      </c>
      <c r="M21" s="772">
        <f t="shared" si="23"/>
        <v>70842</v>
      </c>
      <c r="N21" s="772">
        <f t="shared" si="23"/>
        <v>72560</v>
      </c>
      <c r="O21" s="772">
        <f t="shared" si="23"/>
        <v>72432</v>
      </c>
      <c r="Q21" s="767" t="s">
        <v>1492</v>
      </c>
    </row>
    <row r="22" spans="1:17">
      <c r="D22" s="771"/>
      <c r="E22" s="771"/>
      <c r="F22" s="771"/>
      <c r="G22" s="771"/>
      <c r="H22" s="771"/>
      <c r="I22" s="771"/>
      <c r="J22" s="771"/>
      <c r="K22" s="771"/>
      <c r="L22" s="771"/>
      <c r="M22" s="771"/>
      <c r="N22" s="771"/>
      <c r="O22" s="771"/>
    </row>
    <row r="23" spans="1:17">
      <c r="A23" s="767" t="s">
        <v>1499</v>
      </c>
      <c r="D23" s="772">
        <f t="shared" ref="D23:I23" si="24">D66</f>
        <v>10952</v>
      </c>
      <c r="E23" s="772">
        <f t="shared" si="24"/>
        <v>10987</v>
      </c>
      <c r="F23" s="772">
        <f t="shared" si="24"/>
        <v>11199</v>
      </c>
      <c r="G23" s="772">
        <f t="shared" si="24"/>
        <v>11238</v>
      </c>
      <c r="H23" s="772">
        <f t="shared" si="24"/>
        <v>11298</v>
      </c>
      <c r="I23" s="772">
        <f t="shared" si="24"/>
        <v>11075</v>
      </c>
      <c r="J23" s="772">
        <f t="shared" ref="J23:O23" si="25">J66</f>
        <v>10934</v>
      </c>
      <c r="K23" s="772">
        <f t="shared" si="25"/>
        <v>11235</v>
      </c>
      <c r="L23" s="772">
        <f t="shared" si="25"/>
        <v>11265</v>
      </c>
      <c r="M23" s="772">
        <f t="shared" si="25"/>
        <v>11337</v>
      </c>
      <c r="N23" s="772">
        <f t="shared" si="25"/>
        <v>11609</v>
      </c>
      <c r="O23" s="772">
        <f t="shared" si="25"/>
        <v>11769</v>
      </c>
      <c r="Q23" s="767" t="s">
        <v>1495</v>
      </c>
    </row>
    <row r="24" spans="1:17" ht="15.75" thickBot="1">
      <c r="D24" s="770">
        <f t="shared" ref="D24:I24" si="26">D156</f>
        <v>54794</v>
      </c>
      <c r="E24" s="770">
        <f t="shared" si="26"/>
        <v>56399</v>
      </c>
      <c r="F24" s="770">
        <f t="shared" si="26"/>
        <v>55823</v>
      </c>
      <c r="G24" s="770">
        <f t="shared" si="26"/>
        <v>55675</v>
      </c>
      <c r="H24" s="770">
        <f t="shared" si="26"/>
        <v>54171</v>
      </c>
      <c r="I24" s="770">
        <f t="shared" si="26"/>
        <v>51043</v>
      </c>
      <c r="J24" s="770">
        <f t="shared" ref="J24:O24" si="27">J156</f>
        <v>51126</v>
      </c>
      <c r="K24" s="770">
        <f t="shared" si="27"/>
        <v>52059</v>
      </c>
      <c r="L24" s="770">
        <f t="shared" si="27"/>
        <v>52253</v>
      </c>
      <c r="M24" s="770">
        <f t="shared" si="27"/>
        <v>51859</v>
      </c>
      <c r="N24" s="770">
        <f t="shared" si="27"/>
        <v>52924</v>
      </c>
      <c r="O24" s="770">
        <f t="shared" si="27"/>
        <v>52812</v>
      </c>
      <c r="Q24" s="767" t="s">
        <v>1492</v>
      </c>
    </row>
    <row r="25" spans="1:17" ht="15.75" thickBot="1">
      <c r="D25" s="770">
        <f t="shared" ref="D25:I25" si="28">SUM(D23:D24)</f>
        <v>65746</v>
      </c>
      <c r="E25" s="770">
        <f t="shared" si="28"/>
        <v>67386</v>
      </c>
      <c r="F25" s="770">
        <f t="shared" si="28"/>
        <v>67022</v>
      </c>
      <c r="G25" s="770">
        <f t="shared" si="28"/>
        <v>66913</v>
      </c>
      <c r="H25" s="770">
        <f t="shared" si="28"/>
        <v>65469</v>
      </c>
      <c r="I25" s="770">
        <f t="shared" si="28"/>
        <v>62118</v>
      </c>
      <c r="J25" s="770">
        <f t="shared" ref="J25:O25" si="29">SUM(J23:J24)</f>
        <v>62060</v>
      </c>
      <c r="K25" s="770">
        <f t="shared" si="29"/>
        <v>63294</v>
      </c>
      <c r="L25" s="770">
        <f t="shared" si="29"/>
        <v>63518</v>
      </c>
      <c r="M25" s="770">
        <f t="shared" si="29"/>
        <v>63196</v>
      </c>
      <c r="N25" s="770">
        <f t="shared" si="29"/>
        <v>64533</v>
      </c>
      <c r="O25" s="770">
        <f t="shared" si="29"/>
        <v>64581</v>
      </c>
    </row>
    <row r="26" spans="1:17">
      <c r="D26" s="771"/>
      <c r="E26" s="771"/>
      <c r="F26" s="771"/>
      <c r="G26" s="771"/>
      <c r="H26" s="771"/>
      <c r="I26" s="771"/>
      <c r="J26" s="771"/>
      <c r="K26" s="771"/>
      <c r="L26" s="771"/>
      <c r="M26" s="771"/>
      <c r="N26" s="771"/>
      <c r="O26" s="771"/>
    </row>
    <row r="27" spans="1:17">
      <c r="A27" s="767" t="s">
        <v>6796</v>
      </c>
      <c r="D27" s="772">
        <f t="shared" ref="D27:I27" si="30">D11+D13+D15+D17+D19+D21+D25</f>
        <v>470904</v>
      </c>
      <c r="E27" s="772">
        <f t="shared" si="30"/>
        <v>483359</v>
      </c>
      <c r="F27" s="772">
        <f t="shared" si="30"/>
        <v>486021</v>
      </c>
      <c r="G27" s="772">
        <f t="shared" si="30"/>
        <v>486701</v>
      </c>
      <c r="H27" s="772">
        <f t="shared" si="30"/>
        <v>479257</v>
      </c>
      <c r="I27" s="772">
        <f t="shared" si="30"/>
        <v>451295</v>
      </c>
      <c r="J27" s="772">
        <f t="shared" ref="J27:O27" si="31">J11+J13+J15+J17+J19+J21+J25</f>
        <v>452644</v>
      </c>
      <c r="K27" s="772">
        <f t="shared" si="31"/>
        <v>463487</v>
      </c>
      <c r="L27" s="772">
        <f t="shared" si="31"/>
        <v>470204</v>
      </c>
      <c r="M27" s="772">
        <f t="shared" si="31"/>
        <v>458538</v>
      </c>
      <c r="N27" s="772">
        <f t="shared" si="31"/>
        <v>472011</v>
      </c>
      <c r="O27" s="772">
        <f t="shared" si="31"/>
        <v>472031</v>
      </c>
    </row>
    <row r="28" spans="1:17">
      <c r="D28" s="771"/>
      <c r="E28" s="771"/>
      <c r="F28" s="771"/>
      <c r="G28" s="771"/>
      <c r="H28" s="771"/>
      <c r="I28" s="771"/>
      <c r="J28" s="771"/>
      <c r="K28" s="771"/>
      <c r="L28" s="771"/>
      <c r="M28" s="771"/>
      <c r="N28" s="771"/>
      <c r="O28" s="771"/>
    </row>
    <row r="29" spans="1:17">
      <c r="A29" s="767" t="s">
        <v>6797</v>
      </c>
      <c r="D29" s="772">
        <f t="shared" ref="D29:I29" si="32">MAXA(D11,D13,D15,D17,D19,D21,D25)-MINA(D11,D13,D15,D17,D19,D21,D25)</f>
        <v>6780</v>
      </c>
      <c r="E29" s="772">
        <f t="shared" si="32"/>
        <v>7142</v>
      </c>
      <c r="F29" s="772">
        <f t="shared" si="32"/>
        <v>7471</v>
      </c>
      <c r="G29" s="772">
        <f t="shared" si="32"/>
        <v>7515</v>
      </c>
      <c r="H29" s="772">
        <f t="shared" si="32"/>
        <v>8152</v>
      </c>
      <c r="I29" s="772">
        <f t="shared" si="32"/>
        <v>7795</v>
      </c>
      <c r="J29" s="772">
        <f t="shared" ref="J29:O29" si="33">MAXA(J11,J13,J15,J17,J19,J21,J25)-MINA(J11,J13,J15,J17,J19,J21,J25)</f>
        <v>8261</v>
      </c>
      <c r="K29" s="772">
        <f t="shared" si="33"/>
        <v>9374</v>
      </c>
      <c r="L29" s="772">
        <f t="shared" si="33"/>
        <v>11687</v>
      </c>
      <c r="M29" s="772">
        <f t="shared" si="33"/>
        <v>9947</v>
      </c>
      <c r="N29" s="772">
        <f t="shared" si="33"/>
        <v>11025</v>
      </c>
      <c r="O29" s="772">
        <f t="shared" si="33"/>
        <v>11097</v>
      </c>
    </row>
    <row r="30" spans="1:17">
      <c r="D30" s="771"/>
      <c r="E30" s="771"/>
      <c r="F30" s="771"/>
      <c r="G30" s="771"/>
      <c r="H30" s="771"/>
      <c r="I30" s="771"/>
      <c r="J30" s="771"/>
      <c r="K30" s="771"/>
      <c r="L30" s="771"/>
      <c r="M30" s="771"/>
      <c r="N30" s="771"/>
      <c r="O30" s="771"/>
    </row>
    <row r="31" spans="1:17">
      <c r="A31" s="767" t="s">
        <v>6800</v>
      </c>
      <c r="D31" s="772">
        <f t="shared" ref="D31:I31" si="34">STDEVPA(D11,D13,D15,D17,D19,D21,D25)</f>
        <v>2009.7643785137743</v>
      </c>
      <c r="E31" s="772">
        <f t="shared" si="34"/>
        <v>2510.6529437741156</v>
      </c>
      <c r="F31" s="772">
        <f t="shared" si="34"/>
        <v>2580.4718758476747</v>
      </c>
      <c r="G31" s="772">
        <f t="shared" si="34"/>
        <v>2622.7514295534165</v>
      </c>
      <c r="H31" s="772">
        <f t="shared" si="34"/>
        <v>2805.8623178871012</v>
      </c>
      <c r="I31" s="772">
        <f t="shared" si="34"/>
        <v>2329.3453227576761</v>
      </c>
      <c r="J31" s="772">
        <f t="shared" ref="J31:O31" si="35">STDEVPA(J11,J13,J15,J17,J19,J21,J25)</f>
        <v>2554.9438829254077</v>
      </c>
      <c r="K31" s="772">
        <f t="shared" si="35"/>
        <v>2906.393437978852</v>
      </c>
      <c r="L31" s="772">
        <f t="shared" si="35"/>
        <v>3837.473424756748</v>
      </c>
      <c r="M31" s="772">
        <f t="shared" si="35"/>
        <v>2874.3617357171838</v>
      </c>
      <c r="N31" s="772">
        <f t="shared" si="35"/>
        <v>3607.5928828185793</v>
      </c>
      <c r="O31" s="772">
        <f t="shared" si="35"/>
        <v>3555.3635940244262</v>
      </c>
    </row>
    <row r="33" spans="1:17">
      <c r="A33" s="767" t="s">
        <v>4332</v>
      </c>
    </row>
    <row r="34" spans="1:17">
      <c r="A34" s="767" t="s">
        <v>4333</v>
      </c>
    </row>
    <row r="35" spans="1:17">
      <c r="A35" s="767"/>
    </row>
    <row r="37" spans="1:17">
      <c r="E37" s="40" t="s">
        <v>1526</v>
      </c>
      <c r="F37" s="40"/>
      <c r="G37" s="40"/>
      <c r="H37" s="40"/>
      <c r="I37" s="40"/>
      <c r="J37" s="40"/>
      <c r="K37" s="40"/>
      <c r="L37" s="40"/>
      <c r="M37" s="40"/>
      <c r="N37" s="40"/>
      <c r="O37" s="40"/>
      <c r="P37" s="52"/>
      <c r="Q37" s="53" t="s">
        <v>9479</v>
      </c>
    </row>
    <row r="38" spans="1:17">
      <c r="D38" s="161">
        <v>2010</v>
      </c>
      <c r="E38" s="161">
        <v>2011</v>
      </c>
      <c r="F38" s="161">
        <v>2012</v>
      </c>
      <c r="G38" s="161">
        <v>2013</v>
      </c>
      <c r="H38" s="161">
        <v>2014</v>
      </c>
      <c r="I38" s="161">
        <v>2015</v>
      </c>
      <c r="J38" s="161">
        <v>2016</v>
      </c>
      <c r="K38" s="161">
        <v>2017</v>
      </c>
      <c r="L38" s="161">
        <v>2018</v>
      </c>
      <c r="M38" s="161">
        <v>2019</v>
      </c>
      <c r="N38" s="161">
        <v>2020</v>
      </c>
      <c r="O38" s="980" t="s">
        <v>14823</v>
      </c>
      <c r="P38" s="52"/>
      <c r="Q38" s="54" t="s">
        <v>1527</v>
      </c>
    </row>
    <row r="39" spans="1:17">
      <c r="A39" s="767" t="s">
        <v>803</v>
      </c>
      <c r="C39" s="767"/>
      <c r="D39" s="772">
        <f t="shared" ref="D39:I39" si="36">SUM(D40:D42)+SUM(D44:D56)+SUM(D58:D63)</f>
        <v>79460</v>
      </c>
      <c r="E39" s="772">
        <f t="shared" si="36"/>
        <v>78463</v>
      </c>
      <c r="F39" s="772">
        <f t="shared" si="36"/>
        <v>79127</v>
      </c>
      <c r="G39" s="772">
        <f t="shared" si="36"/>
        <v>79236</v>
      </c>
      <c r="H39" s="772">
        <f t="shared" si="36"/>
        <v>78571</v>
      </c>
      <c r="I39" s="772">
        <f t="shared" si="36"/>
        <v>76844</v>
      </c>
      <c r="J39" s="772">
        <f t="shared" ref="J39:O39" si="37">SUM(J40:J42)+SUM(J44:J56)+SUM(J58:J63)</f>
        <v>74929</v>
      </c>
      <c r="K39" s="772">
        <f t="shared" si="37"/>
        <v>76577</v>
      </c>
      <c r="L39" s="772">
        <f t="shared" si="37"/>
        <v>77458</v>
      </c>
      <c r="M39" s="772">
        <f t="shared" si="37"/>
        <v>76623</v>
      </c>
      <c r="N39" s="772">
        <f t="shared" si="37"/>
        <v>77578</v>
      </c>
      <c r="O39" s="772">
        <f t="shared" si="37"/>
        <v>78498</v>
      </c>
    </row>
    <row r="40" spans="1:17">
      <c r="A40" s="210">
        <v>1</v>
      </c>
      <c r="B40" s="767" t="s">
        <v>10752</v>
      </c>
      <c r="C40" s="55" t="s">
        <v>10753</v>
      </c>
      <c r="D40" s="772">
        <v>68508</v>
      </c>
      <c r="E40" s="772">
        <v>67476</v>
      </c>
      <c r="F40" s="772">
        <v>67928</v>
      </c>
      <c r="G40" s="772">
        <v>67998</v>
      </c>
      <c r="H40" s="56">
        <v>67273</v>
      </c>
      <c r="I40" s="56">
        <v>65769</v>
      </c>
      <c r="J40" s="56">
        <v>4550</v>
      </c>
      <c r="K40" s="56">
        <v>4618</v>
      </c>
      <c r="L40" s="56">
        <v>4674</v>
      </c>
      <c r="M40" s="56">
        <v>4492</v>
      </c>
      <c r="N40" s="56">
        <v>4517</v>
      </c>
      <c r="O40" s="56">
        <v>4590</v>
      </c>
      <c r="Q40" s="767" t="s">
        <v>1494</v>
      </c>
    </row>
    <row r="41" spans="1:17">
      <c r="A41" s="210">
        <v>2</v>
      </c>
      <c r="B41" s="767" t="s">
        <v>10773</v>
      </c>
      <c r="C41" s="55" t="s">
        <v>10754</v>
      </c>
      <c r="D41" s="772">
        <v>0</v>
      </c>
      <c r="E41" s="772">
        <v>0</v>
      </c>
      <c r="F41" s="772">
        <v>0</v>
      </c>
      <c r="G41" s="772">
        <v>0</v>
      </c>
      <c r="H41" s="56">
        <v>0</v>
      </c>
      <c r="I41" s="56">
        <v>0</v>
      </c>
      <c r="J41" s="56">
        <v>4536</v>
      </c>
      <c r="K41" s="56">
        <v>4650</v>
      </c>
      <c r="L41" s="56">
        <v>4697</v>
      </c>
      <c r="M41" s="56">
        <v>4685</v>
      </c>
      <c r="N41" s="56">
        <v>4790</v>
      </c>
      <c r="O41" s="56">
        <v>4859</v>
      </c>
      <c r="Q41" s="767" t="s">
        <v>1494</v>
      </c>
    </row>
    <row r="42" spans="1:17" ht="15.75" thickBot="1">
      <c r="A42" s="210"/>
      <c r="B42" s="767"/>
      <c r="C42" s="55" t="s">
        <v>10754</v>
      </c>
      <c r="D42" s="770">
        <v>0</v>
      </c>
      <c r="E42" s="770">
        <v>0</v>
      </c>
      <c r="F42" s="770">
        <v>0</v>
      </c>
      <c r="G42" s="770">
        <v>0</v>
      </c>
      <c r="H42" s="274">
        <v>0</v>
      </c>
      <c r="I42" s="274">
        <v>0</v>
      </c>
      <c r="J42" s="58">
        <v>17</v>
      </c>
      <c r="K42" s="58">
        <v>15</v>
      </c>
      <c r="L42" s="58">
        <v>16</v>
      </c>
      <c r="M42" s="58">
        <v>17</v>
      </c>
      <c r="N42" s="58">
        <v>16</v>
      </c>
      <c r="O42" s="58">
        <v>16</v>
      </c>
      <c r="Q42" s="767" t="s">
        <v>1499</v>
      </c>
    </row>
    <row r="43" spans="1:17" ht="15.75" thickBot="1">
      <c r="A43" s="210"/>
      <c r="B43" s="767"/>
      <c r="C43" s="55" t="s">
        <v>10754</v>
      </c>
      <c r="D43" s="773">
        <f>D41+D42</f>
        <v>0</v>
      </c>
      <c r="E43" s="773">
        <f t="shared" ref="E43:L43" si="38">E41+E42</f>
        <v>0</v>
      </c>
      <c r="F43" s="773">
        <f t="shared" si="38"/>
        <v>0</v>
      </c>
      <c r="G43" s="773">
        <f t="shared" si="38"/>
        <v>0</v>
      </c>
      <c r="H43" s="773">
        <f t="shared" si="38"/>
        <v>0</v>
      </c>
      <c r="I43" s="773">
        <f t="shared" si="38"/>
        <v>0</v>
      </c>
      <c r="J43" s="773">
        <f t="shared" si="38"/>
        <v>4553</v>
      </c>
      <c r="K43" s="773">
        <f t="shared" si="38"/>
        <v>4665</v>
      </c>
      <c r="L43" s="773">
        <f t="shared" si="38"/>
        <v>4713</v>
      </c>
      <c r="M43" s="773">
        <f>M41+M42</f>
        <v>4702</v>
      </c>
      <c r="N43" s="773">
        <f>N41+N42</f>
        <v>4806</v>
      </c>
      <c r="O43" s="773">
        <f>O41+O42</f>
        <v>4875</v>
      </c>
      <c r="Q43" s="767"/>
    </row>
    <row r="44" spans="1:17">
      <c r="A44" s="210">
        <v>3</v>
      </c>
      <c r="B44" s="767" t="s">
        <v>10774</v>
      </c>
      <c r="C44" s="55" t="s">
        <v>10755</v>
      </c>
      <c r="D44" s="772">
        <v>0</v>
      </c>
      <c r="E44" s="772">
        <v>0</v>
      </c>
      <c r="F44" s="772">
        <v>0</v>
      </c>
      <c r="G44" s="772">
        <v>0</v>
      </c>
      <c r="H44" s="56">
        <v>0</v>
      </c>
      <c r="I44" s="56">
        <v>0</v>
      </c>
      <c r="J44" s="56">
        <v>4534</v>
      </c>
      <c r="K44" s="56">
        <v>4633</v>
      </c>
      <c r="L44" s="56">
        <v>4700</v>
      </c>
      <c r="M44" s="56">
        <v>4661</v>
      </c>
      <c r="N44" s="56">
        <v>4736</v>
      </c>
      <c r="O44" s="56">
        <v>4775</v>
      </c>
      <c r="Q44" s="767" t="s">
        <v>1494</v>
      </c>
    </row>
    <row r="45" spans="1:17">
      <c r="A45" s="210">
        <v>4</v>
      </c>
      <c r="B45" s="767" t="s">
        <v>1414</v>
      </c>
      <c r="C45" s="55" t="s">
        <v>10756</v>
      </c>
      <c r="D45" s="772">
        <v>0</v>
      </c>
      <c r="E45" s="772">
        <v>0</v>
      </c>
      <c r="F45" s="772">
        <v>0</v>
      </c>
      <c r="G45" s="772">
        <v>0</v>
      </c>
      <c r="H45" s="56">
        <v>0</v>
      </c>
      <c r="I45" s="56">
        <v>0</v>
      </c>
      <c r="J45" s="56">
        <v>3288</v>
      </c>
      <c r="K45" s="56">
        <v>3315</v>
      </c>
      <c r="L45" s="56">
        <v>3416</v>
      </c>
      <c r="M45" s="56">
        <v>3384</v>
      </c>
      <c r="N45" s="56">
        <v>3413</v>
      </c>
      <c r="O45" s="56">
        <v>3425</v>
      </c>
      <c r="Q45" s="767" t="s">
        <v>1494</v>
      </c>
    </row>
    <row r="46" spans="1:17">
      <c r="A46" s="210">
        <v>5</v>
      </c>
      <c r="B46" s="767" t="s">
        <v>6746</v>
      </c>
      <c r="C46" s="55" t="s">
        <v>10757</v>
      </c>
      <c r="D46" s="772">
        <v>0</v>
      </c>
      <c r="E46" s="772">
        <v>0</v>
      </c>
      <c r="F46" s="772">
        <v>0</v>
      </c>
      <c r="G46" s="772">
        <v>0</v>
      </c>
      <c r="H46" s="56">
        <v>0</v>
      </c>
      <c r="I46" s="56">
        <v>0</v>
      </c>
      <c r="J46" s="56">
        <v>4571</v>
      </c>
      <c r="K46" s="56">
        <v>4736</v>
      </c>
      <c r="L46" s="56">
        <v>4732</v>
      </c>
      <c r="M46" s="56">
        <v>4619</v>
      </c>
      <c r="N46" s="56">
        <v>4641</v>
      </c>
      <c r="O46" s="56">
        <v>4697</v>
      </c>
      <c r="Q46" s="767" t="s">
        <v>1494</v>
      </c>
    </row>
    <row r="47" spans="1:17">
      <c r="A47" s="210">
        <v>6</v>
      </c>
      <c r="B47" s="767" t="s">
        <v>4334</v>
      </c>
      <c r="C47" s="55" t="s">
        <v>10758</v>
      </c>
      <c r="D47" s="772">
        <v>0</v>
      </c>
      <c r="E47" s="772">
        <v>0</v>
      </c>
      <c r="F47" s="772">
        <v>0</v>
      </c>
      <c r="G47" s="772">
        <v>0</v>
      </c>
      <c r="H47" s="56">
        <v>0</v>
      </c>
      <c r="I47" s="56">
        <v>0</v>
      </c>
      <c r="J47" s="56">
        <v>4809</v>
      </c>
      <c r="K47" s="56">
        <v>4866</v>
      </c>
      <c r="L47" s="56">
        <v>4882</v>
      </c>
      <c r="M47" s="56">
        <v>4817</v>
      </c>
      <c r="N47" s="56">
        <v>4835</v>
      </c>
      <c r="O47" s="56">
        <v>4843</v>
      </c>
      <c r="Q47" s="767" t="s">
        <v>1494</v>
      </c>
    </row>
    <row r="48" spans="1:17">
      <c r="A48" s="210">
        <v>7</v>
      </c>
      <c r="B48" s="767" t="s">
        <v>11375</v>
      </c>
      <c r="C48" s="55" t="s">
        <v>10759</v>
      </c>
      <c r="D48" s="772">
        <v>0</v>
      </c>
      <c r="E48" s="772">
        <v>0</v>
      </c>
      <c r="F48" s="772">
        <v>0</v>
      </c>
      <c r="G48" s="772">
        <v>0</v>
      </c>
      <c r="H48" s="56">
        <v>0</v>
      </c>
      <c r="I48" s="56">
        <v>0</v>
      </c>
      <c r="J48" s="56">
        <v>4733</v>
      </c>
      <c r="K48" s="56">
        <v>4822</v>
      </c>
      <c r="L48" s="56">
        <v>4875</v>
      </c>
      <c r="M48" s="56">
        <v>4817</v>
      </c>
      <c r="N48" s="56">
        <v>4805</v>
      </c>
      <c r="O48" s="56">
        <v>4842</v>
      </c>
      <c r="Q48" s="767" t="s">
        <v>1494</v>
      </c>
    </row>
    <row r="49" spans="1:17">
      <c r="A49" s="210">
        <v>8</v>
      </c>
      <c r="B49" s="767" t="s">
        <v>10775</v>
      </c>
      <c r="C49" s="55" t="s">
        <v>10760</v>
      </c>
      <c r="D49" s="772">
        <v>10952</v>
      </c>
      <c r="E49" s="772">
        <v>10987</v>
      </c>
      <c r="F49" s="772">
        <v>11199</v>
      </c>
      <c r="G49" s="772">
        <v>11238</v>
      </c>
      <c r="H49" s="56">
        <v>11298</v>
      </c>
      <c r="I49" s="56">
        <v>11075</v>
      </c>
      <c r="J49" s="58">
        <v>3276</v>
      </c>
      <c r="K49" s="58">
        <v>3393</v>
      </c>
      <c r="L49" s="58">
        <v>3391</v>
      </c>
      <c r="M49" s="58">
        <v>3416</v>
      </c>
      <c r="N49" s="58">
        <v>3480</v>
      </c>
      <c r="O49" s="58">
        <v>3531</v>
      </c>
      <c r="Q49" s="767" t="s">
        <v>1499</v>
      </c>
    </row>
    <row r="50" spans="1:17">
      <c r="A50" s="210">
        <v>9</v>
      </c>
      <c r="B50" s="767" t="s">
        <v>3970</v>
      </c>
      <c r="C50" s="55" t="s">
        <v>10761</v>
      </c>
      <c r="D50" s="772">
        <v>0</v>
      </c>
      <c r="E50" s="772">
        <v>0</v>
      </c>
      <c r="F50" s="772">
        <v>0</v>
      </c>
      <c r="G50" s="772">
        <v>0</v>
      </c>
      <c r="H50" s="56">
        <v>0</v>
      </c>
      <c r="I50" s="56">
        <v>0</v>
      </c>
      <c r="J50" s="56">
        <v>3168</v>
      </c>
      <c r="K50" s="56">
        <v>3187</v>
      </c>
      <c r="L50" s="56">
        <v>3151</v>
      </c>
      <c r="M50" s="56">
        <v>3123</v>
      </c>
      <c r="N50" s="56">
        <v>3135</v>
      </c>
      <c r="O50" s="56">
        <v>3145</v>
      </c>
      <c r="Q50" s="767" t="s">
        <v>1494</v>
      </c>
    </row>
    <row r="51" spans="1:17">
      <c r="A51" s="210">
        <v>10</v>
      </c>
      <c r="B51" s="767" t="s">
        <v>3971</v>
      </c>
      <c r="C51" s="55" t="s">
        <v>10762</v>
      </c>
      <c r="D51" s="772">
        <v>0</v>
      </c>
      <c r="E51" s="772">
        <v>0</v>
      </c>
      <c r="F51" s="772">
        <v>0</v>
      </c>
      <c r="G51" s="772">
        <v>0</v>
      </c>
      <c r="H51" s="56">
        <v>0</v>
      </c>
      <c r="I51" s="56">
        <v>0</v>
      </c>
      <c r="J51" s="58">
        <v>2867</v>
      </c>
      <c r="K51" s="58">
        <v>2904</v>
      </c>
      <c r="L51" s="58">
        <v>2915</v>
      </c>
      <c r="M51" s="58">
        <v>2890</v>
      </c>
      <c r="N51" s="58">
        <v>2945</v>
      </c>
      <c r="O51" s="58">
        <v>2978</v>
      </c>
      <c r="Q51" s="767" t="s">
        <v>1499</v>
      </c>
    </row>
    <row r="52" spans="1:17">
      <c r="A52" s="210">
        <v>11</v>
      </c>
      <c r="B52" s="767" t="s">
        <v>3972</v>
      </c>
      <c r="C52" s="55" t="s">
        <v>10763</v>
      </c>
      <c r="D52" s="772">
        <v>0</v>
      </c>
      <c r="E52" s="772">
        <v>0</v>
      </c>
      <c r="F52" s="772">
        <v>0</v>
      </c>
      <c r="G52" s="772">
        <v>0</v>
      </c>
      <c r="H52" s="56">
        <v>0</v>
      </c>
      <c r="I52" s="56">
        <v>0</v>
      </c>
      <c r="J52" s="56">
        <v>3102</v>
      </c>
      <c r="K52" s="56">
        <v>3181</v>
      </c>
      <c r="L52" s="56">
        <v>3188</v>
      </c>
      <c r="M52" s="56">
        <v>3176</v>
      </c>
      <c r="N52" s="56">
        <v>3164</v>
      </c>
      <c r="O52" s="56">
        <v>3192</v>
      </c>
      <c r="Q52" s="767" t="s">
        <v>1494</v>
      </c>
    </row>
    <row r="53" spans="1:17">
      <c r="A53" s="210">
        <v>12</v>
      </c>
      <c r="B53" s="767" t="s">
        <v>2511</v>
      </c>
      <c r="C53" s="55" t="s">
        <v>10764</v>
      </c>
      <c r="D53" s="772">
        <v>0</v>
      </c>
      <c r="E53" s="772">
        <v>0</v>
      </c>
      <c r="F53" s="772">
        <v>0</v>
      </c>
      <c r="G53" s="772">
        <v>0</v>
      </c>
      <c r="H53" s="56">
        <v>0</v>
      </c>
      <c r="I53" s="56">
        <v>0</v>
      </c>
      <c r="J53" s="56">
        <v>4231</v>
      </c>
      <c r="K53" s="56">
        <v>4335</v>
      </c>
      <c r="L53" s="56">
        <v>4366</v>
      </c>
      <c r="M53" s="56">
        <v>4301</v>
      </c>
      <c r="N53" s="56">
        <v>4263</v>
      </c>
      <c r="O53" s="56">
        <v>4323</v>
      </c>
      <c r="Q53" s="767" t="s">
        <v>1494</v>
      </c>
    </row>
    <row r="54" spans="1:17">
      <c r="A54" s="210">
        <v>13</v>
      </c>
      <c r="B54" s="767" t="s">
        <v>3973</v>
      </c>
      <c r="C54" s="55" t="s">
        <v>10765</v>
      </c>
      <c r="D54" s="772">
        <v>0</v>
      </c>
      <c r="E54" s="772">
        <v>0</v>
      </c>
      <c r="F54" s="772">
        <v>0</v>
      </c>
      <c r="G54" s="772">
        <v>0</v>
      </c>
      <c r="H54" s="56">
        <v>0</v>
      </c>
      <c r="I54" s="56">
        <v>0</v>
      </c>
      <c r="J54" s="56">
        <v>2453</v>
      </c>
      <c r="K54" s="56">
        <v>2479</v>
      </c>
      <c r="L54" s="56">
        <v>2501</v>
      </c>
      <c r="M54" s="56">
        <v>2376</v>
      </c>
      <c r="N54" s="56">
        <v>2447</v>
      </c>
      <c r="O54" s="56">
        <v>2509</v>
      </c>
      <c r="Q54" s="767" t="s">
        <v>1494</v>
      </c>
    </row>
    <row r="55" spans="1:17">
      <c r="A55" s="210">
        <v>14</v>
      </c>
      <c r="B55" s="767" t="s">
        <v>2512</v>
      </c>
      <c r="C55" s="55" t="s">
        <v>10766</v>
      </c>
      <c r="D55" s="772">
        <v>0</v>
      </c>
      <c r="E55" s="772">
        <v>0</v>
      </c>
      <c r="F55" s="772">
        <v>0</v>
      </c>
      <c r="G55" s="772">
        <v>0</v>
      </c>
      <c r="H55" s="56">
        <v>0</v>
      </c>
      <c r="I55" s="56">
        <v>0</v>
      </c>
      <c r="J55" s="56">
        <v>4312</v>
      </c>
      <c r="K55" s="56">
        <v>4507</v>
      </c>
      <c r="L55" s="56">
        <v>4538</v>
      </c>
      <c r="M55" s="56">
        <v>4444</v>
      </c>
      <c r="N55" s="56">
        <v>4437</v>
      </c>
      <c r="O55" s="56">
        <v>4515</v>
      </c>
      <c r="Q55" s="767" t="s">
        <v>1494</v>
      </c>
    </row>
    <row r="56" spans="1:17" ht="15.75" thickBot="1">
      <c r="A56" s="210"/>
      <c r="B56" s="767"/>
      <c r="C56" s="55" t="s">
        <v>10766</v>
      </c>
      <c r="D56" s="770">
        <v>0</v>
      </c>
      <c r="E56" s="770">
        <v>0</v>
      </c>
      <c r="F56" s="770">
        <v>0</v>
      </c>
      <c r="G56" s="770">
        <v>0</v>
      </c>
      <c r="H56" s="274">
        <v>0</v>
      </c>
      <c r="I56" s="274">
        <v>0</v>
      </c>
      <c r="J56" s="58">
        <v>176</v>
      </c>
      <c r="K56" s="58">
        <v>173</v>
      </c>
      <c r="L56" s="58">
        <v>179</v>
      </c>
      <c r="M56" s="58">
        <v>180</v>
      </c>
      <c r="N56" s="58">
        <v>177</v>
      </c>
      <c r="O56" s="58">
        <v>170</v>
      </c>
      <c r="Q56" s="767" t="s">
        <v>1499</v>
      </c>
    </row>
    <row r="57" spans="1:17" ht="15.75" thickBot="1">
      <c r="A57" s="210"/>
      <c r="B57" s="767"/>
      <c r="C57" s="55" t="s">
        <v>10766</v>
      </c>
      <c r="D57" s="773">
        <f t="shared" ref="D57:O57" si="39">D55+D56</f>
        <v>0</v>
      </c>
      <c r="E57" s="773">
        <f t="shared" si="39"/>
        <v>0</v>
      </c>
      <c r="F57" s="773">
        <f t="shared" si="39"/>
        <v>0</v>
      </c>
      <c r="G57" s="773">
        <f t="shared" si="39"/>
        <v>0</v>
      </c>
      <c r="H57" s="773">
        <f t="shared" si="39"/>
        <v>0</v>
      </c>
      <c r="I57" s="773">
        <f t="shared" si="39"/>
        <v>0</v>
      </c>
      <c r="J57" s="773">
        <f t="shared" si="39"/>
        <v>4488</v>
      </c>
      <c r="K57" s="773">
        <f t="shared" si="39"/>
        <v>4680</v>
      </c>
      <c r="L57" s="773">
        <f t="shared" si="39"/>
        <v>4717</v>
      </c>
      <c r="M57" s="773">
        <f t="shared" si="39"/>
        <v>4624</v>
      </c>
      <c r="N57" s="773">
        <f t="shared" si="39"/>
        <v>4614</v>
      </c>
      <c r="O57" s="773">
        <f t="shared" si="39"/>
        <v>4685</v>
      </c>
      <c r="Q57" s="767"/>
    </row>
    <row r="58" spans="1:17">
      <c r="A58" s="210">
        <v>15</v>
      </c>
      <c r="B58" s="767" t="s">
        <v>2513</v>
      </c>
      <c r="C58" s="55" t="s">
        <v>10767</v>
      </c>
      <c r="D58" s="772">
        <v>0</v>
      </c>
      <c r="E58" s="772">
        <v>0</v>
      </c>
      <c r="F58" s="772">
        <v>0</v>
      </c>
      <c r="G58" s="772">
        <v>0</v>
      </c>
      <c r="H58" s="56">
        <v>0</v>
      </c>
      <c r="I58" s="56">
        <v>0</v>
      </c>
      <c r="J58" s="56">
        <v>3282</v>
      </c>
      <c r="K58" s="56">
        <v>3360</v>
      </c>
      <c r="L58" s="56">
        <v>3467</v>
      </c>
      <c r="M58" s="56">
        <v>3392</v>
      </c>
      <c r="N58" s="56">
        <v>3464</v>
      </c>
      <c r="O58" s="56">
        <v>3500</v>
      </c>
      <c r="Q58" s="767" t="s">
        <v>1494</v>
      </c>
    </row>
    <row r="59" spans="1:17">
      <c r="A59" s="210">
        <v>16</v>
      </c>
      <c r="B59" s="767" t="s">
        <v>2514</v>
      </c>
      <c r="C59" s="55" t="s">
        <v>10768</v>
      </c>
      <c r="D59" s="772">
        <v>0</v>
      </c>
      <c r="E59" s="772">
        <v>0</v>
      </c>
      <c r="F59" s="772">
        <v>0</v>
      </c>
      <c r="G59" s="772">
        <v>0</v>
      </c>
      <c r="H59" s="56">
        <v>0</v>
      </c>
      <c r="I59" s="56">
        <v>0</v>
      </c>
      <c r="J59" s="56">
        <v>4233</v>
      </c>
      <c r="K59" s="56">
        <v>4254</v>
      </c>
      <c r="L59" s="56">
        <v>4319</v>
      </c>
      <c r="M59" s="56">
        <v>4153</v>
      </c>
      <c r="N59" s="56">
        <v>4199</v>
      </c>
      <c r="O59" s="56">
        <v>4249</v>
      </c>
      <c r="Q59" s="767" t="s">
        <v>1494</v>
      </c>
    </row>
    <row r="60" spans="1:17">
      <c r="A60" s="210">
        <v>17</v>
      </c>
      <c r="B60" s="767" t="s">
        <v>10776</v>
      </c>
      <c r="C60" s="55" t="s">
        <v>10769</v>
      </c>
      <c r="D60" s="772">
        <v>0</v>
      </c>
      <c r="E60" s="772">
        <v>0</v>
      </c>
      <c r="F60" s="772">
        <v>0</v>
      </c>
      <c r="G60" s="772">
        <v>0</v>
      </c>
      <c r="H60" s="56">
        <v>0</v>
      </c>
      <c r="I60" s="56">
        <v>0</v>
      </c>
      <c r="J60" s="56">
        <v>2548</v>
      </c>
      <c r="K60" s="56">
        <v>2692</v>
      </c>
      <c r="L60" s="56">
        <v>2821</v>
      </c>
      <c r="M60" s="56">
        <v>2963</v>
      </c>
      <c r="N60" s="56">
        <v>3110</v>
      </c>
      <c r="O60" s="56">
        <v>3163</v>
      </c>
      <c r="Q60" s="767" t="s">
        <v>1494</v>
      </c>
    </row>
    <row r="61" spans="1:17">
      <c r="A61" s="210">
        <v>18</v>
      </c>
      <c r="B61" s="767" t="s">
        <v>10777</v>
      </c>
      <c r="C61" s="55" t="s">
        <v>10770</v>
      </c>
      <c r="D61" s="772">
        <v>0</v>
      </c>
      <c r="E61" s="772">
        <v>0</v>
      </c>
      <c r="F61" s="772">
        <v>0</v>
      </c>
      <c r="G61" s="772">
        <v>0</v>
      </c>
      <c r="H61" s="56">
        <v>0</v>
      </c>
      <c r="I61" s="56">
        <v>0</v>
      </c>
      <c r="J61" s="58">
        <v>4598</v>
      </c>
      <c r="K61" s="58">
        <v>4750</v>
      </c>
      <c r="L61" s="58">
        <v>4764</v>
      </c>
      <c r="M61" s="58">
        <v>4834</v>
      </c>
      <c r="N61" s="58">
        <v>4991</v>
      </c>
      <c r="O61" s="58">
        <v>5074</v>
      </c>
      <c r="Q61" s="767" t="s">
        <v>1499</v>
      </c>
    </row>
    <row r="62" spans="1:17">
      <c r="A62" s="210">
        <v>19</v>
      </c>
      <c r="B62" s="767" t="s">
        <v>10778</v>
      </c>
      <c r="C62" s="55" t="s">
        <v>10771</v>
      </c>
      <c r="D62" s="772">
        <v>0</v>
      </c>
      <c r="E62" s="772">
        <v>0</v>
      </c>
      <c r="F62" s="772">
        <v>0</v>
      </c>
      <c r="G62" s="772">
        <v>0</v>
      </c>
      <c r="H62" s="56">
        <v>0</v>
      </c>
      <c r="I62" s="56">
        <v>0</v>
      </c>
      <c r="J62" s="58">
        <v>2474</v>
      </c>
      <c r="K62" s="58">
        <v>2526</v>
      </c>
      <c r="L62" s="58">
        <v>2667</v>
      </c>
      <c r="M62" s="58">
        <v>2751</v>
      </c>
      <c r="N62" s="58">
        <v>2925</v>
      </c>
      <c r="O62" s="58">
        <v>2984</v>
      </c>
      <c r="Q62" s="767" t="s">
        <v>1494</v>
      </c>
    </row>
    <row r="63" spans="1:17">
      <c r="A63" s="210">
        <v>20</v>
      </c>
      <c r="B63" s="767" t="s">
        <v>10779</v>
      </c>
      <c r="C63" s="55" t="s">
        <v>10772</v>
      </c>
      <c r="D63" s="772">
        <v>0</v>
      </c>
      <c r="E63" s="772">
        <v>0</v>
      </c>
      <c r="F63" s="772">
        <v>0</v>
      </c>
      <c r="G63" s="772">
        <v>0</v>
      </c>
      <c r="H63" s="56">
        <v>0</v>
      </c>
      <c r="I63" s="56">
        <v>0</v>
      </c>
      <c r="J63" s="58">
        <v>3171</v>
      </c>
      <c r="K63" s="58">
        <v>3181</v>
      </c>
      <c r="L63" s="58">
        <v>3199</v>
      </c>
      <c r="M63" s="58">
        <v>3132</v>
      </c>
      <c r="N63" s="58">
        <v>3088</v>
      </c>
      <c r="O63" s="58">
        <v>3118</v>
      </c>
      <c r="Q63" s="767" t="s">
        <v>1494</v>
      </c>
    </row>
    <row r="64" spans="1:17">
      <c r="D64" s="771"/>
      <c r="E64" s="771"/>
      <c r="F64" s="771"/>
      <c r="G64" s="771"/>
      <c r="H64" s="771"/>
      <c r="I64" s="771"/>
      <c r="J64" s="771"/>
      <c r="K64" s="771"/>
      <c r="L64" s="771"/>
      <c r="M64" s="771"/>
      <c r="N64" s="771"/>
      <c r="O64" s="771"/>
    </row>
    <row r="65" spans="1:17">
      <c r="A65" s="767" t="s">
        <v>1494</v>
      </c>
      <c r="D65" s="772">
        <f t="shared" ref="D65:I65" si="40">D40+D41+SUM(D44:D47)+D50+SUM(D52:D55)+SUM(D58:D60)+D62+D63</f>
        <v>68508</v>
      </c>
      <c r="E65" s="772">
        <f t="shared" si="40"/>
        <v>67476</v>
      </c>
      <c r="F65" s="772">
        <f t="shared" si="40"/>
        <v>67928</v>
      </c>
      <c r="G65" s="772">
        <f t="shared" si="40"/>
        <v>67998</v>
      </c>
      <c r="H65" s="772">
        <f t="shared" si="40"/>
        <v>67273</v>
      </c>
      <c r="I65" s="772">
        <f t="shared" si="40"/>
        <v>65769</v>
      </c>
      <c r="J65" s="772">
        <f t="shared" ref="J65:O65" si="41">J40+J41+SUM(J44:J48)+J50+SUM(J52:J55)+SUM(J58:J60)+J62+J63</f>
        <v>63995</v>
      </c>
      <c r="K65" s="772">
        <f t="shared" si="41"/>
        <v>65342</v>
      </c>
      <c r="L65" s="772">
        <f t="shared" si="41"/>
        <v>66193</v>
      </c>
      <c r="M65" s="772">
        <f t="shared" si="41"/>
        <v>65286</v>
      </c>
      <c r="N65" s="772">
        <f t="shared" si="41"/>
        <v>65969</v>
      </c>
      <c r="O65" s="772">
        <f t="shared" si="41"/>
        <v>66729</v>
      </c>
    </row>
    <row r="66" spans="1:17">
      <c r="A66" s="767" t="s">
        <v>2515</v>
      </c>
      <c r="D66" s="772">
        <f t="shared" ref="D66:I66" si="42">D42+D49+D51+D56+D61</f>
        <v>10952</v>
      </c>
      <c r="E66" s="772">
        <f t="shared" si="42"/>
        <v>10987</v>
      </c>
      <c r="F66" s="772">
        <f t="shared" si="42"/>
        <v>11199</v>
      </c>
      <c r="G66" s="772">
        <f t="shared" si="42"/>
        <v>11238</v>
      </c>
      <c r="H66" s="772">
        <f t="shared" si="42"/>
        <v>11298</v>
      </c>
      <c r="I66" s="772">
        <f t="shared" si="42"/>
        <v>11075</v>
      </c>
      <c r="J66" s="772">
        <f t="shared" ref="J66:O66" si="43">J42+J49+J51+J56+J61</f>
        <v>10934</v>
      </c>
      <c r="K66" s="772">
        <f t="shared" si="43"/>
        <v>11235</v>
      </c>
      <c r="L66" s="772">
        <f t="shared" si="43"/>
        <v>11265</v>
      </c>
      <c r="M66" s="772">
        <f t="shared" si="43"/>
        <v>11337</v>
      </c>
      <c r="N66" s="772">
        <f t="shared" si="43"/>
        <v>11609</v>
      </c>
      <c r="O66" s="772">
        <f t="shared" si="43"/>
        <v>11769</v>
      </c>
    </row>
    <row r="68" spans="1:17">
      <c r="A68" s="767" t="s">
        <v>10751</v>
      </c>
    </row>
    <row r="69" spans="1:17">
      <c r="A69" s="767"/>
    </row>
    <row r="70" spans="1:17">
      <c r="A70" s="76"/>
      <c r="B70" s="76"/>
      <c r="D70" s="76"/>
      <c r="E70" s="76"/>
      <c r="F70" s="76"/>
      <c r="G70" s="76"/>
      <c r="H70" s="76"/>
      <c r="I70" s="76"/>
      <c r="J70" s="76"/>
      <c r="K70" s="76"/>
      <c r="L70" s="76"/>
      <c r="M70" s="76"/>
      <c r="N70" s="76"/>
      <c r="O70" s="76"/>
      <c r="P70" s="76"/>
      <c r="Q70" s="76"/>
    </row>
    <row r="71" spans="1:17">
      <c r="E71" s="40" t="s">
        <v>1526</v>
      </c>
      <c r="F71" s="40"/>
      <c r="G71" s="40"/>
      <c r="H71" s="40"/>
      <c r="I71" s="40"/>
      <c r="J71" s="40"/>
      <c r="K71" s="40"/>
      <c r="L71" s="40"/>
      <c r="M71" s="40"/>
      <c r="N71" s="40"/>
      <c r="O71" s="40"/>
      <c r="P71" s="52"/>
      <c r="Q71" s="53" t="s">
        <v>9479</v>
      </c>
    </row>
    <row r="72" spans="1:17">
      <c r="D72" s="161">
        <v>2010</v>
      </c>
      <c r="E72" s="161">
        <v>2011</v>
      </c>
      <c r="F72" s="161">
        <v>2012</v>
      </c>
      <c r="G72" s="161">
        <v>2013</v>
      </c>
      <c r="H72" s="161">
        <v>2014</v>
      </c>
      <c r="I72" s="161">
        <v>2015</v>
      </c>
      <c r="J72" s="161">
        <v>2016</v>
      </c>
      <c r="K72" s="161">
        <v>2017</v>
      </c>
      <c r="L72" s="161">
        <v>2018</v>
      </c>
      <c r="M72" s="161">
        <v>2019</v>
      </c>
      <c r="N72" s="161">
        <v>2020</v>
      </c>
      <c r="O72" s="980" t="s">
        <v>14823</v>
      </c>
      <c r="P72" s="52"/>
      <c r="Q72" s="54" t="s">
        <v>1527</v>
      </c>
    </row>
    <row r="73" spans="1:17">
      <c r="A73" s="767" t="s">
        <v>2516</v>
      </c>
      <c r="D73" s="772">
        <f>SUM(D74:D85)+SUM(D87:D102)+SUM(D104:D110)+SUM(D112:D114)+SUM(D116:D140)+SUM(D142:D146)+D148+D149</f>
        <v>391444</v>
      </c>
      <c r="E73" s="772">
        <f>SUM(E74:E85)+SUM(E87:E102)+SUM(E104:E110)+SUM(E112:E114)+SUM(E116:E140)+SUM(E142:E146)+E148+E149</f>
        <v>404896</v>
      </c>
      <c r="F73" s="772">
        <f>SUM(F74:F85)+SUM(F87:F102)+SUM(F104:F110)+SUM(F112:F114)+SUM(F116:F140)+SUM(F142:F146)+F148+F149</f>
        <v>406894</v>
      </c>
      <c r="G73" s="772">
        <f t="shared" ref="G73:L73" si="44">SUM(G74:G85)+SUM(G87:G102)+SUM(G104:G110)+SUM(G112:G114)+SUM(G116:G140)+SUM(G142:G146)+G148+G149</f>
        <v>407465</v>
      </c>
      <c r="H73" s="772">
        <f t="shared" si="44"/>
        <v>400686</v>
      </c>
      <c r="I73" s="772">
        <f t="shared" si="44"/>
        <v>374451</v>
      </c>
      <c r="J73" s="772">
        <f t="shared" si="44"/>
        <v>377715</v>
      </c>
      <c r="K73" s="772">
        <f t="shared" si="44"/>
        <v>386910</v>
      </c>
      <c r="L73" s="772">
        <f t="shared" si="44"/>
        <v>392746</v>
      </c>
      <c r="M73" s="772">
        <f>SUM(M74:M85)+SUM(M87:M102)+SUM(M104:M110)+SUM(M112:M114)+SUM(M116:M140)+SUM(M142:M146)+M148+M149</f>
        <v>381915</v>
      </c>
      <c r="N73" s="772">
        <f>SUM(N74:N85)+SUM(N87:N102)+SUM(N104:N110)+SUM(N112:N114)+SUM(N116:N140)+SUM(N142:N146)+N148+N149</f>
        <v>394433</v>
      </c>
      <c r="O73" s="772">
        <f>SUM(O74:O85)+SUM(O87:O102)+SUM(O104:O110)+SUM(O112:O114)+SUM(O116:O140)+SUM(O142:O146)+O148+O149</f>
        <v>393533</v>
      </c>
    </row>
    <row r="74" spans="1:17">
      <c r="A74" s="210">
        <v>1</v>
      </c>
      <c r="B74" s="767" t="s">
        <v>2517</v>
      </c>
      <c r="C74" s="62" t="s">
        <v>9403</v>
      </c>
      <c r="D74" s="772">
        <v>67284</v>
      </c>
      <c r="E74" s="772">
        <v>68959</v>
      </c>
      <c r="F74" s="772">
        <v>69697</v>
      </c>
      <c r="G74" s="58">
        <v>6153</v>
      </c>
      <c r="H74" s="58">
        <v>6106</v>
      </c>
      <c r="I74" s="58">
        <v>5779</v>
      </c>
      <c r="J74" s="58">
        <v>5670</v>
      </c>
      <c r="K74" s="58">
        <v>5825</v>
      </c>
      <c r="L74" s="58">
        <v>5807</v>
      </c>
      <c r="M74" s="58">
        <v>5800</v>
      </c>
      <c r="N74" s="58">
        <v>5890</v>
      </c>
      <c r="O74" s="58">
        <v>5891</v>
      </c>
      <c r="Q74" s="767" t="s">
        <v>1497</v>
      </c>
    </row>
    <row r="75" spans="1:17">
      <c r="A75" s="210">
        <v>2</v>
      </c>
      <c r="B75" s="767" t="s">
        <v>2533</v>
      </c>
      <c r="C75" s="62" t="s">
        <v>9405</v>
      </c>
      <c r="D75" s="772">
        <v>54794</v>
      </c>
      <c r="E75" s="772">
        <v>56399</v>
      </c>
      <c r="F75" s="772">
        <v>55823</v>
      </c>
      <c r="G75" s="58">
        <v>6627</v>
      </c>
      <c r="H75" s="58">
        <v>6581</v>
      </c>
      <c r="I75" s="58">
        <v>6304</v>
      </c>
      <c r="J75" s="58">
        <v>6240</v>
      </c>
      <c r="K75" s="58">
        <v>6338</v>
      </c>
      <c r="L75" s="58">
        <v>6371</v>
      </c>
      <c r="M75" s="58">
        <v>6297</v>
      </c>
      <c r="N75" s="58">
        <v>6436</v>
      </c>
      <c r="O75" s="58">
        <v>6420</v>
      </c>
      <c r="Q75" s="767" t="s">
        <v>1499</v>
      </c>
    </row>
    <row r="76" spans="1:17">
      <c r="A76" s="210">
        <v>3</v>
      </c>
      <c r="B76" s="767" t="s">
        <v>9383</v>
      </c>
      <c r="C76" s="62" t="s">
        <v>9406</v>
      </c>
      <c r="D76" s="772">
        <v>0</v>
      </c>
      <c r="E76" s="772">
        <v>0</v>
      </c>
      <c r="F76" s="772">
        <v>0</v>
      </c>
      <c r="G76" s="58">
        <v>8379</v>
      </c>
      <c r="H76" s="58">
        <v>8189</v>
      </c>
      <c r="I76" s="58">
        <v>7691</v>
      </c>
      <c r="J76" s="58">
        <v>7790</v>
      </c>
      <c r="K76" s="58">
        <v>8015</v>
      </c>
      <c r="L76" s="58">
        <v>8174</v>
      </c>
      <c r="M76" s="58">
        <v>8238</v>
      </c>
      <c r="N76" s="58">
        <v>8440</v>
      </c>
      <c r="O76" s="58">
        <v>8406</v>
      </c>
      <c r="Q76" s="767" t="s">
        <v>1499</v>
      </c>
    </row>
    <row r="77" spans="1:17">
      <c r="A77" s="210">
        <v>4</v>
      </c>
      <c r="B77" s="767" t="s">
        <v>3958</v>
      </c>
      <c r="C77" s="62" t="s">
        <v>9407</v>
      </c>
      <c r="D77" s="772">
        <v>0</v>
      </c>
      <c r="E77" s="772">
        <v>0</v>
      </c>
      <c r="F77" s="772">
        <v>0</v>
      </c>
      <c r="G77" s="58">
        <v>6071</v>
      </c>
      <c r="H77" s="58">
        <v>5807</v>
      </c>
      <c r="I77" s="58">
        <v>5443</v>
      </c>
      <c r="J77" s="58">
        <v>5403</v>
      </c>
      <c r="K77" s="58">
        <v>5457</v>
      </c>
      <c r="L77" s="58">
        <v>5412</v>
      </c>
      <c r="M77" s="58">
        <v>5383</v>
      </c>
      <c r="N77" s="58">
        <v>5368</v>
      </c>
      <c r="O77" s="58">
        <v>5358</v>
      </c>
      <c r="Q77" s="767" t="s">
        <v>1499</v>
      </c>
    </row>
    <row r="78" spans="1:17">
      <c r="A78" s="210">
        <v>5</v>
      </c>
      <c r="B78" s="767" t="s">
        <v>3959</v>
      </c>
      <c r="C78" s="62" t="s">
        <v>9408</v>
      </c>
      <c r="D78" s="772">
        <v>68170</v>
      </c>
      <c r="E78" s="772">
        <v>68501</v>
      </c>
      <c r="F78" s="772">
        <v>69096</v>
      </c>
      <c r="G78" s="56">
        <v>6952</v>
      </c>
      <c r="H78" s="56">
        <v>6752</v>
      </c>
      <c r="I78" s="56">
        <v>6322</v>
      </c>
      <c r="J78" s="56">
        <v>6492</v>
      </c>
      <c r="K78" s="56">
        <v>6667</v>
      </c>
      <c r="L78" s="56">
        <v>6822</v>
      </c>
      <c r="M78" s="56">
        <v>6922</v>
      </c>
      <c r="N78" s="56">
        <v>7008</v>
      </c>
      <c r="O78" s="56">
        <v>6979</v>
      </c>
      <c r="Q78" s="767" t="s">
        <v>1491</v>
      </c>
    </row>
    <row r="79" spans="1:17">
      <c r="A79" s="210">
        <v>6</v>
      </c>
      <c r="B79" s="767" t="s">
        <v>3960</v>
      </c>
      <c r="C79" s="62" t="s">
        <v>9409</v>
      </c>
      <c r="D79" s="772">
        <v>0</v>
      </c>
      <c r="E79" s="772">
        <v>0</v>
      </c>
      <c r="F79" s="772">
        <v>0</v>
      </c>
      <c r="G79" s="56">
        <v>6656</v>
      </c>
      <c r="H79" s="56">
        <v>6624</v>
      </c>
      <c r="I79" s="56">
        <v>6194</v>
      </c>
      <c r="J79" s="56">
        <v>6319</v>
      </c>
      <c r="K79" s="56">
        <v>6476</v>
      </c>
      <c r="L79" s="56">
        <v>6512</v>
      </c>
      <c r="M79" s="56">
        <v>6536</v>
      </c>
      <c r="N79" s="56">
        <v>6671</v>
      </c>
      <c r="O79" s="56">
        <v>6656</v>
      </c>
      <c r="Q79" s="767" t="s">
        <v>1491</v>
      </c>
    </row>
    <row r="80" spans="1:17">
      <c r="A80" s="210">
        <v>7</v>
      </c>
      <c r="B80" s="767" t="s">
        <v>4542</v>
      </c>
      <c r="C80" s="62" t="s">
        <v>9410</v>
      </c>
      <c r="D80" s="772">
        <v>67642</v>
      </c>
      <c r="E80" s="772">
        <v>72659</v>
      </c>
      <c r="F80" s="772">
        <v>73567</v>
      </c>
      <c r="G80" s="56">
        <v>10091</v>
      </c>
      <c r="H80" s="56">
        <v>10491</v>
      </c>
      <c r="I80" s="56">
        <v>9979</v>
      </c>
      <c r="J80" s="56">
        <v>10115</v>
      </c>
      <c r="K80" s="56">
        <v>10157</v>
      </c>
      <c r="L80" s="56">
        <v>10004</v>
      </c>
      <c r="M80" s="56">
        <v>9776</v>
      </c>
      <c r="N80" s="56">
        <v>10162</v>
      </c>
      <c r="O80" s="56">
        <v>10129</v>
      </c>
      <c r="Q80" s="767" t="s">
        <v>1493</v>
      </c>
    </row>
    <row r="81" spans="1:17">
      <c r="A81" s="210">
        <v>8</v>
      </c>
      <c r="B81" s="767" t="s">
        <v>3961</v>
      </c>
      <c r="C81" s="62" t="s">
        <v>9411</v>
      </c>
      <c r="D81" s="772">
        <v>70167</v>
      </c>
      <c r="E81" s="772">
        <v>72760</v>
      </c>
      <c r="F81" s="772">
        <v>72615</v>
      </c>
      <c r="G81" s="58">
        <v>6382</v>
      </c>
      <c r="H81" s="58">
        <v>6320</v>
      </c>
      <c r="I81" s="58">
        <v>6183</v>
      </c>
      <c r="J81" s="58">
        <v>6180</v>
      </c>
      <c r="K81" s="58">
        <v>6400</v>
      </c>
      <c r="L81" s="58">
        <v>6416</v>
      </c>
      <c r="M81" s="58">
        <v>6374</v>
      </c>
      <c r="N81" s="58">
        <v>6497</v>
      </c>
      <c r="O81" s="58">
        <v>6488</v>
      </c>
      <c r="Q81" s="767" t="s">
        <v>1498</v>
      </c>
    </row>
    <row r="82" spans="1:17">
      <c r="A82" s="210">
        <v>9</v>
      </c>
      <c r="B82" s="767" t="s">
        <v>3962</v>
      </c>
      <c r="C82" s="62" t="s">
        <v>9412</v>
      </c>
      <c r="D82" s="772">
        <v>0</v>
      </c>
      <c r="E82" s="772">
        <v>0</v>
      </c>
      <c r="F82" s="772">
        <v>0</v>
      </c>
      <c r="G82" s="56">
        <v>6298</v>
      </c>
      <c r="H82" s="56">
        <v>6249</v>
      </c>
      <c r="I82" s="56">
        <v>6044</v>
      </c>
      <c r="J82" s="56">
        <v>5947</v>
      </c>
      <c r="K82" s="56">
        <v>6015</v>
      </c>
      <c r="L82" s="56">
        <v>6057</v>
      </c>
      <c r="M82" s="56">
        <v>5933</v>
      </c>
      <c r="N82" s="56">
        <v>6078</v>
      </c>
      <c r="O82" s="56">
        <v>6057</v>
      </c>
      <c r="Q82" s="767" t="s">
        <v>1491</v>
      </c>
    </row>
    <row r="83" spans="1:17">
      <c r="A83" s="210">
        <v>10</v>
      </c>
      <c r="B83" s="767" t="s">
        <v>9384</v>
      </c>
      <c r="C83" s="62" t="s">
        <v>9413</v>
      </c>
      <c r="D83" s="772">
        <v>0</v>
      </c>
      <c r="E83" s="772">
        <v>0</v>
      </c>
      <c r="F83" s="772">
        <v>0</v>
      </c>
      <c r="G83" s="58">
        <v>3146</v>
      </c>
      <c r="H83" s="58">
        <v>3076</v>
      </c>
      <c r="I83" s="58">
        <v>2939</v>
      </c>
      <c r="J83" s="58">
        <v>2937</v>
      </c>
      <c r="K83" s="58">
        <v>2880</v>
      </c>
      <c r="L83" s="58">
        <v>2872</v>
      </c>
      <c r="M83" s="58">
        <v>2878</v>
      </c>
      <c r="N83" s="58">
        <v>2883</v>
      </c>
      <c r="O83" s="58">
        <v>2884</v>
      </c>
      <c r="Q83" s="767" t="s">
        <v>1499</v>
      </c>
    </row>
    <row r="84" spans="1:17">
      <c r="A84" s="210">
        <v>11</v>
      </c>
      <c r="B84" s="767" t="s">
        <v>3963</v>
      </c>
      <c r="C84" s="62" t="s">
        <v>9414</v>
      </c>
      <c r="D84" s="769">
        <v>0</v>
      </c>
      <c r="E84" s="769">
        <v>0</v>
      </c>
      <c r="F84" s="769">
        <v>0</v>
      </c>
      <c r="G84" s="58">
        <v>5856</v>
      </c>
      <c r="H84" s="58">
        <v>5693</v>
      </c>
      <c r="I84" s="58">
        <v>5288</v>
      </c>
      <c r="J84" s="58">
        <v>5378</v>
      </c>
      <c r="K84" s="58">
        <v>5420</v>
      </c>
      <c r="L84" s="58">
        <v>5431</v>
      </c>
      <c r="M84" s="58">
        <v>5422</v>
      </c>
      <c r="N84" s="58">
        <v>5443</v>
      </c>
      <c r="O84" s="58">
        <v>5425</v>
      </c>
      <c r="Q84" s="767" t="s">
        <v>1496</v>
      </c>
    </row>
    <row r="85" spans="1:17" ht="15.75" thickBot="1">
      <c r="C85" s="62" t="s">
        <v>9414</v>
      </c>
      <c r="D85" s="769">
        <v>0</v>
      </c>
      <c r="E85" s="769">
        <v>0</v>
      </c>
      <c r="F85" s="769">
        <v>0</v>
      </c>
      <c r="G85" s="58">
        <v>895</v>
      </c>
      <c r="H85" s="58">
        <v>822</v>
      </c>
      <c r="I85" s="58">
        <v>708</v>
      </c>
      <c r="J85" s="58">
        <v>723</v>
      </c>
      <c r="K85" s="58">
        <v>762</v>
      </c>
      <c r="L85" s="58">
        <v>769</v>
      </c>
      <c r="M85" s="58">
        <v>767</v>
      </c>
      <c r="N85" s="58">
        <v>831</v>
      </c>
      <c r="O85" s="58">
        <v>820</v>
      </c>
      <c r="Q85" s="161" t="s">
        <v>1499</v>
      </c>
    </row>
    <row r="86" spans="1:17" ht="15.75" thickBot="1">
      <c r="A86" s="210"/>
      <c r="B86" s="767"/>
      <c r="C86" s="62" t="s">
        <v>9414</v>
      </c>
      <c r="D86" s="773">
        <f>D84+D85</f>
        <v>0</v>
      </c>
      <c r="E86" s="773">
        <f>E84+E85</f>
        <v>0</v>
      </c>
      <c r="F86" s="773">
        <f>F84+F85</f>
        <v>0</v>
      </c>
      <c r="G86" s="773">
        <f t="shared" ref="G86:L86" si="45">G84+G85</f>
        <v>6751</v>
      </c>
      <c r="H86" s="773">
        <f t="shared" si="45"/>
        <v>6515</v>
      </c>
      <c r="I86" s="773">
        <f t="shared" si="45"/>
        <v>5996</v>
      </c>
      <c r="J86" s="773">
        <f t="shared" si="45"/>
        <v>6101</v>
      </c>
      <c r="K86" s="773">
        <f t="shared" si="45"/>
        <v>6182</v>
      </c>
      <c r="L86" s="773">
        <f t="shared" si="45"/>
        <v>6200</v>
      </c>
      <c r="M86" s="773">
        <f>M84+M85</f>
        <v>6189</v>
      </c>
      <c r="N86" s="773">
        <f>N84+N85</f>
        <v>6274</v>
      </c>
      <c r="O86" s="773">
        <f>O84+O85</f>
        <v>6245</v>
      </c>
      <c r="Q86" s="767"/>
    </row>
    <row r="87" spans="1:17">
      <c r="A87" s="210">
        <v>12</v>
      </c>
      <c r="B87" s="767" t="s">
        <v>5502</v>
      </c>
      <c r="C87" s="62" t="s">
        <v>9415</v>
      </c>
      <c r="D87" s="769">
        <v>0</v>
      </c>
      <c r="E87" s="769">
        <v>0</v>
      </c>
      <c r="F87" s="769">
        <v>0</v>
      </c>
      <c r="G87" s="56">
        <v>7452</v>
      </c>
      <c r="H87" s="56">
        <v>7388</v>
      </c>
      <c r="I87" s="56">
        <v>7169</v>
      </c>
      <c r="J87" s="56">
        <v>7146</v>
      </c>
      <c r="K87" s="56">
        <v>7339</v>
      </c>
      <c r="L87" s="56">
        <v>7371</v>
      </c>
      <c r="M87" s="56">
        <v>7351</v>
      </c>
      <c r="N87" s="56">
        <v>7663</v>
      </c>
      <c r="O87" s="56">
        <v>7635</v>
      </c>
      <c r="Q87" s="767" t="s">
        <v>1493</v>
      </c>
    </row>
    <row r="88" spans="1:17">
      <c r="A88" s="210">
        <v>13</v>
      </c>
      <c r="B88" s="767" t="s">
        <v>5503</v>
      </c>
      <c r="C88" s="62" t="s">
        <v>9416</v>
      </c>
      <c r="D88" s="769">
        <v>0</v>
      </c>
      <c r="E88" s="769">
        <v>0</v>
      </c>
      <c r="F88" s="769">
        <v>0</v>
      </c>
      <c r="G88" s="58">
        <v>6370</v>
      </c>
      <c r="H88" s="58">
        <v>6240</v>
      </c>
      <c r="I88" s="58">
        <v>5841</v>
      </c>
      <c r="J88" s="58">
        <v>5962</v>
      </c>
      <c r="K88" s="58">
        <v>6219</v>
      </c>
      <c r="L88" s="58">
        <v>6261</v>
      </c>
      <c r="M88" s="58">
        <v>6205</v>
      </c>
      <c r="N88" s="58">
        <v>6348</v>
      </c>
      <c r="O88" s="58">
        <v>6333</v>
      </c>
      <c r="Q88" s="767" t="s">
        <v>1498</v>
      </c>
    </row>
    <row r="89" spans="1:17">
      <c r="A89" s="210">
        <v>14</v>
      </c>
      <c r="B89" s="767" t="s">
        <v>9385</v>
      </c>
      <c r="C89" s="62" t="s">
        <v>9417</v>
      </c>
      <c r="D89" s="769">
        <v>0</v>
      </c>
      <c r="E89" s="769">
        <v>0</v>
      </c>
      <c r="F89" s="769">
        <v>0</v>
      </c>
      <c r="G89" s="58">
        <v>3161</v>
      </c>
      <c r="H89" s="58">
        <v>3059</v>
      </c>
      <c r="I89" s="58">
        <v>2888</v>
      </c>
      <c r="J89" s="58">
        <v>2919</v>
      </c>
      <c r="K89" s="58">
        <v>3037</v>
      </c>
      <c r="L89" s="58">
        <v>3030</v>
      </c>
      <c r="M89" s="58">
        <v>2982</v>
      </c>
      <c r="N89" s="58">
        <v>3017</v>
      </c>
      <c r="O89" s="58">
        <v>3006</v>
      </c>
      <c r="Q89" s="767" t="s">
        <v>1497</v>
      </c>
    </row>
    <row r="90" spans="1:17">
      <c r="A90" s="210">
        <v>15</v>
      </c>
      <c r="B90" s="767" t="s">
        <v>9386</v>
      </c>
      <c r="C90" s="62" t="s">
        <v>9418</v>
      </c>
      <c r="D90" s="769">
        <v>0</v>
      </c>
      <c r="E90" s="769">
        <v>0</v>
      </c>
      <c r="F90" s="769">
        <v>0</v>
      </c>
      <c r="G90" s="58">
        <v>3233</v>
      </c>
      <c r="H90" s="58">
        <v>3088</v>
      </c>
      <c r="I90" s="58">
        <v>2978</v>
      </c>
      <c r="J90" s="58">
        <v>2999</v>
      </c>
      <c r="K90" s="58">
        <v>3072</v>
      </c>
      <c r="L90" s="58">
        <v>3047</v>
      </c>
      <c r="M90" s="58">
        <v>3069</v>
      </c>
      <c r="N90" s="58">
        <v>3076</v>
      </c>
      <c r="O90" s="58">
        <v>3071</v>
      </c>
      <c r="Q90" s="767" t="s">
        <v>1497</v>
      </c>
    </row>
    <row r="91" spans="1:17">
      <c r="A91" s="210">
        <v>16</v>
      </c>
      <c r="B91" s="767" t="s">
        <v>5504</v>
      </c>
      <c r="C91" s="62" t="s">
        <v>9419</v>
      </c>
      <c r="D91" s="769">
        <v>0</v>
      </c>
      <c r="E91" s="769">
        <v>0</v>
      </c>
      <c r="F91" s="769">
        <v>0</v>
      </c>
      <c r="G91" s="58">
        <v>6241</v>
      </c>
      <c r="H91" s="58">
        <v>6129</v>
      </c>
      <c r="I91" s="58">
        <v>5907</v>
      </c>
      <c r="J91" s="58">
        <v>5937</v>
      </c>
      <c r="K91" s="58">
        <v>5999</v>
      </c>
      <c r="L91" s="58">
        <v>5930</v>
      </c>
      <c r="M91" s="58">
        <v>5920</v>
      </c>
      <c r="N91" s="58">
        <v>5999</v>
      </c>
      <c r="O91" s="58">
        <v>5991</v>
      </c>
      <c r="Q91" s="767" t="s">
        <v>1497</v>
      </c>
    </row>
    <row r="92" spans="1:17">
      <c r="A92" s="210">
        <v>17</v>
      </c>
      <c r="B92" s="767" t="s">
        <v>5505</v>
      </c>
      <c r="C92" s="62" t="s">
        <v>9420</v>
      </c>
      <c r="D92" s="769">
        <v>0</v>
      </c>
      <c r="E92" s="769">
        <v>0</v>
      </c>
      <c r="F92" s="769">
        <v>0</v>
      </c>
      <c r="G92" s="58">
        <v>6145</v>
      </c>
      <c r="H92" s="58">
        <v>6020</v>
      </c>
      <c r="I92" s="58">
        <v>5697</v>
      </c>
      <c r="J92" s="58">
        <v>5825</v>
      </c>
      <c r="K92" s="58">
        <v>5965</v>
      </c>
      <c r="L92" s="58">
        <v>5880</v>
      </c>
      <c r="M92" s="58">
        <v>5791</v>
      </c>
      <c r="N92" s="58">
        <v>5853</v>
      </c>
      <c r="O92" s="58">
        <v>5811</v>
      </c>
      <c r="Q92" s="767" t="s">
        <v>1497</v>
      </c>
    </row>
    <row r="93" spans="1:17">
      <c r="A93" s="210">
        <v>18</v>
      </c>
      <c r="B93" s="767" t="s">
        <v>5506</v>
      </c>
      <c r="C93" s="62" t="s">
        <v>9421</v>
      </c>
      <c r="D93" s="769">
        <v>0</v>
      </c>
      <c r="E93" s="769">
        <v>0</v>
      </c>
      <c r="F93" s="769">
        <v>0</v>
      </c>
      <c r="G93" s="58">
        <v>3152</v>
      </c>
      <c r="H93" s="58">
        <v>3038</v>
      </c>
      <c r="I93" s="58">
        <v>2838</v>
      </c>
      <c r="J93" s="58">
        <v>2970</v>
      </c>
      <c r="K93" s="58">
        <v>3174</v>
      </c>
      <c r="L93" s="58">
        <v>3225</v>
      </c>
      <c r="M93" s="58">
        <v>3297</v>
      </c>
      <c r="N93" s="58">
        <v>3434</v>
      </c>
      <c r="O93" s="58">
        <v>3429</v>
      </c>
      <c r="Q93" s="767" t="s">
        <v>1499</v>
      </c>
    </row>
    <row r="94" spans="1:17">
      <c r="A94" s="210">
        <v>19</v>
      </c>
      <c r="B94" s="767" t="s">
        <v>5507</v>
      </c>
      <c r="C94" s="62" t="s">
        <v>9422</v>
      </c>
      <c r="D94" s="769">
        <v>0</v>
      </c>
      <c r="E94" s="769">
        <v>0</v>
      </c>
      <c r="F94" s="769">
        <v>0</v>
      </c>
      <c r="G94" s="58">
        <v>6197</v>
      </c>
      <c r="H94" s="58">
        <v>6009</v>
      </c>
      <c r="I94" s="58">
        <v>5731</v>
      </c>
      <c r="J94" s="58">
        <v>5761</v>
      </c>
      <c r="K94" s="58">
        <v>5857</v>
      </c>
      <c r="L94" s="58">
        <v>5920</v>
      </c>
      <c r="M94" s="58">
        <v>5784</v>
      </c>
      <c r="N94" s="58">
        <v>5887</v>
      </c>
      <c r="O94" s="58">
        <v>5874</v>
      </c>
      <c r="Q94" s="767" t="s">
        <v>1498</v>
      </c>
    </row>
    <row r="95" spans="1:17">
      <c r="A95" s="210">
        <v>20</v>
      </c>
      <c r="B95" s="767" t="s">
        <v>9387</v>
      </c>
      <c r="C95" s="62" t="s">
        <v>9423</v>
      </c>
      <c r="D95" s="769">
        <v>0</v>
      </c>
      <c r="E95" s="769">
        <v>0</v>
      </c>
      <c r="F95" s="769">
        <v>0</v>
      </c>
      <c r="G95" s="58">
        <v>2801</v>
      </c>
      <c r="H95" s="58">
        <v>2873</v>
      </c>
      <c r="I95" s="58">
        <v>2868</v>
      </c>
      <c r="J95" s="58">
        <v>2886</v>
      </c>
      <c r="K95" s="58">
        <v>3059</v>
      </c>
      <c r="L95" s="58">
        <v>3183</v>
      </c>
      <c r="M95" s="58">
        <v>3285</v>
      </c>
      <c r="N95" s="58">
        <v>3572</v>
      </c>
      <c r="O95" s="58">
        <v>3598</v>
      </c>
      <c r="Q95" s="767" t="s">
        <v>1498</v>
      </c>
    </row>
    <row r="96" spans="1:17">
      <c r="A96" s="210">
        <v>21</v>
      </c>
      <c r="B96" s="767" t="s">
        <v>5508</v>
      </c>
      <c r="C96" s="62" t="s">
        <v>9424</v>
      </c>
      <c r="D96" s="769">
        <v>0</v>
      </c>
      <c r="E96" s="769">
        <v>0</v>
      </c>
      <c r="F96" s="769">
        <v>0</v>
      </c>
      <c r="G96" s="56">
        <v>3263</v>
      </c>
      <c r="H96" s="56">
        <v>3128</v>
      </c>
      <c r="I96" s="56">
        <v>2872</v>
      </c>
      <c r="J96" s="56">
        <v>3010</v>
      </c>
      <c r="K96" s="56">
        <v>3137</v>
      </c>
      <c r="L96" s="56">
        <v>3164</v>
      </c>
      <c r="M96" s="56">
        <v>3132</v>
      </c>
      <c r="N96" s="56">
        <v>3182</v>
      </c>
      <c r="O96" s="56">
        <v>3177</v>
      </c>
      <c r="Q96" s="767" t="s">
        <v>1491</v>
      </c>
    </row>
    <row r="97" spans="1:17">
      <c r="A97" s="210">
        <v>22</v>
      </c>
      <c r="B97" s="767" t="s">
        <v>5509</v>
      </c>
      <c r="C97" s="62" t="s">
        <v>9425</v>
      </c>
      <c r="D97" s="769">
        <v>0</v>
      </c>
      <c r="E97" s="769">
        <v>0</v>
      </c>
      <c r="F97" s="769">
        <v>0</v>
      </c>
      <c r="G97" s="56">
        <v>9484</v>
      </c>
      <c r="H97" s="56">
        <v>9455</v>
      </c>
      <c r="I97" s="56">
        <v>9111</v>
      </c>
      <c r="J97" s="56">
        <v>9280</v>
      </c>
      <c r="K97" s="56">
        <v>9523</v>
      </c>
      <c r="L97" s="56">
        <v>9622</v>
      </c>
      <c r="M97" s="56">
        <v>9635</v>
      </c>
      <c r="N97" s="56">
        <v>9801</v>
      </c>
      <c r="O97" s="56">
        <v>9779</v>
      </c>
      <c r="Q97" s="767" t="s">
        <v>1493</v>
      </c>
    </row>
    <row r="98" spans="1:17">
      <c r="A98" s="210">
        <v>23</v>
      </c>
      <c r="B98" s="767" t="s">
        <v>5510</v>
      </c>
      <c r="C98" s="62" t="s">
        <v>9426</v>
      </c>
      <c r="D98" s="769">
        <v>0</v>
      </c>
      <c r="E98" s="769">
        <v>0</v>
      </c>
      <c r="F98" s="769">
        <v>0</v>
      </c>
      <c r="G98" s="58">
        <v>6045</v>
      </c>
      <c r="H98" s="58">
        <v>5731</v>
      </c>
      <c r="I98" s="58">
        <v>4999</v>
      </c>
      <c r="J98" s="58">
        <v>5177</v>
      </c>
      <c r="K98" s="58">
        <v>5453</v>
      </c>
      <c r="L98" s="58">
        <v>5536</v>
      </c>
      <c r="M98" s="58">
        <v>5615</v>
      </c>
      <c r="N98" s="58">
        <v>5755</v>
      </c>
      <c r="O98" s="58">
        <v>5737</v>
      </c>
      <c r="Q98" s="767" t="s">
        <v>1497</v>
      </c>
    </row>
    <row r="99" spans="1:17">
      <c r="A99" s="210">
        <v>24</v>
      </c>
      <c r="B99" s="767" t="s">
        <v>9388</v>
      </c>
      <c r="C99" s="62" t="s">
        <v>9427</v>
      </c>
      <c r="D99" s="769">
        <v>0</v>
      </c>
      <c r="E99" s="769">
        <v>0</v>
      </c>
      <c r="F99" s="769">
        <v>0</v>
      </c>
      <c r="G99" s="58">
        <v>9522</v>
      </c>
      <c r="H99" s="58">
        <v>9440</v>
      </c>
      <c r="I99" s="58">
        <v>8981</v>
      </c>
      <c r="J99" s="58">
        <v>8995</v>
      </c>
      <c r="K99" s="58">
        <v>9178</v>
      </c>
      <c r="L99" s="58">
        <v>9181</v>
      </c>
      <c r="M99" s="58">
        <v>9036</v>
      </c>
      <c r="N99" s="58">
        <v>9291</v>
      </c>
      <c r="O99" s="58">
        <v>9277</v>
      </c>
      <c r="Q99" s="767" t="s">
        <v>1498</v>
      </c>
    </row>
    <row r="100" spans="1:17">
      <c r="A100" s="210">
        <v>25</v>
      </c>
      <c r="B100" s="767" t="s">
        <v>5511</v>
      </c>
      <c r="C100" s="62" t="s">
        <v>9428</v>
      </c>
      <c r="D100" s="769">
        <v>63387</v>
      </c>
      <c r="E100" s="769">
        <v>65618</v>
      </c>
      <c r="F100" s="769">
        <v>66096</v>
      </c>
      <c r="G100" s="58">
        <v>6388</v>
      </c>
      <c r="H100" s="58">
        <v>6332</v>
      </c>
      <c r="I100" s="58">
        <v>5731</v>
      </c>
      <c r="J100" s="58">
        <v>5868</v>
      </c>
      <c r="K100" s="58">
        <v>6134</v>
      </c>
      <c r="L100" s="58">
        <v>6130</v>
      </c>
      <c r="M100" s="58">
        <v>6057</v>
      </c>
      <c r="N100" s="58">
        <v>6121</v>
      </c>
      <c r="O100" s="58">
        <v>6098</v>
      </c>
      <c r="Q100" s="767" t="s">
        <v>1496</v>
      </c>
    </row>
    <row r="101" spans="1:17">
      <c r="A101" s="210">
        <v>26</v>
      </c>
      <c r="B101" s="767" t="s">
        <v>9389</v>
      </c>
      <c r="C101" s="62" t="s">
        <v>9429</v>
      </c>
      <c r="D101" s="769">
        <v>0</v>
      </c>
      <c r="E101" s="769">
        <v>0</v>
      </c>
      <c r="F101" s="769">
        <v>0</v>
      </c>
      <c r="G101" s="56">
        <v>8817</v>
      </c>
      <c r="H101" s="56">
        <v>8652</v>
      </c>
      <c r="I101" s="56">
        <v>8347</v>
      </c>
      <c r="J101" s="56">
        <v>8294</v>
      </c>
      <c r="K101" s="56">
        <v>8478</v>
      </c>
      <c r="L101" s="56">
        <v>8433</v>
      </c>
      <c r="M101" s="56">
        <v>8411</v>
      </c>
      <c r="N101" s="56">
        <v>8659</v>
      </c>
      <c r="O101" s="56">
        <v>8663</v>
      </c>
      <c r="Q101" s="767" t="s">
        <v>1493</v>
      </c>
    </row>
    <row r="102" spans="1:17" ht="15.75" thickBot="1">
      <c r="A102" s="210"/>
      <c r="B102" s="767"/>
      <c r="C102" s="62" t="s">
        <v>9429</v>
      </c>
      <c r="D102" s="769">
        <v>0</v>
      </c>
      <c r="E102" s="769">
        <v>0</v>
      </c>
      <c r="F102" s="769">
        <v>0</v>
      </c>
      <c r="G102" s="58">
        <v>808</v>
      </c>
      <c r="H102" s="58">
        <v>792</v>
      </c>
      <c r="I102" s="58">
        <v>757</v>
      </c>
      <c r="J102" s="58">
        <v>724</v>
      </c>
      <c r="K102" s="58">
        <v>745</v>
      </c>
      <c r="L102" s="58">
        <v>768</v>
      </c>
      <c r="M102" s="58">
        <v>793</v>
      </c>
      <c r="N102" s="58">
        <v>812</v>
      </c>
      <c r="O102" s="58">
        <v>816</v>
      </c>
      <c r="Q102" s="767" t="s">
        <v>1498</v>
      </c>
    </row>
    <row r="103" spans="1:17" ht="15.75" thickBot="1">
      <c r="C103" s="62" t="s">
        <v>9429</v>
      </c>
      <c r="D103" s="773">
        <f>D101+D102</f>
        <v>0</v>
      </c>
      <c r="E103" s="773">
        <f>E101+E102</f>
        <v>0</v>
      </c>
      <c r="F103" s="773">
        <f>F101+F102</f>
        <v>0</v>
      </c>
      <c r="G103" s="773">
        <f t="shared" ref="G103:L103" si="46">G101+G102</f>
        <v>9625</v>
      </c>
      <c r="H103" s="773">
        <f t="shared" si="46"/>
        <v>9444</v>
      </c>
      <c r="I103" s="773">
        <f t="shared" si="46"/>
        <v>9104</v>
      </c>
      <c r="J103" s="773">
        <f t="shared" si="46"/>
        <v>9018</v>
      </c>
      <c r="K103" s="773">
        <f t="shared" si="46"/>
        <v>9223</v>
      </c>
      <c r="L103" s="773">
        <f t="shared" si="46"/>
        <v>9201</v>
      </c>
      <c r="M103" s="773">
        <f>M101+M102</f>
        <v>9204</v>
      </c>
      <c r="N103" s="773">
        <f>N101+N102</f>
        <v>9471</v>
      </c>
      <c r="O103" s="773">
        <f>O101+O102</f>
        <v>9479</v>
      </c>
    </row>
    <row r="104" spans="1:17">
      <c r="A104" s="210">
        <v>27</v>
      </c>
      <c r="B104" s="767" t="s">
        <v>9390</v>
      </c>
      <c r="C104" s="62" t="s">
        <v>9430</v>
      </c>
      <c r="D104" s="769">
        <v>0</v>
      </c>
      <c r="E104" s="769">
        <v>0</v>
      </c>
      <c r="F104" s="769">
        <v>0</v>
      </c>
      <c r="G104" s="58">
        <v>6310</v>
      </c>
      <c r="H104" s="58">
        <v>6327</v>
      </c>
      <c r="I104" s="58">
        <v>6079</v>
      </c>
      <c r="J104" s="58">
        <v>6026</v>
      </c>
      <c r="K104" s="58">
        <v>6289</v>
      </c>
      <c r="L104" s="58">
        <v>6250</v>
      </c>
      <c r="M104" s="58">
        <v>6167</v>
      </c>
      <c r="N104" s="58">
        <v>6226</v>
      </c>
      <c r="O104" s="58">
        <v>6232</v>
      </c>
      <c r="Q104" s="767" t="s">
        <v>1498</v>
      </c>
    </row>
    <row r="105" spans="1:17">
      <c r="A105" s="210">
        <v>28</v>
      </c>
      <c r="B105" s="767" t="s">
        <v>5512</v>
      </c>
      <c r="C105" s="62" t="s">
        <v>9431</v>
      </c>
      <c r="D105" s="769">
        <v>0</v>
      </c>
      <c r="E105" s="769">
        <v>0</v>
      </c>
      <c r="F105" s="769">
        <v>0</v>
      </c>
      <c r="G105" s="58">
        <v>6014</v>
      </c>
      <c r="H105" s="58">
        <v>5729</v>
      </c>
      <c r="I105" s="58">
        <v>5370</v>
      </c>
      <c r="J105" s="58">
        <v>5280</v>
      </c>
      <c r="K105" s="58">
        <v>5485</v>
      </c>
      <c r="L105" s="58">
        <v>5499</v>
      </c>
      <c r="M105" s="58">
        <v>5439</v>
      </c>
      <c r="N105" s="58">
        <v>5454</v>
      </c>
      <c r="O105" s="58">
        <v>5435</v>
      </c>
      <c r="Q105" s="767" t="s">
        <v>1496</v>
      </c>
    </row>
    <row r="106" spans="1:17">
      <c r="A106" s="210">
        <v>29</v>
      </c>
      <c r="B106" s="767" t="s">
        <v>3974</v>
      </c>
      <c r="C106" s="62" t="s">
        <v>9432</v>
      </c>
      <c r="D106" s="769">
        <v>0</v>
      </c>
      <c r="E106" s="769">
        <v>0</v>
      </c>
      <c r="F106" s="769">
        <v>0</v>
      </c>
      <c r="G106" s="58">
        <v>2429</v>
      </c>
      <c r="H106" s="58">
        <v>2725</v>
      </c>
      <c r="I106" s="58">
        <v>1566</v>
      </c>
      <c r="J106" s="58">
        <v>1619</v>
      </c>
      <c r="K106" s="58">
        <v>1671</v>
      </c>
      <c r="L106" s="58">
        <v>3110</v>
      </c>
      <c r="M106" s="58">
        <v>1553</v>
      </c>
      <c r="N106" s="58">
        <v>2211</v>
      </c>
      <c r="O106" s="58">
        <v>2204</v>
      </c>
      <c r="Q106" s="767" t="s">
        <v>1493</v>
      </c>
    </row>
    <row r="107" spans="1:17">
      <c r="A107" s="210">
        <v>30</v>
      </c>
      <c r="B107" s="767" t="s">
        <v>6742</v>
      </c>
      <c r="C107" s="62" t="s">
        <v>9433</v>
      </c>
      <c r="D107" s="769">
        <v>0</v>
      </c>
      <c r="E107" s="769">
        <v>0</v>
      </c>
      <c r="F107" s="769">
        <v>0</v>
      </c>
      <c r="G107" s="58">
        <v>6012</v>
      </c>
      <c r="H107" s="58">
        <v>5958</v>
      </c>
      <c r="I107" s="58">
        <v>5629</v>
      </c>
      <c r="J107" s="58">
        <v>5559</v>
      </c>
      <c r="K107" s="58">
        <v>5580</v>
      </c>
      <c r="L107" s="58">
        <v>5642</v>
      </c>
      <c r="M107" s="58">
        <v>5564</v>
      </c>
      <c r="N107" s="58">
        <v>5726</v>
      </c>
      <c r="O107" s="58">
        <v>5710</v>
      </c>
      <c r="Q107" s="767" t="s">
        <v>1496</v>
      </c>
    </row>
    <row r="108" spans="1:17">
      <c r="A108" s="210">
        <v>31</v>
      </c>
      <c r="B108" s="767" t="s">
        <v>9391</v>
      </c>
      <c r="C108" s="62" t="s">
        <v>9434</v>
      </c>
      <c r="D108" s="769">
        <v>0</v>
      </c>
      <c r="E108" s="769">
        <v>0</v>
      </c>
      <c r="F108" s="769">
        <v>0</v>
      </c>
      <c r="G108" s="58">
        <v>7359</v>
      </c>
      <c r="H108" s="58">
        <v>6571</v>
      </c>
      <c r="I108" s="58">
        <v>3872</v>
      </c>
      <c r="J108" s="58">
        <v>4081</v>
      </c>
      <c r="K108" s="58">
        <v>4970</v>
      </c>
      <c r="L108" s="58">
        <v>7257</v>
      </c>
      <c r="M108" s="58">
        <v>3423</v>
      </c>
      <c r="N108" s="58">
        <v>5807</v>
      </c>
      <c r="O108" s="58">
        <v>5740</v>
      </c>
      <c r="Q108" s="767" t="s">
        <v>1493</v>
      </c>
    </row>
    <row r="109" spans="1:17">
      <c r="A109" s="210">
        <v>32</v>
      </c>
      <c r="B109" s="767" t="s">
        <v>9392</v>
      </c>
      <c r="C109" s="62" t="s">
        <v>9435</v>
      </c>
      <c r="D109" s="769">
        <v>0</v>
      </c>
      <c r="E109" s="769">
        <v>0</v>
      </c>
      <c r="F109" s="769">
        <v>0</v>
      </c>
      <c r="G109" s="58">
        <v>2102</v>
      </c>
      <c r="H109" s="58">
        <v>2091</v>
      </c>
      <c r="I109" s="58">
        <v>2066</v>
      </c>
      <c r="J109" s="58">
        <v>2054</v>
      </c>
      <c r="K109" s="58">
        <v>2078</v>
      </c>
      <c r="L109" s="58">
        <v>2039</v>
      </c>
      <c r="M109" s="58">
        <v>2030</v>
      </c>
      <c r="N109" s="58">
        <v>2058</v>
      </c>
      <c r="O109" s="58">
        <v>2056</v>
      </c>
      <c r="Q109" s="767" t="s">
        <v>1493</v>
      </c>
    </row>
    <row r="110" spans="1:17" ht="15.75" thickBot="1">
      <c r="A110" s="210"/>
      <c r="B110" s="767"/>
      <c r="C110" s="62" t="s">
        <v>9435</v>
      </c>
      <c r="D110" s="769">
        <v>0</v>
      </c>
      <c r="E110" s="769">
        <v>0</v>
      </c>
      <c r="F110" s="769">
        <v>0</v>
      </c>
      <c r="G110" s="58">
        <v>4371</v>
      </c>
      <c r="H110" s="58">
        <v>4343</v>
      </c>
      <c r="I110" s="58">
        <v>4060</v>
      </c>
      <c r="J110" s="58">
        <v>4138</v>
      </c>
      <c r="K110" s="58">
        <v>4215</v>
      </c>
      <c r="L110" s="58">
        <v>4223</v>
      </c>
      <c r="M110" s="58">
        <v>4165</v>
      </c>
      <c r="N110" s="58">
        <v>4358</v>
      </c>
      <c r="O110" s="58">
        <v>4328</v>
      </c>
      <c r="Q110" s="767" t="s">
        <v>1498</v>
      </c>
    </row>
    <row r="111" spans="1:17" ht="15.75" thickBot="1">
      <c r="A111" s="210"/>
      <c r="B111" s="767"/>
      <c r="C111" s="62" t="s">
        <v>9435</v>
      </c>
      <c r="D111" s="773">
        <f>D109+D110</f>
        <v>0</v>
      </c>
      <c r="E111" s="773">
        <f>E109+E110</f>
        <v>0</v>
      </c>
      <c r="F111" s="773">
        <f>F109+F110</f>
        <v>0</v>
      </c>
      <c r="G111" s="773">
        <f t="shared" ref="G111:L111" si="47">G109+G110</f>
        <v>6473</v>
      </c>
      <c r="H111" s="773">
        <f t="shared" si="47"/>
        <v>6434</v>
      </c>
      <c r="I111" s="773">
        <f t="shared" si="47"/>
        <v>6126</v>
      </c>
      <c r="J111" s="773">
        <f t="shared" si="47"/>
        <v>6192</v>
      </c>
      <c r="K111" s="773">
        <f t="shared" si="47"/>
        <v>6293</v>
      </c>
      <c r="L111" s="773">
        <f t="shared" si="47"/>
        <v>6262</v>
      </c>
      <c r="M111" s="773">
        <f>M109+M110</f>
        <v>6195</v>
      </c>
      <c r="N111" s="773">
        <f>N109+N110</f>
        <v>6416</v>
      </c>
      <c r="O111" s="773">
        <f>O109+O110</f>
        <v>6384</v>
      </c>
      <c r="Q111" s="767"/>
    </row>
    <row r="112" spans="1:17">
      <c r="A112" s="210">
        <v>33</v>
      </c>
      <c r="B112" s="767" t="s">
        <v>3975</v>
      </c>
      <c r="C112" s="62" t="s">
        <v>9436</v>
      </c>
      <c r="D112" s="769">
        <v>0</v>
      </c>
      <c r="E112" s="769">
        <v>0</v>
      </c>
      <c r="F112" s="769">
        <v>0</v>
      </c>
      <c r="G112" s="56">
        <v>6724</v>
      </c>
      <c r="H112" s="56">
        <v>6594</v>
      </c>
      <c r="I112" s="56">
        <v>6163</v>
      </c>
      <c r="J112" s="56">
        <v>6231</v>
      </c>
      <c r="K112" s="56">
        <v>6366</v>
      </c>
      <c r="L112" s="56">
        <v>6381</v>
      </c>
      <c r="M112" s="56">
        <v>6350</v>
      </c>
      <c r="N112" s="56">
        <v>6473</v>
      </c>
      <c r="O112" s="56">
        <v>6458</v>
      </c>
      <c r="Q112" s="767" t="s">
        <v>1491</v>
      </c>
    </row>
    <row r="113" spans="1:17">
      <c r="A113" s="210">
        <v>34</v>
      </c>
      <c r="B113" s="767" t="s">
        <v>3976</v>
      </c>
      <c r="C113" s="62" t="s">
        <v>9437</v>
      </c>
      <c r="D113" s="769">
        <v>0</v>
      </c>
      <c r="E113" s="769">
        <v>0</v>
      </c>
      <c r="F113" s="769">
        <v>0</v>
      </c>
      <c r="G113" s="56">
        <v>976</v>
      </c>
      <c r="H113" s="56">
        <v>958</v>
      </c>
      <c r="I113" s="56">
        <v>923</v>
      </c>
      <c r="J113" s="56">
        <v>921</v>
      </c>
      <c r="K113" s="56">
        <v>943</v>
      </c>
      <c r="L113" s="56">
        <v>941</v>
      </c>
      <c r="M113" s="56">
        <v>962</v>
      </c>
      <c r="N113" s="56">
        <v>1026</v>
      </c>
      <c r="O113" s="56">
        <v>1037</v>
      </c>
      <c r="Q113" s="767" t="s">
        <v>1491</v>
      </c>
    </row>
    <row r="114" spans="1:17" ht="15.75" thickBot="1">
      <c r="A114" s="210"/>
      <c r="B114" s="767"/>
      <c r="C114" s="62" t="s">
        <v>9437</v>
      </c>
      <c r="D114" s="769">
        <v>0</v>
      </c>
      <c r="E114" s="769">
        <v>0</v>
      </c>
      <c r="F114" s="769">
        <v>0</v>
      </c>
      <c r="G114" s="58">
        <v>8049</v>
      </c>
      <c r="H114" s="58">
        <v>7786</v>
      </c>
      <c r="I114" s="58">
        <v>7347</v>
      </c>
      <c r="J114" s="58">
        <v>7230</v>
      </c>
      <c r="K114" s="58">
        <v>7227</v>
      </c>
      <c r="L114" s="58">
        <v>7233</v>
      </c>
      <c r="M114" s="58">
        <v>7091</v>
      </c>
      <c r="N114" s="58">
        <v>7126</v>
      </c>
      <c r="O114" s="58">
        <v>7088</v>
      </c>
      <c r="Q114" s="767" t="s">
        <v>1499</v>
      </c>
    </row>
    <row r="115" spans="1:17" ht="15.75" thickBot="1">
      <c r="A115" s="210"/>
      <c r="B115" s="767"/>
      <c r="C115" s="62" t="s">
        <v>9437</v>
      </c>
      <c r="D115" s="773">
        <f>D113+D114</f>
        <v>0</v>
      </c>
      <c r="E115" s="773">
        <f>E113+E114</f>
        <v>0</v>
      </c>
      <c r="F115" s="773">
        <f>F113+F114</f>
        <v>0</v>
      </c>
      <c r="G115" s="773">
        <f t="shared" ref="G115:L115" si="48">G113+G114</f>
        <v>9025</v>
      </c>
      <c r="H115" s="773">
        <f t="shared" si="48"/>
        <v>8744</v>
      </c>
      <c r="I115" s="773">
        <f t="shared" si="48"/>
        <v>8270</v>
      </c>
      <c r="J115" s="773">
        <f t="shared" si="48"/>
        <v>8151</v>
      </c>
      <c r="K115" s="773">
        <f t="shared" si="48"/>
        <v>8170</v>
      </c>
      <c r="L115" s="773">
        <f t="shared" si="48"/>
        <v>8174</v>
      </c>
      <c r="M115" s="773">
        <f>M113+M114</f>
        <v>8053</v>
      </c>
      <c r="N115" s="773">
        <f>N113+N114</f>
        <v>8152</v>
      </c>
      <c r="O115" s="773">
        <f>O113+O114</f>
        <v>8125</v>
      </c>
      <c r="Q115" s="767"/>
    </row>
    <row r="116" spans="1:17">
      <c r="A116" s="210">
        <v>35</v>
      </c>
      <c r="B116" s="767" t="s">
        <v>9627</v>
      </c>
      <c r="C116" s="62" t="s">
        <v>9438</v>
      </c>
      <c r="D116" s="769">
        <v>0</v>
      </c>
      <c r="E116" s="769">
        <v>0</v>
      </c>
      <c r="F116" s="769">
        <v>0</v>
      </c>
      <c r="G116" s="58">
        <v>10530</v>
      </c>
      <c r="H116" s="58">
        <v>10481</v>
      </c>
      <c r="I116" s="58">
        <v>10130</v>
      </c>
      <c r="J116" s="58">
        <v>10175</v>
      </c>
      <c r="K116" s="58">
        <v>10306</v>
      </c>
      <c r="L116" s="58">
        <v>10308</v>
      </c>
      <c r="M116" s="58">
        <v>10143</v>
      </c>
      <c r="N116" s="58">
        <v>10317</v>
      </c>
      <c r="O116" s="58">
        <v>10315</v>
      </c>
      <c r="Q116" s="767" t="s">
        <v>1493</v>
      </c>
    </row>
    <row r="117" spans="1:17">
      <c r="A117" s="210">
        <v>36</v>
      </c>
      <c r="B117" s="767" t="s">
        <v>3977</v>
      </c>
      <c r="C117" s="62" t="s">
        <v>9439</v>
      </c>
      <c r="D117" s="769">
        <v>0</v>
      </c>
      <c r="E117" s="769">
        <v>0</v>
      </c>
      <c r="F117" s="769">
        <v>0</v>
      </c>
      <c r="G117" s="58">
        <v>6434</v>
      </c>
      <c r="H117" s="58">
        <v>6292</v>
      </c>
      <c r="I117" s="58">
        <v>5825</v>
      </c>
      <c r="J117" s="58">
        <v>5809</v>
      </c>
      <c r="K117" s="58">
        <v>5763</v>
      </c>
      <c r="L117" s="58">
        <v>5631</v>
      </c>
      <c r="M117" s="58">
        <v>5412</v>
      </c>
      <c r="N117" s="58">
        <v>5421</v>
      </c>
      <c r="O117" s="58">
        <v>5393</v>
      </c>
      <c r="Q117" s="767" t="s">
        <v>1496</v>
      </c>
    </row>
    <row r="118" spans="1:17">
      <c r="A118" s="210">
        <v>37</v>
      </c>
      <c r="B118" s="767" t="s">
        <v>3978</v>
      </c>
      <c r="C118" s="62" t="s">
        <v>9440</v>
      </c>
      <c r="D118" s="769">
        <v>0</v>
      </c>
      <c r="E118" s="769">
        <v>0</v>
      </c>
      <c r="F118" s="769">
        <v>0</v>
      </c>
      <c r="G118" s="58">
        <v>6108</v>
      </c>
      <c r="H118" s="58">
        <v>6014</v>
      </c>
      <c r="I118" s="58">
        <v>5780</v>
      </c>
      <c r="J118" s="58">
        <v>5871</v>
      </c>
      <c r="K118" s="58">
        <v>5976</v>
      </c>
      <c r="L118" s="58">
        <v>6008</v>
      </c>
      <c r="M118" s="58">
        <v>5961</v>
      </c>
      <c r="N118" s="58">
        <v>6112</v>
      </c>
      <c r="O118" s="58">
        <v>6085</v>
      </c>
      <c r="Q118" s="767" t="s">
        <v>1498</v>
      </c>
    </row>
    <row r="119" spans="1:17">
      <c r="A119" s="210">
        <v>38</v>
      </c>
      <c r="B119" s="767" t="s">
        <v>3979</v>
      </c>
      <c r="C119" s="62" t="s">
        <v>9441</v>
      </c>
      <c r="D119" s="769">
        <v>0</v>
      </c>
      <c r="E119" s="769">
        <v>0</v>
      </c>
      <c r="F119" s="769">
        <v>0</v>
      </c>
      <c r="G119" s="58">
        <v>7040</v>
      </c>
      <c r="H119" s="58">
        <v>6790</v>
      </c>
      <c r="I119" s="58">
        <v>6354</v>
      </c>
      <c r="J119" s="58">
        <v>6440</v>
      </c>
      <c r="K119" s="58">
        <v>6716</v>
      </c>
      <c r="L119" s="58">
        <v>6760</v>
      </c>
      <c r="M119" s="58">
        <v>6706</v>
      </c>
      <c r="N119" s="58">
        <v>6837</v>
      </c>
      <c r="O119" s="58">
        <v>6830</v>
      </c>
      <c r="Q119" s="767" t="s">
        <v>1498</v>
      </c>
    </row>
    <row r="120" spans="1:17">
      <c r="A120" s="210">
        <v>39</v>
      </c>
      <c r="B120" s="767" t="s">
        <v>3980</v>
      </c>
      <c r="C120" s="62" t="s">
        <v>9442</v>
      </c>
      <c r="D120" s="769">
        <v>0</v>
      </c>
      <c r="E120" s="769">
        <v>0</v>
      </c>
      <c r="F120" s="769">
        <v>0</v>
      </c>
      <c r="G120" s="58">
        <v>5961</v>
      </c>
      <c r="H120" s="58">
        <v>5877</v>
      </c>
      <c r="I120" s="58">
        <v>5438</v>
      </c>
      <c r="J120" s="58">
        <v>5527</v>
      </c>
      <c r="K120" s="58">
        <v>5701</v>
      </c>
      <c r="L120" s="58">
        <v>5712</v>
      </c>
      <c r="M120" s="58">
        <v>5642</v>
      </c>
      <c r="N120" s="58">
        <v>5735</v>
      </c>
      <c r="O120" s="58">
        <v>5727</v>
      </c>
      <c r="Q120" s="767" t="s">
        <v>1497</v>
      </c>
    </row>
    <row r="121" spans="1:17">
      <c r="A121" s="210">
        <v>40</v>
      </c>
      <c r="B121" s="767" t="s">
        <v>3981</v>
      </c>
      <c r="C121" s="62" t="s">
        <v>9443</v>
      </c>
      <c r="D121" s="769">
        <v>0</v>
      </c>
      <c r="E121" s="769">
        <v>0</v>
      </c>
      <c r="F121" s="769">
        <v>0</v>
      </c>
      <c r="G121" s="58">
        <v>6288</v>
      </c>
      <c r="H121" s="58">
        <v>6238</v>
      </c>
      <c r="I121" s="58">
        <v>5876</v>
      </c>
      <c r="J121" s="58">
        <v>5820</v>
      </c>
      <c r="K121" s="58">
        <v>5883</v>
      </c>
      <c r="L121" s="58">
        <v>5830</v>
      </c>
      <c r="M121" s="58">
        <v>5680</v>
      </c>
      <c r="N121" s="58">
        <v>5818</v>
      </c>
      <c r="O121" s="58">
        <v>5817</v>
      </c>
      <c r="Q121" s="767" t="s">
        <v>1496</v>
      </c>
    </row>
    <row r="122" spans="1:17">
      <c r="A122" s="210">
        <v>41</v>
      </c>
      <c r="B122" s="767" t="s">
        <v>3982</v>
      </c>
      <c r="C122" s="62" t="s">
        <v>9444</v>
      </c>
      <c r="D122" s="769">
        <v>0</v>
      </c>
      <c r="E122" s="769">
        <v>0</v>
      </c>
      <c r="F122" s="769">
        <v>0</v>
      </c>
      <c r="G122" s="58">
        <v>7693</v>
      </c>
      <c r="H122" s="58">
        <v>7563</v>
      </c>
      <c r="I122" s="58">
        <v>5082</v>
      </c>
      <c r="J122" s="58">
        <v>6502</v>
      </c>
      <c r="K122" s="58">
        <v>6495</v>
      </c>
      <c r="L122" s="58">
        <v>7891</v>
      </c>
      <c r="M122" s="58">
        <v>5496</v>
      </c>
      <c r="N122" s="58">
        <v>7421</v>
      </c>
      <c r="O122" s="58">
        <v>7409</v>
      </c>
      <c r="Q122" s="767" t="s">
        <v>1493</v>
      </c>
    </row>
    <row r="123" spans="1:17">
      <c r="A123" s="210">
        <v>42</v>
      </c>
      <c r="B123" s="161" t="s">
        <v>9393</v>
      </c>
      <c r="C123" s="62" t="s">
        <v>9445</v>
      </c>
      <c r="D123" s="769">
        <v>0</v>
      </c>
      <c r="E123" s="769">
        <v>0</v>
      </c>
      <c r="F123" s="769">
        <v>0</v>
      </c>
      <c r="G123" s="58">
        <v>2946</v>
      </c>
      <c r="H123" s="58">
        <v>2933</v>
      </c>
      <c r="I123" s="58">
        <v>2855</v>
      </c>
      <c r="J123" s="58">
        <v>2828</v>
      </c>
      <c r="K123" s="58">
        <v>2827</v>
      </c>
      <c r="L123" s="58">
        <v>2821</v>
      </c>
      <c r="M123" s="58">
        <v>2831</v>
      </c>
      <c r="N123" s="58">
        <v>3016</v>
      </c>
      <c r="O123" s="58">
        <v>3020</v>
      </c>
      <c r="Q123" s="767" t="s">
        <v>1497</v>
      </c>
    </row>
    <row r="124" spans="1:17">
      <c r="A124" s="210">
        <v>43</v>
      </c>
      <c r="B124" s="767" t="s">
        <v>9394</v>
      </c>
      <c r="C124" s="62" t="s">
        <v>9446</v>
      </c>
      <c r="D124" s="769">
        <v>0</v>
      </c>
      <c r="E124" s="769">
        <v>0</v>
      </c>
      <c r="F124" s="769">
        <v>0</v>
      </c>
      <c r="G124" s="58">
        <v>3731</v>
      </c>
      <c r="H124" s="58">
        <v>3661</v>
      </c>
      <c r="I124" s="58">
        <v>3552</v>
      </c>
      <c r="J124" s="58">
        <v>3539</v>
      </c>
      <c r="K124" s="58">
        <v>3526</v>
      </c>
      <c r="L124" s="58">
        <v>3491</v>
      </c>
      <c r="M124" s="58">
        <v>3451</v>
      </c>
      <c r="N124" s="58">
        <v>3462</v>
      </c>
      <c r="O124" s="58">
        <v>3426</v>
      </c>
      <c r="Q124" s="767" t="s">
        <v>1496</v>
      </c>
    </row>
    <row r="125" spans="1:17">
      <c r="A125" s="210">
        <v>44</v>
      </c>
      <c r="B125" s="767" t="s">
        <v>3983</v>
      </c>
      <c r="C125" s="62" t="s">
        <v>9447</v>
      </c>
      <c r="D125" s="769">
        <v>0</v>
      </c>
      <c r="E125" s="769">
        <v>0</v>
      </c>
      <c r="F125" s="769">
        <v>0</v>
      </c>
      <c r="G125" s="58">
        <v>10395</v>
      </c>
      <c r="H125" s="58">
        <v>10277</v>
      </c>
      <c r="I125" s="58">
        <v>10039</v>
      </c>
      <c r="J125" s="58">
        <v>9889</v>
      </c>
      <c r="K125" s="58">
        <v>10074</v>
      </c>
      <c r="L125" s="58">
        <v>10084</v>
      </c>
      <c r="M125" s="58">
        <v>10009</v>
      </c>
      <c r="N125" s="58">
        <v>10269</v>
      </c>
      <c r="O125" s="58">
        <v>10227</v>
      </c>
      <c r="Q125" s="767" t="s">
        <v>1497</v>
      </c>
    </row>
    <row r="126" spans="1:17">
      <c r="A126" s="210">
        <v>45</v>
      </c>
      <c r="B126" s="767" t="s">
        <v>3984</v>
      </c>
      <c r="C126" s="62" t="s">
        <v>9448</v>
      </c>
      <c r="D126" s="769">
        <v>0</v>
      </c>
      <c r="E126" s="769">
        <v>0</v>
      </c>
      <c r="F126" s="769">
        <v>0</v>
      </c>
      <c r="G126" s="58">
        <v>6008</v>
      </c>
      <c r="H126" s="58">
        <v>5751</v>
      </c>
      <c r="I126" s="58">
        <v>5485</v>
      </c>
      <c r="J126" s="58">
        <v>5484</v>
      </c>
      <c r="K126" s="58">
        <v>5483</v>
      </c>
      <c r="L126" s="58">
        <v>5499</v>
      </c>
      <c r="M126" s="58">
        <v>5409</v>
      </c>
      <c r="N126" s="58">
        <v>5439</v>
      </c>
      <c r="O126" s="58">
        <v>5415</v>
      </c>
      <c r="Q126" s="767" t="s">
        <v>1496</v>
      </c>
    </row>
    <row r="127" spans="1:17">
      <c r="A127" s="210">
        <v>46</v>
      </c>
      <c r="B127" s="767" t="s">
        <v>3985</v>
      </c>
      <c r="C127" s="62" t="s">
        <v>9449</v>
      </c>
      <c r="D127" s="769">
        <v>0</v>
      </c>
      <c r="E127" s="769">
        <v>0</v>
      </c>
      <c r="F127" s="769">
        <v>0</v>
      </c>
      <c r="G127" s="58">
        <v>6552</v>
      </c>
      <c r="H127" s="58">
        <v>6495</v>
      </c>
      <c r="I127" s="58">
        <v>6303</v>
      </c>
      <c r="J127" s="58">
        <v>6119</v>
      </c>
      <c r="K127" s="58">
        <v>6243</v>
      </c>
      <c r="L127" s="58">
        <v>6275</v>
      </c>
      <c r="M127" s="58">
        <v>6167</v>
      </c>
      <c r="N127" s="58">
        <v>6162</v>
      </c>
      <c r="O127" s="58">
        <v>6131</v>
      </c>
      <c r="Q127" s="767" t="s">
        <v>1496</v>
      </c>
    </row>
    <row r="128" spans="1:17">
      <c r="A128" s="210">
        <v>47</v>
      </c>
      <c r="B128" s="767" t="s">
        <v>3986</v>
      </c>
      <c r="C128" s="62" t="s">
        <v>9450</v>
      </c>
      <c r="D128" s="769">
        <v>0</v>
      </c>
      <c r="E128" s="769">
        <v>0</v>
      </c>
      <c r="F128" s="769">
        <v>0</v>
      </c>
      <c r="G128" s="58">
        <v>5816</v>
      </c>
      <c r="H128" s="58">
        <v>5598</v>
      </c>
      <c r="I128" s="58">
        <v>5141</v>
      </c>
      <c r="J128" s="58">
        <v>5357</v>
      </c>
      <c r="K128" s="58">
        <v>5519</v>
      </c>
      <c r="L128" s="58">
        <v>5646</v>
      </c>
      <c r="M128" s="58">
        <v>5597</v>
      </c>
      <c r="N128" s="58">
        <v>5672</v>
      </c>
      <c r="O128" s="58">
        <v>5638</v>
      </c>
      <c r="Q128" s="767" t="s">
        <v>1497</v>
      </c>
    </row>
    <row r="129" spans="1:17">
      <c r="A129" s="210">
        <v>48</v>
      </c>
      <c r="B129" s="767" t="s">
        <v>3987</v>
      </c>
      <c r="C129" s="62" t="s">
        <v>9451</v>
      </c>
      <c r="D129" s="769">
        <v>0</v>
      </c>
      <c r="E129" s="769">
        <v>0</v>
      </c>
      <c r="F129" s="769">
        <v>0</v>
      </c>
      <c r="G129" s="58">
        <v>5539</v>
      </c>
      <c r="H129" s="58">
        <v>5486</v>
      </c>
      <c r="I129" s="58">
        <v>5192</v>
      </c>
      <c r="J129" s="58">
        <v>5270</v>
      </c>
      <c r="K129" s="58">
        <v>5399</v>
      </c>
      <c r="L129" s="58">
        <v>5370</v>
      </c>
      <c r="M129" s="58">
        <v>5328</v>
      </c>
      <c r="N129" s="58">
        <v>5360</v>
      </c>
      <c r="O129" s="58">
        <v>5365</v>
      </c>
      <c r="Q129" s="767" t="s">
        <v>1496</v>
      </c>
    </row>
    <row r="130" spans="1:17">
      <c r="A130" s="210">
        <v>49</v>
      </c>
      <c r="B130" s="767" t="s">
        <v>6743</v>
      </c>
      <c r="C130" s="62" t="s">
        <v>9452</v>
      </c>
      <c r="D130" s="769">
        <v>0</v>
      </c>
      <c r="E130" s="769">
        <v>0</v>
      </c>
      <c r="F130" s="769">
        <v>0</v>
      </c>
      <c r="G130" s="58">
        <v>6544</v>
      </c>
      <c r="H130" s="58">
        <v>6495</v>
      </c>
      <c r="I130" s="58">
        <v>6315</v>
      </c>
      <c r="J130" s="58">
        <v>6274</v>
      </c>
      <c r="K130" s="58">
        <v>6230</v>
      </c>
      <c r="L130" s="58">
        <v>6235</v>
      </c>
      <c r="M130" s="58">
        <v>6152</v>
      </c>
      <c r="N130" s="58">
        <v>6377</v>
      </c>
      <c r="O130" s="58">
        <v>6370</v>
      </c>
      <c r="Q130" s="767" t="s">
        <v>1499</v>
      </c>
    </row>
    <row r="131" spans="1:17">
      <c r="A131" s="210">
        <v>50</v>
      </c>
      <c r="B131" s="767" t="s">
        <v>3988</v>
      </c>
      <c r="C131" s="62" t="s">
        <v>9453</v>
      </c>
      <c r="D131" s="769">
        <v>0</v>
      </c>
      <c r="E131" s="769">
        <v>0</v>
      </c>
      <c r="F131" s="769">
        <v>0</v>
      </c>
      <c r="G131" s="58">
        <v>6866</v>
      </c>
      <c r="H131" s="58">
        <v>6763</v>
      </c>
      <c r="I131" s="58">
        <v>6506</v>
      </c>
      <c r="J131" s="58">
        <v>6531</v>
      </c>
      <c r="K131" s="58">
        <v>6639</v>
      </c>
      <c r="L131" s="58">
        <v>6656</v>
      </c>
      <c r="M131" s="58">
        <v>6601</v>
      </c>
      <c r="N131" s="58">
        <v>6761</v>
      </c>
      <c r="O131" s="58">
        <v>6722</v>
      </c>
      <c r="Q131" s="767" t="s">
        <v>1493</v>
      </c>
    </row>
    <row r="132" spans="1:17">
      <c r="A132" s="210">
        <v>51</v>
      </c>
      <c r="B132" s="767" t="s">
        <v>9395</v>
      </c>
      <c r="C132" s="62" t="s">
        <v>9454</v>
      </c>
      <c r="D132" s="769">
        <v>0</v>
      </c>
      <c r="E132" s="769">
        <v>0</v>
      </c>
      <c r="F132" s="769">
        <v>0</v>
      </c>
      <c r="G132" s="56">
        <v>10349</v>
      </c>
      <c r="H132" s="56">
        <v>10071</v>
      </c>
      <c r="I132" s="56">
        <v>9557</v>
      </c>
      <c r="J132" s="56">
        <v>9384</v>
      </c>
      <c r="K132" s="56">
        <v>9503</v>
      </c>
      <c r="L132" s="56">
        <v>9480</v>
      </c>
      <c r="M132" s="56">
        <v>9384</v>
      </c>
      <c r="N132" s="56">
        <v>9650</v>
      </c>
      <c r="O132" s="56">
        <v>9630</v>
      </c>
      <c r="Q132" s="767" t="s">
        <v>1491</v>
      </c>
    </row>
    <row r="133" spans="1:17">
      <c r="A133" s="210">
        <v>52</v>
      </c>
      <c r="B133" s="767" t="s">
        <v>9396</v>
      </c>
      <c r="C133" s="62" t="s">
        <v>9455</v>
      </c>
      <c r="D133" s="769">
        <v>0</v>
      </c>
      <c r="E133" s="769">
        <v>0</v>
      </c>
      <c r="F133" s="769">
        <v>0</v>
      </c>
      <c r="G133" s="58">
        <v>6990</v>
      </c>
      <c r="H133" s="58">
        <v>6903</v>
      </c>
      <c r="I133" s="58">
        <v>6279</v>
      </c>
      <c r="J133" s="58">
        <v>6413</v>
      </c>
      <c r="K133" s="58">
        <v>6648</v>
      </c>
      <c r="L133" s="58">
        <v>6734</v>
      </c>
      <c r="M133" s="58">
        <v>6662</v>
      </c>
      <c r="N133" s="58">
        <v>6815</v>
      </c>
      <c r="O133" s="58">
        <v>6802</v>
      </c>
      <c r="Q133" s="767" t="s">
        <v>1496</v>
      </c>
    </row>
    <row r="134" spans="1:17">
      <c r="A134" s="210">
        <v>53</v>
      </c>
      <c r="B134" s="767" t="s">
        <v>9397</v>
      </c>
      <c r="C134" s="62" t="s">
        <v>9456</v>
      </c>
      <c r="D134" s="769">
        <v>0</v>
      </c>
      <c r="E134" s="769">
        <v>0</v>
      </c>
      <c r="F134" s="769">
        <v>0</v>
      </c>
      <c r="G134" s="56">
        <v>8731</v>
      </c>
      <c r="H134" s="56">
        <v>8735</v>
      </c>
      <c r="I134" s="56">
        <v>8374</v>
      </c>
      <c r="J134" s="56">
        <v>8444</v>
      </c>
      <c r="K134" s="56">
        <v>8676</v>
      </c>
      <c r="L134" s="56">
        <v>8687</v>
      </c>
      <c r="M134" s="56">
        <v>8683</v>
      </c>
      <c r="N134" s="56">
        <v>8828</v>
      </c>
      <c r="O134" s="56">
        <v>8848</v>
      </c>
      <c r="Q134" s="767" t="s">
        <v>1491</v>
      </c>
    </row>
    <row r="135" spans="1:17">
      <c r="A135" s="210">
        <v>54</v>
      </c>
      <c r="B135" s="767" t="s">
        <v>4058</v>
      </c>
      <c r="C135" s="62" t="s">
        <v>9457</v>
      </c>
      <c r="D135" s="769">
        <v>0</v>
      </c>
      <c r="E135" s="769">
        <v>0</v>
      </c>
      <c r="F135" s="769">
        <v>0</v>
      </c>
      <c r="G135" s="58">
        <v>6803</v>
      </c>
      <c r="H135" s="58">
        <v>6645</v>
      </c>
      <c r="I135" s="58">
        <v>6139</v>
      </c>
      <c r="J135" s="58">
        <v>6187</v>
      </c>
      <c r="K135" s="58">
        <v>6343</v>
      </c>
      <c r="L135" s="58">
        <v>6303</v>
      </c>
      <c r="M135" s="58">
        <v>6324</v>
      </c>
      <c r="N135" s="58">
        <v>6380</v>
      </c>
      <c r="O135" s="58">
        <v>6361</v>
      </c>
      <c r="Q135" s="767" t="s">
        <v>1497</v>
      </c>
    </row>
    <row r="136" spans="1:17">
      <c r="A136" s="210">
        <v>55</v>
      </c>
      <c r="B136" s="767" t="s">
        <v>1176</v>
      </c>
      <c r="C136" s="62" t="s">
        <v>9458</v>
      </c>
      <c r="D136" s="769">
        <v>0</v>
      </c>
      <c r="E136" s="769">
        <v>0</v>
      </c>
      <c r="F136" s="769">
        <v>0</v>
      </c>
      <c r="G136" s="58">
        <v>6909</v>
      </c>
      <c r="H136" s="58">
        <v>6831</v>
      </c>
      <c r="I136" s="58">
        <v>6546</v>
      </c>
      <c r="J136" s="58">
        <v>6495</v>
      </c>
      <c r="K136" s="58">
        <v>6589</v>
      </c>
      <c r="L136" s="58">
        <v>6590</v>
      </c>
      <c r="M136" s="58">
        <v>6470</v>
      </c>
      <c r="N136" s="58">
        <v>6511</v>
      </c>
      <c r="O136" s="58">
        <v>6514</v>
      </c>
      <c r="Q136" s="767" t="s">
        <v>1497</v>
      </c>
    </row>
    <row r="137" spans="1:17">
      <c r="A137" s="210">
        <v>56</v>
      </c>
      <c r="B137" s="767" t="s">
        <v>9398</v>
      </c>
      <c r="C137" s="62" t="s">
        <v>9459</v>
      </c>
      <c r="D137" s="769">
        <v>0</v>
      </c>
      <c r="E137" s="769">
        <v>0</v>
      </c>
      <c r="F137" s="769">
        <v>0</v>
      </c>
      <c r="G137" s="58">
        <v>3566</v>
      </c>
      <c r="H137" s="58">
        <v>3547</v>
      </c>
      <c r="I137" s="58">
        <v>3178</v>
      </c>
      <c r="J137" s="58">
        <v>3233</v>
      </c>
      <c r="K137" s="58">
        <v>3405</v>
      </c>
      <c r="L137" s="58">
        <v>3431</v>
      </c>
      <c r="M137" s="58">
        <v>3389</v>
      </c>
      <c r="N137" s="58">
        <v>3436</v>
      </c>
      <c r="O137" s="58">
        <v>3435</v>
      </c>
      <c r="Q137" s="767" t="s">
        <v>1498</v>
      </c>
    </row>
    <row r="138" spans="1:17">
      <c r="A138" s="210">
        <v>57</v>
      </c>
      <c r="B138" s="767" t="s">
        <v>9399</v>
      </c>
      <c r="C138" s="62" t="s">
        <v>9460</v>
      </c>
      <c r="D138" s="769">
        <v>0</v>
      </c>
      <c r="E138" s="769">
        <v>0</v>
      </c>
      <c r="F138" s="769">
        <v>0</v>
      </c>
      <c r="G138" s="58">
        <v>514</v>
      </c>
      <c r="H138" s="58">
        <v>504</v>
      </c>
      <c r="I138" s="58">
        <v>447</v>
      </c>
      <c r="J138" s="58">
        <v>471</v>
      </c>
      <c r="K138" s="58">
        <v>494</v>
      </c>
      <c r="L138" s="58">
        <v>495</v>
      </c>
      <c r="M138" s="58">
        <v>476</v>
      </c>
      <c r="N138" s="58">
        <v>489</v>
      </c>
      <c r="O138" s="58">
        <v>487</v>
      </c>
      <c r="Q138" s="767" t="s">
        <v>1493</v>
      </c>
    </row>
    <row r="139" spans="1:17">
      <c r="A139" s="210"/>
      <c r="B139" s="767"/>
      <c r="C139" s="62" t="s">
        <v>9460</v>
      </c>
      <c r="D139" s="769">
        <v>0</v>
      </c>
      <c r="E139" s="769">
        <v>0</v>
      </c>
      <c r="F139" s="769">
        <v>0</v>
      </c>
      <c r="G139" s="58">
        <v>352</v>
      </c>
      <c r="H139" s="58">
        <v>346</v>
      </c>
      <c r="I139" s="58">
        <v>290</v>
      </c>
      <c r="J139" s="58">
        <v>294</v>
      </c>
      <c r="K139" s="58">
        <v>306</v>
      </c>
      <c r="L139" s="58">
        <v>319</v>
      </c>
      <c r="M139" s="58">
        <v>304</v>
      </c>
      <c r="N139" s="58">
        <v>314</v>
      </c>
      <c r="O139" s="58">
        <v>318</v>
      </c>
      <c r="Q139" s="767" t="s">
        <v>1496</v>
      </c>
    </row>
    <row r="140" spans="1:17" ht="15.75" thickBot="1">
      <c r="A140" s="210"/>
      <c r="B140" s="767"/>
      <c r="C140" s="62" t="s">
        <v>9460</v>
      </c>
      <c r="D140" s="769">
        <v>0</v>
      </c>
      <c r="E140" s="769">
        <v>0</v>
      </c>
      <c r="F140" s="769">
        <v>0</v>
      </c>
      <c r="G140" s="58">
        <v>9543</v>
      </c>
      <c r="H140" s="58">
        <v>9228</v>
      </c>
      <c r="I140" s="58">
        <v>8603</v>
      </c>
      <c r="J140" s="58">
        <v>8646</v>
      </c>
      <c r="K140" s="58">
        <v>8971</v>
      </c>
      <c r="L140" s="58">
        <v>8910</v>
      </c>
      <c r="M140" s="58">
        <v>8803</v>
      </c>
      <c r="N140" s="58">
        <v>8944</v>
      </c>
      <c r="O140" s="58">
        <v>8943</v>
      </c>
      <c r="Q140" s="767" t="s">
        <v>1499</v>
      </c>
    </row>
    <row r="141" spans="1:17" ht="15.75" thickBot="1">
      <c r="A141" s="210"/>
      <c r="B141" s="767"/>
      <c r="C141" s="62" t="s">
        <v>9460</v>
      </c>
      <c r="D141" s="773">
        <f>SUM(D138:D140)</f>
        <v>0</v>
      </c>
      <c r="E141" s="773">
        <f>SUM(E138:E140)</f>
        <v>0</v>
      </c>
      <c r="F141" s="773">
        <f>SUM(F138:F140)</f>
        <v>0</v>
      </c>
      <c r="G141" s="773">
        <f t="shared" ref="G141:L141" si="49">SUM(G138:G140)</f>
        <v>10409</v>
      </c>
      <c r="H141" s="773">
        <f t="shared" si="49"/>
        <v>10078</v>
      </c>
      <c r="I141" s="773">
        <f t="shared" si="49"/>
        <v>9340</v>
      </c>
      <c r="J141" s="773">
        <f t="shared" si="49"/>
        <v>9411</v>
      </c>
      <c r="K141" s="773">
        <f t="shared" si="49"/>
        <v>9771</v>
      </c>
      <c r="L141" s="773">
        <f t="shared" si="49"/>
        <v>9724</v>
      </c>
      <c r="M141" s="773">
        <f>SUM(M138:M140)</f>
        <v>9583</v>
      </c>
      <c r="N141" s="773">
        <f>SUM(N138:N140)</f>
        <v>9747</v>
      </c>
      <c r="O141" s="773">
        <f>SUM(O138:O140)</f>
        <v>9748</v>
      </c>
      <c r="Q141" s="767"/>
    </row>
    <row r="142" spans="1:17">
      <c r="A142" s="210">
        <v>58</v>
      </c>
      <c r="B142" s="767" t="s">
        <v>547</v>
      </c>
      <c r="C142" s="62" t="s">
        <v>9461</v>
      </c>
      <c r="D142" s="769">
        <v>0</v>
      </c>
      <c r="E142" s="769">
        <v>0</v>
      </c>
      <c r="F142" s="769">
        <v>0</v>
      </c>
      <c r="G142" s="56">
        <v>6337</v>
      </c>
      <c r="H142" s="56">
        <v>6343</v>
      </c>
      <c r="I142" s="56">
        <v>5927</v>
      </c>
      <c r="J142" s="56">
        <v>6079</v>
      </c>
      <c r="K142" s="56">
        <v>6359</v>
      </c>
      <c r="L142" s="56">
        <v>6526</v>
      </c>
      <c r="M142" s="56">
        <v>6703</v>
      </c>
      <c r="N142" s="56">
        <v>7029</v>
      </c>
      <c r="O142" s="56">
        <v>7044</v>
      </c>
      <c r="Q142" s="767" t="s">
        <v>1491</v>
      </c>
    </row>
    <row r="143" spans="1:17">
      <c r="A143" s="210">
        <v>59</v>
      </c>
      <c r="B143" s="767" t="s">
        <v>2903</v>
      </c>
      <c r="C143" s="62" t="s">
        <v>9462</v>
      </c>
      <c r="D143" s="769">
        <v>0</v>
      </c>
      <c r="E143" s="769">
        <v>0</v>
      </c>
      <c r="F143" s="769">
        <v>0</v>
      </c>
      <c r="G143" s="58">
        <v>6635</v>
      </c>
      <c r="H143" s="58">
        <v>6513</v>
      </c>
      <c r="I143" s="58">
        <v>6390</v>
      </c>
      <c r="J143" s="58">
        <v>6406</v>
      </c>
      <c r="K143" s="58">
        <v>6622</v>
      </c>
      <c r="L143" s="58">
        <v>6640</v>
      </c>
      <c r="M143" s="58">
        <v>6505</v>
      </c>
      <c r="N143" s="58">
        <v>6645</v>
      </c>
      <c r="O143" s="58">
        <v>6618</v>
      </c>
      <c r="Q143" s="767" t="s">
        <v>1498</v>
      </c>
    </row>
    <row r="144" spans="1:17">
      <c r="A144" s="210">
        <v>60</v>
      </c>
      <c r="B144" s="767" t="s">
        <v>2904</v>
      </c>
      <c r="C144" s="62" t="s">
        <v>9463</v>
      </c>
      <c r="D144" s="769">
        <v>0</v>
      </c>
      <c r="E144" s="769">
        <v>0</v>
      </c>
      <c r="F144" s="769">
        <v>0</v>
      </c>
      <c r="G144" s="56">
        <v>6619</v>
      </c>
      <c r="H144" s="56">
        <v>6619</v>
      </c>
      <c r="I144" s="56">
        <v>6371</v>
      </c>
      <c r="J144" s="56">
        <v>6375</v>
      </c>
      <c r="K144" s="56">
        <v>6446</v>
      </c>
      <c r="L144" s="56">
        <v>6496</v>
      </c>
      <c r="M144" s="56">
        <v>6442</v>
      </c>
      <c r="N144" s="56">
        <v>6543</v>
      </c>
      <c r="O144" s="56">
        <v>6545</v>
      </c>
      <c r="Q144" s="767" t="s">
        <v>1491</v>
      </c>
    </row>
    <row r="145" spans="1:17">
      <c r="A145" s="210">
        <v>61</v>
      </c>
      <c r="B145" s="767" t="s">
        <v>9400</v>
      </c>
      <c r="C145" s="62" t="s">
        <v>9464</v>
      </c>
      <c r="D145" s="769">
        <v>0</v>
      </c>
      <c r="E145" s="769">
        <v>0</v>
      </c>
      <c r="F145" s="769">
        <v>0</v>
      </c>
      <c r="G145" s="58">
        <v>342</v>
      </c>
      <c r="H145" s="58">
        <v>352</v>
      </c>
      <c r="I145" s="58">
        <v>339</v>
      </c>
      <c r="J145" s="58">
        <v>350</v>
      </c>
      <c r="K145" s="58">
        <v>358</v>
      </c>
      <c r="L145" s="58">
        <v>352</v>
      </c>
      <c r="M145" s="58">
        <v>337</v>
      </c>
      <c r="N145" s="58">
        <v>347</v>
      </c>
      <c r="O145" s="58">
        <v>343</v>
      </c>
      <c r="Q145" s="767" t="s">
        <v>1493</v>
      </c>
    </row>
    <row r="146" spans="1:17" ht="15.75" thickBot="1">
      <c r="A146" s="210"/>
      <c r="B146" s="767"/>
      <c r="C146" s="62" t="s">
        <v>9464</v>
      </c>
      <c r="D146" s="769">
        <v>0</v>
      </c>
      <c r="E146" s="769">
        <v>0</v>
      </c>
      <c r="F146" s="769">
        <v>0</v>
      </c>
      <c r="G146" s="58">
        <v>6632</v>
      </c>
      <c r="H146" s="58">
        <v>6568</v>
      </c>
      <c r="I146" s="58">
        <v>6413</v>
      </c>
      <c r="J146" s="58">
        <v>6472</v>
      </c>
      <c r="K146" s="58">
        <v>6563</v>
      </c>
      <c r="L146" s="58">
        <v>6526</v>
      </c>
      <c r="M146" s="58">
        <v>6472</v>
      </c>
      <c r="N146" s="58">
        <v>6539</v>
      </c>
      <c r="O146" s="58">
        <v>6518</v>
      </c>
      <c r="Q146" s="767" t="s">
        <v>1498</v>
      </c>
    </row>
    <row r="147" spans="1:17" ht="15.75" thickBot="1">
      <c r="A147" s="210"/>
      <c r="B147" s="767"/>
      <c r="C147" s="62" t="s">
        <v>9464</v>
      </c>
      <c r="D147" s="773">
        <f>D145+D146</f>
        <v>0</v>
      </c>
      <c r="E147" s="773">
        <f>E145+E146</f>
        <v>0</v>
      </c>
      <c r="F147" s="773">
        <f>F145+F146</f>
        <v>0</v>
      </c>
      <c r="G147" s="773">
        <f t="shared" ref="G147:L147" si="50">G145+G146</f>
        <v>6974</v>
      </c>
      <c r="H147" s="773">
        <f t="shared" si="50"/>
        <v>6920</v>
      </c>
      <c r="I147" s="773">
        <f t="shared" si="50"/>
        <v>6752</v>
      </c>
      <c r="J147" s="773">
        <f t="shared" si="50"/>
        <v>6822</v>
      </c>
      <c r="K147" s="773">
        <f t="shared" si="50"/>
        <v>6921</v>
      </c>
      <c r="L147" s="773">
        <f t="shared" si="50"/>
        <v>6878</v>
      </c>
      <c r="M147" s="773">
        <f>M145+M146</f>
        <v>6809</v>
      </c>
      <c r="N147" s="773">
        <f>N145+N146</f>
        <v>6886</v>
      </c>
      <c r="O147" s="773">
        <f>O145+O146</f>
        <v>6861</v>
      </c>
      <c r="Q147" s="767"/>
    </row>
    <row r="148" spans="1:17">
      <c r="A148" s="210">
        <v>62</v>
      </c>
      <c r="B148" s="767" t="s">
        <v>2905</v>
      </c>
      <c r="C148" s="62" t="s">
        <v>9465</v>
      </c>
      <c r="D148" s="769">
        <v>0</v>
      </c>
      <c r="E148" s="769">
        <v>0</v>
      </c>
      <c r="F148" s="769">
        <v>0</v>
      </c>
      <c r="G148" s="58">
        <v>3269</v>
      </c>
      <c r="H148" s="58">
        <v>3149</v>
      </c>
      <c r="I148" s="58">
        <v>2855</v>
      </c>
      <c r="J148" s="58">
        <v>2913</v>
      </c>
      <c r="K148" s="58">
        <v>3005</v>
      </c>
      <c r="L148" s="58">
        <v>3052</v>
      </c>
      <c r="M148" s="58">
        <v>2953</v>
      </c>
      <c r="N148" s="58">
        <v>3085</v>
      </c>
      <c r="O148" s="58">
        <v>3094</v>
      </c>
      <c r="Q148" s="767" t="s">
        <v>1499</v>
      </c>
    </row>
    <row r="149" spans="1:17">
      <c r="A149" s="210">
        <v>63</v>
      </c>
      <c r="B149" s="767" t="s">
        <v>2906</v>
      </c>
      <c r="C149" s="62" t="s">
        <v>9466</v>
      </c>
      <c r="D149" s="769">
        <v>0</v>
      </c>
      <c r="E149" s="769">
        <v>0</v>
      </c>
      <c r="F149" s="769">
        <v>0</v>
      </c>
      <c r="G149" s="56">
        <v>6492</v>
      </c>
      <c r="H149" s="56">
        <v>6452</v>
      </c>
      <c r="I149" s="56">
        <v>6206</v>
      </c>
      <c r="J149" s="56">
        <v>6032</v>
      </c>
      <c r="K149" s="56">
        <v>6237</v>
      </c>
      <c r="L149" s="56">
        <v>6085</v>
      </c>
      <c r="M149" s="56">
        <v>5990</v>
      </c>
      <c r="N149" s="56">
        <v>6057</v>
      </c>
      <c r="O149" s="56">
        <v>6047</v>
      </c>
      <c r="Q149" s="767" t="s">
        <v>1491</v>
      </c>
    </row>
    <row r="150" spans="1:17">
      <c r="D150" s="771"/>
      <c r="E150" s="771"/>
      <c r="F150" s="771"/>
    </row>
    <row r="151" spans="1:17">
      <c r="A151" s="767" t="s">
        <v>1491</v>
      </c>
      <c r="D151" s="772">
        <f>D78+D79+D82+D96+D112+D113+D132+D134+D142+D144+D149</f>
        <v>68170</v>
      </c>
      <c r="E151" s="772">
        <f>E78+E79+E82+E96+E112+E113+E132+E134+E142+E144+E149</f>
        <v>68501</v>
      </c>
      <c r="F151" s="772">
        <f>F78+F79+F82+F96+F112+F113+F132+F134+F142+F144+F149</f>
        <v>69096</v>
      </c>
      <c r="G151" s="772">
        <f t="shared" ref="G151:L151" si="51">G78+G79+G82+G96+G112+G113+G132+G134+G142+G144+G149</f>
        <v>69397</v>
      </c>
      <c r="H151" s="772">
        <f t="shared" si="51"/>
        <v>68525</v>
      </c>
      <c r="I151" s="772">
        <f t="shared" si="51"/>
        <v>64953</v>
      </c>
      <c r="J151" s="772">
        <f t="shared" si="51"/>
        <v>65234</v>
      </c>
      <c r="K151" s="772">
        <f t="shared" si="51"/>
        <v>66825</v>
      </c>
      <c r="L151" s="772">
        <f t="shared" si="51"/>
        <v>67151</v>
      </c>
      <c r="M151" s="772">
        <f>M78+M79+M82+M96+M112+M113+M132+M134+M142+M144+M149</f>
        <v>67037</v>
      </c>
      <c r="N151" s="772">
        <f>N78+N79+N82+N96+N112+N113+N132+N134+N142+N144+N149</f>
        <v>68545</v>
      </c>
      <c r="O151" s="772">
        <f>O78+O79+O82+O96+O112+O113+O132+O134+O142+O144+O149</f>
        <v>68478</v>
      </c>
    </row>
    <row r="152" spans="1:17">
      <c r="A152" s="767" t="s">
        <v>1493</v>
      </c>
      <c r="D152" s="772">
        <f>D80+D87+D97+D101+D106+D108+D109+D116+D122+D131+D138+D145</f>
        <v>67642</v>
      </c>
      <c r="E152" s="772">
        <f>E80+E87+E97+E101+E106+E108+E109+E116+E122+E131+E138+E145</f>
        <v>72659</v>
      </c>
      <c r="F152" s="772">
        <f>F80+F87+F97+F101+F106+F108+F109+F116+F122+F131+F138+F145</f>
        <v>73567</v>
      </c>
      <c r="G152" s="772">
        <f t="shared" ref="G152:L152" si="52">G80+G87+G97+G101+G106+G108+G109+G116+G122+G131+G138+G145</f>
        <v>73679</v>
      </c>
      <c r="H152" s="772">
        <f t="shared" si="52"/>
        <v>73036</v>
      </c>
      <c r="I152" s="772">
        <f t="shared" si="52"/>
        <v>64614</v>
      </c>
      <c r="J152" s="772">
        <f t="shared" si="52"/>
        <v>66618</v>
      </c>
      <c r="K152" s="772">
        <f t="shared" si="52"/>
        <v>68508</v>
      </c>
      <c r="L152" s="772">
        <f t="shared" si="52"/>
        <v>73538</v>
      </c>
      <c r="M152" s="772">
        <f>M80+M87+M97+M101+M106+M108+M109+M116+M122+M131+M138+M145</f>
        <v>65232</v>
      </c>
      <c r="N152" s="772">
        <f>N80+N87+N97+N101+N106+N108+N109+N116+N122+N131+N138+N145</f>
        <v>71696</v>
      </c>
      <c r="O152" s="772">
        <f>O80+O87+O97+O101+O106+O108+O109+O116+O122+O131+O138+O145</f>
        <v>71482</v>
      </c>
    </row>
    <row r="153" spans="1:17">
      <c r="A153" s="767" t="s">
        <v>1496</v>
      </c>
      <c r="D153" s="772">
        <f>D84+D100+D105+D107+D117+D121+D124+D126+D127+D129+D133+D139</f>
        <v>63387</v>
      </c>
      <c r="E153" s="772">
        <f>E84+E100+E105+E107+E117+E121+E124+E126+E127+E129+E133+E139</f>
        <v>65618</v>
      </c>
      <c r="F153" s="772">
        <f>F84+F100+F105+F107+F117+F121+F124+F126+F127+F129+F133+F139</f>
        <v>66096</v>
      </c>
      <c r="G153" s="772">
        <f t="shared" ref="G153:L153" si="53">G84+G100+G105+G107+G117+G121+G124+G126+G127+G129+G133+G139</f>
        <v>66164</v>
      </c>
      <c r="H153" s="772">
        <f t="shared" si="53"/>
        <v>64884</v>
      </c>
      <c r="I153" s="772">
        <f t="shared" si="53"/>
        <v>60820</v>
      </c>
      <c r="J153" s="772">
        <f t="shared" si="53"/>
        <v>60833</v>
      </c>
      <c r="K153" s="772">
        <f t="shared" si="53"/>
        <v>61870</v>
      </c>
      <c r="L153" s="772">
        <f t="shared" si="53"/>
        <v>61851</v>
      </c>
      <c r="M153" s="772">
        <f>M84+M100+M105+M107+M117+M121+M124+M126+M127+M129+M133+M139</f>
        <v>60895</v>
      </c>
      <c r="N153" s="772">
        <f>N84+N100+N105+N107+N117+N121+N124+N126+N127+N129+N133+N139</f>
        <v>61535</v>
      </c>
      <c r="O153" s="772">
        <f>O84+O100+O105+O107+O117+O121+O124+O126+O127+O129+O133+O139</f>
        <v>61335</v>
      </c>
    </row>
    <row r="154" spans="1:17">
      <c r="A154" s="767" t="s">
        <v>1497</v>
      </c>
      <c r="D154" s="772">
        <f>D74+SUM(D89:D92)+D98+D120+D123+D125+D128+D135+D136</f>
        <v>67284</v>
      </c>
      <c r="E154" s="772">
        <f>E74+SUM(E89:E92)+E98+E120+E123+E125+E128+E135+E136</f>
        <v>68959</v>
      </c>
      <c r="F154" s="772">
        <f>F74+SUM(F89:F92)+F98+F120+F123+F125+F128+F135+F136</f>
        <v>69697</v>
      </c>
      <c r="G154" s="772">
        <f t="shared" ref="G154:L154" si="54">G74+SUM(G89:G92)+G98+G120+G123+G125+G128+G135+G136</f>
        <v>69808</v>
      </c>
      <c r="H154" s="772">
        <f t="shared" si="54"/>
        <v>68294</v>
      </c>
      <c r="I154" s="772">
        <f t="shared" si="54"/>
        <v>64406</v>
      </c>
      <c r="J154" s="772">
        <f t="shared" si="54"/>
        <v>64810</v>
      </c>
      <c r="K154" s="772">
        <f t="shared" si="54"/>
        <v>66404</v>
      </c>
      <c r="L154" s="772">
        <f t="shared" si="54"/>
        <v>66386</v>
      </c>
      <c r="M154" s="772">
        <f>M74+SUM(M89:M92)+M98+M120+M123+M125+M128+M135+M136</f>
        <v>66050</v>
      </c>
      <c r="N154" s="772">
        <f>N74+SUM(N89:N92)+N98+N120+N123+N125+N128+N135+N136</f>
        <v>67173</v>
      </c>
      <c r="O154" s="772">
        <f>O74+SUM(O89:O92)+O98+O120+O123+O125+O128+O135+O136</f>
        <v>66994</v>
      </c>
    </row>
    <row r="155" spans="1:17">
      <c r="A155" s="767" t="s">
        <v>1498</v>
      </c>
      <c r="D155" s="772">
        <f>D81+D88+D94+D95+D99+D102+D104+D110+D118+D119+D137+D143+D146</f>
        <v>70167</v>
      </c>
      <c r="E155" s="772">
        <f>E81+E88+E94+E95+E99+E102+E104+E110+E118+E119+E137+E143+E146</f>
        <v>72760</v>
      </c>
      <c r="F155" s="772">
        <f>F81+F88+F94+F95+F99+F102+F104+F110+F118+F119+F137+F143+F146</f>
        <v>72615</v>
      </c>
      <c r="G155" s="772">
        <f t="shared" ref="G155:L155" si="55">G81+G88+G94+G95+G99+G102+G104+G110+G118+G119+G137+G143+G146</f>
        <v>72742</v>
      </c>
      <c r="H155" s="772">
        <f t="shared" si="55"/>
        <v>71776</v>
      </c>
      <c r="I155" s="772">
        <f t="shared" si="55"/>
        <v>68615</v>
      </c>
      <c r="J155" s="772">
        <f t="shared" si="55"/>
        <v>69094</v>
      </c>
      <c r="K155" s="772">
        <f t="shared" si="55"/>
        <v>71244</v>
      </c>
      <c r="L155" s="772">
        <f t="shared" si="55"/>
        <v>71567</v>
      </c>
      <c r="M155" s="772">
        <f>M81+M88+M94+M95+M99+M102+M104+M110+M118+M119+M137+M143+M146</f>
        <v>70842</v>
      </c>
      <c r="N155" s="772">
        <f>N81+N88+N94+N95+N99+N102+N104+N110+N118+N119+N137+N143+N146</f>
        <v>72560</v>
      </c>
      <c r="O155" s="772">
        <f>O81+O88+O94+O95+O99+O102+O104+O110+O118+O119+O137+O143+O146</f>
        <v>72432</v>
      </c>
    </row>
    <row r="156" spans="1:17">
      <c r="A156" s="767" t="s">
        <v>2515</v>
      </c>
      <c r="D156" s="772">
        <f>SUM(D75:D77)+D83+D85+D93+D114+D130+D140+D148</f>
        <v>54794</v>
      </c>
      <c r="E156" s="772">
        <f>SUM(E75:E77)+E83+E85+E93+E114+E130+E140+E148</f>
        <v>56399</v>
      </c>
      <c r="F156" s="772">
        <f>SUM(F75:F77)+F83+F85+F93+F114+F130+F140+F148</f>
        <v>55823</v>
      </c>
      <c r="G156" s="772">
        <f t="shared" ref="G156:L156" si="56">SUM(G75:G77)+G83+G85+G93+G114+G130+G140+G148</f>
        <v>55675</v>
      </c>
      <c r="H156" s="772">
        <f t="shared" si="56"/>
        <v>54171</v>
      </c>
      <c r="I156" s="772">
        <f t="shared" si="56"/>
        <v>51043</v>
      </c>
      <c r="J156" s="772">
        <f t="shared" si="56"/>
        <v>51126</v>
      </c>
      <c r="K156" s="772">
        <f t="shared" si="56"/>
        <v>52059</v>
      </c>
      <c r="L156" s="772">
        <f t="shared" si="56"/>
        <v>52253</v>
      </c>
      <c r="M156" s="772">
        <f>SUM(M75:M77)+M83+M85+M93+M114+M130+M140+M148</f>
        <v>51859</v>
      </c>
      <c r="N156" s="772">
        <f>SUM(N75:N77)+N83+N85+N93+N114+N130+N140+N148</f>
        <v>52924</v>
      </c>
      <c r="O156" s="772">
        <f>SUM(O75:O77)+O83+O85+O93+O114+O130+O140+O148</f>
        <v>52812</v>
      </c>
    </row>
    <row r="157" spans="1:17">
      <c r="G157" s="772"/>
      <c r="H157" s="772"/>
      <c r="I157" s="772"/>
      <c r="J157" s="772"/>
      <c r="K157" s="772"/>
      <c r="L157" s="772"/>
    </row>
    <row r="158" spans="1:17">
      <c r="A158" s="161" t="s">
        <v>9402</v>
      </c>
    </row>
  </sheetData>
  <phoneticPr fontId="6" type="noConversion"/>
  <printOptions gridLinesSet="0"/>
  <pageMargins left="0.78740157480314965" right="0" top="0.51181102362204722" bottom="0.51181102362204722" header="0.51181102362204722" footer="0.51181102362204722"/>
  <pageSetup paperSize="9" scale="88" orientation="portrait" horizontalDpi="300" verticalDpi="300" r:id="rId1"/>
  <headerFooter alignWithMargins="0">
    <oddFooter>&amp;C&amp;"Times New Roman,Regular"&amp;8&amp;P of &amp;N</oddFooter>
  </headerFooter>
  <rowBreaks count="2" manualBreakCount="2">
    <brk id="35" max="16383" man="1"/>
    <brk id="69" max="16383" man="1"/>
  </rowBreaks>
  <ignoredErrors>
    <ignoredError sqref="D3:E6 F3:F6 G3:G6 D147:G147 D111:G111 D103:G103 D86:G86 D115:G115 G112 G113 G114 G116 G142 G143 G144 G145 G146 D151:G156 D73:K73 G25:G31 G22:G24 G20 G18 G16 G14 G12 G11 G13 G15 G17 G19 G21 D7:E7 F7 G7 D10:E31 F10:F31 G10 D8:G9 H86:H140 H151:H156 H3:H6 H142:H147 H7:H31 I86:K86 I103:K103 I111:I115 I147 I151:I156 I3:I31 D43:K43 D57:K57 D65:I66 D39:K39 J65:J66 J111:K111 J115:K115 J142:J147 J151:J156 J3:J31 K65:K66 K147 K151:K156 K3:K31 L3:L156" unlockedFormula="1"/>
    <ignoredError sqref="G141:K141 D141:F141" formulaRange="1"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V83"/>
  <sheetViews>
    <sheetView showGridLines="0" topLeftCell="A25" zoomScale="90" zoomScaleNormal="90" workbookViewId="0">
      <selection activeCell="Q22" sqref="Q22"/>
    </sheetView>
  </sheetViews>
  <sheetFormatPr defaultColWidth="12.5703125" defaultRowHeight="15"/>
  <cols>
    <col min="1" max="1" width="4.85546875" style="153" customWidth="1"/>
    <col min="2" max="2" width="36" style="153" customWidth="1"/>
    <col min="3" max="3" width="11.7109375" style="153" customWidth="1"/>
    <col min="4" max="15" width="10" style="153" customWidth="1"/>
    <col min="16" max="16" width="2.28515625" style="153" customWidth="1"/>
    <col min="17" max="17" width="36.85546875" style="153" customWidth="1"/>
    <col min="18" max="16384" width="12.5703125" style="153"/>
  </cols>
  <sheetData>
    <row r="1" spans="1:22">
      <c r="A1" s="679" t="s">
        <v>5719</v>
      </c>
      <c r="D1" s="680">
        <v>2010</v>
      </c>
      <c r="E1" s="680">
        <v>2011</v>
      </c>
      <c r="F1" s="680">
        <v>2012</v>
      </c>
      <c r="G1" s="680">
        <v>2013</v>
      </c>
      <c r="H1" s="680">
        <v>2014</v>
      </c>
      <c r="I1" s="680">
        <v>2015</v>
      </c>
      <c r="J1" s="680">
        <v>2016</v>
      </c>
      <c r="K1" s="680">
        <v>2017</v>
      </c>
      <c r="L1" s="680">
        <v>2018</v>
      </c>
      <c r="M1" s="680">
        <v>2019</v>
      </c>
      <c r="N1" s="680">
        <v>2020</v>
      </c>
      <c r="O1" s="972" t="s">
        <v>14823</v>
      </c>
    </row>
    <row r="3" spans="1:22">
      <c r="A3" s="679" t="s">
        <v>1516</v>
      </c>
      <c r="D3" s="681">
        <f t="shared" ref="D3:N3" si="0">SUM(D19:D22,D24:D28,D30:D32,D34:D49)</f>
        <v>206278</v>
      </c>
      <c r="E3" s="681">
        <f t="shared" si="0"/>
        <v>208701</v>
      </c>
      <c r="F3" s="681">
        <f t="shared" si="0"/>
        <v>209830</v>
      </c>
      <c r="G3" s="681">
        <f t="shared" si="0"/>
        <v>208413</v>
      </c>
      <c r="H3" s="681">
        <f t="shared" si="0"/>
        <v>210210</v>
      </c>
      <c r="I3" s="681">
        <f t="shared" si="0"/>
        <v>205177</v>
      </c>
      <c r="J3" s="681">
        <f t="shared" si="0"/>
        <v>208976</v>
      </c>
      <c r="K3" s="681">
        <f t="shared" si="0"/>
        <v>206836</v>
      </c>
      <c r="L3" s="681">
        <f t="shared" si="0"/>
        <v>202130</v>
      </c>
      <c r="M3" s="681">
        <f t="shared" si="0"/>
        <v>202334</v>
      </c>
      <c r="N3" s="681">
        <f t="shared" si="0"/>
        <v>206583</v>
      </c>
      <c r="O3" s="681">
        <f>SUM(O19:O22,O24:O28,O30:O32,O34:O49)</f>
        <v>213293</v>
      </c>
      <c r="V3" s="681"/>
    </row>
    <row r="5" spans="1:22">
      <c r="A5" s="679" t="s">
        <v>5382</v>
      </c>
      <c r="D5" s="681">
        <f t="shared" ref="D5:N5" si="1">D3/3</f>
        <v>68759.333333333328</v>
      </c>
      <c r="E5" s="681">
        <f t="shared" si="1"/>
        <v>69567</v>
      </c>
      <c r="F5" s="681">
        <f t="shared" si="1"/>
        <v>69943.333333333328</v>
      </c>
      <c r="G5" s="681">
        <f t="shared" si="1"/>
        <v>69471</v>
      </c>
      <c r="H5" s="681">
        <f t="shared" si="1"/>
        <v>70070</v>
      </c>
      <c r="I5" s="681">
        <f t="shared" si="1"/>
        <v>68392.333333333328</v>
      </c>
      <c r="J5" s="681">
        <f t="shared" si="1"/>
        <v>69658.666666666672</v>
      </c>
      <c r="K5" s="681">
        <f t="shared" si="1"/>
        <v>68945.333333333328</v>
      </c>
      <c r="L5" s="681">
        <f t="shared" si="1"/>
        <v>67376.666666666672</v>
      </c>
      <c r="M5" s="681">
        <f t="shared" si="1"/>
        <v>67444.666666666672</v>
      </c>
      <c r="N5" s="681">
        <f t="shared" si="1"/>
        <v>68861</v>
      </c>
      <c r="O5" s="681">
        <f t="shared" ref="O5" si="2">O3/3</f>
        <v>71097.666666666672</v>
      </c>
    </row>
    <row r="6" spans="1:22">
      <c r="D6" s="682"/>
      <c r="E6" s="682"/>
      <c r="F6" s="682"/>
      <c r="G6" s="682"/>
      <c r="H6" s="682"/>
      <c r="I6" s="682"/>
      <c r="J6" s="682"/>
      <c r="K6" s="682"/>
      <c r="L6" s="682"/>
      <c r="M6" s="682"/>
      <c r="N6" s="682"/>
      <c r="O6" s="682"/>
    </row>
    <row r="7" spans="1:22">
      <c r="A7" s="679" t="s">
        <v>1517</v>
      </c>
      <c r="D7" s="681">
        <f t="shared" ref="D7:N7" si="3">SUM(D21,D24:D25,D27,D34,D43,D47:D48)</f>
        <v>69149</v>
      </c>
      <c r="E7" s="681">
        <f t="shared" si="3"/>
        <v>69828</v>
      </c>
      <c r="F7" s="681">
        <f t="shared" si="3"/>
        <v>70415</v>
      </c>
      <c r="G7" s="681">
        <f t="shared" si="3"/>
        <v>70103</v>
      </c>
      <c r="H7" s="681">
        <f t="shared" si="3"/>
        <v>71035</v>
      </c>
      <c r="I7" s="681">
        <f t="shared" si="3"/>
        <v>68374</v>
      </c>
      <c r="J7" s="681">
        <f t="shared" si="3"/>
        <v>70798</v>
      </c>
      <c r="K7" s="681">
        <f t="shared" si="3"/>
        <v>70582</v>
      </c>
      <c r="L7" s="681">
        <f t="shared" si="3"/>
        <v>68779</v>
      </c>
      <c r="M7" s="681">
        <f t="shared" si="3"/>
        <v>68521</v>
      </c>
      <c r="N7" s="681">
        <f t="shared" si="3"/>
        <v>70947</v>
      </c>
      <c r="O7" s="681">
        <f>SUM(O21,O24:O25,O27,O34,O43,O47:O48)</f>
        <v>74683</v>
      </c>
      <c r="Q7" s="679" t="s">
        <v>1518</v>
      </c>
    </row>
    <row r="8" spans="1:22">
      <c r="D8" s="682"/>
      <c r="E8" s="682"/>
      <c r="F8" s="682"/>
      <c r="G8" s="682"/>
      <c r="H8" s="682"/>
      <c r="I8" s="682"/>
      <c r="J8" s="682"/>
      <c r="K8" s="682"/>
      <c r="L8" s="682"/>
      <c r="M8" s="682"/>
      <c r="N8" s="682"/>
      <c r="O8" s="682"/>
    </row>
    <row r="9" spans="1:22">
      <c r="A9" s="679" t="s">
        <v>1519</v>
      </c>
      <c r="D9" s="681">
        <f t="shared" ref="D9:N9" si="4">SUM(D19,D22,D26,D28,D31,D35:D36,D38:D39,D41:D42)</f>
        <v>72876</v>
      </c>
      <c r="E9" s="681">
        <f t="shared" si="4"/>
        <v>73105</v>
      </c>
      <c r="F9" s="681">
        <f t="shared" si="4"/>
        <v>73596</v>
      </c>
      <c r="G9" s="681">
        <f t="shared" si="4"/>
        <v>72748</v>
      </c>
      <c r="H9" s="681">
        <f t="shared" si="4"/>
        <v>73566</v>
      </c>
      <c r="I9" s="681">
        <f t="shared" si="4"/>
        <v>72537</v>
      </c>
      <c r="J9" s="681">
        <f t="shared" si="4"/>
        <v>73703</v>
      </c>
      <c r="K9" s="681">
        <f t="shared" si="4"/>
        <v>72972</v>
      </c>
      <c r="L9" s="681">
        <f t="shared" si="4"/>
        <v>71599</v>
      </c>
      <c r="M9" s="681">
        <f t="shared" si="4"/>
        <v>71867</v>
      </c>
      <c r="N9" s="681">
        <f t="shared" si="4"/>
        <v>72820</v>
      </c>
      <c r="O9" s="681">
        <f>SUM(O19,O22,O26,O28,O31,O35:O36,O38:O39,O41:O42)</f>
        <v>74389</v>
      </c>
      <c r="Q9" s="679" t="s">
        <v>1518</v>
      </c>
    </row>
    <row r="10" spans="1:22">
      <c r="D10" s="682"/>
      <c r="E10" s="682"/>
      <c r="F10" s="682"/>
      <c r="G10" s="682"/>
      <c r="H10" s="682"/>
      <c r="I10" s="682"/>
      <c r="J10" s="682"/>
      <c r="K10" s="682"/>
      <c r="L10" s="682"/>
      <c r="M10" s="682"/>
      <c r="N10" s="682"/>
      <c r="O10" s="682"/>
    </row>
    <row r="11" spans="1:22">
      <c r="A11" s="679" t="s">
        <v>2076</v>
      </c>
      <c r="D11" s="681">
        <f t="shared" ref="D11:N11" si="5">SUM(D20,D30,D32,D37,D40,D44:D46,D49)</f>
        <v>64253</v>
      </c>
      <c r="E11" s="681">
        <f t="shared" si="5"/>
        <v>65768</v>
      </c>
      <c r="F11" s="681">
        <f t="shared" si="5"/>
        <v>65819</v>
      </c>
      <c r="G11" s="681">
        <f t="shared" si="5"/>
        <v>65562</v>
      </c>
      <c r="H11" s="681">
        <f t="shared" si="5"/>
        <v>65609</v>
      </c>
      <c r="I11" s="681">
        <f t="shared" si="5"/>
        <v>64266</v>
      </c>
      <c r="J11" s="681">
        <f t="shared" si="5"/>
        <v>64475</v>
      </c>
      <c r="K11" s="681">
        <f t="shared" si="5"/>
        <v>63282</v>
      </c>
      <c r="L11" s="681">
        <f t="shared" si="5"/>
        <v>61752</v>
      </c>
      <c r="M11" s="681">
        <f t="shared" si="5"/>
        <v>61946</v>
      </c>
      <c r="N11" s="681">
        <f t="shared" si="5"/>
        <v>62816</v>
      </c>
      <c r="O11" s="681">
        <f>SUM(O20,O30,O32,O37,O40,O44:O46,O49)</f>
        <v>64221</v>
      </c>
      <c r="Q11" s="679" t="s">
        <v>1518</v>
      </c>
    </row>
    <row r="12" spans="1:22">
      <c r="D12" s="682"/>
      <c r="E12" s="682"/>
      <c r="F12" s="682"/>
      <c r="G12" s="682"/>
      <c r="H12" s="682"/>
      <c r="I12" s="682"/>
      <c r="J12" s="682"/>
      <c r="K12" s="682"/>
      <c r="L12" s="682"/>
      <c r="M12" s="682"/>
      <c r="N12" s="682"/>
      <c r="O12" s="682"/>
    </row>
    <row r="13" spans="1:22">
      <c r="A13" s="679" t="s">
        <v>6796</v>
      </c>
      <c r="D13" s="681">
        <f t="shared" ref="D13:I13" si="6">D7+D9+D11</f>
        <v>206278</v>
      </c>
      <c r="E13" s="681">
        <f t="shared" si="6"/>
        <v>208701</v>
      </c>
      <c r="F13" s="681">
        <f t="shared" si="6"/>
        <v>209830</v>
      </c>
      <c r="G13" s="681">
        <f t="shared" si="6"/>
        <v>208413</v>
      </c>
      <c r="H13" s="681">
        <f t="shared" si="6"/>
        <v>210210</v>
      </c>
      <c r="I13" s="681">
        <f t="shared" si="6"/>
        <v>205177</v>
      </c>
      <c r="J13" s="681">
        <f t="shared" ref="J13:O13" si="7">J7+J9+J11</f>
        <v>208976</v>
      </c>
      <c r="K13" s="681">
        <f t="shared" si="7"/>
        <v>206836</v>
      </c>
      <c r="L13" s="681">
        <f t="shared" si="7"/>
        <v>202130</v>
      </c>
      <c r="M13" s="681">
        <f t="shared" si="7"/>
        <v>202334</v>
      </c>
      <c r="N13" s="681">
        <f t="shared" si="7"/>
        <v>206583</v>
      </c>
      <c r="O13" s="681">
        <f t="shared" si="7"/>
        <v>213293</v>
      </c>
    </row>
    <row r="14" spans="1:22">
      <c r="D14" s="682"/>
      <c r="E14" s="682"/>
      <c r="F14" s="682"/>
      <c r="G14" s="682"/>
      <c r="H14" s="682"/>
      <c r="I14" s="682"/>
      <c r="J14" s="682"/>
      <c r="K14" s="682"/>
      <c r="L14" s="682"/>
      <c r="M14" s="682"/>
      <c r="N14" s="682"/>
      <c r="O14" s="682"/>
    </row>
    <row r="15" spans="1:22">
      <c r="A15" s="679" t="s">
        <v>6797</v>
      </c>
      <c r="D15" s="681">
        <f t="shared" ref="D15:I15" si="8">MAX(D7,D9,D11)-MIN(D7,D9,D11)</f>
        <v>8623</v>
      </c>
      <c r="E15" s="681">
        <f t="shared" si="8"/>
        <v>7337</v>
      </c>
      <c r="F15" s="681">
        <f t="shared" si="8"/>
        <v>7777</v>
      </c>
      <c r="G15" s="681">
        <f t="shared" si="8"/>
        <v>7186</v>
      </c>
      <c r="H15" s="681">
        <f t="shared" si="8"/>
        <v>7957</v>
      </c>
      <c r="I15" s="681">
        <f t="shared" si="8"/>
        <v>8271</v>
      </c>
      <c r="J15" s="681">
        <f t="shared" ref="J15:O15" si="9">MAX(J7,J9,J11)-MIN(J7,J9,J11)</f>
        <v>9228</v>
      </c>
      <c r="K15" s="681">
        <f t="shared" si="9"/>
        <v>9690</v>
      </c>
      <c r="L15" s="681">
        <f t="shared" si="9"/>
        <v>9847</v>
      </c>
      <c r="M15" s="681">
        <f t="shared" si="9"/>
        <v>9921</v>
      </c>
      <c r="N15" s="681">
        <f t="shared" si="9"/>
        <v>10004</v>
      </c>
      <c r="O15" s="681">
        <f t="shared" si="9"/>
        <v>10462</v>
      </c>
    </row>
    <row r="16" spans="1:22">
      <c r="D16" s="682"/>
      <c r="E16" s="682"/>
      <c r="F16" s="682"/>
      <c r="G16" s="682"/>
      <c r="H16" s="682"/>
      <c r="I16" s="682"/>
      <c r="J16" s="682"/>
      <c r="K16" s="682"/>
      <c r="L16" s="682"/>
      <c r="M16" s="682"/>
      <c r="N16" s="682"/>
      <c r="O16" s="682"/>
    </row>
    <row r="17" spans="1:17">
      <c r="A17" s="684" t="s">
        <v>6800</v>
      </c>
      <c r="D17" s="681">
        <f t="shared" ref="D17:I17" si="10">STDEVP(D7,D9,D11)</f>
        <v>3531.0916473835996</v>
      </c>
      <c r="E17" s="681">
        <f t="shared" si="10"/>
        <v>3000.9979451286977</v>
      </c>
      <c r="F17" s="681">
        <f t="shared" si="10"/>
        <v>3192.4164654519759</v>
      </c>
      <c r="G17" s="681">
        <f t="shared" si="10"/>
        <v>2967.514897463308</v>
      </c>
      <c r="H17" s="681">
        <f t="shared" si="10"/>
        <v>3319.3253330559005</v>
      </c>
      <c r="I17" s="681">
        <f t="shared" si="10"/>
        <v>3376.6464954975013</v>
      </c>
      <c r="J17" s="681">
        <f t="shared" ref="J17:O17" si="11">STDEVP(J7,J9,J11)</f>
        <v>3852.493247524546</v>
      </c>
      <c r="K17" s="681">
        <f t="shared" si="11"/>
        <v>4121.733723676105</v>
      </c>
      <c r="L17" s="681">
        <f t="shared" si="11"/>
        <v>4140.511750442879</v>
      </c>
      <c r="M17" s="681">
        <f t="shared" si="11"/>
        <v>4121.1188070986527</v>
      </c>
      <c r="N17" s="681">
        <f t="shared" si="11"/>
        <v>4342.315127517425</v>
      </c>
      <c r="O17" s="681">
        <f t="shared" si="11"/>
        <v>4864.0187316890779</v>
      </c>
    </row>
    <row r="18" spans="1:17">
      <c r="D18" s="682"/>
      <c r="E18" s="682"/>
      <c r="F18" s="682"/>
      <c r="G18" s="682"/>
      <c r="H18" s="682"/>
      <c r="I18" s="682"/>
      <c r="J18" s="682"/>
      <c r="K18" s="682"/>
      <c r="L18" s="682"/>
      <c r="M18" s="682"/>
      <c r="N18" s="682"/>
      <c r="O18" s="682"/>
    </row>
    <row r="19" spans="1:17">
      <c r="A19" s="764">
        <v>1</v>
      </c>
      <c r="B19" s="153" t="s">
        <v>15601</v>
      </c>
      <c r="C19" s="153" t="s">
        <v>15600</v>
      </c>
      <c r="D19" s="765">
        <v>72876</v>
      </c>
      <c r="E19" s="765">
        <v>73105</v>
      </c>
      <c r="F19" s="765">
        <v>73596</v>
      </c>
      <c r="G19" s="765">
        <v>72748</v>
      </c>
      <c r="H19" s="765">
        <v>73566</v>
      </c>
      <c r="I19" s="765">
        <v>72537</v>
      </c>
      <c r="J19" s="765">
        <v>73703</v>
      </c>
      <c r="K19" s="765">
        <v>72972</v>
      </c>
      <c r="L19" s="765">
        <v>71599</v>
      </c>
      <c r="M19" s="765">
        <v>71867</v>
      </c>
      <c r="N19" s="765">
        <v>72820</v>
      </c>
      <c r="O19" s="56">
        <v>7547</v>
      </c>
      <c r="Q19" s="679" t="s">
        <v>1519</v>
      </c>
    </row>
    <row r="20" spans="1:17">
      <c r="A20" s="764">
        <v>2</v>
      </c>
      <c r="B20" s="153" t="s">
        <v>2077</v>
      </c>
      <c r="C20" s="153" t="s">
        <v>15602</v>
      </c>
      <c r="D20" s="765">
        <v>64253</v>
      </c>
      <c r="E20" s="765">
        <v>65768</v>
      </c>
      <c r="F20" s="765">
        <v>65819</v>
      </c>
      <c r="G20" s="765">
        <v>65562</v>
      </c>
      <c r="H20" s="765">
        <v>65609</v>
      </c>
      <c r="I20" s="765">
        <v>64266</v>
      </c>
      <c r="J20" s="765">
        <v>64475</v>
      </c>
      <c r="K20" s="765">
        <v>63282</v>
      </c>
      <c r="L20" s="765">
        <v>61752</v>
      </c>
      <c r="M20" s="765">
        <v>61946</v>
      </c>
      <c r="N20" s="765">
        <v>62816</v>
      </c>
      <c r="O20" s="56">
        <v>9311</v>
      </c>
      <c r="Q20" s="679" t="s">
        <v>2076</v>
      </c>
    </row>
    <row r="21" spans="1:17">
      <c r="A21" s="764">
        <v>3</v>
      </c>
      <c r="B21" s="153" t="s">
        <v>2078</v>
      </c>
      <c r="C21" s="153" t="s">
        <v>15603</v>
      </c>
      <c r="D21" s="765">
        <v>0</v>
      </c>
      <c r="E21" s="765">
        <v>0</v>
      </c>
      <c r="F21" s="765">
        <v>0</v>
      </c>
      <c r="G21" s="765">
        <v>0</v>
      </c>
      <c r="H21" s="765">
        <v>0</v>
      </c>
      <c r="I21" s="765">
        <v>0</v>
      </c>
      <c r="J21" s="765">
        <v>0</v>
      </c>
      <c r="K21" s="765">
        <v>0</v>
      </c>
      <c r="L21" s="765">
        <v>0</v>
      </c>
      <c r="M21" s="765">
        <v>0</v>
      </c>
      <c r="N21" s="765">
        <v>0</v>
      </c>
      <c r="O21" s="58">
        <v>8652</v>
      </c>
      <c r="Q21" s="679" t="s">
        <v>1517</v>
      </c>
    </row>
    <row r="22" spans="1:17" ht="15.75" thickBot="1">
      <c r="A22" s="764"/>
      <c r="C22" s="153" t="s">
        <v>15603</v>
      </c>
      <c r="D22" s="765">
        <v>0</v>
      </c>
      <c r="E22" s="765">
        <v>0</v>
      </c>
      <c r="F22" s="765">
        <v>0</v>
      </c>
      <c r="G22" s="765">
        <v>0</v>
      </c>
      <c r="H22" s="765">
        <v>0</v>
      </c>
      <c r="I22" s="765">
        <v>0</v>
      </c>
      <c r="J22" s="765">
        <v>0</v>
      </c>
      <c r="K22" s="765">
        <v>0</v>
      </c>
      <c r="L22" s="765">
        <v>0</v>
      </c>
      <c r="M22" s="765">
        <v>0</v>
      </c>
      <c r="N22" s="765">
        <v>0</v>
      </c>
      <c r="O22" s="58">
        <v>0</v>
      </c>
      <c r="Q22" s="679" t="s">
        <v>1519</v>
      </c>
    </row>
    <row r="23" spans="1:17" ht="15.75" thickBot="1">
      <c r="A23" s="764"/>
      <c r="C23" s="153" t="s">
        <v>15603</v>
      </c>
      <c r="D23" s="773">
        <f>D21+D22</f>
        <v>0</v>
      </c>
      <c r="E23" s="773">
        <f>E21+E22</f>
        <v>0</v>
      </c>
      <c r="F23" s="773">
        <f>F21+F22</f>
        <v>0</v>
      </c>
      <c r="G23" s="773">
        <f t="shared" ref="G23:L23" si="12">G21+G22</f>
        <v>0</v>
      </c>
      <c r="H23" s="773">
        <f t="shared" si="12"/>
        <v>0</v>
      </c>
      <c r="I23" s="773">
        <f t="shared" si="12"/>
        <v>0</v>
      </c>
      <c r="J23" s="773">
        <f t="shared" si="12"/>
        <v>0</v>
      </c>
      <c r="K23" s="773">
        <f t="shared" si="12"/>
        <v>0</v>
      </c>
      <c r="L23" s="773">
        <f t="shared" si="12"/>
        <v>0</v>
      </c>
      <c r="M23" s="773">
        <f>M21+M22</f>
        <v>0</v>
      </c>
      <c r="N23" s="773">
        <f>N21+N22</f>
        <v>0</v>
      </c>
      <c r="O23" s="773">
        <f>O21+O22</f>
        <v>8652</v>
      </c>
      <c r="Q23" s="679"/>
    </row>
    <row r="24" spans="1:17">
      <c r="A24" s="764">
        <v>4</v>
      </c>
      <c r="B24" s="153" t="s">
        <v>2079</v>
      </c>
      <c r="C24" s="153" t="s">
        <v>15604</v>
      </c>
      <c r="D24" s="765">
        <v>69149</v>
      </c>
      <c r="E24" s="765">
        <v>69828</v>
      </c>
      <c r="F24" s="765">
        <v>70415</v>
      </c>
      <c r="G24" s="765">
        <v>70103</v>
      </c>
      <c r="H24" s="765">
        <v>71035</v>
      </c>
      <c r="I24" s="765">
        <v>68374</v>
      </c>
      <c r="J24" s="765">
        <v>70798</v>
      </c>
      <c r="K24" s="765">
        <v>70582</v>
      </c>
      <c r="L24" s="765">
        <v>68779</v>
      </c>
      <c r="M24" s="765">
        <v>68521</v>
      </c>
      <c r="N24" s="765">
        <v>70947</v>
      </c>
      <c r="O24" s="56">
        <v>10062</v>
      </c>
      <c r="Q24" s="679" t="s">
        <v>1517</v>
      </c>
    </row>
    <row r="25" spans="1:17">
      <c r="A25" s="764">
        <v>5</v>
      </c>
      <c r="B25" s="153" t="s">
        <v>2080</v>
      </c>
      <c r="C25" s="153" t="s">
        <v>15605</v>
      </c>
      <c r="D25" s="765">
        <v>0</v>
      </c>
      <c r="E25" s="765">
        <v>0</v>
      </c>
      <c r="F25" s="765">
        <v>0</v>
      </c>
      <c r="G25" s="765">
        <v>0</v>
      </c>
      <c r="H25" s="765">
        <v>0</v>
      </c>
      <c r="I25" s="765">
        <v>0</v>
      </c>
      <c r="J25" s="765">
        <v>0</v>
      </c>
      <c r="K25" s="765">
        <v>0</v>
      </c>
      <c r="L25" s="765">
        <v>0</v>
      </c>
      <c r="M25" s="765">
        <v>0</v>
      </c>
      <c r="N25" s="765">
        <v>0</v>
      </c>
      <c r="O25" s="56">
        <v>8399</v>
      </c>
      <c r="Q25" s="679" t="s">
        <v>1517</v>
      </c>
    </row>
    <row r="26" spans="1:17">
      <c r="A26" s="764">
        <v>6</v>
      </c>
      <c r="B26" s="153" t="s">
        <v>772</v>
      </c>
      <c r="C26" s="153" t="s">
        <v>15606</v>
      </c>
      <c r="D26" s="765">
        <v>0</v>
      </c>
      <c r="E26" s="765">
        <v>0</v>
      </c>
      <c r="F26" s="765">
        <v>0</v>
      </c>
      <c r="G26" s="765">
        <v>0</v>
      </c>
      <c r="H26" s="765">
        <v>0</v>
      </c>
      <c r="I26" s="765">
        <v>0</v>
      </c>
      <c r="J26" s="765">
        <v>0</v>
      </c>
      <c r="K26" s="765">
        <v>0</v>
      </c>
      <c r="L26" s="765">
        <v>0</v>
      </c>
      <c r="M26" s="765">
        <v>0</v>
      </c>
      <c r="N26" s="765">
        <v>0</v>
      </c>
      <c r="O26" s="56">
        <v>9359</v>
      </c>
      <c r="Q26" s="679" t="s">
        <v>1519</v>
      </c>
    </row>
    <row r="27" spans="1:17">
      <c r="A27" s="764">
        <v>7</v>
      </c>
      <c r="B27" s="153" t="s">
        <v>773</v>
      </c>
      <c r="C27" s="153" t="s">
        <v>15607</v>
      </c>
      <c r="D27" s="765">
        <v>0</v>
      </c>
      <c r="E27" s="765">
        <v>0</v>
      </c>
      <c r="F27" s="765">
        <v>0</v>
      </c>
      <c r="G27" s="765">
        <v>0</v>
      </c>
      <c r="H27" s="765">
        <v>0</v>
      </c>
      <c r="I27" s="765">
        <v>0</v>
      </c>
      <c r="J27" s="765">
        <v>0</v>
      </c>
      <c r="K27" s="765">
        <v>0</v>
      </c>
      <c r="L27" s="765">
        <v>0</v>
      </c>
      <c r="M27" s="765">
        <v>0</v>
      </c>
      <c r="N27" s="765">
        <v>0</v>
      </c>
      <c r="O27" s="58">
        <v>9260</v>
      </c>
      <c r="Q27" s="679" t="s">
        <v>1517</v>
      </c>
    </row>
    <row r="28" spans="1:17" ht="15.75" thickBot="1">
      <c r="A28" s="764"/>
      <c r="C28" s="153" t="s">
        <v>15607</v>
      </c>
      <c r="D28" s="765">
        <v>0</v>
      </c>
      <c r="E28" s="765">
        <v>0</v>
      </c>
      <c r="F28" s="765">
        <v>0</v>
      </c>
      <c r="G28" s="765">
        <v>0</v>
      </c>
      <c r="H28" s="765">
        <v>0</v>
      </c>
      <c r="I28" s="765">
        <v>0</v>
      </c>
      <c r="J28" s="765">
        <v>0</v>
      </c>
      <c r="K28" s="765">
        <v>0</v>
      </c>
      <c r="L28" s="765">
        <v>0</v>
      </c>
      <c r="M28" s="765">
        <v>0</v>
      </c>
      <c r="N28" s="765">
        <v>0</v>
      </c>
      <c r="O28" s="58">
        <v>0</v>
      </c>
      <c r="Q28" s="679" t="s">
        <v>1519</v>
      </c>
    </row>
    <row r="29" spans="1:17" ht="15.75" thickBot="1">
      <c r="A29" s="764"/>
      <c r="C29" s="153" t="s">
        <v>15607</v>
      </c>
      <c r="D29" s="773">
        <f>D27+D28</f>
        <v>0</v>
      </c>
      <c r="E29" s="773">
        <f>E27+E28</f>
        <v>0</v>
      </c>
      <c r="F29" s="773">
        <f>F27+F28</f>
        <v>0</v>
      </c>
      <c r="G29" s="773">
        <f t="shared" ref="G29:L29" si="13">G27+G28</f>
        <v>0</v>
      </c>
      <c r="H29" s="773">
        <f t="shared" si="13"/>
        <v>0</v>
      </c>
      <c r="I29" s="773">
        <f t="shared" si="13"/>
        <v>0</v>
      </c>
      <c r="J29" s="773">
        <f t="shared" si="13"/>
        <v>0</v>
      </c>
      <c r="K29" s="773">
        <f t="shared" si="13"/>
        <v>0</v>
      </c>
      <c r="L29" s="773">
        <f t="shared" si="13"/>
        <v>0</v>
      </c>
      <c r="M29" s="773">
        <f>M27+M28</f>
        <v>0</v>
      </c>
      <c r="N29" s="773">
        <f>N27+N28</f>
        <v>0</v>
      </c>
      <c r="O29" s="773">
        <f>O27+O28</f>
        <v>9260</v>
      </c>
      <c r="Q29" s="679"/>
    </row>
    <row r="30" spans="1:17">
      <c r="A30" s="764">
        <v>8</v>
      </c>
      <c r="B30" s="153" t="s">
        <v>15609</v>
      </c>
      <c r="C30" s="153" t="s">
        <v>15608</v>
      </c>
      <c r="D30" s="765">
        <v>0</v>
      </c>
      <c r="E30" s="765">
        <v>0</v>
      </c>
      <c r="F30" s="765">
        <v>0</v>
      </c>
      <c r="G30" s="765">
        <v>0</v>
      </c>
      <c r="H30" s="765">
        <v>0</v>
      </c>
      <c r="I30" s="765">
        <v>0</v>
      </c>
      <c r="J30" s="765">
        <v>0</v>
      </c>
      <c r="K30" s="765">
        <v>0</v>
      </c>
      <c r="L30" s="765">
        <v>0</v>
      </c>
      <c r="M30" s="765">
        <v>0</v>
      </c>
      <c r="N30" s="765">
        <v>0</v>
      </c>
      <c r="O30" s="56">
        <v>8747</v>
      </c>
      <c r="Q30" s="679" t="s">
        <v>2076</v>
      </c>
    </row>
    <row r="31" spans="1:17">
      <c r="A31" s="764">
        <v>9</v>
      </c>
      <c r="B31" s="153" t="s">
        <v>774</v>
      </c>
      <c r="C31" s="153" t="s">
        <v>15610</v>
      </c>
      <c r="D31" s="765">
        <v>0</v>
      </c>
      <c r="E31" s="765">
        <v>0</v>
      </c>
      <c r="F31" s="765">
        <v>0</v>
      </c>
      <c r="G31" s="765">
        <v>0</v>
      </c>
      <c r="H31" s="765">
        <v>0</v>
      </c>
      <c r="I31" s="765">
        <v>0</v>
      </c>
      <c r="J31" s="765">
        <v>0</v>
      </c>
      <c r="K31" s="765">
        <v>0</v>
      </c>
      <c r="L31" s="765">
        <v>0</v>
      </c>
      <c r="M31" s="765">
        <v>0</v>
      </c>
      <c r="N31" s="765">
        <v>0</v>
      </c>
      <c r="O31" s="56">
        <v>1404</v>
      </c>
      <c r="Q31" s="679" t="s">
        <v>1519</v>
      </c>
    </row>
    <row r="32" spans="1:17" ht="15.75" thickBot="1">
      <c r="A32" s="764"/>
      <c r="C32" s="153" t="s">
        <v>15610</v>
      </c>
      <c r="D32" s="765">
        <v>0</v>
      </c>
      <c r="E32" s="765">
        <v>0</v>
      </c>
      <c r="F32" s="765">
        <v>0</v>
      </c>
      <c r="G32" s="765">
        <v>0</v>
      </c>
      <c r="H32" s="765">
        <v>0</v>
      </c>
      <c r="I32" s="765">
        <v>0</v>
      </c>
      <c r="J32" s="765">
        <v>0</v>
      </c>
      <c r="K32" s="765">
        <v>0</v>
      </c>
      <c r="L32" s="765">
        <v>0</v>
      </c>
      <c r="M32" s="765">
        <v>0</v>
      </c>
      <c r="N32" s="765">
        <v>0</v>
      </c>
      <c r="O32" s="56">
        <v>8609</v>
      </c>
      <c r="Q32" s="679" t="s">
        <v>2076</v>
      </c>
    </row>
    <row r="33" spans="1:17" ht="15.75" thickBot="1">
      <c r="A33" s="764"/>
      <c r="C33" s="153" t="s">
        <v>15610</v>
      </c>
      <c r="D33" s="773">
        <f>D31+D32</f>
        <v>0</v>
      </c>
      <c r="E33" s="773">
        <f>E31+E32</f>
        <v>0</v>
      </c>
      <c r="F33" s="773">
        <f>F31+F32</f>
        <v>0</v>
      </c>
      <c r="G33" s="773">
        <f t="shared" ref="G33:L33" si="14">G31+G32</f>
        <v>0</v>
      </c>
      <c r="H33" s="773">
        <f t="shared" si="14"/>
        <v>0</v>
      </c>
      <c r="I33" s="773">
        <f t="shared" si="14"/>
        <v>0</v>
      </c>
      <c r="J33" s="773">
        <f t="shared" si="14"/>
        <v>0</v>
      </c>
      <c r="K33" s="773">
        <f t="shared" si="14"/>
        <v>0</v>
      </c>
      <c r="L33" s="773">
        <f t="shared" si="14"/>
        <v>0</v>
      </c>
      <c r="M33" s="773">
        <f>M31+M32</f>
        <v>0</v>
      </c>
      <c r="N33" s="773">
        <f>N31+N32</f>
        <v>0</v>
      </c>
      <c r="O33" s="773">
        <f>O31+O32</f>
        <v>10013</v>
      </c>
      <c r="Q33" s="679"/>
    </row>
    <row r="34" spans="1:17">
      <c r="A34" s="764">
        <v>10</v>
      </c>
      <c r="B34" s="153" t="s">
        <v>15612</v>
      </c>
      <c r="C34" s="153" t="s">
        <v>15611</v>
      </c>
      <c r="D34" s="765">
        <v>0</v>
      </c>
      <c r="E34" s="765">
        <v>0</v>
      </c>
      <c r="F34" s="765">
        <v>0</v>
      </c>
      <c r="G34" s="765">
        <v>0</v>
      </c>
      <c r="H34" s="765">
        <v>0</v>
      </c>
      <c r="I34" s="765">
        <v>0</v>
      </c>
      <c r="J34" s="765">
        <v>0</v>
      </c>
      <c r="K34" s="765">
        <v>0</v>
      </c>
      <c r="L34" s="765">
        <v>0</v>
      </c>
      <c r="M34" s="765">
        <v>0</v>
      </c>
      <c r="N34" s="765">
        <v>0</v>
      </c>
      <c r="O34" s="56">
        <v>9129</v>
      </c>
      <c r="Q34" s="679" t="s">
        <v>1517</v>
      </c>
    </row>
    <row r="35" spans="1:17">
      <c r="A35" s="764">
        <v>11</v>
      </c>
      <c r="B35" s="153" t="s">
        <v>775</v>
      </c>
      <c r="C35" s="153" t="s">
        <v>15613</v>
      </c>
      <c r="D35" s="765">
        <v>0</v>
      </c>
      <c r="E35" s="765">
        <v>0</v>
      </c>
      <c r="F35" s="765">
        <v>0</v>
      </c>
      <c r="G35" s="765">
        <v>0</v>
      </c>
      <c r="H35" s="765">
        <v>0</v>
      </c>
      <c r="I35" s="765">
        <v>0</v>
      </c>
      <c r="J35" s="765">
        <v>0</v>
      </c>
      <c r="K35" s="765">
        <v>0</v>
      </c>
      <c r="L35" s="765">
        <v>0</v>
      </c>
      <c r="M35" s="765">
        <v>0</v>
      </c>
      <c r="N35" s="765">
        <v>0</v>
      </c>
      <c r="O35" s="56">
        <v>9485</v>
      </c>
      <c r="Q35" s="679" t="s">
        <v>1519</v>
      </c>
    </row>
    <row r="36" spans="1:17">
      <c r="A36" s="764">
        <v>12</v>
      </c>
      <c r="B36" s="153" t="s">
        <v>15615</v>
      </c>
      <c r="C36" s="153" t="s">
        <v>15614</v>
      </c>
      <c r="D36" s="765">
        <v>0</v>
      </c>
      <c r="E36" s="765">
        <v>0</v>
      </c>
      <c r="F36" s="765">
        <v>0</v>
      </c>
      <c r="G36" s="765">
        <v>0</v>
      </c>
      <c r="H36" s="765">
        <v>0</v>
      </c>
      <c r="I36" s="765">
        <v>0</v>
      </c>
      <c r="J36" s="765">
        <v>0</v>
      </c>
      <c r="K36" s="765">
        <v>0</v>
      </c>
      <c r="L36" s="765">
        <v>0</v>
      </c>
      <c r="M36" s="765">
        <v>0</v>
      </c>
      <c r="N36" s="765">
        <v>0</v>
      </c>
      <c r="O36" s="58">
        <v>8929</v>
      </c>
      <c r="Q36" s="679" t="s">
        <v>1519</v>
      </c>
    </row>
    <row r="37" spans="1:17">
      <c r="A37" s="764">
        <v>13</v>
      </c>
      <c r="B37" s="153" t="s">
        <v>626</v>
      </c>
      <c r="C37" s="153" t="s">
        <v>15616</v>
      </c>
      <c r="D37" s="765">
        <v>0</v>
      </c>
      <c r="E37" s="765">
        <v>0</v>
      </c>
      <c r="F37" s="765">
        <v>0</v>
      </c>
      <c r="G37" s="765">
        <v>0</v>
      </c>
      <c r="H37" s="765">
        <v>0</v>
      </c>
      <c r="I37" s="765">
        <v>0</v>
      </c>
      <c r="J37" s="765">
        <v>0</v>
      </c>
      <c r="K37" s="765">
        <v>0</v>
      </c>
      <c r="L37" s="765">
        <v>0</v>
      </c>
      <c r="M37" s="765">
        <v>0</v>
      </c>
      <c r="N37" s="765">
        <v>0</v>
      </c>
      <c r="O37" s="58">
        <v>9314</v>
      </c>
      <c r="Q37" s="679" t="s">
        <v>2076</v>
      </c>
    </row>
    <row r="38" spans="1:17">
      <c r="A38" s="764">
        <v>14</v>
      </c>
      <c r="B38" s="153" t="s">
        <v>776</v>
      </c>
      <c r="C38" s="153" t="s">
        <v>15617</v>
      </c>
      <c r="D38" s="765">
        <v>0</v>
      </c>
      <c r="E38" s="765">
        <v>0</v>
      </c>
      <c r="F38" s="765">
        <v>0</v>
      </c>
      <c r="G38" s="765">
        <v>0</v>
      </c>
      <c r="H38" s="765">
        <v>0</v>
      </c>
      <c r="I38" s="765">
        <v>0</v>
      </c>
      <c r="J38" s="765">
        <v>0</v>
      </c>
      <c r="K38" s="765">
        <v>0</v>
      </c>
      <c r="L38" s="765">
        <v>0</v>
      </c>
      <c r="M38" s="765">
        <v>0</v>
      </c>
      <c r="N38" s="765">
        <v>0</v>
      </c>
      <c r="O38" s="56">
        <v>9724</v>
      </c>
      <c r="Q38" s="679" t="s">
        <v>1519</v>
      </c>
    </row>
    <row r="39" spans="1:17">
      <c r="A39" s="764">
        <v>15</v>
      </c>
      <c r="B39" s="153" t="s">
        <v>777</v>
      </c>
      <c r="C39" s="153" t="s">
        <v>15618</v>
      </c>
      <c r="D39" s="765">
        <v>0</v>
      </c>
      <c r="E39" s="765">
        <v>0</v>
      </c>
      <c r="F39" s="765">
        <v>0</v>
      </c>
      <c r="G39" s="765">
        <v>0</v>
      </c>
      <c r="H39" s="765">
        <v>0</v>
      </c>
      <c r="I39" s="765">
        <v>0</v>
      </c>
      <c r="J39" s="765">
        <v>0</v>
      </c>
      <c r="K39" s="765">
        <v>0</v>
      </c>
      <c r="L39" s="765">
        <v>0</v>
      </c>
      <c r="M39" s="765">
        <v>0</v>
      </c>
      <c r="N39" s="765">
        <v>0</v>
      </c>
      <c r="O39" s="56">
        <v>9365</v>
      </c>
      <c r="Q39" s="679" t="s">
        <v>1519</v>
      </c>
    </row>
    <row r="40" spans="1:17">
      <c r="A40" s="764">
        <v>16</v>
      </c>
      <c r="B40" s="153" t="s">
        <v>778</v>
      </c>
      <c r="C40" s="153" t="s">
        <v>15619</v>
      </c>
      <c r="D40" s="765">
        <v>0</v>
      </c>
      <c r="E40" s="765">
        <v>0</v>
      </c>
      <c r="F40" s="765">
        <v>0</v>
      </c>
      <c r="G40" s="765">
        <v>0</v>
      </c>
      <c r="H40" s="765">
        <v>0</v>
      </c>
      <c r="I40" s="765">
        <v>0</v>
      </c>
      <c r="J40" s="765">
        <v>0</v>
      </c>
      <c r="K40" s="765">
        <v>0</v>
      </c>
      <c r="L40" s="765">
        <v>0</v>
      </c>
      <c r="M40" s="765">
        <v>0</v>
      </c>
      <c r="N40" s="765">
        <v>0</v>
      </c>
      <c r="O40" s="56">
        <v>9128</v>
      </c>
      <c r="Q40" s="679" t="s">
        <v>2076</v>
      </c>
    </row>
    <row r="41" spans="1:17">
      <c r="A41" s="764">
        <v>17</v>
      </c>
      <c r="B41" s="153" t="s">
        <v>779</v>
      </c>
      <c r="C41" s="153" t="s">
        <v>15620</v>
      </c>
      <c r="D41" s="765">
        <v>0</v>
      </c>
      <c r="E41" s="765">
        <v>0</v>
      </c>
      <c r="F41" s="765">
        <v>0</v>
      </c>
      <c r="G41" s="765">
        <v>0</v>
      </c>
      <c r="H41" s="765">
        <v>0</v>
      </c>
      <c r="I41" s="765">
        <v>0</v>
      </c>
      <c r="J41" s="765">
        <v>0</v>
      </c>
      <c r="K41" s="765">
        <v>0</v>
      </c>
      <c r="L41" s="765">
        <v>0</v>
      </c>
      <c r="M41" s="765">
        <v>0</v>
      </c>
      <c r="N41" s="765">
        <v>0</v>
      </c>
      <c r="O41" s="58">
        <v>9013</v>
      </c>
      <c r="Q41" s="679" t="s">
        <v>1519</v>
      </c>
    </row>
    <row r="42" spans="1:17">
      <c r="A42" s="764">
        <v>18</v>
      </c>
      <c r="B42" s="153" t="s">
        <v>15622</v>
      </c>
      <c r="C42" s="153" t="s">
        <v>15621</v>
      </c>
      <c r="D42" s="765">
        <v>0</v>
      </c>
      <c r="E42" s="765">
        <v>0</v>
      </c>
      <c r="F42" s="765">
        <v>0</v>
      </c>
      <c r="G42" s="765">
        <v>0</v>
      </c>
      <c r="H42" s="765">
        <v>0</v>
      </c>
      <c r="I42" s="765">
        <v>0</v>
      </c>
      <c r="J42" s="765">
        <v>0</v>
      </c>
      <c r="K42" s="765">
        <v>0</v>
      </c>
      <c r="L42" s="765">
        <v>0</v>
      </c>
      <c r="M42" s="765">
        <v>0</v>
      </c>
      <c r="N42" s="765">
        <v>0</v>
      </c>
      <c r="O42" s="58">
        <v>9563</v>
      </c>
      <c r="Q42" s="679" t="s">
        <v>1519</v>
      </c>
    </row>
    <row r="43" spans="1:17">
      <c r="A43" s="764">
        <v>19</v>
      </c>
      <c r="B43" s="153" t="s">
        <v>780</v>
      </c>
      <c r="C43" s="153" t="s">
        <v>15623</v>
      </c>
      <c r="D43" s="765">
        <v>0</v>
      </c>
      <c r="E43" s="765">
        <v>0</v>
      </c>
      <c r="F43" s="765">
        <v>0</v>
      </c>
      <c r="G43" s="765">
        <v>0</v>
      </c>
      <c r="H43" s="765">
        <v>0</v>
      </c>
      <c r="I43" s="765">
        <v>0</v>
      </c>
      <c r="J43" s="765">
        <v>0</v>
      </c>
      <c r="K43" s="765">
        <v>0</v>
      </c>
      <c r="L43" s="765">
        <v>0</v>
      </c>
      <c r="M43" s="765">
        <v>0</v>
      </c>
      <c r="N43" s="765">
        <v>0</v>
      </c>
      <c r="O43" s="56">
        <v>9324</v>
      </c>
      <c r="Q43" s="679" t="s">
        <v>1517</v>
      </c>
    </row>
    <row r="44" spans="1:17">
      <c r="A44" s="764">
        <v>20</v>
      </c>
      <c r="B44" s="153" t="s">
        <v>781</v>
      </c>
      <c r="C44" s="153" t="s">
        <v>15624</v>
      </c>
      <c r="D44" s="765">
        <v>0</v>
      </c>
      <c r="E44" s="765">
        <v>0</v>
      </c>
      <c r="F44" s="765">
        <v>0</v>
      </c>
      <c r="G44" s="765">
        <v>0</v>
      </c>
      <c r="H44" s="765">
        <v>0</v>
      </c>
      <c r="I44" s="765">
        <v>0</v>
      </c>
      <c r="J44" s="765">
        <v>0</v>
      </c>
      <c r="K44" s="765">
        <v>0</v>
      </c>
      <c r="L44" s="765">
        <v>0</v>
      </c>
      <c r="M44" s="765">
        <v>0</v>
      </c>
      <c r="N44" s="765">
        <v>0</v>
      </c>
      <c r="O44" s="58">
        <v>6442</v>
      </c>
      <c r="Q44" s="679" t="s">
        <v>2076</v>
      </c>
    </row>
    <row r="45" spans="1:17">
      <c r="A45" s="764">
        <v>21</v>
      </c>
      <c r="B45" s="153" t="s">
        <v>782</v>
      </c>
      <c r="C45" s="153" t="s">
        <v>15625</v>
      </c>
      <c r="D45" s="765">
        <v>0</v>
      </c>
      <c r="E45" s="765">
        <v>0</v>
      </c>
      <c r="F45" s="765">
        <v>0</v>
      </c>
      <c r="G45" s="765">
        <v>0</v>
      </c>
      <c r="H45" s="765">
        <v>0</v>
      </c>
      <c r="I45" s="765">
        <v>0</v>
      </c>
      <c r="J45" s="765">
        <v>0</v>
      </c>
      <c r="K45" s="765">
        <v>0</v>
      </c>
      <c r="L45" s="765">
        <v>0</v>
      </c>
      <c r="M45" s="765">
        <v>0</v>
      </c>
      <c r="N45" s="765">
        <v>0</v>
      </c>
      <c r="O45" s="58">
        <v>8751</v>
      </c>
      <c r="Q45" s="679" t="s">
        <v>2076</v>
      </c>
    </row>
    <row r="46" spans="1:17">
      <c r="A46" s="764">
        <v>22</v>
      </c>
      <c r="B46" s="153" t="s">
        <v>15627</v>
      </c>
      <c r="C46" s="153" t="s">
        <v>15626</v>
      </c>
      <c r="D46" s="765">
        <v>0</v>
      </c>
      <c r="E46" s="765">
        <v>0</v>
      </c>
      <c r="F46" s="765">
        <v>0</v>
      </c>
      <c r="G46" s="765">
        <v>0</v>
      </c>
      <c r="H46" s="765">
        <v>0</v>
      </c>
      <c r="I46" s="765">
        <v>0</v>
      </c>
      <c r="J46" s="765">
        <v>0</v>
      </c>
      <c r="K46" s="765">
        <v>0</v>
      </c>
      <c r="L46" s="765">
        <v>0</v>
      </c>
      <c r="M46" s="765">
        <v>0</v>
      </c>
      <c r="N46" s="765">
        <v>0</v>
      </c>
      <c r="O46" s="56">
        <v>3919</v>
      </c>
      <c r="Q46" s="679" t="s">
        <v>2076</v>
      </c>
    </row>
    <row r="47" spans="1:17">
      <c r="A47" s="764">
        <v>23</v>
      </c>
      <c r="B47" s="153" t="s">
        <v>5020</v>
      </c>
      <c r="C47" s="153" t="s">
        <v>15628</v>
      </c>
      <c r="D47" s="765">
        <v>0</v>
      </c>
      <c r="E47" s="765">
        <v>0</v>
      </c>
      <c r="F47" s="765">
        <v>0</v>
      </c>
      <c r="G47" s="765">
        <v>0</v>
      </c>
      <c r="H47" s="765">
        <v>0</v>
      </c>
      <c r="I47" s="765">
        <v>0</v>
      </c>
      <c r="J47" s="765">
        <v>0</v>
      </c>
      <c r="K47" s="765">
        <v>0</v>
      </c>
      <c r="L47" s="765">
        <v>0</v>
      </c>
      <c r="M47" s="765">
        <v>0</v>
      </c>
      <c r="N47" s="765">
        <v>0</v>
      </c>
      <c r="O47" s="56">
        <v>10397</v>
      </c>
      <c r="Q47" s="679" t="s">
        <v>1517</v>
      </c>
    </row>
    <row r="48" spans="1:17">
      <c r="A48" s="764">
        <v>24</v>
      </c>
      <c r="B48" s="153" t="s">
        <v>1837</v>
      </c>
      <c r="C48" s="153" t="s">
        <v>15629</v>
      </c>
      <c r="D48" s="765">
        <v>0</v>
      </c>
      <c r="E48" s="765">
        <v>0</v>
      </c>
      <c r="F48" s="765">
        <v>0</v>
      </c>
      <c r="G48" s="765">
        <v>0</v>
      </c>
      <c r="H48" s="765">
        <v>0</v>
      </c>
      <c r="I48" s="765">
        <v>0</v>
      </c>
      <c r="J48" s="765">
        <v>0</v>
      </c>
      <c r="K48" s="765">
        <v>0</v>
      </c>
      <c r="L48" s="765">
        <v>0</v>
      </c>
      <c r="M48" s="765">
        <v>0</v>
      </c>
      <c r="N48" s="765">
        <v>0</v>
      </c>
      <c r="O48" s="56">
        <v>9460</v>
      </c>
      <c r="Q48" s="679" t="s">
        <v>1517</v>
      </c>
    </row>
    <row r="49" spans="1:17" ht="15.75" thickBot="1">
      <c r="A49" s="764"/>
      <c r="B49" s="679"/>
      <c r="C49" s="153" t="s">
        <v>15629</v>
      </c>
      <c r="D49" s="765">
        <v>0</v>
      </c>
      <c r="E49" s="765">
        <v>0</v>
      </c>
      <c r="F49" s="765">
        <v>0</v>
      </c>
      <c r="G49" s="765">
        <v>0</v>
      </c>
      <c r="H49" s="765">
        <v>0</v>
      </c>
      <c r="I49" s="765">
        <v>0</v>
      </c>
      <c r="J49" s="765">
        <v>0</v>
      </c>
      <c r="K49" s="765">
        <v>0</v>
      </c>
      <c r="L49" s="765">
        <v>0</v>
      </c>
      <c r="M49" s="765">
        <v>0</v>
      </c>
      <c r="N49" s="765">
        <v>0</v>
      </c>
      <c r="O49" s="153">
        <v>0</v>
      </c>
      <c r="Q49" s="679" t="s">
        <v>2076</v>
      </c>
    </row>
    <row r="50" spans="1:17" ht="15.75" thickBot="1">
      <c r="A50" s="764"/>
      <c r="B50" s="679"/>
      <c r="C50" s="153" t="s">
        <v>15629</v>
      </c>
      <c r="D50" s="773">
        <f>D48+D49</f>
        <v>0</v>
      </c>
      <c r="E50" s="773">
        <f>E48+E49</f>
        <v>0</v>
      </c>
      <c r="F50" s="773">
        <f>F48+F49</f>
        <v>0</v>
      </c>
      <c r="G50" s="773">
        <f t="shared" ref="G50:L50" si="15">G48+G49</f>
        <v>0</v>
      </c>
      <c r="H50" s="773">
        <f t="shared" si="15"/>
        <v>0</v>
      </c>
      <c r="I50" s="773">
        <f t="shared" si="15"/>
        <v>0</v>
      </c>
      <c r="J50" s="773">
        <f t="shared" si="15"/>
        <v>0</v>
      </c>
      <c r="K50" s="773">
        <f t="shared" si="15"/>
        <v>0</v>
      </c>
      <c r="L50" s="773">
        <f t="shared" si="15"/>
        <v>0</v>
      </c>
      <c r="M50" s="773">
        <f>M48+M49</f>
        <v>0</v>
      </c>
      <c r="N50" s="773">
        <f>N48+N49</f>
        <v>0</v>
      </c>
      <c r="O50" s="773">
        <f>O48+O49</f>
        <v>9460</v>
      </c>
      <c r="Q50" s="679"/>
    </row>
    <row r="51" spans="1:17">
      <c r="A51" s="764"/>
      <c r="B51" s="679"/>
      <c r="C51" s="679"/>
      <c r="D51" s="681"/>
      <c r="E51" s="681"/>
      <c r="F51" s="681"/>
      <c r="G51" s="681"/>
      <c r="H51" s="681"/>
      <c r="I51" s="681"/>
      <c r="J51" s="681"/>
      <c r="K51" s="681"/>
      <c r="L51" s="681"/>
      <c r="Q51" s="679"/>
    </row>
    <row r="52" spans="1:17">
      <c r="A52" s="153" t="s">
        <v>702</v>
      </c>
    </row>
    <row r="53" spans="1:17" ht="16.5" customHeight="1">
      <c r="A53" s="153" t="s">
        <v>15630</v>
      </c>
    </row>
    <row r="54" spans="1:17">
      <c r="A54" s="679"/>
      <c r="B54" s="679"/>
      <c r="C54" s="679"/>
      <c r="D54" s="680"/>
      <c r="E54" s="680"/>
      <c r="F54" s="680"/>
      <c r="G54" s="680"/>
      <c r="H54" s="680"/>
      <c r="I54" s="680"/>
      <c r="J54" s="680"/>
      <c r="K54" s="680"/>
      <c r="L54" s="680"/>
      <c r="Q54" s="679"/>
    </row>
    <row r="55" spans="1:17">
      <c r="A55" s="1008" t="s">
        <v>16023</v>
      </c>
      <c r="B55" s="679"/>
      <c r="C55" s="679"/>
      <c r="D55" s="680"/>
      <c r="E55" s="680"/>
      <c r="F55" s="680"/>
      <c r="G55" s="680"/>
      <c r="H55" s="680"/>
      <c r="I55" s="680"/>
      <c r="J55" s="680"/>
      <c r="K55" s="680"/>
      <c r="L55" s="680"/>
      <c r="Q55" s="679"/>
    </row>
    <row r="56" spans="1:17">
      <c r="A56" s="167" t="s">
        <v>16099</v>
      </c>
      <c r="B56" s="679"/>
      <c r="C56" s="679"/>
      <c r="D56" s="680"/>
      <c r="E56" s="680"/>
      <c r="F56" s="680"/>
      <c r="G56" s="680"/>
      <c r="H56" s="680"/>
      <c r="I56" s="680"/>
      <c r="J56" s="680"/>
      <c r="K56" s="680"/>
      <c r="L56" s="680"/>
      <c r="Q56" s="679"/>
    </row>
    <row r="57" spans="1:17">
      <c r="A57" s="679"/>
      <c r="B57" s="679"/>
      <c r="C57" s="679"/>
      <c r="D57" s="680"/>
      <c r="E57" s="680"/>
      <c r="F57" s="680"/>
      <c r="G57" s="680"/>
      <c r="H57" s="680"/>
      <c r="I57" s="680"/>
      <c r="J57" s="680"/>
      <c r="K57" s="680"/>
      <c r="L57" s="680"/>
      <c r="Q57" s="679"/>
    </row>
    <row r="58" spans="1:17">
      <c r="A58" s="679"/>
      <c r="B58" s="679"/>
      <c r="C58" s="679"/>
      <c r="D58" s="680"/>
      <c r="E58" s="680"/>
      <c r="F58" s="680"/>
      <c r="G58" s="680"/>
      <c r="H58" s="680"/>
      <c r="I58" s="680"/>
      <c r="J58" s="680"/>
      <c r="K58" s="680"/>
      <c r="L58" s="680"/>
      <c r="Q58" s="679"/>
    </row>
    <row r="59" spans="1:17">
      <c r="A59" s="679"/>
      <c r="B59" s="679"/>
      <c r="C59" s="679"/>
      <c r="D59" s="680"/>
      <c r="E59" s="680"/>
      <c r="F59" s="680"/>
      <c r="G59" s="680"/>
      <c r="H59" s="680"/>
      <c r="I59" s="680"/>
      <c r="J59" s="680"/>
      <c r="K59" s="680"/>
      <c r="L59" s="680"/>
      <c r="Q59" s="679"/>
    </row>
    <row r="60" spans="1:17">
      <c r="A60" s="679"/>
      <c r="B60" s="679"/>
      <c r="C60" s="679"/>
      <c r="D60" s="680"/>
      <c r="E60" s="680"/>
      <c r="F60" s="680"/>
      <c r="G60" s="680"/>
      <c r="H60" s="680"/>
      <c r="I60" s="680"/>
      <c r="J60" s="680"/>
      <c r="K60" s="680"/>
      <c r="L60" s="680"/>
      <c r="Q60" s="679"/>
    </row>
    <row r="61" spans="1:17">
      <c r="A61" s="679"/>
      <c r="B61" s="679"/>
      <c r="C61" s="679"/>
      <c r="D61" s="680"/>
      <c r="E61" s="680"/>
      <c r="F61" s="680"/>
      <c r="G61" s="680"/>
      <c r="H61" s="680"/>
      <c r="I61" s="680"/>
      <c r="J61" s="680"/>
      <c r="K61" s="680"/>
      <c r="L61" s="680"/>
      <c r="Q61" s="679"/>
    </row>
    <row r="62" spans="1:17">
      <c r="A62" s="679"/>
      <c r="B62" s="679"/>
      <c r="C62" s="679"/>
      <c r="D62" s="680"/>
      <c r="E62" s="680"/>
      <c r="F62" s="680"/>
      <c r="G62" s="680"/>
      <c r="H62" s="680"/>
      <c r="I62" s="680"/>
      <c r="J62" s="680"/>
      <c r="K62" s="680"/>
      <c r="L62" s="680"/>
      <c r="Q62" s="679"/>
    </row>
    <row r="63" spans="1:17">
      <c r="A63" s="679"/>
      <c r="B63" s="679"/>
      <c r="C63" s="679"/>
      <c r="D63" s="680"/>
      <c r="E63" s="680"/>
      <c r="F63" s="680"/>
      <c r="G63" s="680"/>
      <c r="H63" s="680"/>
      <c r="I63" s="680"/>
      <c r="J63" s="680"/>
      <c r="K63" s="680"/>
      <c r="L63" s="680"/>
      <c r="Q63" s="679"/>
    </row>
    <row r="64" spans="1:17">
      <c r="A64" s="679"/>
      <c r="B64" s="679"/>
      <c r="C64" s="679"/>
      <c r="D64" s="680"/>
      <c r="E64" s="680"/>
      <c r="F64" s="680"/>
      <c r="G64" s="680"/>
      <c r="H64" s="680"/>
      <c r="I64" s="680"/>
      <c r="J64" s="680"/>
      <c r="K64" s="680"/>
      <c r="L64" s="680"/>
      <c r="Q64" s="679"/>
    </row>
    <row r="65" spans="1:17">
      <c r="A65" s="679"/>
      <c r="B65" s="679"/>
      <c r="C65" s="679"/>
      <c r="D65" s="680"/>
      <c r="E65" s="680"/>
      <c r="F65" s="680"/>
      <c r="G65" s="680"/>
      <c r="H65" s="680"/>
      <c r="I65" s="680"/>
      <c r="J65" s="680"/>
      <c r="K65" s="680"/>
      <c r="L65" s="680"/>
      <c r="Q65" s="679"/>
    </row>
    <row r="66" spans="1:17">
      <c r="A66" s="679"/>
      <c r="B66" s="679"/>
      <c r="C66" s="679"/>
      <c r="D66" s="680"/>
      <c r="E66" s="680"/>
      <c r="F66" s="680"/>
      <c r="G66" s="680"/>
      <c r="H66" s="680"/>
      <c r="I66" s="680"/>
      <c r="J66" s="680"/>
      <c r="K66" s="680"/>
      <c r="L66" s="680"/>
      <c r="Q66" s="679"/>
    </row>
    <row r="67" spans="1:17">
      <c r="A67" s="679"/>
      <c r="B67" s="679"/>
      <c r="C67" s="679"/>
      <c r="D67" s="680"/>
      <c r="E67" s="680"/>
      <c r="F67" s="680"/>
      <c r="G67" s="680"/>
      <c r="H67" s="680"/>
      <c r="I67" s="680"/>
      <c r="J67" s="680"/>
      <c r="K67" s="680"/>
      <c r="L67" s="680"/>
      <c r="Q67" s="679"/>
    </row>
    <row r="68" spans="1:17">
      <c r="A68" s="679"/>
      <c r="B68" s="679"/>
      <c r="C68" s="679"/>
      <c r="D68" s="680"/>
      <c r="E68" s="680"/>
      <c r="F68" s="680"/>
      <c r="G68" s="680"/>
      <c r="H68" s="680"/>
      <c r="I68" s="680"/>
      <c r="J68" s="680"/>
      <c r="K68" s="680"/>
      <c r="L68" s="680"/>
      <c r="Q68" s="679"/>
    </row>
    <row r="69" spans="1:17">
      <c r="A69" s="679"/>
      <c r="B69" s="679"/>
      <c r="C69" s="679"/>
      <c r="D69" s="680"/>
      <c r="E69" s="680"/>
      <c r="F69" s="680"/>
      <c r="G69" s="680"/>
      <c r="H69" s="680"/>
      <c r="I69" s="680"/>
      <c r="J69" s="680"/>
      <c r="K69" s="680"/>
      <c r="L69" s="680"/>
      <c r="Q69" s="679"/>
    </row>
    <row r="70" spans="1:17">
      <c r="A70" s="679"/>
      <c r="B70" s="679"/>
      <c r="C70" s="679"/>
      <c r="D70" s="680"/>
      <c r="E70" s="680"/>
      <c r="F70" s="680"/>
      <c r="G70" s="680"/>
      <c r="H70" s="680"/>
      <c r="I70" s="680"/>
      <c r="J70" s="680"/>
      <c r="K70" s="680"/>
      <c r="L70" s="680"/>
      <c r="Q70" s="679"/>
    </row>
    <row r="71" spans="1:17">
      <c r="D71" s="680"/>
      <c r="E71" s="680"/>
      <c r="F71" s="680"/>
      <c r="G71" s="680"/>
      <c r="H71" s="680"/>
      <c r="I71" s="680"/>
      <c r="J71" s="680"/>
      <c r="K71" s="680"/>
      <c r="L71" s="680"/>
      <c r="Q71" s="679"/>
    </row>
    <row r="72" spans="1:17">
      <c r="D72" s="766"/>
      <c r="E72" s="766"/>
      <c r="F72" s="766"/>
      <c r="G72" s="766"/>
      <c r="H72" s="766"/>
      <c r="I72" s="766"/>
      <c r="J72" s="766"/>
      <c r="K72" s="766"/>
      <c r="L72" s="766"/>
    </row>
    <row r="73" spans="1:17">
      <c r="D73" s="680"/>
      <c r="E73" s="680"/>
      <c r="F73" s="680"/>
      <c r="G73" s="680"/>
      <c r="H73" s="680"/>
      <c r="I73" s="680"/>
      <c r="J73" s="680"/>
      <c r="K73" s="680"/>
      <c r="L73" s="680"/>
    </row>
    <row r="74" spans="1:17">
      <c r="D74" s="766"/>
      <c r="E74" s="766"/>
      <c r="F74" s="766"/>
      <c r="G74" s="766"/>
      <c r="H74" s="766"/>
      <c r="I74" s="766"/>
      <c r="J74" s="766"/>
      <c r="K74" s="766"/>
      <c r="L74" s="766"/>
    </row>
    <row r="75" spans="1:17">
      <c r="A75" s="679"/>
      <c r="B75" s="679"/>
      <c r="C75" s="679"/>
      <c r="D75" s="680"/>
      <c r="E75" s="680"/>
      <c r="F75" s="680"/>
      <c r="G75" s="680"/>
      <c r="H75" s="680"/>
      <c r="I75" s="680"/>
      <c r="J75" s="680"/>
      <c r="K75" s="680"/>
      <c r="L75" s="680"/>
      <c r="Q75" s="679"/>
    </row>
    <row r="76" spans="1:17">
      <c r="A76" s="679"/>
      <c r="B76" s="679"/>
      <c r="C76" s="679"/>
      <c r="D76" s="680"/>
      <c r="E76" s="680"/>
      <c r="F76" s="680"/>
      <c r="G76" s="680"/>
      <c r="H76" s="680"/>
      <c r="I76" s="680"/>
      <c r="J76" s="680"/>
      <c r="K76" s="680"/>
      <c r="L76" s="680"/>
      <c r="Q76" s="679"/>
    </row>
    <row r="79" spans="1:17">
      <c r="A79" s="679"/>
      <c r="D79" s="680"/>
      <c r="E79" s="680"/>
      <c r="F79" s="680"/>
      <c r="G79" s="680"/>
      <c r="H79" s="680"/>
      <c r="I79" s="680"/>
      <c r="J79" s="680"/>
      <c r="K79" s="680"/>
      <c r="L79" s="680"/>
    </row>
    <row r="80" spans="1:17">
      <c r="A80" s="679"/>
      <c r="D80" s="680"/>
      <c r="E80" s="680"/>
      <c r="F80" s="680"/>
      <c r="G80" s="680"/>
      <c r="H80" s="680"/>
      <c r="I80" s="680"/>
      <c r="J80" s="680"/>
      <c r="K80" s="680"/>
      <c r="L80" s="680"/>
    </row>
    <row r="81" spans="1:12">
      <c r="A81" s="679"/>
      <c r="D81" s="680"/>
      <c r="E81" s="680"/>
      <c r="F81" s="680"/>
      <c r="G81" s="680"/>
      <c r="H81" s="680"/>
      <c r="I81" s="680"/>
      <c r="J81" s="680"/>
      <c r="K81" s="680"/>
      <c r="L81" s="680"/>
    </row>
    <row r="83" spans="1:12">
      <c r="A83" s="679"/>
    </row>
  </sheetData>
  <sortState ref="R19:V45">
    <sortCondition ref="T19:T45"/>
    <sortCondition ref="R19:R45"/>
  </sortState>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ignoredErrors>
    <ignoredError sqref="D12:D17 E12:E17 F12:F17 G12:G17 H12:H17 I12:I17 J12:J17 K12:K17 L12:L17"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Q257"/>
  <sheetViews>
    <sheetView showGridLines="0" topLeftCell="A241" zoomScale="90" zoomScaleNormal="90" workbookViewId="0">
      <selection activeCell="Q174" sqref="Q174"/>
    </sheetView>
  </sheetViews>
  <sheetFormatPr defaultColWidth="12.5703125" defaultRowHeight="15"/>
  <cols>
    <col min="1" max="1" width="4.85546875" style="160" customWidth="1"/>
    <col min="2" max="2" width="52.5703125" style="160" customWidth="1"/>
    <col min="3" max="3" width="11.5703125" style="160" customWidth="1"/>
    <col min="4" max="15" width="10" style="160" customWidth="1"/>
    <col min="16" max="16" width="2.28515625" style="160" customWidth="1"/>
    <col min="17" max="17" width="22.42578125" style="160" bestFit="1" customWidth="1"/>
    <col min="18" max="16384" width="12.5703125" style="160"/>
  </cols>
  <sheetData>
    <row r="1" spans="1:17">
      <c r="A1" s="751" t="s">
        <v>6924</v>
      </c>
      <c r="D1" s="752">
        <v>2010</v>
      </c>
      <c r="E1" s="752">
        <v>2011</v>
      </c>
      <c r="F1" s="752">
        <v>2012</v>
      </c>
      <c r="G1" s="752">
        <v>2013</v>
      </c>
      <c r="H1" s="752">
        <v>2014</v>
      </c>
      <c r="I1" s="752">
        <v>2015</v>
      </c>
      <c r="J1" s="752">
        <v>2016</v>
      </c>
      <c r="K1" s="752">
        <v>2017</v>
      </c>
      <c r="L1" s="752">
        <v>2018</v>
      </c>
      <c r="M1" s="752">
        <v>2019</v>
      </c>
      <c r="N1" s="752">
        <v>2020</v>
      </c>
      <c r="O1" s="979" t="s">
        <v>14823</v>
      </c>
    </row>
    <row r="3" spans="1:17">
      <c r="A3" s="751" t="s">
        <v>1251</v>
      </c>
      <c r="C3" s="751"/>
      <c r="D3" s="753">
        <f t="shared" ref="D3:I3" si="0">SUM(D7:D11)</f>
        <v>393232</v>
      </c>
      <c r="E3" s="753">
        <f t="shared" si="0"/>
        <v>394183</v>
      </c>
      <c r="F3" s="753">
        <f t="shared" si="0"/>
        <v>396118</v>
      </c>
      <c r="G3" s="753">
        <f t="shared" si="0"/>
        <v>400711</v>
      </c>
      <c r="H3" s="753">
        <f t="shared" si="0"/>
        <v>390897</v>
      </c>
      <c r="I3" s="753">
        <f t="shared" si="0"/>
        <v>388685</v>
      </c>
      <c r="J3" s="753">
        <f t="shared" ref="J3:O3" si="1">SUM(J7:J11)</f>
        <v>383226</v>
      </c>
      <c r="K3" s="753">
        <f t="shared" si="1"/>
        <v>395859</v>
      </c>
      <c r="L3" s="753">
        <f t="shared" si="1"/>
        <v>400248</v>
      </c>
      <c r="M3" s="753">
        <f t="shared" si="1"/>
        <v>399961</v>
      </c>
      <c r="N3" s="753">
        <f t="shared" si="1"/>
        <v>411532</v>
      </c>
      <c r="O3" s="753">
        <f t="shared" si="1"/>
        <v>414451</v>
      </c>
    </row>
    <row r="4" spans="1:17" ht="15.75" thickBot="1">
      <c r="A4" s="751" t="s">
        <v>1252</v>
      </c>
      <c r="C4" s="751"/>
      <c r="D4" s="754">
        <f t="shared" ref="D4:I4" si="2">D54</f>
        <v>191969</v>
      </c>
      <c r="E4" s="754">
        <f t="shared" si="2"/>
        <v>195038</v>
      </c>
      <c r="F4" s="754">
        <f t="shared" si="2"/>
        <v>195786</v>
      </c>
      <c r="G4" s="754">
        <f t="shared" si="2"/>
        <v>200206</v>
      </c>
      <c r="H4" s="754">
        <f t="shared" si="2"/>
        <v>196195</v>
      </c>
      <c r="I4" s="754">
        <f t="shared" si="2"/>
        <v>182570</v>
      </c>
      <c r="J4" s="754">
        <f t="shared" ref="J4:O4" si="3">J54</f>
        <v>183038</v>
      </c>
      <c r="K4" s="754">
        <f t="shared" si="3"/>
        <v>186362</v>
      </c>
      <c r="L4" s="754">
        <f t="shared" si="3"/>
        <v>190074</v>
      </c>
      <c r="M4" s="754">
        <f t="shared" si="3"/>
        <v>187903</v>
      </c>
      <c r="N4" s="754">
        <f t="shared" si="3"/>
        <v>207060</v>
      </c>
      <c r="O4" s="754">
        <f t="shared" si="3"/>
        <v>201911</v>
      </c>
    </row>
    <row r="5" spans="1:17" ht="15.75" thickBot="1">
      <c r="D5" s="754">
        <f t="shared" ref="D5:I5" si="4">D3+D4</f>
        <v>585201</v>
      </c>
      <c r="E5" s="754">
        <f t="shared" si="4"/>
        <v>589221</v>
      </c>
      <c r="F5" s="754">
        <f t="shared" si="4"/>
        <v>591904</v>
      </c>
      <c r="G5" s="754">
        <f t="shared" si="4"/>
        <v>600917</v>
      </c>
      <c r="H5" s="754">
        <f t="shared" si="4"/>
        <v>587092</v>
      </c>
      <c r="I5" s="754">
        <f t="shared" si="4"/>
        <v>571255</v>
      </c>
      <c r="J5" s="754">
        <f t="shared" ref="J5:O5" si="5">J3+J4</f>
        <v>566264</v>
      </c>
      <c r="K5" s="754">
        <f t="shared" si="5"/>
        <v>582221</v>
      </c>
      <c r="L5" s="754">
        <f t="shared" si="5"/>
        <v>590322</v>
      </c>
      <c r="M5" s="754">
        <f t="shared" si="5"/>
        <v>587864</v>
      </c>
      <c r="N5" s="754">
        <f t="shared" si="5"/>
        <v>618592</v>
      </c>
      <c r="O5" s="754">
        <f t="shared" si="5"/>
        <v>616362</v>
      </c>
    </row>
    <row r="6" spans="1:17">
      <c r="D6" s="755"/>
      <c r="E6" s="755"/>
      <c r="F6" s="755"/>
      <c r="G6" s="755"/>
      <c r="H6" s="755"/>
      <c r="I6" s="755"/>
      <c r="J6" s="755"/>
      <c r="K6" s="755"/>
      <c r="L6" s="755"/>
      <c r="M6" s="755"/>
      <c r="N6" s="755"/>
      <c r="O6" s="755"/>
    </row>
    <row r="7" spans="1:17">
      <c r="A7" s="751" t="s">
        <v>1253</v>
      </c>
      <c r="C7" s="751"/>
      <c r="D7" s="753">
        <f t="shared" ref="D7:I7" si="6">D86</f>
        <v>71118</v>
      </c>
      <c r="E7" s="753">
        <f t="shared" si="6"/>
        <v>70810</v>
      </c>
      <c r="F7" s="753">
        <f t="shared" si="6"/>
        <v>71059</v>
      </c>
      <c r="G7" s="753">
        <f t="shared" si="6"/>
        <v>71915</v>
      </c>
      <c r="H7" s="753">
        <f t="shared" si="6"/>
        <v>70183</v>
      </c>
      <c r="I7" s="753">
        <f t="shared" si="6"/>
        <v>70003</v>
      </c>
      <c r="J7" s="753">
        <f t="shared" ref="J7:O7" si="7">J86</f>
        <v>68506</v>
      </c>
      <c r="K7" s="753">
        <f t="shared" si="7"/>
        <v>70141</v>
      </c>
      <c r="L7" s="753">
        <f t="shared" si="7"/>
        <v>70114</v>
      </c>
      <c r="M7" s="753">
        <f t="shared" si="7"/>
        <v>70767</v>
      </c>
      <c r="N7" s="753">
        <f t="shared" si="7"/>
        <v>70814</v>
      </c>
      <c r="O7" s="753">
        <f t="shared" si="7"/>
        <v>73322</v>
      </c>
      <c r="Q7" s="756"/>
    </row>
    <row r="8" spans="1:17">
      <c r="A8" s="751" t="s">
        <v>1254</v>
      </c>
      <c r="C8" s="751"/>
      <c r="D8" s="753">
        <f t="shared" ref="D8:I8" si="8">D104</f>
        <v>62606</v>
      </c>
      <c r="E8" s="753">
        <f t="shared" si="8"/>
        <v>61916</v>
      </c>
      <c r="F8" s="753">
        <f t="shared" si="8"/>
        <v>62977</v>
      </c>
      <c r="G8" s="753">
        <f t="shared" si="8"/>
        <v>63672</v>
      </c>
      <c r="H8" s="753">
        <f t="shared" si="8"/>
        <v>59871</v>
      </c>
      <c r="I8" s="753">
        <f t="shared" si="8"/>
        <v>58372</v>
      </c>
      <c r="J8" s="753">
        <f t="shared" ref="J8:O8" si="9">J104</f>
        <v>57390</v>
      </c>
      <c r="K8" s="753">
        <f t="shared" si="9"/>
        <v>60293</v>
      </c>
      <c r="L8" s="753">
        <f t="shared" si="9"/>
        <v>61756</v>
      </c>
      <c r="M8" s="753">
        <f t="shared" si="9"/>
        <v>61422</v>
      </c>
      <c r="N8" s="753">
        <f t="shared" si="9"/>
        <v>64535</v>
      </c>
      <c r="O8" s="753">
        <f t="shared" si="9"/>
        <v>64086</v>
      </c>
      <c r="Q8" s="756"/>
    </row>
    <row r="9" spans="1:17">
      <c r="A9" s="751" t="s">
        <v>1255</v>
      </c>
      <c r="C9" s="751"/>
      <c r="D9" s="753">
        <f t="shared" ref="D9:I9" si="10">D129</f>
        <v>74039</v>
      </c>
      <c r="E9" s="753">
        <f t="shared" si="10"/>
        <v>74491</v>
      </c>
      <c r="F9" s="753">
        <f t="shared" si="10"/>
        <v>73777</v>
      </c>
      <c r="G9" s="753">
        <f t="shared" si="10"/>
        <v>74836</v>
      </c>
      <c r="H9" s="753">
        <f t="shared" si="10"/>
        <v>74614</v>
      </c>
      <c r="I9" s="753">
        <f t="shared" si="10"/>
        <v>72629</v>
      </c>
      <c r="J9" s="753">
        <f t="shared" ref="J9:O9" si="11">J129</f>
        <v>70806</v>
      </c>
      <c r="K9" s="753">
        <f t="shared" si="11"/>
        <v>72595</v>
      </c>
      <c r="L9" s="753">
        <f t="shared" si="11"/>
        <v>74010</v>
      </c>
      <c r="M9" s="753">
        <f t="shared" si="11"/>
        <v>73970</v>
      </c>
      <c r="N9" s="753">
        <f t="shared" si="11"/>
        <v>77846</v>
      </c>
      <c r="O9" s="753">
        <f t="shared" si="11"/>
        <v>77972</v>
      </c>
      <c r="Q9" s="756"/>
    </row>
    <row r="10" spans="1:17">
      <c r="A10" s="751" t="s">
        <v>1256</v>
      </c>
      <c r="C10" s="751"/>
      <c r="D10" s="753">
        <f t="shared" ref="D10:I10" si="12">D160</f>
        <v>71008</v>
      </c>
      <c r="E10" s="753">
        <f t="shared" si="12"/>
        <v>71289</v>
      </c>
      <c r="F10" s="753">
        <f t="shared" si="12"/>
        <v>71636</v>
      </c>
      <c r="G10" s="753">
        <f t="shared" si="12"/>
        <v>72208</v>
      </c>
      <c r="H10" s="753">
        <f t="shared" si="12"/>
        <v>69469</v>
      </c>
      <c r="I10" s="753">
        <f t="shared" si="12"/>
        <v>70279</v>
      </c>
      <c r="J10" s="753">
        <f t="shared" ref="J10:O10" si="13">J160</f>
        <v>69941</v>
      </c>
      <c r="K10" s="753">
        <f t="shared" si="13"/>
        <v>72114</v>
      </c>
      <c r="L10" s="753">
        <f t="shared" si="13"/>
        <v>72743</v>
      </c>
      <c r="M10" s="753">
        <f t="shared" si="13"/>
        <v>72097</v>
      </c>
      <c r="N10" s="753">
        <f t="shared" si="13"/>
        <v>73373</v>
      </c>
      <c r="O10" s="753">
        <f t="shared" si="13"/>
        <v>74338</v>
      </c>
      <c r="Q10" s="756"/>
    </row>
    <row r="11" spans="1:17">
      <c r="A11" s="751" t="s">
        <v>1257</v>
      </c>
      <c r="C11" s="751"/>
      <c r="D11" s="753">
        <f t="shared" ref="D11:I11" si="14">D195</f>
        <v>114461</v>
      </c>
      <c r="E11" s="753">
        <f t="shared" si="14"/>
        <v>115677</v>
      </c>
      <c r="F11" s="753">
        <f t="shared" si="14"/>
        <v>116669</v>
      </c>
      <c r="G11" s="753">
        <f t="shared" si="14"/>
        <v>118080</v>
      </c>
      <c r="H11" s="753">
        <f t="shared" si="14"/>
        <v>116760</v>
      </c>
      <c r="I11" s="753">
        <f t="shared" si="14"/>
        <v>117402</v>
      </c>
      <c r="J11" s="753">
        <f t="shared" ref="J11:O11" si="15">J195</f>
        <v>116583</v>
      </c>
      <c r="K11" s="753">
        <f t="shared" si="15"/>
        <v>120716</v>
      </c>
      <c r="L11" s="753">
        <f t="shared" si="15"/>
        <v>121625</v>
      </c>
      <c r="M11" s="753">
        <f t="shared" si="15"/>
        <v>121705</v>
      </c>
      <c r="N11" s="753">
        <f t="shared" si="15"/>
        <v>124964</v>
      </c>
      <c r="O11" s="753">
        <f t="shared" si="15"/>
        <v>124733</v>
      </c>
      <c r="Q11" s="756"/>
    </row>
    <row r="13" spans="1:17">
      <c r="A13" s="751" t="s">
        <v>592</v>
      </c>
      <c r="D13" s="753">
        <f t="shared" ref="D13:I13" si="16">D3/5</f>
        <v>78646.399999999994</v>
      </c>
      <c r="E13" s="753">
        <f t="shared" si="16"/>
        <v>78836.600000000006</v>
      </c>
      <c r="F13" s="753">
        <f t="shared" si="16"/>
        <v>79223.600000000006</v>
      </c>
      <c r="G13" s="753">
        <f t="shared" si="16"/>
        <v>80142.2</v>
      </c>
      <c r="H13" s="753">
        <f t="shared" si="16"/>
        <v>78179.399999999994</v>
      </c>
      <c r="I13" s="753">
        <f t="shared" si="16"/>
        <v>77737</v>
      </c>
      <c r="J13" s="753">
        <f t="shared" ref="J13:O13" si="17">J3/5</f>
        <v>76645.2</v>
      </c>
      <c r="K13" s="753">
        <f t="shared" si="17"/>
        <v>79171.8</v>
      </c>
      <c r="L13" s="753">
        <f t="shared" si="17"/>
        <v>80049.600000000006</v>
      </c>
      <c r="M13" s="753">
        <f t="shared" si="17"/>
        <v>79992.2</v>
      </c>
      <c r="N13" s="753">
        <f t="shared" si="17"/>
        <v>82306.399999999994</v>
      </c>
      <c r="O13" s="753">
        <f t="shared" si="17"/>
        <v>82890.2</v>
      </c>
    </row>
    <row r="14" spans="1:17">
      <c r="A14" s="751" t="s">
        <v>4038</v>
      </c>
      <c r="D14" s="753">
        <f t="shared" ref="D14:I14" si="18">D4/3</f>
        <v>63989.666666666664</v>
      </c>
      <c r="E14" s="753">
        <f t="shared" si="18"/>
        <v>65012.666666666664</v>
      </c>
      <c r="F14" s="753">
        <f t="shared" si="18"/>
        <v>65262</v>
      </c>
      <c r="G14" s="753">
        <f t="shared" si="18"/>
        <v>66735.333333333328</v>
      </c>
      <c r="H14" s="753">
        <f t="shared" si="18"/>
        <v>65398.333333333336</v>
      </c>
      <c r="I14" s="753">
        <f t="shared" si="18"/>
        <v>60856.666666666664</v>
      </c>
      <c r="J14" s="753">
        <f t="shared" ref="J14:O14" si="19">J4/3</f>
        <v>61012.666666666664</v>
      </c>
      <c r="K14" s="753">
        <f t="shared" si="19"/>
        <v>62120.666666666664</v>
      </c>
      <c r="L14" s="753">
        <f t="shared" si="19"/>
        <v>63358</v>
      </c>
      <c r="M14" s="753">
        <f t="shared" si="19"/>
        <v>62634.333333333336</v>
      </c>
      <c r="N14" s="753">
        <f t="shared" si="19"/>
        <v>69020</v>
      </c>
      <c r="O14" s="753">
        <f t="shared" si="19"/>
        <v>67303.666666666672</v>
      </c>
    </row>
    <row r="15" spans="1:17">
      <c r="A15" s="751" t="s">
        <v>5995</v>
      </c>
      <c r="D15" s="753">
        <f t="shared" ref="D15:I15" si="20">D5/8</f>
        <v>73150.125</v>
      </c>
      <c r="E15" s="753">
        <f t="shared" si="20"/>
        <v>73652.625</v>
      </c>
      <c r="F15" s="753">
        <f t="shared" si="20"/>
        <v>73988</v>
      </c>
      <c r="G15" s="753">
        <f t="shared" si="20"/>
        <v>75114.625</v>
      </c>
      <c r="H15" s="753">
        <f t="shared" si="20"/>
        <v>73386.5</v>
      </c>
      <c r="I15" s="753">
        <f t="shared" si="20"/>
        <v>71406.875</v>
      </c>
      <c r="J15" s="753">
        <f t="shared" ref="J15:O15" si="21">J5/8</f>
        <v>70783</v>
      </c>
      <c r="K15" s="753">
        <f t="shared" si="21"/>
        <v>72777.625</v>
      </c>
      <c r="L15" s="753">
        <f t="shared" si="21"/>
        <v>73790.25</v>
      </c>
      <c r="M15" s="753">
        <f t="shared" si="21"/>
        <v>73483</v>
      </c>
      <c r="N15" s="753">
        <f t="shared" si="21"/>
        <v>77324</v>
      </c>
      <c r="O15" s="753">
        <f t="shared" si="21"/>
        <v>77045.25</v>
      </c>
    </row>
    <row r="16" spans="1:17">
      <c r="D16" s="755"/>
      <c r="E16" s="755"/>
      <c r="F16" s="755"/>
      <c r="G16" s="755"/>
      <c r="H16" s="755"/>
      <c r="I16" s="755"/>
      <c r="J16" s="755"/>
      <c r="K16" s="755"/>
      <c r="L16" s="755"/>
      <c r="M16" s="755"/>
      <c r="N16" s="755"/>
      <c r="O16" s="755"/>
    </row>
    <row r="17" spans="1:17">
      <c r="A17" s="751" t="s">
        <v>4039</v>
      </c>
      <c r="D17" s="753">
        <f t="shared" ref="D17:I17" si="22">D187</f>
        <v>56592</v>
      </c>
      <c r="E17" s="753">
        <f t="shared" si="22"/>
        <v>56783</v>
      </c>
      <c r="F17" s="753">
        <f t="shared" si="22"/>
        <v>57071</v>
      </c>
      <c r="G17" s="753">
        <f t="shared" si="22"/>
        <v>57554</v>
      </c>
      <c r="H17" s="753">
        <f t="shared" si="22"/>
        <v>55214</v>
      </c>
      <c r="I17" s="753">
        <f t="shared" si="22"/>
        <v>55891</v>
      </c>
      <c r="J17" s="753">
        <f t="shared" ref="J17:O17" si="23">J187</f>
        <v>55659</v>
      </c>
      <c r="K17" s="753">
        <f t="shared" si="23"/>
        <v>57483</v>
      </c>
      <c r="L17" s="753">
        <f t="shared" si="23"/>
        <v>57950</v>
      </c>
      <c r="M17" s="753">
        <f t="shared" si="23"/>
        <v>57456</v>
      </c>
      <c r="N17" s="753">
        <f t="shared" si="23"/>
        <v>58518</v>
      </c>
      <c r="O17" s="753">
        <f t="shared" si="23"/>
        <v>59259</v>
      </c>
      <c r="Q17" s="751" t="s">
        <v>4040</v>
      </c>
    </row>
    <row r="18" spans="1:17" ht="15.75" thickBot="1">
      <c r="D18" s="754">
        <f t="shared" ref="D18:M18" si="24">D252</f>
        <v>21577</v>
      </c>
      <c r="E18" s="754">
        <f t="shared" si="24"/>
        <v>21819</v>
      </c>
      <c r="F18" s="754">
        <f t="shared" si="24"/>
        <v>21831</v>
      </c>
      <c r="G18" s="754">
        <f t="shared" si="24"/>
        <v>22059</v>
      </c>
      <c r="H18" s="754">
        <f t="shared" si="24"/>
        <v>21438</v>
      </c>
      <c r="I18" s="754">
        <f t="shared" si="24"/>
        <v>21641</v>
      </c>
      <c r="J18" s="754">
        <f t="shared" si="24"/>
        <v>21562</v>
      </c>
      <c r="K18" s="754">
        <f t="shared" si="24"/>
        <v>22413</v>
      </c>
      <c r="L18" s="754">
        <f t="shared" si="24"/>
        <v>22524</v>
      </c>
      <c r="M18" s="754">
        <f t="shared" si="24"/>
        <v>22833</v>
      </c>
      <c r="N18" s="754">
        <f>N252</f>
        <v>23573</v>
      </c>
      <c r="O18" s="754">
        <f>O252</f>
        <v>23514</v>
      </c>
      <c r="Q18" s="751" t="s">
        <v>4041</v>
      </c>
    </row>
    <row r="19" spans="1:17" ht="15.75" thickBot="1">
      <c r="D19" s="754">
        <f t="shared" ref="D19:I19" si="25">D17+D18</f>
        <v>78169</v>
      </c>
      <c r="E19" s="754">
        <f t="shared" si="25"/>
        <v>78602</v>
      </c>
      <c r="F19" s="754">
        <f t="shared" si="25"/>
        <v>78902</v>
      </c>
      <c r="G19" s="754">
        <f t="shared" si="25"/>
        <v>79613</v>
      </c>
      <c r="H19" s="754">
        <f t="shared" si="25"/>
        <v>76652</v>
      </c>
      <c r="I19" s="754">
        <f t="shared" si="25"/>
        <v>77532</v>
      </c>
      <c r="J19" s="754">
        <f t="shared" ref="J19:O19" si="26">J17+J18</f>
        <v>77221</v>
      </c>
      <c r="K19" s="754">
        <f t="shared" si="26"/>
        <v>79896</v>
      </c>
      <c r="L19" s="754">
        <f t="shared" si="26"/>
        <v>80474</v>
      </c>
      <c r="M19" s="754">
        <f t="shared" si="26"/>
        <v>80289</v>
      </c>
      <c r="N19" s="754">
        <f t="shared" si="26"/>
        <v>82091</v>
      </c>
      <c r="O19" s="754">
        <f t="shared" si="26"/>
        <v>82773</v>
      </c>
    </row>
    <row r="20" spans="1:17">
      <c r="D20" s="755"/>
      <c r="E20" s="755"/>
      <c r="F20" s="755"/>
      <c r="G20" s="755"/>
      <c r="H20" s="755"/>
      <c r="I20" s="755"/>
      <c r="J20" s="755"/>
      <c r="K20" s="755"/>
      <c r="L20" s="755"/>
      <c r="M20" s="755"/>
      <c r="N20" s="755"/>
      <c r="O20" s="755"/>
    </row>
    <row r="21" spans="1:17">
      <c r="A21" s="751" t="s">
        <v>4042</v>
      </c>
      <c r="D21" s="753">
        <f t="shared" ref="D21:I21" si="27">D77</f>
        <v>49137</v>
      </c>
      <c r="E21" s="753">
        <f t="shared" si="27"/>
        <v>50427</v>
      </c>
      <c r="F21" s="753">
        <f t="shared" si="27"/>
        <v>50702</v>
      </c>
      <c r="G21" s="753">
        <f t="shared" si="27"/>
        <v>51743</v>
      </c>
      <c r="H21" s="753">
        <f t="shared" si="27"/>
        <v>50305</v>
      </c>
      <c r="I21" s="753">
        <f t="shared" si="27"/>
        <v>47000</v>
      </c>
      <c r="J21" s="753">
        <f t="shared" ref="J21:O21" si="28">J77</f>
        <v>46793</v>
      </c>
      <c r="K21" s="753">
        <f t="shared" si="28"/>
        <v>47479</v>
      </c>
      <c r="L21" s="753">
        <f t="shared" si="28"/>
        <v>48229</v>
      </c>
      <c r="M21" s="753">
        <f t="shared" si="28"/>
        <v>48117</v>
      </c>
      <c r="N21" s="753">
        <f t="shared" si="28"/>
        <v>52791</v>
      </c>
      <c r="O21" s="753">
        <f t="shared" si="28"/>
        <v>51331</v>
      </c>
      <c r="Q21" s="751" t="s">
        <v>4043</v>
      </c>
    </row>
    <row r="22" spans="1:17" ht="15.75" thickBot="1">
      <c r="D22" s="754">
        <f t="shared" ref="D22:I22" si="29">D152</f>
        <v>15920</v>
      </c>
      <c r="E22" s="754">
        <f t="shared" si="29"/>
        <v>16130</v>
      </c>
      <c r="F22" s="754">
        <f t="shared" si="29"/>
        <v>15922</v>
      </c>
      <c r="G22" s="754">
        <f t="shared" si="29"/>
        <v>16341</v>
      </c>
      <c r="H22" s="754">
        <f t="shared" si="29"/>
        <v>16403</v>
      </c>
      <c r="I22" s="754">
        <f t="shared" si="29"/>
        <v>15708</v>
      </c>
      <c r="J22" s="754">
        <f t="shared" ref="J22:O22" si="30">J152</f>
        <v>15412</v>
      </c>
      <c r="K22" s="754">
        <f t="shared" si="30"/>
        <v>15892</v>
      </c>
      <c r="L22" s="754">
        <f t="shared" si="30"/>
        <v>16267</v>
      </c>
      <c r="M22" s="754">
        <f t="shared" si="30"/>
        <v>16399</v>
      </c>
      <c r="N22" s="754">
        <f t="shared" si="30"/>
        <v>17362</v>
      </c>
      <c r="O22" s="754">
        <f t="shared" si="30"/>
        <v>17402</v>
      </c>
      <c r="Q22" s="751" t="s">
        <v>4044</v>
      </c>
    </row>
    <row r="23" spans="1:17" ht="15.75" thickBot="1">
      <c r="D23" s="754">
        <f t="shared" ref="D23:I23" si="31">D21+D22</f>
        <v>65057</v>
      </c>
      <c r="E23" s="754">
        <f t="shared" si="31"/>
        <v>66557</v>
      </c>
      <c r="F23" s="754">
        <f t="shared" si="31"/>
        <v>66624</v>
      </c>
      <c r="G23" s="754">
        <f t="shared" si="31"/>
        <v>68084</v>
      </c>
      <c r="H23" s="754">
        <f t="shared" si="31"/>
        <v>66708</v>
      </c>
      <c r="I23" s="754">
        <f t="shared" si="31"/>
        <v>62708</v>
      </c>
      <c r="J23" s="754">
        <f t="shared" ref="J23:O23" si="32">J21+J22</f>
        <v>62205</v>
      </c>
      <c r="K23" s="754">
        <f t="shared" si="32"/>
        <v>63371</v>
      </c>
      <c r="L23" s="754">
        <f t="shared" si="32"/>
        <v>64496</v>
      </c>
      <c r="M23" s="754">
        <f t="shared" si="32"/>
        <v>64516</v>
      </c>
      <c r="N23" s="754">
        <f t="shared" si="32"/>
        <v>70153</v>
      </c>
      <c r="O23" s="754">
        <f t="shared" si="32"/>
        <v>68733</v>
      </c>
    </row>
    <row r="24" spans="1:17">
      <c r="D24" s="755"/>
      <c r="E24" s="755"/>
      <c r="F24" s="755"/>
      <c r="G24" s="755"/>
      <c r="H24" s="755"/>
      <c r="I24" s="755"/>
      <c r="J24" s="755"/>
      <c r="K24" s="755"/>
      <c r="L24" s="755"/>
      <c r="M24" s="755"/>
      <c r="N24" s="755"/>
      <c r="O24" s="755"/>
    </row>
    <row r="25" spans="1:17">
      <c r="A25" s="751" t="s">
        <v>4045</v>
      </c>
      <c r="D25" s="753">
        <f t="shared" ref="D25:I25" si="33">D78</f>
        <v>72234</v>
      </c>
      <c r="E25" s="753">
        <f t="shared" si="33"/>
        <v>73430</v>
      </c>
      <c r="F25" s="753">
        <f t="shared" si="33"/>
        <v>73803</v>
      </c>
      <c r="G25" s="753">
        <f t="shared" si="33"/>
        <v>75540</v>
      </c>
      <c r="H25" s="753">
        <f t="shared" si="33"/>
        <v>73889</v>
      </c>
      <c r="I25" s="753">
        <f t="shared" si="33"/>
        <v>66386</v>
      </c>
      <c r="J25" s="753">
        <f t="shared" ref="J25:O25" si="34">J78</f>
        <v>67700</v>
      </c>
      <c r="K25" s="753">
        <f t="shared" si="34"/>
        <v>68326</v>
      </c>
      <c r="L25" s="753">
        <f t="shared" si="34"/>
        <v>70700</v>
      </c>
      <c r="M25" s="753">
        <f t="shared" si="34"/>
        <v>69889</v>
      </c>
      <c r="N25" s="753">
        <f t="shared" si="34"/>
        <v>79502</v>
      </c>
      <c r="O25" s="753">
        <f t="shared" si="34"/>
        <v>76854</v>
      </c>
      <c r="Q25" s="751" t="s">
        <v>4043</v>
      </c>
    </row>
    <row r="26" spans="1:17">
      <c r="D26" s="755"/>
      <c r="E26" s="755"/>
      <c r="F26" s="755"/>
      <c r="G26" s="755"/>
      <c r="H26" s="755"/>
      <c r="I26" s="755"/>
      <c r="J26" s="755"/>
      <c r="K26" s="755"/>
      <c r="L26" s="755"/>
      <c r="M26" s="755"/>
      <c r="N26" s="755"/>
      <c r="O26" s="755"/>
    </row>
    <row r="27" spans="1:17">
      <c r="A27" s="751" t="s">
        <v>4046</v>
      </c>
      <c r="D27" s="753">
        <f t="shared" ref="D27:I27" si="35">D97</f>
        <v>71118</v>
      </c>
      <c r="E27" s="753">
        <f t="shared" si="35"/>
        <v>70810</v>
      </c>
      <c r="F27" s="753">
        <f t="shared" si="35"/>
        <v>71059</v>
      </c>
      <c r="G27" s="753">
        <f t="shared" si="35"/>
        <v>71915</v>
      </c>
      <c r="H27" s="753">
        <f t="shared" si="35"/>
        <v>70183</v>
      </c>
      <c r="I27" s="753">
        <f t="shared" si="35"/>
        <v>70003</v>
      </c>
      <c r="J27" s="753">
        <f t="shared" ref="J27:O27" si="36">J97</f>
        <v>68506</v>
      </c>
      <c r="K27" s="753">
        <f t="shared" si="36"/>
        <v>70141</v>
      </c>
      <c r="L27" s="753">
        <f t="shared" si="36"/>
        <v>70114</v>
      </c>
      <c r="M27" s="753">
        <f t="shared" si="36"/>
        <v>70767</v>
      </c>
      <c r="N27" s="753">
        <f t="shared" si="36"/>
        <v>70814</v>
      </c>
      <c r="O27" s="753">
        <f t="shared" si="36"/>
        <v>73322</v>
      </c>
      <c r="Q27" s="751" t="s">
        <v>6746</v>
      </c>
    </row>
    <row r="28" spans="1:17" ht="15.75" thickBot="1">
      <c r="A28" s="751"/>
      <c r="D28" s="754">
        <f t="shared" ref="D28:M28" si="37">D253</f>
        <v>6154</v>
      </c>
      <c r="E28" s="754">
        <f t="shared" si="37"/>
        <v>6168</v>
      </c>
      <c r="F28" s="754">
        <f t="shared" si="37"/>
        <v>6148</v>
      </c>
      <c r="G28" s="754">
        <f t="shared" si="37"/>
        <v>6217</v>
      </c>
      <c r="H28" s="754">
        <f t="shared" si="37"/>
        <v>6169</v>
      </c>
      <c r="I28" s="754">
        <f t="shared" si="37"/>
        <v>6187</v>
      </c>
      <c r="J28" s="754">
        <f t="shared" si="37"/>
        <v>6164</v>
      </c>
      <c r="K28" s="754">
        <f t="shared" si="37"/>
        <v>6285</v>
      </c>
      <c r="L28" s="754">
        <f t="shared" si="37"/>
        <v>6329</v>
      </c>
      <c r="M28" s="754">
        <f t="shared" si="37"/>
        <v>6316</v>
      </c>
      <c r="N28" s="754">
        <f>N253</f>
        <v>6373</v>
      </c>
      <c r="O28" s="754">
        <f>O253</f>
        <v>6335</v>
      </c>
      <c r="Q28" s="751" t="s">
        <v>4041</v>
      </c>
    </row>
    <row r="29" spans="1:17" ht="15.75" thickBot="1">
      <c r="A29" s="751"/>
      <c r="D29" s="757">
        <f t="shared" ref="D29:I29" si="38">D27+D28</f>
        <v>77272</v>
      </c>
      <c r="E29" s="757">
        <f t="shared" si="38"/>
        <v>76978</v>
      </c>
      <c r="F29" s="757">
        <f t="shared" si="38"/>
        <v>77207</v>
      </c>
      <c r="G29" s="757">
        <f t="shared" si="38"/>
        <v>78132</v>
      </c>
      <c r="H29" s="757">
        <f t="shared" si="38"/>
        <v>76352</v>
      </c>
      <c r="I29" s="757">
        <f t="shared" si="38"/>
        <v>76190</v>
      </c>
      <c r="J29" s="757">
        <f t="shared" ref="J29:O29" si="39">J27+J28</f>
        <v>74670</v>
      </c>
      <c r="K29" s="757">
        <f t="shared" si="39"/>
        <v>76426</v>
      </c>
      <c r="L29" s="757">
        <f t="shared" si="39"/>
        <v>76443</v>
      </c>
      <c r="M29" s="757">
        <f t="shared" si="39"/>
        <v>77083</v>
      </c>
      <c r="N29" s="757">
        <f t="shared" si="39"/>
        <v>77187</v>
      </c>
      <c r="O29" s="757">
        <f t="shared" si="39"/>
        <v>79657</v>
      </c>
      <c r="Q29" s="751"/>
    </row>
    <row r="30" spans="1:17">
      <c r="D30" s="755"/>
      <c r="E30" s="755"/>
      <c r="F30" s="755"/>
      <c r="G30" s="755"/>
      <c r="H30" s="755"/>
      <c r="I30" s="755"/>
      <c r="J30" s="755"/>
      <c r="K30" s="755"/>
      <c r="L30" s="755"/>
      <c r="M30" s="755"/>
      <c r="N30" s="755"/>
      <c r="O30" s="755"/>
    </row>
    <row r="31" spans="1:17">
      <c r="A31" s="751" t="s">
        <v>4047</v>
      </c>
      <c r="D31" s="753">
        <f t="shared" ref="D31:I31" si="40">D122</f>
        <v>62606</v>
      </c>
      <c r="E31" s="753">
        <f t="shared" si="40"/>
        <v>61916</v>
      </c>
      <c r="F31" s="753">
        <f t="shared" si="40"/>
        <v>62977</v>
      </c>
      <c r="G31" s="753">
        <f t="shared" si="40"/>
        <v>63672</v>
      </c>
      <c r="H31" s="753">
        <f t="shared" si="40"/>
        <v>59871</v>
      </c>
      <c r="I31" s="753">
        <f t="shared" si="40"/>
        <v>58372</v>
      </c>
      <c r="J31" s="753">
        <f t="shared" ref="J31:O31" si="41">J122</f>
        <v>57390</v>
      </c>
      <c r="K31" s="753">
        <f t="shared" si="41"/>
        <v>60293</v>
      </c>
      <c r="L31" s="753">
        <f t="shared" si="41"/>
        <v>61756</v>
      </c>
      <c r="M31" s="753">
        <f t="shared" si="41"/>
        <v>61422</v>
      </c>
      <c r="N31" s="753">
        <f t="shared" si="41"/>
        <v>64535</v>
      </c>
      <c r="O31" s="753">
        <f t="shared" si="41"/>
        <v>64086</v>
      </c>
      <c r="Q31" s="751" t="s">
        <v>6747</v>
      </c>
    </row>
    <row r="32" spans="1:17" ht="15.75" thickBot="1">
      <c r="D32" s="754">
        <f t="shared" ref="D32:I32" si="42">D188</f>
        <v>14416</v>
      </c>
      <c r="E32" s="754">
        <f t="shared" si="42"/>
        <v>14506</v>
      </c>
      <c r="F32" s="754">
        <f t="shared" si="42"/>
        <v>14565</v>
      </c>
      <c r="G32" s="754">
        <f t="shared" si="42"/>
        <v>14654</v>
      </c>
      <c r="H32" s="754">
        <f t="shared" si="42"/>
        <v>14255</v>
      </c>
      <c r="I32" s="754">
        <f t="shared" si="42"/>
        <v>14388</v>
      </c>
      <c r="J32" s="754">
        <f t="shared" ref="J32:O32" si="43">J188</f>
        <v>14282</v>
      </c>
      <c r="K32" s="754">
        <f t="shared" si="43"/>
        <v>14631</v>
      </c>
      <c r="L32" s="754">
        <f t="shared" si="43"/>
        <v>14793</v>
      </c>
      <c r="M32" s="754">
        <f t="shared" si="43"/>
        <v>14641</v>
      </c>
      <c r="N32" s="754">
        <f t="shared" si="43"/>
        <v>14855</v>
      </c>
      <c r="O32" s="754">
        <f t="shared" si="43"/>
        <v>15079</v>
      </c>
      <c r="Q32" s="751" t="s">
        <v>4040</v>
      </c>
    </row>
    <row r="33" spans="1:17" ht="15.75" thickBot="1">
      <c r="D33" s="754">
        <f t="shared" ref="D33:I33" si="44">D31+D32</f>
        <v>77022</v>
      </c>
      <c r="E33" s="754">
        <f t="shared" si="44"/>
        <v>76422</v>
      </c>
      <c r="F33" s="754">
        <f t="shared" si="44"/>
        <v>77542</v>
      </c>
      <c r="G33" s="754">
        <f t="shared" si="44"/>
        <v>78326</v>
      </c>
      <c r="H33" s="754">
        <f t="shared" si="44"/>
        <v>74126</v>
      </c>
      <c r="I33" s="754">
        <f t="shared" si="44"/>
        <v>72760</v>
      </c>
      <c r="J33" s="754">
        <f t="shared" ref="J33:O33" si="45">J31+J32</f>
        <v>71672</v>
      </c>
      <c r="K33" s="754">
        <f t="shared" si="45"/>
        <v>74924</v>
      </c>
      <c r="L33" s="754">
        <f t="shared" si="45"/>
        <v>76549</v>
      </c>
      <c r="M33" s="754">
        <f t="shared" si="45"/>
        <v>76063</v>
      </c>
      <c r="N33" s="754">
        <f t="shared" si="45"/>
        <v>79390</v>
      </c>
      <c r="O33" s="754">
        <f t="shared" si="45"/>
        <v>79165</v>
      </c>
    </row>
    <row r="34" spans="1:17">
      <c r="D34" s="755"/>
      <c r="E34" s="755"/>
      <c r="F34" s="755"/>
      <c r="G34" s="755"/>
      <c r="H34" s="755"/>
      <c r="I34" s="755"/>
      <c r="J34" s="755"/>
      <c r="K34" s="755"/>
      <c r="L34" s="755"/>
      <c r="M34" s="755"/>
      <c r="N34" s="755"/>
      <c r="O34" s="755"/>
    </row>
    <row r="35" spans="1:17">
      <c r="A35" s="751" t="s">
        <v>4048</v>
      </c>
      <c r="D35" s="753">
        <f t="shared" ref="D35:I35" si="46">D79</f>
        <v>70598</v>
      </c>
      <c r="E35" s="753">
        <f t="shared" si="46"/>
        <v>71181</v>
      </c>
      <c r="F35" s="753">
        <f t="shared" si="46"/>
        <v>71281</v>
      </c>
      <c r="G35" s="753">
        <f t="shared" si="46"/>
        <v>72923</v>
      </c>
      <c r="H35" s="753">
        <f t="shared" si="46"/>
        <v>72001</v>
      </c>
      <c r="I35" s="753">
        <f t="shared" si="46"/>
        <v>69184</v>
      </c>
      <c r="J35" s="753">
        <f t="shared" ref="J35:O35" si="47">J79</f>
        <v>68545</v>
      </c>
      <c r="K35" s="753">
        <f t="shared" si="47"/>
        <v>70557</v>
      </c>
      <c r="L35" s="753">
        <f t="shared" si="47"/>
        <v>71145</v>
      </c>
      <c r="M35" s="753">
        <f t="shared" si="47"/>
        <v>69897</v>
      </c>
      <c r="N35" s="753">
        <f t="shared" si="47"/>
        <v>74767</v>
      </c>
      <c r="O35" s="753">
        <f t="shared" si="47"/>
        <v>73726</v>
      </c>
      <c r="Q35" s="751" t="s">
        <v>4043</v>
      </c>
    </row>
    <row r="36" spans="1:17">
      <c r="D36" s="755"/>
      <c r="E36" s="755"/>
      <c r="F36" s="755"/>
      <c r="G36" s="755"/>
      <c r="H36" s="755"/>
      <c r="I36" s="755"/>
      <c r="J36" s="755"/>
      <c r="K36" s="755"/>
      <c r="L36" s="755"/>
      <c r="M36" s="755"/>
      <c r="N36" s="755"/>
      <c r="O36" s="755"/>
    </row>
    <row r="37" spans="1:17">
      <c r="A37" s="751" t="s">
        <v>4049</v>
      </c>
      <c r="D37" s="753">
        <f t="shared" ref="D37:I37" si="48">D153</f>
        <v>58119</v>
      </c>
      <c r="E37" s="753">
        <f t="shared" si="48"/>
        <v>58361</v>
      </c>
      <c r="F37" s="753">
        <f t="shared" si="48"/>
        <v>57855</v>
      </c>
      <c r="G37" s="753">
        <f t="shared" si="48"/>
        <v>58495</v>
      </c>
      <c r="H37" s="753">
        <f t="shared" si="48"/>
        <v>58211</v>
      </c>
      <c r="I37" s="753">
        <f t="shared" si="48"/>
        <v>56921</v>
      </c>
      <c r="J37" s="753">
        <f t="shared" ref="J37:O37" si="49">J153</f>
        <v>55394</v>
      </c>
      <c r="K37" s="753">
        <f t="shared" si="49"/>
        <v>56703</v>
      </c>
      <c r="L37" s="753">
        <f t="shared" si="49"/>
        <v>57743</v>
      </c>
      <c r="M37" s="753">
        <f t="shared" si="49"/>
        <v>57571</v>
      </c>
      <c r="N37" s="753">
        <f t="shared" si="49"/>
        <v>60484</v>
      </c>
      <c r="O37" s="753">
        <f t="shared" si="49"/>
        <v>60570</v>
      </c>
      <c r="Q37" s="751" t="s">
        <v>4044</v>
      </c>
    </row>
    <row r="38" spans="1:17" ht="15.75" thickBot="1">
      <c r="D38" s="754">
        <f t="shared" ref="D38:M38" si="50">D254</f>
        <v>10006</v>
      </c>
      <c r="E38" s="754">
        <f t="shared" si="50"/>
        <v>10154</v>
      </c>
      <c r="F38" s="754">
        <f t="shared" si="50"/>
        <v>10116</v>
      </c>
      <c r="G38" s="754">
        <f t="shared" si="50"/>
        <v>10245</v>
      </c>
      <c r="H38" s="754">
        <f t="shared" si="50"/>
        <v>10190</v>
      </c>
      <c r="I38" s="754">
        <f t="shared" si="50"/>
        <v>10311</v>
      </c>
      <c r="J38" s="754">
        <f t="shared" si="50"/>
        <v>10313</v>
      </c>
      <c r="K38" s="754">
        <f t="shared" si="50"/>
        <v>10780</v>
      </c>
      <c r="L38" s="754">
        <f t="shared" si="50"/>
        <v>10951</v>
      </c>
      <c r="M38" s="754">
        <f t="shared" si="50"/>
        <v>11013</v>
      </c>
      <c r="N38" s="754">
        <f>N254</f>
        <v>11260</v>
      </c>
      <c r="O38" s="754">
        <f>O254</f>
        <v>11256</v>
      </c>
      <c r="Q38" s="751" t="s">
        <v>4041</v>
      </c>
    </row>
    <row r="39" spans="1:17" ht="15.75" thickBot="1">
      <c r="D39" s="754">
        <f t="shared" ref="D39:I39" si="51">SUM(D37:D38)</f>
        <v>68125</v>
      </c>
      <c r="E39" s="754">
        <f t="shared" si="51"/>
        <v>68515</v>
      </c>
      <c r="F39" s="754">
        <f t="shared" si="51"/>
        <v>67971</v>
      </c>
      <c r="G39" s="754">
        <f t="shared" si="51"/>
        <v>68740</v>
      </c>
      <c r="H39" s="754">
        <f t="shared" si="51"/>
        <v>68401</v>
      </c>
      <c r="I39" s="754">
        <f t="shared" si="51"/>
        <v>67232</v>
      </c>
      <c r="J39" s="754">
        <f t="shared" ref="J39:O39" si="52">SUM(J37:J38)</f>
        <v>65707</v>
      </c>
      <c r="K39" s="754">
        <f t="shared" si="52"/>
        <v>67483</v>
      </c>
      <c r="L39" s="754">
        <f t="shared" si="52"/>
        <v>68694</v>
      </c>
      <c r="M39" s="754">
        <f t="shared" si="52"/>
        <v>68584</v>
      </c>
      <c r="N39" s="754">
        <f t="shared" si="52"/>
        <v>71744</v>
      </c>
      <c r="O39" s="754">
        <f t="shared" si="52"/>
        <v>71826</v>
      </c>
    </row>
    <row r="40" spans="1:17">
      <c r="D40" s="755"/>
      <c r="E40" s="755"/>
      <c r="F40" s="755"/>
      <c r="G40" s="755"/>
      <c r="H40" s="755"/>
      <c r="I40" s="755"/>
      <c r="J40" s="755"/>
      <c r="K40" s="755"/>
      <c r="L40" s="755"/>
      <c r="M40" s="755"/>
      <c r="N40" s="755"/>
      <c r="O40" s="755"/>
    </row>
    <row r="41" spans="1:17">
      <c r="A41" s="751" t="s">
        <v>4050</v>
      </c>
      <c r="D41" s="753">
        <f t="shared" ref="D41:M41" si="53">D255</f>
        <v>76724</v>
      </c>
      <c r="E41" s="753">
        <f t="shared" si="53"/>
        <v>77536</v>
      </c>
      <c r="F41" s="753">
        <f t="shared" si="53"/>
        <v>78574</v>
      </c>
      <c r="G41" s="753">
        <f t="shared" si="53"/>
        <v>79559</v>
      </c>
      <c r="H41" s="753">
        <f t="shared" si="53"/>
        <v>78963</v>
      </c>
      <c r="I41" s="753">
        <f t="shared" si="53"/>
        <v>79263</v>
      </c>
      <c r="J41" s="753">
        <f t="shared" si="53"/>
        <v>78544</v>
      </c>
      <c r="K41" s="753">
        <f t="shared" si="53"/>
        <v>81238</v>
      </c>
      <c r="L41" s="753">
        <f t="shared" si="53"/>
        <v>81821</v>
      </c>
      <c r="M41" s="753">
        <f t="shared" si="53"/>
        <v>81543</v>
      </c>
      <c r="N41" s="753">
        <f>N255</f>
        <v>83758</v>
      </c>
      <c r="O41" s="753">
        <f>O255</f>
        <v>83628</v>
      </c>
      <c r="Q41" s="751" t="s">
        <v>4041</v>
      </c>
    </row>
    <row r="42" spans="1:17">
      <c r="D42" s="755"/>
      <c r="E42" s="755"/>
      <c r="F42" s="755"/>
      <c r="G42" s="755"/>
      <c r="H42" s="755"/>
      <c r="I42" s="755"/>
      <c r="J42" s="755"/>
      <c r="K42" s="755"/>
      <c r="L42" s="755"/>
      <c r="M42" s="755"/>
      <c r="N42" s="755"/>
      <c r="O42" s="755"/>
    </row>
    <row r="43" spans="1:17">
      <c r="A43" s="751" t="s">
        <v>6796</v>
      </c>
      <c r="D43" s="753">
        <f t="shared" ref="D43:I43" si="54">D19+D23+D25+D29+D33+D35+D39+D41</f>
        <v>585201</v>
      </c>
      <c r="E43" s="753">
        <f t="shared" si="54"/>
        <v>589221</v>
      </c>
      <c r="F43" s="753">
        <f t="shared" si="54"/>
        <v>591904</v>
      </c>
      <c r="G43" s="753">
        <f t="shared" si="54"/>
        <v>600917</v>
      </c>
      <c r="H43" s="753">
        <f t="shared" si="54"/>
        <v>587092</v>
      </c>
      <c r="I43" s="753">
        <f t="shared" si="54"/>
        <v>571255</v>
      </c>
      <c r="J43" s="753">
        <f t="shared" ref="J43:O43" si="55">J19+J23+J25+J29+J33+J35+J39+J41</f>
        <v>566264</v>
      </c>
      <c r="K43" s="753">
        <f t="shared" si="55"/>
        <v>582221</v>
      </c>
      <c r="L43" s="753">
        <f t="shared" si="55"/>
        <v>590322</v>
      </c>
      <c r="M43" s="753">
        <f t="shared" si="55"/>
        <v>587864</v>
      </c>
      <c r="N43" s="753">
        <f t="shared" si="55"/>
        <v>618592</v>
      </c>
      <c r="O43" s="753">
        <f t="shared" si="55"/>
        <v>616362</v>
      </c>
    </row>
    <row r="44" spans="1:17">
      <c r="D44" s="755"/>
      <c r="E44" s="755"/>
      <c r="F44" s="755"/>
      <c r="G44" s="755"/>
      <c r="H44" s="755"/>
      <c r="I44" s="755"/>
      <c r="J44" s="755"/>
      <c r="K44" s="755"/>
      <c r="L44" s="755"/>
      <c r="M44" s="755"/>
      <c r="N44" s="755"/>
      <c r="O44" s="755"/>
    </row>
    <row r="45" spans="1:17">
      <c r="A45" s="751" t="s">
        <v>6797</v>
      </c>
      <c r="D45" s="753">
        <f t="shared" ref="D45:I45" si="56">MAX(D19,D23,D25,D29,D33,D35,D39,D41)-MIN(D19,D23,D25,D29,D33,D35,D39,D41)</f>
        <v>13112</v>
      </c>
      <c r="E45" s="753">
        <f t="shared" si="56"/>
        <v>12045</v>
      </c>
      <c r="F45" s="753">
        <f t="shared" si="56"/>
        <v>12278</v>
      </c>
      <c r="G45" s="753">
        <f t="shared" si="56"/>
        <v>11529</v>
      </c>
      <c r="H45" s="753">
        <f t="shared" si="56"/>
        <v>12255</v>
      </c>
      <c r="I45" s="753">
        <f t="shared" si="56"/>
        <v>16555</v>
      </c>
      <c r="J45" s="753">
        <f t="shared" ref="J45:O45" si="57">MAX(J19,J23,J25,J29,J33,J35,J39,J41)-MIN(J19,J23,J25,J29,J33,J35,J39,J41)</f>
        <v>16339</v>
      </c>
      <c r="K45" s="753">
        <f t="shared" si="57"/>
        <v>17867</v>
      </c>
      <c r="L45" s="753">
        <f t="shared" si="57"/>
        <v>17325</v>
      </c>
      <c r="M45" s="753">
        <f t="shared" si="57"/>
        <v>17027</v>
      </c>
      <c r="N45" s="753">
        <f t="shared" si="57"/>
        <v>13605</v>
      </c>
      <c r="O45" s="753">
        <f t="shared" si="57"/>
        <v>14895</v>
      </c>
    </row>
    <row r="46" spans="1:17">
      <c r="D46" s="755"/>
      <c r="E46" s="755"/>
      <c r="F46" s="755"/>
      <c r="G46" s="755"/>
      <c r="H46" s="755"/>
      <c r="I46" s="755"/>
      <c r="J46" s="755"/>
      <c r="K46" s="755"/>
      <c r="L46" s="755"/>
      <c r="M46" s="755"/>
      <c r="N46" s="755"/>
      <c r="O46" s="755"/>
    </row>
    <row r="47" spans="1:17">
      <c r="A47" s="751" t="s">
        <v>6800</v>
      </c>
      <c r="D47" s="753">
        <f t="shared" ref="D47:I47" si="58">STDEVP(D19,D23,D25,D29,D33,D35,D39,D41)</f>
        <v>4583.2049222541864</v>
      </c>
      <c r="E47" s="753">
        <f t="shared" si="58"/>
        <v>4201.2802791976401</v>
      </c>
      <c r="F47" s="753">
        <f t="shared" si="58"/>
        <v>4554.7575127552072</v>
      </c>
      <c r="G47" s="753">
        <f t="shared" si="58"/>
        <v>4393.9592606640081</v>
      </c>
      <c r="H47" s="753">
        <f t="shared" si="58"/>
        <v>3916.8160219749921</v>
      </c>
      <c r="I47" s="753">
        <f t="shared" si="58"/>
        <v>5558.7257406149301</v>
      </c>
      <c r="J47" s="753">
        <f t="shared" ref="J47:O47" si="59">STDEVP(J19,J23,J25,J29,J33,J35,J39,J41)</f>
        <v>5378.6783692650743</v>
      </c>
      <c r="K47" s="753">
        <f t="shared" si="59"/>
        <v>5931.1946717651244</v>
      </c>
      <c r="L47" s="753">
        <f t="shared" si="59"/>
        <v>5620.4435267601439</v>
      </c>
      <c r="M47" s="753">
        <f t="shared" si="59"/>
        <v>5712.7615695038421</v>
      </c>
      <c r="N47" s="753">
        <f t="shared" si="59"/>
        <v>4503.4617795646936</v>
      </c>
      <c r="O47" s="753">
        <f t="shared" si="59"/>
        <v>4935.1084524557309</v>
      </c>
    </row>
    <row r="49" spans="1:17">
      <c r="A49" s="751" t="s">
        <v>2603</v>
      </c>
    </row>
    <row r="50" spans="1:17">
      <c r="A50" s="751"/>
    </row>
    <row r="52" spans="1:17">
      <c r="E52" s="51" t="s">
        <v>1526</v>
      </c>
      <c r="F52" s="51"/>
      <c r="G52" s="51"/>
      <c r="H52" s="51"/>
      <c r="I52" s="51"/>
      <c r="J52" s="51"/>
      <c r="K52" s="51"/>
      <c r="L52" s="51"/>
      <c r="M52" s="51"/>
      <c r="N52" s="51"/>
      <c r="O52" s="51"/>
      <c r="P52" s="52"/>
      <c r="Q52" s="53" t="s">
        <v>9479</v>
      </c>
    </row>
    <row r="53" spans="1:17">
      <c r="D53" s="40">
        <v>2010</v>
      </c>
      <c r="E53" s="40">
        <v>2011</v>
      </c>
      <c r="F53" s="40">
        <v>2012</v>
      </c>
      <c r="G53" s="40">
        <v>2013</v>
      </c>
      <c r="H53" s="40">
        <v>2014</v>
      </c>
      <c r="I53" s="40">
        <v>2015</v>
      </c>
      <c r="J53" s="40">
        <v>2016</v>
      </c>
      <c r="K53" s="40">
        <v>2017</v>
      </c>
      <c r="L53" s="40">
        <v>2018</v>
      </c>
      <c r="M53" s="40">
        <v>2019</v>
      </c>
      <c r="N53" s="40">
        <v>2020</v>
      </c>
      <c r="O53" s="979" t="s">
        <v>14823</v>
      </c>
      <c r="Q53" s="54" t="s">
        <v>1527</v>
      </c>
    </row>
    <row r="54" spans="1:17">
      <c r="A54" s="751" t="s">
        <v>1252</v>
      </c>
      <c r="C54" s="751"/>
      <c r="D54" s="753">
        <f>SUM(D55:D75)</f>
        <v>191969</v>
      </c>
      <c r="E54" s="753">
        <f>SUM(E55:E75)</f>
        <v>195038</v>
      </c>
      <c r="F54" s="753">
        <f>SUM(F55:F75)</f>
        <v>195786</v>
      </c>
      <c r="G54" s="753">
        <f>SUM(G55:G75)</f>
        <v>200206</v>
      </c>
      <c r="H54" s="753">
        <f>SUM(H55:H75)</f>
        <v>196195</v>
      </c>
      <c r="I54" s="753">
        <f t="shared" ref="I54:N54" si="60">SUM(I55:I75)</f>
        <v>182570</v>
      </c>
      <c r="J54" s="753">
        <f t="shared" si="60"/>
        <v>183038</v>
      </c>
      <c r="K54" s="753">
        <f t="shared" si="60"/>
        <v>186362</v>
      </c>
      <c r="L54" s="753">
        <f t="shared" si="60"/>
        <v>190074</v>
      </c>
      <c r="M54" s="753">
        <f t="shared" si="60"/>
        <v>187903</v>
      </c>
      <c r="N54" s="753">
        <f t="shared" si="60"/>
        <v>207060</v>
      </c>
      <c r="O54" s="753">
        <f>SUM(O55:O75)</f>
        <v>201911</v>
      </c>
    </row>
    <row r="55" spans="1:17">
      <c r="A55" s="758">
        <v>1</v>
      </c>
      <c r="B55" s="751" t="s">
        <v>2604</v>
      </c>
      <c r="C55" s="55" t="s">
        <v>7721</v>
      </c>
      <c r="D55" s="759">
        <v>6730</v>
      </c>
      <c r="E55" s="759">
        <v>6749</v>
      </c>
      <c r="F55" s="759">
        <v>6916</v>
      </c>
      <c r="G55" s="56">
        <v>7313</v>
      </c>
      <c r="H55" s="56">
        <v>7105</v>
      </c>
      <c r="I55" s="56">
        <v>6425</v>
      </c>
      <c r="J55" s="56">
        <v>6518</v>
      </c>
      <c r="K55" s="56">
        <v>6691</v>
      </c>
      <c r="L55" s="56">
        <v>6766</v>
      </c>
      <c r="M55" s="56">
        <v>6455</v>
      </c>
      <c r="N55" s="56">
        <v>7265</v>
      </c>
      <c r="O55" s="56">
        <v>7117</v>
      </c>
      <c r="Q55" s="751" t="s">
        <v>4048</v>
      </c>
    </row>
    <row r="56" spans="1:17">
      <c r="A56" s="758">
        <v>2</v>
      </c>
      <c r="B56" s="751" t="s">
        <v>2605</v>
      </c>
      <c r="C56" s="55" t="s">
        <v>7722</v>
      </c>
      <c r="D56" s="753">
        <v>6288</v>
      </c>
      <c r="E56" s="753">
        <v>6418</v>
      </c>
      <c r="F56" s="753">
        <v>6481</v>
      </c>
      <c r="G56" s="56">
        <v>6916</v>
      </c>
      <c r="H56" s="56">
        <v>6743</v>
      </c>
      <c r="I56" s="56">
        <v>6173</v>
      </c>
      <c r="J56" s="56">
        <v>6120</v>
      </c>
      <c r="K56" s="56">
        <v>6383</v>
      </c>
      <c r="L56" s="56">
        <v>6564</v>
      </c>
      <c r="M56" s="56">
        <v>6343</v>
      </c>
      <c r="N56" s="56">
        <v>6989</v>
      </c>
      <c r="O56" s="56">
        <v>6848</v>
      </c>
      <c r="Q56" s="751" t="s">
        <v>4048</v>
      </c>
    </row>
    <row r="57" spans="1:17">
      <c r="A57" s="758">
        <v>3</v>
      </c>
      <c r="B57" s="751" t="s">
        <v>2606</v>
      </c>
      <c r="C57" s="55" t="s">
        <v>7723</v>
      </c>
      <c r="D57" s="753">
        <v>9614</v>
      </c>
      <c r="E57" s="753">
        <v>9844</v>
      </c>
      <c r="F57" s="753">
        <v>9877</v>
      </c>
      <c r="G57" s="56">
        <v>10142</v>
      </c>
      <c r="H57" s="56">
        <v>9906</v>
      </c>
      <c r="I57" s="56">
        <v>9404</v>
      </c>
      <c r="J57" s="56">
        <v>9318</v>
      </c>
      <c r="K57" s="56">
        <v>9692</v>
      </c>
      <c r="L57" s="56">
        <v>9625</v>
      </c>
      <c r="M57" s="56">
        <v>9552</v>
      </c>
      <c r="N57" s="56">
        <v>10211</v>
      </c>
      <c r="O57" s="56">
        <v>10044</v>
      </c>
      <c r="Q57" s="751" t="s">
        <v>4042</v>
      </c>
    </row>
    <row r="58" spans="1:17">
      <c r="A58" s="758">
        <v>4</v>
      </c>
      <c r="B58" s="751" t="s">
        <v>2607</v>
      </c>
      <c r="C58" s="55" t="s">
        <v>7724</v>
      </c>
      <c r="D58" s="759">
        <v>10843</v>
      </c>
      <c r="E58" s="759">
        <v>10997</v>
      </c>
      <c r="F58" s="759">
        <v>10985</v>
      </c>
      <c r="G58" s="56">
        <v>11135</v>
      </c>
      <c r="H58" s="56">
        <v>10925</v>
      </c>
      <c r="I58" s="56">
        <v>10392</v>
      </c>
      <c r="J58" s="56">
        <v>10429</v>
      </c>
      <c r="K58" s="56">
        <v>10890</v>
      </c>
      <c r="L58" s="56">
        <v>10895</v>
      </c>
      <c r="M58" s="56">
        <v>10622</v>
      </c>
      <c r="N58" s="56">
        <v>11761</v>
      </c>
      <c r="O58" s="56">
        <v>11530</v>
      </c>
      <c r="Q58" s="751" t="s">
        <v>4048</v>
      </c>
    </row>
    <row r="59" spans="1:17">
      <c r="A59" s="758">
        <v>5</v>
      </c>
      <c r="B59" s="751" t="s">
        <v>2608</v>
      </c>
      <c r="C59" s="55" t="s">
        <v>7725</v>
      </c>
      <c r="D59" s="753">
        <v>10693</v>
      </c>
      <c r="E59" s="753">
        <v>10719</v>
      </c>
      <c r="F59" s="753">
        <v>10706</v>
      </c>
      <c r="G59" s="58">
        <v>10839</v>
      </c>
      <c r="H59" s="58">
        <v>10748</v>
      </c>
      <c r="I59" s="58">
        <v>10505</v>
      </c>
      <c r="J59" s="58">
        <v>10478</v>
      </c>
      <c r="K59" s="58">
        <v>10648</v>
      </c>
      <c r="L59" s="58">
        <v>10675</v>
      </c>
      <c r="M59" s="58">
        <v>10574</v>
      </c>
      <c r="N59" s="58">
        <v>10992</v>
      </c>
      <c r="O59" s="58">
        <v>10911</v>
      </c>
      <c r="Q59" s="751" t="s">
        <v>4048</v>
      </c>
    </row>
    <row r="60" spans="1:17">
      <c r="A60" s="758">
        <v>6</v>
      </c>
      <c r="B60" s="751" t="s">
        <v>2609</v>
      </c>
      <c r="C60" s="55" t="s">
        <v>7726</v>
      </c>
      <c r="D60" s="759">
        <v>10952</v>
      </c>
      <c r="E60" s="759">
        <v>11090</v>
      </c>
      <c r="F60" s="759">
        <v>11189</v>
      </c>
      <c r="G60" s="56">
        <v>11413</v>
      </c>
      <c r="H60" s="56">
        <v>10914</v>
      </c>
      <c r="I60" s="56">
        <v>9595</v>
      </c>
      <c r="J60" s="56">
        <v>9966</v>
      </c>
      <c r="K60" s="56">
        <v>10143</v>
      </c>
      <c r="L60" s="56">
        <v>10662</v>
      </c>
      <c r="M60" s="56">
        <v>10446</v>
      </c>
      <c r="N60" s="56">
        <v>12679</v>
      </c>
      <c r="O60" s="56">
        <v>11937</v>
      </c>
      <c r="Q60" s="751" t="s">
        <v>4045</v>
      </c>
    </row>
    <row r="61" spans="1:17">
      <c r="A61" s="758">
        <v>7</v>
      </c>
      <c r="B61" s="751" t="s">
        <v>2610</v>
      </c>
      <c r="C61" s="55" t="s">
        <v>7727</v>
      </c>
      <c r="D61" s="753">
        <v>11174</v>
      </c>
      <c r="E61" s="753">
        <v>11223</v>
      </c>
      <c r="F61" s="753">
        <v>11742</v>
      </c>
      <c r="G61" s="56">
        <v>11907</v>
      </c>
      <c r="H61" s="56">
        <v>11983</v>
      </c>
      <c r="I61" s="56">
        <v>8728</v>
      </c>
      <c r="J61" s="56">
        <v>9171</v>
      </c>
      <c r="K61" s="56">
        <v>8657</v>
      </c>
      <c r="L61" s="56">
        <v>9800</v>
      </c>
      <c r="M61" s="56">
        <v>9911</v>
      </c>
      <c r="N61" s="56">
        <v>12149</v>
      </c>
      <c r="O61" s="56">
        <v>11803</v>
      </c>
      <c r="Q61" s="751" t="s">
        <v>4045</v>
      </c>
    </row>
    <row r="62" spans="1:17">
      <c r="A62" s="758">
        <v>8</v>
      </c>
      <c r="B62" s="751" t="s">
        <v>2611</v>
      </c>
      <c r="C62" s="55" t="s">
        <v>7728</v>
      </c>
      <c r="D62" s="753">
        <v>11412</v>
      </c>
      <c r="E62" s="753">
        <v>11788</v>
      </c>
      <c r="F62" s="753">
        <v>12214</v>
      </c>
      <c r="G62" s="56">
        <v>12336</v>
      </c>
      <c r="H62" s="56">
        <v>11607</v>
      </c>
      <c r="I62" s="56">
        <v>10039</v>
      </c>
      <c r="J62" s="56">
        <v>9998</v>
      </c>
      <c r="K62" s="56">
        <v>9806</v>
      </c>
      <c r="L62" s="56">
        <v>10328</v>
      </c>
      <c r="M62" s="56">
        <v>10757</v>
      </c>
      <c r="N62" s="56">
        <v>12865</v>
      </c>
      <c r="O62" s="56">
        <v>12137</v>
      </c>
      <c r="Q62" s="751" t="s">
        <v>4042</v>
      </c>
    </row>
    <row r="63" spans="1:17">
      <c r="A63" s="758">
        <v>9</v>
      </c>
      <c r="B63" s="751" t="s">
        <v>2612</v>
      </c>
      <c r="C63" s="55" t="s">
        <v>7729</v>
      </c>
      <c r="D63" s="753">
        <v>7575</v>
      </c>
      <c r="E63" s="753">
        <v>7647</v>
      </c>
      <c r="F63" s="753">
        <v>7701</v>
      </c>
      <c r="G63" s="58">
        <v>7716</v>
      </c>
      <c r="H63" s="58">
        <v>7656</v>
      </c>
      <c r="I63" s="58">
        <v>7645</v>
      </c>
      <c r="J63" s="58">
        <v>7324</v>
      </c>
      <c r="K63" s="58">
        <v>7425</v>
      </c>
      <c r="L63" s="58">
        <v>7440</v>
      </c>
      <c r="M63" s="58">
        <v>7358</v>
      </c>
      <c r="N63" s="58">
        <v>7514</v>
      </c>
      <c r="O63" s="58">
        <v>7452</v>
      </c>
      <c r="Q63" s="751" t="s">
        <v>4048</v>
      </c>
    </row>
    <row r="64" spans="1:17">
      <c r="A64" s="758">
        <v>10</v>
      </c>
      <c r="B64" s="751" t="s">
        <v>2613</v>
      </c>
      <c r="C64" s="55" t="s">
        <v>7730</v>
      </c>
      <c r="D64" s="753">
        <v>10699</v>
      </c>
      <c r="E64" s="753">
        <v>10773</v>
      </c>
      <c r="F64" s="753">
        <v>10824</v>
      </c>
      <c r="G64" s="56">
        <v>10979</v>
      </c>
      <c r="H64" s="56">
        <v>10890</v>
      </c>
      <c r="I64" s="56">
        <v>10817</v>
      </c>
      <c r="J64" s="56">
        <v>10580</v>
      </c>
      <c r="K64" s="56">
        <v>10856</v>
      </c>
      <c r="L64" s="56">
        <v>10884</v>
      </c>
      <c r="M64" s="56">
        <v>10791</v>
      </c>
      <c r="N64" s="56">
        <v>11221</v>
      </c>
      <c r="O64" s="56">
        <v>11114</v>
      </c>
      <c r="Q64" s="751" t="s">
        <v>4045</v>
      </c>
    </row>
    <row r="65" spans="1:17">
      <c r="A65" s="758">
        <v>11</v>
      </c>
      <c r="B65" s="751" t="s">
        <v>2614</v>
      </c>
      <c r="C65" s="55" t="s">
        <v>7731</v>
      </c>
      <c r="D65" s="753">
        <v>10099</v>
      </c>
      <c r="E65" s="753">
        <v>10307</v>
      </c>
      <c r="F65" s="753">
        <v>10432</v>
      </c>
      <c r="G65" s="56">
        <v>10743</v>
      </c>
      <c r="H65" s="56">
        <v>10471</v>
      </c>
      <c r="I65" s="56">
        <v>10070</v>
      </c>
      <c r="J65" s="56">
        <v>10101</v>
      </c>
      <c r="K65" s="56">
        <v>10307</v>
      </c>
      <c r="L65" s="56">
        <v>10513</v>
      </c>
      <c r="M65" s="56">
        <v>10326</v>
      </c>
      <c r="N65" s="56">
        <v>11395</v>
      </c>
      <c r="O65" s="56">
        <v>11125</v>
      </c>
      <c r="Q65" s="751" t="s">
        <v>4045</v>
      </c>
    </row>
    <row r="66" spans="1:17">
      <c r="A66" s="758">
        <v>12</v>
      </c>
      <c r="B66" s="751" t="s">
        <v>5885</v>
      </c>
      <c r="C66" s="55" t="s">
        <v>7732</v>
      </c>
      <c r="D66" s="753">
        <v>10585</v>
      </c>
      <c r="E66" s="753">
        <v>10993</v>
      </c>
      <c r="F66" s="753">
        <v>10857</v>
      </c>
      <c r="G66" s="56">
        <v>11114</v>
      </c>
      <c r="H66" s="56">
        <v>10726</v>
      </c>
      <c r="I66" s="56">
        <v>9959</v>
      </c>
      <c r="J66" s="56">
        <v>10037</v>
      </c>
      <c r="K66" s="56">
        <v>10165</v>
      </c>
      <c r="L66" s="56">
        <v>10312</v>
      </c>
      <c r="M66" s="56">
        <v>10017</v>
      </c>
      <c r="N66" s="56">
        <v>11274</v>
      </c>
      <c r="O66" s="56">
        <v>10933</v>
      </c>
      <c r="Q66" s="751" t="s">
        <v>4042</v>
      </c>
    </row>
    <row r="67" spans="1:17">
      <c r="A67" s="758">
        <v>13</v>
      </c>
      <c r="B67" s="751" t="s">
        <v>2615</v>
      </c>
      <c r="C67" s="55" t="s">
        <v>7733</v>
      </c>
      <c r="D67" s="753">
        <v>6802</v>
      </c>
      <c r="E67" s="753">
        <v>7031</v>
      </c>
      <c r="F67" s="753">
        <v>6773</v>
      </c>
      <c r="G67" s="56">
        <v>7029</v>
      </c>
      <c r="H67" s="56">
        <v>6692</v>
      </c>
      <c r="I67" s="56">
        <v>6056</v>
      </c>
      <c r="J67" s="56">
        <v>6171</v>
      </c>
      <c r="K67" s="56">
        <v>6486</v>
      </c>
      <c r="L67" s="56">
        <v>6649</v>
      </c>
      <c r="M67" s="56">
        <v>6400</v>
      </c>
      <c r="N67" s="56">
        <v>7345</v>
      </c>
      <c r="O67" s="56">
        <v>7092</v>
      </c>
      <c r="Q67" s="751" t="s">
        <v>4045</v>
      </c>
    </row>
    <row r="68" spans="1:17">
      <c r="A68" s="758">
        <v>14</v>
      </c>
      <c r="B68" s="751" t="s">
        <v>2616</v>
      </c>
      <c r="C68" s="55" t="s">
        <v>7734</v>
      </c>
      <c r="D68" s="753">
        <v>10163</v>
      </c>
      <c r="E68" s="753">
        <v>10448</v>
      </c>
      <c r="F68" s="753">
        <v>10403</v>
      </c>
      <c r="G68" s="56">
        <v>10726</v>
      </c>
      <c r="H68" s="56">
        <v>10577</v>
      </c>
      <c r="I68" s="56">
        <v>10293</v>
      </c>
      <c r="J68" s="56">
        <v>10224</v>
      </c>
      <c r="K68" s="56">
        <v>10463</v>
      </c>
      <c r="L68" s="56">
        <v>10569</v>
      </c>
      <c r="M68" s="56">
        <v>10462</v>
      </c>
      <c r="N68" s="56">
        <v>10901</v>
      </c>
      <c r="O68" s="56">
        <v>10751</v>
      </c>
      <c r="Q68" s="751" t="s">
        <v>4042</v>
      </c>
    </row>
    <row r="69" spans="1:17">
      <c r="A69" s="758">
        <v>15</v>
      </c>
      <c r="B69" s="751" t="s">
        <v>1258</v>
      </c>
      <c r="C69" s="55" t="s">
        <v>7735</v>
      </c>
      <c r="D69" s="753">
        <v>11940</v>
      </c>
      <c r="E69" s="753">
        <v>12424</v>
      </c>
      <c r="F69" s="753">
        <v>12297</v>
      </c>
      <c r="G69" s="56">
        <v>12767</v>
      </c>
      <c r="H69" s="56">
        <v>12361</v>
      </c>
      <c r="I69" s="56">
        <v>10880</v>
      </c>
      <c r="J69" s="56">
        <v>11357</v>
      </c>
      <c r="K69" s="56">
        <v>11187</v>
      </c>
      <c r="L69" s="56">
        <v>11564</v>
      </c>
      <c r="M69" s="56">
        <v>11474</v>
      </c>
      <c r="N69" s="56">
        <v>13555</v>
      </c>
      <c r="O69" s="56">
        <v>12720</v>
      </c>
      <c r="Q69" s="751" t="s">
        <v>4045</v>
      </c>
    </row>
    <row r="70" spans="1:17">
      <c r="A70" s="758">
        <v>16</v>
      </c>
      <c r="B70" s="751" t="s">
        <v>1259</v>
      </c>
      <c r="C70" s="55" t="s">
        <v>7736</v>
      </c>
      <c r="D70" s="753">
        <v>6867</v>
      </c>
      <c r="E70" s="753">
        <v>6928</v>
      </c>
      <c r="F70" s="753">
        <v>6898</v>
      </c>
      <c r="G70" s="58">
        <v>7055</v>
      </c>
      <c r="H70" s="58">
        <v>7054</v>
      </c>
      <c r="I70" s="58">
        <v>6820</v>
      </c>
      <c r="J70" s="58">
        <v>6716</v>
      </c>
      <c r="K70" s="58">
        <v>6900</v>
      </c>
      <c r="L70" s="58">
        <v>7078</v>
      </c>
      <c r="M70" s="58">
        <v>7016</v>
      </c>
      <c r="N70" s="58">
        <v>7357</v>
      </c>
      <c r="O70" s="58">
        <v>7259</v>
      </c>
      <c r="Q70" s="751" t="s">
        <v>4048</v>
      </c>
    </row>
    <row r="71" spans="1:17">
      <c r="A71" s="758">
        <v>17</v>
      </c>
      <c r="B71" s="751" t="s">
        <v>670</v>
      </c>
      <c r="C71" s="55" t="s">
        <v>7737</v>
      </c>
      <c r="D71" s="753">
        <v>7787</v>
      </c>
      <c r="E71" s="753">
        <v>7870</v>
      </c>
      <c r="F71" s="753">
        <v>7834</v>
      </c>
      <c r="G71" s="58">
        <v>7952</v>
      </c>
      <c r="H71" s="58">
        <v>7916</v>
      </c>
      <c r="I71" s="58">
        <v>7814</v>
      </c>
      <c r="J71" s="58">
        <v>7686</v>
      </c>
      <c r="K71" s="58">
        <v>7950</v>
      </c>
      <c r="L71" s="58">
        <v>7950</v>
      </c>
      <c r="M71" s="58">
        <v>7906</v>
      </c>
      <c r="N71" s="58">
        <v>8313</v>
      </c>
      <c r="O71" s="58">
        <v>8225</v>
      </c>
      <c r="Q71" s="751" t="s">
        <v>4048</v>
      </c>
    </row>
    <row r="72" spans="1:17">
      <c r="A72" s="758">
        <v>18</v>
      </c>
      <c r="B72" s="751" t="s">
        <v>635</v>
      </c>
      <c r="C72" s="55" t="s">
        <v>7738</v>
      </c>
      <c r="D72" s="753">
        <v>7096</v>
      </c>
      <c r="E72" s="753">
        <v>7124</v>
      </c>
      <c r="F72" s="753">
        <v>7067</v>
      </c>
      <c r="G72" s="58">
        <v>7209</v>
      </c>
      <c r="H72" s="58">
        <v>7007</v>
      </c>
      <c r="I72" s="58">
        <v>6717</v>
      </c>
      <c r="J72" s="58">
        <v>6609</v>
      </c>
      <c r="K72" s="58">
        <v>6853</v>
      </c>
      <c r="L72" s="58">
        <v>6943</v>
      </c>
      <c r="M72" s="58">
        <v>6780</v>
      </c>
      <c r="N72" s="58">
        <v>7296</v>
      </c>
      <c r="O72" s="58">
        <v>7182</v>
      </c>
      <c r="Q72" s="751" t="s">
        <v>4048</v>
      </c>
    </row>
    <row r="73" spans="1:17">
      <c r="A73" s="758">
        <v>19</v>
      </c>
      <c r="B73" s="751" t="s">
        <v>1261</v>
      </c>
      <c r="C73" s="55" t="s">
        <v>7739</v>
      </c>
      <c r="D73" s="753">
        <v>6719</v>
      </c>
      <c r="E73" s="753">
        <v>6729</v>
      </c>
      <c r="F73" s="753">
        <v>6693</v>
      </c>
      <c r="G73" s="58">
        <v>6788</v>
      </c>
      <c r="H73" s="58">
        <v>6847</v>
      </c>
      <c r="I73" s="58">
        <v>6693</v>
      </c>
      <c r="J73" s="58">
        <v>6665</v>
      </c>
      <c r="K73" s="58">
        <v>6817</v>
      </c>
      <c r="L73" s="58">
        <v>6834</v>
      </c>
      <c r="M73" s="58">
        <v>6843</v>
      </c>
      <c r="N73" s="58">
        <v>7280</v>
      </c>
      <c r="O73" s="58">
        <v>7202</v>
      </c>
      <c r="Q73" s="751" t="s">
        <v>4048</v>
      </c>
    </row>
    <row r="74" spans="1:17">
      <c r="A74" s="758">
        <v>20</v>
      </c>
      <c r="B74" s="751" t="s">
        <v>1262</v>
      </c>
      <c r="C74" s="55" t="s">
        <v>7740</v>
      </c>
      <c r="D74" s="753">
        <v>10568</v>
      </c>
      <c r="E74" s="753">
        <v>10582</v>
      </c>
      <c r="F74" s="753">
        <v>10546</v>
      </c>
      <c r="G74" s="56">
        <v>10702</v>
      </c>
      <c r="H74" s="56">
        <v>10578</v>
      </c>
      <c r="I74" s="56">
        <v>10240</v>
      </c>
      <c r="J74" s="56">
        <v>10354</v>
      </c>
      <c r="K74" s="56">
        <v>10690</v>
      </c>
      <c r="L74" s="56">
        <v>10628</v>
      </c>
      <c r="M74" s="56">
        <v>10541</v>
      </c>
      <c r="N74" s="56">
        <v>11158</v>
      </c>
      <c r="O74" s="56">
        <v>11063</v>
      </c>
      <c r="Q74" s="751" t="s">
        <v>4045</v>
      </c>
    </row>
    <row r="75" spans="1:17">
      <c r="A75" s="758">
        <v>21</v>
      </c>
      <c r="B75" s="751" t="s">
        <v>1263</v>
      </c>
      <c r="C75" s="55" t="s">
        <v>7741</v>
      </c>
      <c r="D75" s="753">
        <v>7363</v>
      </c>
      <c r="E75" s="753">
        <v>7354</v>
      </c>
      <c r="F75" s="753">
        <v>7351</v>
      </c>
      <c r="G75" s="56">
        <v>7425</v>
      </c>
      <c r="H75" s="56">
        <v>7489</v>
      </c>
      <c r="I75" s="56">
        <v>7305</v>
      </c>
      <c r="J75" s="56">
        <v>7216</v>
      </c>
      <c r="K75" s="56">
        <v>7353</v>
      </c>
      <c r="L75" s="56">
        <v>7395</v>
      </c>
      <c r="M75" s="56">
        <v>7329</v>
      </c>
      <c r="N75" s="56">
        <v>7540</v>
      </c>
      <c r="O75" s="56">
        <v>7466</v>
      </c>
      <c r="Q75" s="751" t="s">
        <v>4042</v>
      </c>
    </row>
    <row r="76" spans="1:17">
      <c r="D76" s="755"/>
      <c r="E76" s="755"/>
      <c r="F76" s="755"/>
      <c r="G76" s="755"/>
      <c r="H76" s="755"/>
      <c r="I76" s="58"/>
      <c r="J76" s="58"/>
      <c r="K76" s="58"/>
      <c r="L76" s="58"/>
      <c r="M76" s="58"/>
      <c r="N76" s="58"/>
      <c r="O76" s="58"/>
    </row>
    <row r="77" spans="1:17">
      <c r="A77" s="751" t="s">
        <v>1264</v>
      </c>
      <c r="D77" s="753">
        <f>D57+D62+D66+D68+D75</f>
        <v>49137</v>
      </c>
      <c r="E77" s="753">
        <f>E57+E62+E66+E68+E75</f>
        <v>50427</v>
      </c>
      <c r="F77" s="753">
        <f>F57+F62+F66+F68+F75</f>
        <v>50702</v>
      </c>
      <c r="G77" s="753">
        <f>G57+G62+G66+G68+G75</f>
        <v>51743</v>
      </c>
      <c r="H77" s="753">
        <f>H57+H62+H66+H68+H75</f>
        <v>50305</v>
      </c>
      <c r="I77" s="753">
        <f t="shared" ref="I77:N77" si="61">I57+I68+I62+I66+I75</f>
        <v>47000</v>
      </c>
      <c r="J77" s="753">
        <f t="shared" si="61"/>
        <v>46793</v>
      </c>
      <c r="K77" s="753">
        <f t="shared" si="61"/>
        <v>47479</v>
      </c>
      <c r="L77" s="753">
        <f t="shared" si="61"/>
        <v>48229</v>
      </c>
      <c r="M77" s="753">
        <f t="shared" si="61"/>
        <v>48117</v>
      </c>
      <c r="N77" s="753">
        <f t="shared" si="61"/>
        <v>52791</v>
      </c>
      <c r="O77" s="753">
        <f>O57+O68+O62+O66+O75</f>
        <v>51331</v>
      </c>
    </row>
    <row r="78" spans="1:17">
      <c r="A78" s="751" t="s">
        <v>4045</v>
      </c>
      <c r="D78" s="753">
        <f>D60+D61+D64+D65+D67+D69+D74</f>
        <v>72234</v>
      </c>
      <c r="E78" s="753">
        <f>E60+E61+E64+E65+E67+E69+E74</f>
        <v>73430</v>
      </c>
      <c r="F78" s="753">
        <f>F60+F61+F64+F65+F67+F69+F74</f>
        <v>73803</v>
      </c>
      <c r="G78" s="753">
        <f>G60+G61+G64+G65+G67+G69+G74</f>
        <v>75540</v>
      </c>
      <c r="H78" s="753">
        <f>H60+H61+H64+H65+H67+H69+H74</f>
        <v>73889</v>
      </c>
      <c r="I78" s="753">
        <f t="shared" ref="I78:N78" si="62">I60+I61+I64+I65+I67+I69+I74</f>
        <v>66386</v>
      </c>
      <c r="J78" s="753">
        <f t="shared" si="62"/>
        <v>67700</v>
      </c>
      <c r="K78" s="753">
        <f t="shared" si="62"/>
        <v>68326</v>
      </c>
      <c r="L78" s="753">
        <f t="shared" si="62"/>
        <v>70700</v>
      </c>
      <c r="M78" s="753">
        <f t="shared" si="62"/>
        <v>69889</v>
      </c>
      <c r="N78" s="753">
        <f t="shared" si="62"/>
        <v>79502</v>
      </c>
      <c r="O78" s="753">
        <f>O60+O61+O64+O65+O67+O69+O74</f>
        <v>76854</v>
      </c>
    </row>
    <row r="79" spans="1:17">
      <c r="A79" s="751" t="s">
        <v>4048</v>
      </c>
      <c r="D79" s="753">
        <f>D55+D56+D58+D59+D63+SUM(D70:D73)</f>
        <v>70598</v>
      </c>
      <c r="E79" s="753">
        <f>E55+E56+E58+E59+E63+SUM(E70:E73)</f>
        <v>71181</v>
      </c>
      <c r="F79" s="753">
        <f>F55+F56+F58+F59+F63+SUM(F70:F73)</f>
        <v>71281</v>
      </c>
      <c r="G79" s="753">
        <f>G55+G56+G58+G59+G63+SUM(G70:G73)</f>
        <v>72923</v>
      </c>
      <c r="H79" s="753">
        <f>H55+H56+H58+H59+H63+SUM(H70:H73)</f>
        <v>72001</v>
      </c>
      <c r="I79" s="753">
        <f t="shared" ref="I79:N79" si="63">I55+I56+I58+I59+I63+SUM(I70:I73)</f>
        <v>69184</v>
      </c>
      <c r="J79" s="753">
        <f t="shared" si="63"/>
        <v>68545</v>
      </c>
      <c r="K79" s="753">
        <f t="shared" si="63"/>
        <v>70557</v>
      </c>
      <c r="L79" s="753">
        <f t="shared" si="63"/>
        <v>71145</v>
      </c>
      <c r="M79" s="753">
        <f t="shared" si="63"/>
        <v>69897</v>
      </c>
      <c r="N79" s="753">
        <f t="shared" si="63"/>
        <v>74767</v>
      </c>
      <c r="O79" s="753">
        <f>O55+O56+O58+O59+O63+SUM(O70:O73)</f>
        <v>73726</v>
      </c>
    </row>
    <row r="81" spans="1:17">
      <c r="A81" s="751" t="s">
        <v>1265</v>
      </c>
    </row>
    <row r="82" spans="1:17">
      <c r="A82" s="751"/>
    </row>
    <row r="83" spans="1:17">
      <c r="A83" s="751"/>
    </row>
    <row r="84" spans="1:17">
      <c r="E84" s="51" t="s">
        <v>1526</v>
      </c>
      <c r="F84" s="51"/>
      <c r="G84" s="51"/>
      <c r="H84" s="51"/>
      <c r="I84" s="51"/>
      <c r="J84" s="51"/>
      <c r="K84" s="51"/>
      <c r="L84" s="51"/>
      <c r="M84" s="51"/>
      <c r="N84" s="51"/>
      <c r="O84" s="51"/>
      <c r="P84" s="52"/>
      <c r="Q84" s="53" t="s">
        <v>9479</v>
      </c>
    </row>
    <row r="85" spans="1:17">
      <c r="D85" s="40">
        <v>2010</v>
      </c>
      <c r="E85" s="40">
        <v>2011</v>
      </c>
      <c r="F85" s="40">
        <v>2012</v>
      </c>
      <c r="G85" s="40">
        <v>2013</v>
      </c>
      <c r="H85" s="40">
        <v>2014</v>
      </c>
      <c r="I85" s="40">
        <v>2015</v>
      </c>
      <c r="J85" s="40">
        <v>2016</v>
      </c>
      <c r="K85" s="40">
        <v>2017</v>
      </c>
      <c r="L85" s="40">
        <v>2018</v>
      </c>
      <c r="M85" s="40">
        <v>2019</v>
      </c>
      <c r="N85" s="40">
        <v>2020</v>
      </c>
      <c r="O85" s="979" t="s">
        <v>14823</v>
      </c>
      <c r="Q85" s="54" t="s">
        <v>1527</v>
      </c>
    </row>
    <row r="86" spans="1:17">
      <c r="A86" s="751" t="s">
        <v>1266</v>
      </c>
      <c r="D86" s="753">
        <f t="shared" ref="D86:I86" si="64">SUM(D87:D95)</f>
        <v>71118</v>
      </c>
      <c r="E86" s="753">
        <f t="shared" si="64"/>
        <v>70810</v>
      </c>
      <c r="F86" s="753">
        <f t="shared" si="64"/>
        <v>71059</v>
      </c>
      <c r="G86" s="753">
        <f t="shared" si="64"/>
        <v>71915</v>
      </c>
      <c r="H86" s="753">
        <f t="shared" si="64"/>
        <v>70183</v>
      </c>
      <c r="I86" s="753">
        <f t="shared" si="64"/>
        <v>70003</v>
      </c>
      <c r="J86" s="753">
        <f t="shared" ref="J86:O86" si="65">SUM(J87:J95)</f>
        <v>68506</v>
      </c>
      <c r="K86" s="753">
        <f t="shared" si="65"/>
        <v>70141</v>
      </c>
      <c r="L86" s="753">
        <f t="shared" si="65"/>
        <v>70114</v>
      </c>
      <c r="M86" s="753">
        <f t="shared" si="65"/>
        <v>70767</v>
      </c>
      <c r="N86" s="753">
        <f t="shared" si="65"/>
        <v>70814</v>
      </c>
      <c r="O86" s="753">
        <f t="shared" si="65"/>
        <v>73322</v>
      </c>
    </row>
    <row r="87" spans="1:17">
      <c r="A87" s="758">
        <v>1</v>
      </c>
      <c r="B87" s="751" t="s">
        <v>1267</v>
      </c>
      <c r="C87" s="55" t="s">
        <v>14721</v>
      </c>
      <c r="D87" s="753">
        <v>7554</v>
      </c>
      <c r="E87" s="753">
        <v>7709</v>
      </c>
      <c r="F87" s="753">
        <v>7566</v>
      </c>
      <c r="G87" s="63">
        <v>7616</v>
      </c>
      <c r="H87" s="63">
        <v>7519</v>
      </c>
      <c r="I87" s="63">
        <v>7611</v>
      </c>
      <c r="J87" s="63">
        <v>7495</v>
      </c>
      <c r="K87" s="63">
        <v>7656</v>
      </c>
      <c r="L87" s="63">
        <v>7895</v>
      </c>
      <c r="M87" s="63">
        <v>7915</v>
      </c>
      <c r="N87" s="63">
        <v>7981</v>
      </c>
      <c r="O87" s="63">
        <v>8503</v>
      </c>
      <c r="Q87" s="751" t="s">
        <v>4046</v>
      </c>
    </row>
    <row r="88" spans="1:17">
      <c r="A88" s="758">
        <v>2</v>
      </c>
      <c r="B88" s="751" t="s">
        <v>1268</v>
      </c>
      <c r="C88" s="55" t="s">
        <v>14722</v>
      </c>
      <c r="D88" s="753">
        <v>7154</v>
      </c>
      <c r="E88" s="753">
        <v>7021</v>
      </c>
      <c r="F88" s="753">
        <v>7039</v>
      </c>
      <c r="G88" s="63">
        <v>7373</v>
      </c>
      <c r="H88" s="63">
        <v>7086</v>
      </c>
      <c r="I88" s="63">
        <v>6924</v>
      </c>
      <c r="J88" s="63">
        <v>6883</v>
      </c>
      <c r="K88" s="63">
        <v>7113</v>
      </c>
      <c r="L88" s="63">
        <v>7154</v>
      </c>
      <c r="M88" s="63">
        <v>7435</v>
      </c>
      <c r="N88" s="63">
        <v>7377</v>
      </c>
      <c r="O88" s="63">
        <v>7643</v>
      </c>
      <c r="Q88" s="751" t="s">
        <v>4046</v>
      </c>
    </row>
    <row r="89" spans="1:17">
      <c r="A89" s="758">
        <v>3</v>
      </c>
      <c r="B89" s="751" t="s">
        <v>2633</v>
      </c>
      <c r="C89" s="55" t="s">
        <v>14723</v>
      </c>
      <c r="D89" s="753">
        <v>7790</v>
      </c>
      <c r="E89" s="753">
        <v>7781</v>
      </c>
      <c r="F89" s="753">
        <v>7716</v>
      </c>
      <c r="G89" s="63">
        <v>7822</v>
      </c>
      <c r="H89" s="63">
        <v>7678</v>
      </c>
      <c r="I89" s="63">
        <v>7689</v>
      </c>
      <c r="J89" s="63">
        <v>7496</v>
      </c>
      <c r="K89" s="63">
        <v>7603</v>
      </c>
      <c r="L89" s="63">
        <v>7526</v>
      </c>
      <c r="M89" s="63">
        <v>7590</v>
      </c>
      <c r="N89" s="63">
        <v>7554</v>
      </c>
      <c r="O89" s="63">
        <v>7741</v>
      </c>
      <c r="Q89" s="751" t="s">
        <v>4046</v>
      </c>
    </row>
    <row r="90" spans="1:17">
      <c r="A90" s="758">
        <v>4</v>
      </c>
      <c r="B90" s="751" t="s">
        <v>2634</v>
      </c>
      <c r="C90" s="55" t="s">
        <v>14724</v>
      </c>
      <c r="D90" s="753">
        <v>7863</v>
      </c>
      <c r="E90" s="753">
        <v>7608</v>
      </c>
      <c r="F90" s="753">
        <v>7706</v>
      </c>
      <c r="G90" s="63">
        <v>7746</v>
      </c>
      <c r="H90" s="63">
        <v>7746</v>
      </c>
      <c r="I90" s="63">
        <v>7704</v>
      </c>
      <c r="J90" s="63">
        <v>7531</v>
      </c>
      <c r="K90" s="63">
        <v>7751</v>
      </c>
      <c r="L90" s="63">
        <v>7735</v>
      </c>
      <c r="M90" s="63">
        <v>7815</v>
      </c>
      <c r="N90" s="63">
        <v>7837</v>
      </c>
      <c r="O90" s="63">
        <v>8219</v>
      </c>
      <c r="Q90" s="751" t="s">
        <v>4046</v>
      </c>
    </row>
    <row r="91" spans="1:17">
      <c r="A91" s="758">
        <v>5</v>
      </c>
      <c r="B91" s="751" t="s">
        <v>2635</v>
      </c>
      <c r="C91" s="55" t="s">
        <v>14725</v>
      </c>
      <c r="D91" s="753">
        <v>8261</v>
      </c>
      <c r="E91" s="753">
        <v>8283</v>
      </c>
      <c r="F91" s="753">
        <v>8277</v>
      </c>
      <c r="G91" s="63">
        <v>8341</v>
      </c>
      <c r="H91" s="63">
        <v>8265</v>
      </c>
      <c r="I91" s="63">
        <v>8176</v>
      </c>
      <c r="J91" s="63">
        <v>7927</v>
      </c>
      <c r="K91" s="63">
        <v>8083</v>
      </c>
      <c r="L91" s="63">
        <v>7933</v>
      </c>
      <c r="M91" s="63">
        <v>8025</v>
      </c>
      <c r="N91" s="63">
        <v>8042</v>
      </c>
      <c r="O91" s="63">
        <v>8276</v>
      </c>
      <c r="Q91" s="751" t="s">
        <v>4046</v>
      </c>
    </row>
    <row r="92" spans="1:17">
      <c r="A92" s="758">
        <v>6</v>
      </c>
      <c r="B92" s="751" t="s">
        <v>2636</v>
      </c>
      <c r="C92" s="55" t="s">
        <v>14726</v>
      </c>
      <c r="D92" s="753">
        <v>7660</v>
      </c>
      <c r="E92" s="753">
        <v>7676</v>
      </c>
      <c r="F92" s="753">
        <v>7741</v>
      </c>
      <c r="G92" s="63">
        <v>7716</v>
      </c>
      <c r="H92" s="63">
        <v>7503</v>
      </c>
      <c r="I92" s="63">
        <v>7545</v>
      </c>
      <c r="J92" s="63">
        <v>7447</v>
      </c>
      <c r="K92" s="63">
        <v>7503</v>
      </c>
      <c r="L92" s="63">
        <v>7484</v>
      </c>
      <c r="M92" s="63">
        <v>7322</v>
      </c>
      <c r="N92" s="63">
        <v>7255</v>
      </c>
      <c r="O92" s="63">
        <v>7386</v>
      </c>
      <c r="Q92" s="751" t="s">
        <v>4046</v>
      </c>
    </row>
    <row r="93" spans="1:17">
      <c r="A93" s="758">
        <v>7</v>
      </c>
      <c r="B93" s="751" t="s">
        <v>2637</v>
      </c>
      <c r="C93" s="55" t="s">
        <v>14727</v>
      </c>
      <c r="D93" s="753">
        <v>8367</v>
      </c>
      <c r="E93" s="753">
        <v>8208</v>
      </c>
      <c r="F93" s="753">
        <v>8337</v>
      </c>
      <c r="G93" s="63">
        <v>8362</v>
      </c>
      <c r="H93" s="63">
        <v>7853</v>
      </c>
      <c r="I93" s="63">
        <v>7897</v>
      </c>
      <c r="J93" s="63">
        <v>7786</v>
      </c>
      <c r="K93" s="63">
        <v>7970</v>
      </c>
      <c r="L93" s="63">
        <v>7968</v>
      </c>
      <c r="M93" s="63">
        <v>8109</v>
      </c>
      <c r="N93" s="63">
        <v>8111</v>
      </c>
      <c r="O93" s="63">
        <v>8316</v>
      </c>
      <c r="Q93" s="751" t="s">
        <v>4046</v>
      </c>
    </row>
    <row r="94" spans="1:17">
      <c r="A94" s="758">
        <v>8</v>
      </c>
      <c r="B94" s="751" t="s">
        <v>2638</v>
      </c>
      <c r="C94" s="55" t="s">
        <v>14728</v>
      </c>
      <c r="D94" s="753">
        <v>8765</v>
      </c>
      <c r="E94" s="753">
        <v>8668</v>
      </c>
      <c r="F94" s="753">
        <v>8951</v>
      </c>
      <c r="G94" s="63">
        <v>9065</v>
      </c>
      <c r="H94" s="63">
        <v>8833</v>
      </c>
      <c r="I94" s="63">
        <v>8831</v>
      </c>
      <c r="J94" s="63">
        <v>8600</v>
      </c>
      <c r="K94" s="63">
        <v>8974</v>
      </c>
      <c r="L94" s="63">
        <v>8787</v>
      </c>
      <c r="M94" s="63">
        <v>8936</v>
      </c>
      <c r="N94" s="63">
        <v>9001</v>
      </c>
      <c r="O94" s="63">
        <v>9242</v>
      </c>
      <c r="Q94" s="751" t="s">
        <v>4046</v>
      </c>
    </row>
    <row r="95" spans="1:17">
      <c r="A95" s="758">
        <v>9</v>
      </c>
      <c r="B95" s="751" t="s">
        <v>2639</v>
      </c>
      <c r="C95" s="55" t="s">
        <v>14729</v>
      </c>
      <c r="D95" s="753">
        <v>7704</v>
      </c>
      <c r="E95" s="753">
        <v>7856</v>
      </c>
      <c r="F95" s="753">
        <v>7726</v>
      </c>
      <c r="G95" s="63">
        <v>7874</v>
      </c>
      <c r="H95" s="63">
        <v>7700</v>
      </c>
      <c r="I95" s="63">
        <v>7626</v>
      </c>
      <c r="J95" s="63">
        <v>7341</v>
      </c>
      <c r="K95" s="63">
        <v>7488</v>
      </c>
      <c r="L95" s="63">
        <v>7632</v>
      </c>
      <c r="M95" s="63">
        <v>7620</v>
      </c>
      <c r="N95" s="63">
        <v>7656</v>
      </c>
      <c r="O95" s="63">
        <v>7996</v>
      </c>
      <c r="Q95" s="751" t="s">
        <v>4046</v>
      </c>
    </row>
    <row r="96" spans="1:17">
      <c r="D96" s="755"/>
      <c r="E96" s="755"/>
      <c r="F96" s="755"/>
      <c r="G96" s="755"/>
      <c r="H96" s="755"/>
      <c r="I96" s="755"/>
      <c r="J96" s="755"/>
      <c r="K96" s="755"/>
      <c r="L96" s="755"/>
      <c r="M96" s="755"/>
      <c r="N96" s="755"/>
      <c r="O96" s="755"/>
    </row>
    <row r="97" spans="1:17">
      <c r="A97" s="751" t="s">
        <v>2640</v>
      </c>
      <c r="D97" s="753">
        <f t="shared" ref="D97:I97" si="66">SUM(D87:D95)</f>
        <v>71118</v>
      </c>
      <c r="E97" s="753">
        <f t="shared" si="66"/>
        <v>70810</v>
      </c>
      <c r="F97" s="753">
        <f t="shared" si="66"/>
        <v>71059</v>
      </c>
      <c r="G97" s="753">
        <f t="shared" si="66"/>
        <v>71915</v>
      </c>
      <c r="H97" s="753">
        <f t="shared" si="66"/>
        <v>70183</v>
      </c>
      <c r="I97" s="753">
        <f t="shared" si="66"/>
        <v>70003</v>
      </c>
      <c r="J97" s="753">
        <f t="shared" ref="J97:O97" si="67">SUM(J87:J95)</f>
        <v>68506</v>
      </c>
      <c r="K97" s="753">
        <f t="shared" si="67"/>
        <v>70141</v>
      </c>
      <c r="L97" s="753">
        <f t="shared" si="67"/>
        <v>70114</v>
      </c>
      <c r="M97" s="753">
        <f t="shared" si="67"/>
        <v>70767</v>
      </c>
      <c r="N97" s="753">
        <f t="shared" si="67"/>
        <v>70814</v>
      </c>
      <c r="O97" s="753">
        <f t="shared" si="67"/>
        <v>73322</v>
      </c>
    </row>
    <row r="98" spans="1:17">
      <c r="D98" s="755"/>
      <c r="E98" s="755"/>
      <c r="F98" s="755"/>
      <c r="G98" s="755"/>
      <c r="H98" s="755"/>
      <c r="I98" s="755"/>
      <c r="J98" s="755"/>
      <c r="K98" s="755"/>
      <c r="L98" s="755"/>
      <c r="M98" s="755"/>
      <c r="N98" s="755"/>
      <c r="O98" s="755"/>
    </row>
    <row r="99" spans="1:17">
      <c r="A99" s="160" t="s">
        <v>4090</v>
      </c>
    </row>
    <row r="100" spans="1:17">
      <c r="A100" s="751" t="s">
        <v>14730</v>
      </c>
      <c r="B100" s="751"/>
      <c r="D100" s="760"/>
      <c r="E100" s="760"/>
      <c r="F100" s="760"/>
      <c r="G100" s="760"/>
      <c r="H100" s="760"/>
      <c r="I100" s="760"/>
      <c r="J100" s="760"/>
      <c r="K100" s="760"/>
      <c r="L100" s="760"/>
      <c r="M100" s="760"/>
      <c r="N100" s="760"/>
      <c r="O100" s="760"/>
    </row>
    <row r="101" spans="1:17">
      <c r="A101" s="751"/>
      <c r="B101" s="751"/>
      <c r="D101" s="760"/>
      <c r="E101" s="760"/>
      <c r="F101" s="760"/>
      <c r="G101" s="760"/>
      <c r="H101" s="760"/>
      <c r="I101" s="760"/>
      <c r="J101" s="760"/>
      <c r="K101" s="760"/>
      <c r="L101" s="760"/>
      <c r="M101" s="760"/>
      <c r="N101" s="760"/>
      <c r="O101" s="760"/>
    </row>
    <row r="102" spans="1:17">
      <c r="E102" s="51" t="s">
        <v>1526</v>
      </c>
      <c r="F102" s="51"/>
      <c r="G102" s="51"/>
      <c r="H102" s="51"/>
      <c r="I102" s="51"/>
      <c r="J102" s="51"/>
      <c r="K102" s="51"/>
      <c r="L102" s="51"/>
      <c r="M102" s="51"/>
      <c r="N102" s="51"/>
      <c r="O102" s="51"/>
      <c r="P102" s="52"/>
      <c r="Q102" s="53" t="s">
        <v>9479</v>
      </c>
    </row>
    <row r="103" spans="1:17">
      <c r="D103" s="40">
        <v>2010</v>
      </c>
      <c r="E103" s="40">
        <v>2011</v>
      </c>
      <c r="F103" s="40">
        <v>2012</v>
      </c>
      <c r="G103" s="40">
        <v>2013</v>
      </c>
      <c r="H103" s="40">
        <v>2014</v>
      </c>
      <c r="I103" s="40">
        <v>2015</v>
      </c>
      <c r="J103" s="40">
        <v>2016</v>
      </c>
      <c r="K103" s="40">
        <v>2017</v>
      </c>
      <c r="L103" s="40">
        <v>2018</v>
      </c>
      <c r="M103" s="40">
        <v>2019</v>
      </c>
      <c r="N103" s="40">
        <v>2020</v>
      </c>
      <c r="O103" s="979" t="s">
        <v>14823</v>
      </c>
      <c r="Q103" s="54" t="s">
        <v>1527</v>
      </c>
    </row>
    <row r="104" spans="1:17">
      <c r="A104" s="751" t="s">
        <v>4091</v>
      </c>
      <c r="D104" s="753">
        <f t="shared" ref="D104:I104" si="68">SUM(D105:D120)</f>
        <v>62606</v>
      </c>
      <c r="E104" s="753">
        <f t="shared" si="68"/>
        <v>61916</v>
      </c>
      <c r="F104" s="753">
        <f t="shared" si="68"/>
        <v>62977</v>
      </c>
      <c r="G104" s="753">
        <f t="shared" si="68"/>
        <v>63672</v>
      </c>
      <c r="H104" s="753">
        <f t="shared" si="68"/>
        <v>59871</v>
      </c>
      <c r="I104" s="753">
        <f t="shared" si="68"/>
        <v>58372</v>
      </c>
      <c r="J104" s="753">
        <f t="shared" ref="J104:O104" si="69">SUM(J105:J120)</f>
        <v>57390</v>
      </c>
      <c r="K104" s="753">
        <f t="shared" si="69"/>
        <v>60293</v>
      </c>
      <c r="L104" s="753">
        <f t="shared" si="69"/>
        <v>61756</v>
      </c>
      <c r="M104" s="753">
        <f t="shared" si="69"/>
        <v>61422</v>
      </c>
      <c r="N104" s="753">
        <f t="shared" si="69"/>
        <v>64535</v>
      </c>
      <c r="O104" s="753">
        <f t="shared" si="69"/>
        <v>64086</v>
      </c>
    </row>
    <row r="105" spans="1:17">
      <c r="A105" s="758">
        <v>1</v>
      </c>
      <c r="B105" s="751" t="s">
        <v>4092</v>
      </c>
      <c r="C105" s="55" t="s">
        <v>11957</v>
      </c>
      <c r="D105" s="753">
        <v>62606</v>
      </c>
      <c r="E105" s="753">
        <v>61916</v>
      </c>
      <c r="F105" s="753">
        <v>62977</v>
      </c>
      <c r="G105" s="63">
        <v>63672</v>
      </c>
      <c r="H105" s="63">
        <v>59871</v>
      </c>
      <c r="I105" s="63">
        <v>58372</v>
      </c>
      <c r="J105" s="63">
        <v>57390</v>
      </c>
      <c r="K105" s="63">
        <v>60293</v>
      </c>
      <c r="L105" s="63">
        <v>3915</v>
      </c>
      <c r="M105" s="63">
        <v>3884</v>
      </c>
      <c r="N105" s="63">
        <v>4043</v>
      </c>
      <c r="O105" s="63">
        <v>4020</v>
      </c>
      <c r="Q105" s="751" t="s">
        <v>4047</v>
      </c>
    </row>
    <row r="106" spans="1:17">
      <c r="A106" s="758">
        <v>2</v>
      </c>
      <c r="B106" s="751" t="s">
        <v>1304</v>
      </c>
      <c r="C106" s="55" t="s">
        <v>11959</v>
      </c>
      <c r="D106" s="63">
        <v>0</v>
      </c>
      <c r="E106" s="63">
        <v>0</v>
      </c>
      <c r="F106" s="63">
        <v>0</v>
      </c>
      <c r="G106" s="63">
        <v>0</v>
      </c>
      <c r="H106" s="63">
        <v>0</v>
      </c>
      <c r="I106" s="63">
        <v>0</v>
      </c>
      <c r="J106" s="63">
        <v>0</v>
      </c>
      <c r="K106" s="63">
        <v>0</v>
      </c>
      <c r="L106" s="63">
        <v>3650</v>
      </c>
      <c r="M106" s="63">
        <v>3656</v>
      </c>
      <c r="N106" s="63">
        <v>3751</v>
      </c>
      <c r="O106" s="63">
        <v>3760</v>
      </c>
      <c r="Q106" s="751" t="s">
        <v>4047</v>
      </c>
    </row>
    <row r="107" spans="1:17">
      <c r="A107" s="758">
        <v>3</v>
      </c>
      <c r="B107" s="751" t="s">
        <v>1305</v>
      </c>
      <c r="C107" s="55" t="s">
        <v>11960</v>
      </c>
      <c r="D107" s="63">
        <v>0</v>
      </c>
      <c r="E107" s="63">
        <v>0</v>
      </c>
      <c r="F107" s="63">
        <v>0</v>
      </c>
      <c r="G107" s="63">
        <v>0</v>
      </c>
      <c r="H107" s="63">
        <v>0</v>
      </c>
      <c r="I107" s="63">
        <v>0</v>
      </c>
      <c r="J107" s="63">
        <v>0</v>
      </c>
      <c r="K107" s="63">
        <v>0</v>
      </c>
      <c r="L107" s="63">
        <v>3741</v>
      </c>
      <c r="M107" s="63">
        <v>3690</v>
      </c>
      <c r="N107" s="63">
        <v>3940</v>
      </c>
      <c r="O107" s="63">
        <v>3913</v>
      </c>
      <c r="Q107" s="751" t="s">
        <v>4047</v>
      </c>
    </row>
    <row r="108" spans="1:17">
      <c r="A108" s="758">
        <v>4</v>
      </c>
      <c r="B108" s="751" t="s">
        <v>5904</v>
      </c>
      <c r="C108" s="55" t="s">
        <v>11961</v>
      </c>
      <c r="D108" s="63">
        <v>0</v>
      </c>
      <c r="E108" s="63">
        <v>0</v>
      </c>
      <c r="F108" s="63">
        <v>0</v>
      </c>
      <c r="G108" s="63">
        <v>0</v>
      </c>
      <c r="H108" s="63">
        <v>0</v>
      </c>
      <c r="I108" s="63">
        <v>0</v>
      </c>
      <c r="J108" s="63">
        <v>0</v>
      </c>
      <c r="K108" s="63">
        <v>0</v>
      </c>
      <c r="L108" s="63">
        <v>4201</v>
      </c>
      <c r="M108" s="63">
        <v>4193</v>
      </c>
      <c r="N108" s="63">
        <v>4541</v>
      </c>
      <c r="O108" s="63">
        <v>4579</v>
      </c>
      <c r="Q108" s="751" t="s">
        <v>4047</v>
      </c>
    </row>
    <row r="109" spans="1:17">
      <c r="A109" s="758">
        <v>5</v>
      </c>
      <c r="B109" s="751" t="s">
        <v>1276</v>
      </c>
      <c r="C109" s="55" t="s">
        <v>11962</v>
      </c>
      <c r="D109" s="63">
        <v>0</v>
      </c>
      <c r="E109" s="63">
        <v>0</v>
      </c>
      <c r="F109" s="63">
        <v>0</v>
      </c>
      <c r="G109" s="63">
        <v>0</v>
      </c>
      <c r="H109" s="63">
        <v>0</v>
      </c>
      <c r="I109" s="63">
        <v>0</v>
      </c>
      <c r="J109" s="63">
        <v>0</v>
      </c>
      <c r="K109" s="63">
        <v>0</v>
      </c>
      <c r="L109" s="63">
        <v>4136</v>
      </c>
      <c r="M109" s="63">
        <v>4178</v>
      </c>
      <c r="N109" s="63">
        <v>4574</v>
      </c>
      <c r="O109" s="63">
        <v>4584</v>
      </c>
      <c r="Q109" s="751" t="s">
        <v>4047</v>
      </c>
    </row>
    <row r="110" spans="1:17">
      <c r="A110" s="758">
        <v>6</v>
      </c>
      <c r="B110" s="751" t="s">
        <v>1277</v>
      </c>
      <c r="C110" s="55" t="s">
        <v>11963</v>
      </c>
      <c r="D110" s="63">
        <v>0</v>
      </c>
      <c r="E110" s="63">
        <v>0</v>
      </c>
      <c r="F110" s="63">
        <v>0</v>
      </c>
      <c r="G110" s="63">
        <v>0</v>
      </c>
      <c r="H110" s="63">
        <v>0</v>
      </c>
      <c r="I110" s="63">
        <v>0</v>
      </c>
      <c r="J110" s="63">
        <v>0</v>
      </c>
      <c r="K110" s="63">
        <v>0</v>
      </c>
      <c r="L110" s="63">
        <v>3702</v>
      </c>
      <c r="M110" s="63">
        <v>3712</v>
      </c>
      <c r="N110" s="63">
        <v>3833</v>
      </c>
      <c r="O110" s="63">
        <v>3778</v>
      </c>
      <c r="Q110" s="751" t="s">
        <v>4047</v>
      </c>
    </row>
    <row r="111" spans="1:17">
      <c r="A111" s="758">
        <v>7</v>
      </c>
      <c r="B111" s="751" t="s">
        <v>1278</v>
      </c>
      <c r="C111" s="55" t="s">
        <v>11964</v>
      </c>
      <c r="D111" s="63">
        <v>0</v>
      </c>
      <c r="E111" s="63">
        <v>0</v>
      </c>
      <c r="F111" s="63">
        <v>0</v>
      </c>
      <c r="G111" s="63">
        <v>0</v>
      </c>
      <c r="H111" s="63">
        <v>0</v>
      </c>
      <c r="I111" s="63">
        <v>0</v>
      </c>
      <c r="J111" s="63">
        <v>0</v>
      </c>
      <c r="K111" s="63">
        <v>0</v>
      </c>
      <c r="L111" s="63">
        <v>4156</v>
      </c>
      <c r="M111" s="63">
        <v>4119</v>
      </c>
      <c r="N111" s="63">
        <v>4449</v>
      </c>
      <c r="O111" s="63">
        <v>4403</v>
      </c>
      <c r="Q111" s="751" t="s">
        <v>4047</v>
      </c>
    </row>
    <row r="112" spans="1:17">
      <c r="A112" s="758">
        <v>8</v>
      </c>
      <c r="B112" s="751" t="s">
        <v>1279</v>
      </c>
      <c r="C112" s="55" t="s">
        <v>11965</v>
      </c>
      <c r="D112" s="63">
        <v>0</v>
      </c>
      <c r="E112" s="63">
        <v>0</v>
      </c>
      <c r="F112" s="63">
        <v>0</v>
      </c>
      <c r="G112" s="63">
        <v>0</v>
      </c>
      <c r="H112" s="63">
        <v>0</v>
      </c>
      <c r="I112" s="63">
        <v>0</v>
      </c>
      <c r="J112" s="63">
        <v>0</v>
      </c>
      <c r="K112" s="63">
        <v>0</v>
      </c>
      <c r="L112" s="63">
        <v>3777</v>
      </c>
      <c r="M112" s="63">
        <v>3757</v>
      </c>
      <c r="N112" s="63">
        <v>3908</v>
      </c>
      <c r="O112" s="63">
        <v>3820</v>
      </c>
      <c r="Q112" s="751" t="s">
        <v>4047</v>
      </c>
    </row>
    <row r="113" spans="1:17">
      <c r="A113" s="758">
        <v>9</v>
      </c>
      <c r="B113" s="751" t="s">
        <v>1280</v>
      </c>
      <c r="C113" s="55" t="s">
        <v>11966</v>
      </c>
      <c r="D113" s="63">
        <v>0</v>
      </c>
      <c r="E113" s="63">
        <v>0</v>
      </c>
      <c r="F113" s="63">
        <v>0</v>
      </c>
      <c r="G113" s="63">
        <v>0</v>
      </c>
      <c r="H113" s="63">
        <v>0</v>
      </c>
      <c r="I113" s="63">
        <v>0</v>
      </c>
      <c r="J113" s="63">
        <v>0</v>
      </c>
      <c r="K113" s="63">
        <v>0</v>
      </c>
      <c r="L113" s="63">
        <v>3707</v>
      </c>
      <c r="M113" s="63">
        <v>3651</v>
      </c>
      <c r="N113" s="63">
        <v>3787</v>
      </c>
      <c r="O113" s="63">
        <v>3749</v>
      </c>
      <c r="Q113" s="751" t="s">
        <v>4047</v>
      </c>
    </row>
    <row r="114" spans="1:17">
      <c r="A114" s="758">
        <v>10</v>
      </c>
      <c r="B114" s="751" t="s">
        <v>1281</v>
      </c>
      <c r="C114" s="55" t="s">
        <v>11967</v>
      </c>
      <c r="D114" s="63">
        <v>0</v>
      </c>
      <c r="E114" s="63">
        <v>0</v>
      </c>
      <c r="F114" s="63">
        <v>0</v>
      </c>
      <c r="G114" s="63">
        <v>0</v>
      </c>
      <c r="H114" s="63">
        <v>0</v>
      </c>
      <c r="I114" s="63">
        <v>0</v>
      </c>
      <c r="J114" s="63">
        <v>0</v>
      </c>
      <c r="K114" s="63">
        <v>0</v>
      </c>
      <c r="L114" s="63">
        <v>3912</v>
      </c>
      <c r="M114" s="63">
        <v>3869</v>
      </c>
      <c r="N114" s="63">
        <v>4053</v>
      </c>
      <c r="O114" s="63">
        <v>4018</v>
      </c>
      <c r="Q114" s="751" t="s">
        <v>4047</v>
      </c>
    </row>
    <row r="115" spans="1:17">
      <c r="A115" s="758">
        <v>11</v>
      </c>
      <c r="B115" s="751" t="s">
        <v>1282</v>
      </c>
      <c r="C115" s="55" t="s">
        <v>11968</v>
      </c>
      <c r="D115" s="63">
        <v>0</v>
      </c>
      <c r="E115" s="63">
        <v>0</v>
      </c>
      <c r="F115" s="63">
        <v>0</v>
      </c>
      <c r="G115" s="63">
        <v>0</v>
      </c>
      <c r="H115" s="63">
        <v>0</v>
      </c>
      <c r="I115" s="63">
        <v>0</v>
      </c>
      <c r="J115" s="63">
        <v>0</v>
      </c>
      <c r="K115" s="63">
        <v>0</v>
      </c>
      <c r="L115" s="63">
        <v>3769</v>
      </c>
      <c r="M115" s="63">
        <v>3744</v>
      </c>
      <c r="N115" s="63">
        <v>3916</v>
      </c>
      <c r="O115" s="63">
        <v>3864</v>
      </c>
      <c r="Q115" s="751" t="s">
        <v>4047</v>
      </c>
    </row>
    <row r="116" spans="1:17">
      <c r="A116" s="758">
        <v>12</v>
      </c>
      <c r="B116" s="751" t="s">
        <v>5102</v>
      </c>
      <c r="C116" s="55" t="s">
        <v>11969</v>
      </c>
      <c r="D116" s="63">
        <v>0</v>
      </c>
      <c r="E116" s="63">
        <v>0</v>
      </c>
      <c r="F116" s="63">
        <v>0</v>
      </c>
      <c r="G116" s="63">
        <v>0</v>
      </c>
      <c r="H116" s="63">
        <v>0</v>
      </c>
      <c r="I116" s="63">
        <v>0</v>
      </c>
      <c r="J116" s="63">
        <v>0</v>
      </c>
      <c r="K116" s="63">
        <v>0</v>
      </c>
      <c r="L116" s="63">
        <v>3819</v>
      </c>
      <c r="M116" s="63">
        <v>3838</v>
      </c>
      <c r="N116" s="63">
        <v>3966</v>
      </c>
      <c r="O116" s="63">
        <v>3916</v>
      </c>
      <c r="Q116" s="751" t="s">
        <v>4047</v>
      </c>
    </row>
    <row r="117" spans="1:17">
      <c r="A117" s="758">
        <v>13</v>
      </c>
      <c r="B117" s="751" t="s">
        <v>1283</v>
      </c>
      <c r="C117" s="55" t="s">
        <v>11970</v>
      </c>
      <c r="D117" s="63">
        <v>0</v>
      </c>
      <c r="E117" s="63">
        <v>0</v>
      </c>
      <c r="F117" s="63">
        <v>0</v>
      </c>
      <c r="G117" s="63">
        <v>0</v>
      </c>
      <c r="H117" s="63">
        <v>0</v>
      </c>
      <c r="I117" s="63">
        <v>0</v>
      </c>
      <c r="J117" s="63">
        <v>0</v>
      </c>
      <c r="K117" s="63">
        <v>0</v>
      </c>
      <c r="L117" s="63">
        <v>4004</v>
      </c>
      <c r="M117" s="63">
        <v>4015</v>
      </c>
      <c r="N117" s="63">
        <v>4198</v>
      </c>
      <c r="O117" s="63">
        <v>4191</v>
      </c>
      <c r="Q117" s="751" t="s">
        <v>4047</v>
      </c>
    </row>
    <row r="118" spans="1:17">
      <c r="A118" s="758">
        <v>14</v>
      </c>
      <c r="B118" s="751" t="s">
        <v>1284</v>
      </c>
      <c r="C118" s="55" t="s">
        <v>11971</v>
      </c>
      <c r="D118" s="63">
        <v>0</v>
      </c>
      <c r="E118" s="63">
        <v>0</v>
      </c>
      <c r="F118" s="63">
        <v>0</v>
      </c>
      <c r="G118" s="63">
        <v>0</v>
      </c>
      <c r="H118" s="63">
        <v>0</v>
      </c>
      <c r="I118" s="63">
        <v>0</v>
      </c>
      <c r="J118" s="63">
        <v>0</v>
      </c>
      <c r="K118" s="63">
        <v>0</v>
      </c>
      <c r="L118" s="63">
        <v>3491</v>
      </c>
      <c r="M118" s="63">
        <v>3480</v>
      </c>
      <c r="N118" s="63">
        <v>3669</v>
      </c>
      <c r="O118" s="63">
        <v>3652</v>
      </c>
      <c r="Q118" s="751" t="s">
        <v>4047</v>
      </c>
    </row>
    <row r="119" spans="1:17">
      <c r="A119" s="758">
        <v>15</v>
      </c>
      <c r="B119" s="751" t="s">
        <v>1285</v>
      </c>
      <c r="C119" s="55" t="s">
        <v>11972</v>
      </c>
      <c r="D119" s="63">
        <v>0</v>
      </c>
      <c r="E119" s="63">
        <v>0</v>
      </c>
      <c r="F119" s="63">
        <v>0</v>
      </c>
      <c r="G119" s="63">
        <v>0</v>
      </c>
      <c r="H119" s="63">
        <v>0</v>
      </c>
      <c r="I119" s="63">
        <v>0</v>
      </c>
      <c r="J119" s="63">
        <v>0</v>
      </c>
      <c r="K119" s="63">
        <v>0</v>
      </c>
      <c r="L119" s="63">
        <v>3572</v>
      </c>
      <c r="M119" s="63">
        <v>3510</v>
      </c>
      <c r="N119" s="63">
        <v>3634</v>
      </c>
      <c r="O119" s="63">
        <v>3605</v>
      </c>
      <c r="Q119" s="751" t="s">
        <v>4047</v>
      </c>
    </row>
    <row r="120" spans="1:17">
      <c r="A120" s="758">
        <v>16</v>
      </c>
      <c r="B120" s="751" t="s">
        <v>1286</v>
      </c>
      <c r="C120" s="55" t="s">
        <v>11973</v>
      </c>
      <c r="D120" s="63">
        <v>0</v>
      </c>
      <c r="E120" s="63">
        <v>0</v>
      </c>
      <c r="F120" s="63">
        <v>0</v>
      </c>
      <c r="G120" s="63">
        <v>0</v>
      </c>
      <c r="H120" s="63">
        <v>0</v>
      </c>
      <c r="I120" s="63">
        <v>0</v>
      </c>
      <c r="J120" s="63">
        <v>0</v>
      </c>
      <c r="K120" s="63">
        <v>0</v>
      </c>
      <c r="L120" s="63">
        <v>4204</v>
      </c>
      <c r="M120" s="63">
        <v>4126</v>
      </c>
      <c r="N120" s="63">
        <v>4273</v>
      </c>
      <c r="O120" s="63">
        <v>4234</v>
      </c>
      <c r="Q120" s="751" t="s">
        <v>4047</v>
      </c>
    </row>
    <row r="121" spans="1:17">
      <c r="A121" s="758"/>
      <c r="B121" s="751"/>
      <c r="D121" s="753"/>
      <c r="E121" s="753"/>
      <c r="F121" s="753"/>
      <c r="G121" s="753"/>
      <c r="H121" s="753"/>
      <c r="I121" s="753"/>
      <c r="J121" s="753"/>
      <c r="K121" s="753"/>
      <c r="L121" s="753"/>
      <c r="M121" s="753"/>
      <c r="N121" s="753"/>
      <c r="O121" s="753"/>
      <c r="Q121" s="751"/>
    </row>
    <row r="122" spans="1:17">
      <c r="A122" s="751" t="s">
        <v>1287</v>
      </c>
      <c r="D122" s="753">
        <f t="shared" ref="D122:I122" si="70">SUM(D105:D120)</f>
        <v>62606</v>
      </c>
      <c r="E122" s="753">
        <f t="shared" si="70"/>
        <v>61916</v>
      </c>
      <c r="F122" s="753">
        <f t="shared" si="70"/>
        <v>62977</v>
      </c>
      <c r="G122" s="753">
        <f t="shared" si="70"/>
        <v>63672</v>
      </c>
      <c r="H122" s="753">
        <f t="shared" si="70"/>
        <v>59871</v>
      </c>
      <c r="I122" s="753">
        <f t="shared" si="70"/>
        <v>58372</v>
      </c>
      <c r="J122" s="753">
        <f t="shared" ref="J122:O122" si="71">SUM(J105:J120)</f>
        <v>57390</v>
      </c>
      <c r="K122" s="753">
        <f t="shared" si="71"/>
        <v>60293</v>
      </c>
      <c r="L122" s="753">
        <f t="shared" si="71"/>
        <v>61756</v>
      </c>
      <c r="M122" s="753">
        <f t="shared" si="71"/>
        <v>61422</v>
      </c>
      <c r="N122" s="753">
        <f t="shared" si="71"/>
        <v>64535</v>
      </c>
      <c r="O122" s="753">
        <f t="shared" si="71"/>
        <v>64086</v>
      </c>
      <c r="Q122" s="751"/>
    </row>
    <row r="123" spans="1:17">
      <c r="O123" s="755"/>
    </row>
    <row r="124" spans="1:17">
      <c r="A124" s="160" t="s">
        <v>11958</v>
      </c>
    </row>
    <row r="125" spans="1:17">
      <c r="A125" s="751"/>
      <c r="B125" s="751"/>
      <c r="D125" s="760"/>
      <c r="E125" s="760"/>
      <c r="F125" s="760"/>
      <c r="G125" s="760"/>
      <c r="H125" s="760"/>
      <c r="I125" s="760"/>
      <c r="J125" s="760"/>
      <c r="K125" s="760"/>
      <c r="L125" s="760"/>
      <c r="M125" s="760"/>
      <c r="N125" s="760"/>
      <c r="O125" s="760"/>
    </row>
    <row r="126" spans="1:17">
      <c r="A126" s="751"/>
      <c r="B126" s="751"/>
      <c r="D126" s="760"/>
      <c r="E126" s="760"/>
      <c r="F126" s="760"/>
      <c r="G126" s="760"/>
      <c r="H126" s="760"/>
      <c r="I126" s="760"/>
      <c r="J126" s="760"/>
      <c r="K126" s="760"/>
      <c r="L126" s="760"/>
      <c r="M126" s="760"/>
      <c r="N126" s="760"/>
      <c r="O126" s="760"/>
    </row>
    <row r="127" spans="1:17">
      <c r="E127" s="51" t="s">
        <v>1526</v>
      </c>
      <c r="F127" s="51"/>
      <c r="G127" s="51"/>
      <c r="H127" s="51"/>
      <c r="I127" s="51"/>
      <c r="J127" s="51"/>
      <c r="K127" s="51"/>
      <c r="L127" s="51"/>
      <c r="M127" s="51"/>
      <c r="N127" s="51"/>
      <c r="O127" s="51"/>
      <c r="P127" s="52"/>
      <c r="Q127" s="53" t="s">
        <v>9479</v>
      </c>
    </row>
    <row r="128" spans="1:17">
      <c r="D128" s="40">
        <v>2010</v>
      </c>
      <c r="E128" s="40">
        <v>2011</v>
      </c>
      <c r="F128" s="40">
        <v>2012</v>
      </c>
      <c r="G128" s="40">
        <v>2013</v>
      </c>
      <c r="H128" s="40">
        <v>2014</v>
      </c>
      <c r="I128" s="40">
        <v>2015</v>
      </c>
      <c r="J128" s="40">
        <v>2016</v>
      </c>
      <c r="K128" s="40">
        <v>2017</v>
      </c>
      <c r="L128" s="40">
        <v>2018</v>
      </c>
      <c r="M128" s="40">
        <v>2019</v>
      </c>
      <c r="N128" s="40">
        <v>2020</v>
      </c>
      <c r="O128" s="979" t="s">
        <v>14823</v>
      </c>
      <c r="Q128" s="54" t="s">
        <v>1527</v>
      </c>
    </row>
    <row r="129" spans="1:17">
      <c r="A129" s="751" t="s">
        <v>1288</v>
      </c>
      <c r="D129" s="753">
        <f t="shared" ref="D129:I129" si="72">SUM(D130:D150)</f>
        <v>74039</v>
      </c>
      <c r="E129" s="753">
        <f t="shared" si="72"/>
        <v>74491</v>
      </c>
      <c r="F129" s="753">
        <f t="shared" si="72"/>
        <v>73777</v>
      </c>
      <c r="G129" s="753">
        <f t="shared" si="72"/>
        <v>74836</v>
      </c>
      <c r="H129" s="753">
        <f t="shared" si="72"/>
        <v>74614</v>
      </c>
      <c r="I129" s="753">
        <f t="shared" si="72"/>
        <v>72629</v>
      </c>
      <c r="J129" s="753">
        <f t="shared" ref="J129:O129" si="73">SUM(J130:J150)</f>
        <v>70806</v>
      </c>
      <c r="K129" s="753">
        <f t="shared" si="73"/>
        <v>72595</v>
      </c>
      <c r="L129" s="753">
        <f t="shared" si="73"/>
        <v>74010</v>
      </c>
      <c r="M129" s="753">
        <f t="shared" si="73"/>
        <v>73970</v>
      </c>
      <c r="N129" s="753">
        <f t="shared" si="73"/>
        <v>77846</v>
      </c>
      <c r="O129" s="753">
        <f t="shared" si="73"/>
        <v>77972</v>
      </c>
    </row>
    <row r="130" spans="1:17">
      <c r="A130" s="758">
        <v>1</v>
      </c>
      <c r="B130" s="751" t="s">
        <v>12403</v>
      </c>
      <c r="C130" s="55" t="s">
        <v>14529</v>
      </c>
      <c r="D130" s="753">
        <v>58119</v>
      </c>
      <c r="E130" s="753">
        <v>58361</v>
      </c>
      <c r="F130" s="753">
        <v>57855</v>
      </c>
      <c r="G130" s="753">
        <v>58495</v>
      </c>
      <c r="H130" s="753">
        <v>58211</v>
      </c>
      <c r="I130" s="753">
        <v>56921</v>
      </c>
      <c r="J130" s="753">
        <v>55394</v>
      </c>
      <c r="K130" s="753">
        <v>56703</v>
      </c>
      <c r="L130" s="753">
        <v>57743</v>
      </c>
      <c r="M130" s="63">
        <v>3853</v>
      </c>
      <c r="N130" s="63">
        <v>4095</v>
      </c>
      <c r="O130" s="63">
        <v>4084</v>
      </c>
      <c r="Q130" s="751" t="s">
        <v>4049</v>
      </c>
    </row>
    <row r="131" spans="1:17">
      <c r="A131" s="758">
        <v>2</v>
      </c>
      <c r="B131" s="751" t="s">
        <v>12404</v>
      </c>
      <c r="C131" s="55" t="s">
        <v>14530</v>
      </c>
      <c r="D131" s="753">
        <v>0</v>
      </c>
      <c r="E131" s="753">
        <v>0</v>
      </c>
      <c r="F131" s="753">
        <v>0</v>
      </c>
      <c r="G131" s="753">
        <v>0</v>
      </c>
      <c r="H131" s="753">
        <v>0</v>
      </c>
      <c r="I131" s="753">
        <v>0</v>
      </c>
      <c r="J131" s="753">
        <v>0</v>
      </c>
      <c r="K131" s="753">
        <v>0</v>
      </c>
      <c r="L131" s="753">
        <v>0</v>
      </c>
      <c r="M131" s="63">
        <v>2027</v>
      </c>
      <c r="N131" s="63">
        <v>2059</v>
      </c>
      <c r="O131" s="63">
        <v>2063</v>
      </c>
      <c r="Q131" s="751" t="s">
        <v>4049</v>
      </c>
    </row>
    <row r="132" spans="1:17">
      <c r="A132" s="758">
        <v>3</v>
      </c>
      <c r="B132" s="751" t="s">
        <v>12405</v>
      </c>
      <c r="C132" s="55" t="s">
        <v>14531</v>
      </c>
      <c r="D132" s="753">
        <v>15920</v>
      </c>
      <c r="E132" s="753">
        <v>16130</v>
      </c>
      <c r="F132" s="753">
        <v>15922</v>
      </c>
      <c r="G132" s="753">
        <v>16341</v>
      </c>
      <c r="H132" s="753">
        <v>16403</v>
      </c>
      <c r="I132" s="753">
        <v>15708</v>
      </c>
      <c r="J132" s="753">
        <v>15412</v>
      </c>
      <c r="K132" s="753">
        <v>15892</v>
      </c>
      <c r="L132" s="753">
        <v>16267</v>
      </c>
      <c r="M132" s="63">
        <v>5518</v>
      </c>
      <c r="N132" s="63">
        <v>5811</v>
      </c>
      <c r="O132" s="63">
        <v>5823</v>
      </c>
      <c r="Q132" s="751" t="s">
        <v>4042</v>
      </c>
    </row>
    <row r="133" spans="1:17">
      <c r="A133" s="758">
        <v>4</v>
      </c>
      <c r="B133" s="751" t="s">
        <v>2176</v>
      </c>
      <c r="C133" s="55" t="s">
        <v>14532</v>
      </c>
      <c r="D133" s="753">
        <v>0</v>
      </c>
      <c r="E133" s="753">
        <v>0</v>
      </c>
      <c r="F133" s="753">
        <v>0</v>
      </c>
      <c r="G133" s="753">
        <v>0</v>
      </c>
      <c r="H133" s="753">
        <v>0</v>
      </c>
      <c r="I133" s="753">
        <v>0</v>
      </c>
      <c r="J133" s="753">
        <v>0</v>
      </c>
      <c r="K133" s="753">
        <v>0</v>
      </c>
      <c r="L133" s="753">
        <v>0</v>
      </c>
      <c r="M133" s="63">
        <v>1575</v>
      </c>
      <c r="N133" s="63">
        <v>1632</v>
      </c>
      <c r="O133" s="63">
        <v>1630</v>
      </c>
      <c r="Q133" s="751" t="s">
        <v>4049</v>
      </c>
    </row>
    <row r="134" spans="1:17">
      <c r="A134" s="758">
        <v>5</v>
      </c>
      <c r="B134" s="751" t="s">
        <v>2177</v>
      </c>
      <c r="C134" s="55" t="s">
        <v>14533</v>
      </c>
      <c r="D134" s="753">
        <v>0</v>
      </c>
      <c r="E134" s="753">
        <v>0</v>
      </c>
      <c r="F134" s="753">
        <v>0</v>
      </c>
      <c r="G134" s="753">
        <v>0</v>
      </c>
      <c r="H134" s="753">
        <v>0</v>
      </c>
      <c r="I134" s="753">
        <v>0</v>
      </c>
      <c r="J134" s="753">
        <v>0</v>
      </c>
      <c r="K134" s="753">
        <v>0</v>
      </c>
      <c r="L134" s="753">
        <v>0</v>
      </c>
      <c r="M134" s="63">
        <v>3663</v>
      </c>
      <c r="N134" s="63">
        <v>3963</v>
      </c>
      <c r="O134" s="63">
        <v>3949</v>
      </c>
      <c r="Q134" s="751" t="s">
        <v>4049</v>
      </c>
    </row>
    <row r="135" spans="1:17">
      <c r="A135" s="758">
        <v>6</v>
      </c>
      <c r="B135" s="751" t="s">
        <v>2178</v>
      </c>
      <c r="C135" s="55" t="s">
        <v>14534</v>
      </c>
      <c r="D135" s="753">
        <v>0</v>
      </c>
      <c r="E135" s="753">
        <v>0</v>
      </c>
      <c r="F135" s="753">
        <v>0</v>
      </c>
      <c r="G135" s="753">
        <v>0</v>
      </c>
      <c r="H135" s="753">
        <v>0</v>
      </c>
      <c r="I135" s="753">
        <v>0</v>
      </c>
      <c r="J135" s="753">
        <v>0</v>
      </c>
      <c r="K135" s="753">
        <v>0</v>
      </c>
      <c r="L135" s="753">
        <v>0</v>
      </c>
      <c r="M135" s="63">
        <v>2908</v>
      </c>
      <c r="N135" s="63">
        <v>3139</v>
      </c>
      <c r="O135" s="63">
        <v>3137</v>
      </c>
      <c r="Q135" s="751" t="s">
        <v>4049</v>
      </c>
    </row>
    <row r="136" spans="1:17">
      <c r="A136" s="758">
        <v>7</v>
      </c>
      <c r="B136" s="751" t="s">
        <v>2179</v>
      </c>
      <c r="C136" s="55" t="s">
        <v>14535</v>
      </c>
      <c r="D136" s="753">
        <v>0</v>
      </c>
      <c r="E136" s="753">
        <v>0</v>
      </c>
      <c r="F136" s="753">
        <v>0</v>
      </c>
      <c r="G136" s="753">
        <v>0</v>
      </c>
      <c r="H136" s="753">
        <v>0</v>
      </c>
      <c r="I136" s="753">
        <v>0</v>
      </c>
      <c r="J136" s="753">
        <v>0</v>
      </c>
      <c r="K136" s="753">
        <v>0</v>
      </c>
      <c r="L136" s="753">
        <v>0</v>
      </c>
      <c r="M136" s="63">
        <v>5756</v>
      </c>
      <c r="N136" s="63">
        <v>6100</v>
      </c>
      <c r="O136" s="63">
        <v>6128</v>
      </c>
      <c r="Q136" s="751" t="s">
        <v>4049</v>
      </c>
    </row>
    <row r="137" spans="1:17">
      <c r="A137" s="758">
        <v>8</v>
      </c>
      <c r="B137" s="751" t="s">
        <v>12406</v>
      </c>
      <c r="C137" s="55" t="s">
        <v>14536</v>
      </c>
      <c r="D137" s="753">
        <v>0</v>
      </c>
      <c r="E137" s="753">
        <v>0</v>
      </c>
      <c r="F137" s="753">
        <v>0</v>
      </c>
      <c r="G137" s="753">
        <v>0</v>
      </c>
      <c r="H137" s="753">
        <v>0</v>
      </c>
      <c r="I137" s="753">
        <v>0</v>
      </c>
      <c r="J137" s="753">
        <v>0</v>
      </c>
      <c r="K137" s="753">
        <v>0</v>
      </c>
      <c r="L137" s="753">
        <v>0</v>
      </c>
      <c r="M137" s="63">
        <v>3647</v>
      </c>
      <c r="N137" s="63">
        <v>3807</v>
      </c>
      <c r="O137" s="63">
        <v>3798</v>
      </c>
      <c r="Q137" s="751" t="s">
        <v>4049</v>
      </c>
    </row>
    <row r="138" spans="1:17">
      <c r="A138" s="758">
        <v>9</v>
      </c>
      <c r="B138" s="751" t="s">
        <v>12407</v>
      </c>
      <c r="C138" s="55" t="s">
        <v>14537</v>
      </c>
      <c r="D138" s="753">
        <v>0</v>
      </c>
      <c r="E138" s="753">
        <v>0</v>
      </c>
      <c r="F138" s="753">
        <v>0</v>
      </c>
      <c r="G138" s="753">
        <v>0</v>
      </c>
      <c r="H138" s="753">
        <v>0</v>
      </c>
      <c r="I138" s="753">
        <v>0</v>
      </c>
      <c r="J138" s="753">
        <v>0</v>
      </c>
      <c r="K138" s="753">
        <v>0</v>
      </c>
      <c r="L138" s="753">
        <v>0</v>
      </c>
      <c r="M138" s="63">
        <v>4680</v>
      </c>
      <c r="N138" s="63">
        <v>5041</v>
      </c>
      <c r="O138" s="63">
        <v>5049</v>
      </c>
      <c r="Q138" s="751" t="s">
        <v>4049</v>
      </c>
    </row>
    <row r="139" spans="1:17">
      <c r="A139" s="758">
        <v>10</v>
      </c>
      <c r="B139" s="751" t="s">
        <v>2180</v>
      </c>
      <c r="C139" s="55" t="s">
        <v>14538</v>
      </c>
      <c r="D139" s="753">
        <v>0</v>
      </c>
      <c r="E139" s="753">
        <v>0</v>
      </c>
      <c r="F139" s="753">
        <v>0</v>
      </c>
      <c r="G139" s="753">
        <v>0</v>
      </c>
      <c r="H139" s="753">
        <v>0</v>
      </c>
      <c r="I139" s="753">
        <v>0</v>
      </c>
      <c r="J139" s="753">
        <v>0</v>
      </c>
      <c r="K139" s="753">
        <v>0</v>
      </c>
      <c r="L139" s="753">
        <v>0</v>
      </c>
      <c r="M139" s="63">
        <v>1979</v>
      </c>
      <c r="N139" s="63">
        <v>2064</v>
      </c>
      <c r="O139" s="63">
        <v>2054</v>
      </c>
      <c r="Q139" s="751" t="s">
        <v>4049</v>
      </c>
    </row>
    <row r="140" spans="1:17">
      <c r="A140" s="758">
        <v>11</v>
      </c>
      <c r="B140" s="751" t="s">
        <v>12408</v>
      </c>
      <c r="C140" s="55" t="s">
        <v>14539</v>
      </c>
      <c r="D140" s="753">
        <v>0</v>
      </c>
      <c r="E140" s="753">
        <v>0</v>
      </c>
      <c r="F140" s="753">
        <v>0</v>
      </c>
      <c r="G140" s="753">
        <v>0</v>
      </c>
      <c r="H140" s="753">
        <v>0</v>
      </c>
      <c r="I140" s="753">
        <v>0</v>
      </c>
      <c r="J140" s="753">
        <v>0</v>
      </c>
      <c r="K140" s="753">
        <v>0</v>
      </c>
      <c r="L140" s="753">
        <v>0</v>
      </c>
      <c r="M140" s="63">
        <v>4868</v>
      </c>
      <c r="N140" s="63">
        <v>5077</v>
      </c>
      <c r="O140" s="63">
        <v>5094</v>
      </c>
      <c r="Q140" s="751" t="s">
        <v>4049</v>
      </c>
    </row>
    <row r="141" spans="1:17">
      <c r="A141" s="758">
        <v>12</v>
      </c>
      <c r="B141" s="751" t="s">
        <v>2181</v>
      </c>
      <c r="C141" s="55" t="s">
        <v>14540</v>
      </c>
      <c r="D141" s="753">
        <v>0</v>
      </c>
      <c r="E141" s="753">
        <v>0</v>
      </c>
      <c r="F141" s="753">
        <v>0</v>
      </c>
      <c r="G141" s="753">
        <v>0</v>
      </c>
      <c r="H141" s="753">
        <v>0</v>
      </c>
      <c r="I141" s="753">
        <v>0</v>
      </c>
      <c r="J141" s="753">
        <v>0</v>
      </c>
      <c r="K141" s="753">
        <v>0</v>
      </c>
      <c r="L141" s="753">
        <v>0</v>
      </c>
      <c r="M141" s="63">
        <v>3782</v>
      </c>
      <c r="N141" s="63">
        <v>4074</v>
      </c>
      <c r="O141" s="63">
        <v>4065</v>
      </c>
      <c r="Q141" s="751" t="s">
        <v>4042</v>
      </c>
    </row>
    <row r="142" spans="1:17">
      <c r="A142" s="758">
        <v>13</v>
      </c>
      <c r="B142" s="751" t="s">
        <v>2182</v>
      </c>
      <c r="C142" s="55" t="s">
        <v>14541</v>
      </c>
      <c r="D142" s="753">
        <v>0</v>
      </c>
      <c r="E142" s="753">
        <v>0</v>
      </c>
      <c r="F142" s="753">
        <v>0</v>
      </c>
      <c r="G142" s="753">
        <v>0</v>
      </c>
      <c r="H142" s="753">
        <v>0</v>
      </c>
      <c r="I142" s="753">
        <v>0</v>
      </c>
      <c r="J142" s="753">
        <v>0</v>
      </c>
      <c r="K142" s="753">
        <v>0</v>
      </c>
      <c r="L142" s="753">
        <v>0</v>
      </c>
      <c r="M142" s="63">
        <v>3538</v>
      </c>
      <c r="N142" s="63">
        <v>3729</v>
      </c>
      <c r="O142" s="63">
        <v>3742</v>
      </c>
      <c r="Q142" s="751" t="s">
        <v>4042</v>
      </c>
    </row>
    <row r="143" spans="1:17">
      <c r="A143" s="758">
        <v>14</v>
      </c>
      <c r="B143" s="751" t="s">
        <v>805</v>
      </c>
      <c r="C143" s="55" t="s">
        <v>14542</v>
      </c>
      <c r="D143" s="753">
        <v>0</v>
      </c>
      <c r="E143" s="753">
        <v>0</v>
      </c>
      <c r="F143" s="753">
        <v>0</v>
      </c>
      <c r="G143" s="753">
        <v>0</v>
      </c>
      <c r="H143" s="753">
        <v>0</v>
      </c>
      <c r="I143" s="753">
        <v>0</v>
      </c>
      <c r="J143" s="753">
        <v>0</v>
      </c>
      <c r="K143" s="753">
        <v>0</v>
      </c>
      <c r="L143" s="753">
        <v>0</v>
      </c>
      <c r="M143" s="63">
        <v>3561</v>
      </c>
      <c r="N143" s="63">
        <v>3748</v>
      </c>
      <c r="O143" s="63">
        <v>3772</v>
      </c>
      <c r="Q143" s="751" t="s">
        <v>4042</v>
      </c>
    </row>
    <row r="144" spans="1:17">
      <c r="A144" s="758">
        <v>15</v>
      </c>
      <c r="B144" s="751" t="s">
        <v>12409</v>
      </c>
      <c r="C144" s="55" t="s">
        <v>14543</v>
      </c>
      <c r="D144" s="753">
        <v>0</v>
      </c>
      <c r="E144" s="753">
        <v>0</v>
      </c>
      <c r="F144" s="753">
        <v>0</v>
      </c>
      <c r="G144" s="753">
        <v>0</v>
      </c>
      <c r="H144" s="753">
        <v>0</v>
      </c>
      <c r="I144" s="753">
        <v>0</v>
      </c>
      <c r="J144" s="753">
        <v>0</v>
      </c>
      <c r="K144" s="753">
        <v>0</v>
      </c>
      <c r="L144" s="753">
        <v>0</v>
      </c>
      <c r="M144" s="63">
        <v>1717</v>
      </c>
      <c r="N144" s="63">
        <v>1822</v>
      </c>
      <c r="O144" s="63">
        <v>1824</v>
      </c>
      <c r="Q144" s="751" t="s">
        <v>4049</v>
      </c>
    </row>
    <row r="145" spans="1:17">
      <c r="A145" s="758">
        <v>16</v>
      </c>
      <c r="B145" s="751" t="s">
        <v>2954</v>
      </c>
      <c r="C145" s="55" t="s">
        <v>14544</v>
      </c>
      <c r="D145" s="753">
        <v>0</v>
      </c>
      <c r="E145" s="753">
        <v>0</v>
      </c>
      <c r="F145" s="753">
        <v>0</v>
      </c>
      <c r="G145" s="753">
        <v>0</v>
      </c>
      <c r="H145" s="753">
        <v>0</v>
      </c>
      <c r="I145" s="753">
        <v>0</v>
      </c>
      <c r="J145" s="753">
        <v>0</v>
      </c>
      <c r="K145" s="753">
        <v>0</v>
      </c>
      <c r="L145" s="753">
        <v>0</v>
      </c>
      <c r="M145" s="63">
        <v>3744</v>
      </c>
      <c r="N145" s="63">
        <v>3992</v>
      </c>
      <c r="O145" s="63">
        <v>3995</v>
      </c>
      <c r="Q145" s="751" t="s">
        <v>4049</v>
      </c>
    </row>
    <row r="146" spans="1:17">
      <c r="A146" s="758">
        <v>17</v>
      </c>
      <c r="B146" s="751" t="s">
        <v>2955</v>
      </c>
      <c r="C146" s="55" t="s">
        <v>14545</v>
      </c>
      <c r="D146" s="753">
        <v>0</v>
      </c>
      <c r="E146" s="753">
        <v>0</v>
      </c>
      <c r="F146" s="753">
        <v>0</v>
      </c>
      <c r="G146" s="753">
        <v>0</v>
      </c>
      <c r="H146" s="753">
        <v>0</v>
      </c>
      <c r="I146" s="753">
        <v>0</v>
      </c>
      <c r="J146" s="753">
        <v>0</v>
      </c>
      <c r="K146" s="753">
        <v>0</v>
      </c>
      <c r="L146" s="753">
        <v>0</v>
      </c>
      <c r="M146" s="63">
        <v>3845</v>
      </c>
      <c r="N146" s="63">
        <v>3909</v>
      </c>
      <c r="O146" s="63">
        <v>3935</v>
      </c>
      <c r="Q146" s="751" t="s">
        <v>4049</v>
      </c>
    </row>
    <row r="147" spans="1:17">
      <c r="A147" s="758">
        <v>18</v>
      </c>
      <c r="B147" s="751" t="s">
        <v>2956</v>
      </c>
      <c r="C147" s="55" t="s">
        <v>14546</v>
      </c>
      <c r="D147" s="753">
        <v>0</v>
      </c>
      <c r="E147" s="753">
        <v>0</v>
      </c>
      <c r="F147" s="753">
        <v>0</v>
      </c>
      <c r="G147" s="753">
        <v>0</v>
      </c>
      <c r="H147" s="753">
        <v>0</v>
      </c>
      <c r="I147" s="753">
        <v>0</v>
      </c>
      <c r="J147" s="753">
        <v>0</v>
      </c>
      <c r="K147" s="753">
        <v>0</v>
      </c>
      <c r="L147" s="753">
        <v>0</v>
      </c>
      <c r="M147" s="63">
        <v>4038</v>
      </c>
      <c r="N147" s="63">
        <v>4132</v>
      </c>
      <c r="O147" s="63">
        <v>4144</v>
      </c>
      <c r="Q147" s="751" t="s">
        <v>4049</v>
      </c>
    </row>
    <row r="148" spans="1:17">
      <c r="A148" s="758">
        <v>19</v>
      </c>
      <c r="B148" s="751" t="s">
        <v>1578</v>
      </c>
      <c r="C148" s="55" t="s">
        <v>14547</v>
      </c>
      <c r="D148" s="753">
        <v>0</v>
      </c>
      <c r="E148" s="753">
        <v>0</v>
      </c>
      <c r="F148" s="753">
        <v>0</v>
      </c>
      <c r="G148" s="753">
        <v>0</v>
      </c>
      <c r="H148" s="753">
        <v>0</v>
      </c>
      <c r="I148" s="753">
        <v>0</v>
      </c>
      <c r="J148" s="753">
        <v>0</v>
      </c>
      <c r="K148" s="753">
        <v>0</v>
      </c>
      <c r="L148" s="753">
        <v>0</v>
      </c>
      <c r="M148" s="63">
        <v>3503</v>
      </c>
      <c r="N148" s="63">
        <v>3643</v>
      </c>
      <c r="O148" s="63">
        <v>3643</v>
      </c>
      <c r="Q148" s="751" t="s">
        <v>4049</v>
      </c>
    </row>
    <row r="149" spans="1:17">
      <c r="A149" s="758">
        <v>20</v>
      </c>
      <c r="B149" s="751" t="s">
        <v>1566</v>
      </c>
      <c r="C149" s="55" t="s">
        <v>14548</v>
      </c>
      <c r="D149" s="753">
        <v>0</v>
      </c>
      <c r="E149" s="753">
        <v>0</v>
      </c>
      <c r="F149" s="753">
        <v>0</v>
      </c>
      <c r="G149" s="753">
        <v>0</v>
      </c>
      <c r="H149" s="753">
        <v>0</v>
      </c>
      <c r="I149" s="753">
        <v>0</v>
      </c>
      <c r="J149" s="753">
        <v>0</v>
      </c>
      <c r="K149" s="753">
        <v>0</v>
      </c>
      <c r="L149" s="753">
        <v>0</v>
      </c>
      <c r="M149" s="63">
        <v>3812</v>
      </c>
      <c r="N149" s="63">
        <v>3877</v>
      </c>
      <c r="O149" s="63">
        <v>3894</v>
      </c>
      <c r="Q149" s="751" t="s">
        <v>4049</v>
      </c>
    </row>
    <row r="150" spans="1:17">
      <c r="A150" s="758">
        <v>21</v>
      </c>
      <c r="B150" s="751" t="s">
        <v>12410</v>
      </c>
      <c r="C150" s="55" t="s">
        <v>14549</v>
      </c>
      <c r="D150" s="753">
        <v>0</v>
      </c>
      <c r="E150" s="753">
        <v>0</v>
      </c>
      <c r="F150" s="753">
        <v>0</v>
      </c>
      <c r="G150" s="753">
        <v>0</v>
      </c>
      <c r="H150" s="753">
        <v>0</v>
      </c>
      <c r="I150" s="753">
        <v>0</v>
      </c>
      <c r="J150" s="753">
        <v>0</v>
      </c>
      <c r="K150" s="753">
        <v>0</v>
      </c>
      <c r="L150" s="753">
        <v>0</v>
      </c>
      <c r="M150" s="63">
        <v>1956</v>
      </c>
      <c r="N150" s="63">
        <v>2132</v>
      </c>
      <c r="O150" s="63">
        <v>2149</v>
      </c>
      <c r="Q150" s="751" t="s">
        <v>4049</v>
      </c>
    </row>
    <row r="151" spans="1:17">
      <c r="D151" s="755"/>
      <c r="E151" s="755"/>
      <c r="F151" s="755"/>
      <c r="G151" s="755"/>
      <c r="H151" s="755"/>
      <c r="I151" s="755"/>
      <c r="J151" s="755"/>
      <c r="K151" s="755"/>
      <c r="L151" s="755"/>
      <c r="M151" s="755"/>
      <c r="N151" s="755"/>
      <c r="O151" s="755"/>
    </row>
    <row r="152" spans="1:17">
      <c r="A152" s="751" t="s">
        <v>1264</v>
      </c>
      <c r="D152" s="753">
        <f t="shared" ref="D152:L152" si="74">SUM(D132,D141:D143)</f>
        <v>15920</v>
      </c>
      <c r="E152" s="753">
        <f t="shared" si="74"/>
        <v>16130</v>
      </c>
      <c r="F152" s="753">
        <f t="shared" si="74"/>
        <v>15922</v>
      </c>
      <c r="G152" s="753">
        <f t="shared" si="74"/>
        <v>16341</v>
      </c>
      <c r="H152" s="753">
        <f t="shared" si="74"/>
        <v>16403</v>
      </c>
      <c r="I152" s="753">
        <f t="shared" si="74"/>
        <v>15708</v>
      </c>
      <c r="J152" s="753">
        <f t="shared" si="74"/>
        <v>15412</v>
      </c>
      <c r="K152" s="753">
        <f t="shared" si="74"/>
        <v>15892</v>
      </c>
      <c r="L152" s="753">
        <f t="shared" si="74"/>
        <v>16267</v>
      </c>
      <c r="M152" s="753">
        <f>SUM(M132,M141:M143)</f>
        <v>16399</v>
      </c>
      <c r="N152" s="753">
        <f>SUM(N132,N141:N143)</f>
        <v>17362</v>
      </c>
      <c r="O152" s="753">
        <f>SUM(O132,O141:O143)</f>
        <v>17402</v>
      </c>
    </row>
    <row r="153" spans="1:17">
      <c r="A153" s="751" t="s">
        <v>1567</v>
      </c>
      <c r="D153" s="753">
        <f t="shared" ref="D153:L153" si="75">SUM(D130:D131,D133:D140,D144:D150)</f>
        <v>58119</v>
      </c>
      <c r="E153" s="753">
        <f t="shared" si="75"/>
        <v>58361</v>
      </c>
      <c r="F153" s="753">
        <f t="shared" si="75"/>
        <v>57855</v>
      </c>
      <c r="G153" s="753">
        <f t="shared" si="75"/>
        <v>58495</v>
      </c>
      <c r="H153" s="753">
        <f t="shared" si="75"/>
        <v>58211</v>
      </c>
      <c r="I153" s="753">
        <f t="shared" si="75"/>
        <v>56921</v>
      </c>
      <c r="J153" s="753">
        <f t="shared" si="75"/>
        <v>55394</v>
      </c>
      <c r="K153" s="753">
        <f t="shared" si="75"/>
        <v>56703</v>
      </c>
      <c r="L153" s="753">
        <f t="shared" si="75"/>
        <v>57743</v>
      </c>
      <c r="M153" s="753">
        <f>SUM(M130:M131,M133:M140,M144:M150)</f>
        <v>57571</v>
      </c>
      <c r="N153" s="753">
        <f>SUM(N130:N131,N133:N140,N144:N150)</f>
        <v>60484</v>
      </c>
      <c r="O153" s="753">
        <f>SUM(O130:O131,O133:O140,O144:O150)</f>
        <v>60570</v>
      </c>
    </row>
    <row r="154" spans="1:17">
      <c r="A154" s="751"/>
      <c r="B154" s="751"/>
      <c r="D154" s="753"/>
      <c r="E154" s="753"/>
      <c r="F154" s="753"/>
      <c r="G154" s="753"/>
      <c r="H154" s="753"/>
      <c r="I154" s="753"/>
      <c r="J154" s="753"/>
      <c r="K154" s="753"/>
      <c r="L154" s="753"/>
      <c r="M154" s="753"/>
      <c r="N154" s="753"/>
      <c r="O154" s="753"/>
    </row>
    <row r="155" spans="1:17" ht="15" customHeight="1">
      <c r="A155" s="160" t="s">
        <v>1568</v>
      </c>
    </row>
    <row r="156" spans="1:17" ht="15" customHeight="1">
      <c r="A156" s="751" t="s">
        <v>12411</v>
      </c>
      <c r="B156" s="751"/>
      <c r="D156" s="760"/>
      <c r="E156" s="760"/>
      <c r="F156" s="760"/>
      <c r="G156" s="760"/>
      <c r="H156" s="760"/>
      <c r="I156" s="760"/>
      <c r="J156" s="760"/>
      <c r="K156" s="760"/>
      <c r="L156" s="760"/>
      <c r="M156" s="760"/>
      <c r="N156" s="760"/>
      <c r="O156" s="760"/>
    </row>
    <row r="157" spans="1:17" ht="15" customHeight="1">
      <c r="A157" s="751"/>
      <c r="B157" s="751"/>
      <c r="D157" s="760"/>
      <c r="E157" s="760"/>
      <c r="F157" s="760"/>
      <c r="G157" s="760"/>
      <c r="H157" s="760"/>
      <c r="I157" s="760"/>
      <c r="J157" s="760"/>
      <c r="K157" s="760"/>
      <c r="L157" s="760"/>
      <c r="M157" s="760"/>
      <c r="N157" s="760"/>
      <c r="O157" s="760"/>
    </row>
    <row r="158" spans="1:17">
      <c r="E158" s="51" t="s">
        <v>1526</v>
      </c>
      <c r="F158" s="51"/>
      <c r="G158" s="51"/>
      <c r="H158" s="51"/>
      <c r="I158" s="51"/>
      <c r="J158" s="51"/>
      <c r="K158" s="51"/>
      <c r="L158" s="51"/>
      <c r="M158" s="51"/>
      <c r="N158" s="51"/>
      <c r="O158" s="51"/>
      <c r="P158" s="52"/>
      <c r="Q158" s="53" t="s">
        <v>9479</v>
      </c>
    </row>
    <row r="159" spans="1:17">
      <c r="D159" s="40">
        <v>2010</v>
      </c>
      <c r="E159" s="40">
        <v>2011</v>
      </c>
      <c r="F159" s="40">
        <v>2012</v>
      </c>
      <c r="G159" s="40">
        <v>2013</v>
      </c>
      <c r="H159" s="40">
        <v>2014</v>
      </c>
      <c r="I159" s="40">
        <v>2015</v>
      </c>
      <c r="J159" s="40">
        <v>2016</v>
      </c>
      <c r="K159" s="40">
        <v>2017</v>
      </c>
      <c r="L159" s="40">
        <v>2018</v>
      </c>
      <c r="M159" s="40">
        <v>2019</v>
      </c>
      <c r="N159" s="40">
        <v>2020</v>
      </c>
      <c r="O159" s="979" t="s">
        <v>14823</v>
      </c>
      <c r="Q159" s="54" t="s">
        <v>1527</v>
      </c>
    </row>
    <row r="160" spans="1:17">
      <c r="A160" s="751" t="s">
        <v>1569</v>
      </c>
      <c r="D160" s="753">
        <f t="shared" ref="D160:M160" si="76">SUM(D161:D174,D176:D182,D184:D185)</f>
        <v>71008</v>
      </c>
      <c r="E160" s="753">
        <f t="shared" si="76"/>
        <v>71289</v>
      </c>
      <c r="F160" s="753">
        <f t="shared" si="76"/>
        <v>71636</v>
      </c>
      <c r="G160" s="753">
        <f t="shared" si="76"/>
        <v>72208</v>
      </c>
      <c r="H160" s="753">
        <f t="shared" si="76"/>
        <v>69469</v>
      </c>
      <c r="I160" s="753">
        <f t="shared" si="76"/>
        <v>70279</v>
      </c>
      <c r="J160" s="753">
        <f t="shared" si="76"/>
        <v>69941</v>
      </c>
      <c r="K160" s="753">
        <f t="shared" si="76"/>
        <v>72114</v>
      </c>
      <c r="L160" s="753">
        <f t="shared" si="76"/>
        <v>72743</v>
      </c>
      <c r="M160" s="753">
        <f t="shared" si="76"/>
        <v>72097</v>
      </c>
      <c r="N160" s="753">
        <f>SUM(N161:N174,N176:N182,N184:N185)</f>
        <v>73373</v>
      </c>
      <c r="O160" s="753">
        <f>SUM(O161:O174,O176:O182,O184:O185)</f>
        <v>74338</v>
      </c>
    </row>
    <row r="161" spans="1:17">
      <c r="A161" s="758">
        <v>1</v>
      </c>
      <c r="B161" s="751" t="s">
        <v>14103</v>
      </c>
      <c r="C161" s="55" t="s">
        <v>14124</v>
      </c>
      <c r="D161" s="753">
        <v>56592</v>
      </c>
      <c r="E161" s="753">
        <v>56783</v>
      </c>
      <c r="F161" s="753">
        <v>57071</v>
      </c>
      <c r="G161" s="753">
        <v>57554</v>
      </c>
      <c r="H161" s="63">
        <v>55214</v>
      </c>
      <c r="I161" s="63">
        <v>55891</v>
      </c>
      <c r="J161" s="63">
        <v>55659</v>
      </c>
      <c r="K161" s="63">
        <v>57483</v>
      </c>
      <c r="L161" s="63">
        <v>57950</v>
      </c>
      <c r="M161" s="63">
        <v>57456</v>
      </c>
      <c r="N161" s="63">
        <v>3988</v>
      </c>
      <c r="O161" s="63">
        <v>4083</v>
      </c>
      <c r="Q161" s="751" t="s">
        <v>4039</v>
      </c>
    </row>
    <row r="162" spans="1:17">
      <c r="A162" s="758">
        <v>2</v>
      </c>
      <c r="B162" s="751" t="s">
        <v>14104</v>
      </c>
      <c r="C162" s="55" t="s">
        <v>14125</v>
      </c>
      <c r="D162" s="753">
        <v>0</v>
      </c>
      <c r="E162" s="753">
        <v>0</v>
      </c>
      <c r="F162" s="753">
        <v>0</v>
      </c>
      <c r="G162" s="753">
        <v>0</v>
      </c>
      <c r="H162" s="753">
        <v>0</v>
      </c>
      <c r="I162" s="753">
        <v>0</v>
      </c>
      <c r="J162" s="753">
        <v>0</v>
      </c>
      <c r="K162" s="753">
        <v>0</v>
      </c>
      <c r="L162" s="753">
        <v>0</v>
      </c>
      <c r="M162" s="753">
        <v>0</v>
      </c>
      <c r="N162" s="63">
        <v>3974</v>
      </c>
      <c r="O162" s="63">
        <v>3973</v>
      </c>
      <c r="Q162" s="751" t="s">
        <v>4039</v>
      </c>
    </row>
    <row r="163" spans="1:17">
      <c r="A163" s="758">
        <v>3</v>
      </c>
      <c r="B163" s="751" t="s">
        <v>14105</v>
      </c>
      <c r="C163" s="55" t="s">
        <v>14126</v>
      </c>
      <c r="D163" s="753">
        <v>0</v>
      </c>
      <c r="E163" s="753">
        <v>0</v>
      </c>
      <c r="F163" s="753">
        <v>0</v>
      </c>
      <c r="G163" s="753">
        <v>0</v>
      </c>
      <c r="H163" s="753">
        <v>0</v>
      </c>
      <c r="I163" s="753">
        <v>0</v>
      </c>
      <c r="J163" s="753">
        <v>0</v>
      </c>
      <c r="K163" s="753">
        <v>0</v>
      </c>
      <c r="L163" s="753">
        <v>0</v>
      </c>
      <c r="M163" s="753">
        <v>0</v>
      </c>
      <c r="N163" s="63">
        <v>4020</v>
      </c>
      <c r="O163" s="63">
        <v>4058</v>
      </c>
      <c r="Q163" s="751" t="s">
        <v>4039</v>
      </c>
    </row>
    <row r="164" spans="1:17">
      <c r="A164" s="758">
        <v>4</v>
      </c>
      <c r="B164" s="751" t="s">
        <v>14106</v>
      </c>
      <c r="C164" s="55" t="s">
        <v>14127</v>
      </c>
      <c r="D164" s="753">
        <v>0</v>
      </c>
      <c r="E164" s="753">
        <v>0</v>
      </c>
      <c r="F164" s="753">
        <v>0</v>
      </c>
      <c r="G164" s="753">
        <v>0</v>
      </c>
      <c r="H164" s="753">
        <v>0</v>
      </c>
      <c r="I164" s="753">
        <v>0</v>
      </c>
      <c r="J164" s="753">
        <v>0</v>
      </c>
      <c r="K164" s="753">
        <v>0</v>
      </c>
      <c r="L164" s="753">
        <v>0</v>
      </c>
      <c r="M164" s="753">
        <v>0</v>
      </c>
      <c r="N164" s="63">
        <v>3155</v>
      </c>
      <c r="O164" s="63">
        <v>3200</v>
      </c>
      <c r="Q164" s="751" t="s">
        <v>4039</v>
      </c>
    </row>
    <row r="165" spans="1:17">
      <c r="A165" s="758">
        <v>5</v>
      </c>
      <c r="B165" s="751" t="s">
        <v>14107</v>
      </c>
      <c r="C165" s="55" t="s">
        <v>14128</v>
      </c>
      <c r="D165" s="753">
        <v>0</v>
      </c>
      <c r="E165" s="753">
        <v>0</v>
      </c>
      <c r="F165" s="753">
        <v>0</v>
      </c>
      <c r="G165" s="753">
        <v>0</v>
      </c>
      <c r="H165" s="753">
        <v>0</v>
      </c>
      <c r="I165" s="753">
        <v>0</v>
      </c>
      <c r="J165" s="753">
        <v>0</v>
      </c>
      <c r="K165" s="753">
        <v>0</v>
      </c>
      <c r="L165" s="753">
        <v>0</v>
      </c>
      <c r="M165" s="753">
        <v>0</v>
      </c>
      <c r="N165" s="63">
        <v>3935</v>
      </c>
      <c r="O165" s="63">
        <v>3994</v>
      </c>
      <c r="Q165" s="751" t="s">
        <v>4039</v>
      </c>
    </row>
    <row r="166" spans="1:17">
      <c r="A166" s="758">
        <v>6</v>
      </c>
      <c r="B166" s="751" t="s">
        <v>14108</v>
      </c>
      <c r="C166" s="55" t="s">
        <v>14129</v>
      </c>
      <c r="D166" s="753">
        <v>0</v>
      </c>
      <c r="E166" s="753">
        <v>0</v>
      </c>
      <c r="F166" s="753">
        <v>0</v>
      </c>
      <c r="G166" s="753">
        <v>0</v>
      </c>
      <c r="H166" s="753">
        <v>0</v>
      </c>
      <c r="I166" s="753">
        <v>0</v>
      </c>
      <c r="J166" s="753">
        <v>0</v>
      </c>
      <c r="K166" s="753">
        <v>0</v>
      </c>
      <c r="L166" s="753">
        <v>0</v>
      </c>
      <c r="M166" s="753">
        <v>0</v>
      </c>
      <c r="N166" s="63">
        <v>4025</v>
      </c>
      <c r="O166" s="63">
        <v>4082</v>
      </c>
      <c r="Q166" s="751" t="s">
        <v>4039</v>
      </c>
    </row>
    <row r="167" spans="1:17">
      <c r="A167" s="758">
        <v>7</v>
      </c>
      <c r="B167" s="751" t="s">
        <v>14109</v>
      </c>
      <c r="C167" s="55" t="s">
        <v>14130</v>
      </c>
      <c r="D167" s="753">
        <v>0</v>
      </c>
      <c r="E167" s="753">
        <v>0</v>
      </c>
      <c r="F167" s="753">
        <v>0</v>
      </c>
      <c r="G167" s="753">
        <v>0</v>
      </c>
      <c r="H167" s="753">
        <v>0</v>
      </c>
      <c r="I167" s="753">
        <v>0</v>
      </c>
      <c r="J167" s="753">
        <v>0</v>
      </c>
      <c r="K167" s="753">
        <v>0</v>
      </c>
      <c r="L167" s="753">
        <v>0</v>
      </c>
      <c r="M167" s="753">
        <v>0</v>
      </c>
      <c r="N167" s="63">
        <v>4044</v>
      </c>
      <c r="O167" s="63">
        <v>4094</v>
      </c>
      <c r="Q167" s="751" t="s">
        <v>4039</v>
      </c>
    </row>
    <row r="168" spans="1:17">
      <c r="A168" s="758">
        <v>8</v>
      </c>
      <c r="B168" s="751" t="s">
        <v>14110</v>
      </c>
      <c r="C168" s="55" t="s">
        <v>14131</v>
      </c>
      <c r="D168" s="753">
        <v>0</v>
      </c>
      <c r="E168" s="753">
        <v>0</v>
      </c>
      <c r="F168" s="753">
        <v>0</v>
      </c>
      <c r="G168" s="753">
        <v>0</v>
      </c>
      <c r="H168" s="753">
        <v>0</v>
      </c>
      <c r="I168" s="753">
        <v>0</v>
      </c>
      <c r="J168" s="753">
        <v>0</v>
      </c>
      <c r="K168" s="753">
        <v>0</v>
      </c>
      <c r="L168" s="753">
        <v>0</v>
      </c>
      <c r="M168" s="753">
        <v>0</v>
      </c>
      <c r="N168" s="63">
        <v>3734</v>
      </c>
      <c r="O168" s="63">
        <v>3777</v>
      </c>
      <c r="Q168" s="751" t="s">
        <v>4039</v>
      </c>
    </row>
    <row r="169" spans="1:17">
      <c r="A169" s="758">
        <v>9</v>
      </c>
      <c r="B169" s="751" t="s">
        <v>14111</v>
      </c>
      <c r="C169" s="55" t="s">
        <v>14132</v>
      </c>
      <c r="D169" s="753">
        <v>0</v>
      </c>
      <c r="E169" s="753">
        <v>0</v>
      </c>
      <c r="F169" s="753">
        <v>0</v>
      </c>
      <c r="G169" s="753">
        <v>0</v>
      </c>
      <c r="H169" s="753">
        <v>0</v>
      </c>
      <c r="I169" s="753">
        <v>0</v>
      </c>
      <c r="J169" s="753">
        <v>0</v>
      </c>
      <c r="K169" s="753">
        <v>0</v>
      </c>
      <c r="L169" s="753">
        <v>0</v>
      </c>
      <c r="M169" s="753">
        <v>0</v>
      </c>
      <c r="N169" s="63">
        <v>4024</v>
      </c>
      <c r="O169" s="63">
        <v>4089</v>
      </c>
      <c r="Q169" s="751" t="s">
        <v>4039</v>
      </c>
    </row>
    <row r="170" spans="1:17">
      <c r="A170" s="758">
        <v>10</v>
      </c>
      <c r="B170" s="751" t="s">
        <v>14120</v>
      </c>
      <c r="C170" s="55" t="s">
        <v>14133</v>
      </c>
      <c r="D170" s="753">
        <v>14416</v>
      </c>
      <c r="E170" s="753">
        <v>14506</v>
      </c>
      <c r="F170" s="753">
        <v>14565</v>
      </c>
      <c r="G170" s="753">
        <v>14654</v>
      </c>
      <c r="H170" s="63">
        <v>14255</v>
      </c>
      <c r="I170" s="63">
        <v>14388</v>
      </c>
      <c r="J170" s="63">
        <v>14282</v>
      </c>
      <c r="K170" s="63">
        <v>14631</v>
      </c>
      <c r="L170" s="63">
        <v>14793</v>
      </c>
      <c r="M170" s="63">
        <v>14641</v>
      </c>
      <c r="N170" s="63">
        <v>1805</v>
      </c>
      <c r="O170" s="63">
        <v>1818</v>
      </c>
      <c r="Q170" s="751" t="s">
        <v>4047</v>
      </c>
    </row>
    <row r="171" spans="1:17">
      <c r="A171" s="758">
        <v>11</v>
      </c>
      <c r="B171" s="751" t="s">
        <v>14112</v>
      </c>
      <c r="C171" s="55" t="s">
        <v>14134</v>
      </c>
      <c r="D171" s="753">
        <v>0</v>
      </c>
      <c r="E171" s="753">
        <v>0</v>
      </c>
      <c r="F171" s="753">
        <v>0</v>
      </c>
      <c r="G171" s="753">
        <v>0</v>
      </c>
      <c r="H171" s="753">
        <v>0</v>
      </c>
      <c r="I171" s="753">
        <v>0</v>
      </c>
      <c r="J171" s="753">
        <v>0</v>
      </c>
      <c r="K171" s="753">
        <v>0</v>
      </c>
      <c r="L171" s="753">
        <v>0</v>
      </c>
      <c r="M171" s="753">
        <v>0</v>
      </c>
      <c r="N171" s="63">
        <v>3666</v>
      </c>
      <c r="O171" s="63">
        <v>3711</v>
      </c>
      <c r="Q171" s="751" t="s">
        <v>4039</v>
      </c>
    </row>
    <row r="172" spans="1:17">
      <c r="A172" s="758">
        <v>12</v>
      </c>
      <c r="B172" s="751" t="s">
        <v>14113</v>
      </c>
      <c r="C172" s="55" t="s">
        <v>14135</v>
      </c>
      <c r="D172" s="753">
        <v>0</v>
      </c>
      <c r="E172" s="753">
        <v>0</v>
      </c>
      <c r="F172" s="753">
        <v>0</v>
      </c>
      <c r="G172" s="753">
        <v>0</v>
      </c>
      <c r="H172" s="753">
        <v>0</v>
      </c>
      <c r="I172" s="753">
        <v>0</v>
      </c>
      <c r="J172" s="753">
        <v>0</v>
      </c>
      <c r="K172" s="753">
        <v>0</v>
      </c>
      <c r="L172" s="753">
        <v>0</v>
      </c>
      <c r="M172" s="753">
        <v>0</v>
      </c>
      <c r="N172" s="63">
        <v>1871</v>
      </c>
      <c r="O172" s="63">
        <v>1892</v>
      </c>
      <c r="Q172" s="751" t="s">
        <v>4039</v>
      </c>
    </row>
    <row r="173" spans="1:17">
      <c r="A173" s="758">
        <v>13</v>
      </c>
      <c r="B173" s="751" t="s">
        <v>1570</v>
      </c>
      <c r="C173" s="55" t="s">
        <v>14136</v>
      </c>
      <c r="D173" s="753">
        <v>0</v>
      </c>
      <c r="E173" s="753">
        <v>0</v>
      </c>
      <c r="F173" s="753">
        <v>0</v>
      </c>
      <c r="G173" s="753">
        <v>0</v>
      </c>
      <c r="H173" s="753">
        <v>0</v>
      </c>
      <c r="I173" s="753">
        <v>0</v>
      </c>
      <c r="J173" s="753">
        <v>0</v>
      </c>
      <c r="K173" s="753">
        <v>0</v>
      </c>
      <c r="L173" s="753">
        <v>0</v>
      </c>
      <c r="M173" s="753">
        <v>0</v>
      </c>
      <c r="N173" s="63">
        <v>1263</v>
      </c>
      <c r="O173" s="63">
        <v>1274</v>
      </c>
      <c r="Q173" s="751" t="s">
        <v>4039</v>
      </c>
    </row>
    <row r="174" spans="1:17" ht="15.75" thickBot="1">
      <c r="A174" s="758"/>
      <c r="B174" s="751"/>
      <c r="C174" s="55" t="s">
        <v>14136</v>
      </c>
      <c r="D174" s="753">
        <v>0</v>
      </c>
      <c r="E174" s="753">
        <v>0</v>
      </c>
      <c r="F174" s="753">
        <v>0</v>
      </c>
      <c r="G174" s="753">
        <v>0</v>
      </c>
      <c r="H174" s="753">
        <v>0</v>
      </c>
      <c r="I174" s="753">
        <v>0</v>
      </c>
      <c r="J174" s="753">
        <v>0</v>
      </c>
      <c r="K174" s="753">
        <v>0</v>
      </c>
      <c r="L174" s="753">
        <v>0</v>
      </c>
      <c r="M174" s="753">
        <v>0</v>
      </c>
      <c r="N174" s="63">
        <v>2565</v>
      </c>
      <c r="O174" s="63">
        <v>2615</v>
      </c>
      <c r="Q174" s="751" t="s">
        <v>4047</v>
      </c>
    </row>
    <row r="175" spans="1:17" ht="15.75" thickBot="1">
      <c r="A175" s="758"/>
      <c r="B175" s="751"/>
      <c r="C175" s="55" t="s">
        <v>14136</v>
      </c>
      <c r="D175" s="757">
        <f t="shared" ref="D175:N175" si="77">SUM(D173:D174)</f>
        <v>0</v>
      </c>
      <c r="E175" s="757">
        <f t="shared" si="77"/>
        <v>0</v>
      </c>
      <c r="F175" s="757">
        <f t="shared" si="77"/>
        <v>0</v>
      </c>
      <c r="G175" s="761">
        <f t="shared" si="77"/>
        <v>0</v>
      </c>
      <c r="H175" s="761">
        <f t="shared" si="77"/>
        <v>0</v>
      </c>
      <c r="I175" s="761">
        <f t="shared" si="77"/>
        <v>0</v>
      </c>
      <c r="J175" s="761">
        <f t="shared" si="77"/>
        <v>0</v>
      </c>
      <c r="K175" s="761">
        <f t="shared" si="77"/>
        <v>0</v>
      </c>
      <c r="L175" s="761">
        <f t="shared" si="77"/>
        <v>0</v>
      </c>
      <c r="M175" s="761">
        <f t="shared" si="77"/>
        <v>0</v>
      </c>
      <c r="N175" s="761">
        <f t="shared" si="77"/>
        <v>3828</v>
      </c>
      <c r="O175" s="761">
        <f>SUM(O173:O174)</f>
        <v>3889</v>
      </c>
      <c r="Q175" s="751"/>
    </row>
    <row r="176" spans="1:17">
      <c r="A176" s="758">
        <v>14</v>
      </c>
      <c r="B176" s="751" t="s">
        <v>14114</v>
      </c>
      <c r="C176" s="55" t="s">
        <v>14137</v>
      </c>
      <c r="D176" s="753">
        <v>0</v>
      </c>
      <c r="E176" s="753">
        <v>0</v>
      </c>
      <c r="F176" s="753">
        <v>0</v>
      </c>
      <c r="G176" s="753">
        <v>0</v>
      </c>
      <c r="H176" s="753">
        <v>0</v>
      </c>
      <c r="I176" s="753">
        <v>0</v>
      </c>
      <c r="J176" s="753">
        <v>0</v>
      </c>
      <c r="K176" s="753">
        <v>0</v>
      </c>
      <c r="L176" s="753">
        <v>0</v>
      </c>
      <c r="M176" s="753">
        <v>0</v>
      </c>
      <c r="N176" s="63">
        <v>4085</v>
      </c>
      <c r="O176" s="63">
        <v>4140</v>
      </c>
      <c r="Q176" s="751" t="s">
        <v>4039</v>
      </c>
    </row>
    <row r="177" spans="1:17">
      <c r="A177" s="758">
        <v>15</v>
      </c>
      <c r="B177" s="751" t="s">
        <v>14115</v>
      </c>
      <c r="C177" s="55" t="s">
        <v>14138</v>
      </c>
      <c r="D177" s="753">
        <v>0</v>
      </c>
      <c r="E177" s="753">
        <v>0</v>
      </c>
      <c r="F177" s="753">
        <v>0</v>
      </c>
      <c r="G177" s="753">
        <v>0</v>
      </c>
      <c r="H177" s="753">
        <v>0</v>
      </c>
      <c r="I177" s="753">
        <v>0</v>
      </c>
      <c r="J177" s="753">
        <v>0</v>
      </c>
      <c r="K177" s="753">
        <v>0</v>
      </c>
      <c r="L177" s="753">
        <v>0</v>
      </c>
      <c r="M177" s="753">
        <v>0</v>
      </c>
      <c r="N177" s="63">
        <v>3695</v>
      </c>
      <c r="O177" s="63">
        <v>3737</v>
      </c>
      <c r="Q177" s="751" t="s">
        <v>4039</v>
      </c>
    </row>
    <row r="178" spans="1:17">
      <c r="A178" s="758">
        <v>16</v>
      </c>
      <c r="B178" s="751" t="s">
        <v>14116</v>
      </c>
      <c r="C178" s="55" t="s">
        <v>14139</v>
      </c>
      <c r="D178" s="753">
        <v>0</v>
      </c>
      <c r="E178" s="753">
        <v>0</v>
      </c>
      <c r="F178" s="753">
        <v>0</v>
      </c>
      <c r="G178" s="753">
        <v>0</v>
      </c>
      <c r="H178" s="753">
        <v>0</v>
      </c>
      <c r="I178" s="753">
        <v>0</v>
      </c>
      <c r="J178" s="753">
        <v>0</v>
      </c>
      <c r="K178" s="753">
        <v>0</v>
      </c>
      <c r="L178" s="753">
        <v>0</v>
      </c>
      <c r="M178" s="753">
        <v>0</v>
      </c>
      <c r="N178" s="63">
        <v>4005</v>
      </c>
      <c r="O178" s="63">
        <v>4050</v>
      </c>
      <c r="Q178" s="751" t="s">
        <v>4039</v>
      </c>
    </row>
    <row r="179" spans="1:17">
      <c r="A179" s="758">
        <v>17</v>
      </c>
      <c r="B179" s="751" t="s">
        <v>14117</v>
      </c>
      <c r="C179" s="55" t="s">
        <v>14140</v>
      </c>
      <c r="D179" s="753">
        <v>0</v>
      </c>
      <c r="E179" s="753">
        <v>0</v>
      </c>
      <c r="F179" s="753">
        <v>0</v>
      </c>
      <c r="G179" s="753">
        <v>0</v>
      </c>
      <c r="H179" s="753">
        <v>0</v>
      </c>
      <c r="I179" s="753">
        <v>0</v>
      </c>
      <c r="J179" s="753">
        <v>0</v>
      </c>
      <c r="K179" s="753">
        <v>0</v>
      </c>
      <c r="L179" s="753">
        <v>0</v>
      </c>
      <c r="M179" s="753">
        <v>0</v>
      </c>
      <c r="N179" s="63">
        <v>2080</v>
      </c>
      <c r="O179" s="63">
        <v>2103</v>
      </c>
      <c r="Q179" s="751" t="s">
        <v>4039</v>
      </c>
    </row>
    <row r="180" spans="1:17">
      <c r="A180" s="758">
        <v>18</v>
      </c>
      <c r="B180" s="751" t="s">
        <v>14121</v>
      </c>
      <c r="C180" s="55" t="s">
        <v>14141</v>
      </c>
      <c r="D180" s="753">
        <v>0</v>
      </c>
      <c r="E180" s="753">
        <v>0</v>
      </c>
      <c r="F180" s="753">
        <v>0</v>
      </c>
      <c r="G180" s="753">
        <v>0</v>
      </c>
      <c r="H180" s="753">
        <v>0</v>
      </c>
      <c r="I180" s="753">
        <v>0</v>
      </c>
      <c r="J180" s="753">
        <v>0</v>
      </c>
      <c r="K180" s="753">
        <v>0</v>
      </c>
      <c r="L180" s="753">
        <v>0</v>
      </c>
      <c r="M180" s="753">
        <v>0</v>
      </c>
      <c r="N180" s="63">
        <v>3903</v>
      </c>
      <c r="O180" s="63">
        <v>3988</v>
      </c>
      <c r="Q180" s="751" t="s">
        <v>4047</v>
      </c>
    </row>
    <row r="181" spans="1:17">
      <c r="A181" s="758">
        <v>19</v>
      </c>
      <c r="B181" s="751" t="s">
        <v>14118</v>
      </c>
      <c r="C181" s="55" t="s">
        <v>14142</v>
      </c>
      <c r="D181" s="753">
        <v>0</v>
      </c>
      <c r="E181" s="753">
        <v>0</v>
      </c>
      <c r="F181" s="753">
        <v>0</v>
      </c>
      <c r="G181" s="753">
        <v>0</v>
      </c>
      <c r="H181" s="753">
        <v>0</v>
      </c>
      <c r="I181" s="753">
        <v>0</v>
      </c>
      <c r="J181" s="753">
        <v>0</v>
      </c>
      <c r="K181" s="753">
        <v>0</v>
      </c>
      <c r="L181" s="753">
        <v>0</v>
      </c>
      <c r="M181" s="753">
        <v>0</v>
      </c>
      <c r="N181" s="63">
        <v>1238</v>
      </c>
      <c r="O181" s="63">
        <v>1256</v>
      </c>
      <c r="Q181" s="751" t="s">
        <v>4039</v>
      </c>
    </row>
    <row r="182" spans="1:17" ht="15.75" thickBot="1">
      <c r="A182" s="758"/>
      <c r="B182" s="751"/>
      <c r="C182" s="55" t="s">
        <v>14142</v>
      </c>
      <c r="D182" s="753">
        <v>0</v>
      </c>
      <c r="E182" s="753">
        <v>0</v>
      </c>
      <c r="F182" s="753">
        <v>0</v>
      </c>
      <c r="G182" s="753">
        <v>0</v>
      </c>
      <c r="H182" s="753">
        <v>0</v>
      </c>
      <c r="I182" s="753">
        <v>0</v>
      </c>
      <c r="J182" s="753">
        <v>0</v>
      </c>
      <c r="K182" s="753">
        <v>0</v>
      </c>
      <c r="L182" s="753">
        <v>0</v>
      </c>
      <c r="M182" s="753">
        <v>0</v>
      </c>
      <c r="N182" s="63">
        <v>2996</v>
      </c>
      <c r="O182" s="63">
        <v>3040</v>
      </c>
      <c r="Q182" s="751" t="s">
        <v>4047</v>
      </c>
    </row>
    <row r="183" spans="1:17" ht="15.75" thickBot="1">
      <c r="A183" s="758"/>
      <c r="B183" s="751"/>
      <c r="C183" s="55" t="s">
        <v>14142</v>
      </c>
      <c r="D183" s="757">
        <f t="shared" ref="D183:N183" si="78">SUM(D181:D182)</f>
        <v>0</v>
      </c>
      <c r="E183" s="757">
        <f t="shared" si="78"/>
        <v>0</v>
      </c>
      <c r="F183" s="757">
        <f t="shared" si="78"/>
        <v>0</v>
      </c>
      <c r="G183" s="761">
        <f t="shared" si="78"/>
        <v>0</v>
      </c>
      <c r="H183" s="761">
        <f t="shared" si="78"/>
        <v>0</v>
      </c>
      <c r="I183" s="761">
        <f t="shared" si="78"/>
        <v>0</v>
      </c>
      <c r="J183" s="761">
        <f t="shared" si="78"/>
        <v>0</v>
      </c>
      <c r="K183" s="761">
        <f t="shared" si="78"/>
        <v>0</v>
      </c>
      <c r="L183" s="761">
        <f t="shared" si="78"/>
        <v>0</v>
      </c>
      <c r="M183" s="761">
        <f t="shared" si="78"/>
        <v>0</v>
      </c>
      <c r="N183" s="761">
        <f t="shared" si="78"/>
        <v>4234</v>
      </c>
      <c r="O183" s="761">
        <f>SUM(O181:O182)</f>
        <v>4296</v>
      </c>
      <c r="Q183" s="751"/>
    </row>
    <row r="184" spans="1:17">
      <c r="A184" s="758">
        <v>20</v>
      </c>
      <c r="B184" s="751" t="s">
        <v>14119</v>
      </c>
      <c r="C184" s="55" t="s">
        <v>14143</v>
      </c>
      <c r="D184" s="753">
        <v>0</v>
      </c>
      <c r="E184" s="753">
        <v>0</v>
      </c>
      <c r="F184" s="753">
        <v>0</v>
      </c>
      <c r="G184" s="753">
        <v>0</v>
      </c>
      <c r="H184" s="753">
        <v>0</v>
      </c>
      <c r="I184" s="753">
        <v>0</v>
      </c>
      <c r="J184" s="753">
        <v>0</v>
      </c>
      <c r="K184" s="753">
        <v>0</v>
      </c>
      <c r="L184" s="753">
        <v>0</v>
      </c>
      <c r="M184" s="753">
        <v>0</v>
      </c>
      <c r="N184" s="63">
        <v>1716</v>
      </c>
      <c r="O184" s="63">
        <v>1746</v>
      </c>
      <c r="Q184" s="751" t="s">
        <v>4039</v>
      </c>
    </row>
    <row r="185" spans="1:17">
      <c r="A185" s="758">
        <v>21</v>
      </c>
      <c r="B185" s="160" t="s">
        <v>14122</v>
      </c>
      <c r="C185" s="160" t="s">
        <v>14144</v>
      </c>
      <c r="D185" s="753">
        <v>0</v>
      </c>
      <c r="E185" s="753">
        <v>0</v>
      </c>
      <c r="F185" s="753">
        <v>0</v>
      </c>
      <c r="G185" s="753">
        <v>0</v>
      </c>
      <c r="H185" s="753">
        <v>0</v>
      </c>
      <c r="I185" s="753">
        <v>0</v>
      </c>
      <c r="J185" s="753">
        <v>0</v>
      </c>
      <c r="K185" s="753">
        <v>0</v>
      </c>
      <c r="L185" s="753">
        <v>0</v>
      </c>
      <c r="M185" s="753">
        <v>0</v>
      </c>
      <c r="N185" s="755">
        <v>3586</v>
      </c>
      <c r="O185" s="755">
        <v>3618</v>
      </c>
      <c r="Q185" s="751" t="s">
        <v>4047</v>
      </c>
    </row>
    <row r="186" spans="1:17">
      <c r="D186" s="755"/>
      <c r="E186" s="755"/>
      <c r="F186" s="755"/>
      <c r="G186" s="755"/>
      <c r="H186" s="755"/>
      <c r="I186" s="755"/>
      <c r="J186" s="755"/>
      <c r="K186" s="755"/>
      <c r="L186" s="755"/>
      <c r="M186" s="755"/>
      <c r="N186" s="755"/>
      <c r="O186" s="755"/>
    </row>
    <row r="187" spans="1:17">
      <c r="A187" s="751" t="s">
        <v>893</v>
      </c>
      <c r="D187" s="753">
        <f t="shared" ref="D187:M187" si="79">SUM(D161:D169,D171:D173,D176:D179,D181,D184)</f>
        <v>56592</v>
      </c>
      <c r="E187" s="753">
        <f t="shared" si="79"/>
        <v>56783</v>
      </c>
      <c r="F187" s="753">
        <f t="shared" si="79"/>
        <v>57071</v>
      </c>
      <c r="G187" s="753">
        <f t="shared" si="79"/>
        <v>57554</v>
      </c>
      <c r="H187" s="753">
        <f t="shared" si="79"/>
        <v>55214</v>
      </c>
      <c r="I187" s="753">
        <f t="shared" si="79"/>
        <v>55891</v>
      </c>
      <c r="J187" s="753">
        <f t="shared" si="79"/>
        <v>55659</v>
      </c>
      <c r="K187" s="753">
        <f t="shared" si="79"/>
        <v>57483</v>
      </c>
      <c r="L187" s="753">
        <f t="shared" si="79"/>
        <v>57950</v>
      </c>
      <c r="M187" s="753">
        <f t="shared" si="79"/>
        <v>57456</v>
      </c>
      <c r="N187" s="753">
        <f>SUM(N161:N169,N171:N173,N176:N179,N181,N184)</f>
        <v>58518</v>
      </c>
      <c r="O187" s="753">
        <f>SUM(O161:O169,O171:O173,O176:O179,O181,O184)</f>
        <v>59259</v>
      </c>
    </row>
    <row r="188" spans="1:17">
      <c r="A188" s="751" t="s">
        <v>1287</v>
      </c>
      <c r="D188" s="753">
        <f t="shared" ref="D188:M188" si="80">SUM(D170,D174,D180,D182,D185)</f>
        <v>14416</v>
      </c>
      <c r="E188" s="753">
        <f t="shared" si="80"/>
        <v>14506</v>
      </c>
      <c r="F188" s="753">
        <f t="shared" si="80"/>
        <v>14565</v>
      </c>
      <c r="G188" s="753">
        <f t="shared" si="80"/>
        <v>14654</v>
      </c>
      <c r="H188" s="753">
        <f t="shared" si="80"/>
        <v>14255</v>
      </c>
      <c r="I188" s="753">
        <f t="shared" si="80"/>
        <v>14388</v>
      </c>
      <c r="J188" s="753">
        <f t="shared" si="80"/>
        <v>14282</v>
      </c>
      <c r="K188" s="753">
        <f t="shared" si="80"/>
        <v>14631</v>
      </c>
      <c r="L188" s="753">
        <f t="shared" si="80"/>
        <v>14793</v>
      </c>
      <c r="M188" s="753">
        <f t="shared" si="80"/>
        <v>14641</v>
      </c>
      <c r="N188" s="753">
        <f>SUM(N170,N174,N180,N182,N185)</f>
        <v>14855</v>
      </c>
      <c r="O188" s="753">
        <f>SUM(O170,O174,O180,O182,O185)</f>
        <v>15079</v>
      </c>
    </row>
    <row r="189" spans="1:17">
      <c r="A189" s="751"/>
      <c r="D189" s="753"/>
      <c r="E189" s="753"/>
      <c r="F189" s="753"/>
      <c r="G189" s="753"/>
      <c r="H189" s="753"/>
      <c r="I189" s="753"/>
      <c r="J189" s="753"/>
      <c r="K189" s="753"/>
      <c r="L189" s="753"/>
      <c r="M189" s="753"/>
      <c r="N189" s="753"/>
      <c r="O189" s="753"/>
    </row>
    <row r="190" spans="1:17">
      <c r="A190" s="751" t="s">
        <v>14123</v>
      </c>
      <c r="D190" s="753"/>
      <c r="E190" s="753"/>
      <c r="F190" s="753"/>
      <c r="G190" s="753"/>
      <c r="H190" s="753"/>
      <c r="I190" s="753"/>
      <c r="J190" s="753"/>
      <c r="K190" s="753"/>
      <c r="L190" s="753"/>
      <c r="M190" s="753"/>
      <c r="N190" s="753"/>
      <c r="O190" s="753"/>
    </row>
    <row r="191" spans="1:17">
      <c r="A191" s="751"/>
      <c r="B191" s="751"/>
      <c r="D191" s="760"/>
      <c r="E191" s="760"/>
      <c r="F191" s="760"/>
      <c r="G191" s="760"/>
      <c r="H191" s="760"/>
      <c r="I191" s="760"/>
      <c r="J191" s="760"/>
      <c r="K191" s="760"/>
      <c r="L191" s="760"/>
      <c r="M191" s="760"/>
      <c r="N191" s="760"/>
      <c r="O191" s="760"/>
    </row>
    <row r="192" spans="1:17">
      <c r="A192" s="751"/>
      <c r="B192" s="751"/>
      <c r="D192" s="760"/>
      <c r="E192" s="760"/>
      <c r="F192" s="760"/>
      <c r="G192" s="760"/>
      <c r="H192" s="760"/>
      <c r="I192" s="760"/>
      <c r="J192" s="760"/>
      <c r="K192" s="760"/>
      <c r="L192" s="760"/>
      <c r="M192" s="760"/>
      <c r="N192" s="760"/>
      <c r="O192" s="760"/>
    </row>
    <row r="193" spans="1:17">
      <c r="E193" s="51" t="s">
        <v>1526</v>
      </c>
      <c r="F193" s="51"/>
      <c r="G193" s="51"/>
      <c r="H193" s="51"/>
      <c r="I193" s="51"/>
      <c r="J193" s="51"/>
      <c r="K193" s="51"/>
      <c r="L193" s="51"/>
      <c r="M193" s="51"/>
      <c r="N193" s="51"/>
      <c r="O193" s="51"/>
      <c r="P193" s="52"/>
      <c r="Q193" s="53" t="s">
        <v>9479</v>
      </c>
    </row>
    <row r="194" spans="1:17">
      <c r="D194" s="40">
        <v>2010</v>
      </c>
      <c r="E194" s="40">
        <v>2011</v>
      </c>
      <c r="F194" s="40">
        <v>2012</v>
      </c>
      <c r="G194" s="40">
        <v>2013</v>
      </c>
      <c r="H194" s="40">
        <v>2014</v>
      </c>
      <c r="I194" s="40">
        <v>2015</v>
      </c>
      <c r="J194" s="40">
        <v>2016</v>
      </c>
      <c r="K194" s="40">
        <v>2017</v>
      </c>
      <c r="L194" s="40">
        <v>2018</v>
      </c>
      <c r="M194" s="40">
        <v>2019</v>
      </c>
      <c r="N194" s="40">
        <v>2020</v>
      </c>
      <c r="O194" s="979" t="s">
        <v>14823</v>
      </c>
      <c r="Q194" s="54" t="s">
        <v>1527</v>
      </c>
    </row>
    <row r="195" spans="1:17">
      <c r="A195" s="751" t="s">
        <v>894</v>
      </c>
      <c r="D195" s="56">
        <f t="shared" ref="D195:M195" si="81">SUM(D196:D197,D199:D210,D212:D224,D226:D228,D230:D233,D235:D237,D239:D241,D243:D250)</f>
        <v>114461</v>
      </c>
      <c r="E195" s="56">
        <f t="shared" si="81"/>
        <v>115677</v>
      </c>
      <c r="F195" s="56">
        <f t="shared" si="81"/>
        <v>116669</v>
      </c>
      <c r="G195" s="56">
        <f t="shared" si="81"/>
        <v>118080</v>
      </c>
      <c r="H195" s="56">
        <f t="shared" si="81"/>
        <v>116760</v>
      </c>
      <c r="I195" s="56">
        <f t="shared" si="81"/>
        <v>117402</v>
      </c>
      <c r="J195" s="56">
        <f t="shared" si="81"/>
        <v>116583</v>
      </c>
      <c r="K195" s="56">
        <f t="shared" si="81"/>
        <v>120716</v>
      </c>
      <c r="L195" s="56">
        <f t="shared" si="81"/>
        <v>121625</v>
      </c>
      <c r="M195" s="56">
        <f t="shared" si="81"/>
        <v>121705</v>
      </c>
      <c r="N195" s="56">
        <f>SUM(N196:N197,N199:N210,N212:N224,N226:N228,N230:N233,N235:N237,N239:N241,N243:N250)</f>
        <v>124964</v>
      </c>
      <c r="O195" s="56">
        <f>SUM(O196:O197,O199:O210,O212:O224,O226:O228,O230:O233,O235:O237,O239:O241,O243:O250)</f>
        <v>124733</v>
      </c>
    </row>
    <row r="196" spans="1:17">
      <c r="A196" s="758">
        <v>1</v>
      </c>
      <c r="B196" s="751" t="s">
        <v>14252</v>
      </c>
      <c r="C196" s="55" t="s">
        <v>14273</v>
      </c>
      <c r="D196" s="753">
        <v>0</v>
      </c>
      <c r="E196" s="753">
        <v>0</v>
      </c>
      <c r="F196" s="753">
        <v>0</v>
      </c>
      <c r="G196" s="753">
        <v>0</v>
      </c>
      <c r="H196" s="753">
        <v>0</v>
      </c>
      <c r="I196" s="753">
        <v>0</v>
      </c>
      <c r="J196" s="753">
        <v>0</v>
      </c>
      <c r="K196" s="753">
        <v>0</v>
      </c>
      <c r="L196" s="753">
        <v>0</v>
      </c>
      <c r="M196" s="753">
        <v>0</v>
      </c>
      <c r="N196" s="56">
        <v>1383</v>
      </c>
      <c r="O196" s="56">
        <v>1382</v>
      </c>
      <c r="Q196" s="751" t="s">
        <v>4049</v>
      </c>
    </row>
    <row r="197" spans="1:17" ht="15.75" thickBot="1">
      <c r="A197" s="758"/>
      <c r="B197" s="751"/>
      <c r="C197" s="55" t="s">
        <v>14273</v>
      </c>
      <c r="D197" s="753">
        <v>0</v>
      </c>
      <c r="E197" s="753">
        <v>0</v>
      </c>
      <c r="F197" s="753">
        <v>0</v>
      </c>
      <c r="G197" s="753">
        <v>0</v>
      </c>
      <c r="H197" s="753">
        <v>0</v>
      </c>
      <c r="I197" s="753">
        <v>0</v>
      </c>
      <c r="J197" s="753">
        <v>0</v>
      </c>
      <c r="K197" s="753">
        <v>0</v>
      </c>
      <c r="L197" s="753">
        <v>0</v>
      </c>
      <c r="M197" s="753">
        <v>0</v>
      </c>
      <c r="N197" s="56">
        <v>1061</v>
      </c>
      <c r="O197" s="56">
        <v>1058</v>
      </c>
      <c r="Q197" s="751" t="s">
        <v>4050</v>
      </c>
    </row>
    <row r="198" spans="1:17" ht="15.75" thickBot="1">
      <c r="A198" s="758"/>
      <c r="B198" s="751"/>
      <c r="C198" s="55" t="s">
        <v>14273</v>
      </c>
      <c r="D198" s="757">
        <f t="shared" ref="D198:N198" si="82">SUM(D196:D197)</f>
        <v>0</v>
      </c>
      <c r="E198" s="757">
        <f t="shared" si="82"/>
        <v>0</v>
      </c>
      <c r="F198" s="757">
        <f t="shared" si="82"/>
        <v>0</v>
      </c>
      <c r="G198" s="761">
        <f t="shared" si="82"/>
        <v>0</v>
      </c>
      <c r="H198" s="761">
        <f t="shared" si="82"/>
        <v>0</v>
      </c>
      <c r="I198" s="761">
        <f t="shared" si="82"/>
        <v>0</v>
      </c>
      <c r="J198" s="761">
        <f t="shared" si="82"/>
        <v>0</v>
      </c>
      <c r="K198" s="761">
        <f t="shared" si="82"/>
        <v>0</v>
      </c>
      <c r="L198" s="761">
        <f t="shared" si="82"/>
        <v>0</v>
      </c>
      <c r="M198" s="761">
        <f t="shared" si="82"/>
        <v>0</v>
      </c>
      <c r="N198" s="761">
        <f t="shared" si="82"/>
        <v>2444</v>
      </c>
      <c r="O198" s="761">
        <f>SUM(O196:O197)</f>
        <v>2440</v>
      </c>
      <c r="Q198" s="751"/>
    </row>
    <row r="199" spans="1:17">
      <c r="A199" s="758">
        <v>2</v>
      </c>
      <c r="B199" s="751" t="s">
        <v>14254</v>
      </c>
      <c r="C199" s="55" t="s">
        <v>14274</v>
      </c>
      <c r="D199" s="753">
        <v>76724</v>
      </c>
      <c r="E199" s="753">
        <v>77536</v>
      </c>
      <c r="F199" s="753">
        <v>78574</v>
      </c>
      <c r="G199" s="753">
        <v>79559</v>
      </c>
      <c r="H199" s="753">
        <v>78963</v>
      </c>
      <c r="I199" s="753">
        <v>79263</v>
      </c>
      <c r="J199" s="753">
        <v>78544</v>
      </c>
      <c r="K199" s="753">
        <v>81238</v>
      </c>
      <c r="L199" s="753">
        <v>81821</v>
      </c>
      <c r="M199" s="753">
        <v>81543</v>
      </c>
      <c r="N199" s="56">
        <v>2828</v>
      </c>
      <c r="O199" s="56">
        <v>2816</v>
      </c>
      <c r="Q199" s="751" t="s">
        <v>4050</v>
      </c>
    </row>
    <row r="200" spans="1:17">
      <c r="A200" s="758">
        <v>3</v>
      </c>
      <c r="B200" s="751" t="s">
        <v>14255</v>
      </c>
      <c r="C200" s="55" t="s">
        <v>14275</v>
      </c>
      <c r="D200" s="753">
        <v>0</v>
      </c>
      <c r="E200" s="753">
        <v>0</v>
      </c>
      <c r="F200" s="753">
        <v>0</v>
      </c>
      <c r="G200" s="753">
        <v>0</v>
      </c>
      <c r="H200" s="753">
        <v>0</v>
      </c>
      <c r="I200" s="753">
        <v>0</v>
      </c>
      <c r="J200" s="753">
        <v>0</v>
      </c>
      <c r="K200" s="753">
        <v>0</v>
      </c>
      <c r="L200" s="753">
        <v>0</v>
      </c>
      <c r="M200" s="753">
        <v>0</v>
      </c>
      <c r="N200" s="56">
        <v>2777</v>
      </c>
      <c r="O200" s="56">
        <v>2774</v>
      </c>
      <c r="P200" s="762"/>
      <c r="Q200" s="751" t="s">
        <v>4050</v>
      </c>
    </row>
    <row r="201" spans="1:17">
      <c r="A201" s="758">
        <v>4</v>
      </c>
      <c r="B201" s="751" t="s">
        <v>14256</v>
      </c>
      <c r="C201" s="55" t="s">
        <v>14276</v>
      </c>
      <c r="D201" s="753">
        <v>0</v>
      </c>
      <c r="E201" s="753">
        <v>0</v>
      </c>
      <c r="F201" s="753">
        <v>0</v>
      </c>
      <c r="G201" s="753">
        <v>0</v>
      </c>
      <c r="H201" s="753">
        <v>0</v>
      </c>
      <c r="I201" s="753">
        <v>0</v>
      </c>
      <c r="J201" s="753">
        <v>0</v>
      </c>
      <c r="K201" s="753">
        <v>0</v>
      </c>
      <c r="L201" s="753">
        <v>0</v>
      </c>
      <c r="M201" s="753">
        <v>0</v>
      </c>
      <c r="N201" s="56">
        <v>2947</v>
      </c>
      <c r="O201" s="56">
        <v>2917</v>
      </c>
      <c r="P201" s="762"/>
      <c r="Q201" s="751" t="s">
        <v>4050</v>
      </c>
    </row>
    <row r="202" spans="1:17">
      <c r="A202" s="758">
        <v>5</v>
      </c>
      <c r="B202" s="751" t="s">
        <v>2218</v>
      </c>
      <c r="C202" s="55" t="s">
        <v>14277</v>
      </c>
      <c r="D202" s="753">
        <v>0</v>
      </c>
      <c r="E202" s="753">
        <v>0</v>
      </c>
      <c r="F202" s="753">
        <v>0</v>
      </c>
      <c r="G202" s="753">
        <v>0</v>
      </c>
      <c r="H202" s="753">
        <v>0</v>
      </c>
      <c r="I202" s="753">
        <v>0</v>
      </c>
      <c r="J202" s="753">
        <v>0</v>
      </c>
      <c r="K202" s="753">
        <v>0</v>
      </c>
      <c r="L202" s="753">
        <v>0</v>
      </c>
      <c r="M202" s="753">
        <v>0</v>
      </c>
      <c r="N202" s="56">
        <v>2972</v>
      </c>
      <c r="O202" s="56">
        <v>2982</v>
      </c>
      <c r="P202" s="762"/>
      <c r="Q202" s="751" t="s">
        <v>4050</v>
      </c>
    </row>
    <row r="203" spans="1:17">
      <c r="A203" s="758">
        <v>6</v>
      </c>
      <c r="B203" s="751" t="s">
        <v>2219</v>
      </c>
      <c r="C203" s="55" t="s">
        <v>14278</v>
      </c>
      <c r="D203" s="753">
        <v>0</v>
      </c>
      <c r="E203" s="753">
        <v>0</v>
      </c>
      <c r="F203" s="753">
        <v>0</v>
      </c>
      <c r="G203" s="753">
        <v>0</v>
      </c>
      <c r="H203" s="753">
        <v>0</v>
      </c>
      <c r="I203" s="753">
        <v>0</v>
      </c>
      <c r="J203" s="753">
        <v>0</v>
      </c>
      <c r="K203" s="753">
        <v>0</v>
      </c>
      <c r="L203" s="753">
        <v>0</v>
      </c>
      <c r="M203" s="753">
        <v>0</v>
      </c>
      <c r="N203" s="56">
        <v>2890</v>
      </c>
      <c r="O203" s="56">
        <v>2887</v>
      </c>
      <c r="P203" s="762"/>
      <c r="Q203" s="751" t="s">
        <v>4050</v>
      </c>
    </row>
    <row r="204" spans="1:17">
      <c r="A204" s="758">
        <v>7</v>
      </c>
      <c r="B204" s="751" t="s">
        <v>14257</v>
      </c>
      <c r="C204" s="55" t="s">
        <v>14279</v>
      </c>
      <c r="D204" s="753">
        <v>0</v>
      </c>
      <c r="E204" s="753">
        <v>0</v>
      </c>
      <c r="F204" s="753">
        <v>0</v>
      </c>
      <c r="G204" s="753">
        <v>0</v>
      </c>
      <c r="H204" s="753">
        <v>0</v>
      </c>
      <c r="I204" s="753">
        <v>0</v>
      </c>
      <c r="J204" s="753">
        <v>0</v>
      </c>
      <c r="K204" s="753">
        <v>0</v>
      </c>
      <c r="L204" s="753">
        <v>0</v>
      </c>
      <c r="M204" s="753">
        <v>0</v>
      </c>
      <c r="N204" s="56">
        <v>2684</v>
      </c>
      <c r="O204" s="56">
        <v>2706</v>
      </c>
      <c r="P204" s="762"/>
      <c r="Q204" s="751" t="s">
        <v>4050</v>
      </c>
    </row>
    <row r="205" spans="1:17">
      <c r="A205" s="758">
        <v>8</v>
      </c>
      <c r="B205" s="751" t="s">
        <v>14258</v>
      </c>
      <c r="C205" s="55" t="s">
        <v>14280</v>
      </c>
      <c r="D205" s="753">
        <v>0</v>
      </c>
      <c r="E205" s="753">
        <v>0</v>
      </c>
      <c r="F205" s="753">
        <v>0</v>
      </c>
      <c r="G205" s="753">
        <v>0</v>
      </c>
      <c r="H205" s="753">
        <v>0</v>
      </c>
      <c r="I205" s="753">
        <v>0</v>
      </c>
      <c r="J205" s="753">
        <v>0</v>
      </c>
      <c r="K205" s="753">
        <v>0</v>
      </c>
      <c r="L205" s="753">
        <v>0</v>
      </c>
      <c r="M205" s="753">
        <v>0</v>
      </c>
      <c r="N205" s="56">
        <v>2503</v>
      </c>
      <c r="O205" s="56">
        <v>2503</v>
      </c>
      <c r="P205" s="762"/>
      <c r="Q205" s="751" t="s">
        <v>4050</v>
      </c>
    </row>
    <row r="206" spans="1:17">
      <c r="A206" s="758">
        <v>9</v>
      </c>
      <c r="B206" s="751" t="s">
        <v>14259</v>
      </c>
      <c r="C206" s="55" t="s">
        <v>14281</v>
      </c>
      <c r="D206" s="753">
        <v>0</v>
      </c>
      <c r="E206" s="753">
        <v>0</v>
      </c>
      <c r="F206" s="753">
        <v>0</v>
      </c>
      <c r="G206" s="753">
        <v>0</v>
      </c>
      <c r="H206" s="753">
        <v>0</v>
      </c>
      <c r="I206" s="753">
        <v>0</v>
      </c>
      <c r="J206" s="753">
        <v>0</v>
      </c>
      <c r="K206" s="753">
        <v>0</v>
      </c>
      <c r="L206" s="753">
        <v>0</v>
      </c>
      <c r="M206" s="753">
        <v>0</v>
      </c>
      <c r="N206" s="56">
        <v>2770</v>
      </c>
      <c r="O206" s="56">
        <v>2761</v>
      </c>
      <c r="P206" s="762"/>
      <c r="Q206" s="751" t="s">
        <v>4050</v>
      </c>
    </row>
    <row r="207" spans="1:17">
      <c r="A207" s="758">
        <v>10</v>
      </c>
      <c r="B207" s="751" t="s">
        <v>14260</v>
      </c>
      <c r="C207" s="55" t="s">
        <v>14282</v>
      </c>
      <c r="D207" s="753">
        <v>0</v>
      </c>
      <c r="E207" s="753">
        <v>0</v>
      </c>
      <c r="F207" s="753">
        <v>0</v>
      </c>
      <c r="G207" s="753">
        <v>0</v>
      </c>
      <c r="H207" s="753">
        <v>0</v>
      </c>
      <c r="I207" s="753">
        <v>0</v>
      </c>
      <c r="J207" s="753">
        <v>0</v>
      </c>
      <c r="K207" s="753">
        <v>0</v>
      </c>
      <c r="L207" s="753">
        <v>0</v>
      </c>
      <c r="M207" s="753">
        <v>0</v>
      </c>
      <c r="N207" s="56">
        <v>3250</v>
      </c>
      <c r="O207" s="56">
        <v>3233</v>
      </c>
      <c r="P207" s="762"/>
      <c r="Q207" s="751" t="s">
        <v>4050</v>
      </c>
    </row>
    <row r="208" spans="1:17">
      <c r="A208" s="758">
        <v>11</v>
      </c>
      <c r="B208" s="751" t="s">
        <v>3731</v>
      </c>
      <c r="C208" s="55" t="s">
        <v>14283</v>
      </c>
      <c r="D208" s="753">
        <v>0</v>
      </c>
      <c r="E208" s="753">
        <v>0</v>
      </c>
      <c r="F208" s="753">
        <v>0</v>
      </c>
      <c r="G208" s="753">
        <v>0</v>
      </c>
      <c r="H208" s="753">
        <v>0</v>
      </c>
      <c r="I208" s="753">
        <v>0</v>
      </c>
      <c r="J208" s="753">
        <v>0</v>
      </c>
      <c r="K208" s="753">
        <v>0</v>
      </c>
      <c r="L208" s="753">
        <v>0</v>
      </c>
      <c r="M208" s="753">
        <v>0</v>
      </c>
      <c r="N208" s="56">
        <v>2805</v>
      </c>
      <c r="O208" s="56">
        <v>2791</v>
      </c>
      <c r="P208" s="762"/>
      <c r="Q208" s="751" t="s">
        <v>4050</v>
      </c>
    </row>
    <row r="209" spans="1:17">
      <c r="A209" s="758">
        <v>12</v>
      </c>
      <c r="B209" s="751" t="s">
        <v>14240</v>
      </c>
      <c r="C209" s="55" t="s">
        <v>14284</v>
      </c>
      <c r="D209" s="753">
        <v>0</v>
      </c>
      <c r="E209" s="753">
        <v>0</v>
      </c>
      <c r="F209" s="753">
        <v>0</v>
      </c>
      <c r="G209" s="753">
        <v>0</v>
      </c>
      <c r="H209" s="753">
        <v>0</v>
      </c>
      <c r="I209" s="753">
        <v>0</v>
      </c>
      <c r="J209" s="753">
        <v>0</v>
      </c>
      <c r="K209" s="753">
        <v>0</v>
      </c>
      <c r="L209" s="753">
        <v>0</v>
      </c>
      <c r="M209" s="753">
        <v>0</v>
      </c>
      <c r="N209" s="56">
        <v>1013</v>
      </c>
      <c r="O209" s="56">
        <v>1001</v>
      </c>
      <c r="P209" s="762"/>
      <c r="Q209" s="751" t="s">
        <v>4039</v>
      </c>
    </row>
    <row r="210" spans="1:17" ht="15.75" thickBot="1">
      <c r="A210" s="758"/>
      <c r="B210" s="751"/>
      <c r="C210" s="55" t="s">
        <v>14284</v>
      </c>
      <c r="D210" s="753">
        <v>0</v>
      </c>
      <c r="E210" s="753">
        <v>0</v>
      </c>
      <c r="F210" s="753">
        <v>0</v>
      </c>
      <c r="G210" s="753">
        <v>0</v>
      </c>
      <c r="H210" s="753">
        <v>0</v>
      </c>
      <c r="I210" s="753">
        <v>0</v>
      </c>
      <c r="J210" s="753">
        <v>0</v>
      </c>
      <c r="K210" s="753">
        <v>0</v>
      </c>
      <c r="L210" s="753">
        <v>0</v>
      </c>
      <c r="M210" s="753">
        <v>0</v>
      </c>
      <c r="N210" s="56">
        <v>1641</v>
      </c>
      <c r="O210" s="56">
        <v>1644</v>
      </c>
      <c r="P210" s="762"/>
      <c r="Q210" s="751" t="s">
        <v>4050</v>
      </c>
    </row>
    <row r="211" spans="1:17" ht="15.75" thickBot="1">
      <c r="A211" s="758"/>
      <c r="B211" s="751"/>
      <c r="C211" s="55" t="s">
        <v>14284</v>
      </c>
      <c r="D211" s="757">
        <f t="shared" ref="D211:N211" si="83">SUM(D209:D210)</f>
        <v>0</v>
      </c>
      <c r="E211" s="757">
        <f t="shared" si="83"/>
        <v>0</v>
      </c>
      <c r="F211" s="757">
        <f t="shared" si="83"/>
        <v>0</v>
      </c>
      <c r="G211" s="761">
        <f t="shared" si="83"/>
        <v>0</v>
      </c>
      <c r="H211" s="761">
        <f t="shared" si="83"/>
        <v>0</v>
      </c>
      <c r="I211" s="761">
        <f t="shared" si="83"/>
        <v>0</v>
      </c>
      <c r="J211" s="761">
        <f t="shared" si="83"/>
        <v>0</v>
      </c>
      <c r="K211" s="761">
        <f t="shared" si="83"/>
        <v>0</v>
      </c>
      <c r="L211" s="761">
        <f t="shared" si="83"/>
        <v>0</v>
      </c>
      <c r="M211" s="761">
        <f t="shared" si="83"/>
        <v>0</v>
      </c>
      <c r="N211" s="761">
        <f t="shared" si="83"/>
        <v>2654</v>
      </c>
      <c r="O211" s="761">
        <f>SUM(O209:O210)</f>
        <v>2645</v>
      </c>
    </row>
    <row r="212" spans="1:17" ht="16.5" customHeight="1">
      <c r="A212" s="758">
        <v>13</v>
      </c>
      <c r="B212" s="751" t="s">
        <v>14261</v>
      </c>
      <c r="C212" s="55" t="s">
        <v>14285</v>
      </c>
      <c r="D212" s="753">
        <v>0</v>
      </c>
      <c r="E212" s="753">
        <v>0</v>
      </c>
      <c r="F212" s="753">
        <v>0</v>
      </c>
      <c r="G212" s="753">
        <v>0</v>
      </c>
      <c r="H212" s="753">
        <v>0</v>
      </c>
      <c r="I212" s="753">
        <v>0</v>
      </c>
      <c r="J212" s="753">
        <v>0</v>
      </c>
      <c r="K212" s="753">
        <v>0</v>
      </c>
      <c r="L212" s="753">
        <v>0</v>
      </c>
      <c r="M212" s="753">
        <v>0</v>
      </c>
      <c r="N212" s="56">
        <v>5273</v>
      </c>
      <c r="O212" s="56">
        <v>5365</v>
      </c>
      <c r="P212" s="762"/>
      <c r="Q212" s="751" t="s">
        <v>4050</v>
      </c>
    </row>
    <row r="213" spans="1:17">
      <c r="A213" s="758">
        <v>14</v>
      </c>
      <c r="B213" s="751" t="s">
        <v>14262</v>
      </c>
      <c r="C213" s="55" t="s">
        <v>14286</v>
      </c>
      <c r="D213" s="753">
        <v>0</v>
      </c>
      <c r="E213" s="753">
        <v>0</v>
      </c>
      <c r="F213" s="753">
        <v>0</v>
      </c>
      <c r="G213" s="753">
        <v>0</v>
      </c>
      <c r="H213" s="753">
        <v>0</v>
      </c>
      <c r="I213" s="753">
        <v>0</v>
      </c>
      <c r="J213" s="753">
        <v>0</v>
      </c>
      <c r="K213" s="753">
        <v>0</v>
      </c>
      <c r="L213" s="753">
        <v>0</v>
      </c>
      <c r="M213" s="753">
        <v>0</v>
      </c>
      <c r="N213" s="56">
        <v>2638</v>
      </c>
      <c r="O213" s="56">
        <v>2642</v>
      </c>
      <c r="P213" s="762"/>
      <c r="Q213" s="751" t="s">
        <v>4050</v>
      </c>
    </row>
    <row r="214" spans="1:17">
      <c r="A214" s="758">
        <v>15</v>
      </c>
      <c r="B214" s="751" t="s">
        <v>14263</v>
      </c>
      <c r="C214" s="55" t="s">
        <v>14287</v>
      </c>
      <c r="D214" s="753">
        <v>0</v>
      </c>
      <c r="E214" s="753">
        <v>0</v>
      </c>
      <c r="F214" s="753">
        <v>0</v>
      </c>
      <c r="G214" s="753">
        <v>0</v>
      </c>
      <c r="H214" s="753">
        <v>0</v>
      </c>
      <c r="I214" s="753">
        <v>0</v>
      </c>
      <c r="J214" s="753">
        <v>0</v>
      </c>
      <c r="K214" s="753">
        <v>0</v>
      </c>
      <c r="L214" s="753">
        <v>0</v>
      </c>
      <c r="M214" s="753">
        <v>0</v>
      </c>
      <c r="N214" s="56">
        <v>2506</v>
      </c>
      <c r="O214" s="56">
        <v>2504</v>
      </c>
      <c r="P214" s="762"/>
      <c r="Q214" s="751" t="s">
        <v>4050</v>
      </c>
    </row>
    <row r="215" spans="1:17">
      <c r="A215" s="758">
        <v>16</v>
      </c>
      <c r="B215" s="751" t="s">
        <v>3732</v>
      </c>
      <c r="C215" s="55" t="s">
        <v>14288</v>
      </c>
      <c r="D215" s="753">
        <v>0</v>
      </c>
      <c r="E215" s="753">
        <v>0</v>
      </c>
      <c r="F215" s="753">
        <v>0</v>
      </c>
      <c r="G215" s="753">
        <v>0</v>
      </c>
      <c r="H215" s="753">
        <v>0</v>
      </c>
      <c r="I215" s="753">
        <v>0</v>
      </c>
      <c r="J215" s="753">
        <v>0</v>
      </c>
      <c r="K215" s="753">
        <v>0</v>
      </c>
      <c r="L215" s="753">
        <v>0</v>
      </c>
      <c r="M215" s="753">
        <v>0</v>
      </c>
      <c r="N215" s="56">
        <v>3108</v>
      </c>
      <c r="O215" s="56">
        <v>3139</v>
      </c>
      <c r="P215" s="762"/>
      <c r="Q215" s="751" t="s">
        <v>4050</v>
      </c>
    </row>
    <row r="216" spans="1:17">
      <c r="A216" s="758">
        <v>17</v>
      </c>
      <c r="B216" s="751" t="s">
        <v>14264</v>
      </c>
      <c r="C216" s="55" t="s">
        <v>14289</v>
      </c>
      <c r="D216" s="753">
        <v>0</v>
      </c>
      <c r="E216" s="753">
        <v>0</v>
      </c>
      <c r="F216" s="753">
        <v>0</v>
      </c>
      <c r="G216" s="753">
        <v>0</v>
      </c>
      <c r="H216" s="753">
        <v>0</v>
      </c>
      <c r="I216" s="753">
        <v>0</v>
      </c>
      <c r="J216" s="753">
        <v>0</v>
      </c>
      <c r="K216" s="753">
        <v>0</v>
      </c>
      <c r="L216" s="753">
        <v>0</v>
      </c>
      <c r="M216" s="753">
        <v>0</v>
      </c>
      <c r="N216" s="56">
        <v>2605</v>
      </c>
      <c r="O216" s="56">
        <v>2598</v>
      </c>
      <c r="P216" s="762"/>
      <c r="Q216" s="751" t="s">
        <v>4050</v>
      </c>
    </row>
    <row r="217" spans="1:17">
      <c r="A217" s="758">
        <v>18</v>
      </c>
      <c r="B217" s="751" t="s">
        <v>14265</v>
      </c>
      <c r="C217" s="55" t="s">
        <v>14290</v>
      </c>
      <c r="D217" s="753">
        <v>0</v>
      </c>
      <c r="E217" s="753">
        <v>0</v>
      </c>
      <c r="F217" s="753">
        <v>0</v>
      </c>
      <c r="G217" s="753">
        <v>0</v>
      </c>
      <c r="H217" s="753">
        <v>0</v>
      </c>
      <c r="I217" s="753">
        <v>0</v>
      </c>
      <c r="J217" s="753">
        <v>0</v>
      </c>
      <c r="K217" s="753">
        <v>0</v>
      </c>
      <c r="L217" s="753">
        <v>0</v>
      </c>
      <c r="M217" s="753">
        <v>0</v>
      </c>
      <c r="N217" s="56">
        <v>2659</v>
      </c>
      <c r="O217" s="56">
        <v>2644</v>
      </c>
      <c r="P217" s="762"/>
      <c r="Q217" s="751" t="s">
        <v>4050</v>
      </c>
    </row>
    <row r="218" spans="1:17">
      <c r="A218" s="758">
        <v>19</v>
      </c>
      <c r="B218" s="751" t="s">
        <v>14266</v>
      </c>
      <c r="C218" s="55" t="s">
        <v>14291</v>
      </c>
      <c r="D218" s="753">
        <v>0</v>
      </c>
      <c r="E218" s="753">
        <v>0</v>
      </c>
      <c r="F218" s="753">
        <v>0</v>
      </c>
      <c r="G218" s="753">
        <v>0</v>
      </c>
      <c r="H218" s="753">
        <v>0</v>
      </c>
      <c r="I218" s="753">
        <v>0</v>
      </c>
      <c r="J218" s="753">
        <v>0</v>
      </c>
      <c r="K218" s="753">
        <v>0</v>
      </c>
      <c r="L218" s="753">
        <v>0</v>
      </c>
      <c r="M218" s="753">
        <v>0</v>
      </c>
      <c r="N218" s="56">
        <v>2902</v>
      </c>
      <c r="O218" s="56">
        <v>2889</v>
      </c>
      <c r="P218" s="762"/>
      <c r="Q218" s="751" t="s">
        <v>4050</v>
      </c>
    </row>
    <row r="219" spans="1:17">
      <c r="A219" s="758">
        <v>20</v>
      </c>
      <c r="B219" s="751" t="s">
        <v>14267</v>
      </c>
      <c r="C219" s="55" t="s">
        <v>14292</v>
      </c>
      <c r="D219" s="753">
        <v>0</v>
      </c>
      <c r="E219" s="753">
        <v>0</v>
      </c>
      <c r="F219" s="753">
        <v>0</v>
      </c>
      <c r="G219" s="753">
        <v>0</v>
      </c>
      <c r="H219" s="753">
        <v>0</v>
      </c>
      <c r="I219" s="753">
        <v>0</v>
      </c>
      <c r="J219" s="753">
        <v>0</v>
      </c>
      <c r="K219" s="753">
        <v>0</v>
      </c>
      <c r="L219" s="753">
        <v>0</v>
      </c>
      <c r="M219" s="753">
        <v>0</v>
      </c>
      <c r="N219" s="56">
        <v>2996</v>
      </c>
      <c r="O219" s="56">
        <v>2984</v>
      </c>
      <c r="P219" s="762"/>
      <c r="Q219" s="751" t="s">
        <v>4050</v>
      </c>
    </row>
    <row r="220" spans="1:17">
      <c r="A220" s="758">
        <v>21</v>
      </c>
      <c r="B220" s="751" t="s">
        <v>3733</v>
      </c>
      <c r="C220" s="55" t="s">
        <v>14293</v>
      </c>
      <c r="D220" s="753">
        <v>0</v>
      </c>
      <c r="E220" s="753">
        <v>0</v>
      </c>
      <c r="F220" s="753">
        <v>0</v>
      </c>
      <c r="G220" s="753">
        <v>0</v>
      </c>
      <c r="H220" s="753">
        <v>0</v>
      </c>
      <c r="I220" s="753">
        <v>0</v>
      </c>
      <c r="J220" s="753">
        <v>0</v>
      </c>
      <c r="K220" s="753">
        <v>0</v>
      </c>
      <c r="L220" s="753">
        <v>0</v>
      </c>
      <c r="M220" s="753">
        <v>0</v>
      </c>
      <c r="N220" s="56">
        <v>2890</v>
      </c>
      <c r="O220" s="56">
        <v>2876</v>
      </c>
      <c r="P220" s="762"/>
      <c r="Q220" s="751" t="s">
        <v>4050</v>
      </c>
    </row>
    <row r="221" spans="1:17">
      <c r="A221" s="758">
        <v>22</v>
      </c>
      <c r="B221" s="751" t="s">
        <v>14241</v>
      </c>
      <c r="C221" s="55" t="s">
        <v>14294</v>
      </c>
      <c r="D221" s="753">
        <v>21577</v>
      </c>
      <c r="E221" s="753">
        <v>21819</v>
      </c>
      <c r="F221" s="753">
        <v>21831</v>
      </c>
      <c r="G221" s="753">
        <v>22059</v>
      </c>
      <c r="H221" s="753">
        <v>21438</v>
      </c>
      <c r="I221" s="753">
        <v>21641</v>
      </c>
      <c r="J221" s="753">
        <v>21562</v>
      </c>
      <c r="K221" s="753">
        <v>22413</v>
      </c>
      <c r="L221" s="753">
        <v>22524</v>
      </c>
      <c r="M221" s="753">
        <v>22833</v>
      </c>
      <c r="N221" s="56">
        <v>3140</v>
      </c>
      <c r="O221" s="56">
        <v>3126</v>
      </c>
      <c r="P221" s="762"/>
      <c r="Q221" s="751" t="s">
        <v>4039</v>
      </c>
    </row>
    <row r="222" spans="1:17">
      <c r="A222" s="758">
        <v>23</v>
      </c>
      <c r="B222" s="751" t="s">
        <v>14242</v>
      </c>
      <c r="C222" s="55" t="s">
        <v>14295</v>
      </c>
      <c r="D222" s="753">
        <v>0</v>
      </c>
      <c r="E222" s="753">
        <v>0</v>
      </c>
      <c r="F222" s="753">
        <v>0</v>
      </c>
      <c r="G222" s="753">
        <v>0</v>
      </c>
      <c r="H222" s="753">
        <v>0</v>
      </c>
      <c r="I222" s="753">
        <v>0</v>
      </c>
      <c r="J222" s="753">
        <v>0</v>
      </c>
      <c r="K222" s="753">
        <v>0</v>
      </c>
      <c r="L222" s="753">
        <v>0</v>
      </c>
      <c r="M222" s="753">
        <v>0</v>
      </c>
      <c r="N222" s="56">
        <v>3043</v>
      </c>
      <c r="O222" s="56">
        <v>3037</v>
      </c>
      <c r="P222" s="762"/>
      <c r="Q222" s="751" t="s">
        <v>4039</v>
      </c>
    </row>
    <row r="223" spans="1:17">
      <c r="A223" s="758">
        <v>24</v>
      </c>
      <c r="B223" s="751" t="s">
        <v>5233</v>
      </c>
      <c r="C223" s="55" t="s">
        <v>14296</v>
      </c>
      <c r="D223" s="753">
        <v>0</v>
      </c>
      <c r="E223" s="753">
        <v>0</v>
      </c>
      <c r="F223" s="753">
        <v>0</v>
      </c>
      <c r="G223" s="753">
        <v>0</v>
      </c>
      <c r="H223" s="753">
        <v>0</v>
      </c>
      <c r="I223" s="753">
        <v>0</v>
      </c>
      <c r="J223" s="753">
        <v>0</v>
      </c>
      <c r="K223" s="753">
        <v>0</v>
      </c>
      <c r="L223" s="753">
        <v>0</v>
      </c>
      <c r="M223" s="753">
        <v>0</v>
      </c>
      <c r="N223" s="56">
        <v>182</v>
      </c>
      <c r="O223" s="56">
        <v>182</v>
      </c>
      <c r="P223" s="762"/>
      <c r="Q223" s="751" t="s">
        <v>4039</v>
      </c>
    </row>
    <row r="224" spans="1:17" ht="15.75" thickBot="1">
      <c r="A224" s="758"/>
      <c r="B224" s="751"/>
      <c r="C224" s="55" t="s">
        <v>14296</v>
      </c>
      <c r="D224" s="753">
        <v>0</v>
      </c>
      <c r="E224" s="753">
        <v>0</v>
      </c>
      <c r="F224" s="753">
        <v>0</v>
      </c>
      <c r="G224" s="753">
        <v>0</v>
      </c>
      <c r="H224" s="753">
        <v>0</v>
      </c>
      <c r="I224" s="753">
        <v>0</v>
      </c>
      <c r="J224" s="753">
        <v>0</v>
      </c>
      <c r="K224" s="753">
        <v>0</v>
      </c>
      <c r="L224" s="753">
        <v>0</v>
      </c>
      <c r="M224" s="753">
        <v>0</v>
      </c>
      <c r="N224" s="56">
        <v>2984</v>
      </c>
      <c r="O224" s="56">
        <v>3025</v>
      </c>
      <c r="P224" s="762"/>
      <c r="Q224" s="751" t="s">
        <v>4050</v>
      </c>
    </row>
    <row r="225" spans="1:17" ht="15.75" thickBot="1">
      <c r="A225" s="758"/>
      <c r="B225" s="751"/>
      <c r="C225" s="55" t="s">
        <v>14296</v>
      </c>
      <c r="D225" s="757">
        <f t="shared" ref="D225:N225" si="84">SUM(D223:D224)</f>
        <v>0</v>
      </c>
      <c r="E225" s="757">
        <f t="shared" si="84"/>
        <v>0</v>
      </c>
      <c r="F225" s="757">
        <f t="shared" si="84"/>
        <v>0</v>
      </c>
      <c r="G225" s="761">
        <f t="shared" si="84"/>
        <v>0</v>
      </c>
      <c r="H225" s="761">
        <f t="shared" si="84"/>
        <v>0</v>
      </c>
      <c r="I225" s="761">
        <f t="shared" si="84"/>
        <v>0</v>
      </c>
      <c r="J225" s="761">
        <f t="shared" si="84"/>
        <v>0</v>
      </c>
      <c r="K225" s="761">
        <f t="shared" si="84"/>
        <v>0</v>
      </c>
      <c r="L225" s="761">
        <f t="shared" si="84"/>
        <v>0</v>
      </c>
      <c r="M225" s="761">
        <f t="shared" si="84"/>
        <v>0</v>
      </c>
      <c r="N225" s="761">
        <f t="shared" si="84"/>
        <v>3166</v>
      </c>
      <c r="O225" s="761">
        <f>SUM(O223:O224)</f>
        <v>3207</v>
      </c>
      <c r="P225" s="762"/>
      <c r="Q225" s="751"/>
    </row>
    <row r="226" spans="1:17">
      <c r="A226" s="758">
        <v>25</v>
      </c>
      <c r="B226" s="751" t="s">
        <v>14243</v>
      </c>
      <c r="C226" s="55" t="s">
        <v>14297</v>
      </c>
      <c r="D226" s="753">
        <v>0</v>
      </c>
      <c r="E226" s="753">
        <v>0</v>
      </c>
      <c r="F226" s="753">
        <v>0</v>
      </c>
      <c r="G226" s="753">
        <v>0</v>
      </c>
      <c r="H226" s="753">
        <v>0</v>
      </c>
      <c r="I226" s="753">
        <v>0</v>
      </c>
      <c r="J226" s="753">
        <v>0</v>
      </c>
      <c r="K226" s="753">
        <v>0</v>
      </c>
      <c r="L226" s="753">
        <v>0</v>
      </c>
      <c r="M226" s="753">
        <v>0</v>
      </c>
      <c r="N226" s="56">
        <v>5563</v>
      </c>
      <c r="O226" s="56">
        <v>5546</v>
      </c>
      <c r="P226" s="762"/>
      <c r="Q226" s="751" t="s">
        <v>4039</v>
      </c>
    </row>
    <row r="227" spans="1:17">
      <c r="A227" s="758">
        <v>26</v>
      </c>
      <c r="B227" s="751" t="s">
        <v>14244</v>
      </c>
      <c r="C227" s="55" t="s">
        <v>14298</v>
      </c>
      <c r="D227" s="753">
        <v>0</v>
      </c>
      <c r="E227" s="753">
        <v>0</v>
      </c>
      <c r="F227" s="753">
        <v>0</v>
      </c>
      <c r="G227" s="753">
        <v>0</v>
      </c>
      <c r="H227" s="753">
        <v>0</v>
      </c>
      <c r="I227" s="753">
        <v>0</v>
      </c>
      <c r="J227" s="753">
        <v>0</v>
      </c>
      <c r="K227" s="753">
        <v>0</v>
      </c>
      <c r="L227" s="753">
        <v>0</v>
      </c>
      <c r="M227" s="753">
        <v>0</v>
      </c>
      <c r="N227" s="56">
        <v>3434</v>
      </c>
      <c r="O227" s="56">
        <v>3412</v>
      </c>
      <c r="P227" s="762"/>
      <c r="Q227" s="751" t="s">
        <v>4039</v>
      </c>
    </row>
    <row r="228" spans="1:17" ht="15.75" thickBot="1">
      <c r="A228" s="758"/>
      <c r="B228" s="751"/>
      <c r="C228" s="55" t="s">
        <v>14298</v>
      </c>
      <c r="D228" s="753">
        <v>0</v>
      </c>
      <c r="E228" s="753">
        <v>0</v>
      </c>
      <c r="F228" s="753">
        <v>0</v>
      </c>
      <c r="G228" s="753">
        <v>0</v>
      </c>
      <c r="H228" s="753">
        <v>0</v>
      </c>
      <c r="I228" s="753">
        <v>0</v>
      </c>
      <c r="J228" s="753">
        <v>0</v>
      </c>
      <c r="K228" s="753">
        <v>0</v>
      </c>
      <c r="L228" s="753">
        <v>0</v>
      </c>
      <c r="M228" s="753">
        <v>0</v>
      </c>
      <c r="N228" s="56">
        <v>2252</v>
      </c>
      <c r="O228" s="56">
        <v>2259</v>
      </c>
      <c r="P228" s="762"/>
      <c r="Q228" s="751" t="s">
        <v>4050</v>
      </c>
    </row>
    <row r="229" spans="1:17" ht="15.75" thickBot="1">
      <c r="A229" s="758"/>
      <c r="B229" s="751"/>
      <c r="C229" s="55" t="s">
        <v>14298</v>
      </c>
      <c r="D229" s="757">
        <f t="shared" ref="D229:N229" si="85">SUM(D227:D228)</f>
        <v>0</v>
      </c>
      <c r="E229" s="757">
        <f t="shared" si="85"/>
        <v>0</v>
      </c>
      <c r="F229" s="757">
        <f t="shared" si="85"/>
        <v>0</v>
      </c>
      <c r="G229" s="761">
        <f t="shared" si="85"/>
        <v>0</v>
      </c>
      <c r="H229" s="761">
        <f t="shared" si="85"/>
        <v>0</v>
      </c>
      <c r="I229" s="761">
        <f t="shared" si="85"/>
        <v>0</v>
      </c>
      <c r="J229" s="761">
        <f t="shared" si="85"/>
        <v>0</v>
      </c>
      <c r="K229" s="761">
        <f t="shared" si="85"/>
        <v>0</v>
      </c>
      <c r="L229" s="761">
        <f t="shared" si="85"/>
        <v>0</v>
      </c>
      <c r="M229" s="761">
        <f t="shared" si="85"/>
        <v>0</v>
      </c>
      <c r="N229" s="761">
        <f t="shared" si="85"/>
        <v>5686</v>
      </c>
      <c r="O229" s="761">
        <f>SUM(O227:O228)</f>
        <v>5671</v>
      </c>
      <c r="P229" s="762"/>
      <c r="Q229" s="751"/>
    </row>
    <row r="230" spans="1:17">
      <c r="A230" s="758">
        <v>27</v>
      </c>
      <c r="B230" s="751" t="s">
        <v>14249</v>
      </c>
      <c r="C230" s="55" t="s">
        <v>14299</v>
      </c>
      <c r="D230" s="753">
        <v>6154</v>
      </c>
      <c r="E230" s="753">
        <v>6168</v>
      </c>
      <c r="F230" s="753">
        <v>6148</v>
      </c>
      <c r="G230" s="753">
        <v>6217</v>
      </c>
      <c r="H230" s="753">
        <v>6169</v>
      </c>
      <c r="I230" s="753">
        <v>6187</v>
      </c>
      <c r="J230" s="753">
        <v>6164</v>
      </c>
      <c r="K230" s="753">
        <v>6285</v>
      </c>
      <c r="L230" s="753">
        <v>6329</v>
      </c>
      <c r="M230" s="753">
        <v>6316</v>
      </c>
      <c r="N230" s="56">
        <v>2740</v>
      </c>
      <c r="O230" s="56">
        <v>2731</v>
      </c>
      <c r="Q230" s="751" t="s">
        <v>4046</v>
      </c>
    </row>
    <row r="231" spans="1:17">
      <c r="A231" s="758">
        <v>28</v>
      </c>
      <c r="B231" s="751" t="s">
        <v>14268</v>
      </c>
      <c r="C231" s="55" t="s">
        <v>14300</v>
      </c>
      <c r="D231" s="753">
        <v>0</v>
      </c>
      <c r="E231" s="753">
        <v>0</v>
      </c>
      <c r="F231" s="753">
        <v>0</v>
      </c>
      <c r="G231" s="753">
        <v>0</v>
      </c>
      <c r="H231" s="753">
        <v>0</v>
      </c>
      <c r="I231" s="753">
        <v>0</v>
      </c>
      <c r="J231" s="753">
        <v>0</v>
      </c>
      <c r="K231" s="753">
        <v>0</v>
      </c>
      <c r="L231" s="753">
        <v>0</v>
      </c>
      <c r="M231" s="753">
        <v>0</v>
      </c>
      <c r="N231" s="56">
        <v>3026</v>
      </c>
      <c r="O231" s="56">
        <v>3012</v>
      </c>
      <c r="Q231" s="751" t="s">
        <v>4050</v>
      </c>
    </row>
    <row r="232" spans="1:17">
      <c r="A232" s="758">
        <v>29</v>
      </c>
      <c r="B232" s="751" t="s">
        <v>14245</v>
      </c>
      <c r="C232" s="55" t="s">
        <v>14301</v>
      </c>
      <c r="D232" s="753">
        <v>0</v>
      </c>
      <c r="E232" s="753">
        <v>0</v>
      </c>
      <c r="F232" s="753">
        <v>0</v>
      </c>
      <c r="G232" s="753">
        <v>0</v>
      </c>
      <c r="H232" s="753">
        <v>0</v>
      </c>
      <c r="I232" s="753">
        <v>0</v>
      </c>
      <c r="J232" s="753">
        <v>0</v>
      </c>
      <c r="K232" s="753">
        <v>0</v>
      </c>
      <c r="L232" s="753">
        <v>0</v>
      </c>
      <c r="M232" s="753">
        <v>0</v>
      </c>
      <c r="N232" s="56">
        <v>571</v>
      </c>
      <c r="O232" s="56">
        <v>571</v>
      </c>
      <c r="Q232" s="751" t="s">
        <v>4039</v>
      </c>
    </row>
    <row r="233" spans="1:17" ht="15.75" thickBot="1">
      <c r="A233" s="758"/>
      <c r="B233" s="751"/>
      <c r="C233" s="55" t="s">
        <v>14301</v>
      </c>
      <c r="D233" s="753">
        <v>0</v>
      </c>
      <c r="E233" s="753">
        <v>0</v>
      </c>
      <c r="F233" s="753">
        <v>0</v>
      </c>
      <c r="G233" s="753">
        <v>0</v>
      </c>
      <c r="H233" s="753">
        <v>0</v>
      </c>
      <c r="I233" s="753">
        <v>0</v>
      </c>
      <c r="J233" s="753">
        <v>0</v>
      </c>
      <c r="K233" s="753">
        <v>0</v>
      </c>
      <c r="L233" s="753">
        <v>0</v>
      </c>
      <c r="M233" s="753">
        <v>0</v>
      </c>
      <c r="N233" s="56">
        <v>2292</v>
      </c>
      <c r="O233" s="56">
        <v>2168</v>
      </c>
      <c r="Q233" s="751" t="s">
        <v>4050</v>
      </c>
    </row>
    <row r="234" spans="1:17" ht="15.75" thickBot="1">
      <c r="A234" s="758"/>
      <c r="B234" s="751"/>
      <c r="C234" s="55" t="s">
        <v>14301</v>
      </c>
      <c r="D234" s="757">
        <f t="shared" ref="D234:N234" si="86">SUM(D232:D233)</f>
        <v>0</v>
      </c>
      <c r="E234" s="757">
        <f t="shared" si="86"/>
        <v>0</v>
      </c>
      <c r="F234" s="757">
        <f t="shared" si="86"/>
        <v>0</v>
      </c>
      <c r="G234" s="761">
        <f t="shared" si="86"/>
        <v>0</v>
      </c>
      <c r="H234" s="761">
        <f t="shared" si="86"/>
        <v>0</v>
      </c>
      <c r="I234" s="761">
        <f t="shared" si="86"/>
        <v>0</v>
      </c>
      <c r="J234" s="761">
        <f t="shared" si="86"/>
        <v>0</v>
      </c>
      <c r="K234" s="761">
        <f t="shared" si="86"/>
        <v>0</v>
      </c>
      <c r="L234" s="761">
        <f t="shared" si="86"/>
        <v>0</v>
      </c>
      <c r="M234" s="761">
        <f t="shared" si="86"/>
        <v>0</v>
      </c>
      <c r="N234" s="761">
        <f t="shared" si="86"/>
        <v>2863</v>
      </c>
      <c r="O234" s="761">
        <f>SUM(O232:O233)</f>
        <v>2739</v>
      </c>
      <c r="Q234" s="751"/>
    </row>
    <row r="235" spans="1:17">
      <c r="A235" s="758">
        <v>30</v>
      </c>
      <c r="B235" s="751" t="s">
        <v>14246</v>
      </c>
      <c r="C235" s="55" t="s">
        <v>14302</v>
      </c>
      <c r="D235" s="753">
        <v>0</v>
      </c>
      <c r="E235" s="753">
        <v>0</v>
      </c>
      <c r="F235" s="753">
        <v>0</v>
      </c>
      <c r="G235" s="753">
        <v>0</v>
      </c>
      <c r="H235" s="753">
        <v>0</v>
      </c>
      <c r="I235" s="753">
        <v>0</v>
      </c>
      <c r="J235" s="753">
        <v>0</v>
      </c>
      <c r="K235" s="753">
        <v>0</v>
      </c>
      <c r="L235" s="753">
        <v>0</v>
      </c>
      <c r="M235" s="753">
        <v>0</v>
      </c>
      <c r="N235" s="56">
        <v>2503</v>
      </c>
      <c r="O235" s="56">
        <v>2480</v>
      </c>
      <c r="Q235" s="751" t="s">
        <v>4039</v>
      </c>
    </row>
    <row r="236" spans="1:17">
      <c r="A236" s="758">
        <v>31</v>
      </c>
      <c r="B236" s="751" t="s">
        <v>14247</v>
      </c>
      <c r="C236" s="55" t="s">
        <v>14303</v>
      </c>
      <c r="D236" s="753">
        <v>0</v>
      </c>
      <c r="E236" s="753">
        <v>0</v>
      </c>
      <c r="F236" s="753">
        <v>0</v>
      </c>
      <c r="G236" s="753">
        <v>0</v>
      </c>
      <c r="H236" s="753">
        <v>0</v>
      </c>
      <c r="I236" s="753">
        <v>0</v>
      </c>
      <c r="J236" s="753">
        <v>0</v>
      </c>
      <c r="K236" s="753">
        <v>0</v>
      </c>
      <c r="L236" s="753">
        <v>0</v>
      </c>
      <c r="M236" s="753">
        <v>0</v>
      </c>
      <c r="N236" s="56">
        <v>1324</v>
      </c>
      <c r="O236" s="56">
        <v>1330</v>
      </c>
      <c r="Q236" s="751" t="s">
        <v>4039</v>
      </c>
    </row>
    <row r="237" spans="1:17" ht="15.75" thickBot="1">
      <c r="A237" s="758"/>
      <c r="B237" s="751"/>
      <c r="C237" s="55" t="s">
        <v>14303</v>
      </c>
      <c r="D237" s="753">
        <v>0</v>
      </c>
      <c r="E237" s="753">
        <v>0</v>
      </c>
      <c r="F237" s="753">
        <v>0</v>
      </c>
      <c r="G237" s="753">
        <v>0</v>
      </c>
      <c r="H237" s="753">
        <v>0</v>
      </c>
      <c r="I237" s="753">
        <v>0</v>
      </c>
      <c r="J237" s="753">
        <v>0</v>
      </c>
      <c r="K237" s="753">
        <v>0</v>
      </c>
      <c r="L237" s="753">
        <v>0</v>
      </c>
      <c r="M237" s="753">
        <v>0</v>
      </c>
      <c r="N237" s="56">
        <v>2041</v>
      </c>
      <c r="O237" s="56">
        <v>2040</v>
      </c>
      <c r="Q237" s="751" t="s">
        <v>4049</v>
      </c>
    </row>
    <row r="238" spans="1:17" ht="15.75" thickBot="1">
      <c r="A238" s="758"/>
      <c r="B238" s="751"/>
      <c r="C238" s="55" t="s">
        <v>14303</v>
      </c>
      <c r="D238" s="757">
        <f t="shared" ref="D238:N238" si="87">SUM(D236:D237)</f>
        <v>0</v>
      </c>
      <c r="E238" s="757">
        <f t="shared" si="87"/>
        <v>0</v>
      </c>
      <c r="F238" s="757">
        <f t="shared" si="87"/>
        <v>0</v>
      </c>
      <c r="G238" s="761">
        <f t="shared" si="87"/>
        <v>0</v>
      </c>
      <c r="H238" s="761">
        <f t="shared" si="87"/>
        <v>0</v>
      </c>
      <c r="I238" s="761">
        <f t="shared" si="87"/>
        <v>0</v>
      </c>
      <c r="J238" s="761">
        <f t="shared" si="87"/>
        <v>0</v>
      </c>
      <c r="K238" s="761">
        <f t="shared" si="87"/>
        <v>0</v>
      </c>
      <c r="L238" s="761">
        <f t="shared" si="87"/>
        <v>0</v>
      </c>
      <c r="M238" s="761">
        <f t="shared" si="87"/>
        <v>0</v>
      </c>
      <c r="N238" s="761">
        <f t="shared" si="87"/>
        <v>3365</v>
      </c>
      <c r="O238" s="761">
        <f>SUM(O236:O237)</f>
        <v>3370</v>
      </c>
      <c r="Q238" s="751"/>
    </row>
    <row r="239" spans="1:17">
      <c r="A239" s="758">
        <v>32</v>
      </c>
      <c r="B239" s="751" t="s">
        <v>5235</v>
      </c>
      <c r="C239" s="55" t="s">
        <v>14304</v>
      </c>
      <c r="D239" s="753">
        <v>10006</v>
      </c>
      <c r="E239" s="753">
        <v>10154</v>
      </c>
      <c r="F239" s="753">
        <v>10116</v>
      </c>
      <c r="G239" s="753">
        <v>10245</v>
      </c>
      <c r="H239" s="753">
        <v>10190</v>
      </c>
      <c r="I239" s="753">
        <v>10311</v>
      </c>
      <c r="J239" s="753">
        <v>10313</v>
      </c>
      <c r="K239" s="753">
        <v>10780</v>
      </c>
      <c r="L239" s="753">
        <v>10951</v>
      </c>
      <c r="M239" s="753">
        <v>11013</v>
      </c>
      <c r="N239" s="56">
        <v>3124</v>
      </c>
      <c r="O239" s="56">
        <v>3137</v>
      </c>
      <c r="Q239" s="751" t="s">
        <v>4049</v>
      </c>
    </row>
    <row r="240" spans="1:17">
      <c r="A240" s="758">
        <v>33</v>
      </c>
      <c r="B240" s="751" t="s">
        <v>14250</v>
      </c>
      <c r="C240" s="55" t="s">
        <v>14305</v>
      </c>
      <c r="D240" s="753">
        <v>0</v>
      </c>
      <c r="E240" s="753">
        <v>0</v>
      </c>
      <c r="F240" s="753">
        <v>0</v>
      </c>
      <c r="G240" s="753">
        <v>0</v>
      </c>
      <c r="H240" s="753">
        <v>0</v>
      </c>
      <c r="I240" s="753">
        <v>0</v>
      </c>
      <c r="J240" s="753">
        <v>0</v>
      </c>
      <c r="K240" s="753">
        <v>0</v>
      </c>
      <c r="L240" s="753">
        <v>0</v>
      </c>
      <c r="M240" s="753">
        <v>0</v>
      </c>
      <c r="N240" s="56">
        <v>833</v>
      </c>
      <c r="O240" s="56">
        <v>824</v>
      </c>
      <c r="Q240" s="751" t="s">
        <v>4046</v>
      </c>
    </row>
    <row r="241" spans="1:17" ht="15.75" thickBot="1">
      <c r="A241" s="758"/>
      <c r="B241" s="751"/>
      <c r="C241" s="55" t="s">
        <v>14305</v>
      </c>
      <c r="D241" s="753">
        <v>0</v>
      </c>
      <c r="E241" s="753">
        <v>0</v>
      </c>
      <c r="F241" s="753">
        <v>0</v>
      </c>
      <c r="G241" s="753">
        <v>0</v>
      </c>
      <c r="H241" s="753">
        <v>0</v>
      </c>
      <c r="I241" s="753">
        <v>0</v>
      </c>
      <c r="J241" s="753">
        <v>0</v>
      </c>
      <c r="K241" s="753">
        <v>0</v>
      </c>
      <c r="L241" s="753">
        <v>0</v>
      </c>
      <c r="M241" s="753">
        <v>0</v>
      </c>
      <c r="N241" s="56">
        <v>2063</v>
      </c>
      <c r="O241" s="56">
        <v>2061</v>
      </c>
      <c r="Q241" s="751" t="s">
        <v>4049</v>
      </c>
    </row>
    <row r="242" spans="1:17" ht="15.75" thickBot="1">
      <c r="A242" s="758"/>
      <c r="B242" s="751"/>
      <c r="C242" s="55" t="s">
        <v>14305</v>
      </c>
      <c r="D242" s="757">
        <f t="shared" ref="D242:N242" si="88">SUM(D240:D241)</f>
        <v>0</v>
      </c>
      <c r="E242" s="757">
        <f t="shared" si="88"/>
        <v>0</v>
      </c>
      <c r="F242" s="757">
        <f t="shared" si="88"/>
        <v>0</v>
      </c>
      <c r="G242" s="761">
        <f t="shared" si="88"/>
        <v>0</v>
      </c>
      <c r="H242" s="761">
        <f t="shared" si="88"/>
        <v>0</v>
      </c>
      <c r="I242" s="761">
        <f t="shared" si="88"/>
        <v>0</v>
      </c>
      <c r="J242" s="761">
        <f t="shared" si="88"/>
        <v>0</v>
      </c>
      <c r="K242" s="761">
        <f t="shared" si="88"/>
        <v>0</v>
      </c>
      <c r="L242" s="761">
        <f t="shared" si="88"/>
        <v>0</v>
      </c>
      <c r="M242" s="761">
        <f t="shared" si="88"/>
        <v>0</v>
      </c>
      <c r="N242" s="761">
        <f t="shared" si="88"/>
        <v>2896</v>
      </c>
      <c r="O242" s="761">
        <f>SUM(O240:O241)</f>
        <v>2885</v>
      </c>
      <c r="Q242" s="751"/>
    </row>
    <row r="243" spans="1:17">
      <c r="A243" s="758">
        <v>34</v>
      </c>
      <c r="B243" s="751" t="s">
        <v>14253</v>
      </c>
      <c r="C243" s="55" t="s">
        <v>14306</v>
      </c>
      <c r="D243" s="753">
        <v>0</v>
      </c>
      <c r="E243" s="753">
        <v>0</v>
      </c>
      <c r="F243" s="753">
        <v>0</v>
      </c>
      <c r="G243" s="753">
        <v>0</v>
      </c>
      <c r="H243" s="753">
        <v>0</v>
      </c>
      <c r="I243" s="753">
        <v>0</v>
      </c>
      <c r="J243" s="753">
        <v>0</v>
      </c>
      <c r="K243" s="753">
        <v>0</v>
      </c>
      <c r="L243" s="753">
        <v>0</v>
      </c>
      <c r="M243" s="753">
        <v>0</v>
      </c>
      <c r="N243" s="56">
        <v>2649</v>
      </c>
      <c r="O243" s="56">
        <v>2636</v>
      </c>
      <c r="Q243" s="751" t="s">
        <v>4049</v>
      </c>
    </row>
    <row r="244" spans="1:17">
      <c r="A244" s="763">
        <v>35</v>
      </c>
      <c r="B244" s="751" t="s">
        <v>14248</v>
      </c>
      <c r="C244" s="55" t="s">
        <v>14307</v>
      </c>
      <c r="D244" s="753">
        <v>0</v>
      </c>
      <c r="E244" s="753">
        <v>0</v>
      </c>
      <c r="F244" s="753">
        <v>0</v>
      </c>
      <c r="G244" s="753">
        <v>0</v>
      </c>
      <c r="H244" s="753">
        <v>0</v>
      </c>
      <c r="I244" s="753">
        <v>0</v>
      </c>
      <c r="J244" s="753">
        <v>0</v>
      </c>
      <c r="K244" s="753">
        <v>0</v>
      </c>
      <c r="L244" s="753">
        <v>0</v>
      </c>
      <c r="M244" s="753">
        <v>0</v>
      </c>
      <c r="N244" s="56">
        <v>2800</v>
      </c>
      <c r="O244" s="56">
        <v>2829</v>
      </c>
      <c r="Q244" s="160" t="s">
        <v>4039</v>
      </c>
    </row>
    <row r="245" spans="1:17">
      <c r="A245" s="763">
        <v>36</v>
      </c>
      <c r="B245" s="751" t="s">
        <v>14269</v>
      </c>
      <c r="C245" s="55" t="s">
        <v>14308</v>
      </c>
      <c r="D245" s="753">
        <v>0</v>
      </c>
      <c r="E245" s="753">
        <v>0</v>
      </c>
      <c r="F245" s="753">
        <v>0</v>
      </c>
      <c r="G245" s="753">
        <v>0</v>
      </c>
      <c r="H245" s="753">
        <v>0</v>
      </c>
      <c r="I245" s="753">
        <v>0</v>
      </c>
      <c r="J245" s="753">
        <v>0</v>
      </c>
      <c r="K245" s="753">
        <v>0</v>
      </c>
      <c r="L245" s="753">
        <v>0</v>
      </c>
      <c r="M245" s="753">
        <v>0</v>
      </c>
      <c r="N245" s="56">
        <v>2704</v>
      </c>
      <c r="O245" s="56">
        <v>2692</v>
      </c>
      <c r="Q245" s="160" t="s">
        <v>4050</v>
      </c>
    </row>
    <row r="246" spans="1:17">
      <c r="A246" s="763">
        <v>37</v>
      </c>
      <c r="B246" s="751" t="s">
        <v>3149</v>
      </c>
      <c r="C246" s="55" t="s">
        <v>14309</v>
      </c>
      <c r="D246" s="753">
        <v>0</v>
      </c>
      <c r="E246" s="753">
        <v>0</v>
      </c>
      <c r="F246" s="753">
        <v>0</v>
      </c>
      <c r="G246" s="753">
        <v>0</v>
      </c>
      <c r="H246" s="753">
        <v>0</v>
      </c>
      <c r="I246" s="753">
        <v>0</v>
      </c>
      <c r="J246" s="753">
        <v>0</v>
      </c>
      <c r="K246" s="753">
        <v>0</v>
      </c>
      <c r="L246" s="753">
        <v>0</v>
      </c>
      <c r="M246" s="753">
        <v>0</v>
      </c>
      <c r="N246" s="56">
        <v>4970</v>
      </c>
      <c r="O246" s="56">
        <v>4946</v>
      </c>
      <c r="Q246" s="160" t="s">
        <v>4050</v>
      </c>
    </row>
    <row r="247" spans="1:17">
      <c r="A247" s="763">
        <v>38</v>
      </c>
      <c r="B247" s="160" t="s">
        <v>3150</v>
      </c>
      <c r="C247" s="160" t="s">
        <v>14310</v>
      </c>
      <c r="D247" s="753">
        <v>0</v>
      </c>
      <c r="E247" s="753">
        <v>0</v>
      </c>
      <c r="F247" s="753">
        <v>0</v>
      </c>
      <c r="G247" s="753">
        <v>0</v>
      </c>
      <c r="H247" s="753">
        <v>0</v>
      </c>
      <c r="I247" s="753">
        <v>0</v>
      </c>
      <c r="J247" s="753">
        <v>0</v>
      </c>
      <c r="K247" s="753">
        <v>0</v>
      </c>
      <c r="L247" s="753">
        <v>0</v>
      </c>
      <c r="M247" s="753">
        <v>0</v>
      </c>
      <c r="N247" s="56">
        <v>2437</v>
      </c>
      <c r="O247" s="56">
        <v>2424</v>
      </c>
      <c r="Q247" s="160" t="s">
        <v>4050</v>
      </c>
    </row>
    <row r="248" spans="1:17">
      <c r="A248" s="763">
        <v>39</v>
      </c>
      <c r="B248" s="160" t="s">
        <v>14270</v>
      </c>
      <c r="C248" s="160" t="s">
        <v>14311</v>
      </c>
      <c r="D248" s="753">
        <v>0</v>
      </c>
      <c r="E248" s="753">
        <v>0</v>
      </c>
      <c r="F248" s="753">
        <v>0</v>
      </c>
      <c r="G248" s="753">
        <v>0</v>
      </c>
      <c r="H248" s="753">
        <v>0</v>
      </c>
      <c r="I248" s="753">
        <v>0</v>
      </c>
      <c r="J248" s="753">
        <v>0</v>
      </c>
      <c r="K248" s="753">
        <v>0</v>
      </c>
      <c r="L248" s="753">
        <v>0</v>
      </c>
      <c r="M248" s="753">
        <v>0</v>
      </c>
      <c r="N248" s="56">
        <v>1902</v>
      </c>
      <c r="O248" s="56">
        <v>1910</v>
      </c>
      <c r="Q248" s="160" t="s">
        <v>4050</v>
      </c>
    </row>
    <row r="249" spans="1:17">
      <c r="A249" s="763">
        <v>40</v>
      </c>
      <c r="B249" s="160" t="s">
        <v>14251</v>
      </c>
      <c r="C249" s="160" t="s">
        <v>14312</v>
      </c>
      <c r="D249" s="753">
        <v>0</v>
      </c>
      <c r="E249" s="753">
        <v>0</v>
      </c>
      <c r="F249" s="753">
        <v>0</v>
      </c>
      <c r="G249" s="753">
        <v>0</v>
      </c>
      <c r="H249" s="753">
        <v>0</v>
      </c>
      <c r="I249" s="753">
        <v>0</v>
      </c>
      <c r="J249" s="753">
        <v>0</v>
      </c>
      <c r="K249" s="753">
        <v>0</v>
      </c>
      <c r="L249" s="753">
        <v>0</v>
      </c>
      <c r="M249" s="753">
        <v>0</v>
      </c>
      <c r="N249" s="56">
        <v>2800</v>
      </c>
      <c r="O249" s="56">
        <v>2780</v>
      </c>
      <c r="Q249" s="160" t="s">
        <v>4046</v>
      </c>
    </row>
    <row r="250" spans="1:17">
      <c r="A250" s="763">
        <v>41</v>
      </c>
      <c r="B250" s="160" t="s">
        <v>14271</v>
      </c>
      <c r="C250" s="160" t="s">
        <v>14313</v>
      </c>
      <c r="D250" s="753">
        <v>0</v>
      </c>
      <c r="E250" s="753">
        <v>0</v>
      </c>
      <c r="F250" s="753">
        <v>0</v>
      </c>
      <c r="G250" s="753">
        <v>0</v>
      </c>
      <c r="H250" s="753">
        <v>0</v>
      </c>
      <c r="I250" s="753">
        <v>0</v>
      </c>
      <c r="J250" s="753">
        <v>0</v>
      </c>
      <c r="K250" s="753">
        <v>0</v>
      </c>
      <c r="L250" s="753">
        <v>0</v>
      </c>
      <c r="M250" s="753">
        <v>0</v>
      </c>
      <c r="N250" s="56">
        <v>2486</v>
      </c>
      <c r="O250" s="56">
        <v>2479</v>
      </c>
      <c r="Q250" s="160" t="s">
        <v>4050</v>
      </c>
    </row>
    <row r="251" spans="1:17">
      <c r="D251" s="755"/>
      <c r="E251" s="755"/>
      <c r="F251" s="755"/>
      <c r="G251" s="755"/>
      <c r="H251" s="755"/>
      <c r="I251" s="755"/>
      <c r="J251" s="755"/>
      <c r="K251" s="755"/>
      <c r="L251" s="755"/>
      <c r="M251" s="755"/>
      <c r="N251" s="755"/>
      <c r="O251" s="755"/>
    </row>
    <row r="252" spans="1:17">
      <c r="A252" s="751" t="s">
        <v>893</v>
      </c>
      <c r="D252" s="753">
        <f t="shared" ref="D252:M252" si="89">SUM(D209,D221:D223,D226:D227,D232,D235:D236,D244)</f>
        <v>21577</v>
      </c>
      <c r="E252" s="753">
        <f t="shared" si="89"/>
        <v>21819</v>
      </c>
      <c r="F252" s="753">
        <f t="shared" si="89"/>
        <v>21831</v>
      </c>
      <c r="G252" s="753">
        <f t="shared" si="89"/>
        <v>22059</v>
      </c>
      <c r="H252" s="753">
        <f t="shared" si="89"/>
        <v>21438</v>
      </c>
      <c r="I252" s="753">
        <f t="shared" si="89"/>
        <v>21641</v>
      </c>
      <c r="J252" s="753">
        <f t="shared" si="89"/>
        <v>21562</v>
      </c>
      <c r="K252" s="753">
        <f t="shared" si="89"/>
        <v>22413</v>
      </c>
      <c r="L252" s="753">
        <f t="shared" si="89"/>
        <v>22524</v>
      </c>
      <c r="M252" s="753">
        <f t="shared" si="89"/>
        <v>22833</v>
      </c>
      <c r="N252" s="753">
        <f>SUM(N209,N221:N223,N226:N227,N232,N235:N236,N244)</f>
        <v>23573</v>
      </c>
      <c r="O252" s="753">
        <f>SUM(O209,O221:O223,O226:O227,O232,O235:O236,O244)</f>
        <v>23514</v>
      </c>
    </row>
    <row r="253" spans="1:17">
      <c r="A253" s="751" t="s">
        <v>2640</v>
      </c>
      <c r="D253" s="753">
        <f t="shared" ref="D253:M253" si="90">SUM(D230,D240,D249)</f>
        <v>6154</v>
      </c>
      <c r="E253" s="753">
        <f t="shared" si="90"/>
        <v>6168</v>
      </c>
      <c r="F253" s="753">
        <f t="shared" si="90"/>
        <v>6148</v>
      </c>
      <c r="G253" s="753">
        <f t="shared" si="90"/>
        <v>6217</v>
      </c>
      <c r="H253" s="753">
        <f t="shared" si="90"/>
        <v>6169</v>
      </c>
      <c r="I253" s="753">
        <f t="shared" si="90"/>
        <v>6187</v>
      </c>
      <c r="J253" s="753">
        <f t="shared" si="90"/>
        <v>6164</v>
      </c>
      <c r="K253" s="753">
        <f t="shared" si="90"/>
        <v>6285</v>
      </c>
      <c r="L253" s="753">
        <f t="shared" si="90"/>
        <v>6329</v>
      </c>
      <c r="M253" s="753">
        <f t="shared" si="90"/>
        <v>6316</v>
      </c>
      <c r="N253" s="753">
        <f>SUM(N230,N240,N249)</f>
        <v>6373</v>
      </c>
      <c r="O253" s="753">
        <f>SUM(O230,O240,O249)</f>
        <v>6335</v>
      </c>
    </row>
    <row r="254" spans="1:17">
      <c r="A254" s="751" t="s">
        <v>1567</v>
      </c>
      <c r="D254" s="753">
        <f t="shared" ref="D254:M254" si="91">SUM(D196,D237,D239,D241,D243)</f>
        <v>10006</v>
      </c>
      <c r="E254" s="753">
        <f t="shared" si="91"/>
        <v>10154</v>
      </c>
      <c r="F254" s="753">
        <f t="shared" si="91"/>
        <v>10116</v>
      </c>
      <c r="G254" s="753">
        <f t="shared" si="91"/>
        <v>10245</v>
      </c>
      <c r="H254" s="753">
        <f t="shared" si="91"/>
        <v>10190</v>
      </c>
      <c r="I254" s="753">
        <f t="shared" si="91"/>
        <v>10311</v>
      </c>
      <c r="J254" s="753">
        <f t="shared" si="91"/>
        <v>10313</v>
      </c>
      <c r="K254" s="753">
        <f t="shared" si="91"/>
        <v>10780</v>
      </c>
      <c r="L254" s="753">
        <f t="shared" si="91"/>
        <v>10951</v>
      </c>
      <c r="M254" s="753">
        <f t="shared" si="91"/>
        <v>11013</v>
      </c>
      <c r="N254" s="753">
        <f>SUM(N196,N237,N239,N241,N243)</f>
        <v>11260</v>
      </c>
      <c r="O254" s="753">
        <f>SUM(O196,O237,O239,O241,O243)</f>
        <v>11256</v>
      </c>
    </row>
    <row r="255" spans="1:17">
      <c r="A255" s="751" t="s">
        <v>4050</v>
      </c>
      <c r="D255" s="753">
        <f t="shared" ref="D255:M255" si="92">SUM(D197,D199:D208,D210,D212:D220,D224,D228,D231,D233,D245:D248,D250)</f>
        <v>76724</v>
      </c>
      <c r="E255" s="753">
        <f t="shared" si="92"/>
        <v>77536</v>
      </c>
      <c r="F255" s="753">
        <f t="shared" si="92"/>
        <v>78574</v>
      </c>
      <c r="G255" s="753">
        <f t="shared" si="92"/>
        <v>79559</v>
      </c>
      <c r="H255" s="753">
        <f t="shared" si="92"/>
        <v>78963</v>
      </c>
      <c r="I255" s="753">
        <f t="shared" si="92"/>
        <v>79263</v>
      </c>
      <c r="J255" s="753">
        <f t="shared" si="92"/>
        <v>78544</v>
      </c>
      <c r="K255" s="753">
        <f t="shared" si="92"/>
        <v>81238</v>
      </c>
      <c r="L255" s="753">
        <f t="shared" si="92"/>
        <v>81821</v>
      </c>
      <c r="M255" s="753">
        <f t="shared" si="92"/>
        <v>81543</v>
      </c>
      <c r="N255" s="753">
        <f>SUM(N197,N199:N208,N210,N212:N220,N224,N228,N231,N233,N245:N248,N250)</f>
        <v>83758</v>
      </c>
      <c r="O255" s="753">
        <f>SUM(O197,O199:O208,O210,O212:O220,O224,O228,O231,O233,O245:O248,O250)</f>
        <v>83628</v>
      </c>
    </row>
    <row r="257" spans="1:1">
      <c r="A257" s="751" t="s">
        <v>14272</v>
      </c>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54:K54 D104:K104 D122:K122 D97:K97 D86:K86 D129:K129 D3:K47 D77:K79 L3:L115 L151 L193:L194 L156:L159 L191 L118:L122 L124:L129"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dimension ref="A1:Q73"/>
  <sheetViews>
    <sheetView showGridLines="0" topLeftCell="A52" zoomScale="90" zoomScaleNormal="90" workbookViewId="0">
      <selection activeCell="A72" sqref="A72:A73"/>
    </sheetView>
  </sheetViews>
  <sheetFormatPr defaultColWidth="12.5703125" defaultRowHeight="15"/>
  <cols>
    <col min="1" max="1" width="4.85546875" style="159" customWidth="1"/>
    <col min="2" max="2" width="36" style="159" customWidth="1"/>
    <col min="3" max="3" width="11.5703125" style="159" customWidth="1"/>
    <col min="4" max="15" width="10" style="159" customWidth="1"/>
    <col min="16" max="16" width="2.28515625" style="159" customWidth="1"/>
    <col min="17" max="17" width="25.7109375" style="159" customWidth="1"/>
    <col min="18" max="16384" width="12.5703125" style="159"/>
  </cols>
  <sheetData>
    <row r="1" spans="1:17">
      <c r="A1" s="745" t="s">
        <v>5719</v>
      </c>
      <c r="D1" s="746">
        <v>2010</v>
      </c>
      <c r="E1" s="746">
        <v>2011</v>
      </c>
      <c r="F1" s="746">
        <v>2012</v>
      </c>
      <c r="G1" s="746">
        <v>2013</v>
      </c>
      <c r="H1" s="746">
        <v>2014</v>
      </c>
      <c r="I1" s="746">
        <v>2015</v>
      </c>
      <c r="J1" s="746">
        <v>2016</v>
      </c>
      <c r="K1" s="746">
        <v>2017</v>
      </c>
      <c r="L1" s="746">
        <v>2018</v>
      </c>
      <c r="M1" s="746">
        <v>2019</v>
      </c>
      <c r="N1" s="746">
        <v>2020</v>
      </c>
      <c r="O1" s="978" t="s">
        <v>14823</v>
      </c>
    </row>
    <row r="3" spans="1:17">
      <c r="A3" s="745" t="s">
        <v>703</v>
      </c>
      <c r="D3" s="747">
        <f t="shared" ref="D3:N3" si="0">SUM(D19:D21,D23:D24,D26:D28,D30:D31,D33:D38,D40:D42,D44:D48,D50:D52,D54:D55,D57:D58,D60:D62,D64:D67)</f>
        <v>193985</v>
      </c>
      <c r="E3" s="747">
        <f t="shared" si="0"/>
        <v>196049</v>
      </c>
      <c r="F3" s="747">
        <f t="shared" si="0"/>
        <v>198089</v>
      </c>
      <c r="G3" s="747">
        <f t="shared" si="0"/>
        <v>200557</v>
      </c>
      <c r="H3" s="747">
        <f t="shared" si="0"/>
        <v>194246</v>
      </c>
      <c r="I3" s="747">
        <f t="shared" si="0"/>
        <v>196586</v>
      </c>
      <c r="J3" s="747">
        <f t="shared" si="0"/>
        <v>192256</v>
      </c>
      <c r="K3" s="747">
        <f t="shared" si="0"/>
        <v>195234</v>
      </c>
      <c r="L3" s="747">
        <f t="shared" si="0"/>
        <v>196606</v>
      </c>
      <c r="M3" s="747">
        <f t="shared" si="0"/>
        <v>190847</v>
      </c>
      <c r="N3" s="747">
        <f t="shared" si="0"/>
        <v>200134</v>
      </c>
      <c r="O3" s="747">
        <f>SUM(O19:O21,O23:O24,O26:O28,O30:O31,O33:O38,O40:O42,O44:O48,O50:O52,O54:O55,O57:O58,O60:O62,O64:O67)</f>
        <v>198114</v>
      </c>
    </row>
    <row r="5" spans="1:17">
      <c r="A5" s="745" t="s">
        <v>5382</v>
      </c>
      <c r="D5" s="747">
        <f t="shared" ref="D5:I5" si="1">D3/3</f>
        <v>64661.666666666664</v>
      </c>
      <c r="E5" s="747">
        <f t="shared" si="1"/>
        <v>65349.666666666664</v>
      </c>
      <c r="F5" s="747">
        <f t="shared" si="1"/>
        <v>66029.666666666672</v>
      </c>
      <c r="G5" s="747">
        <f t="shared" si="1"/>
        <v>66852.333333333328</v>
      </c>
      <c r="H5" s="747">
        <f t="shared" si="1"/>
        <v>64748.666666666664</v>
      </c>
      <c r="I5" s="747">
        <f t="shared" si="1"/>
        <v>65528.666666666664</v>
      </c>
      <c r="J5" s="747">
        <f t="shared" ref="J5:O5" si="2">J3/3</f>
        <v>64085.333333333336</v>
      </c>
      <c r="K5" s="747">
        <f t="shared" si="2"/>
        <v>65078</v>
      </c>
      <c r="L5" s="747">
        <f t="shared" si="2"/>
        <v>65535.333333333336</v>
      </c>
      <c r="M5" s="747">
        <f t="shared" si="2"/>
        <v>63615.666666666664</v>
      </c>
      <c r="N5" s="747">
        <f t="shared" si="2"/>
        <v>66711.333333333328</v>
      </c>
      <c r="O5" s="747">
        <f t="shared" si="2"/>
        <v>66038</v>
      </c>
    </row>
    <row r="6" spans="1:17">
      <c r="D6" s="748"/>
      <c r="E6" s="748"/>
      <c r="F6" s="748"/>
      <c r="G6" s="748"/>
      <c r="H6" s="748"/>
      <c r="I6" s="748"/>
      <c r="J6" s="748"/>
      <c r="K6" s="748"/>
      <c r="L6" s="748"/>
      <c r="M6" s="748"/>
      <c r="N6" s="748"/>
      <c r="O6" s="748"/>
    </row>
    <row r="7" spans="1:17">
      <c r="A7" s="745" t="s">
        <v>704</v>
      </c>
      <c r="D7" s="747">
        <f t="shared" ref="D7:N7" si="3">SUM(D23,D27,D30,D34,D36,D40:D41,D44:D45,D51,D57,D64,D66)</f>
        <v>63457</v>
      </c>
      <c r="E7" s="747">
        <f t="shared" si="3"/>
        <v>64356</v>
      </c>
      <c r="F7" s="747">
        <f t="shared" si="3"/>
        <v>65283</v>
      </c>
      <c r="G7" s="747">
        <f t="shared" si="3"/>
        <v>66669</v>
      </c>
      <c r="H7" s="747">
        <f t="shared" si="3"/>
        <v>63800</v>
      </c>
      <c r="I7" s="747">
        <f t="shared" si="3"/>
        <v>65007</v>
      </c>
      <c r="J7" s="747">
        <f t="shared" si="3"/>
        <v>63360</v>
      </c>
      <c r="K7" s="747">
        <f t="shared" si="3"/>
        <v>64396</v>
      </c>
      <c r="L7" s="747">
        <f t="shared" si="3"/>
        <v>64759</v>
      </c>
      <c r="M7" s="747">
        <f t="shared" si="3"/>
        <v>62857</v>
      </c>
      <c r="N7" s="747">
        <f t="shared" si="3"/>
        <v>66135</v>
      </c>
      <c r="O7" s="747">
        <f>SUM(O20,O23,O27,O30,O34,O36,O40:O41,O44:O45,O51,O57,O64,O66)</f>
        <v>65501</v>
      </c>
      <c r="Q7" s="745" t="s">
        <v>705</v>
      </c>
    </row>
    <row r="8" spans="1:17">
      <c r="D8" s="748"/>
      <c r="E8" s="748"/>
      <c r="F8" s="748"/>
      <c r="G8" s="748"/>
      <c r="H8" s="748"/>
      <c r="I8" s="748"/>
      <c r="J8" s="748"/>
      <c r="K8" s="748"/>
      <c r="L8" s="748"/>
      <c r="M8" s="748"/>
      <c r="N8" s="748"/>
      <c r="O8" s="748"/>
    </row>
    <row r="9" spans="1:17">
      <c r="A9" s="745" t="s">
        <v>706</v>
      </c>
      <c r="D9" s="747">
        <f t="shared" ref="D9:N9" si="4">SUM(D24,D26,D31,D35,D37,D47,D52,D54,D58,D61,D65)</f>
        <v>66638</v>
      </c>
      <c r="E9" s="747">
        <f t="shared" si="4"/>
        <v>66761</v>
      </c>
      <c r="F9" s="747">
        <f t="shared" si="4"/>
        <v>67580</v>
      </c>
      <c r="G9" s="747">
        <f t="shared" si="4"/>
        <v>68463</v>
      </c>
      <c r="H9" s="747">
        <f t="shared" si="4"/>
        <v>66803</v>
      </c>
      <c r="I9" s="747">
        <f t="shared" si="4"/>
        <v>67528</v>
      </c>
      <c r="J9" s="747">
        <f t="shared" si="4"/>
        <v>65981</v>
      </c>
      <c r="K9" s="747">
        <f t="shared" si="4"/>
        <v>66828</v>
      </c>
      <c r="L9" s="747">
        <f t="shared" si="4"/>
        <v>67417</v>
      </c>
      <c r="M9" s="747">
        <f t="shared" si="4"/>
        <v>65699</v>
      </c>
      <c r="N9" s="747">
        <f t="shared" si="4"/>
        <v>68586</v>
      </c>
      <c r="O9" s="747">
        <f>SUM(O24,O26,O31,O35,O37,O47,O52,O54,O58,O61,O65)</f>
        <v>67858</v>
      </c>
      <c r="Q9" s="745" t="s">
        <v>705</v>
      </c>
    </row>
    <row r="10" spans="1:17">
      <c r="D10" s="748"/>
      <c r="E10" s="748"/>
      <c r="F10" s="748"/>
      <c r="G10" s="748"/>
      <c r="H10" s="748"/>
      <c r="I10" s="748"/>
      <c r="J10" s="748"/>
      <c r="K10" s="748"/>
      <c r="L10" s="748"/>
      <c r="M10" s="748"/>
      <c r="N10" s="748"/>
      <c r="O10" s="748"/>
    </row>
    <row r="11" spans="1:17">
      <c r="A11" s="745" t="s">
        <v>707</v>
      </c>
      <c r="D11" s="747">
        <f t="shared" ref="D11:N11" si="5">SUM(D19,D21,D28,D33,D38,D42,D46,D48,D50,D55,D60,D62,D67)</f>
        <v>63890</v>
      </c>
      <c r="E11" s="747">
        <f t="shared" si="5"/>
        <v>64932</v>
      </c>
      <c r="F11" s="747">
        <f t="shared" si="5"/>
        <v>65226</v>
      </c>
      <c r="G11" s="747">
        <f t="shared" si="5"/>
        <v>65425</v>
      </c>
      <c r="H11" s="747">
        <f t="shared" si="5"/>
        <v>63643</v>
      </c>
      <c r="I11" s="747">
        <f t="shared" si="5"/>
        <v>64051</v>
      </c>
      <c r="J11" s="747">
        <f t="shared" si="5"/>
        <v>62915</v>
      </c>
      <c r="K11" s="747">
        <f t="shared" si="5"/>
        <v>64010</v>
      </c>
      <c r="L11" s="747">
        <f t="shared" si="5"/>
        <v>64430</v>
      </c>
      <c r="M11" s="747">
        <f t="shared" si="5"/>
        <v>62291</v>
      </c>
      <c r="N11" s="747">
        <f t="shared" si="5"/>
        <v>65413</v>
      </c>
      <c r="O11" s="747">
        <f>SUM(O19,O21,O28,O33,O38,O42,O46,O48,O50,O55,O60,O62,O67)</f>
        <v>64755</v>
      </c>
      <c r="Q11" s="745" t="s">
        <v>705</v>
      </c>
    </row>
    <row r="12" spans="1:17">
      <c r="D12" s="748"/>
      <c r="E12" s="748"/>
      <c r="F12" s="748"/>
      <c r="G12" s="748"/>
      <c r="H12" s="748"/>
      <c r="I12" s="748"/>
      <c r="J12" s="748"/>
      <c r="K12" s="748"/>
      <c r="L12" s="748"/>
      <c r="M12" s="748"/>
      <c r="N12" s="748"/>
      <c r="O12" s="748"/>
    </row>
    <row r="13" spans="1:17">
      <c r="A13" s="745" t="s">
        <v>6796</v>
      </c>
      <c r="D13" s="747">
        <f t="shared" ref="D13:I13" si="6">D7+D9+D11</f>
        <v>193985</v>
      </c>
      <c r="E13" s="747">
        <f t="shared" si="6"/>
        <v>196049</v>
      </c>
      <c r="F13" s="747">
        <f t="shared" si="6"/>
        <v>198089</v>
      </c>
      <c r="G13" s="747">
        <f t="shared" si="6"/>
        <v>200557</v>
      </c>
      <c r="H13" s="747">
        <f t="shared" si="6"/>
        <v>194246</v>
      </c>
      <c r="I13" s="747">
        <f t="shared" si="6"/>
        <v>196586</v>
      </c>
      <c r="J13" s="747">
        <f t="shared" ref="J13:N13" si="7">J7+J9+J11</f>
        <v>192256</v>
      </c>
      <c r="K13" s="747">
        <f t="shared" si="7"/>
        <v>195234</v>
      </c>
      <c r="L13" s="747">
        <f t="shared" si="7"/>
        <v>196606</v>
      </c>
      <c r="M13" s="747">
        <f t="shared" si="7"/>
        <v>190847</v>
      </c>
      <c r="N13" s="747">
        <f t="shared" si="7"/>
        <v>200134</v>
      </c>
      <c r="O13" s="747">
        <f>O7+O9+O11</f>
        <v>198114</v>
      </c>
    </row>
    <row r="14" spans="1:17">
      <c r="D14" s="748"/>
      <c r="E14" s="748"/>
      <c r="F14" s="748"/>
      <c r="G14" s="748"/>
      <c r="H14" s="748"/>
      <c r="I14" s="748"/>
      <c r="J14" s="748"/>
      <c r="K14" s="748"/>
      <c r="L14" s="748"/>
      <c r="M14" s="748"/>
      <c r="N14" s="748"/>
      <c r="O14" s="748"/>
    </row>
    <row r="15" spans="1:17">
      <c r="A15" s="745" t="s">
        <v>6797</v>
      </c>
      <c r="D15" s="747">
        <f t="shared" ref="D15:I15" si="8">MAX(D7,D9,D11)-MIN(D7,D9,D11)</f>
        <v>3181</v>
      </c>
      <c r="E15" s="747">
        <f t="shared" si="8"/>
        <v>2405</v>
      </c>
      <c r="F15" s="747">
        <f t="shared" si="8"/>
        <v>2354</v>
      </c>
      <c r="G15" s="747">
        <f t="shared" si="8"/>
        <v>3038</v>
      </c>
      <c r="H15" s="747">
        <f t="shared" si="8"/>
        <v>3160</v>
      </c>
      <c r="I15" s="747">
        <f t="shared" si="8"/>
        <v>3477</v>
      </c>
      <c r="J15" s="747">
        <f t="shared" ref="J15:O15" si="9">MAX(J7,J9,J11)-MIN(J7,J9,J11)</f>
        <v>3066</v>
      </c>
      <c r="K15" s="747">
        <f t="shared" si="9"/>
        <v>2818</v>
      </c>
      <c r="L15" s="747">
        <f t="shared" si="9"/>
        <v>2987</v>
      </c>
      <c r="M15" s="747">
        <f t="shared" si="9"/>
        <v>3408</v>
      </c>
      <c r="N15" s="747">
        <f t="shared" si="9"/>
        <v>3173</v>
      </c>
      <c r="O15" s="747">
        <f t="shared" si="9"/>
        <v>3103</v>
      </c>
    </row>
    <row r="16" spans="1:17">
      <c r="D16" s="748"/>
      <c r="E16" s="748"/>
      <c r="F16" s="748"/>
      <c r="G16" s="748"/>
      <c r="H16" s="748"/>
      <c r="I16" s="748"/>
      <c r="J16" s="748"/>
      <c r="K16" s="748"/>
      <c r="L16" s="748"/>
      <c r="M16" s="748"/>
      <c r="N16" s="748"/>
      <c r="O16" s="748"/>
    </row>
    <row r="17" spans="1:17">
      <c r="A17" s="745" t="s">
        <v>6800</v>
      </c>
      <c r="D17" s="747">
        <f t="shared" ref="D17:I17" si="10">STDEVP(D7,D9,D11)</f>
        <v>1408.6145281406439</v>
      </c>
      <c r="E17" s="747">
        <f t="shared" si="10"/>
        <v>1025.2935622975933</v>
      </c>
      <c r="F17" s="747">
        <f t="shared" si="10"/>
        <v>1096.4981633464884</v>
      </c>
      <c r="G17" s="747">
        <f t="shared" si="10"/>
        <v>1247.0149246188764</v>
      </c>
      <c r="H17" s="747">
        <f t="shared" si="10"/>
        <v>1454.0463847102294</v>
      </c>
      <c r="I17" s="747">
        <f t="shared" si="10"/>
        <v>1466.6252266872937</v>
      </c>
      <c r="J17" s="747">
        <f t="shared" ref="J17:O17" si="11">STDEVP(J7,J9,J11)</f>
        <v>1352.6936912036745</v>
      </c>
      <c r="K17" s="747">
        <f t="shared" si="11"/>
        <v>1247.43042558159</v>
      </c>
      <c r="L17" s="747">
        <f t="shared" si="11"/>
        <v>1337.3013455795551</v>
      </c>
      <c r="M17" s="747">
        <f t="shared" si="11"/>
        <v>1491.1510840808705</v>
      </c>
      <c r="N17" s="747">
        <f t="shared" si="11"/>
        <v>1357.9647352645877</v>
      </c>
      <c r="O17" s="747">
        <f t="shared" si="11"/>
        <v>1322.4797414957504</v>
      </c>
    </row>
    <row r="18" spans="1:17">
      <c r="D18" s="748"/>
      <c r="E18" s="748"/>
      <c r="F18" s="748"/>
      <c r="G18" s="748"/>
      <c r="H18" s="748"/>
      <c r="I18" s="748"/>
      <c r="J18" s="748"/>
      <c r="K18" s="748"/>
      <c r="L18" s="748"/>
      <c r="M18" s="748"/>
      <c r="N18" s="748"/>
      <c r="O18" s="748"/>
    </row>
    <row r="19" spans="1:17">
      <c r="A19" s="749">
        <v>1</v>
      </c>
      <c r="B19" s="745" t="s">
        <v>15759</v>
      </c>
      <c r="C19" s="745" t="s">
        <v>15758</v>
      </c>
      <c r="D19" s="750">
        <v>63890</v>
      </c>
      <c r="E19" s="750">
        <v>64932</v>
      </c>
      <c r="F19" s="750">
        <v>65226</v>
      </c>
      <c r="G19" s="750">
        <v>65425</v>
      </c>
      <c r="H19" s="750">
        <v>63643</v>
      </c>
      <c r="I19" s="750">
        <v>64051</v>
      </c>
      <c r="J19" s="750">
        <v>62915</v>
      </c>
      <c r="K19" s="750">
        <v>64010</v>
      </c>
      <c r="L19" s="750">
        <v>64430</v>
      </c>
      <c r="M19" s="750">
        <v>62291</v>
      </c>
      <c r="N19" s="750">
        <v>65413</v>
      </c>
      <c r="O19" s="750">
        <v>5713</v>
      </c>
      <c r="Q19" s="745" t="s">
        <v>707</v>
      </c>
    </row>
    <row r="20" spans="1:17">
      <c r="A20" s="749">
        <v>2</v>
      </c>
      <c r="B20" s="745" t="s">
        <v>708</v>
      </c>
      <c r="C20" s="745" t="s">
        <v>15760</v>
      </c>
      <c r="D20" s="750">
        <v>0</v>
      </c>
      <c r="E20" s="750">
        <v>0</v>
      </c>
      <c r="F20" s="750">
        <v>0</v>
      </c>
      <c r="G20" s="750">
        <v>0</v>
      </c>
      <c r="H20" s="750">
        <v>0</v>
      </c>
      <c r="I20" s="750">
        <v>0</v>
      </c>
      <c r="J20" s="750">
        <v>0</v>
      </c>
      <c r="K20" s="750">
        <v>0</v>
      </c>
      <c r="L20" s="750">
        <v>0</v>
      </c>
      <c r="M20" s="750">
        <v>0</v>
      </c>
      <c r="N20" s="750">
        <v>0</v>
      </c>
      <c r="O20" s="750">
        <v>1404</v>
      </c>
      <c r="Q20" s="745" t="s">
        <v>704</v>
      </c>
    </row>
    <row r="21" spans="1:17" ht="15.75" thickBot="1">
      <c r="A21" s="749"/>
      <c r="B21" s="745"/>
      <c r="C21" s="745" t="s">
        <v>15760</v>
      </c>
      <c r="D21" s="750">
        <v>0</v>
      </c>
      <c r="E21" s="750">
        <v>0</v>
      </c>
      <c r="F21" s="750">
        <v>0</v>
      </c>
      <c r="G21" s="750">
        <v>0</v>
      </c>
      <c r="H21" s="750">
        <v>0</v>
      </c>
      <c r="I21" s="750">
        <v>0</v>
      </c>
      <c r="J21" s="750">
        <v>0</v>
      </c>
      <c r="K21" s="750">
        <v>0</v>
      </c>
      <c r="L21" s="750">
        <v>0</v>
      </c>
      <c r="M21" s="750">
        <v>0</v>
      </c>
      <c r="N21" s="750">
        <v>0</v>
      </c>
      <c r="O21" s="750">
        <v>4462</v>
      </c>
      <c r="Q21" s="745" t="s">
        <v>707</v>
      </c>
    </row>
    <row r="22" spans="1:17" ht="15.75" thickBot="1">
      <c r="A22" s="749"/>
      <c r="B22" s="745"/>
      <c r="C22" s="745" t="s">
        <v>15760</v>
      </c>
      <c r="D22" s="757">
        <f t="shared" ref="D22:N22" si="12">SUM(D20:D21)</f>
        <v>0</v>
      </c>
      <c r="E22" s="757">
        <f t="shared" si="12"/>
        <v>0</v>
      </c>
      <c r="F22" s="757">
        <f t="shared" si="12"/>
        <v>0</v>
      </c>
      <c r="G22" s="761">
        <f t="shared" si="12"/>
        <v>0</v>
      </c>
      <c r="H22" s="761">
        <f t="shared" si="12"/>
        <v>0</v>
      </c>
      <c r="I22" s="761">
        <f t="shared" si="12"/>
        <v>0</v>
      </c>
      <c r="J22" s="761">
        <f t="shared" si="12"/>
        <v>0</v>
      </c>
      <c r="K22" s="761">
        <f t="shared" si="12"/>
        <v>0</v>
      </c>
      <c r="L22" s="761">
        <f t="shared" si="12"/>
        <v>0</v>
      </c>
      <c r="M22" s="761">
        <f t="shared" si="12"/>
        <v>0</v>
      </c>
      <c r="N22" s="761">
        <f t="shared" si="12"/>
        <v>0</v>
      </c>
      <c r="O22" s="761">
        <f>SUM(O20:O21)</f>
        <v>5866</v>
      </c>
      <c r="Q22" s="745"/>
    </row>
    <row r="23" spans="1:17">
      <c r="A23" s="749">
        <v>3</v>
      </c>
      <c r="B23" s="745" t="s">
        <v>15762</v>
      </c>
      <c r="C23" s="745" t="s">
        <v>15761</v>
      </c>
      <c r="D23" s="750">
        <v>0</v>
      </c>
      <c r="E23" s="750">
        <v>0</v>
      </c>
      <c r="F23" s="750">
        <v>0</v>
      </c>
      <c r="G23" s="750">
        <v>0</v>
      </c>
      <c r="H23" s="750">
        <v>0</v>
      </c>
      <c r="I23" s="750">
        <v>0</v>
      </c>
      <c r="J23" s="750">
        <v>0</v>
      </c>
      <c r="K23" s="750">
        <v>0</v>
      </c>
      <c r="L23" s="750">
        <v>0</v>
      </c>
      <c r="M23" s="750">
        <v>0</v>
      </c>
      <c r="N23" s="750">
        <v>0</v>
      </c>
      <c r="O23" s="750">
        <v>1059</v>
      </c>
      <c r="Q23" s="745" t="s">
        <v>704</v>
      </c>
    </row>
    <row r="24" spans="1:17" ht="15.75" thickBot="1">
      <c r="C24" s="745" t="s">
        <v>15761</v>
      </c>
      <c r="D24" s="750">
        <v>0</v>
      </c>
      <c r="E24" s="750">
        <v>0</v>
      </c>
      <c r="F24" s="750">
        <v>0</v>
      </c>
      <c r="G24" s="750">
        <v>0</v>
      </c>
      <c r="H24" s="750">
        <v>0</v>
      </c>
      <c r="I24" s="750">
        <v>0</v>
      </c>
      <c r="J24" s="750">
        <v>0</v>
      </c>
      <c r="K24" s="750">
        <v>0</v>
      </c>
      <c r="L24" s="750">
        <v>0</v>
      </c>
      <c r="M24" s="750">
        <v>0</v>
      </c>
      <c r="N24" s="750">
        <v>0</v>
      </c>
      <c r="O24" s="750">
        <v>8535</v>
      </c>
      <c r="Q24" s="745" t="s">
        <v>706</v>
      </c>
    </row>
    <row r="25" spans="1:17" ht="15.75" thickBot="1">
      <c r="C25" s="745" t="s">
        <v>15761</v>
      </c>
      <c r="D25" s="757">
        <f t="shared" ref="D25:N25" si="13">SUM(D23:D24)</f>
        <v>0</v>
      </c>
      <c r="E25" s="757">
        <f t="shared" si="13"/>
        <v>0</v>
      </c>
      <c r="F25" s="757">
        <f t="shared" si="13"/>
        <v>0</v>
      </c>
      <c r="G25" s="761">
        <f t="shared" si="13"/>
        <v>0</v>
      </c>
      <c r="H25" s="761">
        <f t="shared" si="13"/>
        <v>0</v>
      </c>
      <c r="I25" s="761">
        <f t="shared" si="13"/>
        <v>0</v>
      </c>
      <c r="J25" s="761">
        <f t="shared" si="13"/>
        <v>0</v>
      </c>
      <c r="K25" s="761">
        <f t="shared" si="13"/>
        <v>0</v>
      </c>
      <c r="L25" s="761">
        <f t="shared" si="13"/>
        <v>0</v>
      </c>
      <c r="M25" s="761">
        <f t="shared" si="13"/>
        <v>0</v>
      </c>
      <c r="N25" s="761">
        <f t="shared" si="13"/>
        <v>0</v>
      </c>
      <c r="O25" s="761">
        <f>SUM(O23:O24)</f>
        <v>9594</v>
      </c>
      <c r="Q25" s="745"/>
    </row>
    <row r="26" spans="1:17">
      <c r="A26" s="749">
        <v>4</v>
      </c>
      <c r="B26" s="745" t="s">
        <v>15764</v>
      </c>
      <c r="C26" s="745" t="s">
        <v>15763</v>
      </c>
      <c r="D26" s="750">
        <v>66638</v>
      </c>
      <c r="E26" s="750">
        <v>66761</v>
      </c>
      <c r="F26" s="750">
        <v>67580</v>
      </c>
      <c r="G26" s="750">
        <v>68463</v>
      </c>
      <c r="H26" s="750">
        <v>66803</v>
      </c>
      <c r="I26" s="750">
        <v>67528</v>
      </c>
      <c r="J26" s="750">
        <v>65981</v>
      </c>
      <c r="K26" s="750">
        <v>66828</v>
      </c>
      <c r="L26" s="750">
        <v>67417</v>
      </c>
      <c r="M26" s="750">
        <v>65699</v>
      </c>
      <c r="N26" s="750">
        <v>68586</v>
      </c>
      <c r="O26" s="750">
        <v>6868</v>
      </c>
      <c r="Q26" s="745" t="s">
        <v>706</v>
      </c>
    </row>
    <row r="27" spans="1:17">
      <c r="A27" s="749">
        <v>5</v>
      </c>
      <c r="B27" s="745" t="s">
        <v>709</v>
      </c>
      <c r="C27" s="745" t="s">
        <v>15765</v>
      </c>
      <c r="D27" s="750">
        <v>0</v>
      </c>
      <c r="E27" s="750">
        <v>0</v>
      </c>
      <c r="F27" s="750">
        <v>0</v>
      </c>
      <c r="G27" s="750">
        <v>0</v>
      </c>
      <c r="H27" s="750">
        <v>0</v>
      </c>
      <c r="I27" s="750">
        <v>0</v>
      </c>
      <c r="J27" s="750">
        <v>0</v>
      </c>
      <c r="K27" s="750">
        <v>0</v>
      </c>
      <c r="L27" s="750">
        <v>0</v>
      </c>
      <c r="M27" s="750">
        <v>0</v>
      </c>
      <c r="N27" s="750">
        <v>0</v>
      </c>
      <c r="O27" s="750">
        <v>7410</v>
      </c>
      <c r="Q27" s="745" t="s">
        <v>704</v>
      </c>
    </row>
    <row r="28" spans="1:17" ht="15.75" thickBot="1">
      <c r="C28" s="745" t="s">
        <v>15765</v>
      </c>
      <c r="D28" s="750">
        <v>0</v>
      </c>
      <c r="E28" s="750">
        <v>0</v>
      </c>
      <c r="F28" s="750">
        <v>0</v>
      </c>
      <c r="G28" s="750">
        <v>0</v>
      </c>
      <c r="H28" s="750">
        <v>0</v>
      </c>
      <c r="I28" s="750">
        <v>0</v>
      </c>
      <c r="J28" s="750">
        <v>0</v>
      </c>
      <c r="K28" s="750">
        <v>0</v>
      </c>
      <c r="L28" s="750">
        <v>0</v>
      </c>
      <c r="M28" s="750">
        <v>0</v>
      </c>
      <c r="N28" s="750">
        <v>0</v>
      </c>
      <c r="O28" s="750">
        <v>1984</v>
      </c>
      <c r="Q28" s="745" t="s">
        <v>707</v>
      </c>
    </row>
    <row r="29" spans="1:17" ht="15.75" thickBot="1">
      <c r="C29" s="745" t="s">
        <v>15765</v>
      </c>
      <c r="D29" s="757">
        <f t="shared" ref="D29:N29" si="14">SUM(D27:D28)</f>
        <v>0</v>
      </c>
      <c r="E29" s="757">
        <f t="shared" si="14"/>
        <v>0</v>
      </c>
      <c r="F29" s="757">
        <f t="shared" si="14"/>
        <v>0</v>
      </c>
      <c r="G29" s="761">
        <f t="shared" si="14"/>
        <v>0</v>
      </c>
      <c r="H29" s="761">
        <f t="shared" si="14"/>
        <v>0</v>
      </c>
      <c r="I29" s="761">
        <f t="shared" si="14"/>
        <v>0</v>
      </c>
      <c r="J29" s="761">
        <f t="shared" si="14"/>
        <v>0</v>
      </c>
      <c r="K29" s="761">
        <f t="shared" si="14"/>
        <v>0</v>
      </c>
      <c r="L29" s="761">
        <f t="shared" si="14"/>
        <v>0</v>
      </c>
      <c r="M29" s="761">
        <f t="shared" si="14"/>
        <v>0</v>
      </c>
      <c r="N29" s="761">
        <f t="shared" si="14"/>
        <v>0</v>
      </c>
      <c r="O29" s="761">
        <f>SUM(O27:O28)</f>
        <v>9394</v>
      </c>
      <c r="Q29" s="745"/>
    </row>
    <row r="30" spans="1:17">
      <c r="A30" s="749">
        <v>6</v>
      </c>
      <c r="B30" s="745" t="s">
        <v>15767</v>
      </c>
      <c r="C30" s="745" t="s">
        <v>15766</v>
      </c>
      <c r="D30" s="750">
        <v>63457</v>
      </c>
      <c r="E30" s="750">
        <v>64356</v>
      </c>
      <c r="F30" s="750">
        <v>65283</v>
      </c>
      <c r="G30" s="750">
        <v>66669</v>
      </c>
      <c r="H30" s="750">
        <v>63800</v>
      </c>
      <c r="I30" s="750">
        <v>65007</v>
      </c>
      <c r="J30" s="750">
        <v>63360</v>
      </c>
      <c r="K30" s="750">
        <v>64396</v>
      </c>
      <c r="L30" s="750">
        <v>64759</v>
      </c>
      <c r="M30" s="750">
        <v>62857</v>
      </c>
      <c r="N30" s="750">
        <v>66135</v>
      </c>
      <c r="O30" s="750">
        <v>551</v>
      </c>
      <c r="Q30" s="745" t="s">
        <v>704</v>
      </c>
    </row>
    <row r="31" spans="1:17" ht="15.75" thickBot="1">
      <c r="C31" s="745" t="s">
        <v>15766</v>
      </c>
      <c r="D31" s="750">
        <v>0</v>
      </c>
      <c r="E31" s="750">
        <v>0</v>
      </c>
      <c r="F31" s="750">
        <v>0</v>
      </c>
      <c r="G31" s="750">
        <v>0</v>
      </c>
      <c r="H31" s="750">
        <v>0</v>
      </c>
      <c r="I31" s="750">
        <v>0</v>
      </c>
      <c r="J31" s="750">
        <v>0</v>
      </c>
      <c r="K31" s="750">
        <v>0</v>
      </c>
      <c r="L31" s="750">
        <v>0</v>
      </c>
      <c r="M31" s="750">
        <v>0</v>
      </c>
      <c r="N31" s="750">
        <v>0</v>
      </c>
      <c r="O31" s="750">
        <v>6310</v>
      </c>
      <c r="Q31" s="745" t="s">
        <v>706</v>
      </c>
    </row>
    <row r="32" spans="1:17" ht="15.75" thickBot="1">
      <c r="C32" s="745" t="s">
        <v>15766</v>
      </c>
      <c r="D32" s="757">
        <f t="shared" ref="D32:N32" si="15">SUM(D30:D31)</f>
        <v>63457</v>
      </c>
      <c r="E32" s="757">
        <f t="shared" si="15"/>
        <v>64356</v>
      </c>
      <c r="F32" s="757">
        <f t="shared" si="15"/>
        <v>65283</v>
      </c>
      <c r="G32" s="761">
        <f t="shared" si="15"/>
        <v>66669</v>
      </c>
      <c r="H32" s="761">
        <f t="shared" si="15"/>
        <v>63800</v>
      </c>
      <c r="I32" s="761">
        <f t="shared" si="15"/>
        <v>65007</v>
      </c>
      <c r="J32" s="761">
        <f t="shared" si="15"/>
        <v>63360</v>
      </c>
      <c r="K32" s="761">
        <f t="shared" si="15"/>
        <v>64396</v>
      </c>
      <c r="L32" s="761">
        <f t="shared" si="15"/>
        <v>64759</v>
      </c>
      <c r="M32" s="761">
        <f t="shared" si="15"/>
        <v>62857</v>
      </c>
      <c r="N32" s="761">
        <f t="shared" si="15"/>
        <v>66135</v>
      </c>
      <c r="O32" s="761">
        <f>SUM(O30:O31)</f>
        <v>6861</v>
      </c>
    </row>
    <row r="33" spans="1:17">
      <c r="A33" s="749">
        <v>7</v>
      </c>
      <c r="B33" s="745" t="s">
        <v>711</v>
      </c>
      <c r="C33" s="745" t="s">
        <v>15768</v>
      </c>
      <c r="D33" s="750">
        <v>0</v>
      </c>
      <c r="E33" s="750">
        <v>0</v>
      </c>
      <c r="F33" s="750">
        <v>0</v>
      </c>
      <c r="G33" s="750">
        <v>0</v>
      </c>
      <c r="H33" s="750">
        <v>0</v>
      </c>
      <c r="I33" s="750">
        <v>0</v>
      </c>
      <c r="J33" s="750">
        <v>0</v>
      </c>
      <c r="K33" s="750">
        <v>0</v>
      </c>
      <c r="L33" s="750">
        <v>0</v>
      </c>
      <c r="M33" s="750">
        <v>0</v>
      </c>
      <c r="N33" s="750">
        <v>0</v>
      </c>
      <c r="O33" s="750">
        <v>6933</v>
      </c>
      <c r="Q33" s="745" t="s">
        <v>707</v>
      </c>
    </row>
    <row r="34" spans="1:17">
      <c r="A34" s="749">
        <v>8</v>
      </c>
      <c r="B34" s="745" t="s">
        <v>3561</v>
      </c>
      <c r="C34" s="745" t="s">
        <v>15769</v>
      </c>
      <c r="D34" s="750">
        <v>0</v>
      </c>
      <c r="E34" s="750">
        <v>0</v>
      </c>
      <c r="F34" s="750">
        <v>0</v>
      </c>
      <c r="G34" s="750">
        <v>0</v>
      </c>
      <c r="H34" s="750">
        <v>0</v>
      </c>
      <c r="I34" s="750">
        <v>0</v>
      </c>
      <c r="J34" s="750">
        <v>0</v>
      </c>
      <c r="K34" s="750">
        <v>0</v>
      </c>
      <c r="L34" s="750">
        <v>0</v>
      </c>
      <c r="M34" s="750">
        <v>0</v>
      </c>
      <c r="N34" s="750">
        <v>0</v>
      </c>
      <c r="O34" s="750">
        <v>9304</v>
      </c>
      <c r="Q34" s="745" t="s">
        <v>704</v>
      </c>
    </row>
    <row r="35" spans="1:17">
      <c r="A35" s="749">
        <v>9</v>
      </c>
      <c r="B35" s="745" t="s">
        <v>1242</v>
      </c>
      <c r="C35" s="745" t="s">
        <v>15770</v>
      </c>
      <c r="D35" s="750">
        <v>0</v>
      </c>
      <c r="E35" s="750">
        <v>0</v>
      </c>
      <c r="F35" s="750">
        <v>0</v>
      </c>
      <c r="G35" s="750">
        <v>0</v>
      </c>
      <c r="H35" s="750">
        <v>0</v>
      </c>
      <c r="I35" s="750">
        <v>0</v>
      </c>
      <c r="J35" s="750">
        <v>0</v>
      </c>
      <c r="K35" s="750">
        <v>0</v>
      </c>
      <c r="L35" s="750">
        <v>0</v>
      </c>
      <c r="M35" s="750">
        <v>0</v>
      </c>
      <c r="N35" s="750">
        <v>0</v>
      </c>
      <c r="O35" s="750">
        <v>10072</v>
      </c>
      <c r="Q35" s="745" t="s">
        <v>706</v>
      </c>
    </row>
    <row r="36" spans="1:17">
      <c r="A36" s="749">
        <v>10</v>
      </c>
      <c r="B36" s="159" t="s">
        <v>15772</v>
      </c>
      <c r="C36" s="159" t="s">
        <v>15771</v>
      </c>
      <c r="D36" s="750">
        <v>0</v>
      </c>
      <c r="E36" s="750">
        <v>0</v>
      </c>
      <c r="F36" s="750">
        <v>0</v>
      </c>
      <c r="G36" s="750">
        <v>0</v>
      </c>
      <c r="H36" s="750">
        <v>0</v>
      </c>
      <c r="I36" s="750">
        <v>0</v>
      </c>
      <c r="J36" s="750">
        <v>0</v>
      </c>
      <c r="K36" s="750">
        <v>0</v>
      </c>
      <c r="L36" s="750">
        <v>0</v>
      </c>
      <c r="M36" s="750">
        <v>0</v>
      </c>
      <c r="N36" s="750">
        <v>0</v>
      </c>
      <c r="O36" s="750">
        <v>353</v>
      </c>
      <c r="Q36" s="745" t="s">
        <v>704</v>
      </c>
    </row>
    <row r="37" spans="1:17">
      <c r="C37" s="159" t="s">
        <v>15771</v>
      </c>
      <c r="D37" s="750">
        <v>0</v>
      </c>
      <c r="E37" s="750">
        <v>0</v>
      </c>
      <c r="F37" s="750">
        <v>0</v>
      </c>
      <c r="G37" s="750">
        <v>0</v>
      </c>
      <c r="H37" s="750">
        <v>0</v>
      </c>
      <c r="I37" s="750">
        <v>0</v>
      </c>
      <c r="J37" s="750">
        <v>0</v>
      </c>
      <c r="K37" s="750">
        <v>0</v>
      </c>
      <c r="L37" s="750">
        <v>0</v>
      </c>
      <c r="M37" s="750">
        <v>0</v>
      </c>
      <c r="N37" s="750">
        <v>0</v>
      </c>
      <c r="O37" s="750">
        <v>0</v>
      </c>
      <c r="Q37" s="745" t="s">
        <v>706</v>
      </c>
    </row>
    <row r="38" spans="1:17" ht="15.75" thickBot="1">
      <c r="C38" s="159" t="s">
        <v>15771</v>
      </c>
      <c r="D38" s="750">
        <v>0</v>
      </c>
      <c r="E38" s="750">
        <v>0</v>
      </c>
      <c r="F38" s="750">
        <v>0</v>
      </c>
      <c r="G38" s="750">
        <v>0</v>
      </c>
      <c r="H38" s="750">
        <v>0</v>
      </c>
      <c r="I38" s="750">
        <v>0</v>
      </c>
      <c r="J38" s="750">
        <v>0</v>
      </c>
      <c r="K38" s="750">
        <v>0</v>
      </c>
      <c r="L38" s="750">
        <v>0</v>
      </c>
      <c r="M38" s="750">
        <v>0</v>
      </c>
      <c r="N38" s="750">
        <v>0</v>
      </c>
      <c r="O38" s="750">
        <v>5964</v>
      </c>
      <c r="Q38" s="745" t="s">
        <v>707</v>
      </c>
    </row>
    <row r="39" spans="1:17" ht="15.75" thickBot="1">
      <c r="C39" s="159" t="s">
        <v>15771</v>
      </c>
      <c r="D39" s="761">
        <f t="shared" ref="D39:N39" si="16">SUM(D36:D38)</f>
        <v>0</v>
      </c>
      <c r="E39" s="761">
        <f t="shared" si="16"/>
        <v>0</v>
      </c>
      <c r="F39" s="761">
        <f t="shared" si="16"/>
        <v>0</v>
      </c>
      <c r="G39" s="761">
        <f t="shared" si="16"/>
        <v>0</v>
      </c>
      <c r="H39" s="761">
        <f t="shared" si="16"/>
        <v>0</v>
      </c>
      <c r="I39" s="761">
        <f t="shared" si="16"/>
        <v>0</v>
      </c>
      <c r="J39" s="761">
        <f t="shared" si="16"/>
        <v>0</v>
      </c>
      <c r="K39" s="761">
        <f t="shared" si="16"/>
        <v>0</v>
      </c>
      <c r="L39" s="761">
        <f t="shared" si="16"/>
        <v>0</v>
      </c>
      <c r="M39" s="761">
        <f t="shared" si="16"/>
        <v>0</v>
      </c>
      <c r="N39" s="761">
        <f t="shared" si="16"/>
        <v>0</v>
      </c>
      <c r="O39" s="761">
        <f>SUM(O36:O38)</f>
        <v>6317</v>
      </c>
    </row>
    <row r="40" spans="1:17">
      <c r="A40" s="749">
        <v>11</v>
      </c>
      <c r="B40" s="159" t="s">
        <v>1243</v>
      </c>
      <c r="C40" s="159" t="s">
        <v>15773</v>
      </c>
      <c r="D40" s="750">
        <v>0</v>
      </c>
      <c r="E40" s="750">
        <v>0</v>
      </c>
      <c r="F40" s="750">
        <v>0</v>
      </c>
      <c r="G40" s="750">
        <v>0</v>
      </c>
      <c r="H40" s="750">
        <v>0</v>
      </c>
      <c r="I40" s="750">
        <v>0</v>
      </c>
      <c r="J40" s="750">
        <v>0</v>
      </c>
      <c r="K40" s="750">
        <v>0</v>
      </c>
      <c r="L40" s="750">
        <v>0</v>
      </c>
      <c r="M40" s="750">
        <v>0</v>
      </c>
      <c r="N40" s="750">
        <v>0</v>
      </c>
      <c r="O40" s="750">
        <v>9987</v>
      </c>
      <c r="Q40" s="745" t="s">
        <v>704</v>
      </c>
    </row>
    <row r="41" spans="1:17">
      <c r="A41" s="749">
        <v>12</v>
      </c>
      <c r="B41" s="159" t="s">
        <v>735</v>
      </c>
      <c r="C41" s="159" t="s">
        <v>15774</v>
      </c>
      <c r="D41" s="750">
        <v>0</v>
      </c>
      <c r="E41" s="750">
        <v>0</v>
      </c>
      <c r="F41" s="750">
        <v>0</v>
      </c>
      <c r="G41" s="750">
        <v>0</v>
      </c>
      <c r="H41" s="750">
        <v>0</v>
      </c>
      <c r="I41" s="750">
        <v>0</v>
      </c>
      <c r="J41" s="750">
        <v>0</v>
      </c>
      <c r="K41" s="750">
        <v>0</v>
      </c>
      <c r="L41" s="750">
        <v>0</v>
      </c>
      <c r="M41" s="750">
        <v>0</v>
      </c>
      <c r="N41" s="750">
        <v>0</v>
      </c>
      <c r="O41" s="750">
        <v>495</v>
      </c>
      <c r="Q41" s="745" t="s">
        <v>704</v>
      </c>
    </row>
    <row r="42" spans="1:17" ht="15.75" thickBot="1">
      <c r="C42" s="159" t="s">
        <v>15774</v>
      </c>
      <c r="D42" s="750">
        <v>0</v>
      </c>
      <c r="E42" s="750">
        <v>0</v>
      </c>
      <c r="F42" s="750">
        <v>0</v>
      </c>
      <c r="G42" s="750">
        <v>0</v>
      </c>
      <c r="H42" s="750">
        <v>0</v>
      </c>
      <c r="I42" s="750">
        <v>0</v>
      </c>
      <c r="J42" s="750">
        <v>0</v>
      </c>
      <c r="K42" s="750">
        <v>0</v>
      </c>
      <c r="L42" s="750">
        <v>0</v>
      </c>
      <c r="M42" s="750">
        <v>0</v>
      </c>
      <c r="N42" s="750">
        <v>0</v>
      </c>
      <c r="O42" s="750">
        <v>5808</v>
      </c>
      <c r="Q42" s="745" t="s">
        <v>707</v>
      </c>
    </row>
    <row r="43" spans="1:17" ht="15.75" thickBot="1">
      <c r="C43" s="159" t="s">
        <v>15774</v>
      </c>
      <c r="D43" s="757">
        <f t="shared" ref="D43:N43" si="17">SUM(D41:D42)</f>
        <v>0</v>
      </c>
      <c r="E43" s="757">
        <f t="shared" si="17"/>
        <v>0</v>
      </c>
      <c r="F43" s="757">
        <f t="shared" si="17"/>
        <v>0</v>
      </c>
      <c r="G43" s="761">
        <f t="shared" si="17"/>
        <v>0</v>
      </c>
      <c r="H43" s="761">
        <f t="shared" si="17"/>
        <v>0</v>
      </c>
      <c r="I43" s="761">
        <f t="shared" si="17"/>
        <v>0</v>
      </c>
      <c r="J43" s="761">
        <f t="shared" si="17"/>
        <v>0</v>
      </c>
      <c r="K43" s="761">
        <f t="shared" si="17"/>
        <v>0</v>
      </c>
      <c r="L43" s="761">
        <f t="shared" si="17"/>
        <v>0</v>
      </c>
      <c r="M43" s="761">
        <f t="shared" si="17"/>
        <v>0</v>
      </c>
      <c r="N43" s="761">
        <f t="shared" si="17"/>
        <v>0</v>
      </c>
      <c r="O43" s="761">
        <f>SUM(O41:O42)</f>
        <v>6303</v>
      </c>
    </row>
    <row r="44" spans="1:17">
      <c r="A44" s="749">
        <v>13</v>
      </c>
      <c r="B44" s="159" t="s">
        <v>3592</v>
      </c>
      <c r="C44" s="159" t="s">
        <v>15775</v>
      </c>
      <c r="D44" s="750">
        <v>0</v>
      </c>
      <c r="E44" s="750">
        <v>0</v>
      </c>
      <c r="F44" s="750">
        <v>0</v>
      </c>
      <c r="G44" s="750">
        <v>0</v>
      </c>
      <c r="H44" s="750">
        <v>0</v>
      </c>
      <c r="I44" s="750">
        <v>0</v>
      </c>
      <c r="J44" s="750">
        <v>0</v>
      </c>
      <c r="K44" s="750">
        <v>0</v>
      </c>
      <c r="L44" s="750">
        <v>0</v>
      </c>
      <c r="M44" s="750">
        <v>0</v>
      </c>
      <c r="N44" s="750">
        <v>0</v>
      </c>
      <c r="O44" s="750">
        <v>9262</v>
      </c>
      <c r="Q44" s="745" t="s">
        <v>704</v>
      </c>
    </row>
    <row r="45" spans="1:17">
      <c r="A45" s="749">
        <v>14</v>
      </c>
      <c r="B45" s="159" t="s">
        <v>1244</v>
      </c>
      <c r="C45" s="159" t="s">
        <v>15776</v>
      </c>
      <c r="D45" s="750">
        <v>0</v>
      </c>
      <c r="E45" s="750">
        <v>0</v>
      </c>
      <c r="F45" s="750">
        <v>0</v>
      </c>
      <c r="G45" s="750">
        <v>0</v>
      </c>
      <c r="H45" s="750">
        <v>0</v>
      </c>
      <c r="I45" s="750">
        <v>0</v>
      </c>
      <c r="J45" s="750">
        <v>0</v>
      </c>
      <c r="K45" s="750">
        <v>0</v>
      </c>
      <c r="L45" s="750">
        <v>0</v>
      </c>
      <c r="M45" s="750">
        <v>0</v>
      </c>
      <c r="N45" s="750">
        <v>0</v>
      </c>
      <c r="O45" s="750">
        <v>9237</v>
      </c>
      <c r="Q45" s="745" t="s">
        <v>704</v>
      </c>
    </row>
    <row r="46" spans="1:17">
      <c r="A46" s="749">
        <v>15</v>
      </c>
      <c r="B46" s="159" t="s">
        <v>15778</v>
      </c>
      <c r="C46" s="159" t="s">
        <v>15777</v>
      </c>
      <c r="D46" s="750">
        <v>0</v>
      </c>
      <c r="E46" s="750">
        <v>0</v>
      </c>
      <c r="F46" s="750">
        <v>0</v>
      </c>
      <c r="G46" s="750">
        <v>0</v>
      </c>
      <c r="H46" s="750">
        <v>0</v>
      </c>
      <c r="I46" s="750">
        <v>0</v>
      </c>
      <c r="J46" s="750">
        <v>0</v>
      </c>
      <c r="K46" s="750">
        <v>0</v>
      </c>
      <c r="L46" s="750">
        <v>0</v>
      </c>
      <c r="M46" s="750">
        <v>0</v>
      </c>
      <c r="N46" s="750">
        <v>0</v>
      </c>
      <c r="O46" s="750">
        <v>6102</v>
      </c>
      <c r="Q46" s="745" t="s">
        <v>707</v>
      </c>
    </row>
    <row r="47" spans="1:17">
      <c r="A47" s="749">
        <v>16</v>
      </c>
      <c r="B47" s="159" t="s">
        <v>5532</v>
      </c>
      <c r="C47" s="159" t="s">
        <v>15779</v>
      </c>
      <c r="D47" s="750">
        <v>0</v>
      </c>
      <c r="E47" s="750">
        <v>0</v>
      </c>
      <c r="F47" s="750">
        <v>0</v>
      </c>
      <c r="G47" s="750">
        <v>0</v>
      </c>
      <c r="H47" s="750">
        <v>0</v>
      </c>
      <c r="I47" s="750">
        <v>0</v>
      </c>
      <c r="J47" s="750">
        <v>0</v>
      </c>
      <c r="K47" s="750">
        <v>0</v>
      </c>
      <c r="L47" s="750">
        <v>0</v>
      </c>
      <c r="M47" s="750">
        <v>0</v>
      </c>
      <c r="N47" s="750">
        <v>0</v>
      </c>
      <c r="O47" s="750">
        <v>2182</v>
      </c>
      <c r="Q47" s="745" t="s">
        <v>706</v>
      </c>
    </row>
    <row r="48" spans="1:17" ht="15.75" thickBot="1">
      <c r="C48" s="159" t="s">
        <v>15779</v>
      </c>
      <c r="D48" s="750">
        <v>0</v>
      </c>
      <c r="E48" s="750">
        <v>0</v>
      </c>
      <c r="F48" s="750">
        <v>0</v>
      </c>
      <c r="G48" s="750">
        <v>0</v>
      </c>
      <c r="H48" s="750">
        <v>0</v>
      </c>
      <c r="I48" s="750">
        <v>0</v>
      </c>
      <c r="J48" s="750">
        <v>0</v>
      </c>
      <c r="K48" s="750">
        <v>0</v>
      </c>
      <c r="L48" s="750">
        <v>0</v>
      </c>
      <c r="M48" s="750">
        <v>0</v>
      </c>
      <c r="N48" s="750">
        <v>0</v>
      </c>
      <c r="O48" s="750">
        <v>3762</v>
      </c>
      <c r="Q48" s="745" t="s">
        <v>707</v>
      </c>
    </row>
    <row r="49" spans="1:17" ht="15.75" thickBot="1">
      <c r="C49" s="159" t="s">
        <v>15779</v>
      </c>
      <c r="D49" s="757">
        <f t="shared" ref="D49:N49" si="18">SUM(D47:D48)</f>
        <v>0</v>
      </c>
      <c r="E49" s="757">
        <f t="shared" si="18"/>
        <v>0</v>
      </c>
      <c r="F49" s="757">
        <f t="shared" si="18"/>
        <v>0</v>
      </c>
      <c r="G49" s="761">
        <f t="shared" si="18"/>
        <v>0</v>
      </c>
      <c r="H49" s="761">
        <f t="shared" si="18"/>
        <v>0</v>
      </c>
      <c r="I49" s="761">
        <f t="shared" si="18"/>
        <v>0</v>
      </c>
      <c r="J49" s="761">
        <f t="shared" si="18"/>
        <v>0</v>
      </c>
      <c r="K49" s="761">
        <f t="shared" si="18"/>
        <v>0</v>
      </c>
      <c r="L49" s="761">
        <f t="shared" si="18"/>
        <v>0</v>
      </c>
      <c r="M49" s="761">
        <f t="shared" si="18"/>
        <v>0</v>
      </c>
      <c r="N49" s="761">
        <f t="shared" si="18"/>
        <v>0</v>
      </c>
      <c r="O49" s="761">
        <f>SUM(O47:O48)</f>
        <v>5944</v>
      </c>
    </row>
    <row r="50" spans="1:17">
      <c r="A50" s="749">
        <v>17</v>
      </c>
      <c r="B50" s="159" t="s">
        <v>1245</v>
      </c>
      <c r="C50" s="159" t="s">
        <v>15780</v>
      </c>
      <c r="D50" s="750">
        <v>0</v>
      </c>
      <c r="E50" s="750">
        <v>0</v>
      </c>
      <c r="F50" s="750">
        <v>0</v>
      </c>
      <c r="G50" s="750">
        <v>0</v>
      </c>
      <c r="H50" s="750">
        <v>0</v>
      </c>
      <c r="I50" s="750">
        <v>0</v>
      </c>
      <c r="J50" s="750">
        <v>0</v>
      </c>
      <c r="K50" s="750">
        <v>0</v>
      </c>
      <c r="L50" s="750">
        <v>0</v>
      </c>
      <c r="M50" s="750">
        <v>0</v>
      </c>
      <c r="N50" s="750">
        <v>0</v>
      </c>
      <c r="O50" s="750">
        <v>6281</v>
      </c>
      <c r="Q50" s="745" t="s">
        <v>707</v>
      </c>
    </row>
    <row r="51" spans="1:17">
      <c r="A51" s="749">
        <v>18</v>
      </c>
      <c r="B51" s="159" t="s">
        <v>1246</v>
      </c>
      <c r="C51" s="159" t="s">
        <v>15781</v>
      </c>
      <c r="D51" s="750">
        <v>0</v>
      </c>
      <c r="E51" s="750">
        <v>0</v>
      </c>
      <c r="F51" s="750">
        <v>0</v>
      </c>
      <c r="G51" s="750">
        <v>0</v>
      </c>
      <c r="H51" s="750">
        <v>0</v>
      </c>
      <c r="I51" s="750">
        <v>0</v>
      </c>
      <c r="J51" s="750">
        <v>0</v>
      </c>
      <c r="K51" s="750">
        <v>0</v>
      </c>
      <c r="L51" s="750">
        <v>0</v>
      </c>
      <c r="M51" s="750">
        <v>0</v>
      </c>
      <c r="N51" s="750">
        <v>0</v>
      </c>
      <c r="O51" s="750">
        <v>6201</v>
      </c>
      <c r="Q51" s="745" t="s">
        <v>704</v>
      </c>
    </row>
    <row r="52" spans="1:17" ht="15.75" thickBot="1">
      <c r="C52" s="159" t="s">
        <v>15781</v>
      </c>
      <c r="D52" s="750">
        <v>0</v>
      </c>
      <c r="E52" s="750">
        <v>0</v>
      </c>
      <c r="F52" s="750">
        <v>0</v>
      </c>
      <c r="G52" s="750">
        <v>0</v>
      </c>
      <c r="H52" s="750">
        <v>0</v>
      </c>
      <c r="I52" s="750">
        <v>0</v>
      </c>
      <c r="J52" s="750">
        <v>0</v>
      </c>
      <c r="K52" s="750">
        <v>0</v>
      </c>
      <c r="L52" s="750">
        <v>0</v>
      </c>
      <c r="M52" s="750">
        <v>0</v>
      </c>
      <c r="N52" s="750">
        <v>0</v>
      </c>
      <c r="O52" s="750">
        <v>192</v>
      </c>
      <c r="Q52" s="745" t="s">
        <v>706</v>
      </c>
    </row>
    <row r="53" spans="1:17" ht="15.75" thickBot="1">
      <c r="C53" s="159" t="s">
        <v>15781</v>
      </c>
      <c r="D53" s="757">
        <f t="shared" ref="D53:N53" si="19">SUM(D51:D52)</f>
        <v>0</v>
      </c>
      <c r="E53" s="757">
        <f t="shared" si="19"/>
        <v>0</v>
      </c>
      <c r="F53" s="757">
        <f t="shared" si="19"/>
        <v>0</v>
      </c>
      <c r="G53" s="761">
        <f t="shared" si="19"/>
        <v>0</v>
      </c>
      <c r="H53" s="761">
        <f t="shared" si="19"/>
        <v>0</v>
      </c>
      <c r="I53" s="761">
        <f t="shared" si="19"/>
        <v>0</v>
      </c>
      <c r="J53" s="761">
        <f t="shared" si="19"/>
        <v>0</v>
      </c>
      <c r="K53" s="761">
        <f t="shared" si="19"/>
        <v>0</v>
      </c>
      <c r="L53" s="761">
        <f t="shared" si="19"/>
        <v>0</v>
      </c>
      <c r="M53" s="761">
        <f t="shared" si="19"/>
        <v>0</v>
      </c>
      <c r="N53" s="761">
        <f t="shared" si="19"/>
        <v>0</v>
      </c>
      <c r="O53" s="761">
        <f>SUM(O51:O52)</f>
        <v>6393</v>
      </c>
    </row>
    <row r="54" spans="1:17">
      <c r="A54" s="749">
        <v>19</v>
      </c>
      <c r="B54" s="159" t="s">
        <v>6584</v>
      </c>
      <c r="C54" s="159" t="s">
        <v>15782</v>
      </c>
      <c r="D54" s="750">
        <v>0</v>
      </c>
      <c r="E54" s="750">
        <v>0</v>
      </c>
      <c r="F54" s="750">
        <v>0</v>
      </c>
      <c r="G54" s="750">
        <v>0</v>
      </c>
      <c r="H54" s="750">
        <v>0</v>
      </c>
      <c r="I54" s="750">
        <v>0</v>
      </c>
      <c r="J54" s="750">
        <v>0</v>
      </c>
      <c r="K54" s="750">
        <v>0</v>
      </c>
      <c r="L54" s="750">
        <v>0</v>
      </c>
      <c r="M54" s="750">
        <v>0</v>
      </c>
      <c r="N54" s="750">
        <v>0</v>
      </c>
      <c r="O54" s="750">
        <v>7668</v>
      </c>
      <c r="Q54" s="745" t="s">
        <v>706</v>
      </c>
    </row>
    <row r="55" spans="1:17" ht="15.75" thickBot="1">
      <c r="C55" s="159" t="s">
        <v>15782</v>
      </c>
      <c r="D55" s="750">
        <v>0</v>
      </c>
      <c r="E55" s="750">
        <v>0</v>
      </c>
      <c r="F55" s="750">
        <v>0</v>
      </c>
      <c r="G55" s="750">
        <v>0</v>
      </c>
      <c r="H55" s="750">
        <v>0</v>
      </c>
      <c r="I55" s="750">
        <v>0</v>
      </c>
      <c r="J55" s="750">
        <v>0</v>
      </c>
      <c r="K55" s="750">
        <v>0</v>
      </c>
      <c r="L55" s="750">
        <v>0</v>
      </c>
      <c r="M55" s="750">
        <v>0</v>
      </c>
      <c r="N55" s="750">
        <v>0</v>
      </c>
      <c r="O55" s="750">
        <v>1226</v>
      </c>
      <c r="Q55" s="745" t="s">
        <v>707</v>
      </c>
    </row>
    <row r="56" spans="1:17" ht="15.75" thickBot="1">
      <c r="C56" s="159" t="s">
        <v>15782</v>
      </c>
      <c r="D56" s="757">
        <f t="shared" ref="D56:N56" si="20">SUM(D54:D55)</f>
        <v>0</v>
      </c>
      <c r="E56" s="757">
        <f t="shared" si="20"/>
        <v>0</v>
      </c>
      <c r="F56" s="757">
        <f t="shared" si="20"/>
        <v>0</v>
      </c>
      <c r="G56" s="761">
        <f t="shared" si="20"/>
        <v>0</v>
      </c>
      <c r="H56" s="761">
        <f t="shared" si="20"/>
        <v>0</v>
      </c>
      <c r="I56" s="761">
        <f t="shared" si="20"/>
        <v>0</v>
      </c>
      <c r="J56" s="761">
        <f t="shared" si="20"/>
        <v>0</v>
      </c>
      <c r="K56" s="761">
        <f t="shared" si="20"/>
        <v>0</v>
      </c>
      <c r="L56" s="761">
        <f t="shared" si="20"/>
        <v>0</v>
      </c>
      <c r="M56" s="761">
        <f t="shared" si="20"/>
        <v>0</v>
      </c>
      <c r="N56" s="761">
        <f t="shared" si="20"/>
        <v>0</v>
      </c>
      <c r="O56" s="761">
        <f>SUM(O54:O55)</f>
        <v>8894</v>
      </c>
    </row>
    <row r="57" spans="1:17">
      <c r="A57" s="749">
        <v>20</v>
      </c>
      <c r="B57" s="159" t="s">
        <v>1247</v>
      </c>
      <c r="C57" s="159" t="s">
        <v>15783</v>
      </c>
      <c r="D57" s="750">
        <v>0</v>
      </c>
      <c r="E57" s="750">
        <v>0</v>
      </c>
      <c r="F57" s="750">
        <v>0</v>
      </c>
      <c r="G57" s="750">
        <v>0</v>
      </c>
      <c r="H57" s="750">
        <v>0</v>
      </c>
      <c r="I57" s="750">
        <v>0</v>
      </c>
      <c r="J57" s="750">
        <v>0</v>
      </c>
      <c r="K57" s="750">
        <v>0</v>
      </c>
      <c r="L57" s="750">
        <v>0</v>
      </c>
      <c r="M57" s="750">
        <v>0</v>
      </c>
      <c r="N57" s="750">
        <v>0</v>
      </c>
      <c r="O57" s="750">
        <v>1719</v>
      </c>
      <c r="Q57" s="745" t="s">
        <v>704</v>
      </c>
    </row>
    <row r="58" spans="1:17" ht="15.75" thickBot="1">
      <c r="C58" s="159" t="s">
        <v>15783</v>
      </c>
      <c r="D58" s="750">
        <v>0</v>
      </c>
      <c r="E58" s="750">
        <v>0</v>
      </c>
      <c r="F58" s="750">
        <v>0</v>
      </c>
      <c r="G58" s="750">
        <v>0</v>
      </c>
      <c r="H58" s="750">
        <v>0</v>
      </c>
      <c r="I58" s="750">
        <v>0</v>
      </c>
      <c r="J58" s="750">
        <v>0</v>
      </c>
      <c r="K58" s="750">
        <v>0</v>
      </c>
      <c r="L58" s="750">
        <v>0</v>
      </c>
      <c r="M58" s="750">
        <v>0</v>
      </c>
      <c r="N58" s="750">
        <v>0</v>
      </c>
      <c r="O58" s="750">
        <v>7782</v>
      </c>
      <c r="Q58" s="745" t="s">
        <v>706</v>
      </c>
    </row>
    <row r="59" spans="1:17" ht="15.75" thickBot="1">
      <c r="C59" s="159" t="s">
        <v>15783</v>
      </c>
      <c r="D59" s="757">
        <f t="shared" ref="D59:N59" si="21">SUM(D57:D58)</f>
        <v>0</v>
      </c>
      <c r="E59" s="757">
        <f t="shared" si="21"/>
        <v>0</v>
      </c>
      <c r="F59" s="757">
        <f t="shared" si="21"/>
        <v>0</v>
      </c>
      <c r="G59" s="761">
        <f t="shared" si="21"/>
        <v>0</v>
      </c>
      <c r="H59" s="761">
        <f t="shared" si="21"/>
        <v>0</v>
      </c>
      <c r="I59" s="761">
        <f t="shared" si="21"/>
        <v>0</v>
      </c>
      <c r="J59" s="761">
        <f t="shared" si="21"/>
        <v>0</v>
      </c>
      <c r="K59" s="761">
        <f t="shared" si="21"/>
        <v>0</v>
      </c>
      <c r="L59" s="761">
        <f t="shared" si="21"/>
        <v>0</v>
      </c>
      <c r="M59" s="761">
        <f t="shared" si="21"/>
        <v>0</v>
      </c>
      <c r="N59" s="761">
        <f t="shared" si="21"/>
        <v>0</v>
      </c>
      <c r="O59" s="761">
        <f>SUM(O57:O58)</f>
        <v>9501</v>
      </c>
    </row>
    <row r="60" spans="1:17">
      <c r="A60" s="749">
        <v>21</v>
      </c>
      <c r="B60" s="159" t="s">
        <v>1248</v>
      </c>
      <c r="C60" s="159" t="s">
        <v>15784</v>
      </c>
      <c r="D60" s="750">
        <v>0</v>
      </c>
      <c r="E60" s="750">
        <v>0</v>
      </c>
      <c r="F60" s="750">
        <v>0</v>
      </c>
      <c r="G60" s="750">
        <v>0</v>
      </c>
      <c r="H60" s="750">
        <v>0</v>
      </c>
      <c r="I60" s="750">
        <v>0</v>
      </c>
      <c r="J60" s="750">
        <v>0</v>
      </c>
      <c r="K60" s="750">
        <v>0</v>
      </c>
      <c r="L60" s="750">
        <v>0</v>
      </c>
      <c r="M60" s="750">
        <v>0</v>
      </c>
      <c r="N60" s="750">
        <v>0</v>
      </c>
      <c r="O60" s="750">
        <v>9247</v>
      </c>
      <c r="Q60" s="745" t="s">
        <v>707</v>
      </c>
    </row>
    <row r="61" spans="1:17">
      <c r="A61" s="749">
        <v>22</v>
      </c>
      <c r="B61" s="159" t="s">
        <v>3229</v>
      </c>
      <c r="C61" s="159" t="s">
        <v>15785</v>
      </c>
      <c r="D61" s="750">
        <v>0</v>
      </c>
      <c r="E61" s="750">
        <v>0</v>
      </c>
      <c r="F61" s="750">
        <v>0</v>
      </c>
      <c r="G61" s="750">
        <v>0</v>
      </c>
      <c r="H61" s="750">
        <v>0</v>
      </c>
      <c r="I61" s="750">
        <v>0</v>
      </c>
      <c r="J61" s="750">
        <v>0</v>
      </c>
      <c r="K61" s="750">
        <v>0</v>
      </c>
      <c r="L61" s="750">
        <v>0</v>
      </c>
      <c r="M61" s="750">
        <v>0</v>
      </c>
      <c r="N61" s="750">
        <v>0</v>
      </c>
      <c r="O61" s="750">
        <v>8683</v>
      </c>
      <c r="Q61" s="745" t="s">
        <v>706</v>
      </c>
    </row>
    <row r="62" spans="1:17" ht="15.75" thickBot="1">
      <c r="C62" s="159" t="s">
        <v>15785</v>
      </c>
      <c r="D62" s="750">
        <v>0</v>
      </c>
      <c r="E62" s="750">
        <v>0</v>
      </c>
      <c r="F62" s="750">
        <v>0</v>
      </c>
      <c r="G62" s="750">
        <v>0</v>
      </c>
      <c r="H62" s="750">
        <v>0</v>
      </c>
      <c r="I62" s="750">
        <v>0</v>
      </c>
      <c r="J62" s="750">
        <v>0</v>
      </c>
      <c r="K62" s="750">
        <v>0</v>
      </c>
      <c r="L62" s="750">
        <v>0</v>
      </c>
      <c r="M62" s="750">
        <v>0</v>
      </c>
      <c r="N62" s="750">
        <v>0</v>
      </c>
      <c r="O62" s="750">
        <v>392</v>
      </c>
      <c r="Q62" s="745" t="s">
        <v>707</v>
      </c>
    </row>
    <row r="63" spans="1:17" ht="15.75" thickBot="1">
      <c r="C63" s="159" t="s">
        <v>15785</v>
      </c>
      <c r="D63" s="757">
        <f t="shared" ref="D63:N63" si="22">SUM(D61:D62)</f>
        <v>0</v>
      </c>
      <c r="E63" s="757">
        <f t="shared" si="22"/>
        <v>0</v>
      </c>
      <c r="F63" s="757">
        <f t="shared" si="22"/>
        <v>0</v>
      </c>
      <c r="G63" s="761">
        <f t="shared" si="22"/>
        <v>0</v>
      </c>
      <c r="H63" s="761">
        <f t="shared" si="22"/>
        <v>0</v>
      </c>
      <c r="I63" s="761">
        <f t="shared" si="22"/>
        <v>0</v>
      </c>
      <c r="J63" s="761">
        <f t="shared" si="22"/>
        <v>0</v>
      </c>
      <c r="K63" s="761">
        <f t="shared" si="22"/>
        <v>0</v>
      </c>
      <c r="L63" s="761">
        <f t="shared" si="22"/>
        <v>0</v>
      </c>
      <c r="M63" s="761">
        <f t="shared" si="22"/>
        <v>0</v>
      </c>
      <c r="N63" s="761">
        <f t="shared" si="22"/>
        <v>0</v>
      </c>
      <c r="O63" s="761">
        <f>SUM(O61:O62)</f>
        <v>9075</v>
      </c>
    </row>
    <row r="64" spans="1:17">
      <c r="A64" s="749">
        <v>23</v>
      </c>
      <c r="B64" s="159" t="s">
        <v>1249</v>
      </c>
      <c r="C64" s="159" t="s">
        <v>15786</v>
      </c>
      <c r="D64" s="750">
        <v>0</v>
      </c>
      <c r="E64" s="750">
        <v>0</v>
      </c>
      <c r="F64" s="750">
        <v>0</v>
      </c>
      <c r="G64" s="750">
        <v>0</v>
      </c>
      <c r="H64" s="750">
        <v>0</v>
      </c>
      <c r="I64" s="750">
        <v>0</v>
      </c>
      <c r="J64" s="750">
        <v>0</v>
      </c>
      <c r="K64" s="750">
        <v>0</v>
      </c>
      <c r="L64" s="750">
        <v>0</v>
      </c>
      <c r="M64" s="750">
        <v>0</v>
      </c>
      <c r="N64" s="750">
        <v>0</v>
      </c>
      <c r="O64" s="750">
        <v>8498</v>
      </c>
      <c r="Q64" s="745" t="s">
        <v>704</v>
      </c>
    </row>
    <row r="65" spans="1:17">
      <c r="A65" s="749">
        <v>24</v>
      </c>
      <c r="B65" s="159" t="s">
        <v>15788</v>
      </c>
      <c r="C65" s="159" t="s">
        <v>15787</v>
      </c>
      <c r="D65" s="750">
        <v>0</v>
      </c>
      <c r="E65" s="750">
        <v>0</v>
      </c>
      <c r="F65" s="750">
        <v>0</v>
      </c>
      <c r="G65" s="750">
        <v>0</v>
      </c>
      <c r="H65" s="750">
        <v>0</v>
      </c>
      <c r="I65" s="750">
        <v>0</v>
      </c>
      <c r="J65" s="750">
        <v>0</v>
      </c>
      <c r="K65" s="750">
        <v>0</v>
      </c>
      <c r="L65" s="750">
        <v>0</v>
      </c>
      <c r="M65" s="750">
        <v>0</v>
      </c>
      <c r="N65" s="750">
        <v>0</v>
      </c>
      <c r="O65" s="750">
        <v>9566</v>
      </c>
      <c r="Q65" s="745" t="s">
        <v>706</v>
      </c>
    </row>
    <row r="66" spans="1:17">
      <c r="A66" s="749">
        <v>25</v>
      </c>
      <c r="B66" s="159" t="s">
        <v>1250</v>
      </c>
      <c r="C66" s="159" t="s">
        <v>15789</v>
      </c>
      <c r="D66" s="750">
        <v>0</v>
      </c>
      <c r="E66" s="750">
        <v>0</v>
      </c>
      <c r="F66" s="750">
        <v>0</v>
      </c>
      <c r="G66" s="750">
        <v>0</v>
      </c>
      <c r="H66" s="750">
        <v>0</v>
      </c>
      <c r="I66" s="750">
        <v>0</v>
      </c>
      <c r="J66" s="750">
        <v>0</v>
      </c>
      <c r="K66" s="750">
        <v>0</v>
      </c>
      <c r="L66" s="750">
        <v>0</v>
      </c>
      <c r="M66" s="750">
        <v>0</v>
      </c>
      <c r="N66" s="750">
        <v>0</v>
      </c>
      <c r="O66" s="750">
        <v>21</v>
      </c>
      <c r="Q66" s="745" t="s">
        <v>704</v>
      </c>
    </row>
    <row r="67" spans="1:17" ht="15.75" thickBot="1">
      <c r="C67" s="159" t="s">
        <v>15789</v>
      </c>
      <c r="D67" s="750">
        <v>0</v>
      </c>
      <c r="E67" s="750">
        <v>0</v>
      </c>
      <c r="F67" s="750">
        <v>0</v>
      </c>
      <c r="G67" s="750">
        <v>0</v>
      </c>
      <c r="H67" s="750">
        <v>0</v>
      </c>
      <c r="I67" s="750">
        <v>0</v>
      </c>
      <c r="J67" s="750">
        <v>0</v>
      </c>
      <c r="K67" s="750">
        <v>0</v>
      </c>
      <c r="L67" s="750">
        <v>0</v>
      </c>
      <c r="M67" s="750">
        <v>0</v>
      </c>
      <c r="N67" s="750">
        <v>0</v>
      </c>
      <c r="O67" s="750">
        <v>6881</v>
      </c>
      <c r="Q67" s="745" t="s">
        <v>707</v>
      </c>
    </row>
    <row r="68" spans="1:17" ht="15.75" thickBot="1">
      <c r="C68" s="159" t="s">
        <v>15789</v>
      </c>
      <c r="D68" s="757">
        <f t="shared" ref="D68:N68" si="23">SUM(D66:D67)</f>
        <v>0</v>
      </c>
      <c r="E68" s="757">
        <f t="shared" si="23"/>
        <v>0</v>
      </c>
      <c r="F68" s="757">
        <f t="shared" si="23"/>
        <v>0</v>
      </c>
      <c r="G68" s="761">
        <f t="shared" si="23"/>
        <v>0</v>
      </c>
      <c r="H68" s="761">
        <f t="shared" si="23"/>
        <v>0</v>
      </c>
      <c r="I68" s="761">
        <f t="shared" si="23"/>
        <v>0</v>
      </c>
      <c r="J68" s="761">
        <f t="shared" si="23"/>
        <v>0</v>
      </c>
      <c r="K68" s="761">
        <f t="shared" si="23"/>
        <v>0</v>
      </c>
      <c r="L68" s="761">
        <f t="shared" si="23"/>
        <v>0</v>
      </c>
      <c r="M68" s="761">
        <f t="shared" si="23"/>
        <v>0</v>
      </c>
      <c r="N68" s="761">
        <f t="shared" si="23"/>
        <v>0</v>
      </c>
      <c r="O68" s="761">
        <f>SUM(O66:O67)</f>
        <v>6902</v>
      </c>
    </row>
    <row r="70" spans="1:17">
      <c r="A70" s="749" t="s">
        <v>15790</v>
      </c>
    </row>
    <row r="72" spans="1:17">
      <c r="A72" s="1008" t="s">
        <v>16023</v>
      </c>
    </row>
    <row r="73" spans="1:17">
      <c r="A73" s="167" t="s">
        <v>16099</v>
      </c>
    </row>
  </sheetData>
  <phoneticPr fontId="6" type="noConversion"/>
  <printOptions gridLinesSet="0"/>
  <pageMargins left="0.78740157480314965" right="0" top="0.51181102362204722" bottom="0.51181102362204722" header="0.51181102362204722" footer="0.51181102362204722"/>
  <pageSetup paperSize="9" scale="80" orientation="portrait" horizontalDpi="300" verticalDpi="300" r:id="rId1"/>
  <headerFooter alignWithMargins="0">
    <oddFooter>&amp;C&amp;"Times New Roman,Regular"&amp;8&amp;P of &amp;N</oddFooter>
  </headerFooter>
  <ignoredErrors>
    <ignoredError sqref="D5:D6 E5:E6 F5:F6 G5:G6 H5:H6 I5:I6 J5:J6 K5:K6 L5:L6 D8 E8 F8 G8 H8 I8 J8 K8 L8 D10 E10 F10 G10 H10 I10 J10 K10 L10 D12:D17 E12:E17 F12:F17 G12:G17 H12:H17 I12:I17 J12:J17 K12:K17 L12:L17"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Q524"/>
  <sheetViews>
    <sheetView showGridLines="0" topLeftCell="A505" zoomScale="90" zoomScaleNormal="90" workbookViewId="0">
      <selection activeCell="D494" sqref="D494"/>
    </sheetView>
  </sheetViews>
  <sheetFormatPr defaultColWidth="12.5703125" defaultRowHeight="15"/>
  <cols>
    <col min="1" max="1" width="4.85546875" style="730" customWidth="1"/>
    <col min="2" max="2" width="43.42578125" style="730" bestFit="1" customWidth="1"/>
    <col min="3" max="3" width="11.5703125" style="730" customWidth="1"/>
    <col min="4" max="15" width="10" style="730" customWidth="1"/>
    <col min="16" max="16" width="2.28515625" style="730" customWidth="1"/>
    <col min="17" max="17" width="33.42578125" style="730" bestFit="1" customWidth="1"/>
    <col min="18" max="16384" width="12.5703125" style="730"/>
  </cols>
  <sheetData>
    <row r="1" spans="1:17">
      <c r="A1" s="729" t="s">
        <v>6924</v>
      </c>
      <c r="D1" s="731">
        <v>2010</v>
      </c>
      <c r="E1" s="731">
        <v>2011</v>
      </c>
      <c r="F1" s="731">
        <v>2012</v>
      </c>
      <c r="G1" s="731">
        <v>2013</v>
      </c>
      <c r="H1" s="731">
        <v>2014</v>
      </c>
      <c r="I1" s="731">
        <v>2015</v>
      </c>
      <c r="J1" s="731">
        <v>2016</v>
      </c>
      <c r="K1" s="731">
        <v>2017</v>
      </c>
      <c r="L1" s="731">
        <v>2018</v>
      </c>
      <c r="M1" s="731">
        <v>2019</v>
      </c>
      <c r="N1" s="731">
        <v>2020</v>
      </c>
      <c r="O1" s="977" t="s">
        <v>14823</v>
      </c>
    </row>
    <row r="3" spans="1:17">
      <c r="A3" s="729" t="s">
        <v>1707</v>
      </c>
      <c r="C3" s="729"/>
      <c r="D3" s="158">
        <f t="shared" ref="D3:I3" si="0">SUM(D8:D19)</f>
        <v>1041700</v>
      </c>
      <c r="E3" s="158">
        <f t="shared" si="0"/>
        <v>1044799</v>
      </c>
      <c r="F3" s="158">
        <f t="shared" si="0"/>
        <v>1053802</v>
      </c>
      <c r="G3" s="158">
        <f t="shared" si="0"/>
        <v>1066451</v>
      </c>
      <c r="H3" s="158">
        <f t="shared" si="0"/>
        <v>1063020</v>
      </c>
      <c r="I3" s="158">
        <f t="shared" si="0"/>
        <v>1051353</v>
      </c>
      <c r="J3" s="158">
        <f t="shared" ref="J3:O3" si="1">SUM(J8:J19)</f>
        <v>1044636</v>
      </c>
      <c r="K3" s="158">
        <f t="shared" si="1"/>
        <v>1075882</v>
      </c>
      <c r="L3" s="158">
        <f t="shared" si="1"/>
        <v>1075033</v>
      </c>
      <c r="M3" s="158">
        <f t="shared" si="1"/>
        <v>1069765</v>
      </c>
      <c r="N3" s="158">
        <f t="shared" si="1"/>
        <v>1099608</v>
      </c>
      <c r="O3" s="158">
        <f t="shared" si="1"/>
        <v>1103622</v>
      </c>
    </row>
    <row r="4" spans="1:17">
      <c r="A4" s="729" t="s">
        <v>1708</v>
      </c>
      <c r="C4" s="729"/>
      <c r="D4" s="158">
        <f t="shared" ref="D4:I4" si="2">D93</f>
        <v>127017</v>
      </c>
      <c r="E4" s="158">
        <f t="shared" si="2"/>
        <v>126250</v>
      </c>
      <c r="F4" s="158">
        <f t="shared" si="2"/>
        <v>127389</v>
      </c>
      <c r="G4" s="158">
        <f t="shared" si="2"/>
        <v>128702</v>
      </c>
      <c r="H4" s="158">
        <f t="shared" si="2"/>
        <v>129615</v>
      </c>
      <c r="I4" s="158">
        <f t="shared" si="2"/>
        <v>124293</v>
      </c>
      <c r="J4" s="158">
        <f t="shared" ref="J4:O4" si="3">J93</f>
        <v>123050</v>
      </c>
      <c r="K4" s="158">
        <f t="shared" si="3"/>
        <v>126228</v>
      </c>
      <c r="L4" s="158">
        <f t="shared" si="3"/>
        <v>126938</v>
      </c>
      <c r="M4" s="158">
        <f t="shared" si="3"/>
        <v>127009</v>
      </c>
      <c r="N4" s="158">
        <f t="shared" si="3"/>
        <v>131212</v>
      </c>
      <c r="O4" s="158">
        <f t="shared" si="3"/>
        <v>131691</v>
      </c>
    </row>
    <row r="5" spans="1:17" ht="15.75" thickBot="1">
      <c r="A5" s="729" t="s">
        <v>1709</v>
      </c>
      <c r="C5" s="729"/>
      <c r="D5" s="732">
        <f t="shared" ref="D5:I5" si="4">D120</f>
        <v>109569</v>
      </c>
      <c r="E5" s="732">
        <f t="shared" si="4"/>
        <v>109495</v>
      </c>
      <c r="F5" s="732">
        <f t="shared" si="4"/>
        <v>109404</v>
      </c>
      <c r="G5" s="732">
        <f t="shared" si="4"/>
        <v>108998</v>
      </c>
      <c r="H5" s="732">
        <f t="shared" si="4"/>
        <v>108957</v>
      </c>
      <c r="I5" s="732">
        <f t="shared" si="4"/>
        <v>107760</v>
      </c>
      <c r="J5" s="732">
        <f t="shared" ref="J5:O5" si="5">J120</f>
        <v>106911</v>
      </c>
      <c r="K5" s="732">
        <f t="shared" si="5"/>
        <v>109252</v>
      </c>
      <c r="L5" s="732">
        <f t="shared" si="5"/>
        <v>110304</v>
      </c>
      <c r="M5" s="732">
        <f t="shared" si="5"/>
        <v>110188</v>
      </c>
      <c r="N5" s="732">
        <f t="shared" si="5"/>
        <v>110299</v>
      </c>
      <c r="O5" s="732">
        <f t="shared" si="5"/>
        <v>113475</v>
      </c>
    </row>
    <row r="6" spans="1:17" ht="15.75" thickBot="1">
      <c r="D6" s="732">
        <f t="shared" ref="D6:I6" si="6">SUM(D3:D5)</f>
        <v>1278286</v>
      </c>
      <c r="E6" s="732">
        <f t="shared" si="6"/>
        <v>1280544</v>
      </c>
      <c r="F6" s="732">
        <f t="shared" si="6"/>
        <v>1290595</v>
      </c>
      <c r="G6" s="732">
        <f t="shared" si="6"/>
        <v>1304151</v>
      </c>
      <c r="H6" s="732">
        <f t="shared" si="6"/>
        <v>1301592</v>
      </c>
      <c r="I6" s="732">
        <f t="shared" si="6"/>
        <v>1283406</v>
      </c>
      <c r="J6" s="732">
        <f t="shared" ref="J6:O6" si="7">SUM(J3:J5)</f>
        <v>1274597</v>
      </c>
      <c r="K6" s="732">
        <f t="shared" si="7"/>
        <v>1311362</v>
      </c>
      <c r="L6" s="732">
        <f t="shared" si="7"/>
        <v>1312275</v>
      </c>
      <c r="M6" s="732">
        <f t="shared" si="7"/>
        <v>1306962</v>
      </c>
      <c r="N6" s="732">
        <f t="shared" si="7"/>
        <v>1341119</v>
      </c>
      <c r="O6" s="732">
        <f t="shared" si="7"/>
        <v>1348788</v>
      </c>
    </row>
    <row r="7" spans="1:17">
      <c r="D7" s="733"/>
      <c r="E7" s="733"/>
      <c r="F7" s="733"/>
      <c r="G7" s="733"/>
      <c r="H7" s="733"/>
      <c r="I7" s="733"/>
      <c r="J7" s="733"/>
      <c r="K7" s="733"/>
      <c r="L7" s="733"/>
      <c r="M7" s="733"/>
      <c r="N7" s="733"/>
      <c r="O7" s="733"/>
    </row>
    <row r="8" spans="1:17">
      <c r="A8" s="729" t="s">
        <v>671</v>
      </c>
      <c r="C8" s="729"/>
      <c r="D8" s="158">
        <f t="shared" ref="D8:I8" si="8">D150</f>
        <v>127760</v>
      </c>
      <c r="E8" s="158">
        <f t="shared" si="8"/>
        <v>127981</v>
      </c>
      <c r="F8" s="158">
        <f t="shared" si="8"/>
        <v>128749</v>
      </c>
      <c r="G8" s="158">
        <f t="shared" si="8"/>
        <v>131062</v>
      </c>
      <c r="H8" s="158">
        <f t="shared" si="8"/>
        <v>131592</v>
      </c>
      <c r="I8" s="158">
        <f t="shared" si="8"/>
        <v>132163</v>
      </c>
      <c r="J8" s="158">
        <f t="shared" ref="J8:O8" si="9">J150</f>
        <v>126526</v>
      </c>
      <c r="K8" s="158">
        <f t="shared" si="9"/>
        <v>131494</v>
      </c>
      <c r="L8" s="158">
        <f t="shared" si="9"/>
        <v>134416</v>
      </c>
      <c r="M8" s="158">
        <f t="shared" si="9"/>
        <v>133573</v>
      </c>
      <c r="N8" s="158">
        <f t="shared" si="9"/>
        <v>136849</v>
      </c>
      <c r="O8" s="158">
        <f t="shared" si="9"/>
        <v>136158</v>
      </c>
      <c r="Q8" s="734"/>
    </row>
    <row r="9" spans="1:17">
      <c r="A9" s="729" t="s">
        <v>1710</v>
      </c>
      <c r="C9" s="729"/>
      <c r="D9" s="158">
        <f t="shared" ref="D9:I9" si="10">D178</f>
        <v>106789</v>
      </c>
      <c r="E9" s="158">
        <f t="shared" si="10"/>
        <v>108402</v>
      </c>
      <c r="F9" s="158">
        <f t="shared" si="10"/>
        <v>110124</v>
      </c>
      <c r="G9" s="158">
        <f t="shared" si="10"/>
        <v>111319</v>
      </c>
      <c r="H9" s="158">
        <f t="shared" si="10"/>
        <v>110453</v>
      </c>
      <c r="I9" s="158">
        <f t="shared" si="10"/>
        <v>109550</v>
      </c>
      <c r="J9" s="158">
        <f t="shared" ref="J9:O9" si="11">J178</f>
        <v>108866</v>
      </c>
      <c r="K9" s="158">
        <f t="shared" si="11"/>
        <v>111922</v>
      </c>
      <c r="L9" s="158">
        <f t="shared" si="11"/>
        <v>111428</v>
      </c>
      <c r="M9" s="158">
        <f t="shared" si="11"/>
        <v>110546</v>
      </c>
      <c r="N9" s="158">
        <f t="shared" si="11"/>
        <v>112689</v>
      </c>
      <c r="O9" s="158">
        <f t="shared" si="11"/>
        <v>112199</v>
      </c>
      <c r="Q9" s="734"/>
    </row>
    <row r="10" spans="1:17">
      <c r="A10" s="729" t="s">
        <v>1711</v>
      </c>
      <c r="C10" s="729"/>
      <c r="D10" s="158">
        <f t="shared" ref="D10:I10" si="12">D220</f>
        <v>55162</v>
      </c>
      <c r="E10" s="158">
        <f t="shared" si="12"/>
        <v>55692</v>
      </c>
      <c r="F10" s="158">
        <f t="shared" si="12"/>
        <v>56703</v>
      </c>
      <c r="G10" s="158">
        <f t="shared" si="12"/>
        <v>57648</v>
      </c>
      <c r="H10" s="158">
        <f t="shared" si="12"/>
        <v>57961</v>
      </c>
      <c r="I10" s="158">
        <f t="shared" si="12"/>
        <v>58154</v>
      </c>
      <c r="J10" s="158">
        <f t="shared" ref="J10:O10" si="13">J220</f>
        <v>56445</v>
      </c>
      <c r="K10" s="158">
        <f t="shared" si="13"/>
        <v>58144</v>
      </c>
      <c r="L10" s="158">
        <f t="shared" si="13"/>
        <v>57670</v>
      </c>
      <c r="M10" s="158">
        <f t="shared" si="13"/>
        <v>57500</v>
      </c>
      <c r="N10" s="158">
        <f t="shared" si="13"/>
        <v>59359</v>
      </c>
      <c r="O10" s="158">
        <f t="shared" si="13"/>
        <v>58764</v>
      </c>
      <c r="Q10" s="734"/>
    </row>
    <row r="11" spans="1:17">
      <c r="A11" s="729" t="s">
        <v>1712</v>
      </c>
      <c r="C11" s="729"/>
      <c r="D11" s="158">
        <f t="shared" ref="D11:I11" si="14">D244</f>
        <v>67689</v>
      </c>
      <c r="E11" s="158">
        <f t="shared" si="14"/>
        <v>64562</v>
      </c>
      <c r="F11" s="158">
        <f t="shared" si="14"/>
        <v>66697</v>
      </c>
      <c r="G11" s="158">
        <f t="shared" si="14"/>
        <v>67284</v>
      </c>
      <c r="H11" s="158">
        <f t="shared" si="14"/>
        <v>68085</v>
      </c>
      <c r="I11" s="158">
        <f t="shared" si="14"/>
        <v>67461</v>
      </c>
      <c r="J11" s="158">
        <f t="shared" ref="J11:O11" si="15">J244</f>
        <v>67541</v>
      </c>
      <c r="K11" s="158">
        <f t="shared" si="15"/>
        <v>68558</v>
      </c>
      <c r="L11" s="158">
        <f t="shared" si="15"/>
        <v>69147</v>
      </c>
      <c r="M11" s="158">
        <f t="shared" si="15"/>
        <v>68597</v>
      </c>
      <c r="N11" s="158">
        <f t="shared" si="15"/>
        <v>69579</v>
      </c>
      <c r="O11" s="158">
        <f t="shared" si="15"/>
        <v>69309</v>
      </c>
      <c r="Q11" s="734"/>
    </row>
    <row r="12" spans="1:17">
      <c r="A12" s="729" t="s">
        <v>9376</v>
      </c>
      <c r="C12" s="729"/>
      <c r="D12" s="158">
        <f t="shared" ref="D12:I12" si="16">D267</f>
        <v>126419</v>
      </c>
      <c r="E12" s="158">
        <f t="shared" si="16"/>
        <v>126981</v>
      </c>
      <c r="F12" s="158">
        <f t="shared" si="16"/>
        <v>126983</v>
      </c>
      <c r="G12" s="158">
        <f t="shared" si="16"/>
        <v>128500</v>
      </c>
      <c r="H12" s="158">
        <f t="shared" si="16"/>
        <v>128307</v>
      </c>
      <c r="I12" s="158">
        <f t="shared" si="16"/>
        <v>128252</v>
      </c>
      <c r="J12" s="158">
        <f t="shared" ref="J12:O12" si="17">J267</f>
        <v>127528</v>
      </c>
      <c r="K12" s="158">
        <f t="shared" si="17"/>
        <v>128790</v>
      </c>
      <c r="L12" s="158">
        <f t="shared" si="17"/>
        <v>129985</v>
      </c>
      <c r="M12" s="158">
        <f t="shared" si="17"/>
        <v>126742</v>
      </c>
      <c r="N12" s="158">
        <f t="shared" si="17"/>
        <v>132772</v>
      </c>
      <c r="O12" s="158">
        <f t="shared" si="17"/>
        <v>132037</v>
      </c>
      <c r="Q12" s="734"/>
    </row>
    <row r="13" spans="1:17">
      <c r="A13" s="729" t="s">
        <v>1713</v>
      </c>
      <c r="C13" s="729"/>
      <c r="D13" s="158">
        <f t="shared" ref="D13:I13" si="18">D303</f>
        <v>124169</v>
      </c>
      <c r="E13" s="158">
        <f t="shared" si="18"/>
        <v>124252</v>
      </c>
      <c r="F13" s="158">
        <f t="shared" si="18"/>
        <v>124454</v>
      </c>
      <c r="G13" s="158">
        <f t="shared" si="18"/>
        <v>127376</v>
      </c>
      <c r="H13" s="158">
        <f t="shared" si="18"/>
        <v>122733</v>
      </c>
      <c r="I13" s="158">
        <f t="shared" si="18"/>
        <v>117280</v>
      </c>
      <c r="J13" s="158">
        <f t="shared" ref="J13:O13" si="19">J303</f>
        <v>120001</v>
      </c>
      <c r="K13" s="158">
        <f t="shared" si="19"/>
        <v>130591</v>
      </c>
      <c r="L13" s="158">
        <f t="shared" si="19"/>
        <v>127252</v>
      </c>
      <c r="M13" s="158">
        <f t="shared" si="19"/>
        <v>126557</v>
      </c>
      <c r="N13" s="158">
        <f t="shared" si="19"/>
        <v>131255</v>
      </c>
      <c r="O13" s="158">
        <f t="shared" si="19"/>
        <v>136210</v>
      </c>
      <c r="Q13" s="734"/>
    </row>
    <row r="14" spans="1:17">
      <c r="A14" s="729" t="s">
        <v>1714</v>
      </c>
      <c r="C14" s="729"/>
      <c r="D14" s="158">
        <f t="shared" ref="D14:I14" si="20">D337</f>
        <v>95464</v>
      </c>
      <c r="E14" s="158">
        <f t="shared" si="20"/>
        <v>95881</v>
      </c>
      <c r="F14" s="158">
        <f t="shared" si="20"/>
        <v>97065</v>
      </c>
      <c r="G14" s="158">
        <f t="shared" si="20"/>
        <v>97467</v>
      </c>
      <c r="H14" s="158">
        <f t="shared" si="20"/>
        <v>96837</v>
      </c>
      <c r="I14" s="158">
        <f t="shared" si="20"/>
        <v>96989</v>
      </c>
      <c r="J14" s="158">
        <f t="shared" ref="J14:O14" si="21">J337</f>
        <v>97897</v>
      </c>
      <c r="K14" s="158">
        <f t="shared" si="21"/>
        <v>99177</v>
      </c>
      <c r="L14" s="158">
        <f t="shared" si="21"/>
        <v>98420</v>
      </c>
      <c r="M14" s="158">
        <f t="shared" si="21"/>
        <v>98223</v>
      </c>
      <c r="N14" s="158">
        <f t="shared" si="21"/>
        <v>99621</v>
      </c>
      <c r="O14" s="158">
        <f t="shared" si="21"/>
        <v>99466</v>
      </c>
      <c r="Q14" s="734"/>
    </row>
    <row r="15" spans="1:17">
      <c r="A15" s="729" t="s">
        <v>1723</v>
      </c>
      <c r="C15" s="729"/>
      <c r="D15" s="158">
        <f t="shared" ref="D15:I15" si="22">D383</f>
        <v>59167</v>
      </c>
      <c r="E15" s="158">
        <f t="shared" si="22"/>
        <v>59380</v>
      </c>
      <c r="F15" s="158">
        <f t="shared" si="22"/>
        <v>60159</v>
      </c>
      <c r="G15" s="158">
        <f t="shared" si="22"/>
        <v>60705</v>
      </c>
      <c r="H15" s="158">
        <f t="shared" si="22"/>
        <v>60380</v>
      </c>
      <c r="I15" s="158">
        <f t="shared" si="22"/>
        <v>58988</v>
      </c>
      <c r="J15" s="158">
        <f t="shared" ref="J15:O15" si="23">J383</f>
        <v>57532</v>
      </c>
      <c r="K15" s="158">
        <f t="shared" si="23"/>
        <v>58776</v>
      </c>
      <c r="L15" s="158">
        <f t="shared" si="23"/>
        <v>58671</v>
      </c>
      <c r="M15" s="158">
        <f t="shared" si="23"/>
        <v>57746</v>
      </c>
      <c r="N15" s="158">
        <f t="shared" si="23"/>
        <v>58438</v>
      </c>
      <c r="O15" s="158">
        <f t="shared" si="23"/>
        <v>59682</v>
      </c>
      <c r="Q15" s="734"/>
    </row>
    <row r="16" spans="1:17">
      <c r="A16" s="729" t="s">
        <v>1724</v>
      </c>
      <c r="C16" s="729"/>
      <c r="D16" s="158">
        <f t="shared" ref="D16:I16" si="24">D403</f>
        <v>47843</v>
      </c>
      <c r="E16" s="158">
        <f t="shared" si="24"/>
        <v>48619</v>
      </c>
      <c r="F16" s="158">
        <f t="shared" si="24"/>
        <v>48025</v>
      </c>
      <c r="G16" s="158">
        <f t="shared" si="24"/>
        <v>47802</v>
      </c>
      <c r="H16" s="158">
        <f t="shared" si="24"/>
        <v>47762</v>
      </c>
      <c r="I16" s="158">
        <f t="shared" si="24"/>
        <v>46959</v>
      </c>
      <c r="J16" s="158">
        <f t="shared" ref="J16:O16" si="25">J403</f>
        <v>47312</v>
      </c>
      <c r="K16" s="158">
        <f t="shared" si="25"/>
        <v>49001</v>
      </c>
      <c r="L16" s="158">
        <f t="shared" si="25"/>
        <v>49433</v>
      </c>
      <c r="M16" s="158">
        <f t="shared" si="25"/>
        <v>49846</v>
      </c>
      <c r="N16" s="158">
        <f t="shared" si="25"/>
        <v>51383</v>
      </c>
      <c r="O16" s="158">
        <f t="shared" si="25"/>
        <v>50974</v>
      </c>
      <c r="Q16" s="734"/>
    </row>
    <row r="17" spans="1:17">
      <c r="A17" s="729" t="s">
        <v>3091</v>
      </c>
      <c r="C17" s="729"/>
      <c r="D17" s="158">
        <f t="shared" ref="D17:I17" si="26">D430</f>
        <v>64867</v>
      </c>
      <c r="E17" s="158">
        <f t="shared" si="26"/>
        <v>65133</v>
      </c>
      <c r="F17" s="158">
        <f t="shared" si="26"/>
        <v>65401</v>
      </c>
      <c r="G17" s="158">
        <f t="shared" si="26"/>
        <v>66122</v>
      </c>
      <c r="H17" s="158">
        <f t="shared" si="26"/>
        <v>66359</v>
      </c>
      <c r="I17" s="158">
        <f t="shared" si="26"/>
        <v>65617</v>
      </c>
      <c r="J17" s="158">
        <f t="shared" ref="J17:O17" si="27">J430</f>
        <v>64466</v>
      </c>
      <c r="K17" s="158">
        <f t="shared" si="27"/>
        <v>65876</v>
      </c>
      <c r="L17" s="158">
        <f t="shared" si="27"/>
        <v>65824</v>
      </c>
      <c r="M17" s="158">
        <f t="shared" si="27"/>
        <v>66022</v>
      </c>
      <c r="N17" s="158">
        <f t="shared" si="27"/>
        <v>67617</v>
      </c>
      <c r="O17" s="158">
        <f t="shared" si="27"/>
        <v>67292</v>
      </c>
      <c r="Q17" s="734"/>
    </row>
    <row r="18" spans="1:17">
      <c r="A18" s="729" t="s">
        <v>3092</v>
      </c>
      <c r="C18" s="729"/>
      <c r="D18" s="158">
        <f t="shared" ref="D18:I18" si="28">D455</f>
        <v>107765</v>
      </c>
      <c r="E18" s="158">
        <f t="shared" si="28"/>
        <v>108308</v>
      </c>
      <c r="F18" s="158">
        <f t="shared" si="28"/>
        <v>108723</v>
      </c>
      <c r="G18" s="158">
        <f t="shared" si="28"/>
        <v>109553</v>
      </c>
      <c r="H18" s="158">
        <f t="shared" si="28"/>
        <v>110276</v>
      </c>
      <c r="I18" s="158">
        <f t="shared" si="28"/>
        <v>107859</v>
      </c>
      <c r="J18" s="158">
        <f t="shared" ref="J18:O18" si="29">J455</f>
        <v>108820</v>
      </c>
      <c r="K18" s="158">
        <f t="shared" si="29"/>
        <v>109092</v>
      </c>
      <c r="L18" s="158">
        <f t="shared" si="29"/>
        <v>109023</v>
      </c>
      <c r="M18" s="158">
        <f t="shared" si="29"/>
        <v>109489</v>
      </c>
      <c r="N18" s="158">
        <f t="shared" si="29"/>
        <v>113369</v>
      </c>
      <c r="O18" s="158">
        <f t="shared" si="29"/>
        <v>113595</v>
      </c>
      <c r="Q18" s="734"/>
    </row>
    <row r="19" spans="1:17">
      <c r="A19" s="729" t="s">
        <v>3093</v>
      </c>
      <c r="C19" s="729"/>
      <c r="D19" s="158">
        <f t="shared" ref="D19:I19" si="30">D498</f>
        <v>58606</v>
      </c>
      <c r="E19" s="158">
        <f t="shared" si="30"/>
        <v>59608</v>
      </c>
      <c r="F19" s="158">
        <f t="shared" si="30"/>
        <v>60719</v>
      </c>
      <c r="G19" s="158">
        <f t="shared" si="30"/>
        <v>61613</v>
      </c>
      <c r="H19" s="158">
        <f t="shared" si="30"/>
        <v>62275</v>
      </c>
      <c r="I19" s="158">
        <f t="shared" si="30"/>
        <v>62081</v>
      </c>
      <c r="J19" s="158">
        <f t="shared" ref="J19:O19" si="31">J498</f>
        <v>61702</v>
      </c>
      <c r="K19" s="158">
        <f t="shared" si="31"/>
        <v>64461</v>
      </c>
      <c r="L19" s="158">
        <f t="shared" si="31"/>
        <v>63764</v>
      </c>
      <c r="M19" s="158">
        <f t="shared" si="31"/>
        <v>64924</v>
      </c>
      <c r="N19" s="158">
        <f t="shared" si="31"/>
        <v>66677</v>
      </c>
      <c r="O19" s="158">
        <f t="shared" si="31"/>
        <v>67936</v>
      </c>
      <c r="Q19" s="734"/>
    </row>
    <row r="21" spans="1:17">
      <c r="A21" s="729" t="s">
        <v>3094</v>
      </c>
      <c r="D21" s="158">
        <f t="shared" ref="D21:I21" si="32">D3/14</f>
        <v>74407.142857142855</v>
      </c>
      <c r="E21" s="158">
        <f t="shared" si="32"/>
        <v>74628.5</v>
      </c>
      <c r="F21" s="158">
        <f t="shared" si="32"/>
        <v>75271.571428571435</v>
      </c>
      <c r="G21" s="158">
        <f t="shared" si="32"/>
        <v>76175.071428571435</v>
      </c>
      <c r="H21" s="158">
        <f t="shared" si="32"/>
        <v>75930</v>
      </c>
      <c r="I21" s="158">
        <f t="shared" si="32"/>
        <v>75096.642857142855</v>
      </c>
      <c r="J21" s="158">
        <f t="shared" ref="J21:O21" si="33">J3/14</f>
        <v>74616.857142857145</v>
      </c>
      <c r="K21" s="158">
        <f t="shared" si="33"/>
        <v>76848.71428571429</v>
      </c>
      <c r="L21" s="158">
        <f t="shared" si="33"/>
        <v>76788.071428571435</v>
      </c>
      <c r="M21" s="158">
        <f t="shared" si="33"/>
        <v>76411.78571428571</v>
      </c>
      <c r="N21" s="158">
        <f t="shared" si="33"/>
        <v>78543.428571428565</v>
      </c>
      <c r="O21" s="158">
        <f t="shared" si="33"/>
        <v>78830.142857142855</v>
      </c>
    </row>
    <row r="22" spans="1:17">
      <c r="A22" s="729" t="s">
        <v>3095</v>
      </c>
      <c r="D22" s="158">
        <f t="shared" ref="D22:I23" si="34">D4/2</f>
        <v>63508.5</v>
      </c>
      <c r="E22" s="158">
        <f t="shared" si="34"/>
        <v>63125</v>
      </c>
      <c r="F22" s="158">
        <f t="shared" si="34"/>
        <v>63694.5</v>
      </c>
      <c r="G22" s="158">
        <f t="shared" si="34"/>
        <v>64351</v>
      </c>
      <c r="H22" s="158">
        <f t="shared" si="34"/>
        <v>64807.5</v>
      </c>
      <c r="I22" s="158">
        <f t="shared" si="34"/>
        <v>62146.5</v>
      </c>
      <c r="J22" s="158">
        <f t="shared" ref="J22:O23" si="35">J4/2</f>
        <v>61525</v>
      </c>
      <c r="K22" s="158">
        <f t="shared" si="35"/>
        <v>63114</v>
      </c>
      <c r="L22" s="158">
        <f t="shared" si="35"/>
        <v>63469</v>
      </c>
      <c r="M22" s="158">
        <f t="shared" si="35"/>
        <v>63504.5</v>
      </c>
      <c r="N22" s="158">
        <f t="shared" si="35"/>
        <v>65606</v>
      </c>
      <c r="O22" s="158">
        <f t="shared" si="35"/>
        <v>65845.5</v>
      </c>
    </row>
    <row r="23" spans="1:17">
      <c r="A23" s="729" t="s">
        <v>3096</v>
      </c>
      <c r="D23" s="158">
        <f t="shared" si="34"/>
        <v>54784.5</v>
      </c>
      <c r="E23" s="158">
        <f t="shared" si="34"/>
        <v>54747.5</v>
      </c>
      <c r="F23" s="158">
        <f t="shared" si="34"/>
        <v>54702</v>
      </c>
      <c r="G23" s="158">
        <f t="shared" si="34"/>
        <v>54499</v>
      </c>
      <c r="H23" s="158">
        <f t="shared" si="34"/>
        <v>54478.5</v>
      </c>
      <c r="I23" s="158">
        <f t="shared" si="34"/>
        <v>53880</v>
      </c>
      <c r="J23" s="158">
        <f t="shared" si="35"/>
        <v>53455.5</v>
      </c>
      <c r="K23" s="158">
        <f t="shared" si="35"/>
        <v>54626</v>
      </c>
      <c r="L23" s="158">
        <f t="shared" si="35"/>
        <v>55152</v>
      </c>
      <c r="M23" s="158">
        <f t="shared" si="35"/>
        <v>55094</v>
      </c>
      <c r="N23" s="158">
        <f t="shared" si="35"/>
        <v>55149.5</v>
      </c>
      <c r="O23" s="158">
        <f t="shared" si="35"/>
        <v>56737.5</v>
      </c>
    </row>
    <row r="24" spans="1:17">
      <c r="A24" s="729" t="s">
        <v>3097</v>
      </c>
      <c r="D24" s="158">
        <f t="shared" ref="D24:I24" si="36">D5/1</f>
        <v>109569</v>
      </c>
      <c r="E24" s="158">
        <f t="shared" si="36"/>
        <v>109495</v>
      </c>
      <c r="F24" s="158">
        <f t="shared" si="36"/>
        <v>109404</v>
      </c>
      <c r="G24" s="158">
        <f t="shared" si="36"/>
        <v>108998</v>
      </c>
      <c r="H24" s="158">
        <f t="shared" si="36"/>
        <v>108957</v>
      </c>
      <c r="I24" s="158">
        <f t="shared" si="36"/>
        <v>107760</v>
      </c>
      <c r="J24" s="158">
        <f t="shared" ref="J24:O24" si="37">J5/1</f>
        <v>106911</v>
      </c>
      <c r="K24" s="158">
        <f t="shared" si="37"/>
        <v>109252</v>
      </c>
      <c r="L24" s="158">
        <f t="shared" si="37"/>
        <v>110304</v>
      </c>
      <c r="M24" s="158">
        <f t="shared" si="37"/>
        <v>110188</v>
      </c>
      <c r="N24" s="158">
        <f t="shared" si="37"/>
        <v>110299</v>
      </c>
      <c r="O24" s="158">
        <f t="shared" si="37"/>
        <v>113475</v>
      </c>
    </row>
    <row r="25" spans="1:17">
      <c r="A25" s="729" t="s">
        <v>2888</v>
      </c>
      <c r="D25" s="158">
        <f t="shared" ref="D25:I25" si="38">D6/17</f>
        <v>75193.294117647063</v>
      </c>
      <c r="E25" s="158">
        <f t="shared" si="38"/>
        <v>75326.117647058825</v>
      </c>
      <c r="F25" s="158">
        <f t="shared" si="38"/>
        <v>75917.352941176476</v>
      </c>
      <c r="G25" s="158">
        <f t="shared" si="38"/>
        <v>76714.76470588235</v>
      </c>
      <c r="H25" s="158">
        <f t="shared" si="38"/>
        <v>76564.23529411765</v>
      </c>
      <c r="I25" s="158">
        <f t="shared" si="38"/>
        <v>75494.470588235301</v>
      </c>
      <c r="J25" s="158">
        <f t="shared" ref="J25:O25" si="39">J6/17</f>
        <v>74976.294117647063</v>
      </c>
      <c r="K25" s="158">
        <f t="shared" si="39"/>
        <v>77138.941176470587</v>
      </c>
      <c r="L25" s="158">
        <f t="shared" si="39"/>
        <v>77192.647058823524</v>
      </c>
      <c r="M25" s="158">
        <f t="shared" si="39"/>
        <v>76880.117647058825</v>
      </c>
      <c r="N25" s="158">
        <f t="shared" si="39"/>
        <v>78889.352941176476</v>
      </c>
      <c r="O25" s="158">
        <f t="shared" si="39"/>
        <v>79340.470588235301</v>
      </c>
    </row>
    <row r="26" spans="1:17">
      <c r="A26" s="729"/>
      <c r="D26" s="735"/>
      <c r="E26" s="735"/>
      <c r="F26" s="735"/>
      <c r="G26" s="735"/>
      <c r="H26" s="735"/>
      <c r="I26" s="735"/>
      <c r="J26" s="735"/>
      <c r="K26" s="735"/>
      <c r="L26" s="735"/>
      <c r="M26" s="735"/>
      <c r="N26" s="735"/>
      <c r="O26" s="735"/>
    </row>
    <row r="27" spans="1:17">
      <c r="A27" s="729" t="s">
        <v>1733</v>
      </c>
      <c r="D27" s="158">
        <f t="shared" ref="D27:I27" si="40">D168</f>
        <v>65302</v>
      </c>
      <c r="E27" s="158">
        <f t="shared" si="40"/>
        <v>65373</v>
      </c>
      <c r="F27" s="158">
        <f t="shared" si="40"/>
        <v>65910</v>
      </c>
      <c r="G27" s="158">
        <f t="shared" si="40"/>
        <v>67086</v>
      </c>
      <c r="H27" s="158">
        <f t="shared" si="40"/>
        <v>67504</v>
      </c>
      <c r="I27" s="158">
        <f t="shared" si="40"/>
        <v>67784</v>
      </c>
      <c r="J27" s="158">
        <f t="shared" ref="J27:O27" si="41">J168</f>
        <v>64885</v>
      </c>
      <c r="K27" s="158">
        <f t="shared" si="41"/>
        <v>67898</v>
      </c>
      <c r="L27" s="158">
        <f t="shared" si="41"/>
        <v>69274</v>
      </c>
      <c r="M27" s="158">
        <f t="shared" si="41"/>
        <v>68878</v>
      </c>
      <c r="N27" s="158">
        <f t="shared" si="41"/>
        <v>70538</v>
      </c>
      <c r="O27" s="158">
        <f t="shared" si="41"/>
        <v>70195</v>
      </c>
      <c r="Q27" s="729" t="s">
        <v>1734</v>
      </c>
    </row>
    <row r="28" spans="1:17">
      <c r="D28" s="733"/>
      <c r="E28" s="733"/>
      <c r="F28" s="733"/>
      <c r="G28" s="733"/>
      <c r="H28" s="733"/>
      <c r="I28" s="733"/>
      <c r="J28" s="733"/>
      <c r="K28" s="733"/>
      <c r="L28" s="733"/>
      <c r="M28" s="733"/>
      <c r="N28" s="733"/>
      <c r="O28" s="733"/>
    </row>
    <row r="29" spans="1:17">
      <c r="A29" s="729" t="s">
        <v>1011</v>
      </c>
      <c r="D29" s="158">
        <f t="shared" ref="D29:I29" si="42">D212</f>
        <v>70956</v>
      </c>
      <c r="E29" s="158">
        <f t="shared" si="42"/>
        <v>72064</v>
      </c>
      <c r="F29" s="158">
        <f t="shared" si="42"/>
        <v>73291</v>
      </c>
      <c r="G29" s="158">
        <f t="shared" si="42"/>
        <v>74250</v>
      </c>
      <c r="H29" s="158">
        <f t="shared" si="42"/>
        <v>73673</v>
      </c>
      <c r="I29" s="158">
        <f t="shared" si="42"/>
        <v>73239</v>
      </c>
      <c r="J29" s="158">
        <f t="shared" ref="J29:O29" si="43">J212</f>
        <v>72892</v>
      </c>
      <c r="K29" s="158">
        <f t="shared" si="43"/>
        <v>74932</v>
      </c>
      <c r="L29" s="158">
        <f t="shared" si="43"/>
        <v>74579</v>
      </c>
      <c r="M29" s="158">
        <f t="shared" si="43"/>
        <v>73903</v>
      </c>
      <c r="N29" s="158">
        <f t="shared" si="43"/>
        <v>75169</v>
      </c>
      <c r="O29" s="158">
        <f t="shared" si="43"/>
        <v>74835</v>
      </c>
      <c r="Q29" s="729" t="s">
        <v>1012</v>
      </c>
    </row>
    <row r="30" spans="1:17">
      <c r="D30" s="733"/>
      <c r="E30" s="733"/>
      <c r="F30" s="733"/>
      <c r="G30" s="733"/>
      <c r="H30" s="733"/>
      <c r="I30" s="733"/>
      <c r="J30" s="733"/>
      <c r="K30" s="733"/>
      <c r="L30" s="733"/>
      <c r="M30" s="733"/>
      <c r="N30" s="733"/>
      <c r="O30" s="733"/>
    </row>
    <row r="31" spans="1:17">
      <c r="A31" s="729" t="s">
        <v>1013</v>
      </c>
      <c r="D31" s="158">
        <f t="shared" ref="D31:I31" si="44">D237</f>
        <v>55162</v>
      </c>
      <c r="E31" s="158">
        <f t="shared" si="44"/>
        <v>55692</v>
      </c>
      <c r="F31" s="158">
        <f t="shared" si="44"/>
        <v>56703</v>
      </c>
      <c r="G31" s="158">
        <f t="shared" si="44"/>
        <v>57648</v>
      </c>
      <c r="H31" s="158">
        <f t="shared" si="44"/>
        <v>57961</v>
      </c>
      <c r="I31" s="158">
        <f t="shared" si="44"/>
        <v>58154</v>
      </c>
      <c r="J31" s="158">
        <f t="shared" ref="J31:O31" si="45">J237</f>
        <v>56445</v>
      </c>
      <c r="K31" s="158">
        <f t="shared" si="45"/>
        <v>58144</v>
      </c>
      <c r="L31" s="158">
        <f t="shared" si="45"/>
        <v>57670</v>
      </c>
      <c r="M31" s="158">
        <f t="shared" si="45"/>
        <v>57500</v>
      </c>
      <c r="N31" s="158">
        <f t="shared" si="45"/>
        <v>59359</v>
      </c>
      <c r="O31" s="158">
        <f t="shared" si="45"/>
        <v>58764</v>
      </c>
      <c r="Q31" s="729" t="s">
        <v>5222</v>
      </c>
    </row>
    <row r="32" spans="1:17" ht="15.75" thickBot="1">
      <c r="D32" s="732">
        <f t="shared" ref="D32:I32" si="46">D373</f>
        <v>15200</v>
      </c>
      <c r="E32" s="732">
        <f t="shared" si="46"/>
        <v>15349</v>
      </c>
      <c r="F32" s="732">
        <f t="shared" si="46"/>
        <v>15588</v>
      </c>
      <c r="G32" s="732">
        <f t="shared" si="46"/>
        <v>15740</v>
      </c>
      <c r="H32" s="732">
        <f t="shared" si="46"/>
        <v>15735</v>
      </c>
      <c r="I32" s="732">
        <f t="shared" si="46"/>
        <v>15771</v>
      </c>
      <c r="J32" s="732">
        <f t="shared" ref="J32:O32" si="47">J373</f>
        <v>15937</v>
      </c>
      <c r="K32" s="732">
        <f t="shared" si="47"/>
        <v>16310</v>
      </c>
      <c r="L32" s="732">
        <f t="shared" si="47"/>
        <v>16110</v>
      </c>
      <c r="M32" s="732">
        <f t="shared" si="47"/>
        <v>16140</v>
      </c>
      <c r="N32" s="732">
        <f t="shared" si="47"/>
        <v>16317</v>
      </c>
      <c r="O32" s="732">
        <f t="shared" si="47"/>
        <v>16351</v>
      </c>
      <c r="Q32" s="729" t="s">
        <v>1755</v>
      </c>
    </row>
    <row r="33" spans="1:17" ht="15.75" thickBot="1">
      <c r="D33" s="732">
        <f t="shared" ref="D33:I33" si="48">SUM(D31:D32)</f>
        <v>70362</v>
      </c>
      <c r="E33" s="732">
        <f t="shared" si="48"/>
        <v>71041</v>
      </c>
      <c r="F33" s="732">
        <f t="shared" si="48"/>
        <v>72291</v>
      </c>
      <c r="G33" s="732">
        <f t="shared" si="48"/>
        <v>73388</v>
      </c>
      <c r="H33" s="732">
        <f t="shared" si="48"/>
        <v>73696</v>
      </c>
      <c r="I33" s="732">
        <f t="shared" si="48"/>
        <v>73925</v>
      </c>
      <c r="J33" s="732">
        <f t="shared" ref="J33:O33" si="49">SUM(J31:J32)</f>
        <v>72382</v>
      </c>
      <c r="K33" s="732">
        <f t="shared" si="49"/>
        <v>74454</v>
      </c>
      <c r="L33" s="732">
        <f t="shared" si="49"/>
        <v>73780</v>
      </c>
      <c r="M33" s="732">
        <f t="shared" si="49"/>
        <v>73640</v>
      </c>
      <c r="N33" s="732">
        <f t="shared" si="49"/>
        <v>75676</v>
      </c>
      <c r="O33" s="732">
        <f t="shared" si="49"/>
        <v>75115</v>
      </c>
    </row>
    <row r="34" spans="1:17" ht="15" customHeight="1">
      <c r="D34" s="733"/>
      <c r="E34" s="733"/>
      <c r="F34" s="733"/>
      <c r="G34" s="733"/>
      <c r="H34" s="733"/>
      <c r="I34" s="733"/>
      <c r="J34" s="733"/>
      <c r="K34" s="733"/>
      <c r="L34" s="733"/>
      <c r="M34" s="733"/>
      <c r="N34" s="733"/>
      <c r="O34" s="733"/>
    </row>
    <row r="35" spans="1:17" ht="15" customHeight="1">
      <c r="A35" s="729" t="s">
        <v>1756</v>
      </c>
      <c r="D35" s="158">
        <f t="shared" ref="D35:I35" si="50">D260</f>
        <v>67689</v>
      </c>
      <c r="E35" s="158">
        <f t="shared" si="50"/>
        <v>64562</v>
      </c>
      <c r="F35" s="158">
        <f t="shared" si="50"/>
        <v>66697</v>
      </c>
      <c r="G35" s="158">
        <f t="shared" si="50"/>
        <v>67284</v>
      </c>
      <c r="H35" s="158">
        <f t="shared" si="50"/>
        <v>68085</v>
      </c>
      <c r="I35" s="158">
        <f t="shared" si="50"/>
        <v>67461</v>
      </c>
      <c r="J35" s="158">
        <f t="shared" ref="J35:O35" si="51">J260</f>
        <v>67541</v>
      </c>
      <c r="K35" s="158">
        <f t="shared" si="51"/>
        <v>68558</v>
      </c>
      <c r="L35" s="158">
        <f t="shared" si="51"/>
        <v>69147</v>
      </c>
      <c r="M35" s="158">
        <f t="shared" si="51"/>
        <v>68597</v>
      </c>
      <c r="N35" s="158">
        <f t="shared" si="51"/>
        <v>69579</v>
      </c>
      <c r="O35" s="158">
        <f t="shared" si="51"/>
        <v>69309</v>
      </c>
      <c r="Q35" s="729" t="s">
        <v>5223</v>
      </c>
    </row>
    <row r="36" spans="1:17" ht="15" customHeight="1">
      <c r="D36" s="733"/>
      <c r="E36" s="733"/>
      <c r="F36" s="733"/>
      <c r="G36" s="733"/>
      <c r="H36" s="733"/>
      <c r="I36" s="733"/>
      <c r="J36" s="733"/>
      <c r="K36" s="733"/>
      <c r="L36" s="733"/>
      <c r="M36" s="733"/>
      <c r="N36" s="733"/>
      <c r="O36" s="733"/>
    </row>
    <row r="37" spans="1:17">
      <c r="A37" s="730" t="s">
        <v>1757</v>
      </c>
      <c r="D37" s="733">
        <f t="shared" ref="D37:I37" si="52">D293</f>
        <v>77607</v>
      </c>
      <c r="E37" s="733">
        <f t="shared" si="52"/>
        <v>77835</v>
      </c>
      <c r="F37" s="733">
        <f t="shared" si="52"/>
        <v>77801</v>
      </c>
      <c r="G37" s="733">
        <f t="shared" si="52"/>
        <v>78971</v>
      </c>
      <c r="H37" s="733">
        <f t="shared" si="52"/>
        <v>78626</v>
      </c>
      <c r="I37" s="733">
        <f t="shared" si="52"/>
        <v>78673</v>
      </c>
      <c r="J37" s="733">
        <f t="shared" ref="J37:O37" si="53">J293</f>
        <v>78107</v>
      </c>
      <c r="K37" s="733">
        <f t="shared" si="53"/>
        <v>79124</v>
      </c>
      <c r="L37" s="733">
        <f t="shared" si="53"/>
        <v>79793</v>
      </c>
      <c r="M37" s="733">
        <f t="shared" si="53"/>
        <v>77323</v>
      </c>
      <c r="N37" s="733">
        <f t="shared" si="53"/>
        <v>81299</v>
      </c>
      <c r="O37" s="733">
        <f t="shared" si="53"/>
        <v>80793</v>
      </c>
      <c r="Q37" s="730" t="s">
        <v>1758</v>
      </c>
    </row>
    <row r="38" spans="1:17">
      <c r="D38" s="733"/>
      <c r="E38" s="733"/>
      <c r="F38" s="733"/>
      <c r="G38" s="733"/>
      <c r="H38" s="733"/>
      <c r="I38" s="733"/>
      <c r="J38" s="733"/>
      <c r="K38" s="733"/>
      <c r="L38" s="733"/>
      <c r="M38" s="733"/>
      <c r="N38" s="733"/>
      <c r="O38" s="733"/>
    </row>
    <row r="39" spans="1:17">
      <c r="A39" s="730" t="s">
        <v>1759</v>
      </c>
      <c r="D39" s="733">
        <f t="shared" ref="D39:I39" si="54">D491</f>
        <v>67216</v>
      </c>
      <c r="E39" s="733">
        <f t="shared" si="54"/>
        <v>67447</v>
      </c>
      <c r="F39" s="733">
        <f t="shared" si="54"/>
        <v>67656</v>
      </c>
      <c r="G39" s="733">
        <f t="shared" si="54"/>
        <v>68306</v>
      </c>
      <c r="H39" s="733">
        <f t="shared" si="54"/>
        <v>68892</v>
      </c>
      <c r="I39" s="733">
        <f t="shared" si="54"/>
        <v>68009</v>
      </c>
      <c r="J39" s="733">
        <f t="shared" ref="J39:O39" si="55">J491</f>
        <v>68209</v>
      </c>
      <c r="K39" s="733">
        <f t="shared" si="55"/>
        <v>68352</v>
      </c>
      <c r="L39" s="733">
        <f t="shared" si="55"/>
        <v>68086</v>
      </c>
      <c r="M39" s="733">
        <f t="shared" si="55"/>
        <v>68141</v>
      </c>
      <c r="N39" s="733">
        <f t="shared" si="55"/>
        <v>70303</v>
      </c>
      <c r="O39" s="733">
        <f t="shared" si="55"/>
        <v>70376</v>
      </c>
      <c r="Q39" s="730" t="s">
        <v>1760</v>
      </c>
    </row>
    <row r="41" spans="1:17">
      <c r="A41" s="729" t="s">
        <v>1761</v>
      </c>
      <c r="D41" s="158">
        <f t="shared" ref="D41:I41" si="56">D328</f>
        <v>73501</v>
      </c>
      <c r="E41" s="158">
        <f t="shared" si="56"/>
        <v>73638</v>
      </c>
      <c r="F41" s="158">
        <f t="shared" si="56"/>
        <v>73928</v>
      </c>
      <c r="G41" s="158">
        <f t="shared" si="56"/>
        <v>76414</v>
      </c>
      <c r="H41" s="158">
        <f t="shared" si="56"/>
        <v>72841</v>
      </c>
      <c r="I41" s="158">
        <f t="shared" si="56"/>
        <v>69819</v>
      </c>
      <c r="J41" s="158">
        <f t="shared" ref="J41:O41" si="57">J328</f>
        <v>72295</v>
      </c>
      <c r="K41" s="158">
        <f t="shared" si="57"/>
        <v>79607</v>
      </c>
      <c r="L41" s="158">
        <f t="shared" si="57"/>
        <v>76556</v>
      </c>
      <c r="M41" s="158">
        <f t="shared" si="57"/>
        <v>75779</v>
      </c>
      <c r="N41" s="158">
        <f t="shared" si="57"/>
        <v>79989</v>
      </c>
      <c r="O41" s="158">
        <f t="shared" si="57"/>
        <v>83181</v>
      </c>
      <c r="Q41" s="729" t="s">
        <v>1762</v>
      </c>
    </row>
    <row r="42" spans="1:17">
      <c r="A42" s="729"/>
      <c r="D42" s="158"/>
      <c r="E42" s="158"/>
      <c r="F42" s="158"/>
      <c r="G42" s="158"/>
      <c r="H42" s="158"/>
      <c r="I42" s="158"/>
      <c r="J42" s="158"/>
      <c r="K42" s="158"/>
      <c r="L42" s="158"/>
      <c r="M42" s="158"/>
      <c r="N42" s="158"/>
      <c r="O42" s="158"/>
      <c r="Q42" s="729"/>
    </row>
    <row r="43" spans="1:17">
      <c r="A43" s="729" t="s">
        <v>1763</v>
      </c>
      <c r="D43" s="158">
        <f t="shared" ref="D43:I43" si="58">D374</f>
        <v>72006</v>
      </c>
      <c r="E43" s="158">
        <f t="shared" si="58"/>
        <v>72212</v>
      </c>
      <c r="F43" s="158">
        <f t="shared" si="58"/>
        <v>73041</v>
      </c>
      <c r="G43" s="158">
        <f t="shared" si="58"/>
        <v>73271</v>
      </c>
      <c r="H43" s="158">
        <f t="shared" si="58"/>
        <v>72705</v>
      </c>
      <c r="I43" s="158">
        <f t="shared" si="58"/>
        <v>72843</v>
      </c>
      <c r="J43" s="158">
        <f t="shared" ref="J43:O43" si="59">J374</f>
        <v>73521</v>
      </c>
      <c r="K43" s="158">
        <f t="shared" si="59"/>
        <v>74281</v>
      </c>
      <c r="L43" s="158">
        <f t="shared" si="59"/>
        <v>73817</v>
      </c>
      <c r="M43" s="158">
        <f t="shared" si="59"/>
        <v>73638</v>
      </c>
      <c r="N43" s="158">
        <f t="shared" si="59"/>
        <v>74752</v>
      </c>
      <c r="O43" s="158">
        <f t="shared" si="59"/>
        <v>74553</v>
      </c>
      <c r="Q43" s="729" t="s">
        <v>1755</v>
      </c>
    </row>
    <row r="44" spans="1:17">
      <c r="D44" s="733"/>
      <c r="E44" s="733"/>
      <c r="F44" s="733"/>
      <c r="G44" s="733"/>
      <c r="H44" s="733"/>
      <c r="I44" s="733"/>
      <c r="J44" s="733"/>
      <c r="K44" s="733"/>
      <c r="L44" s="733"/>
      <c r="M44" s="733"/>
      <c r="N44" s="733"/>
      <c r="O44" s="733"/>
    </row>
    <row r="45" spans="1:17" ht="15" customHeight="1">
      <c r="A45" s="729" t="s">
        <v>1764</v>
      </c>
      <c r="D45" s="158">
        <f t="shared" ref="D45:I45" si="60">D375</f>
        <v>8258</v>
      </c>
      <c r="E45" s="158">
        <f t="shared" si="60"/>
        <v>8320</v>
      </c>
      <c r="F45" s="158">
        <f t="shared" si="60"/>
        <v>8436</v>
      </c>
      <c r="G45" s="158">
        <f t="shared" si="60"/>
        <v>8456</v>
      </c>
      <c r="H45" s="158">
        <f t="shared" si="60"/>
        <v>8397</v>
      </c>
      <c r="I45" s="158">
        <f t="shared" si="60"/>
        <v>8375</v>
      </c>
      <c r="J45" s="158">
        <f t="shared" ref="J45:O45" si="61">J375</f>
        <v>8439</v>
      </c>
      <c r="K45" s="158">
        <f t="shared" si="61"/>
        <v>8586</v>
      </c>
      <c r="L45" s="158">
        <f t="shared" si="61"/>
        <v>8493</v>
      </c>
      <c r="M45" s="158">
        <f t="shared" si="61"/>
        <v>8445</v>
      </c>
      <c r="N45" s="158">
        <f t="shared" si="61"/>
        <v>8552</v>
      </c>
      <c r="O45" s="158">
        <f t="shared" si="61"/>
        <v>8562</v>
      </c>
      <c r="Q45" s="729" t="s">
        <v>1755</v>
      </c>
    </row>
    <row r="46" spans="1:17" ht="15.75" thickBot="1">
      <c r="D46" s="732">
        <f t="shared" ref="D46:I46" si="62">D396</f>
        <v>59167</v>
      </c>
      <c r="E46" s="732">
        <f t="shared" si="62"/>
        <v>59380</v>
      </c>
      <c r="F46" s="732">
        <f t="shared" si="62"/>
        <v>60159</v>
      </c>
      <c r="G46" s="732">
        <f t="shared" si="62"/>
        <v>60705</v>
      </c>
      <c r="H46" s="732">
        <f t="shared" si="62"/>
        <v>60380</v>
      </c>
      <c r="I46" s="732">
        <f t="shared" si="62"/>
        <v>58988</v>
      </c>
      <c r="J46" s="732">
        <f t="shared" ref="J46:O46" si="63">J396</f>
        <v>57532</v>
      </c>
      <c r="K46" s="732">
        <f t="shared" si="63"/>
        <v>58776</v>
      </c>
      <c r="L46" s="732">
        <f t="shared" si="63"/>
        <v>58671</v>
      </c>
      <c r="M46" s="732">
        <f t="shared" si="63"/>
        <v>57746</v>
      </c>
      <c r="N46" s="732">
        <f t="shared" si="63"/>
        <v>58438</v>
      </c>
      <c r="O46" s="732">
        <f t="shared" si="63"/>
        <v>59682</v>
      </c>
      <c r="Q46" s="729" t="s">
        <v>5227</v>
      </c>
    </row>
    <row r="47" spans="1:17" ht="15.75" thickBot="1">
      <c r="D47" s="732">
        <f t="shared" ref="D47:I47" si="64">SUM(D45:D46)</f>
        <v>67425</v>
      </c>
      <c r="E47" s="732">
        <f t="shared" si="64"/>
        <v>67700</v>
      </c>
      <c r="F47" s="732">
        <f t="shared" si="64"/>
        <v>68595</v>
      </c>
      <c r="G47" s="732">
        <f t="shared" si="64"/>
        <v>69161</v>
      </c>
      <c r="H47" s="732">
        <f t="shared" si="64"/>
        <v>68777</v>
      </c>
      <c r="I47" s="732">
        <f t="shared" si="64"/>
        <v>67363</v>
      </c>
      <c r="J47" s="732">
        <f t="shared" ref="J47:O47" si="65">SUM(J45:J46)</f>
        <v>65971</v>
      </c>
      <c r="K47" s="732">
        <f t="shared" si="65"/>
        <v>67362</v>
      </c>
      <c r="L47" s="732">
        <f t="shared" si="65"/>
        <v>67164</v>
      </c>
      <c r="M47" s="732">
        <f t="shared" si="65"/>
        <v>66191</v>
      </c>
      <c r="N47" s="732">
        <f t="shared" si="65"/>
        <v>66990</v>
      </c>
      <c r="O47" s="732">
        <f t="shared" si="65"/>
        <v>68244</v>
      </c>
    </row>
    <row r="48" spans="1:17">
      <c r="D48" s="733"/>
      <c r="E48" s="733"/>
      <c r="F48" s="733"/>
      <c r="G48" s="733"/>
      <c r="H48" s="733"/>
      <c r="I48" s="733"/>
      <c r="J48" s="733"/>
      <c r="K48" s="733"/>
      <c r="L48" s="733"/>
      <c r="M48" s="733"/>
      <c r="N48" s="733"/>
      <c r="O48" s="733"/>
    </row>
    <row r="49" spans="1:17">
      <c r="A49" s="729" t="s">
        <v>1765</v>
      </c>
      <c r="D49" s="158">
        <f t="shared" ref="D49:I49" si="66">D329</f>
        <v>30132</v>
      </c>
      <c r="E49" s="158">
        <f t="shared" si="66"/>
        <v>30226</v>
      </c>
      <c r="F49" s="158">
        <f t="shared" si="66"/>
        <v>30156</v>
      </c>
      <c r="G49" s="158">
        <f t="shared" si="66"/>
        <v>30369</v>
      </c>
      <c r="H49" s="158">
        <f t="shared" si="66"/>
        <v>29806</v>
      </c>
      <c r="I49" s="158">
        <f t="shared" si="66"/>
        <v>27644</v>
      </c>
      <c r="J49" s="158">
        <f t="shared" ref="J49:O49" si="67">J329</f>
        <v>27829</v>
      </c>
      <c r="K49" s="158">
        <f t="shared" si="67"/>
        <v>29757</v>
      </c>
      <c r="L49" s="158">
        <f t="shared" si="67"/>
        <v>30047</v>
      </c>
      <c r="M49" s="158">
        <f t="shared" si="67"/>
        <v>29756</v>
      </c>
      <c r="N49" s="158">
        <f t="shared" si="67"/>
        <v>29598</v>
      </c>
      <c r="O49" s="158">
        <f t="shared" si="67"/>
        <v>30864</v>
      </c>
      <c r="Q49" s="729" t="s">
        <v>1762</v>
      </c>
    </row>
    <row r="50" spans="1:17" ht="15.75" thickBot="1">
      <c r="A50" s="729"/>
      <c r="D50" s="732">
        <f t="shared" ref="D50:I50" si="68">D492</f>
        <v>40549</v>
      </c>
      <c r="E50" s="732">
        <f t="shared" si="68"/>
        <v>40861</v>
      </c>
      <c r="F50" s="732">
        <f t="shared" si="68"/>
        <v>41067</v>
      </c>
      <c r="G50" s="732">
        <f t="shared" si="68"/>
        <v>41247</v>
      </c>
      <c r="H50" s="732">
        <f t="shared" si="68"/>
        <v>41384</v>
      </c>
      <c r="I50" s="732">
        <f t="shared" si="68"/>
        <v>39850</v>
      </c>
      <c r="J50" s="732">
        <f t="shared" ref="J50:O50" si="69">J492</f>
        <v>40611</v>
      </c>
      <c r="K50" s="732">
        <f t="shared" si="69"/>
        <v>40740</v>
      </c>
      <c r="L50" s="732">
        <f t="shared" si="69"/>
        <v>40937</v>
      </c>
      <c r="M50" s="732">
        <f t="shared" si="69"/>
        <v>41348</v>
      </c>
      <c r="N50" s="732">
        <f t="shared" si="69"/>
        <v>43066</v>
      </c>
      <c r="O50" s="732">
        <f t="shared" si="69"/>
        <v>43219</v>
      </c>
      <c r="Q50" s="729" t="s">
        <v>1760</v>
      </c>
    </row>
    <row r="51" spans="1:17" ht="15.75" thickBot="1">
      <c r="A51" s="729"/>
      <c r="D51" s="736">
        <f t="shared" ref="D51:I51" si="70">D49+D50</f>
        <v>70681</v>
      </c>
      <c r="E51" s="736">
        <f t="shared" si="70"/>
        <v>71087</v>
      </c>
      <c r="F51" s="736">
        <f t="shared" si="70"/>
        <v>71223</v>
      </c>
      <c r="G51" s="736">
        <f t="shared" si="70"/>
        <v>71616</v>
      </c>
      <c r="H51" s="736">
        <f t="shared" si="70"/>
        <v>71190</v>
      </c>
      <c r="I51" s="736">
        <f t="shared" si="70"/>
        <v>67494</v>
      </c>
      <c r="J51" s="736">
        <f t="shared" ref="J51:O51" si="71">J49+J50</f>
        <v>68440</v>
      </c>
      <c r="K51" s="736">
        <f t="shared" si="71"/>
        <v>70497</v>
      </c>
      <c r="L51" s="736">
        <f t="shared" si="71"/>
        <v>70984</v>
      </c>
      <c r="M51" s="736">
        <f t="shared" si="71"/>
        <v>71104</v>
      </c>
      <c r="N51" s="736">
        <f t="shared" si="71"/>
        <v>72664</v>
      </c>
      <c r="O51" s="736">
        <f t="shared" si="71"/>
        <v>74083</v>
      </c>
      <c r="Q51" s="729"/>
    </row>
    <row r="52" spans="1:17">
      <c r="D52" s="733"/>
      <c r="E52" s="733"/>
      <c r="F52" s="733"/>
      <c r="G52" s="733"/>
      <c r="H52" s="733"/>
      <c r="I52" s="733"/>
      <c r="J52" s="733"/>
      <c r="K52" s="733"/>
      <c r="L52" s="733"/>
      <c r="M52" s="733"/>
      <c r="N52" s="733"/>
      <c r="O52" s="733"/>
    </row>
    <row r="53" spans="1:17">
      <c r="A53" s="729" t="s">
        <v>1766</v>
      </c>
      <c r="D53" s="158">
        <f t="shared" ref="D53:I53" si="72">D294</f>
        <v>31547</v>
      </c>
      <c r="E53" s="158">
        <f t="shared" si="72"/>
        <v>31645</v>
      </c>
      <c r="F53" s="158">
        <f t="shared" si="72"/>
        <v>31511</v>
      </c>
      <c r="G53" s="158">
        <f t="shared" si="72"/>
        <v>31823</v>
      </c>
      <c r="H53" s="158">
        <f t="shared" si="72"/>
        <v>31892</v>
      </c>
      <c r="I53" s="158">
        <f t="shared" si="72"/>
        <v>32095</v>
      </c>
      <c r="J53" s="158">
        <f t="shared" ref="J53:O53" si="73">J294</f>
        <v>32031</v>
      </c>
      <c r="K53" s="158">
        <f t="shared" si="73"/>
        <v>32139</v>
      </c>
      <c r="L53" s="158">
        <f t="shared" si="73"/>
        <v>32375</v>
      </c>
      <c r="M53" s="158">
        <f t="shared" si="73"/>
        <v>31809</v>
      </c>
      <c r="N53" s="158">
        <f t="shared" si="73"/>
        <v>32733</v>
      </c>
      <c r="O53" s="158">
        <f t="shared" si="73"/>
        <v>32575</v>
      </c>
      <c r="Q53" s="729" t="s">
        <v>1758</v>
      </c>
    </row>
    <row r="54" spans="1:17" ht="15.75" thickBot="1">
      <c r="D54" s="732">
        <f t="shared" ref="D54:I54" si="74">D422</f>
        <v>37325</v>
      </c>
      <c r="E54" s="732">
        <f t="shared" si="74"/>
        <v>37894</v>
      </c>
      <c r="F54" s="732">
        <f t="shared" si="74"/>
        <v>37430</v>
      </c>
      <c r="G54" s="732">
        <f t="shared" si="74"/>
        <v>37192</v>
      </c>
      <c r="H54" s="732">
        <f t="shared" si="74"/>
        <v>37192</v>
      </c>
      <c r="I54" s="732">
        <f t="shared" si="74"/>
        <v>36529</v>
      </c>
      <c r="J54" s="732">
        <f t="shared" ref="J54:O54" si="75">J422</f>
        <v>36893</v>
      </c>
      <c r="K54" s="732">
        <f t="shared" si="75"/>
        <v>38308</v>
      </c>
      <c r="L54" s="732">
        <f t="shared" si="75"/>
        <v>38606</v>
      </c>
      <c r="M54" s="732">
        <f t="shared" si="75"/>
        <v>38973</v>
      </c>
      <c r="N54" s="732">
        <f t="shared" si="75"/>
        <v>40197</v>
      </c>
      <c r="O54" s="732">
        <f t="shared" si="75"/>
        <v>39880</v>
      </c>
      <c r="Q54" s="729" t="s">
        <v>1767</v>
      </c>
    </row>
    <row r="55" spans="1:17" ht="15.75" thickBot="1">
      <c r="D55" s="732">
        <f t="shared" ref="D55:I55" si="76">SUM(D53:D54)</f>
        <v>68872</v>
      </c>
      <c r="E55" s="732">
        <f t="shared" si="76"/>
        <v>69539</v>
      </c>
      <c r="F55" s="732">
        <f t="shared" si="76"/>
        <v>68941</v>
      </c>
      <c r="G55" s="732">
        <f t="shared" si="76"/>
        <v>69015</v>
      </c>
      <c r="H55" s="732">
        <f t="shared" si="76"/>
        <v>69084</v>
      </c>
      <c r="I55" s="732">
        <f t="shared" si="76"/>
        <v>68624</v>
      </c>
      <c r="J55" s="732">
        <f t="shared" ref="J55:O55" si="77">SUM(J53:J54)</f>
        <v>68924</v>
      </c>
      <c r="K55" s="732">
        <f t="shared" si="77"/>
        <v>70447</v>
      </c>
      <c r="L55" s="732">
        <f t="shared" si="77"/>
        <v>70981</v>
      </c>
      <c r="M55" s="732">
        <f t="shared" si="77"/>
        <v>70782</v>
      </c>
      <c r="N55" s="732">
        <f t="shared" si="77"/>
        <v>72930</v>
      </c>
      <c r="O55" s="732">
        <f t="shared" si="77"/>
        <v>72455</v>
      </c>
    </row>
    <row r="56" spans="1:17">
      <c r="D56" s="733"/>
      <c r="E56" s="733"/>
      <c r="F56" s="733"/>
      <c r="G56" s="733"/>
      <c r="H56" s="733"/>
      <c r="I56" s="733"/>
      <c r="J56" s="733"/>
      <c r="K56" s="733"/>
      <c r="L56" s="733"/>
      <c r="M56" s="733"/>
      <c r="N56" s="733"/>
      <c r="O56" s="733"/>
    </row>
    <row r="57" spans="1:17">
      <c r="A57" s="729" t="s">
        <v>1768</v>
      </c>
      <c r="D57" s="158">
        <f t="shared" ref="D57:I57" si="78">D169</f>
        <v>22357</v>
      </c>
      <c r="E57" s="158">
        <f t="shared" si="78"/>
        <v>22617</v>
      </c>
      <c r="F57" s="158">
        <f t="shared" si="78"/>
        <v>22806</v>
      </c>
      <c r="G57" s="158">
        <f t="shared" si="78"/>
        <v>23169</v>
      </c>
      <c r="H57" s="158">
        <f t="shared" si="78"/>
        <v>23180</v>
      </c>
      <c r="I57" s="158">
        <f t="shared" si="78"/>
        <v>23305</v>
      </c>
      <c r="J57" s="158">
        <f t="shared" ref="J57:O57" si="79">J169</f>
        <v>22425</v>
      </c>
      <c r="K57" s="158">
        <f t="shared" si="79"/>
        <v>23535</v>
      </c>
      <c r="L57" s="158">
        <f t="shared" si="79"/>
        <v>24041</v>
      </c>
      <c r="M57" s="158">
        <f t="shared" si="79"/>
        <v>23983</v>
      </c>
      <c r="N57" s="158">
        <f t="shared" si="79"/>
        <v>24445</v>
      </c>
      <c r="O57" s="158">
        <f t="shared" si="79"/>
        <v>24357</v>
      </c>
      <c r="Q57" s="729" t="s">
        <v>1734</v>
      </c>
    </row>
    <row r="58" spans="1:17" ht="15.75" thickBot="1">
      <c r="D58" s="732">
        <f t="shared" ref="D58:I58" si="80">D447</f>
        <v>53337</v>
      </c>
      <c r="E58" s="732">
        <f t="shared" si="80"/>
        <v>53472</v>
      </c>
      <c r="F58" s="732">
        <f t="shared" si="80"/>
        <v>53682</v>
      </c>
      <c r="G58" s="732">
        <f t="shared" si="80"/>
        <v>54253</v>
      </c>
      <c r="H58" s="732">
        <f t="shared" si="80"/>
        <v>54466</v>
      </c>
      <c r="I58" s="732">
        <f t="shared" si="80"/>
        <v>53950</v>
      </c>
      <c r="J58" s="732">
        <f t="shared" ref="J58:O58" si="81">J447</f>
        <v>53031</v>
      </c>
      <c r="K58" s="732">
        <f t="shared" si="81"/>
        <v>54247</v>
      </c>
      <c r="L58" s="732">
        <f t="shared" si="81"/>
        <v>54079</v>
      </c>
      <c r="M58" s="732">
        <f t="shared" si="81"/>
        <v>53994</v>
      </c>
      <c r="N58" s="732">
        <f t="shared" si="81"/>
        <v>55093</v>
      </c>
      <c r="O58" s="732">
        <f t="shared" si="81"/>
        <v>54801</v>
      </c>
      <c r="Q58" s="729" t="s">
        <v>1751</v>
      </c>
    </row>
    <row r="59" spans="1:17" ht="15.75" thickBot="1">
      <c r="D59" s="732">
        <f t="shared" ref="D59:I59" si="82">SUM(D57:D58)</f>
        <v>75694</v>
      </c>
      <c r="E59" s="732">
        <f t="shared" si="82"/>
        <v>76089</v>
      </c>
      <c r="F59" s="732">
        <f t="shared" si="82"/>
        <v>76488</v>
      </c>
      <c r="G59" s="732">
        <f t="shared" si="82"/>
        <v>77422</v>
      </c>
      <c r="H59" s="732">
        <f t="shared" si="82"/>
        <v>77646</v>
      </c>
      <c r="I59" s="732">
        <f t="shared" si="82"/>
        <v>77255</v>
      </c>
      <c r="J59" s="732">
        <f t="shared" ref="J59:O59" si="83">SUM(J57:J58)</f>
        <v>75456</v>
      </c>
      <c r="K59" s="732">
        <f t="shared" si="83"/>
        <v>77782</v>
      </c>
      <c r="L59" s="732">
        <f t="shared" si="83"/>
        <v>78120</v>
      </c>
      <c r="M59" s="732">
        <f t="shared" si="83"/>
        <v>77977</v>
      </c>
      <c r="N59" s="732">
        <f t="shared" si="83"/>
        <v>79538</v>
      </c>
      <c r="O59" s="732">
        <f t="shared" si="83"/>
        <v>79158</v>
      </c>
    </row>
    <row r="60" spans="1:17">
      <c r="D60" s="733"/>
      <c r="E60" s="733"/>
      <c r="F60" s="733"/>
      <c r="G60" s="733"/>
      <c r="H60" s="733"/>
      <c r="I60" s="733"/>
      <c r="J60" s="733"/>
      <c r="K60" s="733"/>
      <c r="L60" s="733"/>
      <c r="M60" s="733"/>
      <c r="N60" s="733"/>
      <c r="O60" s="733"/>
    </row>
    <row r="61" spans="1:17">
      <c r="A61" s="729" t="s">
        <v>1752</v>
      </c>
      <c r="D61" s="158">
        <f t="shared" ref="D61:I61" si="84">D448</f>
        <v>11530</v>
      </c>
      <c r="E61" s="158">
        <f t="shared" si="84"/>
        <v>11661</v>
      </c>
      <c r="F61" s="158">
        <f t="shared" si="84"/>
        <v>11719</v>
      </c>
      <c r="G61" s="158">
        <f t="shared" si="84"/>
        <v>11869</v>
      </c>
      <c r="H61" s="158">
        <f t="shared" si="84"/>
        <v>11893</v>
      </c>
      <c r="I61" s="158">
        <f t="shared" si="84"/>
        <v>11667</v>
      </c>
      <c r="J61" s="158">
        <f t="shared" ref="J61:O61" si="85">J448</f>
        <v>11435</v>
      </c>
      <c r="K61" s="158">
        <f t="shared" si="85"/>
        <v>11629</v>
      </c>
      <c r="L61" s="158">
        <f t="shared" si="85"/>
        <v>11745</v>
      </c>
      <c r="M61" s="158">
        <f t="shared" si="85"/>
        <v>12028</v>
      </c>
      <c r="N61" s="158">
        <f t="shared" si="85"/>
        <v>12524</v>
      </c>
      <c r="O61" s="158">
        <f t="shared" si="85"/>
        <v>12491</v>
      </c>
      <c r="Q61" s="729" t="s">
        <v>1751</v>
      </c>
    </row>
    <row r="62" spans="1:17" ht="15.75" thickBot="1">
      <c r="D62" s="732">
        <f t="shared" ref="D62:I62" si="86">D112</f>
        <v>60052</v>
      </c>
      <c r="E62" s="732">
        <f t="shared" si="86"/>
        <v>59470</v>
      </c>
      <c r="F62" s="732">
        <f t="shared" si="86"/>
        <v>60189</v>
      </c>
      <c r="G62" s="732">
        <f t="shared" si="86"/>
        <v>61048</v>
      </c>
      <c r="H62" s="732">
        <f t="shared" si="86"/>
        <v>61605</v>
      </c>
      <c r="I62" s="732">
        <f t="shared" si="86"/>
        <v>58724</v>
      </c>
      <c r="J62" s="732">
        <f t="shared" ref="J62:O62" si="87">J112</f>
        <v>58098</v>
      </c>
      <c r="K62" s="732">
        <f t="shared" si="87"/>
        <v>59923</v>
      </c>
      <c r="L62" s="732">
        <f t="shared" si="87"/>
        <v>60458</v>
      </c>
      <c r="M62" s="732">
        <f t="shared" si="87"/>
        <v>60540</v>
      </c>
      <c r="N62" s="732">
        <f t="shared" si="87"/>
        <v>62593</v>
      </c>
      <c r="O62" s="732">
        <f t="shared" si="87"/>
        <v>62913</v>
      </c>
      <c r="Q62" s="729" t="s">
        <v>1753</v>
      </c>
    </row>
    <row r="63" spans="1:17" ht="15.75" thickBot="1">
      <c r="D63" s="732">
        <f t="shared" ref="D63:I63" si="88">SUM(D61:D62)</f>
        <v>71582</v>
      </c>
      <c r="E63" s="732">
        <f t="shared" si="88"/>
        <v>71131</v>
      </c>
      <c r="F63" s="732">
        <f t="shared" si="88"/>
        <v>71908</v>
      </c>
      <c r="G63" s="732">
        <f t="shared" si="88"/>
        <v>72917</v>
      </c>
      <c r="H63" s="732">
        <f t="shared" si="88"/>
        <v>73498</v>
      </c>
      <c r="I63" s="732">
        <f t="shared" si="88"/>
        <v>70391</v>
      </c>
      <c r="J63" s="732">
        <f t="shared" ref="J63:O63" si="89">SUM(J61:J62)</f>
        <v>69533</v>
      </c>
      <c r="K63" s="732">
        <f t="shared" si="89"/>
        <v>71552</v>
      </c>
      <c r="L63" s="732">
        <f t="shared" si="89"/>
        <v>72203</v>
      </c>
      <c r="M63" s="732">
        <f t="shared" si="89"/>
        <v>72568</v>
      </c>
      <c r="N63" s="732">
        <f t="shared" si="89"/>
        <v>75117</v>
      </c>
      <c r="O63" s="732">
        <f t="shared" si="89"/>
        <v>75404</v>
      </c>
    </row>
    <row r="64" spans="1:17">
      <c r="D64" s="737"/>
      <c r="E64" s="737"/>
      <c r="F64" s="737"/>
      <c r="G64" s="737"/>
      <c r="H64" s="737"/>
      <c r="I64" s="737"/>
      <c r="J64" s="737"/>
      <c r="K64" s="737"/>
      <c r="L64" s="737"/>
      <c r="M64" s="737"/>
      <c r="N64" s="737"/>
      <c r="O64" s="737"/>
    </row>
    <row r="65" spans="1:17">
      <c r="A65" s="729" t="s">
        <v>1754</v>
      </c>
      <c r="D65" s="158">
        <f t="shared" ref="D65:I65" si="90">D295</f>
        <v>17265</v>
      </c>
      <c r="E65" s="158">
        <f t="shared" si="90"/>
        <v>17501</v>
      </c>
      <c r="F65" s="158">
        <f t="shared" si="90"/>
        <v>17671</v>
      </c>
      <c r="G65" s="158">
        <f t="shared" si="90"/>
        <v>17706</v>
      </c>
      <c r="H65" s="158">
        <f t="shared" si="90"/>
        <v>17789</v>
      </c>
      <c r="I65" s="158">
        <f t="shared" si="90"/>
        <v>17484</v>
      </c>
      <c r="J65" s="158">
        <f t="shared" ref="J65:O65" si="91">J295</f>
        <v>17390</v>
      </c>
      <c r="K65" s="158">
        <f t="shared" si="91"/>
        <v>17527</v>
      </c>
      <c r="L65" s="158">
        <f t="shared" si="91"/>
        <v>17817</v>
      </c>
      <c r="M65" s="158">
        <f t="shared" si="91"/>
        <v>17610</v>
      </c>
      <c r="N65" s="158">
        <f t="shared" si="91"/>
        <v>18740</v>
      </c>
      <c r="O65" s="158">
        <f t="shared" si="91"/>
        <v>18669</v>
      </c>
      <c r="Q65" s="729" t="s">
        <v>1758</v>
      </c>
    </row>
    <row r="66" spans="1:17" ht="15.75" thickBot="1">
      <c r="D66" s="732">
        <f t="shared" ref="D66:I66" si="92">D522</f>
        <v>58606</v>
      </c>
      <c r="E66" s="732">
        <f t="shared" si="92"/>
        <v>59608</v>
      </c>
      <c r="F66" s="732">
        <f t="shared" si="92"/>
        <v>60719</v>
      </c>
      <c r="G66" s="732">
        <f t="shared" si="92"/>
        <v>61613</v>
      </c>
      <c r="H66" s="732">
        <f t="shared" si="92"/>
        <v>62275</v>
      </c>
      <c r="I66" s="732">
        <f t="shared" si="92"/>
        <v>62081</v>
      </c>
      <c r="J66" s="732">
        <f t="shared" ref="J66:O66" si="93">J522</f>
        <v>61702</v>
      </c>
      <c r="K66" s="732">
        <f t="shared" si="93"/>
        <v>64461</v>
      </c>
      <c r="L66" s="732">
        <f t="shared" si="93"/>
        <v>63764</v>
      </c>
      <c r="M66" s="732">
        <f t="shared" si="93"/>
        <v>64924</v>
      </c>
      <c r="N66" s="732">
        <f t="shared" si="93"/>
        <v>66677</v>
      </c>
      <c r="O66" s="732">
        <f t="shared" si="93"/>
        <v>67936</v>
      </c>
      <c r="Q66" s="729" t="s">
        <v>5231</v>
      </c>
    </row>
    <row r="67" spans="1:17" ht="15.75" thickBot="1">
      <c r="D67" s="732">
        <f t="shared" ref="D67:I67" si="94">SUM(D65:D66)</f>
        <v>75871</v>
      </c>
      <c r="E67" s="732">
        <f t="shared" si="94"/>
        <v>77109</v>
      </c>
      <c r="F67" s="732">
        <f t="shared" si="94"/>
        <v>78390</v>
      </c>
      <c r="G67" s="732">
        <f t="shared" si="94"/>
        <v>79319</v>
      </c>
      <c r="H67" s="732">
        <f t="shared" si="94"/>
        <v>80064</v>
      </c>
      <c r="I67" s="732">
        <f t="shared" si="94"/>
        <v>79565</v>
      </c>
      <c r="J67" s="732">
        <f t="shared" ref="J67:O67" si="95">SUM(J65:J66)</f>
        <v>79092</v>
      </c>
      <c r="K67" s="732">
        <f t="shared" si="95"/>
        <v>81988</v>
      </c>
      <c r="L67" s="732">
        <f t="shared" si="95"/>
        <v>81581</v>
      </c>
      <c r="M67" s="732">
        <f t="shared" si="95"/>
        <v>82534</v>
      </c>
      <c r="N67" s="732">
        <f t="shared" si="95"/>
        <v>85417</v>
      </c>
      <c r="O67" s="732">
        <f t="shared" si="95"/>
        <v>86605</v>
      </c>
    </row>
    <row r="68" spans="1:17">
      <c r="D68" s="733"/>
      <c r="E68" s="733"/>
      <c r="F68" s="733"/>
      <c r="G68" s="733"/>
      <c r="H68" s="733"/>
      <c r="I68" s="733"/>
      <c r="J68" s="733"/>
      <c r="K68" s="733"/>
      <c r="L68" s="733"/>
      <c r="M68" s="733"/>
      <c r="N68" s="733"/>
      <c r="O68" s="733"/>
    </row>
    <row r="69" spans="1:17">
      <c r="A69" s="729" t="s">
        <v>3105</v>
      </c>
      <c r="D69" s="158">
        <f t="shared" ref="D69:I69" si="96">D170</f>
        <v>40101</v>
      </c>
      <c r="E69" s="158">
        <f t="shared" si="96"/>
        <v>39991</v>
      </c>
      <c r="F69" s="158">
        <f t="shared" si="96"/>
        <v>40033</v>
      </c>
      <c r="G69" s="158">
        <f t="shared" si="96"/>
        <v>40807</v>
      </c>
      <c r="H69" s="158">
        <f t="shared" si="96"/>
        <v>40908</v>
      </c>
      <c r="I69" s="158">
        <f t="shared" si="96"/>
        <v>41074</v>
      </c>
      <c r="J69" s="158">
        <f t="shared" ref="J69:O69" si="97">J170</f>
        <v>39216</v>
      </c>
      <c r="K69" s="158">
        <f t="shared" si="97"/>
        <v>40061</v>
      </c>
      <c r="L69" s="158">
        <f t="shared" si="97"/>
        <v>41101</v>
      </c>
      <c r="M69" s="158">
        <f t="shared" si="97"/>
        <v>40712</v>
      </c>
      <c r="N69" s="158">
        <f t="shared" si="97"/>
        <v>41866</v>
      </c>
      <c r="O69" s="158">
        <f t="shared" si="97"/>
        <v>41606</v>
      </c>
      <c r="Q69" s="729" t="s">
        <v>1734</v>
      </c>
    </row>
    <row r="70" spans="1:17" ht="15.75" thickBot="1">
      <c r="A70" s="729"/>
      <c r="D70" s="732">
        <f t="shared" ref="D70:I70" si="98">D142</f>
        <v>31846</v>
      </c>
      <c r="E70" s="732">
        <f t="shared" si="98"/>
        <v>31828</v>
      </c>
      <c r="F70" s="732">
        <f t="shared" si="98"/>
        <v>31864</v>
      </c>
      <c r="G70" s="732">
        <f t="shared" si="98"/>
        <v>31791</v>
      </c>
      <c r="H70" s="732">
        <f t="shared" si="98"/>
        <v>31497</v>
      </c>
      <c r="I70" s="732">
        <f t="shared" si="98"/>
        <v>31305</v>
      </c>
      <c r="J70" s="732">
        <f t="shared" ref="J70:O70" si="99">J142</f>
        <v>30976</v>
      </c>
      <c r="K70" s="732">
        <f t="shared" si="99"/>
        <v>31827</v>
      </c>
      <c r="L70" s="732">
        <f t="shared" si="99"/>
        <v>32516</v>
      </c>
      <c r="M70" s="732">
        <f t="shared" si="99"/>
        <v>32559</v>
      </c>
      <c r="N70" s="732">
        <f t="shared" si="99"/>
        <v>32569</v>
      </c>
      <c r="O70" s="732">
        <f t="shared" si="99"/>
        <v>33083</v>
      </c>
      <c r="Q70" s="729" t="s">
        <v>3106</v>
      </c>
    </row>
    <row r="71" spans="1:17" ht="15.75" thickBot="1">
      <c r="A71" s="729"/>
      <c r="D71" s="736">
        <f t="shared" ref="D71:I71" si="100">D69+D70</f>
        <v>71947</v>
      </c>
      <c r="E71" s="736">
        <f t="shared" si="100"/>
        <v>71819</v>
      </c>
      <c r="F71" s="736">
        <f t="shared" si="100"/>
        <v>71897</v>
      </c>
      <c r="G71" s="736">
        <f t="shared" si="100"/>
        <v>72598</v>
      </c>
      <c r="H71" s="736">
        <f t="shared" si="100"/>
        <v>72405</v>
      </c>
      <c r="I71" s="736">
        <f t="shared" si="100"/>
        <v>72379</v>
      </c>
      <c r="J71" s="736">
        <f t="shared" ref="J71:O71" si="101">J69+J70</f>
        <v>70192</v>
      </c>
      <c r="K71" s="736">
        <f t="shared" si="101"/>
        <v>71888</v>
      </c>
      <c r="L71" s="736">
        <f t="shared" si="101"/>
        <v>73617</v>
      </c>
      <c r="M71" s="736">
        <f t="shared" si="101"/>
        <v>73271</v>
      </c>
      <c r="N71" s="736">
        <f t="shared" si="101"/>
        <v>74435</v>
      </c>
      <c r="O71" s="736">
        <f t="shared" si="101"/>
        <v>74689</v>
      </c>
      <c r="Q71" s="729"/>
    </row>
    <row r="72" spans="1:17">
      <c r="D72" s="733"/>
      <c r="E72" s="733"/>
      <c r="F72" s="733"/>
      <c r="G72" s="733"/>
      <c r="H72" s="733"/>
      <c r="I72" s="733"/>
      <c r="J72" s="733"/>
      <c r="K72" s="733"/>
      <c r="L72" s="733"/>
      <c r="M72" s="733"/>
      <c r="N72" s="733"/>
      <c r="O72" s="733"/>
    </row>
    <row r="73" spans="1:17">
      <c r="A73" s="729" t="s">
        <v>3107</v>
      </c>
      <c r="D73" s="158">
        <f t="shared" ref="D73:I73" si="102">D113</f>
        <v>66965</v>
      </c>
      <c r="E73" s="158">
        <f t="shared" si="102"/>
        <v>66780</v>
      </c>
      <c r="F73" s="158">
        <f t="shared" si="102"/>
        <v>67200</v>
      </c>
      <c r="G73" s="158">
        <f t="shared" si="102"/>
        <v>67654</v>
      </c>
      <c r="H73" s="158">
        <f t="shared" si="102"/>
        <v>68010</v>
      </c>
      <c r="I73" s="158">
        <f t="shared" si="102"/>
        <v>65569</v>
      </c>
      <c r="J73" s="158">
        <f t="shared" ref="J73:O73" si="103">J113</f>
        <v>64952</v>
      </c>
      <c r="K73" s="158">
        <f t="shared" si="103"/>
        <v>66305</v>
      </c>
      <c r="L73" s="158">
        <f t="shared" si="103"/>
        <v>66480</v>
      </c>
      <c r="M73" s="158">
        <f t="shared" si="103"/>
        <v>66469</v>
      </c>
      <c r="N73" s="158">
        <f t="shared" si="103"/>
        <v>68619</v>
      </c>
      <c r="O73" s="158">
        <f t="shared" si="103"/>
        <v>68778</v>
      </c>
      <c r="Q73" s="729" t="s">
        <v>1753</v>
      </c>
    </row>
    <row r="74" spans="1:17">
      <c r="D74" s="733"/>
      <c r="E74" s="733"/>
      <c r="F74" s="733"/>
      <c r="G74" s="733"/>
      <c r="H74" s="733"/>
      <c r="I74" s="733"/>
      <c r="J74" s="733"/>
      <c r="K74" s="733"/>
      <c r="L74" s="733"/>
      <c r="M74" s="733"/>
      <c r="N74" s="733"/>
      <c r="O74" s="733"/>
    </row>
    <row r="75" spans="1:17">
      <c r="A75" s="729" t="s">
        <v>3108</v>
      </c>
      <c r="D75" s="158">
        <f t="shared" ref="D75:I75" si="104">D143</f>
        <v>77723</v>
      </c>
      <c r="E75" s="158">
        <f t="shared" si="104"/>
        <v>77667</v>
      </c>
      <c r="F75" s="158">
        <f t="shared" si="104"/>
        <v>77540</v>
      </c>
      <c r="G75" s="158">
        <f t="shared" si="104"/>
        <v>77207</v>
      </c>
      <c r="H75" s="158">
        <f t="shared" si="104"/>
        <v>77460</v>
      </c>
      <c r="I75" s="158">
        <f t="shared" si="104"/>
        <v>76455</v>
      </c>
      <c r="J75" s="158">
        <f t="shared" ref="J75:O75" si="105">J143</f>
        <v>75935</v>
      </c>
      <c r="K75" s="158">
        <f t="shared" si="105"/>
        <v>77425</v>
      </c>
      <c r="L75" s="158">
        <f t="shared" si="105"/>
        <v>77788</v>
      </c>
      <c r="M75" s="158">
        <f t="shared" si="105"/>
        <v>77629</v>
      </c>
      <c r="N75" s="158">
        <f t="shared" si="105"/>
        <v>77730</v>
      </c>
      <c r="O75" s="158">
        <f t="shared" si="105"/>
        <v>80392</v>
      </c>
      <c r="Q75" s="729" t="s">
        <v>3106</v>
      </c>
    </row>
    <row r="76" spans="1:17">
      <c r="D76" s="733"/>
      <c r="E76" s="733"/>
      <c r="F76" s="733"/>
      <c r="G76" s="733"/>
      <c r="H76" s="733"/>
      <c r="I76" s="733"/>
      <c r="J76" s="733"/>
      <c r="K76" s="733"/>
      <c r="L76" s="733"/>
      <c r="M76" s="733"/>
      <c r="N76" s="733"/>
      <c r="O76" s="733"/>
    </row>
    <row r="77" spans="1:17">
      <c r="A77" s="729" t="s">
        <v>3109</v>
      </c>
      <c r="D77" s="158">
        <f t="shared" ref="D77:I77" si="106">D213</f>
        <v>35833</v>
      </c>
      <c r="E77" s="158">
        <f t="shared" si="106"/>
        <v>36338</v>
      </c>
      <c r="F77" s="158">
        <f t="shared" si="106"/>
        <v>36833</v>
      </c>
      <c r="G77" s="158">
        <f t="shared" si="106"/>
        <v>37069</v>
      </c>
      <c r="H77" s="158">
        <f t="shared" si="106"/>
        <v>36780</v>
      </c>
      <c r="I77" s="158">
        <f t="shared" si="106"/>
        <v>36311</v>
      </c>
      <c r="J77" s="158">
        <f t="shared" ref="J77:O77" si="107">J213</f>
        <v>35974</v>
      </c>
      <c r="K77" s="158">
        <f t="shared" si="107"/>
        <v>36990</v>
      </c>
      <c r="L77" s="158">
        <f t="shared" si="107"/>
        <v>36849</v>
      </c>
      <c r="M77" s="158">
        <f t="shared" si="107"/>
        <v>36643</v>
      </c>
      <c r="N77" s="158">
        <f t="shared" si="107"/>
        <v>37520</v>
      </c>
      <c r="O77" s="158">
        <f t="shared" si="107"/>
        <v>37364</v>
      </c>
      <c r="Q77" s="729" t="s">
        <v>1012</v>
      </c>
    </row>
    <row r="78" spans="1:17">
      <c r="A78" s="729"/>
      <c r="D78" s="158">
        <f t="shared" ref="D78:I78" si="108">D330</f>
        <v>20536</v>
      </c>
      <c r="E78" s="158">
        <f t="shared" si="108"/>
        <v>20388</v>
      </c>
      <c r="F78" s="158">
        <f t="shared" si="108"/>
        <v>20370</v>
      </c>
      <c r="G78" s="158">
        <f t="shared" si="108"/>
        <v>20593</v>
      </c>
      <c r="H78" s="158">
        <f t="shared" si="108"/>
        <v>20086</v>
      </c>
      <c r="I78" s="158">
        <f t="shared" si="108"/>
        <v>19817</v>
      </c>
      <c r="J78" s="158">
        <f t="shared" ref="J78:O78" si="109">J330</f>
        <v>19877</v>
      </c>
      <c r="K78" s="158">
        <f t="shared" si="109"/>
        <v>21227</v>
      </c>
      <c r="L78" s="158">
        <f t="shared" si="109"/>
        <v>20649</v>
      </c>
      <c r="M78" s="158">
        <f t="shared" si="109"/>
        <v>21022</v>
      </c>
      <c r="N78" s="158">
        <f t="shared" si="109"/>
        <v>21668</v>
      </c>
      <c r="O78" s="158">
        <f t="shared" si="109"/>
        <v>22165</v>
      </c>
      <c r="Q78" s="729" t="s">
        <v>1762</v>
      </c>
    </row>
    <row r="79" spans="1:17" ht="15.75" thickBot="1">
      <c r="A79" s="729"/>
      <c r="D79" s="732">
        <f t="shared" ref="D79:I79" si="110">D423</f>
        <v>10518</v>
      </c>
      <c r="E79" s="732">
        <f t="shared" si="110"/>
        <v>10725</v>
      </c>
      <c r="F79" s="732">
        <f t="shared" si="110"/>
        <v>10595</v>
      </c>
      <c r="G79" s="732">
        <f t="shared" si="110"/>
        <v>10610</v>
      </c>
      <c r="H79" s="732">
        <f t="shared" si="110"/>
        <v>10570</v>
      </c>
      <c r="I79" s="732">
        <f t="shared" si="110"/>
        <v>10430</v>
      </c>
      <c r="J79" s="732">
        <f t="shared" ref="J79:O79" si="111">J423</f>
        <v>10419</v>
      </c>
      <c r="K79" s="732">
        <f t="shared" si="111"/>
        <v>10693</v>
      </c>
      <c r="L79" s="732">
        <f t="shared" si="111"/>
        <v>10827</v>
      </c>
      <c r="M79" s="732">
        <f t="shared" si="111"/>
        <v>10873</v>
      </c>
      <c r="N79" s="732">
        <f t="shared" si="111"/>
        <v>11186</v>
      </c>
      <c r="O79" s="732">
        <f t="shared" si="111"/>
        <v>11094</v>
      </c>
      <c r="Q79" s="729" t="s">
        <v>1767</v>
      </c>
    </row>
    <row r="80" spans="1:17" ht="15.75" thickBot="1">
      <c r="A80" s="729"/>
      <c r="D80" s="736">
        <f t="shared" ref="D80:I80" si="112">SUM(D77:D79)</f>
        <v>66887</v>
      </c>
      <c r="E80" s="736">
        <f t="shared" si="112"/>
        <v>67451</v>
      </c>
      <c r="F80" s="736">
        <f t="shared" si="112"/>
        <v>67798</v>
      </c>
      <c r="G80" s="736">
        <f t="shared" si="112"/>
        <v>68272</v>
      </c>
      <c r="H80" s="736">
        <f t="shared" si="112"/>
        <v>67436</v>
      </c>
      <c r="I80" s="736">
        <f t="shared" si="112"/>
        <v>66558</v>
      </c>
      <c r="J80" s="736">
        <f t="shared" ref="J80:O80" si="113">SUM(J77:J79)</f>
        <v>66270</v>
      </c>
      <c r="K80" s="736">
        <f t="shared" si="113"/>
        <v>68910</v>
      </c>
      <c r="L80" s="736">
        <f t="shared" si="113"/>
        <v>68325</v>
      </c>
      <c r="M80" s="736">
        <f t="shared" si="113"/>
        <v>68538</v>
      </c>
      <c r="N80" s="736">
        <f t="shared" si="113"/>
        <v>70374</v>
      </c>
      <c r="O80" s="736">
        <f t="shared" si="113"/>
        <v>70623</v>
      </c>
      <c r="Q80" s="729"/>
    </row>
    <row r="81" spans="1:17">
      <c r="A81" s="738"/>
      <c r="D81" s="733"/>
      <c r="E81" s="733"/>
      <c r="F81" s="733"/>
      <c r="G81" s="733"/>
      <c r="H81" s="733"/>
      <c r="I81" s="733"/>
      <c r="J81" s="733"/>
      <c r="K81" s="733"/>
      <c r="L81" s="733"/>
      <c r="M81" s="733"/>
      <c r="N81" s="733"/>
      <c r="O81" s="733"/>
    </row>
    <row r="82" spans="1:17">
      <c r="A82" s="729" t="s">
        <v>6796</v>
      </c>
      <c r="D82" s="158">
        <f t="shared" ref="D82:I82" si="114">D27+D29+D33+D39+D35+D37+D41+D71+D43+D47+D51+D55+D59+D63+D67+D73+D75+D80</f>
        <v>1278286</v>
      </c>
      <c r="E82" s="158">
        <f t="shared" si="114"/>
        <v>1280544</v>
      </c>
      <c r="F82" s="158">
        <f t="shared" si="114"/>
        <v>1290595</v>
      </c>
      <c r="G82" s="158">
        <f t="shared" si="114"/>
        <v>1304151</v>
      </c>
      <c r="H82" s="158">
        <f t="shared" si="114"/>
        <v>1301592</v>
      </c>
      <c r="I82" s="158">
        <f t="shared" si="114"/>
        <v>1283406</v>
      </c>
      <c r="J82" s="158">
        <f t="shared" ref="J82:O82" si="115">J27+J29+J33+J39+J35+J37+J41+J71+J43+J47+J51+J55+J59+J63+J67+J73+J75+J80</f>
        <v>1274597</v>
      </c>
      <c r="K82" s="158">
        <f t="shared" si="115"/>
        <v>1311362</v>
      </c>
      <c r="L82" s="158">
        <f t="shared" si="115"/>
        <v>1312275</v>
      </c>
      <c r="M82" s="158">
        <f t="shared" si="115"/>
        <v>1306962</v>
      </c>
      <c r="N82" s="158">
        <f t="shared" si="115"/>
        <v>1341119</v>
      </c>
      <c r="O82" s="158">
        <f t="shared" si="115"/>
        <v>1348788</v>
      </c>
    </row>
    <row r="83" spans="1:17">
      <c r="D83" s="733"/>
      <c r="E83" s="733"/>
      <c r="F83" s="733"/>
      <c r="G83" s="733"/>
      <c r="H83" s="733"/>
      <c r="I83" s="733"/>
      <c r="J83" s="733"/>
      <c r="K83" s="733"/>
      <c r="L83" s="733"/>
      <c r="M83" s="733"/>
      <c r="N83" s="733"/>
      <c r="O83" s="733"/>
    </row>
    <row r="84" spans="1:17">
      <c r="A84" s="729" t="s">
        <v>6797</v>
      </c>
      <c r="D84" s="158">
        <f t="shared" ref="D84:I84" si="116">MAX(D27,D29,D33,D35,D37,D39,D41,D71,D43,D47,D51,D55,D59,D67,D63,D73,D75,D80)-MIN(D27,D29,D33,D35,D37,D39,D41,D71,D43,D47,D51,D55,D59,D67,D63,D73,D75,D80)</f>
        <v>12421</v>
      </c>
      <c r="E84" s="158">
        <f t="shared" si="116"/>
        <v>13273</v>
      </c>
      <c r="F84" s="158">
        <f t="shared" si="116"/>
        <v>12480</v>
      </c>
      <c r="G84" s="158">
        <f t="shared" si="116"/>
        <v>12233</v>
      </c>
      <c r="H84" s="158">
        <f t="shared" si="116"/>
        <v>12628</v>
      </c>
      <c r="I84" s="158">
        <f t="shared" si="116"/>
        <v>13996</v>
      </c>
      <c r="J84" s="158">
        <f t="shared" ref="J84:O84" si="117">MAX(J27,J29,J33,J35,J37,J39,J41,J71,J43,J47,J51,J55,J59,J67,J63,J73,J75,J80)-MIN(J27,J29,J33,J35,J37,J39,J41,J71,J43,J47,J51,J55,J59,J67,J63,J73,J75,J80)</f>
        <v>14207</v>
      </c>
      <c r="K84" s="158">
        <f t="shared" si="117"/>
        <v>15683</v>
      </c>
      <c r="L84" s="158">
        <f t="shared" si="117"/>
        <v>15101</v>
      </c>
      <c r="M84" s="158">
        <f t="shared" si="117"/>
        <v>16343</v>
      </c>
      <c r="N84" s="158">
        <f t="shared" si="117"/>
        <v>18427</v>
      </c>
      <c r="O84" s="158">
        <f t="shared" si="117"/>
        <v>18361</v>
      </c>
    </row>
    <row r="85" spans="1:17">
      <c r="D85" s="733"/>
      <c r="E85" s="733"/>
      <c r="F85" s="733"/>
      <c r="G85" s="733"/>
      <c r="H85" s="733"/>
      <c r="I85" s="733"/>
      <c r="J85" s="733"/>
      <c r="K85" s="733"/>
      <c r="L85" s="733"/>
      <c r="M85" s="733"/>
      <c r="N85" s="733"/>
      <c r="O85" s="733"/>
    </row>
    <row r="86" spans="1:17">
      <c r="A86" s="739" t="s">
        <v>6800</v>
      </c>
      <c r="D86" s="158">
        <f t="shared" ref="D86:I86" si="118">STDEVP(D27,D29,D33,D35,D37,D39,D41,D71,D43,D47,D51,D55,D59,D63,D67,D73,D75,D80)</f>
        <v>3740.7352647558014</v>
      </c>
      <c r="E86" s="158">
        <f t="shared" si="118"/>
        <v>4037.6335478429273</v>
      </c>
      <c r="F86" s="158">
        <f t="shared" si="118"/>
        <v>3920.0200368755995</v>
      </c>
      <c r="G86" s="158">
        <f t="shared" si="118"/>
        <v>4042.8665194938653</v>
      </c>
      <c r="H86" s="158">
        <f t="shared" si="118"/>
        <v>3941.7234386327341</v>
      </c>
      <c r="I86" s="158">
        <f t="shared" si="118"/>
        <v>4296.8389156060612</v>
      </c>
      <c r="J86" s="158">
        <f t="shared" ref="J86:O86" si="119">STDEVP(J27,J29,J33,J35,J37,J39,J41,J71,J43,J47,J51,J55,J59,J63,J67,J73,J75,J80)</f>
        <v>4269.6391530097226</v>
      </c>
      <c r="K86" s="158">
        <f t="shared" si="119"/>
        <v>4644.6451392044801</v>
      </c>
      <c r="L86" s="158">
        <f t="shared" si="119"/>
        <v>4381.9340256963651</v>
      </c>
      <c r="M86" s="158">
        <f t="shared" si="119"/>
        <v>4346.6088697588912</v>
      </c>
      <c r="N86" s="158">
        <f t="shared" si="119"/>
        <v>4743.4361096723133</v>
      </c>
      <c r="O86" s="158">
        <f t="shared" si="119"/>
        <v>5107.9164919650848</v>
      </c>
    </row>
    <row r="87" spans="1:17">
      <c r="A87" s="739"/>
      <c r="D87" s="735"/>
      <c r="E87" s="735"/>
      <c r="F87" s="735"/>
      <c r="G87" s="735"/>
      <c r="H87" s="735"/>
      <c r="I87" s="735"/>
      <c r="J87" s="735"/>
      <c r="K87" s="735"/>
      <c r="L87" s="735"/>
      <c r="M87" s="735"/>
      <c r="N87" s="735"/>
      <c r="O87" s="735"/>
    </row>
    <row r="88" spans="1:17">
      <c r="A88" s="730" t="s">
        <v>9771</v>
      </c>
      <c r="D88" s="735"/>
      <c r="E88" s="735"/>
      <c r="F88" s="735"/>
      <c r="G88" s="735"/>
      <c r="H88" s="735"/>
      <c r="I88" s="735"/>
      <c r="J88" s="735"/>
      <c r="K88" s="735"/>
      <c r="L88" s="735"/>
      <c r="M88" s="735"/>
      <c r="N88" s="735"/>
      <c r="O88" s="735"/>
    </row>
    <row r="89" spans="1:17">
      <c r="A89" s="739"/>
      <c r="D89" s="735"/>
      <c r="E89" s="735"/>
      <c r="F89" s="735"/>
      <c r="G89" s="735"/>
      <c r="H89" s="735"/>
      <c r="I89" s="735"/>
      <c r="J89" s="735"/>
      <c r="K89" s="735"/>
      <c r="L89" s="735"/>
      <c r="M89" s="735"/>
      <c r="N89" s="735"/>
      <c r="O89" s="735"/>
    </row>
    <row r="90" spans="1:17">
      <c r="A90" s="739"/>
      <c r="D90" s="735"/>
      <c r="E90" s="735"/>
      <c r="F90" s="735"/>
      <c r="G90" s="735"/>
      <c r="H90" s="735"/>
      <c r="I90" s="735"/>
      <c r="J90" s="735"/>
      <c r="K90" s="735"/>
      <c r="L90" s="735"/>
      <c r="M90" s="735"/>
      <c r="N90" s="735"/>
      <c r="O90" s="735"/>
    </row>
    <row r="91" spans="1:17">
      <c r="E91" s="51" t="s">
        <v>1526</v>
      </c>
      <c r="F91" s="51"/>
      <c r="G91" s="51"/>
      <c r="H91" s="51"/>
      <c r="I91" s="51"/>
      <c r="J91" s="51"/>
      <c r="K91" s="51"/>
      <c r="L91" s="51"/>
      <c r="M91" s="51"/>
      <c r="N91" s="51"/>
      <c r="O91" s="51"/>
      <c r="P91" s="52"/>
      <c r="Q91" s="53" t="s">
        <v>9479</v>
      </c>
    </row>
    <row r="92" spans="1:17">
      <c r="D92" s="40">
        <v>2010</v>
      </c>
      <c r="E92" s="40">
        <v>2011</v>
      </c>
      <c r="F92" s="40">
        <v>2012</v>
      </c>
      <c r="G92" s="40">
        <v>2013</v>
      </c>
      <c r="H92" s="40">
        <v>2014</v>
      </c>
      <c r="I92" s="40">
        <v>2015</v>
      </c>
      <c r="J92" s="40">
        <v>2016</v>
      </c>
      <c r="K92" s="40">
        <v>2017</v>
      </c>
      <c r="L92" s="40">
        <v>2018</v>
      </c>
      <c r="M92" s="40">
        <v>2019</v>
      </c>
      <c r="N92" s="40">
        <v>2020</v>
      </c>
      <c r="O92" s="977" t="s">
        <v>14823</v>
      </c>
      <c r="Q92" s="54" t="s">
        <v>1527</v>
      </c>
    </row>
    <row r="93" spans="1:17">
      <c r="A93" s="729" t="s">
        <v>1708</v>
      </c>
      <c r="C93" s="729"/>
      <c r="D93" s="158">
        <f t="shared" ref="D93:I93" si="120">SUM(D94:D110)</f>
        <v>127017</v>
      </c>
      <c r="E93" s="158">
        <f t="shared" si="120"/>
        <v>126250</v>
      </c>
      <c r="F93" s="158">
        <f t="shared" si="120"/>
        <v>127389</v>
      </c>
      <c r="G93" s="158">
        <f t="shared" si="120"/>
        <v>128702</v>
      </c>
      <c r="H93" s="158">
        <f t="shared" si="120"/>
        <v>129615</v>
      </c>
      <c r="I93" s="158">
        <f t="shared" si="120"/>
        <v>124293</v>
      </c>
      <c r="J93" s="158">
        <f t="shared" ref="J93:O93" si="121">SUM(J94:J110)</f>
        <v>123050</v>
      </c>
      <c r="K93" s="158">
        <f t="shared" si="121"/>
        <v>126228</v>
      </c>
      <c r="L93" s="158">
        <f t="shared" si="121"/>
        <v>126938</v>
      </c>
      <c r="M93" s="158">
        <f t="shared" si="121"/>
        <v>127009</v>
      </c>
      <c r="N93" s="158">
        <f t="shared" si="121"/>
        <v>131212</v>
      </c>
      <c r="O93" s="158">
        <f t="shared" si="121"/>
        <v>131691</v>
      </c>
    </row>
    <row r="94" spans="1:17">
      <c r="A94" s="729" t="s">
        <v>5387</v>
      </c>
      <c r="B94" s="729" t="s">
        <v>3110</v>
      </c>
      <c r="C94" s="55" t="s">
        <v>7547</v>
      </c>
      <c r="D94" s="158">
        <v>7421</v>
      </c>
      <c r="E94" s="158">
        <v>7422</v>
      </c>
      <c r="F94" s="158">
        <v>7434</v>
      </c>
      <c r="G94" s="56">
        <v>7491</v>
      </c>
      <c r="H94" s="56">
        <v>7563</v>
      </c>
      <c r="I94" s="56">
        <v>7406</v>
      </c>
      <c r="J94" s="56">
        <v>7262</v>
      </c>
      <c r="K94" s="56">
        <v>7381</v>
      </c>
      <c r="L94" s="56">
        <v>7358</v>
      </c>
      <c r="M94" s="56">
        <v>7385</v>
      </c>
      <c r="N94" s="56">
        <v>7565</v>
      </c>
      <c r="O94" s="56">
        <v>7565</v>
      </c>
      <c r="Q94" s="729" t="s">
        <v>3107</v>
      </c>
    </row>
    <row r="95" spans="1:17">
      <c r="A95" s="729" t="s">
        <v>5389</v>
      </c>
      <c r="B95" s="729" t="s">
        <v>3111</v>
      </c>
      <c r="C95" s="55" t="s">
        <v>7548</v>
      </c>
      <c r="D95" s="158">
        <v>7798</v>
      </c>
      <c r="E95" s="158">
        <v>7786</v>
      </c>
      <c r="F95" s="158">
        <v>7919</v>
      </c>
      <c r="G95" s="56">
        <v>7922</v>
      </c>
      <c r="H95" s="56">
        <v>7996</v>
      </c>
      <c r="I95" s="56">
        <v>7748</v>
      </c>
      <c r="J95" s="56">
        <v>7713</v>
      </c>
      <c r="K95" s="56">
        <v>7846</v>
      </c>
      <c r="L95" s="56">
        <v>7869</v>
      </c>
      <c r="M95" s="56">
        <v>7872</v>
      </c>
      <c r="N95" s="56">
        <v>8186</v>
      </c>
      <c r="O95" s="56">
        <v>8201</v>
      </c>
      <c r="Q95" s="729" t="s">
        <v>3107</v>
      </c>
    </row>
    <row r="96" spans="1:17">
      <c r="A96" s="729" t="s">
        <v>5391</v>
      </c>
      <c r="B96" s="729" t="s">
        <v>3112</v>
      </c>
      <c r="C96" s="55" t="s">
        <v>7549</v>
      </c>
      <c r="D96" s="158">
        <v>7231</v>
      </c>
      <c r="E96" s="158">
        <v>7088</v>
      </c>
      <c r="F96" s="158">
        <v>7198</v>
      </c>
      <c r="G96" s="56">
        <v>7206</v>
      </c>
      <c r="H96" s="56">
        <v>7225</v>
      </c>
      <c r="I96" s="56">
        <v>6824</v>
      </c>
      <c r="J96" s="56">
        <v>6726</v>
      </c>
      <c r="K96" s="56">
        <v>6864</v>
      </c>
      <c r="L96" s="56">
        <v>6954</v>
      </c>
      <c r="M96" s="56">
        <v>6918</v>
      </c>
      <c r="N96" s="56">
        <v>7215</v>
      </c>
      <c r="O96" s="56">
        <v>7214</v>
      </c>
      <c r="Q96" s="729" t="s">
        <v>3107</v>
      </c>
    </row>
    <row r="97" spans="1:17">
      <c r="A97" s="729" t="s">
        <v>5393</v>
      </c>
      <c r="B97" s="729" t="s">
        <v>3113</v>
      </c>
      <c r="C97" s="55" t="s">
        <v>7550</v>
      </c>
      <c r="D97" s="158">
        <v>7609</v>
      </c>
      <c r="E97" s="158">
        <v>7616</v>
      </c>
      <c r="F97" s="158">
        <v>7610</v>
      </c>
      <c r="G97" s="56">
        <v>7680</v>
      </c>
      <c r="H97" s="56">
        <v>7671</v>
      </c>
      <c r="I97" s="56">
        <v>7449</v>
      </c>
      <c r="J97" s="56">
        <v>7477</v>
      </c>
      <c r="K97" s="56">
        <v>7504</v>
      </c>
      <c r="L97" s="56">
        <v>7476</v>
      </c>
      <c r="M97" s="56">
        <v>7486</v>
      </c>
      <c r="N97" s="56">
        <v>7622</v>
      </c>
      <c r="O97" s="56">
        <v>7639</v>
      </c>
      <c r="Q97" s="729" t="s">
        <v>3107</v>
      </c>
    </row>
    <row r="98" spans="1:17">
      <c r="A98" s="729" t="s">
        <v>5394</v>
      </c>
      <c r="B98" s="729" t="s">
        <v>3114</v>
      </c>
      <c r="C98" s="55" t="s">
        <v>7551</v>
      </c>
      <c r="D98" s="158">
        <v>7322</v>
      </c>
      <c r="E98" s="158">
        <v>7113</v>
      </c>
      <c r="F98" s="158">
        <v>7118</v>
      </c>
      <c r="G98" s="56">
        <v>7137</v>
      </c>
      <c r="H98" s="56">
        <v>7512</v>
      </c>
      <c r="I98" s="56">
        <v>7127</v>
      </c>
      <c r="J98" s="56">
        <v>6912</v>
      </c>
      <c r="K98" s="56">
        <v>7226</v>
      </c>
      <c r="L98" s="56">
        <v>7247</v>
      </c>
      <c r="M98" s="56">
        <v>7216</v>
      </c>
      <c r="N98" s="56">
        <v>7570</v>
      </c>
      <c r="O98" s="56">
        <v>7606</v>
      </c>
      <c r="Q98" s="729" t="s">
        <v>1752</v>
      </c>
    </row>
    <row r="99" spans="1:17">
      <c r="A99" s="729" t="s">
        <v>5416</v>
      </c>
      <c r="B99" s="729" t="s">
        <v>4590</v>
      </c>
      <c r="C99" s="55" t="s">
        <v>7552</v>
      </c>
      <c r="D99" s="158">
        <v>7266</v>
      </c>
      <c r="E99" s="158">
        <v>7298</v>
      </c>
      <c r="F99" s="158">
        <v>7372</v>
      </c>
      <c r="G99" s="56">
        <v>7486</v>
      </c>
      <c r="H99" s="56">
        <v>7496</v>
      </c>
      <c r="I99" s="56">
        <v>7190</v>
      </c>
      <c r="J99" s="56">
        <v>7124</v>
      </c>
      <c r="K99" s="56">
        <v>7415</v>
      </c>
      <c r="L99" s="56">
        <v>7418</v>
      </c>
      <c r="M99" s="56">
        <v>7375</v>
      </c>
      <c r="N99" s="56">
        <v>7604</v>
      </c>
      <c r="O99" s="56">
        <v>7628</v>
      </c>
      <c r="Q99" s="729" t="s">
        <v>3107</v>
      </c>
    </row>
    <row r="100" spans="1:17">
      <c r="A100" s="729" t="s">
        <v>5418</v>
      </c>
      <c r="B100" s="729" t="s">
        <v>6154</v>
      </c>
      <c r="C100" s="55" t="s">
        <v>7553</v>
      </c>
      <c r="D100" s="158">
        <v>7215</v>
      </c>
      <c r="E100" s="158">
        <v>6986</v>
      </c>
      <c r="F100" s="158">
        <v>7350</v>
      </c>
      <c r="G100" s="56">
        <v>7242</v>
      </c>
      <c r="H100" s="56">
        <v>7286</v>
      </c>
      <c r="I100" s="56">
        <v>6612</v>
      </c>
      <c r="J100" s="56">
        <v>6684</v>
      </c>
      <c r="K100" s="56">
        <v>6955</v>
      </c>
      <c r="L100" s="56">
        <v>7361</v>
      </c>
      <c r="M100" s="56">
        <v>7324</v>
      </c>
      <c r="N100" s="56">
        <v>7734</v>
      </c>
      <c r="O100" s="56">
        <v>7822</v>
      </c>
      <c r="Q100" s="729" t="s">
        <v>1752</v>
      </c>
    </row>
    <row r="101" spans="1:17">
      <c r="A101" s="729" t="s">
        <v>5420</v>
      </c>
      <c r="B101" s="729" t="s">
        <v>4603</v>
      </c>
      <c r="C101" s="55" t="s">
        <v>7554</v>
      </c>
      <c r="D101" s="737">
        <v>7599</v>
      </c>
      <c r="E101" s="737">
        <v>7575</v>
      </c>
      <c r="F101" s="737">
        <v>7677</v>
      </c>
      <c r="G101" s="56">
        <v>7685</v>
      </c>
      <c r="H101" s="56">
        <v>7822</v>
      </c>
      <c r="I101" s="56">
        <v>7529</v>
      </c>
      <c r="J101" s="56">
        <v>7419</v>
      </c>
      <c r="K101" s="56">
        <v>7567</v>
      </c>
      <c r="L101" s="56">
        <v>7569</v>
      </c>
      <c r="M101" s="56">
        <v>7534</v>
      </c>
      <c r="N101" s="56">
        <v>7735</v>
      </c>
      <c r="O101" s="56">
        <v>7787</v>
      </c>
      <c r="Q101" s="729" t="s">
        <v>3107</v>
      </c>
    </row>
    <row r="102" spans="1:17">
      <c r="A102" s="729" t="s">
        <v>5422</v>
      </c>
      <c r="B102" s="729" t="s">
        <v>4604</v>
      </c>
      <c r="C102" s="55" t="s">
        <v>7555</v>
      </c>
      <c r="D102" s="158">
        <v>7579</v>
      </c>
      <c r="E102" s="158">
        <v>7537</v>
      </c>
      <c r="F102" s="158">
        <v>7545</v>
      </c>
      <c r="G102" s="56">
        <v>7621</v>
      </c>
      <c r="H102" s="56">
        <v>7644</v>
      </c>
      <c r="I102" s="56">
        <v>7326</v>
      </c>
      <c r="J102" s="56">
        <v>7328</v>
      </c>
      <c r="K102" s="56">
        <v>7500</v>
      </c>
      <c r="L102" s="56">
        <v>7648</v>
      </c>
      <c r="M102" s="56">
        <v>7745</v>
      </c>
      <c r="N102" s="56">
        <v>7999</v>
      </c>
      <c r="O102" s="56">
        <v>8033</v>
      </c>
      <c r="Q102" s="729" t="s">
        <v>3107</v>
      </c>
    </row>
    <row r="103" spans="1:17">
      <c r="A103" s="729" t="s">
        <v>5424</v>
      </c>
      <c r="B103" s="729" t="s">
        <v>5236</v>
      </c>
      <c r="C103" s="55" t="s">
        <v>7556</v>
      </c>
      <c r="D103" s="158">
        <v>8042</v>
      </c>
      <c r="E103" s="158">
        <v>8068</v>
      </c>
      <c r="F103" s="158">
        <v>8031</v>
      </c>
      <c r="G103" s="56">
        <v>8095</v>
      </c>
      <c r="H103" s="56">
        <v>8097</v>
      </c>
      <c r="I103" s="56">
        <v>7678</v>
      </c>
      <c r="J103" s="56">
        <v>7711</v>
      </c>
      <c r="K103" s="56">
        <v>7892</v>
      </c>
      <c r="L103" s="56">
        <v>7875</v>
      </c>
      <c r="M103" s="56">
        <v>7892</v>
      </c>
      <c r="N103" s="56">
        <v>8012</v>
      </c>
      <c r="O103" s="56">
        <v>8046</v>
      </c>
      <c r="Q103" s="729" t="s">
        <v>1752</v>
      </c>
    </row>
    <row r="104" spans="1:17">
      <c r="A104" s="729" t="s">
        <v>5426</v>
      </c>
      <c r="B104" s="729" t="s">
        <v>5237</v>
      </c>
      <c r="C104" s="55" t="s">
        <v>7557</v>
      </c>
      <c r="D104" s="158">
        <v>8066</v>
      </c>
      <c r="E104" s="158">
        <v>7942</v>
      </c>
      <c r="F104" s="158">
        <v>8198</v>
      </c>
      <c r="G104" s="56">
        <v>8486</v>
      </c>
      <c r="H104" s="56">
        <v>8619</v>
      </c>
      <c r="I104" s="56">
        <v>8363</v>
      </c>
      <c r="J104" s="56">
        <v>8346</v>
      </c>
      <c r="K104" s="56">
        <v>8590</v>
      </c>
      <c r="L104" s="56">
        <v>8599</v>
      </c>
      <c r="M104" s="56">
        <v>8575</v>
      </c>
      <c r="N104" s="56">
        <v>8750</v>
      </c>
      <c r="O104" s="56">
        <v>8743</v>
      </c>
      <c r="Q104" s="729" t="s">
        <v>1752</v>
      </c>
    </row>
    <row r="105" spans="1:17">
      <c r="A105" s="729" t="s">
        <v>5428</v>
      </c>
      <c r="B105" s="729" t="s">
        <v>2361</v>
      </c>
      <c r="C105" s="55" t="s">
        <v>7558</v>
      </c>
      <c r="D105" s="158">
        <v>7309</v>
      </c>
      <c r="E105" s="158">
        <v>7423</v>
      </c>
      <c r="F105" s="158">
        <v>7541</v>
      </c>
      <c r="G105" s="56">
        <v>7701</v>
      </c>
      <c r="H105" s="56">
        <v>7762</v>
      </c>
      <c r="I105" s="56">
        <v>7473</v>
      </c>
      <c r="J105" s="56">
        <v>7317</v>
      </c>
      <c r="K105" s="56">
        <v>7493</v>
      </c>
      <c r="L105" s="56">
        <v>7494</v>
      </c>
      <c r="M105" s="56">
        <v>7452</v>
      </c>
      <c r="N105" s="56">
        <v>7583</v>
      </c>
      <c r="O105" s="56">
        <v>7571</v>
      </c>
      <c r="Q105" s="729" t="s">
        <v>1752</v>
      </c>
    </row>
    <row r="106" spans="1:17">
      <c r="A106" s="729" t="s">
        <v>5429</v>
      </c>
      <c r="B106" s="729" t="s">
        <v>2362</v>
      </c>
      <c r="C106" s="55" t="s">
        <v>7559</v>
      </c>
      <c r="D106" s="158">
        <v>7347</v>
      </c>
      <c r="E106" s="158">
        <v>7414</v>
      </c>
      <c r="F106" s="158">
        <v>7461</v>
      </c>
      <c r="G106" s="56">
        <v>7507</v>
      </c>
      <c r="H106" s="56">
        <v>7495</v>
      </c>
      <c r="I106" s="56">
        <v>7353</v>
      </c>
      <c r="J106" s="56">
        <v>7244</v>
      </c>
      <c r="K106" s="56">
        <v>7447</v>
      </c>
      <c r="L106" s="56">
        <v>7385</v>
      </c>
      <c r="M106" s="56">
        <v>7266</v>
      </c>
      <c r="N106" s="56">
        <v>7491</v>
      </c>
      <c r="O106" s="56">
        <v>7493</v>
      </c>
      <c r="Q106" s="729" t="s">
        <v>1752</v>
      </c>
    </row>
    <row r="107" spans="1:17">
      <c r="A107" s="740">
        <v>14</v>
      </c>
      <c r="B107" s="729" t="s">
        <v>4538</v>
      </c>
      <c r="C107" s="55" t="s">
        <v>7560</v>
      </c>
      <c r="D107" s="158">
        <v>7300</v>
      </c>
      <c r="E107" s="158">
        <v>7081</v>
      </c>
      <c r="F107" s="158">
        <v>7013</v>
      </c>
      <c r="G107" s="56">
        <v>7233</v>
      </c>
      <c r="H107" s="56">
        <v>7179</v>
      </c>
      <c r="I107" s="56">
        <v>6798</v>
      </c>
      <c r="J107" s="56">
        <v>6666</v>
      </c>
      <c r="K107" s="56">
        <v>6917</v>
      </c>
      <c r="L107" s="56">
        <v>7154</v>
      </c>
      <c r="M107" s="56">
        <v>7478</v>
      </c>
      <c r="N107" s="56">
        <v>7959</v>
      </c>
      <c r="O107" s="56">
        <v>8103</v>
      </c>
      <c r="Q107" s="729" t="s">
        <v>1752</v>
      </c>
    </row>
    <row r="108" spans="1:17">
      <c r="A108" s="740">
        <v>15</v>
      </c>
      <c r="B108" s="729" t="s">
        <v>2363</v>
      </c>
      <c r="C108" s="55" t="s">
        <v>7561</v>
      </c>
      <c r="D108" s="158">
        <v>7393</v>
      </c>
      <c r="E108" s="158">
        <v>7369</v>
      </c>
      <c r="F108" s="158">
        <v>7340</v>
      </c>
      <c r="G108" s="58">
        <v>7374</v>
      </c>
      <c r="H108" s="58">
        <v>7434</v>
      </c>
      <c r="I108" s="58">
        <v>7133</v>
      </c>
      <c r="J108" s="58">
        <v>6956</v>
      </c>
      <c r="K108" s="58">
        <v>7085</v>
      </c>
      <c r="L108" s="58">
        <v>7102</v>
      </c>
      <c r="M108" s="58">
        <v>7130</v>
      </c>
      <c r="N108" s="58">
        <v>7259</v>
      </c>
      <c r="O108" s="58">
        <v>7451</v>
      </c>
      <c r="Q108" s="729" t="s">
        <v>3107</v>
      </c>
    </row>
    <row r="109" spans="1:17">
      <c r="A109" s="740">
        <v>16</v>
      </c>
      <c r="B109" s="729" t="s">
        <v>2364</v>
      </c>
      <c r="C109" s="55" t="s">
        <v>7562</v>
      </c>
      <c r="D109" s="158">
        <v>7069</v>
      </c>
      <c r="E109" s="158">
        <v>7089</v>
      </c>
      <c r="F109" s="158">
        <v>7105</v>
      </c>
      <c r="G109" s="56">
        <v>7189</v>
      </c>
      <c r="H109" s="56">
        <v>7159</v>
      </c>
      <c r="I109" s="58">
        <v>6964</v>
      </c>
      <c r="J109" s="58">
        <v>6947</v>
      </c>
      <c r="K109" s="56">
        <v>7143</v>
      </c>
      <c r="L109" s="56">
        <v>7086</v>
      </c>
      <c r="M109" s="56">
        <v>7024</v>
      </c>
      <c r="N109" s="56">
        <v>7434</v>
      </c>
      <c r="O109" s="56">
        <v>7260</v>
      </c>
      <c r="Q109" s="729" t="s">
        <v>3107</v>
      </c>
    </row>
    <row r="110" spans="1:17">
      <c r="A110" s="740">
        <v>17</v>
      </c>
      <c r="B110" s="729" t="s">
        <v>2365</v>
      </c>
      <c r="C110" s="55" t="s">
        <v>7563</v>
      </c>
      <c r="D110" s="158">
        <v>7451</v>
      </c>
      <c r="E110" s="158">
        <v>7443</v>
      </c>
      <c r="F110" s="158">
        <v>7477</v>
      </c>
      <c r="G110" s="58">
        <v>7647</v>
      </c>
      <c r="H110" s="58">
        <v>7655</v>
      </c>
      <c r="I110" s="56">
        <v>7320</v>
      </c>
      <c r="J110" s="56">
        <v>7218</v>
      </c>
      <c r="K110" s="58">
        <v>7403</v>
      </c>
      <c r="L110" s="58">
        <v>7343</v>
      </c>
      <c r="M110" s="58">
        <v>7337</v>
      </c>
      <c r="N110" s="58">
        <v>7494</v>
      </c>
      <c r="O110" s="58">
        <v>7529</v>
      </c>
      <c r="Q110" s="729" t="s">
        <v>1752</v>
      </c>
    </row>
    <row r="111" spans="1:17">
      <c r="D111" s="733"/>
      <c r="E111" s="733"/>
      <c r="F111" s="733"/>
      <c r="G111" s="733"/>
      <c r="H111" s="733"/>
      <c r="I111" s="733"/>
      <c r="J111" s="733"/>
      <c r="K111" s="733"/>
      <c r="L111" s="733"/>
      <c r="M111" s="733"/>
      <c r="N111" s="733"/>
      <c r="O111" s="733"/>
    </row>
    <row r="112" spans="1:17">
      <c r="A112" s="729" t="s">
        <v>994</v>
      </c>
      <c r="D112" s="158">
        <f t="shared" ref="D112:I112" si="122">D98+D100+SUM(D103:D107)+D110</f>
        <v>60052</v>
      </c>
      <c r="E112" s="158">
        <f t="shared" si="122"/>
        <v>59470</v>
      </c>
      <c r="F112" s="158">
        <f t="shared" si="122"/>
        <v>60189</v>
      </c>
      <c r="G112" s="158">
        <f t="shared" si="122"/>
        <v>61048</v>
      </c>
      <c r="H112" s="158">
        <f t="shared" si="122"/>
        <v>61605</v>
      </c>
      <c r="I112" s="158">
        <f t="shared" si="122"/>
        <v>58724</v>
      </c>
      <c r="J112" s="158">
        <f t="shared" ref="J112:O112" si="123">J98+J100+SUM(J103:J107)+J110</f>
        <v>58098</v>
      </c>
      <c r="K112" s="158">
        <f t="shared" si="123"/>
        <v>59923</v>
      </c>
      <c r="L112" s="158">
        <f t="shared" si="123"/>
        <v>60458</v>
      </c>
      <c r="M112" s="158">
        <f t="shared" si="123"/>
        <v>60540</v>
      </c>
      <c r="N112" s="158">
        <f t="shared" si="123"/>
        <v>62593</v>
      </c>
      <c r="O112" s="158">
        <f t="shared" si="123"/>
        <v>62913</v>
      </c>
    </row>
    <row r="113" spans="1:17">
      <c r="A113" s="729" t="s">
        <v>3107</v>
      </c>
      <c r="D113" s="158">
        <f t="shared" ref="D113:I113" si="124">SUM(D94:D97)+D99+D101+D102+D108+D109</f>
        <v>66965</v>
      </c>
      <c r="E113" s="158">
        <f t="shared" si="124"/>
        <v>66780</v>
      </c>
      <c r="F113" s="158">
        <f t="shared" si="124"/>
        <v>67200</v>
      </c>
      <c r="G113" s="158">
        <f t="shared" si="124"/>
        <v>67654</v>
      </c>
      <c r="H113" s="158">
        <f t="shared" si="124"/>
        <v>68010</v>
      </c>
      <c r="I113" s="158">
        <f t="shared" si="124"/>
        <v>65569</v>
      </c>
      <c r="J113" s="158">
        <f t="shared" ref="J113:O113" si="125">SUM(J94:J97)+J99+J101+J102+J108+J109</f>
        <v>64952</v>
      </c>
      <c r="K113" s="158">
        <f t="shared" si="125"/>
        <v>66305</v>
      </c>
      <c r="L113" s="158">
        <f t="shared" si="125"/>
        <v>66480</v>
      </c>
      <c r="M113" s="158">
        <f t="shared" si="125"/>
        <v>66469</v>
      </c>
      <c r="N113" s="158">
        <f t="shared" si="125"/>
        <v>68619</v>
      </c>
      <c r="O113" s="158">
        <f t="shared" si="125"/>
        <v>68778</v>
      </c>
    </row>
    <row r="115" spans="1:17">
      <c r="A115" s="730" t="s">
        <v>995</v>
      </c>
    </row>
    <row r="118" spans="1:17">
      <c r="E118" s="51" t="s">
        <v>1526</v>
      </c>
      <c r="F118" s="51"/>
      <c r="G118" s="51"/>
      <c r="H118" s="51"/>
      <c r="I118" s="51"/>
      <c r="J118" s="51"/>
      <c r="K118" s="51"/>
      <c r="L118" s="51"/>
      <c r="M118" s="51"/>
      <c r="N118" s="51"/>
      <c r="O118" s="51"/>
      <c r="P118" s="52"/>
      <c r="Q118" s="53" t="s">
        <v>9479</v>
      </c>
    </row>
    <row r="119" spans="1:17">
      <c r="D119" s="40">
        <v>2010</v>
      </c>
      <c r="E119" s="40">
        <v>2011</v>
      </c>
      <c r="F119" s="40">
        <v>2012</v>
      </c>
      <c r="G119" s="40">
        <v>2013</v>
      </c>
      <c r="H119" s="40">
        <v>2014</v>
      </c>
      <c r="I119" s="40">
        <v>2015</v>
      </c>
      <c r="J119" s="40">
        <v>2016</v>
      </c>
      <c r="K119" s="40">
        <v>2017</v>
      </c>
      <c r="L119" s="40">
        <v>2018</v>
      </c>
      <c r="M119" s="40">
        <v>2019</v>
      </c>
      <c r="N119" s="40">
        <v>2020</v>
      </c>
      <c r="O119" s="977" t="s">
        <v>14823</v>
      </c>
      <c r="Q119" s="54" t="s">
        <v>1527</v>
      </c>
    </row>
    <row r="120" spans="1:17">
      <c r="A120" s="729" t="s">
        <v>1709</v>
      </c>
      <c r="D120" s="158">
        <f t="shared" ref="D120:I120" si="126">SUM(D121:D140)</f>
        <v>109569</v>
      </c>
      <c r="E120" s="158">
        <f t="shared" si="126"/>
        <v>109495</v>
      </c>
      <c r="F120" s="158">
        <f t="shared" si="126"/>
        <v>109404</v>
      </c>
      <c r="G120" s="158">
        <f t="shared" si="126"/>
        <v>108998</v>
      </c>
      <c r="H120" s="158">
        <f t="shared" si="126"/>
        <v>108957</v>
      </c>
      <c r="I120" s="158">
        <f t="shared" si="126"/>
        <v>107760</v>
      </c>
      <c r="J120" s="158">
        <f t="shared" ref="J120:O120" si="127">SUM(J121:J140)</f>
        <v>106911</v>
      </c>
      <c r="K120" s="158">
        <f t="shared" si="127"/>
        <v>109252</v>
      </c>
      <c r="L120" s="158">
        <f t="shared" si="127"/>
        <v>110304</v>
      </c>
      <c r="M120" s="158">
        <f t="shared" si="127"/>
        <v>110188</v>
      </c>
      <c r="N120" s="158">
        <f t="shared" si="127"/>
        <v>110299</v>
      </c>
      <c r="O120" s="158">
        <f t="shared" si="127"/>
        <v>113475</v>
      </c>
    </row>
    <row r="121" spans="1:17" ht="15" customHeight="1">
      <c r="A121" s="729" t="s">
        <v>5387</v>
      </c>
      <c r="B121" s="729" t="s">
        <v>996</v>
      </c>
      <c r="C121" s="55" t="s">
        <v>7564</v>
      </c>
      <c r="D121" s="158">
        <v>6361</v>
      </c>
      <c r="E121" s="158">
        <v>6337</v>
      </c>
      <c r="F121" s="158">
        <v>6321</v>
      </c>
      <c r="G121" s="56">
        <v>6218</v>
      </c>
      <c r="H121" s="56">
        <v>6286</v>
      </c>
      <c r="I121" s="56">
        <v>6254</v>
      </c>
      <c r="J121" s="56">
        <v>6386</v>
      </c>
      <c r="K121" s="56">
        <v>6740</v>
      </c>
      <c r="L121" s="56">
        <v>6695</v>
      </c>
      <c r="M121" s="56">
        <v>6690</v>
      </c>
      <c r="N121" s="56">
        <v>6700</v>
      </c>
      <c r="O121" s="56">
        <v>7056</v>
      </c>
      <c r="Q121" s="729" t="s">
        <v>3108</v>
      </c>
    </row>
    <row r="122" spans="1:17" ht="15" customHeight="1">
      <c r="A122" s="729" t="s">
        <v>5389</v>
      </c>
      <c r="B122" s="729" t="s">
        <v>997</v>
      </c>
      <c r="C122" s="55" t="s">
        <v>7565</v>
      </c>
      <c r="D122" s="158">
        <v>6536</v>
      </c>
      <c r="E122" s="158">
        <v>6563</v>
      </c>
      <c r="F122" s="158">
        <v>6575</v>
      </c>
      <c r="G122" s="56">
        <v>6722</v>
      </c>
      <c r="H122" s="56">
        <v>6684</v>
      </c>
      <c r="I122" s="56">
        <v>6601</v>
      </c>
      <c r="J122" s="56">
        <v>6459</v>
      </c>
      <c r="K122" s="56">
        <v>6620</v>
      </c>
      <c r="L122" s="56">
        <v>6620</v>
      </c>
      <c r="M122" s="56">
        <v>6674</v>
      </c>
      <c r="N122" s="56">
        <v>6680</v>
      </c>
      <c r="O122" s="56">
        <v>6847</v>
      </c>
      <c r="Q122" s="729" t="s">
        <v>3108</v>
      </c>
    </row>
    <row r="123" spans="1:17">
      <c r="A123" s="729" t="s">
        <v>5391</v>
      </c>
      <c r="B123" s="729" t="s">
        <v>930</v>
      </c>
      <c r="C123" s="55" t="s">
        <v>7566</v>
      </c>
      <c r="D123" s="158">
        <v>7191</v>
      </c>
      <c r="E123" s="158">
        <v>7147</v>
      </c>
      <c r="F123" s="158">
        <v>7156</v>
      </c>
      <c r="G123" s="56">
        <v>7152</v>
      </c>
      <c r="H123" s="56">
        <v>7100</v>
      </c>
      <c r="I123" s="56">
        <v>6986</v>
      </c>
      <c r="J123" s="56">
        <v>6870</v>
      </c>
      <c r="K123" s="56">
        <v>6987</v>
      </c>
      <c r="L123" s="56">
        <v>6953</v>
      </c>
      <c r="M123" s="56">
        <v>6851</v>
      </c>
      <c r="N123" s="56">
        <v>6856</v>
      </c>
      <c r="O123" s="56">
        <v>7045</v>
      </c>
      <c r="Q123" s="729" t="s">
        <v>3108</v>
      </c>
    </row>
    <row r="124" spans="1:17">
      <c r="A124" s="729" t="s">
        <v>5393</v>
      </c>
      <c r="B124" s="76" t="s">
        <v>931</v>
      </c>
      <c r="C124" s="55" t="s">
        <v>7567</v>
      </c>
      <c r="D124" s="158">
        <v>5263</v>
      </c>
      <c r="E124" s="158">
        <v>5227</v>
      </c>
      <c r="F124" s="158">
        <v>5188</v>
      </c>
      <c r="G124" s="56">
        <v>5060</v>
      </c>
      <c r="H124" s="56">
        <v>5122</v>
      </c>
      <c r="I124" s="56">
        <v>5067</v>
      </c>
      <c r="J124" s="56">
        <v>4994</v>
      </c>
      <c r="K124" s="56">
        <v>5112</v>
      </c>
      <c r="L124" s="56">
        <v>5132</v>
      </c>
      <c r="M124" s="56">
        <v>5104</v>
      </c>
      <c r="N124" s="56">
        <v>5112</v>
      </c>
      <c r="O124" s="56">
        <v>5264</v>
      </c>
      <c r="Q124" s="729" t="s">
        <v>3108</v>
      </c>
    </row>
    <row r="125" spans="1:17">
      <c r="A125" s="729" t="s">
        <v>5394</v>
      </c>
      <c r="B125" s="729" t="s">
        <v>932</v>
      </c>
      <c r="C125" s="55" t="s">
        <v>7568</v>
      </c>
      <c r="D125" s="158">
        <v>4438</v>
      </c>
      <c r="E125" s="158">
        <v>4485</v>
      </c>
      <c r="F125" s="158">
        <v>4450</v>
      </c>
      <c r="G125" s="56">
        <v>4434</v>
      </c>
      <c r="H125" s="56">
        <v>4378</v>
      </c>
      <c r="I125" s="56">
        <v>4349</v>
      </c>
      <c r="J125" s="56">
        <v>4326</v>
      </c>
      <c r="K125" s="56">
        <v>4452</v>
      </c>
      <c r="L125" s="56">
        <v>4478</v>
      </c>
      <c r="M125" s="56">
        <v>4449</v>
      </c>
      <c r="N125" s="56">
        <v>4449</v>
      </c>
      <c r="O125" s="56">
        <v>4496</v>
      </c>
      <c r="Q125" s="729" t="s">
        <v>3105</v>
      </c>
    </row>
    <row r="126" spans="1:17">
      <c r="A126" s="729" t="s">
        <v>5416</v>
      </c>
      <c r="B126" s="729" t="s">
        <v>933</v>
      </c>
      <c r="C126" s="55" t="s">
        <v>7569</v>
      </c>
      <c r="D126" s="158">
        <v>4728</v>
      </c>
      <c r="E126" s="158">
        <v>4746</v>
      </c>
      <c r="F126" s="158">
        <v>4708</v>
      </c>
      <c r="G126" s="56">
        <v>4745</v>
      </c>
      <c r="H126" s="56">
        <v>4686</v>
      </c>
      <c r="I126" s="56">
        <v>4630</v>
      </c>
      <c r="J126" s="56">
        <v>4536</v>
      </c>
      <c r="K126" s="56">
        <v>4674</v>
      </c>
      <c r="L126" s="56">
        <v>4849</v>
      </c>
      <c r="M126" s="56">
        <v>4917</v>
      </c>
      <c r="N126" s="56">
        <v>4920</v>
      </c>
      <c r="O126" s="56">
        <v>5061</v>
      </c>
      <c r="Q126" s="729" t="s">
        <v>3105</v>
      </c>
    </row>
    <row r="127" spans="1:17">
      <c r="A127" s="729" t="s">
        <v>5418</v>
      </c>
      <c r="B127" s="729" t="s">
        <v>934</v>
      </c>
      <c r="C127" s="55" t="s">
        <v>7570</v>
      </c>
      <c r="D127" s="158">
        <v>6870</v>
      </c>
      <c r="E127" s="158">
        <v>6682</v>
      </c>
      <c r="F127" s="158">
        <v>6558</v>
      </c>
      <c r="G127" s="56">
        <v>6543</v>
      </c>
      <c r="H127" s="56">
        <v>6439</v>
      </c>
      <c r="I127" s="56">
        <v>6247</v>
      </c>
      <c r="J127" s="56">
        <v>6129</v>
      </c>
      <c r="K127" s="56">
        <v>6124</v>
      </c>
      <c r="L127" s="56">
        <v>6115</v>
      </c>
      <c r="M127" s="56">
        <v>6232</v>
      </c>
      <c r="N127" s="56">
        <v>6240</v>
      </c>
      <c r="O127" s="56">
        <v>6557</v>
      </c>
      <c r="Q127" s="729" t="s">
        <v>3108</v>
      </c>
    </row>
    <row r="128" spans="1:17">
      <c r="A128" s="729" t="s">
        <v>5420</v>
      </c>
      <c r="B128" s="729" t="s">
        <v>935</v>
      </c>
      <c r="C128" s="55" t="s">
        <v>7571</v>
      </c>
      <c r="D128" s="158">
        <v>6209</v>
      </c>
      <c r="E128" s="158">
        <v>6122</v>
      </c>
      <c r="F128" s="158">
        <v>6103</v>
      </c>
      <c r="G128" s="56">
        <v>6112</v>
      </c>
      <c r="H128" s="56">
        <v>6046</v>
      </c>
      <c r="I128" s="56">
        <v>5934</v>
      </c>
      <c r="J128" s="56">
        <v>5823</v>
      </c>
      <c r="K128" s="56">
        <v>5911</v>
      </c>
      <c r="L128" s="56">
        <v>5877</v>
      </c>
      <c r="M128" s="56">
        <v>5904</v>
      </c>
      <c r="N128" s="56">
        <v>5911</v>
      </c>
      <c r="O128" s="56">
        <v>6032</v>
      </c>
      <c r="Q128" s="729" t="s">
        <v>3108</v>
      </c>
    </row>
    <row r="129" spans="1:17">
      <c r="A129" s="729" t="s">
        <v>5422</v>
      </c>
      <c r="B129" s="729" t="s">
        <v>936</v>
      </c>
      <c r="C129" s="55" t="s">
        <v>7572</v>
      </c>
      <c r="D129" s="158">
        <v>4542</v>
      </c>
      <c r="E129" s="158">
        <v>4498</v>
      </c>
      <c r="F129" s="158">
        <v>4524</v>
      </c>
      <c r="G129" s="56">
        <v>4508</v>
      </c>
      <c r="H129" s="56">
        <v>4522</v>
      </c>
      <c r="I129" s="56">
        <v>4519</v>
      </c>
      <c r="J129" s="56">
        <v>4608</v>
      </c>
      <c r="K129" s="56">
        <v>4701</v>
      </c>
      <c r="L129" s="56">
        <v>4919</v>
      </c>
      <c r="M129" s="56">
        <v>4954</v>
      </c>
      <c r="N129" s="56">
        <v>4959</v>
      </c>
      <c r="O129" s="56">
        <v>5029</v>
      </c>
      <c r="Q129" s="729" t="s">
        <v>3108</v>
      </c>
    </row>
    <row r="130" spans="1:17">
      <c r="A130" s="729" t="s">
        <v>5424</v>
      </c>
      <c r="B130" s="729" t="s">
        <v>937</v>
      </c>
      <c r="C130" s="55" t="s">
        <v>7573</v>
      </c>
      <c r="D130" s="158">
        <v>4397</v>
      </c>
      <c r="E130" s="158">
        <v>4461</v>
      </c>
      <c r="F130" s="158">
        <v>4418</v>
      </c>
      <c r="G130" s="56">
        <v>4419</v>
      </c>
      <c r="H130" s="56">
        <v>4364</v>
      </c>
      <c r="I130" s="56">
        <v>4336</v>
      </c>
      <c r="J130" s="56">
        <v>4290</v>
      </c>
      <c r="K130" s="56">
        <v>4298</v>
      </c>
      <c r="L130" s="56">
        <v>4281</v>
      </c>
      <c r="M130" s="56">
        <v>4240</v>
      </c>
      <c r="N130" s="56">
        <v>4246</v>
      </c>
      <c r="O130" s="56">
        <v>4309</v>
      </c>
      <c r="Q130" s="729" t="s">
        <v>3108</v>
      </c>
    </row>
    <row r="131" spans="1:17">
      <c r="A131" s="729" t="s">
        <v>5426</v>
      </c>
      <c r="B131" s="729" t="s">
        <v>938</v>
      </c>
      <c r="C131" s="55" t="s">
        <v>7574</v>
      </c>
      <c r="D131" s="158">
        <v>6681</v>
      </c>
      <c r="E131" s="158">
        <v>6726</v>
      </c>
      <c r="F131" s="158">
        <v>6839</v>
      </c>
      <c r="G131" s="56">
        <v>6641</v>
      </c>
      <c r="H131" s="56">
        <v>6812</v>
      </c>
      <c r="I131" s="56">
        <v>6715</v>
      </c>
      <c r="J131" s="56">
        <v>6794</v>
      </c>
      <c r="K131" s="56">
        <v>7094</v>
      </c>
      <c r="L131" s="56">
        <v>7218</v>
      </c>
      <c r="M131" s="56">
        <v>7183</v>
      </c>
      <c r="N131" s="56">
        <v>7188</v>
      </c>
      <c r="O131" s="56">
        <v>7483</v>
      </c>
      <c r="Q131" s="729" t="s">
        <v>3108</v>
      </c>
    </row>
    <row r="132" spans="1:17">
      <c r="A132" s="729" t="s">
        <v>5428</v>
      </c>
      <c r="B132" s="729" t="s">
        <v>939</v>
      </c>
      <c r="C132" s="55" t="s">
        <v>7575</v>
      </c>
      <c r="D132" s="158">
        <v>4705</v>
      </c>
      <c r="E132" s="158">
        <v>4772</v>
      </c>
      <c r="F132" s="158">
        <v>4745</v>
      </c>
      <c r="G132" s="56">
        <v>4736</v>
      </c>
      <c r="H132" s="56">
        <v>4825</v>
      </c>
      <c r="I132" s="56">
        <v>4857</v>
      </c>
      <c r="J132" s="56">
        <v>4823</v>
      </c>
      <c r="K132" s="56">
        <v>4903</v>
      </c>
      <c r="L132" s="56">
        <v>4960</v>
      </c>
      <c r="M132" s="56">
        <v>4928</v>
      </c>
      <c r="N132" s="56">
        <v>4929</v>
      </c>
      <c r="O132" s="56">
        <v>4983</v>
      </c>
      <c r="Q132" s="729" t="s">
        <v>3105</v>
      </c>
    </row>
    <row r="133" spans="1:17">
      <c r="A133" s="729" t="s">
        <v>5429</v>
      </c>
      <c r="B133" s="729" t="s">
        <v>940</v>
      </c>
      <c r="C133" s="55" t="s">
        <v>7576</v>
      </c>
      <c r="D133" s="158">
        <v>4613</v>
      </c>
      <c r="E133" s="158">
        <v>4610</v>
      </c>
      <c r="F133" s="158">
        <v>4557</v>
      </c>
      <c r="G133" s="58">
        <v>4493</v>
      </c>
      <c r="H133" s="58">
        <v>4409</v>
      </c>
      <c r="I133" s="58">
        <v>4278</v>
      </c>
      <c r="J133" s="58">
        <v>4251</v>
      </c>
      <c r="K133" s="58">
        <v>4292</v>
      </c>
      <c r="L133" s="58">
        <v>4409</v>
      </c>
      <c r="M133" s="58">
        <v>4355</v>
      </c>
      <c r="N133" s="58">
        <v>4365</v>
      </c>
      <c r="O133" s="58">
        <v>4559</v>
      </c>
      <c r="Q133" s="729" t="s">
        <v>3108</v>
      </c>
    </row>
    <row r="134" spans="1:17">
      <c r="A134" s="729" t="s">
        <v>5431</v>
      </c>
      <c r="B134" s="729" t="s">
        <v>941</v>
      </c>
      <c r="C134" s="55" t="s">
        <v>7577</v>
      </c>
      <c r="D134" s="158">
        <v>6494</v>
      </c>
      <c r="E134" s="158">
        <v>6476</v>
      </c>
      <c r="F134" s="158">
        <v>6550</v>
      </c>
      <c r="G134" s="56">
        <v>6515</v>
      </c>
      <c r="H134" s="56">
        <v>6415</v>
      </c>
      <c r="I134" s="56">
        <v>6359</v>
      </c>
      <c r="J134" s="56">
        <v>6307</v>
      </c>
      <c r="K134" s="56">
        <v>6410</v>
      </c>
      <c r="L134" s="56">
        <v>6436</v>
      </c>
      <c r="M134" s="56">
        <v>6423</v>
      </c>
      <c r="N134" s="56">
        <v>6427</v>
      </c>
      <c r="O134" s="56">
        <v>6535</v>
      </c>
      <c r="Q134" s="729" t="s">
        <v>3105</v>
      </c>
    </row>
    <row r="135" spans="1:17">
      <c r="A135" s="729" t="s">
        <v>5433</v>
      </c>
      <c r="B135" s="729" t="s">
        <v>942</v>
      </c>
      <c r="C135" s="55" t="s">
        <v>7578</v>
      </c>
      <c r="D135" s="158">
        <v>4816</v>
      </c>
      <c r="E135" s="158">
        <v>4682</v>
      </c>
      <c r="F135" s="158">
        <v>4732</v>
      </c>
      <c r="G135" s="56">
        <v>4668</v>
      </c>
      <c r="H135" s="56">
        <v>4591</v>
      </c>
      <c r="I135" s="56">
        <v>4558</v>
      </c>
      <c r="J135" s="56">
        <v>4550</v>
      </c>
      <c r="K135" s="56">
        <v>4811</v>
      </c>
      <c r="L135" s="56">
        <v>5223</v>
      </c>
      <c r="M135" s="56">
        <v>5305</v>
      </c>
      <c r="N135" s="56">
        <v>5306</v>
      </c>
      <c r="O135" s="56">
        <v>5428</v>
      </c>
      <c r="Q135" s="729" t="s">
        <v>3105</v>
      </c>
    </row>
    <row r="136" spans="1:17">
      <c r="A136" s="729" t="s">
        <v>5435</v>
      </c>
      <c r="B136" s="729" t="s">
        <v>943</v>
      </c>
      <c r="C136" s="55" t="s">
        <v>7579</v>
      </c>
      <c r="D136" s="158">
        <v>4813</v>
      </c>
      <c r="E136" s="158">
        <v>4850</v>
      </c>
      <c r="F136" s="158">
        <v>4848</v>
      </c>
      <c r="G136" s="58">
        <v>4856</v>
      </c>
      <c r="H136" s="58">
        <v>5031</v>
      </c>
      <c r="I136" s="58">
        <v>5006</v>
      </c>
      <c r="J136" s="58">
        <v>4996</v>
      </c>
      <c r="K136" s="58">
        <v>5055</v>
      </c>
      <c r="L136" s="58">
        <v>5050</v>
      </c>
      <c r="M136" s="58">
        <v>4992</v>
      </c>
      <c r="N136" s="58">
        <v>4994</v>
      </c>
      <c r="O136" s="58">
        <v>5049</v>
      </c>
      <c r="Q136" s="729" t="s">
        <v>3108</v>
      </c>
    </row>
    <row r="137" spans="1:17">
      <c r="A137" s="729" t="s">
        <v>5436</v>
      </c>
      <c r="B137" s="729" t="s">
        <v>944</v>
      </c>
      <c r="C137" s="55" t="s">
        <v>7580</v>
      </c>
      <c r="D137" s="158">
        <v>6665</v>
      </c>
      <c r="E137" s="158">
        <v>6667</v>
      </c>
      <c r="F137" s="158">
        <v>6679</v>
      </c>
      <c r="G137" s="56">
        <v>6693</v>
      </c>
      <c r="H137" s="56">
        <v>6602</v>
      </c>
      <c r="I137" s="56">
        <v>6552</v>
      </c>
      <c r="J137" s="56">
        <v>6434</v>
      </c>
      <c r="K137" s="56">
        <v>6577</v>
      </c>
      <c r="L137" s="56">
        <v>6570</v>
      </c>
      <c r="M137" s="56">
        <v>6537</v>
      </c>
      <c r="N137" s="56">
        <v>6538</v>
      </c>
      <c r="O137" s="56">
        <v>6580</v>
      </c>
      <c r="Q137" s="729" t="s">
        <v>3105</v>
      </c>
    </row>
    <row r="138" spans="1:17">
      <c r="A138" s="729" t="s">
        <v>5437</v>
      </c>
      <c r="B138" s="729" t="s">
        <v>1615</v>
      </c>
      <c r="C138" s="55" t="s">
        <v>7581</v>
      </c>
      <c r="D138" s="158">
        <v>4239</v>
      </c>
      <c r="E138" s="158">
        <v>4298</v>
      </c>
      <c r="F138" s="158">
        <v>4274</v>
      </c>
      <c r="G138" s="58">
        <v>4239</v>
      </c>
      <c r="H138" s="58">
        <v>3987</v>
      </c>
      <c r="I138" s="58">
        <v>4019</v>
      </c>
      <c r="J138" s="58">
        <v>4022</v>
      </c>
      <c r="K138" s="58">
        <v>4079</v>
      </c>
      <c r="L138" s="58">
        <v>4118</v>
      </c>
      <c r="M138" s="58">
        <v>4096</v>
      </c>
      <c r="N138" s="58">
        <v>4102</v>
      </c>
      <c r="O138" s="58">
        <v>4329</v>
      </c>
      <c r="Q138" s="729" t="s">
        <v>3108</v>
      </c>
    </row>
    <row r="139" spans="1:17">
      <c r="A139" s="729" t="s">
        <v>5439</v>
      </c>
      <c r="B139" s="729" t="s">
        <v>1616</v>
      </c>
      <c r="C139" s="55" t="s">
        <v>7582</v>
      </c>
      <c r="D139" s="158">
        <v>4143</v>
      </c>
      <c r="E139" s="158">
        <v>4172</v>
      </c>
      <c r="F139" s="158">
        <v>4236</v>
      </c>
      <c r="G139" s="58">
        <v>4150</v>
      </c>
      <c r="H139" s="58">
        <v>4066</v>
      </c>
      <c r="I139" s="58">
        <v>3954</v>
      </c>
      <c r="J139" s="58">
        <v>3811</v>
      </c>
      <c r="K139" s="58">
        <v>3863</v>
      </c>
      <c r="L139" s="58">
        <v>3932</v>
      </c>
      <c r="M139" s="58">
        <v>3964</v>
      </c>
      <c r="N139" s="58">
        <v>3966</v>
      </c>
      <c r="O139" s="58">
        <v>4040</v>
      </c>
      <c r="Q139" s="729" t="s">
        <v>3108</v>
      </c>
    </row>
    <row r="140" spans="1:17">
      <c r="A140" s="729" t="s">
        <v>5441</v>
      </c>
      <c r="B140" s="729" t="s">
        <v>1617</v>
      </c>
      <c r="C140" s="55" t="s">
        <v>7583</v>
      </c>
      <c r="D140" s="158">
        <v>5865</v>
      </c>
      <c r="E140" s="158">
        <v>5974</v>
      </c>
      <c r="F140" s="158">
        <v>5943</v>
      </c>
      <c r="G140" s="58">
        <v>6094</v>
      </c>
      <c r="H140" s="58">
        <v>6592</v>
      </c>
      <c r="I140" s="58">
        <v>6539</v>
      </c>
      <c r="J140" s="58">
        <v>6502</v>
      </c>
      <c r="K140" s="58">
        <v>6549</v>
      </c>
      <c r="L140" s="58">
        <v>6469</v>
      </c>
      <c r="M140" s="58">
        <v>6390</v>
      </c>
      <c r="N140" s="58">
        <v>6411</v>
      </c>
      <c r="O140" s="58">
        <v>6793</v>
      </c>
      <c r="Q140" s="729" t="s">
        <v>3108</v>
      </c>
    </row>
    <row r="141" spans="1:17">
      <c r="A141" s="729"/>
      <c r="D141" s="733"/>
      <c r="E141" s="733"/>
      <c r="F141" s="733"/>
      <c r="G141" s="733"/>
      <c r="H141" s="733"/>
      <c r="I141" s="733"/>
      <c r="J141" s="733"/>
      <c r="K141" s="733"/>
      <c r="L141" s="733"/>
      <c r="M141" s="733"/>
      <c r="N141" s="733"/>
      <c r="O141" s="733"/>
    </row>
    <row r="142" spans="1:17">
      <c r="A142" s="729" t="s">
        <v>1618</v>
      </c>
      <c r="D142" s="158">
        <f t="shared" ref="D142:I142" si="128">D125+D126+D132+D134+D135+D137</f>
        <v>31846</v>
      </c>
      <c r="E142" s="158">
        <f t="shared" si="128"/>
        <v>31828</v>
      </c>
      <c r="F142" s="158">
        <f t="shared" si="128"/>
        <v>31864</v>
      </c>
      <c r="G142" s="158">
        <f t="shared" si="128"/>
        <v>31791</v>
      </c>
      <c r="H142" s="158">
        <f t="shared" si="128"/>
        <v>31497</v>
      </c>
      <c r="I142" s="158">
        <f t="shared" si="128"/>
        <v>31305</v>
      </c>
      <c r="J142" s="158">
        <f t="shared" ref="J142:O142" si="129">J125+J126+J132+J134+J135+J137</f>
        <v>30976</v>
      </c>
      <c r="K142" s="158">
        <f t="shared" si="129"/>
        <v>31827</v>
      </c>
      <c r="L142" s="158">
        <f t="shared" si="129"/>
        <v>32516</v>
      </c>
      <c r="M142" s="158">
        <f t="shared" si="129"/>
        <v>32559</v>
      </c>
      <c r="N142" s="158">
        <f t="shared" si="129"/>
        <v>32569</v>
      </c>
      <c r="O142" s="158">
        <f t="shared" si="129"/>
        <v>33083</v>
      </c>
    </row>
    <row r="143" spans="1:17">
      <c r="A143" s="729" t="s">
        <v>3108</v>
      </c>
      <c r="D143" s="158">
        <f t="shared" ref="D143:I143" si="130">SUM(D121:D124)+SUM(D127:D131)+D133+D136+SUM(D138:D140)</f>
        <v>77723</v>
      </c>
      <c r="E143" s="158">
        <f t="shared" si="130"/>
        <v>77667</v>
      </c>
      <c r="F143" s="158">
        <f t="shared" si="130"/>
        <v>77540</v>
      </c>
      <c r="G143" s="158">
        <f t="shared" si="130"/>
        <v>77207</v>
      </c>
      <c r="H143" s="158">
        <f t="shared" si="130"/>
        <v>77460</v>
      </c>
      <c r="I143" s="158">
        <f t="shared" si="130"/>
        <v>76455</v>
      </c>
      <c r="J143" s="158">
        <f t="shared" ref="J143:O143" si="131">SUM(J121:J124)+SUM(J127:J131)+J133+J136+SUM(J138:J140)</f>
        <v>75935</v>
      </c>
      <c r="K143" s="158">
        <f t="shared" si="131"/>
        <v>77425</v>
      </c>
      <c r="L143" s="158">
        <f t="shared" si="131"/>
        <v>77788</v>
      </c>
      <c r="M143" s="158">
        <f t="shared" si="131"/>
        <v>77629</v>
      </c>
      <c r="N143" s="158">
        <f t="shared" si="131"/>
        <v>77730</v>
      </c>
      <c r="O143" s="158">
        <f t="shared" si="131"/>
        <v>80392</v>
      </c>
    </row>
    <row r="145" spans="1:17">
      <c r="A145" s="730" t="s">
        <v>1619</v>
      </c>
    </row>
    <row r="148" spans="1:17">
      <c r="E148" s="51" t="s">
        <v>1526</v>
      </c>
      <c r="F148" s="51"/>
      <c r="G148" s="51"/>
      <c r="H148" s="51"/>
      <c r="I148" s="51"/>
      <c r="J148" s="51"/>
      <c r="K148" s="51"/>
      <c r="L148" s="51"/>
      <c r="M148" s="51"/>
      <c r="N148" s="51"/>
      <c r="O148" s="51"/>
      <c r="P148" s="52"/>
      <c r="Q148" s="53" t="s">
        <v>9479</v>
      </c>
    </row>
    <row r="149" spans="1:17">
      <c r="D149" s="40">
        <v>2010</v>
      </c>
      <c r="E149" s="40">
        <v>2011</v>
      </c>
      <c r="F149" s="40">
        <v>2012</v>
      </c>
      <c r="G149" s="40">
        <v>2013</v>
      </c>
      <c r="H149" s="40">
        <v>2014</v>
      </c>
      <c r="I149" s="40">
        <v>2015</v>
      </c>
      <c r="J149" s="40">
        <v>2016</v>
      </c>
      <c r="K149" s="40">
        <v>2017</v>
      </c>
      <c r="L149" s="40">
        <v>2018</v>
      </c>
      <c r="M149" s="40">
        <v>2019</v>
      </c>
      <c r="N149" s="40">
        <v>2020</v>
      </c>
      <c r="O149" s="977" t="s">
        <v>14823</v>
      </c>
      <c r="Q149" s="54" t="s">
        <v>1527</v>
      </c>
    </row>
    <row r="150" spans="1:17">
      <c r="A150" s="729" t="s">
        <v>672</v>
      </c>
      <c r="D150" s="158">
        <f t="shared" ref="D150:I150" si="132">SUM(D151:D166)</f>
        <v>127760</v>
      </c>
      <c r="E150" s="158">
        <f t="shared" si="132"/>
        <v>127981</v>
      </c>
      <c r="F150" s="158">
        <f t="shared" si="132"/>
        <v>128749</v>
      </c>
      <c r="G150" s="158">
        <f t="shared" si="132"/>
        <v>131062</v>
      </c>
      <c r="H150" s="158">
        <f t="shared" si="132"/>
        <v>131592</v>
      </c>
      <c r="I150" s="158">
        <f t="shared" si="132"/>
        <v>132163</v>
      </c>
      <c r="J150" s="158">
        <f t="shared" ref="J150:O150" si="133">SUM(J151:J166)</f>
        <v>126526</v>
      </c>
      <c r="K150" s="158">
        <f t="shared" si="133"/>
        <v>131494</v>
      </c>
      <c r="L150" s="158">
        <f t="shared" si="133"/>
        <v>134416</v>
      </c>
      <c r="M150" s="158">
        <f t="shared" si="133"/>
        <v>133573</v>
      </c>
      <c r="N150" s="158">
        <f t="shared" si="133"/>
        <v>136849</v>
      </c>
      <c r="O150" s="158">
        <f t="shared" si="133"/>
        <v>136158</v>
      </c>
    </row>
    <row r="151" spans="1:17">
      <c r="A151" s="729" t="s">
        <v>5387</v>
      </c>
      <c r="B151" s="729" t="s">
        <v>1620</v>
      </c>
      <c r="C151" s="55" t="s">
        <v>7823</v>
      </c>
      <c r="D151" s="158">
        <v>9082</v>
      </c>
      <c r="E151" s="158">
        <v>9170</v>
      </c>
      <c r="F151" s="158">
        <v>9124</v>
      </c>
      <c r="G151" s="56">
        <v>9245</v>
      </c>
      <c r="H151" s="56">
        <v>9286</v>
      </c>
      <c r="I151" s="56">
        <v>9285</v>
      </c>
      <c r="J151" s="56">
        <v>9061</v>
      </c>
      <c r="K151" s="56">
        <v>9305</v>
      </c>
      <c r="L151" s="56">
        <v>9356</v>
      </c>
      <c r="M151" s="56">
        <v>9244</v>
      </c>
      <c r="N151" s="56">
        <v>9404</v>
      </c>
      <c r="O151" s="56">
        <v>9370</v>
      </c>
      <c r="Q151" s="729" t="s">
        <v>1733</v>
      </c>
    </row>
    <row r="152" spans="1:17" ht="15" customHeight="1">
      <c r="A152" s="729" t="s">
        <v>5389</v>
      </c>
      <c r="B152" s="729" t="s">
        <v>1621</v>
      </c>
      <c r="C152" s="55" t="s">
        <v>7824</v>
      </c>
      <c r="D152" s="158">
        <v>9348</v>
      </c>
      <c r="E152" s="158">
        <v>9338</v>
      </c>
      <c r="F152" s="158">
        <v>9375</v>
      </c>
      <c r="G152" s="56">
        <v>9367</v>
      </c>
      <c r="H152" s="56">
        <v>9366</v>
      </c>
      <c r="I152" s="56">
        <v>9387</v>
      </c>
      <c r="J152" s="56">
        <v>9134</v>
      </c>
      <c r="K152" s="56">
        <v>9353</v>
      </c>
      <c r="L152" s="56">
        <v>9472</v>
      </c>
      <c r="M152" s="56">
        <v>9355</v>
      </c>
      <c r="N152" s="56">
        <v>9531</v>
      </c>
      <c r="O152" s="56">
        <v>9454</v>
      </c>
      <c r="Q152" s="729" t="s">
        <v>1733</v>
      </c>
    </row>
    <row r="153" spans="1:17">
      <c r="A153" s="729" t="s">
        <v>5391</v>
      </c>
      <c r="B153" s="729" t="s">
        <v>1622</v>
      </c>
      <c r="C153" s="55" t="s">
        <v>7825</v>
      </c>
      <c r="D153" s="158">
        <v>8438</v>
      </c>
      <c r="E153" s="158">
        <v>8482</v>
      </c>
      <c r="F153" s="158">
        <v>8571</v>
      </c>
      <c r="G153" s="56">
        <v>8636</v>
      </c>
      <c r="H153" s="56">
        <v>8578</v>
      </c>
      <c r="I153" s="56">
        <v>8590</v>
      </c>
      <c r="J153" s="56">
        <v>8430</v>
      </c>
      <c r="K153" s="56">
        <v>8609</v>
      </c>
      <c r="L153" s="56">
        <v>8653</v>
      </c>
      <c r="M153" s="56">
        <v>8596</v>
      </c>
      <c r="N153" s="56">
        <v>8830</v>
      </c>
      <c r="O153" s="56">
        <v>8796</v>
      </c>
      <c r="Q153" s="729" t="s">
        <v>1733</v>
      </c>
    </row>
    <row r="154" spans="1:17" ht="15" customHeight="1">
      <c r="A154" s="729" t="s">
        <v>5393</v>
      </c>
      <c r="B154" s="729" t="s">
        <v>1623</v>
      </c>
      <c r="C154" s="55" t="s">
        <v>7826</v>
      </c>
      <c r="D154" s="158">
        <v>6376</v>
      </c>
      <c r="E154" s="158">
        <v>6367</v>
      </c>
      <c r="F154" s="158">
        <v>6334</v>
      </c>
      <c r="G154" s="56">
        <v>6379</v>
      </c>
      <c r="H154" s="56">
        <v>6336</v>
      </c>
      <c r="I154" s="56">
        <v>6412</v>
      </c>
      <c r="J154" s="56">
        <v>6035</v>
      </c>
      <c r="K154" s="56">
        <v>6431</v>
      </c>
      <c r="L154" s="56">
        <v>6524</v>
      </c>
      <c r="M154" s="56">
        <v>6473</v>
      </c>
      <c r="N154" s="56">
        <v>6661</v>
      </c>
      <c r="O154" s="56">
        <v>6651</v>
      </c>
      <c r="Q154" s="729" t="s">
        <v>1733</v>
      </c>
    </row>
    <row r="155" spans="1:17" ht="15" customHeight="1">
      <c r="A155" s="729" t="s">
        <v>5394</v>
      </c>
      <c r="B155" s="729" t="s">
        <v>1624</v>
      </c>
      <c r="C155" s="55" t="s">
        <v>7827</v>
      </c>
      <c r="D155" s="158">
        <v>9239</v>
      </c>
      <c r="E155" s="158">
        <v>9261</v>
      </c>
      <c r="F155" s="158">
        <v>9435</v>
      </c>
      <c r="G155" s="56">
        <v>9609</v>
      </c>
      <c r="H155" s="56">
        <v>9702</v>
      </c>
      <c r="I155" s="56">
        <v>9736</v>
      </c>
      <c r="J155" s="56">
        <v>9123</v>
      </c>
      <c r="K155" s="56">
        <v>9778</v>
      </c>
      <c r="L155" s="56">
        <v>10004</v>
      </c>
      <c r="M155" s="56">
        <v>9934</v>
      </c>
      <c r="N155" s="56">
        <v>10179</v>
      </c>
      <c r="O155" s="56">
        <v>10110</v>
      </c>
      <c r="Q155" s="729" t="s">
        <v>1733</v>
      </c>
    </row>
    <row r="156" spans="1:17">
      <c r="A156" s="729" t="s">
        <v>5416</v>
      </c>
      <c r="B156" s="729" t="s">
        <v>967</v>
      </c>
      <c r="C156" s="55" t="s">
        <v>7828</v>
      </c>
      <c r="D156" s="158">
        <v>8298</v>
      </c>
      <c r="E156" s="158">
        <v>8252</v>
      </c>
      <c r="F156" s="158">
        <v>8482</v>
      </c>
      <c r="G156" s="56">
        <v>8811</v>
      </c>
      <c r="H156" s="56">
        <v>8963</v>
      </c>
      <c r="I156" s="56">
        <v>8986</v>
      </c>
      <c r="J156" s="56">
        <v>8597</v>
      </c>
      <c r="K156" s="56">
        <v>9194</v>
      </c>
      <c r="L156" s="56">
        <v>9509</v>
      </c>
      <c r="M156" s="56">
        <v>9632</v>
      </c>
      <c r="N156" s="56">
        <v>9848</v>
      </c>
      <c r="O156" s="56">
        <v>9808</v>
      </c>
      <c r="Q156" s="729" t="s">
        <v>1733</v>
      </c>
    </row>
    <row r="157" spans="1:17">
      <c r="A157" s="729" t="s">
        <v>5418</v>
      </c>
      <c r="B157" s="729" t="s">
        <v>968</v>
      </c>
      <c r="C157" s="55" t="s">
        <v>7829</v>
      </c>
      <c r="D157" s="158">
        <v>6898</v>
      </c>
      <c r="E157" s="158">
        <v>6900</v>
      </c>
      <c r="F157" s="158">
        <v>6844</v>
      </c>
      <c r="G157" s="56">
        <v>6997</v>
      </c>
      <c r="H157" s="56">
        <v>6980</v>
      </c>
      <c r="I157" s="56">
        <v>6984</v>
      </c>
      <c r="J157" s="56">
        <v>6814</v>
      </c>
      <c r="K157" s="56">
        <v>6888</v>
      </c>
      <c r="L157" s="56">
        <v>6894</v>
      </c>
      <c r="M157" s="56">
        <v>6806</v>
      </c>
      <c r="N157" s="56">
        <v>6975</v>
      </c>
      <c r="O157" s="56">
        <v>6949</v>
      </c>
      <c r="Q157" s="729" t="s">
        <v>3105</v>
      </c>
    </row>
    <row r="158" spans="1:17">
      <c r="A158" s="729" t="s">
        <v>5420</v>
      </c>
      <c r="B158" s="729" t="s">
        <v>969</v>
      </c>
      <c r="C158" s="55" t="s">
        <v>7830</v>
      </c>
      <c r="D158" s="158">
        <v>8727</v>
      </c>
      <c r="E158" s="158">
        <v>8705</v>
      </c>
      <c r="F158" s="158">
        <v>8791</v>
      </c>
      <c r="G158" s="56">
        <v>9155</v>
      </c>
      <c r="H158" s="56">
        <v>9284</v>
      </c>
      <c r="I158" s="56">
        <v>9354</v>
      </c>
      <c r="J158" s="56">
        <v>8775</v>
      </c>
      <c r="K158" s="56">
        <v>9206</v>
      </c>
      <c r="L158" s="56">
        <v>9551</v>
      </c>
      <c r="M158" s="56">
        <v>9537</v>
      </c>
      <c r="N158" s="56">
        <v>9751</v>
      </c>
      <c r="O158" s="56">
        <v>9687</v>
      </c>
      <c r="Q158" s="729" t="s">
        <v>1733</v>
      </c>
    </row>
    <row r="159" spans="1:17">
      <c r="A159" s="729" t="s">
        <v>5422</v>
      </c>
      <c r="B159" s="729" t="s">
        <v>970</v>
      </c>
      <c r="C159" s="55" t="s">
        <v>7831</v>
      </c>
      <c r="D159" s="158">
        <v>8823</v>
      </c>
      <c r="E159" s="158">
        <v>8748</v>
      </c>
      <c r="F159" s="158">
        <v>8845</v>
      </c>
      <c r="G159" s="56">
        <v>9062</v>
      </c>
      <c r="H159" s="56">
        <v>8935</v>
      </c>
      <c r="I159" s="56">
        <v>9012</v>
      </c>
      <c r="J159" s="56">
        <v>8486</v>
      </c>
      <c r="K159" s="56">
        <v>8945</v>
      </c>
      <c r="L159" s="56">
        <v>9381</v>
      </c>
      <c r="M159" s="56">
        <v>9349</v>
      </c>
      <c r="N159" s="56">
        <v>9790</v>
      </c>
      <c r="O159" s="56">
        <v>9766</v>
      </c>
      <c r="Q159" s="729" t="s">
        <v>3105</v>
      </c>
    </row>
    <row r="160" spans="1:17">
      <c r="A160" s="729" t="s">
        <v>5424</v>
      </c>
      <c r="B160" s="729" t="s">
        <v>971</v>
      </c>
      <c r="C160" s="55" t="s">
        <v>7832</v>
      </c>
      <c r="D160" s="158">
        <v>9182</v>
      </c>
      <c r="E160" s="158">
        <v>9136</v>
      </c>
      <c r="F160" s="158">
        <v>9081</v>
      </c>
      <c r="G160" s="56">
        <v>9196</v>
      </c>
      <c r="H160" s="56">
        <v>9233</v>
      </c>
      <c r="I160" s="56">
        <v>9256</v>
      </c>
      <c r="J160" s="56">
        <v>8900</v>
      </c>
      <c r="K160" s="56">
        <v>8929</v>
      </c>
      <c r="L160" s="56">
        <v>9161</v>
      </c>
      <c r="M160" s="56">
        <v>9061</v>
      </c>
      <c r="N160" s="56">
        <v>9211</v>
      </c>
      <c r="O160" s="56">
        <v>9140</v>
      </c>
      <c r="Q160" s="729" t="s">
        <v>3105</v>
      </c>
    </row>
    <row r="161" spans="1:17">
      <c r="A161" s="729" t="s">
        <v>5426</v>
      </c>
      <c r="B161" s="729" t="s">
        <v>972</v>
      </c>
      <c r="C161" s="55" t="s">
        <v>7833</v>
      </c>
      <c r="D161" s="158">
        <v>8483</v>
      </c>
      <c r="E161" s="158">
        <v>8457</v>
      </c>
      <c r="F161" s="158">
        <v>8497</v>
      </c>
      <c r="G161" s="56">
        <v>8727</v>
      </c>
      <c r="H161" s="56">
        <v>8875</v>
      </c>
      <c r="I161" s="56">
        <v>8909</v>
      </c>
      <c r="J161" s="56">
        <v>8469</v>
      </c>
      <c r="K161" s="56">
        <v>8695</v>
      </c>
      <c r="L161" s="56">
        <v>8908</v>
      </c>
      <c r="M161" s="56">
        <v>8834</v>
      </c>
      <c r="N161" s="56">
        <v>9025</v>
      </c>
      <c r="O161" s="56">
        <v>8953</v>
      </c>
      <c r="Q161" s="729" t="s">
        <v>3105</v>
      </c>
    </row>
    <row r="162" spans="1:17">
      <c r="A162" s="729" t="s">
        <v>5428</v>
      </c>
      <c r="B162" s="729" t="s">
        <v>973</v>
      </c>
      <c r="C162" s="55" t="s">
        <v>7834</v>
      </c>
      <c r="D162" s="158">
        <v>5794</v>
      </c>
      <c r="E162" s="158">
        <v>5798</v>
      </c>
      <c r="F162" s="158">
        <v>5798</v>
      </c>
      <c r="G162" s="56">
        <v>5884</v>
      </c>
      <c r="H162" s="56">
        <v>5989</v>
      </c>
      <c r="I162" s="56">
        <v>6034</v>
      </c>
      <c r="J162" s="56">
        <v>5730</v>
      </c>
      <c r="K162" s="56">
        <v>6022</v>
      </c>
      <c r="L162" s="56">
        <v>6205</v>
      </c>
      <c r="M162" s="56">
        <v>6107</v>
      </c>
      <c r="N162" s="56">
        <v>6334</v>
      </c>
      <c r="O162" s="56">
        <v>6319</v>
      </c>
      <c r="Q162" s="729" t="s">
        <v>1733</v>
      </c>
    </row>
    <row r="163" spans="1:17">
      <c r="A163" s="729" t="s">
        <v>5429</v>
      </c>
      <c r="B163" s="729" t="s">
        <v>974</v>
      </c>
      <c r="C163" s="55" t="s">
        <v>7835</v>
      </c>
      <c r="D163" s="158">
        <v>6715</v>
      </c>
      <c r="E163" s="158">
        <v>6750</v>
      </c>
      <c r="F163" s="158">
        <v>6766</v>
      </c>
      <c r="G163" s="58">
        <v>6825</v>
      </c>
      <c r="H163" s="58">
        <v>6885</v>
      </c>
      <c r="I163" s="58">
        <v>6913</v>
      </c>
      <c r="J163" s="58">
        <v>6547</v>
      </c>
      <c r="K163" s="58">
        <v>6604</v>
      </c>
      <c r="L163" s="58">
        <v>6757</v>
      </c>
      <c r="M163" s="58">
        <v>6662</v>
      </c>
      <c r="N163" s="58">
        <v>6865</v>
      </c>
      <c r="O163" s="58">
        <v>6798</v>
      </c>
      <c r="Q163" s="729" t="s">
        <v>3105</v>
      </c>
    </row>
    <row r="164" spans="1:17">
      <c r="A164" s="741">
        <v>14</v>
      </c>
      <c r="B164" s="729" t="s">
        <v>2308</v>
      </c>
      <c r="C164" s="55" t="s">
        <v>7836</v>
      </c>
      <c r="D164" s="158">
        <v>6117</v>
      </c>
      <c r="E164" s="158">
        <v>6198</v>
      </c>
      <c r="F164" s="158">
        <v>6251</v>
      </c>
      <c r="G164" s="56">
        <v>6324</v>
      </c>
      <c r="H164" s="56">
        <v>6312</v>
      </c>
      <c r="I164" s="56">
        <v>6308</v>
      </c>
      <c r="J164" s="56">
        <v>6160</v>
      </c>
      <c r="K164" s="56">
        <v>6308</v>
      </c>
      <c r="L164" s="56">
        <v>6438</v>
      </c>
      <c r="M164" s="56">
        <v>6375</v>
      </c>
      <c r="N164" s="56">
        <v>6468</v>
      </c>
      <c r="O164" s="56">
        <v>6439</v>
      </c>
      <c r="Q164" s="729" t="s">
        <v>1768</v>
      </c>
    </row>
    <row r="165" spans="1:17">
      <c r="A165" s="741">
        <v>15</v>
      </c>
      <c r="B165" s="729" t="s">
        <v>3852</v>
      </c>
      <c r="C165" s="55" t="s">
        <v>7837</v>
      </c>
      <c r="D165" s="158">
        <v>9407</v>
      </c>
      <c r="E165" s="158">
        <v>9532</v>
      </c>
      <c r="F165" s="158">
        <v>9588</v>
      </c>
      <c r="G165" s="56">
        <v>9786</v>
      </c>
      <c r="H165" s="56">
        <v>9843</v>
      </c>
      <c r="I165" s="56">
        <v>9918</v>
      </c>
      <c r="J165" s="56">
        <v>9487</v>
      </c>
      <c r="K165" s="56">
        <v>10126</v>
      </c>
      <c r="L165" s="56">
        <v>10339</v>
      </c>
      <c r="M165" s="56">
        <v>10271</v>
      </c>
      <c r="N165" s="56">
        <v>10497</v>
      </c>
      <c r="O165" s="56">
        <v>10472</v>
      </c>
      <c r="Q165" s="729" t="s">
        <v>1768</v>
      </c>
    </row>
    <row r="166" spans="1:17">
      <c r="A166" s="741">
        <v>16</v>
      </c>
      <c r="B166" s="729" t="s">
        <v>3853</v>
      </c>
      <c r="C166" s="55" t="s">
        <v>7838</v>
      </c>
      <c r="D166" s="158">
        <v>6833</v>
      </c>
      <c r="E166" s="158">
        <v>6887</v>
      </c>
      <c r="F166" s="158">
        <v>6967</v>
      </c>
      <c r="G166" s="56">
        <v>7059</v>
      </c>
      <c r="H166" s="56">
        <v>7025</v>
      </c>
      <c r="I166" s="56">
        <v>7079</v>
      </c>
      <c r="J166" s="56">
        <v>6778</v>
      </c>
      <c r="K166" s="56">
        <v>7101</v>
      </c>
      <c r="L166" s="56">
        <v>7264</v>
      </c>
      <c r="M166" s="56">
        <v>7337</v>
      </c>
      <c r="N166" s="56">
        <v>7480</v>
      </c>
      <c r="O166" s="56">
        <v>7446</v>
      </c>
      <c r="Q166" s="729" t="s">
        <v>1768</v>
      </c>
    </row>
    <row r="167" spans="1:17">
      <c r="D167" s="733"/>
      <c r="E167" s="733"/>
      <c r="F167" s="733"/>
      <c r="G167" s="733"/>
      <c r="H167" s="733"/>
      <c r="I167" s="733"/>
      <c r="J167" s="733"/>
      <c r="K167" s="733"/>
      <c r="L167" s="733"/>
      <c r="M167" s="733"/>
      <c r="N167" s="733"/>
      <c r="O167" s="733"/>
    </row>
    <row r="168" spans="1:17">
      <c r="A168" s="729" t="s">
        <v>1733</v>
      </c>
      <c r="D168" s="158">
        <f t="shared" ref="D168:I168" si="134">SUM(D151:D156)+D158+D162</f>
        <v>65302</v>
      </c>
      <c r="E168" s="158">
        <f t="shared" si="134"/>
        <v>65373</v>
      </c>
      <c r="F168" s="158">
        <f t="shared" si="134"/>
        <v>65910</v>
      </c>
      <c r="G168" s="158">
        <f t="shared" si="134"/>
        <v>67086</v>
      </c>
      <c r="H168" s="158">
        <f t="shared" si="134"/>
        <v>67504</v>
      </c>
      <c r="I168" s="158">
        <f t="shared" si="134"/>
        <v>67784</v>
      </c>
      <c r="J168" s="158">
        <f t="shared" ref="J168:O168" si="135">SUM(J151:J156)+J158+J162</f>
        <v>64885</v>
      </c>
      <c r="K168" s="158">
        <f t="shared" si="135"/>
        <v>67898</v>
      </c>
      <c r="L168" s="158">
        <f t="shared" si="135"/>
        <v>69274</v>
      </c>
      <c r="M168" s="158">
        <f t="shared" si="135"/>
        <v>68878</v>
      </c>
      <c r="N168" s="158">
        <f t="shared" si="135"/>
        <v>70538</v>
      </c>
      <c r="O168" s="158">
        <f t="shared" si="135"/>
        <v>70195</v>
      </c>
    </row>
    <row r="169" spans="1:17">
      <c r="A169" s="729" t="s">
        <v>3854</v>
      </c>
      <c r="D169" s="158">
        <f t="shared" ref="D169:I169" si="136">SUM(D164:D166)</f>
        <v>22357</v>
      </c>
      <c r="E169" s="158">
        <f t="shared" si="136"/>
        <v>22617</v>
      </c>
      <c r="F169" s="158">
        <f t="shared" si="136"/>
        <v>22806</v>
      </c>
      <c r="G169" s="158">
        <f t="shared" si="136"/>
        <v>23169</v>
      </c>
      <c r="H169" s="158">
        <f t="shared" si="136"/>
        <v>23180</v>
      </c>
      <c r="I169" s="158">
        <f t="shared" si="136"/>
        <v>23305</v>
      </c>
      <c r="J169" s="158">
        <f t="shared" ref="J169:O169" si="137">SUM(J164:J166)</f>
        <v>22425</v>
      </c>
      <c r="K169" s="158">
        <f t="shared" si="137"/>
        <v>23535</v>
      </c>
      <c r="L169" s="158">
        <f t="shared" si="137"/>
        <v>24041</v>
      </c>
      <c r="M169" s="158">
        <f t="shared" si="137"/>
        <v>23983</v>
      </c>
      <c r="N169" s="158">
        <f t="shared" si="137"/>
        <v>24445</v>
      </c>
      <c r="O169" s="158">
        <f t="shared" si="137"/>
        <v>24357</v>
      </c>
    </row>
    <row r="170" spans="1:17">
      <c r="A170" s="729" t="s">
        <v>1618</v>
      </c>
      <c r="D170" s="158">
        <f t="shared" ref="D170:I170" si="138">D157+SUM(D159:D161)+D163</f>
        <v>40101</v>
      </c>
      <c r="E170" s="158">
        <f t="shared" si="138"/>
        <v>39991</v>
      </c>
      <c r="F170" s="158">
        <f t="shared" si="138"/>
        <v>40033</v>
      </c>
      <c r="G170" s="158">
        <f t="shared" si="138"/>
        <v>40807</v>
      </c>
      <c r="H170" s="158">
        <f t="shared" si="138"/>
        <v>40908</v>
      </c>
      <c r="I170" s="158">
        <f t="shared" si="138"/>
        <v>41074</v>
      </c>
      <c r="J170" s="158">
        <f t="shared" ref="J170:O170" si="139">J157+SUM(J159:J161)+J163</f>
        <v>39216</v>
      </c>
      <c r="K170" s="158">
        <f t="shared" si="139"/>
        <v>40061</v>
      </c>
      <c r="L170" s="158">
        <f t="shared" si="139"/>
        <v>41101</v>
      </c>
      <c r="M170" s="158">
        <f t="shared" si="139"/>
        <v>40712</v>
      </c>
      <c r="N170" s="158">
        <f t="shared" si="139"/>
        <v>41866</v>
      </c>
      <c r="O170" s="158">
        <f t="shared" si="139"/>
        <v>41606</v>
      </c>
    </row>
    <row r="171" spans="1:17">
      <c r="A171" s="729"/>
      <c r="D171" s="158"/>
      <c r="E171" s="158"/>
      <c r="F171" s="158"/>
      <c r="G171" s="158"/>
      <c r="H171" s="158"/>
      <c r="I171" s="158"/>
      <c r="J171" s="158"/>
      <c r="K171" s="158"/>
      <c r="L171" s="158"/>
      <c r="M171" s="158"/>
      <c r="N171" s="158"/>
      <c r="O171" s="158"/>
    </row>
    <row r="172" spans="1:17">
      <c r="A172" s="729" t="s">
        <v>1046</v>
      </c>
      <c r="D172" s="158"/>
      <c r="E172" s="158"/>
      <c r="F172" s="158"/>
      <c r="G172" s="158"/>
      <c r="H172" s="158"/>
      <c r="I172" s="158"/>
      <c r="J172" s="158"/>
      <c r="K172" s="158"/>
      <c r="L172" s="158"/>
      <c r="M172" s="158"/>
      <c r="N172" s="158"/>
      <c r="O172" s="158"/>
    </row>
    <row r="173" spans="1:17">
      <c r="A173" s="729" t="s">
        <v>9088</v>
      </c>
      <c r="D173" s="158"/>
      <c r="E173" s="158"/>
      <c r="F173" s="158"/>
      <c r="G173" s="158"/>
      <c r="H173" s="158"/>
      <c r="I173" s="158"/>
      <c r="J173" s="158"/>
      <c r="K173" s="158"/>
      <c r="L173" s="158"/>
      <c r="M173" s="158"/>
      <c r="N173" s="158"/>
      <c r="O173" s="158"/>
    </row>
    <row r="174" spans="1:17">
      <c r="A174" s="729"/>
      <c r="B174" s="729"/>
      <c r="D174" s="742"/>
      <c r="E174" s="742"/>
      <c r="F174" s="742"/>
      <c r="G174" s="742"/>
      <c r="H174" s="742"/>
      <c r="I174" s="742"/>
      <c r="J174" s="742"/>
      <c r="K174" s="742"/>
      <c r="L174" s="742"/>
      <c r="M174" s="742"/>
      <c r="N174" s="742"/>
      <c r="O174" s="742"/>
    </row>
    <row r="175" spans="1:17">
      <c r="A175" s="729"/>
      <c r="B175" s="729"/>
      <c r="D175" s="742"/>
      <c r="E175" s="742"/>
      <c r="F175" s="742"/>
      <c r="G175" s="742"/>
      <c r="H175" s="742"/>
      <c r="I175" s="742"/>
      <c r="J175" s="742"/>
      <c r="K175" s="742"/>
      <c r="L175" s="742"/>
      <c r="M175" s="742"/>
      <c r="N175" s="742"/>
      <c r="O175" s="742"/>
    </row>
    <row r="176" spans="1:17">
      <c r="E176" s="51" t="s">
        <v>1526</v>
      </c>
      <c r="F176" s="51"/>
      <c r="G176" s="51"/>
      <c r="H176" s="51"/>
      <c r="I176" s="51"/>
      <c r="J176" s="51"/>
      <c r="K176" s="51"/>
      <c r="L176" s="51"/>
      <c r="M176" s="51"/>
      <c r="N176" s="51"/>
      <c r="O176" s="51"/>
      <c r="P176" s="52"/>
      <c r="Q176" s="53" t="s">
        <v>9479</v>
      </c>
    </row>
    <row r="177" spans="1:17">
      <c r="D177" s="40">
        <v>2010</v>
      </c>
      <c r="E177" s="40">
        <v>2011</v>
      </c>
      <c r="F177" s="40">
        <v>2012</v>
      </c>
      <c r="G177" s="40">
        <v>2013</v>
      </c>
      <c r="H177" s="40">
        <v>2014</v>
      </c>
      <c r="I177" s="40">
        <v>2015</v>
      </c>
      <c r="J177" s="40">
        <v>2016</v>
      </c>
      <c r="K177" s="40">
        <v>2017</v>
      </c>
      <c r="L177" s="40">
        <v>2018</v>
      </c>
      <c r="M177" s="40">
        <v>2019</v>
      </c>
      <c r="N177" s="40">
        <v>2020</v>
      </c>
      <c r="O177" s="977" t="s">
        <v>14823</v>
      </c>
      <c r="Q177" s="54" t="s">
        <v>1527</v>
      </c>
    </row>
    <row r="178" spans="1:17">
      <c r="A178" s="729" t="s">
        <v>1047</v>
      </c>
      <c r="D178" s="158">
        <f t="shared" ref="D178:O178" si="140">SUM(D179:D187)+SUM(D189:D191)+SUM(D193:D200)+SUM(D202:D210)</f>
        <v>106789</v>
      </c>
      <c r="E178" s="158">
        <f t="shared" si="140"/>
        <v>108402</v>
      </c>
      <c r="F178" s="158">
        <f t="shared" si="140"/>
        <v>110124</v>
      </c>
      <c r="G178" s="158">
        <f t="shared" si="140"/>
        <v>111319</v>
      </c>
      <c r="H178" s="158">
        <f t="shared" si="140"/>
        <v>110453</v>
      </c>
      <c r="I178" s="158">
        <f t="shared" si="140"/>
        <v>109550</v>
      </c>
      <c r="J178" s="158">
        <f t="shared" si="140"/>
        <v>108866</v>
      </c>
      <c r="K178" s="158">
        <f t="shared" si="140"/>
        <v>111922</v>
      </c>
      <c r="L178" s="158">
        <f t="shared" si="140"/>
        <v>111428</v>
      </c>
      <c r="M178" s="158">
        <f t="shared" si="140"/>
        <v>110546</v>
      </c>
      <c r="N178" s="158">
        <f t="shared" si="140"/>
        <v>112689</v>
      </c>
      <c r="O178" s="158">
        <f t="shared" si="140"/>
        <v>112199</v>
      </c>
    </row>
    <row r="179" spans="1:17">
      <c r="A179" s="729" t="s">
        <v>5387</v>
      </c>
      <c r="B179" s="729" t="s">
        <v>1048</v>
      </c>
      <c r="C179" s="55" t="s">
        <v>10340</v>
      </c>
      <c r="D179" s="158">
        <v>70956</v>
      </c>
      <c r="E179" s="158">
        <v>72064</v>
      </c>
      <c r="F179" s="158">
        <v>73291</v>
      </c>
      <c r="G179" s="58">
        <v>74250</v>
      </c>
      <c r="H179" s="58">
        <v>73673</v>
      </c>
      <c r="I179" s="56">
        <v>7312</v>
      </c>
      <c r="J179" s="56">
        <v>7232</v>
      </c>
      <c r="K179" s="56">
        <v>7432</v>
      </c>
      <c r="L179" s="56">
        <v>7378</v>
      </c>
      <c r="M179" s="56">
        <v>7324</v>
      </c>
      <c r="N179" s="56">
        <v>7301</v>
      </c>
      <c r="O179" s="56">
        <v>7264</v>
      </c>
      <c r="Q179" s="729" t="s">
        <v>1011</v>
      </c>
    </row>
    <row r="180" spans="1:17">
      <c r="A180" s="729" t="s">
        <v>5389</v>
      </c>
      <c r="B180" s="729" t="s">
        <v>1049</v>
      </c>
      <c r="C180" s="55" t="s">
        <v>10341</v>
      </c>
      <c r="D180" s="158">
        <v>0</v>
      </c>
      <c r="E180" s="158">
        <v>0</v>
      </c>
      <c r="F180" s="158">
        <v>0</v>
      </c>
      <c r="G180" s="56">
        <v>0</v>
      </c>
      <c r="H180" s="56">
        <v>0</v>
      </c>
      <c r="I180" s="56">
        <v>4068</v>
      </c>
      <c r="J180" s="56">
        <v>4018</v>
      </c>
      <c r="K180" s="56">
        <v>4110</v>
      </c>
      <c r="L180" s="56">
        <v>4101</v>
      </c>
      <c r="M180" s="56">
        <v>4056</v>
      </c>
      <c r="N180" s="56">
        <v>4149</v>
      </c>
      <c r="O180" s="56">
        <v>4129</v>
      </c>
      <c r="Q180" s="729" t="s">
        <v>1011</v>
      </c>
    </row>
    <row r="181" spans="1:17">
      <c r="A181" s="729" t="s">
        <v>5391</v>
      </c>
      <c r="B181" s="729" t="s">
        <v>1050</v>
      </c>
      <c r="C181" s="55" t="s">
        <v>10342</v>
      </c>
      <c r="D181" s="158">
        <v>0</v>
      </c>
      <c r="E181" s="158">
        <v>0</v>
      </c>
      <c r="F181" s="158">
        <v>0</v>
      </c>
      <c r="G181" s="56">
        <v>0</v>
      </c>
      <c r="H181" s="56">
        <v>0</v>
      </c>
      <c r="I181" s="56">
        <v>4259</v>
      </c>
      <c r="J181" s="56">
        <v>4230</v>
      </c>
      <c r="K181" s="56">
        <v>4416</v>
      </c>
      <c r="L181" s="56">
        <v>4348</v>
      </c>
      <c r="M181" s="56">
        <v>4272</v>
      </c>
      <c r="N181" s="56">
        <v>4322</v>
      </c>
      <c r="O181" s="56">
        <v>4301</v>
      </c>
      <c r="Q181" s="729" t="s">
        <v>1011</v>
      </c>
    </row>
    <row r="182" spans="1:17">
      <c r="A182" s="729" t="s">
        <v>5393</v>
      </c>
      <c r="B182" s="729" t="s">
        <v>9904</v>
      </c>
      <c r="C182" s="55" t="s">
        <v>10343</v>
      </c>
      <c r="D182" s="158">
        <v>0</v>
      </c>
      <c r="E182" s="158">
        <v>0</v>
      </c>
      <c r="F182" s="158">
        <v>0</v>
      </c>
      <c r="G182" s="56">
        <v>0</v>
      </c>
      <c r="H182" s="56">
        <v>0</v>
      </c>
      <c r="I182" s="56">
        <v>5984</v>
      </c>
      <c r="J182" s="56">
        <v>5905</v>
      </c>
      <c r="K182" s="56">
        <v>6101</v>
      </c>
      <c r="L182" s="56">
        <v>6111</v>
      </c>
      <c r="M182" s="56">
        <v>6049</v>
      </c>
      <c r="N182" s="56">
        <v>6132</v>
      </c>
      <c r="O182" s="56">
        <v>6076</v>
      </c>
      <c r="Q182" s="729" t="s">
        <v>1011</v>
      </c>
    </row>
    <row r="183" spans="1:17">
      <c r="A183" s="729" t="s">
        <v>5394</v>
      </c>
      <c r="B183" s="729" t="s">
        <v>1411</v>
      </c>
      <c r="C183" s="55" t="s">
        <v>10344</v>
      </c>
      <c r="D183" s="158">
        <v>0</v>
      </c>
      <c r="E183" s="158">
        <v>0</v>
      </c>
      <c r="F183" s="158">
        <v>0</v>
      </c>
      <c r="G183" s="58">
        <v>0</v>
      </c>
      <c r="H183" s="58">
        <v>0</v>
      </c>
      <c r="I183" s="56">
        <v>4245</v>
      </c>
      <c r="J183" s="56">
        <v>4347</v>
      </c>
      <c r="K183" s="56">
        <v>4557</v>
      </c>
      <c r="L183" s="56">
        <v>4556</v>
      </c>
      <c r="M183" s="56">
        <v>4470</v>
      </c>
      <c r="N183" s="56">
        <v>4531</v>
      </c>
      <c r="O183" s="56">
        <v>4521</v>
      </c>
      <c r="Q183" s="729" t="s">
        <v>1011</v>
      </c>
    </row>
    <row r="184" spans="1:17">
      <c r="A184" s="729" t="s">
        <v>5416</v>
      </c>
      <c r="B184" s="729" t="s">
        <v>9905</v>
      </c>
      <c r="C184" s="55" t="s">
        <v>10345</v>
      </c>
      <c r="D184" s="158">
        <v>0</v>
      </c>
      <c r="E184" s="158">
        <v>0</v>
      </c>
      <c r="F184" s="158">
        <v>0</v>
      </c>
      <c r="G184" s="56">
        <v>0</v>
      </c>
      <c r="H184" s="56">
        <v>0</v>
      </c>
      <c r="I184" s="56">
        <v>4712</v>
      </c>
      <c r="J184" s="56">
        <v>4643</v>
      </c>
      <c r="K184" s="56">
        <v>4746</v>
      </c>
      <c r="L184" s="56">
        <v>4727</v>
      </c>
      <c r="M184" s="56">
        <v>4641</v>
      </c>
      <c r="N184" s="56">
        <v>4647</v>
      </c>
      <c r="O184" s="56">
        <v>4632</v>
      </c>
      <c r="Q184" s="729" t="s">
        <v>1011</v>
      </c>
    </row>
    <row r="185" spans="1:17">
      <c r="A185" s="729" t="s">
        <v>5418</v>
      </c>
      <c r="B185" s="729" t="s">
        <v>1420</v>
      </c>
      <c r="C185" s="55" t="s">
        <v>10346</v>
      </c>
      <c r="D185" s="158">
        <v>0</v>
      </c>
      <c r="E185" s="158">
        <v>0</v>
      </c>
      <c r="F185" s="158">
        <v>0</v>
      </c>
      <c r="G185" s="56">
        <v>0</v>
      </c>
      <c r="H185" s="56">
        <v>0</v>
      </c>
      <c r="I185" s="56">
        <v>2308</v>
      </c>
      <c r="J185" s="56">
        <v>2285</v>
      </c>
      <c r="K185" s="56">
        <v>2365</v>
      </c>
      <c r="L185" s="56">
        <v>2316</v>
      </c>
      <c r="M185" s="56">
        <v>2318</v>
      </c>
      <c r="N185" s="56">
        <v>2339</v>
      </c>
      <c r="O185" s="56">
        <v>2334</v>
      </c>
      <c r="Q185" s="729" t="s">
        <v>1011</v>
      </c>
    </row>
    <row r="186" spans="1:17">
      <c r="A186" s="729" t="s">
        <v>5420</v>
      </c>
      <c r="B186" s="729" t="s">
        <v>9906</v>
      </c>
      <c r="C186" s="55" t="s">
        <v>10347</v>
      </c>
      <c r="D186" s="158">
        <v>0</v>
      </c>
      <c r="E186" s="158">
        <v>0</v>
      </c>
      <c r="F186" s="158">
        <v>0</v>
      </c>
      <c r="G186" s="56">
        <v>0</v>
      </c>
      <c r="H186" s="56">
        <v>0</v>
      </c>
      <c r="I186" s="56">
        <v>506</v>
      </c>
      <c r="J186" s="56">
        <v>523</v>
      </c>
      <c r="K186" s="56">
        <v>529</v>
      </c>
      <c r="L186" s="56">
        <v>512</v>
      </c>
      <c r="M186" s="56">
        <v>511</v>
      </c>
      <c r="N186" s="56">
        <v>518</v>
      </c>
      <c r="O186" s="56">
        <v>514</v>
      </c>
      <c r="Q186" s="729" t="s">
        <v>1011</v>
      </c>
    </row>
    <row r="187" spans="1:17" ht="15.75" thickBot="1">
      <c r="A187" s="729"/>
      <c r="B187" s="729"/>
      <c r="C187" s="55" t="s">
        <v>10347</v>
      </c>
      <c r="D187" s="732">
        <v>0</v>
      </c>
      <c r="E187" s="732">
        <v>0</v>
      </c>
      <c r="F187" s="732">
        <v>0</v>
      </c>
      <c r="G187" s="274">
        <v>0</v>
      </c>
      <c r="H187" s="274">
        <v>0</v>
      </c>
      <c r="I187" s="58">
        <v>3981</v>
      </c>
      <c r="J187" s="58">
        <v>3975</v>
      </c>
      <c r="K187" s="58">
        <v>4062</v>
      </c>
      <c r="L187" s="58">
        <v>4051</v>
      </c>
      <c r="M187" s="58">
        <v>4042</v>
      </c>
      <c r="N187" s="58">
        <v>4112</v>
      </c>
      <c r="O187" s="58">
        <v>4088</v>
      </c>
      <c r="Q187" s="729" t="s">
        <v>3109</v>
      </c>
    </row>
    <row r="188" spans="1:17" ht="15.75" thickBot="1">
      <c r="A188" s="729"/>
      <c r="B188" s="729"/>
      <c r="C188" s="55" t="s">
        <v>10347</v>
      </c>
      <c r="D188" s="736">
        <f>D186+D187</f>
        <v>0</v>
      </c>
      <c r="E188" s="736">
        <f t="shared" ref="E188:L188" si="141">E186+E187</f>
        <v>0</v>
      </c>
      <c r="F188" s="736">
        <f t="shared" si="141"/>
        <v>0</v>
      </c>
      <c r="G188" s="736">
        <f t="shared" si="141"/>
        <v>0</v>
      </c>
      <c r="H188" s="736">
        <f t="shared" si="141"/>
        <v>0</v>
      </c>
      <c r="I188" s="736">
        <f t="shared" si="141"/>
        <v>4487</v>
      </c>
      <c r="J188" s="736">
        <f t="shared" si="141"/>
        <v>4498</v>
      </c>
      <c r="K188" s="736">
        <f t="shared" si="141"/>
        <v>4591</v>
      </c>
      <c r="L188" s="736">
        <f t="shared" si="141"/>
        <v>4563</v>
      </c>
      <c r="M188" s="736">
        <f>M186+M187</f>
        <v>4553</v>
      </c>
      <c r="N188" s="736">
        <f>N186+N187</f>
        <v>4630</v>
      </c>
      <c r="O188" s="736">
        <f>O186+O187</f>
        <v>4602</v>
      </c>
      <c r="Q188" s="729"/>
    </row>
    <row r="189" spans="1:17">
      <c r="A189" s="729" t="s">
        <v>5422</v>
      </c>
      <c r="B189" s="729" t="s">
        <v>9907</v>
      </c>
      <c r="C189" s="730" t="s">
        <v>14731</v>
      </c>
      <c r="D189" s="158">
        <v>0</v>
      </c>
      <c r="E189" s="158">
        <v>0</v>
      </c>
      <c r="F189" s="158">
        <v>0</v>
      </c>
      <c r="G189" s="56">
        <v>0</v>
      </c>
      <c r="H189" s="56">
        <v>0</v>
      </c>
      <c r="I189" s="56">
        <v>2223</v>
      </c>
      <c r="J189" s="56">
        <v>2211</v>
      </c>
      <c r="K189" s="56">
        <v>2225</v>
      </c>
      <c r="L189" s="56">
        <v>2209</v>
      </c>
      <c r="M189" s="56">
        <v>2204</v>
      </c>
      <c r="N189" s="56">
        <v>2195</v>
      </c>
      <c r="O189" s="56">
        <v>2185</v>
      </c>
      <c r="Q189" s="729" t="s">
        <v>1011</v>
      </c>
    </row>
    <row r="190" spans="1:17">
      <c r="A190" s="729" t="s">
        <v>5424</v>
      </c>
      <c r="B190" s="729" t="s">
        <v>9908</v>
      </c>
      <c r="C190" s="55" t="s">
        <v>10348</v>
      </c>
      <c r="D190" s="158">
        <v>0</v>
      </c>
      <c r="E190" s="158">
        <v>0</v>
      </c>
      <c r="F190" s="158">
        <v>0</v>
      </c>
      <c r="G190" s="56">
        <v>0</v>
      </c>
      <c r="H190" s="56">
        <v>0</v>
      </c>
      <c r="I190" s="56">
        <v>5331</v>
      </c>
      <c r="J190" s="56">
        <v>5314</v>
      </c>
      <c r="K190" s="56">
        <v>5353</v>
      </c>
      <c r="L190" s="56">
        <v>5318</v>
      </c>
      <c r="M190" s="56">
        <v>5295</v>
      </c>
      <c r="N190" s="56">
        <v>5430</v>
      </c>
      <c r="O190" s="56">
        <v>5414</v>
      </c>
      <c r="Q190" s="729" t="s">
        <v>1011</v>
      </c>
    </row>
    <row r="191" spans="1:17" ht="15.75" thickBot="1">
      <c r="A191" s="729"/>
      <c r="B191" s="729"/>
      <c r="C191" s="55" t="s">
        <v>10348</v>
      </c>
      <c r="D191" s="732">
        <v>0</v>
      </c>
      <c r="E191" s="732">
        <v>0</v>
      </c>
      <c r="F191" s="732">
        <v>0</v>
      </c>
      <c r="G191" s="274">
        <v>0</v>
      </c>
      <c r="H191" s="274">
        <v>0</v>
      </c>
      <c r="I191" s="58">
        <v>1834</v>
      </c>
      <c r="J191" s="58">
        <v>1837</v>
      </c>
      <c r="K191" s="58">
        <v>1835</v>
      </c>
      <c r="L191" s="58">
        <v>1842</v>
      </c>
      <c r="M191" s="58">
        <v>1881</v>
      </c>
      <c r="N191" s="58">
        <v>1970</v>
      </c>
      <c r="O191" s="58">
        <v>1957</v>
      </c>
      <c r="Q191" s="729" t="s">
        <v>3109</v>
      </c>
    </row>
    <row r="192" spans="1:17" ht="15.75" thickBot="1">
      <c r="A192" s="729"/>
      <c r="B192" s="729"/>
      <c r="C192" s="55" t="s">
        <v>10348</v>
      </c>
      <c r="D192" s="736">
        <f t="shared" ref="D192:O192" si="142">D190+D191</f>
        <v>0</v>
      </c>
      <c r="E192" s="736">
        <f t="shared" si="142"/>
        <v>0</v>
      </c>
      <c r="F192" s="736">
        <f t="shared" si="142"/>
        <v>0</v>
      </c>
      <c r="G192" s="736">
        <f t="shared" si="142"/>
        <v>0</v>
      </c>
      <c r="H192" s="736">
        <f t="shared" si="142"/>
        <v>0</v>
      </c>
      <c r="I192" s="736">
        <f t="shared" si="142"/>
        <v>7165</v>
      </c>
      <c r="J192" s="736">
        <f t="shared" si="142"/>
        <v>7151</v>
      </c>
      <c r="K192" s="736">
        <f t="shared" si="142"/>
        <v>7188</v>
      </c>
      <c r="L192" s="736">
        <f t="shared" si="142"/>
        <v>7160</v>
      </c>
      <c r="M192" s="736">
        <f t="shared" si="142"/>
        <v>7176</v>
      </c>
      <c r="N192" s="736">
        <f t="shared" si="142"/>
        <v>7400</v>
      </c>
      <c r="O192" s="736">
        <f t="shared" si="142"/>
        <v>7371</v>
      </c>
      <c r="Q192" s="729"/>
    </row>
    <row r="193" spans="1:17">
      <c r="A193" s="729" t="s">
        <v>5426</v>
      </c>
      <c r="B193" s="729" t="s">
        <v>9288</v>
      </c>
      <c r="C193" s="730" t="s">
        <v>14732</v>
      </c>
      <c r="D193" s="158">
        <v>0</v>
      </c>
      <c r="E193" s="158">
        <v>0</v>
      </c>
      <c r="F193" s="158">
        <v>0</v>
      </c>
      <c r="G193" s="56">
        <v>0</v>
      </c>
      <c r="H193" s="56">
        <v>0</v>
      </c>
      <c r="I193" s="56">
        <v>4273</v>
      </c>
      <c r="J193" s="56">
        <v>4216</v>
      </c>
      <c r="K193" s="56">
        <v>4376</v>
      </c>
      <c r="L193" s="56">
        <v>4338</v>
      </c>
      <c r="M193" s="56">
        <v>4332</v>
      </c>
      <c r="N193" s="56">
        <v>4552</v>
      </c>
      <c r="O193" s="56">
        <v>4526</v>
      </c>
      <c r="Q193" s="729" t="s">
        <v>1011</v>
      </c>
    </row>
    <row r="194" spans="1:17">
      <c r="A194" s="729" t="s">
        <v>5428</v>
      </c>
      <c r="B194" s="729" t="s">
        <v>2796</v>
      </c>
      <c r="C194" s="730" t="s">
        <v>14733</v>
      </c>
      <c r="D194" s="158">
        <v>0</v>
      </c>
      <c r="E194" s="158">
        <v>0</v>
      </c>
      <c r="F194" s="158">
        <v>0</v>
      </c>
      <c r="G194" s="56">
        <v>0</v>
      </c>
      <c r="H194" s="56">
        <v>0</v>
      </c>
      <c r="I194" s="56">
        <v>4630</v>
      </c>
      <c r="J194" s="56">
        <v>4598</v>
      </c>
      <c r="K194" s="56">
        <v>4686</v>
      </c>
      <c r="L194" s="56">
        <v>4692</v>
      </c>
      <c r="M194" s="56">
        <v>4605</v>
      </c>
      <c r="N194" s="56">
        <v>4783</v>
      </c>
      <c r="O194" s="56">
        <v>4777</v>
      </c>
      <c r="Q194" s="729" t="s">
        <v>1011</v>
      </c>
    </row>
    <row r="195" spans="1:17">
      <c r="A195" s="729" t="s">
        <v>5429</v>
      </c>
      <c r="B195" s="729" t="s">
        <v>9909</v>
      </c>
      <c r="C195" s="730" t="s">
        <v>14734</v>
      </c>
      <c r="D195" s="158">
        <v>35833</v>
      </c>
      <c r="E195" s="158">
        <v>36338</v>
      </c>
      <c r="F195" s="158">
        <v>36833</v>
      </c>
      <c r="G195" s="56">
        <v>37069</v>
      </c>
      <c r="H195" s="56">
        <v>36780</v>
      </c>
      <c r="I195" s="58">
        <v>4679</v>
      </c>
      <c r="J195" s="58">
        <v>4689</v>
      </c>
      <c r="K195" s="58">
        <v>4720</v>
      </c>
      <c r="L195" s="58">
        <v>4650</v>
      </c>
      <c r="M195" s="58">
        <v>4582</v>
      </c>
      <c r="N195" s="58">
        <v>4688</v>
      </c>
      <c r="O195" s="58">
        <v>4659</v>
      </c>
      <c r="Q195" s="729" t="s">
        <v>3109</v>
      </c>
    </row>
    <row r="196" spans="1:17">
      <c r="A196" s="729" t="s">
        <v>5431</v>
      </c>
      <c r="B196" s="729" t="s">
        <v>9910</v>
      </c>
      <c r="C196" s="55" t="s">
        <v>10349</v>
      </c>
      <c r="D196" s="158">
        <v>0</v>
      </c>
      <c r="E196" s="158">
        <v>0</v>
      </c>
      <c r="F196" s="158">
        <v>0</v>
      </c>
      <c r="G196" s="56">
        <v>0</v>
      </c>
      <c r="H196" s="56">
        <v>0</v>
      </c>
      <c r="I196" s="56">
        <v>4049</v>
      </c>
      <c r="J196" s="56">
        <v>4109</v>
      </c>
      <c r="K196" s="56">
        <v>4335</v>
      </c>
      <c r="L196" s="56">
        <v>4441</v>
      </c>
      <c r="M196" s="56">
        <v>4442</v>
      </c>
      <c r="N196" s="56">
        <v>4512</v>
      </c>
      <c r="O196" s="56">
        <v>4494</v>
      </c>
      <c r="Q196" s="729" t="s">
        <v>1011</v>
      </c>
    </row>
    <row r="197" spans="1:17">
      <c r="A197" s="729" t="s">
        <v>5433</v>
      </c>
      <c r="B197" s="729" t="s">
        <v>9911</v>
      </c>
      <c r="C197" s="55" t="s">
        <v>10350</v>
      </c>
      <c r="D197" s="158">
        <v>0</v>
      </c>
      <c r="E197" s="158">
        <v>0</v>
      </c>
      <c r="F197" s="158">
        <v>0</v>
      </c>
      <c r="G197" s="56">
        <v>0</v>
      </c>
      <c r="H197" s="56">
        <v>0</v>
      </c>
      <c r="I197" s="58">
        <v>4309</v>
      </c>
      <c r="J197" s="58">
        <v>4251</v>
      </c>
      <c r="K197" s="58">
        <v>4346</v>
      </c>
      <c r="L197" s="58">
        <v>4291</v>
      </c>
      <c r="M197" s="58">
        <v>4310</v>
      </c>
      <c r="N197" s="58">
        <v>4383</v>
      </c>
      <c r="O197" s="58">
        <v>4361</v>
      </c>
      <c r="Q197" s="729" t="s">
        <v>3109</v>
      </c>
    </row>
    <row r="198" spans="1:17">
      <c r="A198" s="729" t="s">
        <v>5435</v>
      </c>
      <c r="B198" s="729" t="s">
        <v>2797</v>
      </c>
      <c r="C198" s="55" t="s">
        <v>10351</v>
      </c>
      <c r="D198" s="158">
        <v>0</v>
      </c>
      <c r="E198" s="158">
        <v>0</v>
      </c>
      <c r="F198" s="158">
        <v>0</v>
      </c>
      <c r="G198" s="58">
        <v>0</v>
      </c>
      <c r="H198" s="58">
        <v>0</v>
      </c>
      <c r="I198" s="56">
        <v>2178</v>
      </c>
      <c r="J198" s="56">
        <v>2203</v>
      </c>
      <c r="K198" s="56">
        <v>2237</v>
      </c>
      <c r="L198" s="56">
        <v>2221</v>
      </c>
      <c r="M198" s="56">
        <v>2233</v>
      </c>
      <c r="N198" s="56">
        <v>2248</v>
      </c>
      <c r="O198" s="56">
        <v>2239</v>
      </c>
      <c r="Q198" s="729" t="s">
        <v>1011</v>
      </c>
    </row>
    <row r="199" spans="1:17">
      <c r="A199" s="729" t="s">
        <v>5436</v>
      </c>
      <c r="B199" s="729" t="s">
        <v>9912</v>
      </c>
      <c r="C199" s="730" t="s">
        <v>14735</v>
      </c>
      <c r="D199" s="158">
        <v>0</v>
      </c>
      <c r="E199" s="158">
        <v>0</v>
      </c>
      <c r="F199" s="158">
        <v>0</v>
      </c>
      <c r="G199" s="56">
        <v>0</v>
      </c>
      <c r="H199" s="56">
        <v>0</v>
      </c>
      <c r="I199" s="56">
        <v>1369</v>
      </c>
      <c r="J199" s="56">
        <v>1364</v>
      </c>
      <c r="K199" s="56">
        <v>1393</v>
      </c>
      <c r="L199" s="56">
        <v>1370</v>
      </c>
      <c r="M199" s="56">
        <v>1332</v>
      </c>
      <c r="N199" s="56">
        <v>1412</v>
      </c>
      <c r="O199" s="56">
        <v>1407</v>
      </c>
      <c r="Q199" s="729" t="s">
        <v>1011</v>
      </c>
    </row>
    <row r="200" spans="1:17" ht="15.75" thickBot="1">
      <c r="A200" s="729"/>
      <c r="B200" s="729"/>
      <c r="C200" s="730" t="s">
        <v>14735</v>
      </c>
      <c r="D200" s="732">
        <v>0</v>
      </c>
      <c r="E200" s="732">
        <v>0</v>
      </c>
      <c r="F200" s="732">
        <v>0</v>
      </c>
      <c r="G200" s="274">
        <v>0</v>
      </c>
      <c r="H200" s="274">
        <v>0</v>
      </c>
      <c r="I200" s="58">
        <v>3299</v>
      </c>
      <c r="J200" s="58">
        <v>3255</v>
      </c>
      <c r="K200" s="58">
        <v>3346</v>
      </c>
      <c r="L200" s="58">
        <v>3294</v>
      </c>
      <c r="M200" s="58">
        <v>3339</v>
      </c>
      <c r="N200" s="58">
        <v>3312</v>
      </c>
      <c r="O200" s="58">
        <v>3307</v>
      </c>
      <c r="Q200" s="729" t="s">
        <v>3109</v>
      </c>
    </row>
    <row r="201" spans="1:17" ht="15.75" thickBot="1">
      <c r="A201" s="729"/>
      <c r="B201" s="729"/>
      <c r="C201" s="730" t="s">
        <v>14735</v>
      </c>
      <c r="D201" s="736">
        <f t="shared" ref="D201:O201" si="143">D199+D200</f>
        <v>0</v>
      </c>
      <c r="E201" s="736">
        <f t="shared" si="143"/>
        <v>0</v>
      </c>
      <c r="F201" s="736">
        <f t="shared" si="143"/>
        <v>0</v>
      </c>
      <c r="G201" s="736">
        <f t="shared" si="143"/>
        <v>0</v>
      </c>
      <c r="H201" s="736">
        <f t="shared" si="143"/>
        <v>0</v>
      </c>
      <c r="I201" s="736">
        <f t="shared" si="143"/>
        <v>4668</v>
      </c>
      <c r="J201" s="736">
        <f t="shared" si="143"/>
        <v>4619</v>
      </c>
      <c r="K201" s="736">
        <f t="shared" si="143"/>
        <v>4739</v>
      </c>
      <c r="L201" s="736">
        <f t="shared" si="143"/>
        <v>4664</v>
      </c>
      <c r="M201" s="736">
        <f t="shared" si="143"/>
        <v>4671</v>
      </c>
      <c r="N201" s="736">
        <f t="shared" si="143"/>
        <v>4724</v>
      </c>
      <c r="O201" s="736">
        <f t="shared" si="143"/>
        <v>4714</v>
      </c>
      <c r="Q201" s="729"/>
    </row>
    <row r="202" spans="1:17">
      <c r="A202" s="729" t="s">
        <v>5437</v>
      </c>
      <c r="B202" s="729" t="s">
        <v>2798</v>
      </c>
      <c r="C202" s="55" t="s">
        <v>10352</v>
      </c>
      <c r="D202" s="158">
        <v>0</v>
      </c>
      <c r="E202" s="158">
        <v>0</v>
      </c>
      <c r="F202" s="158">
        <v>0</v>
      </c>
      <c r="G202" s="58">
        <v>0</v>
      </c>
      <c r="H202" s="58">
        <v>0</v>
      </c>
      <c r="I202" s="58">
        <v>2265</v>
      </c>
      <c r="J202" s="58">
        <v>2271</v>
      </c>
      <c r="K202" s="58">
        <v>2338</v>
      </c>
      <c r="L202" s="58">
        <v>2326</v>
      </c>
      <c r="M202" s="58">
        <v>2290</v>
      </c>
      <c r="N202" s="58">
        <v>2324</v>
      </c>
      <c r="O202" s="58">
        <v>2312</v>
      </c>
      <c r="Q202" s="729" t="s">
        <v>1011</v>
      </c>
    </row>
    <row r="203" spans="1:17">
      <c r="A203" s="729" t="s">
        <v>5439</v>
      </c>
      <c r="B203" s="729" t="s">
        <v>2799</v>
      </c>
      <c r="C203" s="55" t="s">
        <v>10353</v>
      </c>
      <c r="D203" s="158">
        <v>0</v>
      </c>
      <c r="E203" s="158">
        <v>0</v>
      </c>
      <c r="F203" s="158">
        <v>0</v>
      </c>
      <c r="G203" s="56">
        <v>0</v>
      </c>
      <c r="H203" s="56">
        <v>0</v>
      </c>
      <c r="I203" s="58">
        <v>2392</v>
      </c>
      <c r="J203" s="58">
        <v>2404</v>
      </c>
      <c r="K203" s="58">
        <v>2483</v>
      </c>
      <c r="L203" s="58">
        <v>2438</v>
      </c>
      <c r="M203" s="58">
        <v>2441</v>
      </c>
      <c r="N203" s="58">
        <v>2512</v>
      </c>
      <c r="O203" s="58">
        <v>2496</v>
      </c>
      <c r="Q203" s="729" t="s">
        <v>1011</v>
      </c>
    </row>
    <row r="204" spans="1:17">
      <c r="A204" s="729" t="s">
        <v>5441</v>
      </c>
      <c r="B204" s="729" t="s">
        <v>9913</v>
      </c>
      <c r="C204" s="55" t="s">
        <v>10354</v>
      </c>
      <c r="D204" s="158">
        <v>0</v>
      </c>
      <c r="E204" s="158">
        <v>0</v>
      </c>
      <c r="F204" s="158">
        <v>0</v>
      </c>
      <c r="G204" s="56">
        <v>0</v>
      </c>
      <c r="H204" s="56">
        <v>0</v>
      </c>
      <c r="I204" s="58">
        <v>4473</v>
      </c>
      <c r="J204" s="58">
        <v>4429</v>
      </c>
      <c r="K204" s="58">
        <v>4514</v>
      </c>
      <c r="L204" s="58">
        <v>4480</v>
      </c>
      <c r="M204" s="58">
        <v>4439</v>
      </c>
      <c r="N204" s="58">
        <v>4501</v>
      </c>
      <c r="O204" s="58">
        <v>4477</v>
      </c>
      <c r="Q204" s="729" t="s">
        <v>1011</v>
      </c>
    </row>
    <row r="205" spans="1:17">
      <c r="A205" s="729" t="s">
        <v>5886</v>
      </c>
      <c r="B205" s="729" t="s">
        <v>2800</v>
      </c>
      <c r="C205" s="55" t="s">
        <v>10355</v>
      </c>
      <c r="D205" s="158">
        <v>0</v>
      </c>
      <c r="E205" s="158">
        <v>0</v>
      </c>
      <c r="F205" s="158">
        <v>0</v>
      </c>
      <c r="G205" s="58">
        <v>0</v>
      </c>
      <c r="H205" s="58">
        <v>0</v>
      </c>
      <c r="I205" s="58">
        <v>4518</v>
      </c>
      <c r="J205" s="58">
        <v>4480</v>
      </c>
      <c r="K205" s="58">
        <v>4597</v>
      </c>
      <c r="L205" s="58">
        <v>4583</v>
      </c>
      <c r="M205" s="58">
        <v>4513</v>
      </c>
      <c r="N205" s="58">
        <v>4628</v>
      </c>
      <c r="O205" s="58">
        <v>4610</v>
      </c>
      <c r="Q205" s="729" t="s">
        <v>1011</v>
      </c>
    </row>
    <row r="206" spans="1:17">
      <c r="A206" s="729" t="s">
        <v>5888</v>
      </c>
      <c r="B206" s="729" t="s">
        <v>9914</v>
      </c>
      <c r="C206" s="730" t="s">
        <v>14736</v>
      </c>
      <c r="D206" s="158">
        <v>0</v>
      </c>
      <c r="E206" s="158">
        <v>0</v>
      </c>
      <c r="F206" s="158">
        <v>0</v>
      </c>
      <c r="G206" s="58">
        <v>0</v>
      </c>
      <c r="H206" s="58">
        <v>0</v>
      </c>
      <c r="I206" s="58">
        <v>4146</v>
      </c>
      <c r="J206" s="58">
        <v>4147</v>
      </c>
      <c r="K206" s="58">
        <v>4285</v>
      </c>
      <c r="L206" s="58">
        <v>4277</v>
      </c>
      <c r="M206" s="58">
        <v>4236</v>
      </c>
      <c r="N206" s="58">
        <v>4466</v>
      </c>
      <c r="O206" s="58">
        <v>4459</v>
      </c>
      <c r="Q206" s="729" t="s">
        <v>3109</v>
      </c>
    </row>
    <row r="207" spans="1:17">
      <c r="A207" s="729" t="s">
        <v>5889</v>
      </c>
      <c r="B207" s="729" t="s">
        <v>2801</v>
      </c>
      <c r="C207" s="730" t="s">
        <v>14737</v>
      </c>
      <c r="D207" s="158">
        <v>0</v>
      </c>
      <c r="E207" s="158">
        <v>0</v>
      </c>
      <c r="F207" s="158">
        <v>0</v>
      </c>
      <c r="G207" s="58">
        <v>0</v>
      </c>
      <c r="H207" s="58">
        <v>0</v>
      </c>
      <c r="I207" s="58">
        <v>4807</v>
      </c>
      <c r="J207" s="58">
        <v>4759</v>
      </c>
      <c r="K207" s="58">
        <v>4869</v>
      </c>
      <c r="L207" s="58">
        <v>4888</v>
      </c>
      <c r="M207" s="58">
        <v>4842</v>
      </c>
      <c r="N207" s="58">
        <v>5087</v>
      </c>
      <c r="O207" s="58">
        <v>5088</v>
      </c>
      <c r="Q207" s="729" t="s">
        <v>3109</v>
      </c>
    </row>
    <row r="208" spans="1:17">
      <c r="A208" s="729" t="s">
        <v>4431</v>
      </c>
      <c r="B208" s="729" t="s">
        <v>2802</v>
      </c>
      <c r="C208" s="55" t="s">
        <v>10356</v>
      </c>
      <c r="D208" s="158">
        <v>0</v>
      </c>
      <c r="E208" s="158">
        <v>0</v>
      </c>
      <c r="F208" s="158">
        <v>0</v>
      </c>
      <c r="G208" s="58">
        <v>0</v>
      </c>
      <c r="H208" s="58">
        <v>0</v>
      </c>
      <c r="I208" s="58">
        <v>4287</v>
      </c>
      <c r="J208" s="58">
        <v>4260</v>
      </c>
      <c r="K208" s="58">
        <v>4570</v>
      </c>
      <c r="L208" s="58">
        <v>4575</v>
      </c>
      <c r="M208" s="58">
        <v>4517</v>
      </c>
      <c r="N208" s="58">
        <v>4600</v>
      </c>
      <c r="O208" s="58">
        <v>4556</v>
      </c>
      <c r="Q208" s="729" t="s">
        <v>3109</v>
      </c>
    </row>
    <row r="209" spans="1:17">
      <c r="A209" s="729" t="s">
        <v>4432</v>
      </c>
      <c r="B209" s="729" t="s">
        <v>2803</v>
      </c>
      <c r="C209" s="55" t="s">
        <v>10357</v>
      </c>
      <c r="D209" s="158">
        <v>0</v>
      </c>
      <c r="E209" s="158">
        <v>0</v>
      </c>
      <c r="F209" s="158">
        <v>0</v>
      </c>
      <c r="G209" s="58">
        <v>0</v>
      </c>
      <c r="H209" s="58">
        <v>0</v>
      </c>
      <c r="I209" s="58">
        <v>4969</v>
      </c>
      <c r="J209" s="58">
        <v>4801</v>
      </c>
      <c r="K209" s="58">
        <v>4957</v>
      </c>
      <c r="L209" s="58">
        <v>4981</v>
      </c>
      <c r="M209" s="58">
        <v>4894</v>
      </c>
      <c r="N209" s="58">
        <v>4902</v>
      </c>
      <c r="O209" s="58">
        <v>4889</v>
      </c>
      <c r="Q209" s="729" t="s">
        <v>3109</v>
      </c>
    </row>
    <row r="210" spans="1:17">
      <c r="A210" s="729" t="s">
        <v>4434</v>
      </c>
      <c r="B210" s="729" t="s">
        <v>2804</v>
      </c>
      <c r="C210" s="55" t="s">
        <v>10358</v>
      </c>
      <c r="D210" s="158">
        <v>0</v>
      </c>
      <c r="E210" s="158">
        <v>0</v>
      </c>
      <c r="F210" s="158">
        <v>0</v>
      </c>
      <c r="G210" s="58">
        <v>0</v>
      </c>
      <c r="H210" s="58">
        <v>0</v>
      </c>
      <c r="I210" s="58">
        <v>2144</v>
      </c>
      <c r="J210" s="58">
        <v>2110</v>
      </c>
      <c r="K210" s="58">
        <v>2139</v>
      </c>
      <c r="L210" s="58">
        <v>2114</v>
      </c>
      <c r="M210" s="58">
        <v>2136</v>
      </c>
      <c r="N210" s="58">
        <v>2133</v>
      </c>
      <c r="O210" s="58">
        <v>2127</v>
      </c>
      <c r="Q210" s="729" t="s">
        <v>1011</v>
      </c>
    </row>
    <row r="211" spans="1:17">
      <c r="D211" s="733"/>
      <c r="E211" s="733"/>
      <c r="F211" s="733"/>
      <c r="G211" s="733"/>
      <c r="H211" s="733"/>
      <c r="I211" s="733"/>
      <c r="J211" s="733"/>
      <c r="K211" s="733"/>
      <c r="L211" s="733"/>
      <c r="M211" s="733"/>
      <c r="N211" s="733"/>
      <c r="O211" s="733"/>
    </row>
    <row r="212" spans="1:17">
      <c r="A212" s="729" t="s">
        <v>1011</v>
      </c>
      <c r="D212" s="158">
        <f>SUM(D179:D186)+D189+D190+D193+D194+D196+D198+D199+SUM(D202:D205)+D210</f>
        <v>70956</v>
      </c>
      <c r="E212" s="158">
        <f>SUM(E179:E186)+E189+E190+E193+E194+E196+E198+E199+SUM(E202:E205)+E210</f>
        <v>72064</v>
      </c>
      <c r="F212" s="158">
        <f>SUM(F179:F186)+F189+F190+F193+F194+F196+F198+F199+SUM(F202:F205)+F210</f>
        <v>73291</v>
      </c>
      <c r="G212" s="158">
        <f>SUM(G179:G186)+G189+G190+G193+G194+G196+G198+G199+SUM(G202:G205)+G210</f>
        <v>74250</v>
      </c>
      <c r="H212" s="158">
        <f>SUM(H179:H186)+H189+H190+H193+H194+H196+H198+H199+SUM(H202:H205)+H210</f>
        <v>73673</v>
      </c>
      <c r="I212" s="158">
        <f t="shared" ref="I212:N212" si="144">SUM(I179:I186)+I189+I190+I193+I194+I196+I198+I199+SUM(I202:I205)+I210</f>
        <v>73239</v>
      </c>
      <c r="J212" s="158">
        <f t="shared" si="144"/>
        <v>72892</v>
      </c>
      <c r="K212" s="158">
        <f t="shared" si="144"/>
        <v>74932</v>
      </c>
      <c r="L212" s="158">
        <f t="shared" si="144"/>
        <v>74579</v>
      </c>
      <c r="M212" s="158">
        <f t="shared" si="144"/>
        <v>73903</v>
      </c>
      <c r="N212" s="158">
        <f t="shared" si="144"/>
        <v>75169</v>
      </c>
      <c r="O212" s="158">
        <f>SUM(O179:O186)+O189+O190+O193+O194+O196+O198+O199+SUM(O202:O205)+O210</f>
        <v>74835</v>
      </c>
    </row>
    <row r="213" spans="1:17">
      <c r="A213" s="729" t="s">
        <v>2805</v>
      </c>
      <c r="D213" s="158">
        <f>D187+D191+D195+D197+D200+SUM(D206:D209)</f>
        <v>35833</v>
      </c>
      <c r="E213" s="158">
        <f>E187+E191+E195+E197+E200+SUM(E206:E209)</f>
        <v>36338</v>
      </c>
      <c r="F213" s="158">
        <f>F187+F191+F195+F197+F200+SUM(F206:F209)</f>
        <v>36833</v>
      </c>
      <c r="G213" s="158">
        <f>G187+G191+G195+G197+G200+SUM(G206:G209)</f>
        <v>37069</v>
      </c>
      <c r="H213" s="158">
        <f>H187+H191+H195+H197+H200+SUM(H206:H209)</f>
        <v>36780</v>
      </c>
      <c r="I213" s="158">
        <f t="shared" ref="I213:N213" si="145">I187+I191+I195+I197+I200+SUM(I206:I209)</f>
        <v>36311</v>
      </c>
      <c r="J213" s="158">
        <f t="shared" si="145"/>
        <v>35974</v>
      </c>
      <c r="K213" s="158">
        <f t="shared" si="145"/>
        <v>36990</v>
      </c>
      <c r="L213" s="158">
        <f t="shared" si="145"/>
        <v>36849</v>
      </c>
      <c r="M213" s="158">
        <f t="shared" si="145"/>
        <v>36643</v>
      </c>
      <c r="N213" s="158">
        <f t="shared" si="145"/>
        <v>37520</v>
      </c>
      <c r="O213" s="158">
        <f>O187+O191+O195+O197+O200+SUM(O206:O209)</f>
        <v>37364</v>
      </c>
    </row>
    <row r="214" spans="1:17">
      <c r="A214" s="729"/>
      <c r="D214" s="158"/>
      <c r="E214" s="158"/>
      <c r="F214" s="158"/>
      <c r="G214" s="158"/>
      <c r="H214" s="158"/>
      <c r="I214" s="158"/>
      <c r="J214" s="158"/>
      <c r="K214" s="158"/>
      <c r="L214" s="158"/>
      <c r="M214" s="158"/>
      <c r="N214" s="158"/>
      <c r="O214" s="158"/>
    </row>
    <row r="215" spans="1:17">
      <c r="A215" s="729" t="s">
        <v>9915</v>
      </c>
      <c r="D215" s="158"/>
      <c r="E215" s="158"/>
      <c r="F215" s="158"/>
      <c r="G215" s="158"/>
      <c r="H215" s="158"/>
      <c r="I215" s="158"/>
      <c r="J215" s="158"/>
      <c r="K215" s="158"/>
      <c r="L215" s="158"/>
      <c r="M215" s="158"/>
      <c r="N215" s="158"/>
      <c r="O215" s="158"/>
    </row>
    <row r="216" spans="1:17">
      <c r="A216" s="729" t="s">
        <v>14738</v>
      </c>
      <c r="B216" s="729"/>
      <c r="D216" s="742"/>
      <c r="E216" s="742"/>
      <c r="F216" s="742"/>
      <c r="G216" s="742"/>
      <c r="H216" s="742"/>
      <c r="I216" s="742"/>
      <c r="J216" s="742"/>
      <c r="K216" s="742"/>
      <c r="L216" s="742"/>
      <c r="M216" s="742"/>
      <c r="N216" s="742"/>
      <c r="O216" s="742"/>
    </row>
    <row r="217" spans="1:17">
      <c r="A217" s="729"/>
      <c r="B217" s="729"/>
      <c r="D217" s="742"/>
      <c r="E217" s="742"/>
      <c r="F217" s="742"/>
      <c r="G217" s="742"/>
      <c r="H217" s="742"/>
      <c r="I217" s="742"/>
      <c r="J217" s="742"/>
      <c r="K217" s="742"/>
      <c r="L217" s="742"/>
      <c r="M217" s="742"/>
      <c r="N217" s="742"/>
      <c r="O217" s="742"/>
    </row>
    <row r="218" spans="1:17">
      <c r="E218" s="51" t="s">
        <v>1526</v>
      </c>
      <c r="F218" s="51"/>
      <c r="G218" s="51"/>
      <c r="H218" s="51"/>
      <c r="I218" s="51"/>
      <c r="J218" s="51"/>
      <c r="K218" s="51"/>
      <c r="L218" s="51"/>
      <c r="M218" s="51"/>
      <c r="N218" s="51"/>
      <c r="O218" s="51"/>
      <c r="P218" s="52"/>
      <c r="Q218" s="53" t="s">
        <v>9479</v>
      </c>
    </row>
    <row r="219" spans="1:17">
      <c r="D219" s="40">
        <v>2010</v>
      </c>
      <c r="E219" s="40">
        <v>2011</v>
      </c>
      <c r="F219" s="40">
        <v>2012</v>
      </c>
      <c r="G219" s="40">
        <v>2013</v>
      </c>
      <c r="H219" s="40">
        <v>2014</v>
      </c>
      <c r="I219" s="40">
        <v>2015</v>
      </c>
      <c r="J219" s="40">
        <v>2016</v>
      </c>
      <c r="K219" s="40">
        <v>2017</v>
      </c>
      <c r="L219" s="40">
        <v>2018</v>
      </c>
      <c r="M219" s="40">
        <v>2019</v>
      </c>
      <c r="N219" s="40">
        <v>2020</v>
      </c>
      <c r="O219" s="977" t="s">
        <v>14823</v>
      </c>
      <c r="Q219" s="54" t="s">
        <v>1527</v>
      </c>
    </row>
    <row r="220" spans="1:17">
      <c r="A220" s="729" t="s">
        <v>2806</v>
      </c>
      <c r="D220" s="158">
        <f t="shared" ref="D220:I220" si="146">SUM(D221:D235)</f>
        <v>55162</v>
      </c>
      <c r="E220" s="158">
        <f t="shared" si="146"/>
        <v>55692</v>
      </c>
      <c r="F220" s="158">
        <f t="shared" si="146"/>
        <v>56703</v>
      </c>
      <c r="G220" s="158">
        <f t="shared" si="146"/>
        <v>57648</v>
      </c>
      <c r="H220" s="158">
        <f t="shared" si="146"/>
        <v>57961</v>
      </c>
      <c r="I220" s="158">
        <f t="shared" si="146"/>
        <v>58154</v>
      </c>
      <c r="J220" s="158">
        <f t="shared" ref="J220:O220" si="147">SUM(J221:J235)</f>
        <v>56445</v>
      </c>
      <c r="K220" s="158">
        <f t="shared" si="147"/>
        <v>58144</v>
      </c>
      <c r="L220" s="158">
        <f t="shared" si="147"/>
        <v>57670</v>
      </c>
      <c r="M220" s="158">
        <f t="shared" si="147"/>
        <v>57500</v>
      </c>
      <c r="N220" s="158">
        <f t="shared" si="147"/>
        <v>59359</v>
      </c>
      <c r="O220" s="158">
        <f t="shared" si="147"/>
        <v>58764</v>
      </c>
    </row>
    <row r="221" spans="1:17">
      <c r="A221" s="729" t="s">
        <v>5387</v>
      </c>
      <c r="B221" s="729" t="s">
        <v>2807</v>
      </c>
      <c r="C221" s="55" t="s">
        <v>7839</v>
      </c>
      <c r="D221" s="158">
        <v>4465</v>
      </c>
      <c r="E221" s="158">
        <v>4556</v>
      </c>
      <c r="F221" s="158">
        <v>4699</v>
      </c>
      <c r="G221" s="56">
        <v>4992</v>
      </c>
      <c r="H221" s="56">
        <v>5161</v>
      </c>
      <c r="I221" s="63">
        <v>5176</v>
      </c>
      <c r="J221" s="56">
        <v>5054</v>
      </c>
      <c r="K221" s="56">
        <v>5246</v>
      </c>
      <c r="L221" s="56">
        <v>5170</v>
      </c>
      <c r="M221" s="56">
        <v>5166</v>
      </c>
      <c r="N221" s="56">
        <v>5358</v>
      </c>
      <c r="O221" s="56">
        <v>5293</v>
      </c>
      <c r="Q221" s="729" t="s">
        <v>1013</v>
      </c>
    </row>
    <row r="222" spans="1:17">
      <c r="A222" s="729" t="s">
        <v>5389</v>
      </c>
      <c r="B222" s="729" t="s">
        <v>2808</v>
      </c>
      <c r="C222" s="55" t="s">
        <v>7840</v>
      </c>
      <c r="D222" s="158">
        <v>4164</v>
      </c>
      <c r="E222" s="158">
        <v>4211</v>
      </c>
      <c r="F222" s="158">
        <v>4300</v>
      </c>
      <c r="G222" s="56">
        <v>4372</v>
      </c>
      <c r="H222" s="56">
        <v>4379</v>
      </c>
      <c r="I222" s="63">
        <v>4419</v>
      </c>
      <c r="J222" s="56">
        <v>4204</v>
      </c>
      <c r="K222" s="56">
        <v>4328</v>
      </c>
      <c r="L222" s="56">
        <v>4391</v>
      </c>
      <c r="M222" s="56">
        <v>4346</v>
      </c>
      <c r="N222" s="56">
        <v>4564</v>
      </c>
      <c r="O222" s="56">
        <v>4498</v>
      </c>
      <c r="Q222" s="729" t="s">
        <v>1013</v>
      </c>
    </row>
    <row r="223" spans="1:17">
      <c r="A223" s="729" t="s">
        <v>5391</v>
      </c>
      <c r="B223" s="729" t="s">
        <v>2809</v>
      </c>
      <c r="C223" s="55" t="s">
        <v>7841</v>
      </c>
      <c r="D223" s="158">
        <v>4899</v>
      </c>
      <c r="E223" s="158">
        <v>4973</v>
      </c>
      <c r="F223" s="158">
        <v>5178</v>
      </c>
      <c r="G223" s="56">
        <v>5262</v>
      </c>
      <c r="H223" s="56">
        <v>5311</v>
      </c>
      <c r="I223" s="63">
        <v>5349</v>
      </c>
      <c r="J223" s="56">
        <v>5096</v>
      </c>
      <c r="K223" s="56">
        <v>5328</v>
      </c>
      <c r="L223" s="56">
        <v>5259</v>
      </c>
      <c r="M223" s="56">
        <v>5301</v>
      </c>
      <c r="N223" s="56">
        <v>5539</v>
      </c>
      <c r="O223" s="56">
        <v>5470</v>
      </c>
      <c r="Q223" s="729" t="s">
        <v>1013</v>
      </c>
    </row>
    <row r="224" spans="1:17">
      <c r="A224" s="729" t="s">
        <v>5393</v>
      </c>
      <c r="B224" s="729" t="s">
        <v>2810</v>
      </c>
      <c r="C224" s="55" t="s">
        <v>7842</v>
      </c>
      <c r="D224" s="158">
        <v>4671</v>
      </c>
      <c r="E224" s="158">
        <v>4704</v>
      </c>
      <c r="F224" s="158">
        <v>4755</v>
      </c>
      <c r="G224" s="56">
        <v>4768</v>
      </c>
      <c r="H224" s="56">
        <v>4777</v>
      </c>
      <c r="I224" s="63">
        <v>4765</v>
      </c>
      <c r="J224" s="56">
        <v>4648</v>
      </c>
      <c r="K224" s="56">
        <v>4814</v>
      </c>
      <c r="L224" s="56">
        <v>4772</v>
      </c>
      <c r="M224" s="56">
        <v>4792</v>
      </c>
      <c r="N224" s="56">
        <v>4849</v>
      </c>
      <c r="O224" s="56">
        <v>4817</v>
      </c>
      <c r="Q224" s="729" t="s">
        <v>1013</v>
      </c>
    </row>
    <row r="225" spans="1:17">
      <c r="A225" s="729" t="s">
        <v>5394</v>
      </c>
      <c r="B225" s="729" t="s">
        <v>2811</v>
      </c>
      <c r="C225" s="55" t="s">
        <v>7843</v>
      </c>
      <c r="D225" s="158">
        <v>2915</v>
      </c>
      <c r="E225" s="158">
        <v>2940</v>
      </c>
      <c r="F225" s="158">
        <v>2952</v>
      </c>
      <c r="G225" s="56">
        <v>2988</v>
      </c>
      <c r="H225" s="56">
        <v>2968</v>
      </c>
      <c r="I225" s="63">
        <v>2980</v>
      </c>
      <c r="J225" s="56">
        <v>2970</v>
      </c>
      <c r="K225" s="56">
        <v>3043</v>
      </c>
      <c r="L225" s="56">
        <v>3022</v>
      </c>
      <c r="M225" s="56">
        <v>3013</v>
      </c>
      <c r="N225" s="56">
        <v>3125</v>
      </c>
      <c r="O225" s="56">
        <v>3107</v>
      </c>
      <c r="Q225" s="729" t="s">
        <v>1013</v>
      </c>
    </row>
    <row r="226" spans="1:17">
      <c r="A226" s="729" t="s">
        <v>5416</v>
      </c>
      <c r="B226" s="729" t="s">
        <v>2820</v>
      </c>
      <c r="C226" s="55" t="s">
        <v>7844</v>
      </c>
      <c r="D226" s="158">
        <v>2870</v>
      </c>
      <c r="E226" s="158">
        <v>2885</v>
      </c>
      <c r="F226" s="158">
        <v>2920</v>
      </c>
      <c r="G226" s="56">
        <v>2919</v>
      </c>
      <c r="H226" s="56">
        <v>2950</v>
      </c>
      <c r="I226" s="63">
        <v>2969</v>
      </c>
      <c r="J226" s="56">
        <v>2950</v>
      </c>
      <c r="K226" s="56">
        <v>3013</v>
      </c>
      <c r="L226" s="56">
        <v>2999</v>
      </c>
      <c r="M226" s="56">
        <v>2963</v>
      </c>
      <c r="N226" s="56">
        <v>3009</v>
      </c>
      <c r="O226" s="56">
        <v>2967</v>
      </c>
      <c r="Q226" s="729" t="s">
        <v>1013</v>
      </c>
    </row>
    <row r="227" spans="1:17">
      <c r="A227" s="729" t="s">
        <v>5418</v>
      </c>
      <c r="B227" s="729" t="s">
        <v>2821</v>
      </c>
      <c r="C227" s="55" t="s">
        <v>7845</v>
      </c>
      <c r="D227" s="158">
        <v>2853</v>
      </c>
      <c r="E227" s="158">
        <v>2851</v>
      </c>
      <c r="F227" s="158">
        <v>2920</v>
      </c>
      <c r="G227" s="56">
        <v>2946</v>
      </c>
      <c r="H227" s="56">
        <v>2937</v>
      </c>
      <c r="I227" s="63">
        <v>2932</v>
      </c>
      <c r="J227" s="56">
        <v>2873</v>
      </c>
      <c r="K227" s="56">
        <v>2944</v>
      </c>
      <c r="L227" s="56">
        <v>2945</v>
      </c>
      <c r="M227" s="56">
        <v>2941</v>
      </c>
      <c r="N227" s="56">
        <v>3030</v>
      </c>
      <c r="O227" s="56">
        <v>2997</v>
      </c>
      <c r="Q227" s="729" t="s">
        <v>1013</v>
      </c>
    </row>
    <row r="228" spans="1:17">
      <c r="A228" s="729" t="s">
        <v>5420</v>
      </c>
      <c r="B228" s="729" t="s">
        <v>2822</v>
      </c>
      <c r="C228" s="55" t="s">
        <v>7846</v>
      </c>
      <c r="D228" s="158">
        <v>3085</v>
      </c>
      <c r="E228" s="158">
        <v>3079</v>
      </c>
      <c r="F228" s="158">
        <v>3176</v>
      </c>
      <c r="G228" s="56">
        <v>3242</v>
      </c>
      <c r="H228" s="56">
        <v>3232</v>
      </c>
      <c r="I228" s="63">
        <v>3225</v>
      </c>
      <c r="J228" s="56">
        <v>3085</v>
      </c>
      <c r="K228" s="56">
        <v>3180</v>
      </c>
      <c r="L228" s="56">
        <v>3125</v>
      </c>
      <c r="M228" s="56">
        <v>3080</v>
      </c>
      <c r="N228" s="56">
        <v>3175</v>
      </c>
      <c r="O228" s="56">
        <v>3147</v>
      </c>
      <c r="Q228" s="729" t="s">
        <v>1013</v>
      </c>
    </row>
    <row r="229" spans="1:17">
      <c r="A229" s="729" t="s">
        <v>5422</v>
      </c>
      <c r="B229" s="729" t="s">
        <v>2823</v>
      </c>
      <c r="C229" s="55" t="s">
        <v>7847</v>
      </c>
      <c r="D229" s="158">
        <v>3031</v>
      </c>
      <c r="E229" s="158">
        <v>3047</v>
      </c>
      <c r="F229" s="158">
        <v>3062</v>
      </c>
      <c r="G229" s="56">
        <v>3090</v>
      </c>
      <c r="H229" s="56">
        <v>3105</v>
      </c>
      <c r="I229" s="63">
        <v>3127</v>
      </c>
      <c r="J229" s="56">
        <v>3029</v>
      </c>
      <c r="K229" s="56">
        <v>3080</v>
      </c>
      <c r="L229" s="56">
        <v>3010</v>
      </c>
      <c r="M229" s="56">
        <v>2969</v>
      </c>
      <c r="N229" s="56">
        <v>3034</v>
      </c>
      <c r="O229" s="56">
        <v>3009</v>
      </c>
      <c r="Q229" s="729" t="s">
        <v>1013</v>
      </c>
    </row>
    <row r="230" spans="1:17">
      <c r="A230" s="729" t="s">
        <v>5424</v>
      </c>
      <c r="B230" s="729" t="s">
        <v>2824</v>
      </c>
      <c r="C230" s="55" t="s">
        <v>7848</v>
      </c>
      <c r="D230" s="158">
        <v>4697</v>
      </c>
      <c r="E230" s="158">
        <v>4769</v>
      </c>
      <c r="F230" s="158">
        <v>4813</v>
      </c>
      <c r="G230" s="56">
        <v>4883</v>
      </c>
      <c r="H230" s="56">
        <v>4893</v>
      </c>
      <c r="I230" s="63">
        <v>4907</v>
      </c>
      <c r="J230" s="56">
        <v>4795</v>
      </c>
      <c r="K230" s="56">
        <v>4906</v>
      </c>
      <c r="L230" s="56">
        <v>4896</v>
      </c>
      <c r="M230" s="56">
        <v>4915</v>
      </c>
      <c r="N230" s="56">
        <v>5118</v>
      </c>
      <c r="O230" s="56">
        <v>5076</v>
      </c>
      <c r="Q230" s="729" t="s">
        <v>1013</v>
      </c>
    </row>
    <row r="231" spans="1:17">
      <c r="A231" s="729" t="s">
        <v>5426</v>
      </c>
      <c r="B231" s="729" t="s">
        <v>2825</v>
      </c>
      <c r="C231" s="55" t="s">
        <v>7849</v>
      </c>
      <c r="D231" s="158">
        <v>4535</v>
      </c>
      <c r="E231" s="158">
        <v>4553</v>
      </c>
      <c r="F231" s="158">
        <v>4576</v>
      </c>
      <c r="G231" s="56">
        <v>4711</v>
      </c>
      <c r="H231" s="56">
        <v>4710</v>
      </c>
      <c r="I231" s="63">
        <v>4712</v>
      </c>
      <c r="J231" s="56">
        <v>4497</v>
      </c>
      <c r="K231" s="56">
        <v>4595</v>
      </c>
      <c r="L231" s="56">
        <v>4515</v>
      </c>
      <c r="M231" s="56">
        <v>4519</v>
      </c>
      <c r="N231" s="56">
        <v>4644</v>
      </c>
      <c r="O231" s="56">
        <v>4579</v>
      </c>
      <c r="Q231" s="729" t="s">
        <v>1013</v>
      </c>
    </row>
    <row r="232" spans="1:17">
      <c r="A232" s="729" t="s">
        <v>5428</v>
      </c>
      <c r="B232" s="729" t="s">
        <v>2826</v>
      </c>
      <c r="C232" s="55" t="s">
        <v>7850</v>
      </c>
      <c r="D232" s="158">
        <v>4185</v>
      </c>
      <c r="E232" s="158">
        <v>4167</v>
      </c>
      <c r="F232" s="158">
        <v>4237</v>
      </c>
      <c r="G232" s="56">
        <v>4280</v>
      </c>
      <c r="H232" s="56">
        <v>4250</v>
      </c>
      <c r="I232" s="63">
        <v>4259</v>
      </c>
      <c r="J232" s="56">
        <v>4187</v>
      </c>
      <c r="K232" s="56">
        <v>4266</v>
      </c>
      <c r="L232" s="56">
        <v>4201</v>
      </c>
      <c r="M232" s="56">
        <v>4180</v>
      </c>
      <c r="N232" s="56">
        <v>4315</v>
      </c>
      <c r="O232" s="56">
        <v>4282</v>
      </c>
      <c r="Q232" s="729" t="s">
        <v>1013</v>
      </c>
    </row>
    <row r="233" spans="1:17">
      <c r="A233" s="729" t="s">
        <v>5429</v>
      </c>
      <c r="B233" s="729" t="s">
        <v>2827</v>
      </c>
      <c r="C233" s="55" t="s">
        <v>7851</v>
      </c>
      <c r="D233" s="158">
        <v>1388</v>
      </c>
      <c r="E233" s="158">
        <v>1407</v>
      </c>
      <c r="F233" s="158">
        <v>1422</v>
      </c>
      <c r="G233" s="56">
        <v>1448</v>
      </c>
      <c r="H233" s="56">
        <v>1475</v>
      </c>
      <c r="I233" s="63">
        <v>1480</v>
      </c>
      <c r="J233" s="56">
        <v>1437</v>
      </c>
      <c r="K233" s="56">
        <v>1489</v>
      </c>
      <c r="L233" s="56">
        <v>1500</v>
      </c>
      <c r="M233" s="56">
        <v>1484</v>
      </c>
      <c r="N233" s="56">
        <v>1502</v>
      </c>
      <c r="O233" s="56">
        <v>1481</v>
      </c>
      <c r="Q233" s="729" t="s">
        <v>1013</v>
      </c>
    </row>
    <row r="234" spans="1:17">
      <c r="A234" s="729" t="s">
        <v>5431</v>
      </c>
      <c r="B234" s="729" t="s">
        <v>2828</v>
      </c>
      <c r="C234" s="55" t="s">
        <v>7852</v>
      </c>
      <c r="D234" s="158">
        <v>3032</v>
      </c>
      <c r="E234" s="158">
        <v>3042</v>
      </c>
      <c r="F234" s="158">
        <v>3084</v>
      </c>
      <c r="G234" s="56">
        <v>3102</v>
      </c>
      <c r="H234" s="56">
        <v>3152</v>
      </c>
      <c r="I234" s="63">
        <v>3159</v>
      </c>
      <c r="J234" s="56">
        <v>3115</v>
      </c>
      <c r="K234" s="56">
        <v>3191</v>
      </c>
      <c r="L234" s="56">
        <v>3182</v>
      </c>
      <c r="M234" s="56">
        <v>3147</v>
      </c>
      <c r="N234" s="56">
        <v>3178</v>
      </c>
      <c r="O234" s="56">
        <v>3155</v>
      </c>
      <c r="Q234" s="729" t="s">
        <v>1013</v>
      </c>
    </row>
    <row r="235" spans="1:17">
      <c r="A235" s="729" t="s">
        <v>5433</v>
      </c>
      <c r="B235" s="729" t="s">
        <v>2829</v>
      </c>
      <c r="C235" s="55" t="s">
        <v>7853</v>
      </c>
      <c r="D235" s="158">
        <v>4372</v>
      </c>
      <c r="E235" s="158">
        <v>4508</v>
      </c>
      <c r="F235" s="158">
        <v>4609</v>
      </c>
      <c r="G235" s="56">
        <v>4645</v>
      </c>
      <c r="H235" s="56">
        <v>4661</v>
      </c>
      <c r="I235" s="63">
        <v>4695</v>
      </c>
      <c r="J235" s="56">
        <v>4505</v>
      </c>
      <c r="K235" s="56">
        <v>4721</v>
      </c>
      <c r="L235" s="56">
        <v>4683</v>
      </c>
      <c r="M235" s="56">
        <v>4684</v>
      </c>
      <c r="N235" s="56">
        <v>4919</v>
      </c>
      <c r="O235" s="56">
        <v>4886</v>
      </c>
      <c r="Q235" s="729" t="s">
        <v>1013</v>
      </c>
    </row>
    <row r="236" spans="1:17">
      <c r="D236" s="733"/>
      <c r="E236" s="733"/>
      <c r="F236" s="733"/>
      <c r="G236" s="733"/>
      <c r="H236" s="733"/>
      <c r="I236" s="733"/>
      <c r="J236" s="733"/>
      <c r="K236" s="733"/>
      <c r="L236" s="733"/>
      <c r="M236" s="733"/>
      <c r="N236" s="733"/>
      <c r="O236" s="733"/>
    </row>
    <row r="237" spans="1:17">
      <c r="A237" s="729" t="s">
        <v>2830</v>
      </c>
      <c r="D237" s="158">
        <f t="shared" ref="D237:I237" si="148">SUM(D221:D235)</f>
        <v>55162</v>
      </c>
      <c r="E237" s="158">
        <f t="shared" si="148"/>
        <v>55692</v>
      </c>
      <c r="F237" s="158">
        <f t="shared" si="148"/>
        <v>56703</v>
      </c>
      <c r="G237" s="158">
        <f t="shared" si="148"/>
        <v>57648</v>
      </c>
      <c r="H237" s="158">
        <f t="shared" si="148"/>
        <v>57961</v>
      </c>
      <c r="I237" s="158">
        <f t="shared" si="148"/>
        <v>58154</v>
      </c>
      <c r="J237" s="158">
        <f t="shared" ref="J237:O237" si="149">SUM(J221:J235)</f>
        <v>56445</v>
      </c>
      <c r="K237" s="158">
        <f t="shared" si="149"/>
        <v>58144</v>
      </c>
      <c r="L237" s="158">
        <f t="shared" si="149"/>
        <v>57670</v>
      </c>
      <c r="M237" s="158">
        <f t="shared" si="149"/>
        <v>57500</v>
      </c>
      <c r="N237" s="158">
        <f t="shared" si="149"/>
        <v>59359</v>
      </c>
      <c r="O237" s="158">
        <f t="shared" si="149"/>
        <v>58764</v>
      </c>
    </row>
    <row r="238" spans="1:17">
      <c r="A238" s="729"/>
      <c r="D238" s="158"/>
      <c r="E238" s="158"/>
      <c r="F238" s="158"/>
      <c r="G238" s="158"/>
      <c r="H238" s="158"/>
      <c r="I238" s="158"/>
      <c r="J238" s="158"/>
      <c r="K238" s="158"/>
      <c r="L238" s="158"/>
      <c r="M238" s="158"/>
      <c r="N238" s="158"/>
      <c r="O238" s="158"/>
    </row>
    <row r="239" spans="1:17">
      <c r="A239" s="729" t="s">
        <v>1475</v>
      </c>
      <c r="D239" s="158"/>
      <c r="E239" s="158"/>
      <c r="F239" s="158"/>
      <c r="G239" s="158"/>
      <c r="H239" s="158"/>
      <c r="I239" s="158"/>
      <c r="J239" s="158"/>
      <c r="K239" s="158"/>
      <c r="L239" s="158"/>
      <c r="M239" s="158"/>
      <c r="N239" s="158"/>
      <c r="O239" s="158"/>
    </row>
    <row r="240" spans="1:17">
      <c r="A240" s="729"/>
      <c r="B240" s="729"/>
      <c r="D240" s="742"/>
      <c r="E240" s="742"/>
      <c r="F240" s="742"/>
      <c r="G240" s="742"/>
      <c r="H240" s="742"/>
      <c r="I240" s="742"/>
      <c r="J240" s="742"/>
      <c r="K240" s="742"/>
      <c r="L240" s="742"/>
      <c r="M240" s="742"/>
      <c r="N240" s="742"/>
      <c r="O240" s="742"/>
    </row>
    <row r="241" spans="1:17">
      <c r="A241" s="729"/>
      <c r="B241" s="729"/>
      <c r="D241" s="742"/>
      <c r="E241" s="742"/>
      <c r="F241" s="742"/>
      <c r="G241" s="742"/>
      <c r="H241" s="742"/>
      <c r="I241" s="742"/>
      <c r="J241" s="742"/>
      <c r="K241" s="742"/>
      <c r="L241" s="742"/>
      <c r="M241" s="742"/>
      <c r="N241" s="742"/>
      <c r="O241" s="742"/>
    </row>
    <row r="242" spans="1:17">
      <c r="D242" s="51"/>
      <c r="E242" s="51" t="s">
        <v>1526</v>
      </c>
      <c r="F242" s="51"/>
      <c r="G242" s="51"/>
      <c r="H242" s="51"/>
      <c r="I242" s="51"/>
      <c r="J242" s="51"/>
      <c r="K242" s="51"/>
      <c r="L242" s="51"/>
      <c r="M242" s="51"/>
      <c r="N242" s="51"/>
      <c r="O242" s="51"/>
      <c r="P242" s="52"/>
      <c r="Q242" s="53" t="s">
        <v>9479</v>
      </c>
    </row>
    <row r="243" spans="1:17">
      <c r="D243" s="40">
        <v>2010</v>
      </c>
      <c r="E243" s="40">
        <v>2011</v>
      </c>
      <c r="F243" s="40">
        <v>2012</v>
      </c>
      <c r="G243" s="40">
        <v>2013</v>
      </c>
      <c r="H243" s="40">
        <v>2014</v>
      </c>
      <c r="I243" s="40">
        <v>2015</v>
      </c>
      <c r="J243" s="40">
        <v>2016</v>
      </c>
      <c r="K243" s="40">
        <v>2017</v>
      </c>
      <c r="L243" s="40">
        <v>2018</v>
      </c>
      <c r="M243" s="40">
        <v>2019</v>
      </c>
      <c r="N243" s="40">
        <v>2020</v>
      </c>
      <c r="O243" s="977" t="s">
        <v>14823</v>
      </c>
      <c r="Q243" s="54" t="s">
        <v>1527</v>
      </c>
    </row>
    <row r="244" spans="1:17">
      <c r="A244" s="729" t="s">
        <v>1476</v>
      </c>
      <c r="D244" s="158">
        <f t="shared" ref="D244:I244" si="150">SUM(D245:D258)</f>
        <v>67689</v>
      </c>
      <c r="E244" s="158">
        <f t="shared" si="150"/>
        <v>64562</v>
      </c>
      <c r="F244" s="158">
        <f t="shared" si="150"/>
        <v>66697</v>
      </c>
      <c r="G244" s="158">
        <f t="shared" si="150"/>
        <v>67284</v>
      </c>
      <c r="H244" s="158">
        <f t="shared" si="150"/>
        <v>68085</v>
      </c>
      <c r="I244" s="158">
        <f t="shared" si="150"/>
        <v>67461</v>
      </c>
      <c r="J244" s="158">
        <f t="shared" ref="J244:O244" si="151">SUM(J245:J258)</f>
        <v>67541</v>
      </c>
      <c r="K244" s="158">
        <f t="shared" si="151"/>
        <v>68558</v>
      </c>
      <c r="L244" s="158">
        <f t="shared" si="151"/>
        <v>69147</v>
      </c>
      <c r="M244" s="158">
        <f t="shared" si="151"/>
        <v>68597</v>
      </c>
      <c r="N244" s="158">
        <f t="shared" si="151"/>
        <v>69579</v>
      </c>
      <c r="O244" s="158">
        <f t="shared" si="151"/>
        <v>69309</v>
      </c>
    </row>
    <row r="245" spans="1:17">
      <c r="A245" s="729" t="s">
        <v>5387</v>
      </c>
      <c r="B245" s="729" t="s">
        <v>6682</v>
      </c>
      <c r="C245" s="55" t="s">
        <v>7854</v>
      </c>
      <c r="D245" s="158">
        <v>5154</v>
      </c>
      <c r="E245" s="158">
        <v>5018</v>
      </c>
      <c r="F245" s="158">
        <v>5161</v>
      </c>
      <c r="G245" s="56">
        <v>5223</v>
      </c>
      <c r="H245" s="56">
        <v>5280</v>
      </c>
      <c r="I245" s="56">
        <v>5280</v>
      </c>
      <c r="J245" s="56">
        <v>5311</v>
      </c>
      <c r="K245" s="56">
        <v>5317</v>
      </c>
      <c r="L245" s="56">
        <v>5370</v>
      </c>
      <c r="M245" s="56">
        <v>5289</v>
      </c>
      <c r="N245" s="56">
        <v>5347</v>
      </c>
      <c r="O245" s="56">
        <v>5333</v>
      </c>
      <c r="Q245" s="729" t="s">
        <v>1756</v>
      </c>
    </row>
    <row r="246" spans="1:17">
      <c r="A246" s="729" t="s">
        <v>5389</v>
      </c>
      <c r="B246" s="729" t="s">
        <v>1477</v>
      </c>
      <c r="C246" s="55" t="s">
        <v>7855</v>
      </c>
      <c r="D246" s="158">
        <v>5131</v>
      </c>
      <c r="E246" s="158">
        <v>5003</v>
      </c>
      <c r="F246" s="158">
        <v>5119</v>
      </c>
      <c r="G246" s="56">
        <v>5135</v>
      </c>
      <c r="H246" s="56">
        <v>5224</v>
      </c>
      <c r="I246" s="56">
        <v>5157</v>
      </c>
      <c r="J246" s="56">
        <v>5133</v>
      </c>
      <c r="K246" s="56">
        <v>5221</v>
      </c>
      <c r="L246" s="56">
        <v>5239</v>
      </c>
      <c r="M246" s="56">
        <v>5244</v>
      </c>
      <c r="N246" s="56">
        <v>5316</v>
      </c>
      <c r="O246" s="56">
        <v>5286</v>
      </c>
      <c r="Q246" s="729" t="s">
        <v>1756</v>
      </c>
    </row>
    <row r="247" spans="1:17">
      <c r="A247" s="729" t="s">
        <v>5391</v>
      </c>
      <c r="B247" s="729" t="s">
        <v>1478</v>
      </c>
      <c r="C247" s="55" t="s">
        <v>7856</v>
      </c>
      <c r="D247" s="158">
        <v>4886</v>
      </c>
      <c r="E247" s="158">
        <v>4636</v>
      </c>
      <c r="F247" s="158">
        <v>4830</v>
      </c>
      <c r="G247" s="56">
        <v>4943</v>
      </c>
      <c r="H247" s="56">
        <v>4990</v>
      </c>
      <c r="I247" s="56">
        <v>4977</v>
      </c>
      <c r="J247" s="56">
        <v>4959</v>
      </c>
      <c r="K247" s="56">
        <v>5038</v>
      </c>
      <c r="L247" s="56">
        <v>5118</v>
      </c>
      <c r="M247" s="56">
        <v>5077</v>
      </c>
      <c r="N247" s="56">
        <v>5112</v>
      </c>
      <c r="O247" s="56">
        <v>5076</v>
      </c>
      <c r="Q247" s="729" t="s">
        <v>1756</v>
      </c>
    </row>
    <row r="248" spans="1:17">
      <c r="A248" s="729" t="s">
        <v>5393</v>
      </c>
      <c r="B248" s="729" t="s">
        <v>1479</v>
      </c>
      <c r="C248" s="55" t="s">
        <v>7857</v>
      </c>
      <c r="D248" s="158">
        <v>4862</v>
      </c>
      <c r="E248" s="158">
        <v>4587</v>
      </c>
      <c r="F248" s="158">
        <v>4725</v>
      </c>
      <c r="G248" s="56">
        <v>4736</v>
      </c>
      <c r="H248" s="56">
        <v>4817</v>
      </c>
      <c r="I248" s="56">
        <v>4746</v>
      </c>
      <c r="J248" s="56">
        <v>4740</v>
      </c>
      <c r="K248" s="56">
        <v>4866</v>
      </c>
      <c r="L248" s="56">
        <v>4833</v>
      </c>
      <c r="M248" s="56">
        <v>4750</v>
      </c>
      <c r="N248" s="56">
        <v>4820</v>
      </c>
      <c r="O248" s="56">
        <v>4815</v>
      </c>
      <c r="Q248" s="729" t="s">
        <v>1756</v>
      </c>
    </row>
    <row r="249" spans="1:17">
      <c r="A249" s="729" t="s">
        <v>5394</v>
      </c>
      <c r="B249" s="729" t="s">
        <v>1480</v>
      </c>
      <c r="C249" s="55" t="s">
        <v>7858</v>
      </c>
      <c r="D249" s="158">
        <v>5259</v>
      </c>
      <c r="E249" s="158">
        <v>4962</v>
      </c>
      <c r="F249" s="158">
        <v>5112</v>
      </c>
      <c r="G249" s="56">
        <v>5102</v>
      </c>
      <c r="H249" s="56">
        <v>5153</v>
      </c>
      <c r="I249" s="56">
        <v>5138</v>
      </c>
      <c r="J249" s="56">
        <v>5090</v>
      </c>
      <c r="K249" s="56">
        <v>5215</v>
      </c>
      <c r="L249" s="56">
        <v>5230</v>
      </c>
      <c r="M249" s="56">
        <v>5207</v>
      </c>
      <c r="N249" s="56">
        <v>5287</v>
      </c>
      <c r="O249" s="56">
        <v>5266</v>
      </c>
      <c r="Q249" s="729" t="s">
        <v>1756</v>
      </c>
    </row>
    <row r="250" spans="1:17">
      <c r="A250" s="729" t="s">
        <v>5416</v>
      </c>
      <c r="B250" s="729" t="s">
        <v>1481</v>
      </c>
      <c r="C250" s="55" t="s">
        <v>7859</v>
      </c>
      <c r="D250" s="158">
        <v>4967</v>
      </c>
      <c r="E250" s="158">
        <v>4701</v>
      </c>
      <c r="F250" s="158">
        <v>4851</v>
      </c>
      <c r="G250" s="56">
        <v>4887</v>
      </c>
      <c r="H250" s="56">
        <v>4975</v>
      </c>
      <c r="I250" s="56">
        <v>4930</v>
      </c>
      <c r="J250" s="56">
        <v>4960</v>
      </c>
      <c r="K250" s="56">
        <v>5062</v>
      </c>
      <c r="L250" s="56">
        <v>5083</v>
      </c>
      <c r="M250" s="56">
        <v>5024</v>
      </c>
      <c r="N250" s="56">
        <v>5085</v>
      </c>
      <c r="O250" s="56">
        <v>5093</v>
      </c>
      <c r="Q250" s="729" t="s">
        <v>1756</v>
      </c>
    </row>
    <row r="251" spans="1:17">
      <c r="A251" s="729" t="s">
        <v>5418</v>
      </c>
      <c r="B251" s="729" t="s">
        <v>1482</v>
      </c>
      <c r="C251" s="55" t="s">
        <v>7860</v>
      </c>
      <c r="D251" s="158">
        <v>3592</v>
      </c>
      <c r="E251" s="158">
        <v>3394</v>
      </c>
      <c r="F251" s="158">
        <v>3521</v>
      </c>
      <c r="G251" s="56">
        <v>3617</v>
      </c>
      <c r="H251" s="56">
        <v>3763</v>
      </c>
      <c r="I251" s="56">
        <v>3704</v>
      </c>
      <c r="J251" s="56">
        <v>3679</v>
      </c>
      <c r="K251" s="56">
        <v>3730</v>
      </c>
      <c r="L251" s="56">
        <v>3785</v>
      </c>
      <c r="M251" s="56">
        <v>3742</v>
      </c>
      <c r="N251" s="56">
        <v>3887</v>
      </c>
      <c r="O251" s="56">
        <v>3876</v>
      </c>
      <c r="Q251" s="729" t="s">
        <v>1756</v>
      </c>
    </row>
    <row r="252" spans="1:17">
      <c r="A252" s="729" t="s">
        <v>5420</v>
      </c>
      <c r="B252" s="729" t="s">
        <v>1483</v>
      </c>
      <c r="C252" s="55" t="s">
        <v>7861</v>
      </c>
      <c r="D252" s="158">
        <v>4973</v>
      </c>
      <c r="E252" s="158">
        <v>4570</v>
      </c>
      <c r="F252" s="158">
        <v>4781</v>
      </c>
      <c r="G252" s="56">
        <v>4890</v>
      </c>
      <c r="H252" s="56">
        <v>4910</v>
      </c>
      <c r="I252" s="56">
        <v>4871</v>
      </c>
      <c r="J252" s="56">
        <v>4870</v>
      </c>
      <c r="K252" s="56">
        <v>4926</v>
      </c>
      <c r="L252" s="56">
        <v>4907</v>
      </c>
      <c r="M252" s="56">
        <v>4839</v>
      </c>
      <c r="N252" s="56">
        <v>4873</v>
      </c>
      <c r="O252" s="56">
        <v>4864</v>
      </c>
      <c r="Q252" s="729" t="s">
        <v>1756</v>
      </c>
    </row>
    <row r="253" spans="1:17">
      <c r="A253" s="729" t="s">
        <v>5422</v>
      </c>
      <c r="B253" s="729" t="s">
        <v>1484</v>
      </c>
      <c r="C253" s="55" t="s">
        <v>7862</v>
      </c>
      <c r="D253" s="158">
        <v>4594</v>
      </c>
      <c r="E253" s="158">
        <v>4407</v>
      </c>
      <c r="F253" s="158">
        <v>4525</v>
      </c>
      <c r="G253" s="56">
        <v>4572</v>
      </c>
      <c r="H253" s="56">
        <v>4584</v>
      </c>
      <c r="I253" s="56">
        <v>4544</v>
      </c>
      <c r="J253" s="56">
        <v>4663</v>
      </c>
      <c r="K253" s="56">
        <v>4764</v>
      </c>
      <c r="L253" s="56">
        <v>4910</v>
      </c>
      <c r="M253" s="56">
        <v>4968</v>
      </c>
      <c r="N253" s="56">
        <v>4990</v>
      </c>
      <c r="O253" s="56">
        <v>4982</v>
      </c>
      <c r="Q253" s="729" t="s">
        <v>1756</v>
      </c>
    </row>
    <row r="254" spans="1:17">
      <c r="A254" s="729" t="s">
        <v>5424</v>
      </c>
      <c r="B254" s="729" t="s">
        <v>5033</v>
      </c>
      <c r="C254" s="55" t="s">
        <v>7863</v>
      </c>
      <c r="D254" s="158">
        <v>4604</v>
      </c>
      <c r="E254" s="158">
        <v>4416</v>
      </c>
      <c r="F254" s="158">
        <v>4505</v>
      </c>
      <c r="G254" s="56">
        <v>4519</v>
      </c>
      <c r="H254" s="56">
        <v>4541</v>
      </c>
      <c r="I254" s="56">
        <v>4482</v>
      </c>
      <c r="J254" s="56">
        <v>4495</v>
      </c>
      <c r="K254" s="56">
        <v>4515</v>
      </c>
      <c r="L254" s="56">
        <v>4562</v>
      </c>
      <c r="M254" s="56">
        <v>4538</v>
      </c>
      <c r="N254" s="56">
        <v>4580</v>
      </c>
      <c r="O254" s="56">
        <v>4562</v>
      </c>
      <c r="Q254" s="729" t="s">
        <v>1756</v>
      </c>
    </row>
    <row r="255" spans="1:17">
      <c r="A255" s="729" t="s">
        <v>5426</v>
      </c>
      <c r="B255" s="729" t="s">
        <v>2991</v>
      </c>
      <c r="C255" s="55" t="s">
        <v>7864</v>
      </c>
      <c r="D255" s="158">
        <v>5246</v>
      </c>
      <c r="E255" s="158">
        <v>5056</v>
      </c>
      <c r="F255" s="158">
        <v>5240</v>
      </c>
      <c r="G255" s="56">
        <v>5273</v>
      </c>
      <c r="H255" s="56">
        <v>5278</v>
      </c>
      <c r="I255" s="56">
        <v>5211</v>
      </c>
      <c r="J255" s="56">
        <v>5259</v>
      </c>
      <c r="K255" s="56">
        <v>5301</v>
      </c>
      <c r="L255" s="56">
        <v>5353</v>
      </c>
      <c r="M255" s="56">
        <v>5349</v>
      </c>
      <c r="N255" s="56">
        <v>5449</v>
      </c>
      <c r="O255" s="56">
        <v>5411</v>
      </c>
      <c r="Q255" s="729" t="s">
        <v>1756</v>
      </c>
    </row>
    <row r="256" spans="1:17">
      <c r="A256" s="729" t="s">
        <v>5428</v>
      </c>
      <c r="B256" s="729" t="s">
        <v>6912</v>
      </c>
      <c r="C256" s="55" t="s">
        <v>7865</v>
      </c>
      <c r="D256" s="158">
        <v>4858</v>
      </c>
      <c r="E256" s="158">
        <v>4635</v>
      </c>
      <c r="F256" s="158">
        <v>4785</v>
      </c>
      <c r="G256" s="56">
        <v>4801</v>
      </c>
      <c r="H256" s="56">
        <v>4935</v>
      </c>
      <c r="I256" s="56">
        <v>4866</v>
      </c>
      <c r="J256" s="56">
        <v>4853</v>
      </c>
      <c r="K256" s="56">
        <v>4974</v>
      </c>
      <c r="L256" s="56">
        <v>5054</v>
      </c>
      <c r="M256" s="56">
        <v>4997</v>
      </c>
      <c r="N256" s="56">
        <v>5024</v>
      </c>
      <c r="O256" s="56">
        <v>4982</v>
      </c>
      <c r="Q256" s="729" t="s">
        <v>1756</v>
      </c>
    </row>
    <row r="257" spans="1:17">
      <c r="A257" s="729" t="s">
        <v>5429</v>
      </c>
      <c r="B257" s="729" t="s">
        <v>6728</v>
      </c>
      <c r="C257" s="55" t="s">
        <v>7866</v>
      </c>
      <c r="D257" s="158">
        <v>4998</v>
      </c>
      <c r="E257" s="158">
        <v>4812</v>
      </c>
      <c r="F257" s="158">
        <v>5043</v>
      </c>
      <c r="G257" s="56">
        <v>5051</v>
      </c>
      <c r="H257" s="56">
        <v>5107</v>
      </c>
      <c r="I257" s="56">
        <v>5059</v>
      </c>
      <c r="J257" s="56">
        <v>5008</v>
      </c>
      <c r="K257" s="56">
        <v>5071</v>
      </c>
      <c r="L257" s="56">
        <v>5124</v>
      </c>
      <c r="M257" s="56">
        <v>5056</v>
      </c>
      <c r="N257" s="56">
        <v>5177</v>
      </c>
      <c r="O257" s="56">
        <v>5143</v>
      </c>
      <c r="Q257" s="729" t="s">
        <v>1756</v>
      </c>
    </row>
    <row r="258" spans="1:17">
      <c r="A258" s="729" t="s">
        <v>5431</v>
      </c>
      <c r="B258" s="729" t="s">
        <v>4538</v>
      </c>
      <c r="C258" s="55" t="s">
        <v>7867</v>
      </c>
      <c r="D258" s="158">
        <v>4565</v>
      </c>
      <c r="E258" s="158">
        <v>4365</v>
      </c>
      <c r="F258" s="158">
        <v>4499</v>
      </c>
      <c r="G258" s="56">
        <v>4535</v>
      </c>
      <c r="H258" s="56">
        <v>4528</v>
      </c>
      <c r="I258" s="56">
        <v>4496</v>
      </c>
      <c r="J258" s="56">
        <v>4521</v>
      </c>
      <c r="K258" s="56">
        <v>4558</v>
      </c>
      <c r="L258" s="56">
        <v>4579</v>
      </c>
      <c r="M258" s="56">
        <v>4517</v>
      </c>
      <c r="N258" s="56">
        <v>4632</v>
      </c>
      <c r="O258" s="56">
        <v>4620</v>
      </c>
      <c r="Q258" s="729" t="s">
        <v>1756</v>
      </c>
    </row>
    <row r="259" spans="1:17">
      <c r="D259" s="733"/>
      <c r="E259" s="733"/>
      <c r="F259" s="733"/>
      <c r="G259" s="733"/>
      <c r="H259" s="733"/>
      <c r="I259" s="733"/>
      <c r="J259" s="733"/>
      <c r="K259" s="733"/>
      <c r="L259" s="733"/>
      <c r="M259" s="733"/>
      <c r="N259" s="733"/>
      <c r="O259" s="733"/>
    </row>
    <row r="260" spans="1:17">
      <c r="A260" s="729" t="s">
        <v>1756</v>
      </c>
      <c r="D260" s="158">
        <f t="shared" ref="D260:I260" si="152">SUM(D245:D258)</f>
        <v>67689</v>
      </c>
      <c r="E260" s="158">
        <f t="shared" si="152"/>
        <v>64562</v>
      </c>
      <c r="F260" s="158">
        <f t="shared" si="152"/>
        <v>66697</v>
      </c>
      <c r="G260" s="158">
        <f t="shared" si="152"/>
        <v>67284</v>
      </c>
      <c r="H260" s="158">
        <f t="shared" si="152"/>
        <v>68085</v>
      </c>
      <c r="I260" s="158">
        <f t="shared" si="152"/>
        <v>67461</v>
      </c>
      <c r="J260" s="158">
        <f t="shared" ref="J260:O260" si="153">SUM(J245:J258)</f>
        <v>67541</v>
      </c>
      <c r="K260" s="158">
        <f t="shared" si="153"/>
        <v>68558</v>
      </c>
      <c r="L260" s="158">
        <f t="shared" si="153"/>
        <v>69147</v>
      </c>
      <c r="M260" s="158">
        <f t="shared" si="153"/>
        <v>68597</v>
      </c>
      <c r="N260" s="158">
        <f t="shared" si="153"/>
        <v>69579</v>
      </c>
      <c r="O260" s="158">
        <f t="shared" si="153"/>
        <v>69309</v>
      </c>
    </row>
    <row r="261" spans="1:17">
      <c r="A261" s="729"/>
      <c r="D261" s="158"/>
      <c r="E261" s="158"/>
      <c r="F261" s="158"/>
      <c r="G261" s="158"/>
      <c r="H261" s="158"/>
      <c r="I261" s="158"/>
      <c r="J261" s="158"/>
      <c r="K261" s="158"/>
      <c r="L261" s="158"/>
      <c r="M261" s="158"/>
      <c r="N261" s="158"/>
      <c r="O261" s="158"/>
    </row>
    <row r="262" spans="1:17">
      <c r="A262" s="729" t="s">
        <v>1685</v>
      </c>
      <c r="D262" s="158"/>
      <c r="E262" s="158"/>
      <c r="F262" s="158"/>
      <c r="G262" s="158"/>
      <c r="H262" s="158"/>
      <c r="I262" s="158"/>
      <c r="J262" s="158"/>
      <c r="K262" s="158"/>
      <c r="L262" s="158"/>
      <c r="M262" s="158"/>
      <c r="N262" s="158"/>
      <c r="O262" s="158"/>
    </row>
    <row r="263" spans="1:17">
      <c r="A263" s="729"/>
      <c r="B263" s="729"/>
      <c r="D263" s="742"/>
      <c r="E263" s="742"/>
      <c r="F263" s="742"/>
      <c r="G263" s="742"/>
      <c r="H263" s="742"/>
      <c r="I263" s="742"/>
      <c r="J263" s="742"/>
      <c r="K263" s="742"/>
      <c r="L263" s="742"/>
      <c r="M263" s="742"/>
      <c r="N263" s="742"/>
      <c r="O263" s="742"/>
    </row>
    <row r="264" spans="1:17">
      <c r="A264" s="729"/>
      <c r="B264" s="729"/>
      <c r="D264" s="742"/>
      <c r="E264" s="742"/>
      <c r="F264" s="742"/>
      <c r="G264" s="742"/>
      <c r="H264" s="742"/>
      <c r="I264" s="742"/>
      <c r="J264" s="742"/>
      <c r="K264" s="742"/>
      <c r="L264" s="742"/>
      <c r="M264" s="742"/>
      <c r="N264" s="742"/>
      <c r="O264" s="742"/>
    </row>
    <row r="265" spans="1:17">
      <c r="E265" s="51" t="s">
        <v>1526</v>
      </c>
      <c r="F265" s="51"/>
      <c r="G265" s="51"/>
      <c r="H265" s="51"/>
      <c r="I265" s="51"/>
      <c r="J265" s="51"/>
      <c r="K265" s="51"/>
      <c r="L265" s="51"/>
      <c r="M265" s="51"/>
      <c r="N265" s="51"/>
      <c r="O265" s="51"/>
      <c r="P265" s="52"/>
      <c r="Q265" s="53" t="s">
        <v>9479</v>
      </c>
    </row>
    <row r="266" spans="1:17">
      <c r="D266" s="40">
        <v>2010</v>
      </c>
      <c r="E266" s="40">
        <v>2011</v>
      </c>
      <c r="F266" s="40">
        <v>2012</v>
      </c>
      <c r="G266" s="40">
        <v>2013</v>
      </c>
      <c r="H266" s="40">
        <v>2014</v>
      </c>
      <c r="I266" s="40">
        <v>2015</v>
      </c>
      <c r="J266" s="40">
        <v>2016</v>
      </c>
      <c r="K266" s="40">
        <v>2017</v>
      </c>
      <c r="L266" s="40">
        <v>2018</v>
      </c>
      <c r="M266" s="40">
        <v>2019</v>
      </c>
      <c r="N266" s="40">
        <v>2020</v>
      </c>
      <c r="O266" s="977" t="s">
        <v>14823</v>
      </c>
      <c r="Q266" s="54" t="s">
        <v>1527</v>
      </c>
    </row>
    <row r="267" spans="1:17">
      <c r="A267" s="729" t="s">
        <v>9377</v>
      </c>
      <c r="D267" s="158">
        <f t="shared" ref="D267:I267" si="154">SUM(D268:D291)</f>
        <v>126419</v>
      </c>
      <c r="E267" s="158">
        <f t="shared" si="154"/>
        <v>126981</v>
      </c>
      <c r="F267" s="158">
        <f t="shared" si="154"/>
        <v>126983</v>
      </c>
      <c r="G267" s="158">
        <f t="shared" si="154"/>
        <v>128500</v>
      </c>
      <c r="H267" s="158">
        <f t="shared" si="154"/>
        <v>128307</v>
      </c>
      <c r="I267" s="158">
        <f t="shared" si="154"/>
        <v>128252</v>
      </c>
      <c r="J267" s="158">
        <f t="shared" ref="J267:O267" si="155">SUM(J268:J291)</f>
        <v>127528</v>
      </c>
      <c r="K267" s="158">
        <f t="shared" si="155"/>
        <v>128790</v>
      </c>
      <c r="L267" s="158">
        <f t="shared" si="155"/>
        <v>129985</v>
      </c>
      <c r="M267" s="158">
        <f t="shared" si="155"/>
        <v>126742</v>
      </c>
      <c r="N267" s="158">
        <f t="shared" si="155"/>
        <v>132772</v>
      </c>
      <c r="O267" s="158">
        <f t="shared" si="155"/>
        <v>132037</v>
      </c>
    </row>
    <row r="268" spans="1:17">
      <c r="A268" s="729" t="s">
        <v>5387</v>
      </c>
      <c r="B268" s="729" t="s">
        <v>1686</v>
      </c>
      <c r="C268" s="55" t="s">
        <v>7868</v>
      </c>
      <c r="D268" s="158">
        <v>4014</v>
      </c>
      <c r="E268" s="158">
        <v>4048</v>
      </c>
      <c r="F268" s="158">
        <v>4029</v>
      </c>
      <c r="G268" s="158">
        <v>4070</v>
      </c>
      <c r="H268" s="56">
        <v>4068</v>
      </c>
      <c r="I268" s="56">
        <v>4105</v>
      </c>
      <c r="J268" s="56">
        <v>4102</v>
      </c>
      <c r="K268" s="56">
        <v>4087</v>
      </c>
      <c r="L268" s="56">
        <v>4166</v>
      </c>
      <c r="M268" s="56">
        <v>4115</v>
      </c>
      <c r="N268" s="56">
        <v>4213</v>
      </c>
      <c r="O268" s="56">
        <v>4189</v>
      </c>
      <c r="Q268" s="729" t="s">
        <v>1766</v>
      </c>
    </row>
    <row r="269" spans="1:17" ht="15.75" customHeight="1">
      <c r="A269" s="729" t="s">
        <v>5389</v>
      </c>
      <c r="B269" s="729" t="s">
        <v>4511</v>
      </c>
      <c r="C269" s="55" t="s">
        <v>7869</v>
      </c>
      <c r="D269" s="158">
        <v>4638</v>
      </c>
      <c r="E269" s="158">
        <v>4688</v>
      </c>
      <c r="F269" s="158">
        <v>4714</v>
      </c>
      <c r="G269" s="158">
        <v>4756</v>
      </c>
      <c r="H269" s="58">
        <v>4769</v>
      </c>
      <c r="I269" s="58">
        <v>4765</v>
      </c>
      <c r="J269" s="58">
        <v>4691</v>
      </c>
      <c r="K269" s="58">
        <v>4698</v>
      </c>
      <c r="L269" s="58">
        <v>4732</v>
      </c>
      <c r="M269" s="58">
        <v>4640</v>
      </c>
      <c r="N269" s="58">
        <v>4817</v>
      </c>
      <c r="O269" s="58">
        <v>4800</v>
      </c>
      <c r="Q269" s="729" t="s">
        <v>1754</v>
      </c>
    </row>
    <row r="270" spans="1:17">
      <c r="A270" s="729" t="s">
        <v>5391</v>
      </c>
      <c r="B270" s="729" t="s">
        <v>4512</v>
      </c>
      <c r="C270" s="55" t="s">
        <v>7870</v>
      </c>
      <c r="D270" s="158">
        <v>6102</v>
      </c>
      <c r="E270" s="158">
        <v>6295</v>
      </c>
      <c r="F270" s="158">
        <v>6372</v>
      </c>
      <c r="G270" s="158">
        <v>6385</v>
      </c>
      <c r="H270" s="58">
        <v>6374</v>
      </c>
      <c r="I270" s="58">
        <v>6367</v>
      </c>
      <c r="J270" s="58">
        <v>6367</v>
      </c>
      <c r="K270" s="58">
        <v>6449</v>
      </c>
      <c r="L270" s="58">
        <v>6654</v>
      </c>
      <c r="M270" s="58">
        <v>6748</v>
      </c>
      <c r="N270" s="58">
        <v>7370</v>
      </c>
      <c r="O270" s="58">
        <v>7336</v>
      </c>
      <c r="Q270" s="729" t="s">
        <v>1754</v>
      </c>
    </row>
    <row r="271" spans="1:17">
      <c r="A271" s="729" t="s">
        <v>5393</v>
      </c>
      <c r="B271" s="729" t="s">
        <v>4513</v>
      </c>
      <c r="C271" s="55" t="s">
        <v>7871</v>
      </c>
      <c r="D271" s="158">
        <v>8124</v>
      </c>
      <c r="E271" s="158">
        <v>8127</v>
      </c>
      <c r="F271" s="158">
        <v>8125</v>
      </c>
      <c r="G271" s="158">
        <v>8172</v>
      </c>
      <c r="H271" s="56">
        <v>8088</v>
      </c>
      <c r="I271" s="56">
        <v>8162</v>
      </c>
      <c r="J271" s="56">
        <v>8026</v>
      </c>
      <c r="K271" s="56">
        <v>8058</v>
      </c>
      <c r="L271" s="56">
        <v>8094</v>
      </c>
      <c r="M271" s="56">
        <v>7857</v>
      </c>
      <c r="N271" s="56">
        <v>8082</v>
      </c>
      <c r="O271" s="56">
        <v>8028</v>
      </c>
      <c r="Q271" s="729" t="s">
        <v>1757</v>
      </c>
    </row>
    <row r="272" spans="1:17">
      <c r="A272" s="729" t="s">
        <v>5394</v>
      </c>
      <c r="B272" s="729" t="s">
        <v>4514</v>
      </c>
      <c r="C272" s="55" t="s">
        <v>7872</v>
      </c>
      <c r="D272" s="158">
        <v>2228</v>
      </c>
      <c r="E272" s="158">
        <v>2188</v>
      </c>
      <c r="F272" s="158">
        <v>2224</v>
      </c>
      <c r="G272" s="158">
        <v>2175</v>
      </c>
      <c r="H272" s="58">
        <v>2176</v>
      </c>
      <c r="I272" s="58">
        <v>2206</v>
      </c>
      <c r="J272" s="58">
        <v>2181</v>
      </c>
      <c r="K272" s="58">
        <v>2227</v>
      </c>
      <c r="L272" s="58">
        <v>2310</v>
      </c>
      <c r="M272" s="58">
        <v>2270</v>
      </c>
      <c r="N272" s="58">
        <v>2369</v>
      </c>
      <c r="O272" s="58">
        <v>2369</v>
      </c>
      <c r="Q272" s="729" t="s">
        <v>1754</v>
      </c>
    </row>
    <row r="273" spans="1:17">
      <c r="A273" s="729" t="s">
        <v>5416</v>
      </c>
      <c r="B273" s="729" t="s">
        <v>4515</v>
      </c>
      <c r="C273" s="55" t="s">
        <v>7873</v>
      </c>
      <c r="D273" s="158">
        <v>4435</v>
      </c>
      <c r="E273" s="158">
        <v>4409</v>
      </c>
      <c r="F273" s="158">
        <v>4353</v>
      </c>
      <c r="G273" s="158">
        <v>4428</v>
      </c>
      <c r="H273" s="56">
        <v>4348</v>
      </c>
      <c r="I273" s="56">
        <v>4374</v>
      </c>
      <c r="J273" s="56">
        <v>4391</v>
      </c>
      <c r="K273" s="56">
        <v>4410</v>
      </c>
      <c r="L273" s="56">
        <v>4373</v>
      </c>
      <c r="M273" s="56">
        <v>4292</v>
      </c>
      <c r="N273" s="56">
        <v>4382</v>
      </c>
      <c r="O273" s="56">
        <v>4339</v>
      </c>
      <c r="Q273" s="729" t="s">
        <v>1757</v>
      </c>
    </row>
    <row r="274" spans="1:17">
      <c r="A274" s="729" t="s">
        <v>5418</v>
      </c>
      <c r="B274" s="729" t="s">
        <v>4516</v>
      </c>
      <c r="C274" s="55" t="s">
        <v>7874</v>
      </c>
      <c r="D274" s="158">
        <v>4343</v>
      </c>
      <c r="E274" s="158">
        <v>4347</v>
      </c>
      <c r="F274" s="158">
        <v>4332</v>
      </c>
      <c r="G274" s="158">
        <v>4419</v>
      </c>
      <c r="H274" s="56">
        <v>4372</v>
      </c>
      <c r="I274" s="56">
        <v>4447</v>
      </c>
      <c r="J274" s="56">
        <v>4495</v>
      </c>
      <c r="K274" s="56">
        <v>4663</v>
      </c>
      <c r="L274" s="56">
        <v>4678</v>
      </c>
      <c r="M274" s="56">
        <v>4543</v>
      </c>
      <c r="N274" s="56">
        <v>4707</v>
      </c>
      <c r="O274" s="56">
        <v>4693</v>
      </c>
      <c r="Q274" s="729" t="s">
        <v>1757</v>
      </c>
    </row>
    <row r="275" spans="1:17">
      <c r="A275" s="729" t="s">
        <v>5420</v>
      </c>
      <c r="B275" s="729" t="s">
        <v>4517</v>
      </c>
      <c r="C275" s="55" t="s">
        <v>7875</v>
      </c>
      <c r="D275" s="158">
        <v>6450</v>
      </c>
      <c r="E275" s="158">
        <v>6416</v>
      </c>
      <c r="F275" s="158">
        <v>6367</v>
      </c>
      <c r="G275" s="158">
        <v>6486</v>
      </c>
      <c r="H275" s="56">
        <v>6496</v>
      </c>
      <c r="I275" s="56">
        <v>6490</v>
      </c>
      <c r="J275" s="56">
        <v>6438</v>
      </c>
      <c r="K275" s="56">
        <v>6433</v>
      </c>
      <c r="L275" s="56">
        <v>6438</v>
      </c>
      <c r="M275" s="56">
        <v>6284</v>
      </c>
      <c r="N275" s="56">
        <v>6552</v>
      </c>
      <c r="O275" s="56">
        <v>6509</v>
      </c>
      <c r="Q275" s="729" t="s">
        <v>1757</v>
      </c>
    </row>
    <row r="276" spans="1:17">
      <c r="A276" s="729" t="s">
        <v>5422</v>
      </c>
      <c r="B276" s="729" t="s">
        <v>5861</v>
      </c>
      <c r="C276" s="55" t="s">
        <v>7876</v>
      </c>
      <c r="D276" s="158">
        <v>4417</v>
      </c>
      <c r="E276" s="158">
        <v>4512</v>
      </c>
      <c r="F276" s="158">
        <v>4618</v>
      </c>
      <c r="G276" s="158">
        <v>4693</v>
      </c>
      <c r="H276" s="56">
        <v>4812</v>
      </c>
      <c r="I276" s="56">
        <v>4807</v>
      </c>
      <c r="J276" s="56">
        <v>4760</v>
      </c>
      <c r="K276" s="56">
        <v>4792</v>
      </c>
      <c r="L276" s="56">
        <v>4815</v>
      </c>
      <c r="M276" s="56">
        <v>4645</v>
      </c>
      <c r="N276" s="56">
        <v>4734</v>
      </c>
      <c r="O276" s="56">
        <v>4710</v>
      </c>
      <c r="Q276" s="729" t="s">
        <v>1757</v>
      </c>
    </row>
    <row r="277" spans="1:17">
      <c r="A277" s="729" t="s">
        <v>5424</v>
      </c>
      <c r="B277" s="729" t="s">
        <v>5862</v>
      </c>
      <c r="C277" s="55" t="s">
        <v>7877</v>
      </c>
      <c r="D277" s="158">
        <v>6586</v>
      </c>
      <c r="E277" s="158">
        <v>6570</v>
      </c>
      <c r="F277" s="158">
        <v>6520</v>
      </c>
      <c r="G277" s="158">
        <v>6561</v>
      </c>
      <c r="H277" s="58">
        <v>6552</v>
      </c>
      <c r="I277" s="58">
        <v>6570</v>
      </c>
      <c r="J277" s="58">
        <v>6613</v>
      </c>
      <c r="K277" s="58">
        <v>6631</v>
      </c>
      <c r="L277" s="58">
        <v>6622</v>
      </c>
      <c r="M277" s="58">
        <v>6478</v>
      </c>
      <c r="N277" s="58">
        <v>6624</v>
      </c>
      <c r="O277" s="58">
        <v>6593</v>
      </c>
      <c r="Q277" s="729" t="s">
        <v>1766</v>
      </c>
    </row>
    <row r="278" spans="1:17">
      <c r="A278" s="729" t="s">
        <v>5426</v>
      </c>
      <c r="B278" s="729" t="s">
        <v>5863</v>
      </c>
      <c r="C278" s="55" t="s">
        <v>7878</v>
      </c>
      <c r="D278" s="158">
        <v>5038</v>
      </c>
      <c r="E278" s="158">
        <v>5167</v>
      </c>
      <c r="F278" s="158">
        <v>5226</v>
      </c>
      <c r="G278" s="158">
        <v>5341</v>
      </c>
      <c r="H278" s="56">
        <v>5178</v>
      </c>
      <c r="I278" s="56">
        <v>4975</v>
      </c>
      <c r="J278" s="56">
        <v>4888</v>
      </c>
      <c r="K278" s="56">
        <v>5175</v>
      </c>
      <c r="L278" s="56">
        <v>5293</v>
      </c>
      <c r="M278" s="56">
        <v>5073</v>
      </c>
      <c r="N278" s="56">
        <v>5787</v>
      </c>
      <c r="O278" s="56">
        <v>5703</v>
      </c>
      <c r="Q278" s="729" t="s">
        <v>1757</v>
      </c>
    </row>
    <row r="279" spans="1:17">
      <c r="A279" s="729" t="s">
        <v>5428</v>
      </c>
      <c r="B279" s="729" t="s">
        <v>5864</v>
      </c>
      <c r="C279" s="55" t="s">
        <v>7879</v>
      </c>
      <c r="D279" s="158">
        <v>7299</v>
      </c>
      <c r="E279" s="158">
        <v>7329</v>
      </c>
      <c r="F279" s="158">
        <v>7477</v>
      </c>
      <c r="G279" s="158">
        <v>7625</v>
      </c>
      <c r="H279" s="56">
        <v>7783</v>
      </c>
      <c r="I279" s="56">
        <v>7785</v>
      </c>
      <c r="J279" s="56">
        <v>7706</v>
      </c>
      <c r="K279" s="56">
        <v>8068</v>
      </c>
      <c r="L279" s="56">
        <v>8251</v>
      </c>
      <c r="M279" s="56">
        <v>7987</v>
      </c>
      <c r="N279" s="56">
        <v>8881</v>
      </c>
      <c r="O279" s="56">
        <v>8823</v>
      </c>
      <c r="Q279" s="729" t="s">
        <v>1757</v>
      </c>
    </row>
    <row r="280" spans="1:17">
      <c r="A280" s="729" t="s">
        <v>5429</v>
      </c>
      <c r="B280" s="729" t="s">
        <v>4335</v>
      </c>
      <c r="C280" s="55" t="s">
        <v>7880</v>
      </c>
      <c r="D280" s="158">
        <v>4315</v>
      </c>
      <c r="E280" s="158">
        <v>4311</v>
      </c>
      <c r="F280" s="158">
        <v>4281</v>
      </c>
      <c r="G280" s="158">
        <v>4296</v>
      </c>
      <c r="H280" s="56">
        <v>4283</v>
      </c>
      <c r="I280" s="56">
        <v>4309</v>
      </c>
      <c r="J280" s="56">
        <v>4307</v>
      </c>
      <c r="K280" s="56">
        <v>4279</v>
      </c>
      <c r="L280" s="56">
        <v>4318</v>
      </c>
      <c r="M280" s="56">
        <v>4218</v>
      </c>
      <c r="N280" s="56">
        <v>4338</v>
      </c>
      <c r="O280" s="56">
        <v>4328</v>
      </c>
      <c r="Q280" s="729" t="s">
        <v>1757</v>
      </c>
    </row>
    <row r="281" spans="1:17">
      <c r="A281" s="729" t="s">
        <v>5431</v>
      </c>
      <c r="B281" s="729" t="s">
        <v>4336</v>
      </c>
      <c r="C281" s="55" t="s">
        <v>7881</v>
      </c>
      <c r="D281" s="158">
        <v>6652</v>
      </c>
      <c r="E281" s="158">
        <v>6705</v>
      </c>
      <c r="F281" s="158">
        <v>6705</v>
      </c>
      <c r="G281" s="158">
        <v>6817</v>
      </c>
      <c r="H281" s="56">
        <v>6815</v>
      </c>
      <c r="I281" s="56">
        <v>6836</v>
      </c>
      <c r="J281" s="56">
        <v>6751</v>
      </c>
      <c r="K281" s="56">
        <v>6772</v>
      </c>
      <c r="L281" s="56">
        <v>6759</v>
      </c>
      <c r="M281" s="56">
        <v>6482</v>
      </c>
      <c r="N281" s="56">
        <v>6738</v>
      </c>
      <c r="O281" s="56">
        <v>6676</v>
      </c>
      <c r="Q281" s="729" t="s">
        <v>1757</v>
      </c>
    </row>
    <row r="282" spans="1:17">
      <c r="A282" s="729" t="s">
        <v>5433</v>
      </c>
      <c r="B282" s="729" t="s">
        <v>4337</v>
      </c>
      <c r="C282" s="55" t="s">
        <v>7882</v>
      </c>
      <c r="D282" s="158">
        <v>3896</v>
      </c>
      <c r="E282" s="158">
        <v>3908</v>
      </c>
      <c r="F282" s="158">
        <v>3953</v>
      </c>
      <c r="G282" s="158">
        <v>4029</v>
      </c>
      <c r="H282" s="58">
        <v>4130</v>
      </c>
      <c r="I282" s="58">
        <v>4217</v>
      </c>
      <c r="J282" s="58">
        <v>4274</v>
      </c>
      <c r="K282" s="58">
        <v>4367</v>
      </c>
      <c r="L282" s="58">
        <v>4585</v>
      </c>
      <c r="M282" s="58">
        <v>4596</v>
      </c>
      <c r="N282" s="58">
        <v>4898</v>
      </c>
      <c r="O282" s="58">
        <v>4869</v>
      </c>
      <c r="Q282" s="729" t="s">
        <v>1766</v>
      </c>
    </row>
    <row r="283" spans="1:17">
      <c r="A283" s="729" t="s">
        <v>5435</v>
      </c>
      <c r="B283" s="729" t="s">
        <v>4724</v>
      </c>
      <c r="C283" s="55" t="s">
        <v>7883</v>
      </c>
      <c r="D283" s="158">
        <v>6708</v>
      </c>
      <c r="E283" s="158">
        <v>6729</v>
      </c>
      <c r="F283" s="158">
        <v>6637</v>
      </c>
      <c r="G283" s="158">
        <v>6707</v>
      </c>
      <c r="H283" s="56">
        <v>6651</v>
      </c>
      <c r="I283" s="56">
        <v>6655</v>
      </c>
      <c r="J283" s="56">
        <v>6572</v>
      </c>
      <c r="K283" s="56">
        <v>6543</v>
      </c>
      <c r="L283" s="56">
        <v>6629</v>
      </c>
      <c r="M283" s="56">
        <v>6410</v>
      </c>
      <c r="N283" s="56">
        <v>6580</v>
      </c>
      <c r="O283" s="56">
        <v>6553</v>
      </c>
      <c r="Q283" s="729" t="s">
        <v>1757</v>
      </c>
    </row>
    <row r="284" spans="1:17">
      <c r="A284" s="729" t="s">
        <v>5436</v>
      </c>
      <c r="B284" s="729" t="s">
        <v>4338</v>
      </c>
      <c r="C284" s="55" t="s">
        <v>7884</v>
      </c>
      <c r="D284" s="158">
        <v>4361</v>
      </c>
      <c r="E284" s="158">
        <v>4403</v>
      </c>
      <c r="F284" s="158">
        <v>4418</v>
      </c>
      <c r="G284" s="158">
        <v>4458</v>
      </c>
      <c r="H284" s="58">
        <v>4457</v>
      </c>
      <c r="I284" s="58">
        <v>4480</v>
      </c>
      <c r="J284" s="58">
        <v>4472</v>
      </c>
      <c r="K284" s="58">
        <v>4496</v>
      </c>
      <c r="L284" s="58">
        <v>4556</v>
      </c>
      <c r="M284" s="58">
        <v>4487</v>
      </c>
      <c r="N284" s="58">
        <v>4605</v>
      </c>
      <c r="O284" s="58">
        <v>4602</v>
      </c>
      <c r="Q284" s="729" t="s">
        <v>1766</v>
      </c>
    </row>
    <row r="285" spans="1:17">
      <c r="A285" s="729" t="s">
        <v>5437</v>
      </c>
      <c r="B285" s="729" t="s">
        <v>4339</v>
      </c>
      <c r="C285" s="55" t="s">
        <v>7885</v>
      </c>
      <c r="D285" s="158">
        <v>6465</v>
      </c>
      <c r="E285" s="158">
        <v>6474</v>
      </c>
      <c r="F285" s="158">
        <v>6434</v>
      </c>
      <c r="G285" s="158">
        <v>6508</v>
      </c>
      <c r="H285" s="58">
        <v>6475</v>
      </c>
      <c r="I285" s="58">
        <v>6468</v>
      </c>
      <c r="J285" s="58">
        <v>6347</v>
      </c>
      <c r="K285" s="58">
        <v>6333</v>
      </c>
      <c r="L285" s="58">
        <v>6240</v>
      </c>
      <c r="M285" s="58">
        <v>6090</v>
      </c>
      <c r="N285" s="58">
        <v>6254</v>
      </c>
      <c r="O285" s="58">
        <v>6209</v>
      </c>
      <c r="Q285" s="729" t="s">
        <v>1766</v>
      </c>
    </row>
    <row r="286" spans="1:17">
      <c r="A286" s="729" t="s">
        <v>5439</v>
      </c>
      <c r="B286" s="729" t="s">
        <v>4340</v>
      </c>
      <c r="C286" s="55" t="s">
        <v>7886</v>
      </c>
      <c r="D286" s="158">
        <v>6225</v>
      </c>
      <c r="E286" s="158">
        <v>6242</v>
      </c>
      <c r="F286" s="158">
        <v>6157</v>
      </c>
      <c r="G286" s="158">
        <v>6197</v>
      </c>
      <c r="H286" s="58">
        <v>6210</v>
      </c>
      <c r="I286" s="58">
        <v>6255</v>
      </c>
      <c r="J286" s="58">
        <v>6223</v>
      </c>
      <c r="K286" s="58">
        <v>6225</v>
      </c>
      <c r="L286" s="58">
        <v>6206</v>
      </c>
      <c r="M286" s="58">
        <v>6043</v>
      </c>
      <c r="N286" s="58">
        <v>6139</v>
      </c>
      <c r="O286" s="58">
        <v>6113</v>
      </c>
      <c r="Q286" s="729" t="s">
        <v>1766</v>
      </c>
    </row>
    <row r="287" spans="1:17">
      <c r="A287" s="729" t="s">
        <v>5441</v>
      </c>
      <c r="B287" s="729" t="s">
        <v>4341</v>
      </c>
      <c r="C287" s="55" t="s">
        <v>7887</v>
      </c>
      <c r="D287" s="158">
        <v>6747</v>
      </c>
      <c r="E287" s="158">
        <v>6714</v>
      </c>
      <c r="F287" s="158">
        <v>6674</v>
      </c>
      <c r="G287" s="158">
        <v>6779</v>
      </c>
      <c r="H287" s="56">
        <v>6783</v>
      </c>
      <c r="I287" s="56">
        <v>6747</v>
      </c>
      <c r="J287" s="56">
        <v>6593</v>
      </c>
      <c r="K287" s="56">
        <v>6677</v>
      </c>
      <c r="L287" s="56">
        <v>6735</v>
      </c>
      <c r="M287" s="56">
        <v>6714</v>
      </c>
      <c r="N287" s="56">
        <v>7171</v>
      </c>
      <c r="O287" s="56">
        <v>7175</v>
      </c>
      <c r="Q287" s="729" t="s">
        <v>1757</v>
      </c>
    </row>
    <row r="288" spans="1:17">
      <c r="A288" s="729">
        <v>21</v>
      </c>
      <c r="B288" s="729" t="s">
        <v>4342</v>
      </c>
      <c r="C288" s="55" t="s">
        <v>7888</v>
      </c>
      <c r="D288" s="158">
        <v>4240</v>
      </c>
      <c r="E288" s="158">
        <v>4220</v>
      </c>
      <c r="F288" s="158">
        <v>4214</v>
      </c>
      <c r="G288" s="158">
        <v>4257</v>
      </c>
      <c r="H288" s="56">
        <v>4189</v>
      </c>
      <c r="I288" s="56">
        <v>4211</v>
      </c>
      <c r="J288" s="56">
        <v>4230</v>
      </c>
      <c r="K288" s="56">
        <v>4248</v>
      </c>
      <c r="L288" s="56">
        <v>4263</v>
      </c>
      <c r="M288" s="56">
        <v>4098</v>
      </c>
      <c r="N288" s="56">
        <v>4191</v>
      </c>
      <c r="O288" s="56">
        <v>4180</v>
      </c>
      <c r="Q288" s="729" t="s">
        <v>1757</v>
      </c>
    </row>
    <row r="289" spans="1:17">
      <c r="A289" s="729" t="s">
        <v>5888</v>
      </c>
      <c r="B289" s="729" t="s">
        <v>4186</v>
      </c>
      <c r="C289" s="55" t="s">
        <v>7889</v>
      </c>
      <c r="D289" s="158">
        <v>4392</v>
      </c>
      <c r="E289" s="158">
        <v>4425</v>
      </c>
      <c r="F289" s="158">
        <v>4372</v>
      </c>
      <c r="G289" s="158">
        <v>4467</v>
      </c>
      <c r="H289" s="56">
        <v>4450</v>
      </c>
      <c r="I289" s="56">
        <v>4509</v>
      </c>
      <c r="J289" s="56">
        <v>4542</v>
      </c>
      <c r="K289" s="56">
        <v>4522</v>
      </c>
      <c r="L289" s="56">
        <v>4595</v>
      </c>
      <c r="M289" s="56">
        <v>4395</v>
      </c>
      <c r="N289" s="56">
        <v>4611</v>
      </c>
      <c r="O289" s="56">
        <v>4566</v>
      </c>
      <c r="Q289" s="729" t="s">
        <v>1757</v>
      </c>
    </row>
    <row r="290" spans="1:17">
      <c r="A290" s="729" t="s">
        <v>5889</v>
      </c>
      <c r="B290" s="729" t="s">
        <v>4343</v>
      </c>
      <c r="C290" s="55" t="s">
        <v>7890</v>
      </c>
      <c r="D290" s="158">
        <v>4447</v>
      </c>
      <c r="E290" s="158">
        <v>4424</v>
      </c>
      <c r="F290" s="158">
        <v>4420</v>
      </c>
      <c r="G290" s="158">
        <v>4484</v>
      </c>
      <c r="H290" s="56">
        <v>4378</v>
      </c>
      <c r="I290" s="56">
        <v>4366</v>
      </c>
      <c r="J290" s="56">
        <v>4408</v>
      </c>
      <c r="K290" s="56">
        <v>4484</v>
      </c>
      <c r="L290" s="56">
        <v>4552</v>
      </c>
      <c r="M290" s="56">
        <v>4325</v>
      </c>
      <c r="N290" s="56">
        <v>4545</v>
      </c>
      <c r="O290" s="56">
        <v>4510</v>
      </c>
      <c r="Q290" s="729" t="s">
        <v>1757</v>
      </c>
    </row>
    <row r="291" spans="1:17">
      <c r="A291" s="729" t="s">
        <v>4431</v>
      </c>
      <c r="B291" s="729" t="s">
        <v>4344</v>
      </c>
      <c r="C291" s="55" t="s">
        <v>7891</v>
      </c>
      <c r="D291" s="733">
        <v>4297</v>
      </c>
      <c r="E291" s="733">
        <v>4330</v>
      </c>
      <c r="F291" s="733">
        <v>4361</v>
      </c>
      <c r="G291" s="733">
        <v>4390</v>
      </c>
      <c r="H291" s="58">
        <v>4470</v>
      </c>
      <c r="I291" s="58">
        <v>4146</v>
      </c>
      <c r="J291" s="58">
        <v>4151</v>
      </c>
      <c r="K291" s="58">
        <v>4153</v>
      </c>
      <c r="L291" s="58">
        <v>4121</v>
      </c>
      <c r="M291" s="58">
        <v>3952</v>
      </c>
      <c r="N291" s="58">
        <v>4184</v>
      </c>
      <c r="O291" s="58">
        <v>4164</v>
      </c>
      <c r="Q291" s="729" t="s">
        <v>1754</v>
      </c>
    </row>
    <row r="292" spans="1:17">
      <c r="D292" s="733"/>
      <c r="E292" s="733"/>
      <c r="F292" s="733"/>
      <c r="G292" s="733"/>
      <c r="H292" s="733"/>
      <c r="I292" s="733"/>
      <c r="J292" s="733"/>
      <c r="K292" s="733"/>
      <c r="L292" s="733"/>
      <c r="M292" s="733"/>
      <c r="N292" s="733"/>
      <c r="O292" s="733"/>
    </row>
    <row r="293" spans="1:17">
      <c r="A293" s="729" t="s">
        <v>1757</v>
      </c>
      <c r="D293" s="158">
        <f t="shared" ref="D293:I293" si="156">D271+SUM(D273:D276)+SUM(D278:D281)+D283+SUM(D287:D290)</f>
        <v>77607</v>
      </c>
      <c r="E293" s="158">
        <f t="shared" si="156"/>
        <v>77835</v>
      </c>
      <c r="F293" s="158">
        <f t="shared" si="156"/>
        <v>77801</v>
      </c>
      <c r="G293" s="158">
        <f t="shared" si="156"/>
        <v>78971</v>
      </c>
      <c r="H293" s="158">
        <f t="shared" si="156"/>
        <v>78626</v>
      </c>
      <c r="I293" s="158">
        <f t="shared" si="156"/>
        <v>78673</v>
      </c>
      <c r="J293" s="158">
        <f t="shared" ref="J293:O293" si="157">J271+SUM(J273:J276)+SUM(J278:J281)+J283+SUM(J287:J290)</f>
        <v>78107</v>
      </c>
      <c r="K293" s="158">
        <f t="shared" si="157"/>
        <v>79124</v>
      </c>
      <c r="L293" s="158">
        <f t="shared" si="157"/>
        <v>79793</v>
      </c>
      <c r="M293" s="158">
        <f t="shared" si="157"/>
        <v>77323</v>
      </c>
      <c r="N293" s="158">
        <f t="shared" si="157"/>
        <v>81299</v>
      </c>
      <c r="O293" s="158">
        <f t="shared" si="157"/>
        <v>80793</v>
      </c>
    </row>
    <row r="294" spans="1:17">
      <c r="A294" s="729" t="s">
        <v>4345</v>
      </c>
      <c r="D294" s="158">
        <f t="shared" ref="D294:I294" si="158">D268+D277+D282+SUM(D284:D286)</f>
        <v>31547</v>
      </c>
      <c r="E294" s="158">
        <f t="shared" si="158"/>
        <v>31645</v>
      </c>
      <c r="F294" s="158">
        <f t="shared" si="158"/>
        <v>31511</v>
      </c>
      <c r="G294" s="158">
        <f t="shared" si="158"/>
        <v>31823</v>
      </c>
      <c r="H294" s="158">
        <f t="shared" si="158"/>
        <v>31892</v>
      </c>
      <c r="I294" s="158">
        <f t="shared" si="158"/>
        <v>32095</v>
      </c>
      <c r="J294" s="158">
        <f t="shared" ref="J294:O294" si="159">J268+J277+J282+SUM(J284:J286)</f>
        <v>32031</v>
      </c>
      <c r="K294" s="158">
        <f t="shared" si="159"/>
        <v>32139</v>
      </c>
      <c r="L294" s="158">
        <f t="shared" si="159"/>
        <v>32375</v>
      </c>
      <c r="M294" s="158">
        <f t="shared" si="159"/>
        <v>31809</v>
      </c>
      <c r="N294" s="158">
        <f t="shared" si="159"/>
        <v>32733</v>
      </c>
      <c r="O294" s="158">
        <f t="shared" si="159"/>
        <v>32575</v>
      </c>
    </row>
    <row r="295" spans="1:17">
      <c r="A295" s="729" t="s">
        <v>4346</v>
      </c>
      <c r="D295" s="158">
        <f t="shared" ref="D295:I295" si="160">D269+D270+D272+D291</f>
        <v>17265</v>
      </c>
      <c r="E295" s="158">
        <f t="shared" si="160"/>
        <v>17501</v>
      </c>
      <c r="F295" s="158">
        <f t="shared" si="160"/>
        <v>17671</v>
      </c>
      <c r="G295" s="158">
        <f t="shared" si="160"/>
        <v>17706</v>
      </c>
      <c r="H295" s="158">
        <f t="shared" si="160"/>
        <v>17789</v>
      </c>
      <c r="I295" s="158">
        <f t="shared" si="160"/>
        <v>17484</v>
      </c>
      <c r="J295" s="158">
        <f t="shared" ref="J295:O295" si="161">J269+J270+J272+J291</f>
        <v>17390</v>
      </c>
      <c r="K295" s="158">
        <f t="shared" si="161"/>
        <v>17527</v>
      </c>
      <c r="L295" s="158">
        <f t="shared" si="161"/>
        <v>17817</v>
      </c>
      <c r="M295" s="158">
        <f t="shared" si="161"/>
        <v>17610</v>
      </c>
      <c r="N295" s="158">
        <f t="shared" si="161"/>
        <v>18740</v>
      </c>
      <c r="O295" s="158">
        <f t="shared" si="161"/>
        <v>18669</v>
      </c>
    </row>
    <row r="296" spans="1:17">
      <c r="A296" s="729"/>
      <c r="D296" s="158"/>
      <c r="E296" s="158"/>
      <c r="F296" s="158"/>
      <c r="G296" s="158"/>
      <c r="H296" s="158"/>
      <c r="I296" s="158"/>
      <c r="J296" s="158"/>
      <c r="K296" s="158"/>
      <c r="L296" s="158"/>
      <c r="M296" s="158"/>
      <c r="N296" s="158"/>
      <c r="O296" s="158"/>
    </row>
    <row r="297" spans="1:17">
      <c r="A297" s="729" t="s">
        <v>4347</v>
      </c>
      <c r="D297" s="158"/>
      <c r="E297" s="158"/>
      <c r="F297" s="158"/>
      <c r="G297" s="158"/>
      <c r="H297" s="158"/>
      <c r="I297" s="158"/>
      <c r="J297" s="158"/>
      <c r="K297" s="158"/>
      <c r="L297" s="158"/>
      <c r="M297" s="158"/>
      <c r="N297" s="158"/>
      <c r="O297" s="158"/>
    </row>
    <row r="298" spans="1:17">
      <c r="A298" s="576" t="s">
        <v>9378</v>
      </c>
      <c r="B298" s="729"/>
      <c r="D298" s="742"/>
      <c r="E298" s="742"/>
      <c r="F298" s="742"/>
      <c r="G298" s="742"/>
      <c r="H298" s="742"/>
      <c r="I298" s="742"/>
      <c r="J298" s="742"/>
      <c r="K298" s="742"/>
      <c r="L298" s="742"/>
      <c r="M298" s="742"/>
      <c r="N298" s="742"/>
      <c r="O298" s="742"/>
    </row>
    <row r="299" spans="1:17">
      <c r="A299" s="576"/>
      <c r="B299" s="729"/>
      <c r="D299" s="742"/>
      <c r="E299" s="742"/>
      <c r="F299" s="742"/>
      <c r="G299" s="742"/>
      <c r="H299" s="742"/>
      <c r="I299" s="742"/>
      <c r="J299" s="742"/>
      <c r="K299" s="742"/>
      <c r="L299" s="742"/>
      <c r="M299" s="742"/>
      <c r="N299" s="742"/>
      <c r="O299" s="742"/>
    </row>
    <row r="300" spans="1:17">
      <c r="A300" s="576"/>
      <c r="B300" s="729"/>
      <c r="D300" s="742"/>
      <c r="E300" s="742"/>
      <c r="F300" s="742"/>
      <c r="G300" s="742"/>
      <c r="H300" s="742"/>
      <c r="I300" s="742"/>
      <c r="J300" s="742"/>
      <c r="K300" s="742"/>
      <c r="L300" s="742"/>
      <c r="M300" s="742"/>
      <c r="N300" s="742"/>
      <c r="O300" s="742"/>
    </row>
    <row r="301" spans="1:17">
      <c r="E301" s="51" t="s">
        <v>1526</v>
      </c>
      <c r="F301" s="51"/>
      <c r="G301" s="51"/>
      <c r="H301" s="51"/>
      <c r="I301" s="51"/>
      <c r="J301" s="51"/>
      <c r="K301" s="51"/>
      <c r="L301" s="51"/>
      <c r="M301" s="51"/>
      <c r="N301" s="51"/>
      <c r="O301" s="51"/>
      <c r="P301" s="52"/>
      <c r="Q301" s="53" t="s">
        <v>9479</v>
      </c>
    </row>
    <row r="302" spans="1:17">
      <c r="D302" s="40">
        <v>2010</v>
      </c>
      <c r="E302" s="40">
        <v>2011</v>
      </c>
      <c r="F302" s="40">
        <v>2012</v>
      </c>
      <c r="G302" s="40">
        <v>2013</v>
      </c>
      <c r="H302" s="40">
        <v>2014</v>
      </c>
      <c r="I302" s="40">
        <v>2015</v>
      </c>
      <c r="J302" s="40">
        <v>2016</v>
      </c>
      <c r="K302" s="40">
        <v>2017</v>
      </c>
      <c r="L302" s="40">
        <v>2018</v>
      </c>
      <c r="M302" s="40">
        <v>2019</v>
      </c>
      <c r="N302" s="40">
        <v>2020</v>
      </c>
      <c r="O302" s="977" t="s">
        <v>14823</v>
      </c>
      <c r="Q302" s="54" t="s">
        <v>1527</v>
      </c>
    </row>
    <row r="303" spans="1:17">
      <c r="A303" s="729" t="s">
        <v>4348</v>
      </c>
      <c r="D303" s="158">
        <f t="shared" ref="D303:I303" si="162">D304+D305+SUM(D307:D311)+SUM(D313:D318)+SUM(D320:D326)</f>
        <v>124169</v>
      </c>
      <c r="E303" s="158">
        <f t="shared" si="162"/>
        <v>124252</v>
      </c>
      <c r="F303" s="158">
        <f t="shared" si="162"/>
        <v>124454</v>
      </c>
      <c r="G303" s="158">
        <f t="shared" si="162"/>
        <v>127376</v>
      </c>
      <c r="H303" s="158">
        <f t="shared" si="162"/>
        <v>122733</v>
      </c>
      <c r="I303" s="158">
        <f t="shared" si="162"/>
        <v>117280</v>
      </c>
      <c r="J303" s="158">
        <f t="shared" ref="J303:O303" si="163">J304+J305+SUM(J307:J311)+SUM(J313:J318)+SUM(J320:J326)</f>
        <v>120001</v>
      </c>
      <c r="K303" s="158">
        <f t="shared" si="163"/>
        <v>130591</v>
      </c>
      <c r="L303" s="158">
        <f t="shared" si="163"/>
        <v>127252</v>
      </c>
      <c r="M303" s="158">
        <f t="shared" si="163"/>
        <v>126557</v>
      </c>
      <c r="N303" s="158">
        <f t="shared" si="163"/>
        <v>131255</v>
      </c>
      <c r="O303" s="158">
        <f t="shared" si="163"/>
        <v>136210</v>
      </c>
    </row>
    <row r="304" spans="1:17">
      <c r="A304" s="729" t="s">
        <v>5387</v>
      </c>
      <c r="B304" s="62" t="s">
        <v>2907</v>
      </c>
      <c r="C304" s="62" t="s">
        <v>11389</v>
      </c>
      <c r="D304" s="158">
        <v>0</v>
      </c>
      <c r="E304" s="158">
        <v>0</v>
      </c>
      <c r="F304" s="158">
        <v>0</v>
      </c>
      <c r="G304" s="56">
        <v>0</v>
      </c>
      <c r="H304" s="56">
        <v>0</v>
      </c>
      <c r="I304" s="56">
        <v>0</v>
      </c>
      <c r="J304" s="56">
        <v>6424</v>
      </c>
      <c r="K304" s="56">
        <v>6962</v>
      </c>
      <c r="L304" s="56">
        <v>6668</v>
      </c>
      <c r="M304" s="56">
        <v>6519</v>
      </c>
      <c r="N304" s="56">
        <v>6542</v>
      </c>
      <c r="O304" s="56">
        <v>6719</v>
      </c>
      <c r="Q304" s="729" t="s">
        <v>1761</v>
      </c>
    </row>
    <row r="305" spans="1:17" ht="15.75" thickBot="1">
      <c r="A305" s="729"/>
      <c r="B305" s="62"/>
      <c r="C305" s="62" t="s">
        <v>11389</v>
      </c>
      <c r="D305" s="732">
        <v>0</v>
      </c>
      <c r="E305" s="732">
        <v>0</v>
      </c>
      <c r="F305" s="732">
        <v>0</v>
      </c>
      <c r="G305" s="274">
        <v>0</v>
      </c>
      <c r="H305" s="274">
        <v>0</v>
      </c>
      <c r="I305" s="56">
        <v>0</v>
      </c>
      <c r="J305" s="56">
        <v>466</v>
      </c>
      <c r="K305" s="56">
        <v>539</v>
      </c>
      <c r="L305" s="4">
        <v>499</v>
      </c>
      <c r="M305" s="4">
        <v>495</v>
      </c>
      <c r="N305" s="4">
        <v>485</v>
      </c>
      <c r="O305" s="4">
        <v>498</v>
      </c>
      <c r="Q305" s="729" t="s">
        <v>1765</v>
      </c>
    </row>
    <row r="306" spans="1:17" ht="15.75" thickBot="1">
      <c r="A306" s="729"/>
      <c r="B306" s="62"/>
      <c r="C306" s="62" t="s">
        <v>11389</v>
      </c>
      <c r="D306" s="736">
        <f>D304+D305</f>
        <v>0</v>
      </c>
      <c r="E306" s="736">
        <f t="shared" ref="E306:L306" si="164">E304+E305</f>
        <v>0</v>
      </c>
      <c r="F306" s="736">
        <f t="shared" si="164"/>
        <v>0</v>
      </c>
      <c r="G306" s="736">
        <f t="shared" si="164"/>
        <v>0</v>
      </c>
      <c r="H306" s="736">
        <f t="shared" si="164"/>
        <v>0</v>
      </c>
      <c r="I306" s="736">
        <f t="shared" si="164"/>
        <v>0</v>
      </c>
      <c r="J306" s="736">
        <f t="shared" si="164"/>
        <v>6890</v>
      </c>
      <c r="K306" s="736">
        <f t="shared" si="164"/>
        <v>7501</v>
      </c>
      <c r="L306" s="736">
        <f t="shared" si="164"/>
        <v>7167</v>
      </c>
      <c r="M306" s="736">
        <f>M304+M305</f>
        <v>7014</v>
      </c>
      <c r="N306" s="736">
        <f>N304+N305</f>
        <v>7027</v>
      </c>
      <c r="O306" s="736">
        <f>O304+O305</f>
        <v>7217</v>
      </c>
      <c r="Q306" s="729"/>
    </row>
    <row r="307" spans="1:17">
      <c r="A307" s="729" t="s">
        <v>5389</v>
      </c>
      <c r="B307" s="62" t="s">
        <v>5904</v>
      </c>
      <c r="C307" s="62" t="s">
        <v>11390</v>
      </c>
      <c r="D307" s="158">
        <v>73501</v>
      </c>
      <c r="E307" s="158">
        <v>73638</v>
      </c>
      <c r="F307" s="158">
        <v>73928</v>
      </c>
      <c r="G307" s="58">
        <v>76414</v>
      </c>
      <c r="H307" s="58">
        <v>72841</v>
      </c>
      <c r="I307" s="58">
        <v>69819</v>
      </c>
      <c r="J307" s="56">
        <v>6662</v>
      </c>
      <c r="K307" s="56">
        <v>7421</v>
      </c>
      <c r="L307" s="56">
        <v>6834</v>
      </c>
      <c r="M307" s="56">
        <v>6821</v>
      </c>
      <c r="N307" s="56">
        <v>7086</v>
      </c>
      <c r="O307" s="56">
        <v>7337</v>
      </c>
      <c r="Q307" s="729" t="s">
        <v>1761</v>
      </c>
    </row>
    <row r="308" spans="1:17">
      <c r="A308" s="729" t="s">
        <v>5391</v>
      </c>
      <c r="B308" s="62" t="s">
        <v>11392</v>
      </c>
      <c r="C308" s="62" t="s">
        <v>11391</v>
      </c>
      <c r="D308" s="158">
        <v>0</v>
      </c>
      <c r="E308" s="158">
        <v>0</v>
      </c>
      <c r="F308" s="158">
        <v>0</v>
      </c>
      <c r="G308" s="56">
        <v>0</v>
      </c>
      <c r="H308" s="56">
        <v>0</v>
      </c>
      <c r="I308" s="56">
        <v>0</v>
      </c>
      <c r="J308" s="56">
        <v>6801</v>
      </c>
      <c r="K308" s="56">
        <v>7784</v>
      </c>
      <c r="L308" s="56">
        <v>7961</v>
      </c>
      <c r="M308" s="56">
        <v>7719</v>
      </c>
      <c r="N308" s="56">
        <v>9729</v>
      </c>
      <c r="O308" s="56">
        <v>10536</v>
      </c>
      <c r="Q308" s="729" t="s">
        <v>1761</v>
      </c>
    </row>
    <row r="309" spans="1:17">
      <c r="A309" s="729" t="s">
        <v>5393</v>
      </c>
      <c r="B309" s="62" t="s">
        <v>4518</v>
      </c>
      <c r="C309" s="62" t="s">
        <v>11393</v>
      </c>
      <c r="D309" s="158">
        <v>0</v>
      </c>
      <c r="E309" s="158">
        <v>0</v>
      </c>
      <c r="F309" s="158">
        <v>0</v>
      </c>
      <c r="G309" s="56">
        <v>0</v>
      </c>
      <c r="H309" s="56">
        <v>0</v>
      </c>
      <c r="I309" s="56">
        <v>0</v>
      </c>
      <c r="J309" s="56">
        <v>6732</v>
      </c>
      <c r="K309" s="56">
        <v>7395</v>
      </c>
      <c r="L309" s="56">
        <v>6994</v>
      </c>
      <c r="M309" s="56">
        <v>6915</v>
      </c>
      <c r="N309" s="56">
        <v>6916</v>
      </c>
      <c r="O309" s="56">
        <v>7071</v>
      </c>
      <c r="Q309" s="729" t="s">
        <v>1761</v>
      </c>
    </row>
    <row r="310" spans="1:17">
      <c r="A310" s="729" t="s">
        <v>5394</v>
      </c>
      <c r="B310" s="62" t="s">
        <v>11411</v>
      </c>
      <c r="C310" s="62" t="s">
        <v>11394</v>
      </c>
      <c r="D310" s="158">
        <v>0</v>
      </c>
      <c r="E310" s="158">
        <v>0</v>
      </c>
      <c r="F310" s="158">
        <v>0</v>
      </c>
      <c r="G310" s="56">
        <v>0</v>
      </c>
      <c r="H310" s="56">
        <v>0</v>
      </c>
      <c r="I310" s="56">
        <v>0</v>
      </c>
      <c r="J310" s="56">
        <v>2794</v>
      </c>
      <c r="K310" s="56">
        <v>2987</v>
      </c>
      <c r="L310" s="56">
        <v>2852</v>
      </c>
      <c r="M310" s="56">
        <v>2845</v>
      </c>
      <c r="N310" s="56">
        <v>2889</v>
      </c>
      <c r="O310" s="56">
        <v>2950</v>
      </c>
      <c r="Q310" s="729" t="s">
        <v>1761</v>
      </c>
    </row>
    <row r="311" spans="1:17" ht="15.75" thickBot="1">
      <c r="A311" s="729"/>
      <c r="B311" s="62"/>
      <c r="C311" s="62" t="s">
        <v>11394</v>
      </c>
      <c r="D311" s="732">
        <v>0</v>
      </c>
      <c r="E311" s="732">
        <v>0</v>
      </c>
      <c r="F311" s="732">
        <v>0</v>
      </c>
      <c r="G311" s="274">
        <v>0</v>
      </c>
      <c r="H311" s="274">
        <v>0</v>
      </c>
      <c r="I311" s="56">
        <v>0</v>
      </c>
      <c r="J311" s="56">
        <v>4206</v>
      </c>
      <c r="K311" s="56">
        <v>4461</v>
      </c>
      <c r="L311" s="4">
        <v>4255</v>
      </c>
      <c r="M311" s="4">
        <v>4251</v>
      </c>
      <c r="N311" s="4">
        <v>4322</v>
      </c>
      <c r="O311" s="4">
        <v>4397</v>
      </c>
      <c r="Q311" s="729" t="s">
        <v>1765</v>
      </c>
    </row>
    <row r="312" spans="1:17" ht="15.75" thickBot="1">
      <c r="A312" s="729"/>
      <c r="B312" s="62"/>
      <c r="C312" s="62" t="s">
        <v>11394</v>
      </c>
      <c r="D312" s="736">
        <f>D310+D311</f>
        <v>0</v>
      </c>
      <c r="E312" s="736">
        <f t="shared" ref="E312:L312" si="165">E310+E311</f>
        <v>0</v>
      </c>
      <c r="F312" s="736">
        <f t="shared" si="165"/>
        <v>0</v>
      </c>
      <c r="G312" s="736">
        <f t="shared" si="165"/>
        <v>0</v>
      </c>
      <c r="H312" s="736">
        <f t="shared" si="165"/>
        <v>0</v>
      </c>
      <c r="I312" s="736">
        <f t="shared" si="165"/>
        <v>0</v>
      </c>
      <c r="J312" s="736">
        <f t="shared" si="165"/>
        <v>7000</v>
      </c>
      <c r="K312" s="736">
        <f t="shared" si="165"/>
        <v>7448</v>
      </c>
      <c r="L312" s="736">
        <f t="shared" si="165"/>
        <v>7107</v>
      </c>
      <c r="M312" s="736">
        <f>M310+M311</f>
        <v>7096</v>
      </c>
      <c r="N312" s="736">
        <f>N310+N311</f>
        <v>7211</v>
      </c>
      <c r="O312" s="736">
        <f>O310+O311</f>
        <v>7347</v>
      </c>
      <c r="Q312" s="729"/>
    </row>
    <row r="313" spans="1:17">
      <c r="A313" s="729" t="s">
        <v>5416</v>
      </c>
      <c r="B313" s="62" t="s">
        <v>11412</v>
      </c>
      <c r="C313" s="62" t="s">
        <v>11395</v>
      </c>
      <c r="D313" s="158">
        <v>20536</v>
      </c>
      <c r="E313" s="158">
        <v>20388</v>
      </c>
      <c r="F313" s="158">
        <v>20370</v>
      </c>
      <c r="G313" s="56">
        <v>20593</v>
      </c>
      <c r="H313" s="56">
        <v>20086</v>
      </c>
      <c r="I313" s="56">
        <v>19817</v>
      </c>
      <c r="J313" s="58">
        <v>6543</v>
      </c>
      <c r="K313" s="58">
        <v>7099</v>
      </c>
      <c r="L313" s="58">
        <v>6984</v>
      </c>
      <c r="M313" s="58">
        <v>7334</v>
      </c>
      <c r="N313" s="58">
        <v>7745</v>
      </c>
      <c r="O313" s="58">
        <v>7967</v>
      </c>
      <c r="Q313" s="729" t="s">
        <v>3109</v>
      </c>
    </row>
    <row r="314" spans="1:17">
      <c r="A314" s="729" t="s">
        <v>5418</v>
      </c>
      <c r="B314" s="62" t="s">
        <v>11413</v>
      </c>
      <c r="C314" s="62" t="s">
        <v>11396</v>
      </c>
      <c r="D314" s="158">
        <v>30132</v>
      </c>
      <c r="E314" s="158">
        <v>30226</v>
      </c>
      <c r="F314" s="158">
        <v>30156</v>
      </c>
      <c r="G314" s="56">
        <v>30369</v>
      </c>
      <c r="H314" s="56">
        <v>29806</v>
      </c>
      <c r="I314" s="56">
        <v>27644</v>
      </c>
      <c r="J314" s="56">
        <v>7834</v>
      </c>
      <c r="K314" s="56">
        <v>8390</v>
      </c>
      <c r="L314" s="56">
        <v>8055</v>
      </c>
      <c r="M314" s="56">
        <v>7974</v>
      </c>
      <c r="N314" s="56">
        <v>8034</v>
      </c>
      <c r="O314" s="56">
        <v>8122</v>
      </c>
      <c r="Q314" s="729" t="s">
        <v>1765</v>
      </c>
    </row>
    <row r="315" spans="1:17">
      <c r="A315" s="729" t="s">
        <v>5420</v>
      </c>
      <c r="B315" s="62" t="s">
        <v>1688</v>
      </c>
      <c r="C315" s="62" t="s">
        <v>11397</v>
      </c>
      <c r="D315" s="158">
        <v>0</v>
      </c>
      <c r="E315" s="158">
        <v>0</v>
      </c>
      <c r="F315" s="158">
        <v>0</v>
      </c>
      <c r="G315" s="56">
        <v>0</v>
      </c>
      <c r="H315" s="56">
        <v>0</v>
      </c>
      <c r="I315" s="56">
        <v>0</v>
      </c>
      <c r="J315" s="56">
        <v>6421</v>
      </c>
      <c r="K315" s="56">
        <v>7248</v>
      </c>
      <c r="L315" s="56">
        <v>7120</v>
      </c>
      <c r="M315" s="56">
        <v>7474</v>
      </c>
      <c r="N315" s="56">
        <v>8222</v>
      </c>
      <c r="O315" s="56">
        <v>8554</v>
      </c>
      <c r="Q315" s="729" t="s">
        <v>1761</v>
      </c>
    </row>
    <row r="316" spans="1:17">
      <c r="A316" s="729" t="s">
        <v>5422</v>
      </c>
      <c r="B316" s="62" t="s">
        <v>11399</v>
      </c>
      <c r="C316" s="62" t="s">
        <v>11398</v>
      </c>
      <c r="D316" s="158">
        <v>0</v>
      </c>
      <c r="E316" s="158">
        <v>0</v>
      </c>
      <c r="F316" s="158">
        <v>0</v>
      </c>
      <c r="G316" s="56">
        <v>0</v>
      </c>
      <c r="H316" s="56">
        <v>0</v>
      </c>
      <c r="I316" s="56">
        <v>0</v>
      </c>
      <c r="J316" s="56">
        <v>7742</v>
      </c>
      <c r="K316" s="56">
        <v>8896</v>
      </c>
      <c r="L316" s="56">
        <v>8530</v>
      </c>
      <c r="M316" s="56">
        <v>8517</v>
      </c>
      <c r="N316" s="56">
        <v>8865</v>
      </c>
      <c r="O316" s="56">
        <v>9208</v>
      </c>
      <c r="Q316" s="729" t="s">
        <v>1761</v>
      </c>
    </row>
    <row r="317" spans="1:17">
      <c r="A317" s="729" t="s">
        <v>5424</v>
      </c>
      <c r="B317" s="62" t="s">
        <v>11414</v>
      </c>
      <c r="C317" s="62" t="s">
        <v>11400</v>
      </c>
      <c r="D317" s="158">
        <v>0</v>
      </c>
      <c r="E317" s="158">
        <v>0</v>
      </c>
      <c r="F317" s="158">
        <v>0</v>
      </c>
      <c r="G317" s="56">
        <v>0</v>
      </c>
      <c r="H317" s="56">
        <v>0</v>
      </c>
      <c r="I317" s="56">
        <v>0</v>
      </c>
      <c r="J317" s="56">
        <v>5882</v>
      </c>
      <c r="K317" s="56">
        <v>6384</v>
      </c>
      <c r="L317" s="56">
        <v>6197</v>
      </c>
      <c r="M317" s="56">
        <v>5898</v>
      </c>
      <c r="N317" s="56">
        <v>6331</v>
      </c>
      <c r="O317" s="56">
        <v>6836</v>
      </c>
      <c r="Q317" s="729" t="s">
        <v>1761</v>
      </c>
    </row>
    <row r="318" spans="1:17" ht="15.75" thickBot="1">
      <c r="A318" s="729"/>
      <c r="B318" s="62"/>
      <c r="C318" s="62" t="s">
        <v>11400</v>
      </c>
      <c r="D318" s="732">
        <v>0</v>
      </c>
      <c r="E318" s="732">
        <v>0</v>
      </c>
      <c r="F318" s="732">
        <v>0</v>
      </c>
      <c r="G318" s="274">
        <v>0</v>
      </c>
      <c r="H318" s="274">
        <v>0</v>
      </c>
      <c r="I318" s="56">
        <v>0</v>
      </c>
      <c r="J318" s="56">
        <v>1379</v>
      </c>
      <c r="K318" s="56">
        <v>1486</v>
      </c>
      <c r="L318" s="56">
        <v>1452</v>
      </c>
      <c r="M318" s="56">
        <v>1557</v>
      </c>
      <c r="N318" s="56">
        <v>1689</v>
      </c>
      <c r="O318" s="56">
        <v>1746</v>
      </c>
      <c r="Q318" s="729" t="s">
        <v>1765</v>
      </c>
    </row>
    <row r="319" spans="1:17" ht="15.75" thickBot="1">
      <c r="A319" s="729"/>
      <c r="B319" s="62"/>
      <c r="C319" s="62" t="s">
        <v>11400</v>
      </c>
      <c r="D319" s="736">
        <f>D317+D318</f>
        <v>0</v>
      </c>
      <c r="E319" s="736">
        <f t="shared" ref="E319:L319" si="166">E317+E318</f>
        <v>0</v>
      </c>
      <c r="F319" s="736">
        <f t="shared" si="166"/>
        <v>0</v>
      </c>
      <c r="G319" s="736">
        <f t="shared" si="166"/>
        <v>0</v>
      </c>
      <c r="H319" s="736">
        <f t="shared" si="166"/>
        <v>0</v>
      </c>
      <c r="I319" s="736">
        <f t="shared" si="166"/>
        <v>0</v>
      </c>
      <c r="J319" s="736">
        <f t="shared" si="166"/>
        <v>7261</v>
      </c>
      <c r="K319" s="736">
        <f t="shared" si="166"/>
        <v>7870</v>
      </c>
      <c r="L319" s="736">
        <f t="shared" si="166"/>
        <v>7649</v>
      </c>
      <c r="M319" s="736">
        <f>M317+M318</f>
        <v>7455</v>
      </c>
      <c r="N319" s="736">
        <f>N317+N318</f>
        <v>8020</v>
      </c>
      <c r="O319" s="736">
        <f>O317+O318</f>
        <v>8582</v>
      </c>
      <c r="Q319" s="729"/>
    </row>
    <row r="320" spans="1:17">
      <c r="A320" s="729" t="s">
        <v>5426</v>
      </c>
      <c r="B320" s="62" t="s">
        <v>1689</v>
      </c>
      <c r="C320" s="62" t="s">
        <v>11401</v>
      </c>
      <c r="D320" s="158">
        <v>0</v>
      </c>
      <c r="E320" s="158">
        <v>0</v>
      </c>
      <c r="F320" s="158">
        <v>0</v>
      </c>
      <c r="G320" s="56">
        <v>0</v>
      </c>
      <c r="H320" s="56">
        <v>0</v>
      </c>
      <c r="I320" s="56">
        <v>0</v>
      </c>
      <c r="J320" s="56">
        <v>7801</v>
      </c>
      <c r="K320" s="56">
        <v>8246</v>
      </c>
      <c r="L320" s="56">
        <v>7884</v>
      </c>
      <c r="M320" s="56">
        <v>7772</v>
      </c>
      <c r="N320" s="56">
        <v>7832</v>
      </c>
      <c r="O320" s="56">
        <v>7955</v>
      </c>
      <c r="Q320" s="729" t="s">
        <v>1761</v>
      </c>
    </row>
    <row r="321" spans="1:17">
      <c r="A321" s="729" t="s">
        <v>5428</v>
      </c>
      <c r="B321" s="62" t="s">
        <v>11403</v>
      </c>
      <c r="C321" s="62" t="s">
        <v>11402</v>
      </c>
      <c r="D321" s="158">
        <v>0</v>
      </c>
      <c r="E321" s="158">
        <v>0</v>
      </c>
      <c r="F321" s="158">
        <v>0</v>
      </c>
      <c r="G321" s="56">
        <v>0</v>
      </c>
      <c r="H321" s="56">
        <v>0</v>
      </c>
      <c r="I321" s="56">
        <v>0</v>
      </c>
      <c r="J321" s="58">
        <v>8268</v>
      </c>
      <c r="K321" s="58">
        <v>8747</v>
      </c>
      <c r="L321" s="58">
        <v>8458</v>
      </c>
      <c r="M321" s="58">
        <v>8377</v>
      </c>
      <c r="N321" s="58">
        <v>8452</v>
      </c>
      <c r="O321" s="58">
        <v>8553</v>
      </c>
      <c r="Q321" s="729" t="s">
        <v>1765</v>
      </c>
    </row>
    <row r="322" spans="1:17">
      <c r="A322" s="729" t="s">
        <v>5429</v>
      </c>
      <c r="B322" s="62" t="s">
        <v>11405</v>
      </c>
      <c r="C322" s="62" t="s">
        <v>11404</v>
      </c>
      <c r="D322" s="158">
        <v>0</v>
      </c>
      <c r="E322" s="158">
        <v>0</v>
      </c>
      <c r="F322" s="158">
        <v>0</v>
      </c>
      <c r="G322" s="56">
        <v>0</v>
      </c>
      <c r="H322" s="56">
        <v>0</v>
      </c>
      <c r="I322" s="56">
        <v>0</v>
      </c>
      <c r="J322" s="56">
        <v>7812</v>
      </c>
      <c r="K322" s="56">
        <v>8217</v>
      </c>
      <c r="L322" s="56">
        <v>7848</v>
      </c>
      <c r="M322" s="56">
        <v>7849</v>
      </c>
      <c r="N322" s="56">
        <v>7931</v>
      </c>
      <c r="O322" s="56">
        <v>8039</v>
      </c>
      <c r="Q322" s="729" t="s">
        <v>1761</v>
      </c>
    </row>
    <row r="323" spans="1:17">
      <c r="A323" s="729" t="s">
        <v>5431</v>
      </c>
      <c r="B323" s="62" t="s">
        <v>1691</v>
      </c>
      <c r="C323" s="62" t="s">
        <v>11406</v>
      </c>
      <c r="D323" s="158">
        <v>0</v>
      </c>
      <c r="E323" s="158">
        <v>0</v>
      </c>
      <c r="F323" s="158">
        <v>0</v>
      </c>
      <c r="G323" s="56">
        <v>0</v>
      </c>
      <c r="H323" s="56">
        <v>0</v>
      </c>
      <c r="I323" s="56">
        <v>0</v>
      </c>
      <c r="J323" s="56">
        <v>7224</v>
      </c>
      <c r="K323" s="56">
        <v>8067</v>
      </c>
      <c r="L323" s="56">
        <v>7668</v>
      </c>
      <c r="M323" s="56">
        <v>7450</v>
      </c>
      <c r="N323" s="56">
        <v>7646</v>
      </c>
      <c r="O323" s="56">
        <v>7976</v>
      </c>
      <c r="Q323" s="729" t="s">
        <v>1761</v>
      </c>
    </row>
    <row r="324" spans="1:17">
      <c r="A324" s="729" t="s">
        <v>5433</v>
      </c>
      <c r="B324" s="62" t="s">
        <v>1692</v>
      </c>
      <c r="C324" s="62" t="s">
        <v>11407</v>
      </c>
      <c r="D324" s="158">
        <v>0</v>
      </c>
      <c r="E324" s="158">
        <v>0</v>
      </c>
      <c r="F324" s="158">
        <v>0</v>
      </c>
      <c r="G324" s="56">
        <v>0</v>
      </c>
      <c r="H324" s="56">
        <v>0</v>
      </c>
      <c r="I324" s="56">
        <v>0</v>
      </c>
      <c r="J324" s="58">
        <v>6329</v>
      </c>
      <c r="K324" s="58">
        <v>6710</v>
      </c>
      <c r="L324" s="58">
        <v>6514</v>
      </c>
      <c r="M324" s="58">
        <v>6596</v>
      </c>
      <c r="N324" s="58">
        <v>6759</v>
      </c>
      <c r="O324" s="58">
        <v>6915</v>
      </c>
      <c r="Q324" s="729" t="s">
        <v>3109</v>
      </c>
    </row>
    <row r="325" spans="1:17">
      <c r="A325" s="729" t="s">
        <v>5435</v>
      </c>
      <c r="B325" s="62" t="s">
        <v>1693</v>
      </c>
      <c r="C325" s="62" t="s">
        <v>11408</v>
      </c>
      <c r="D325" s="158">
        <v>0</v>
      </c>
      <c r="E325" s="158">
        <v>0</v>
      </c>
      <c r="F325" s="158">
        <v>0</v>
      </c>
      <c r="G325" s="56">
        <v>0</v>
      </c>
      <c r="H325" s="56">
        <v>0</v>
      </c>
      <c r="I325" s="56">
        <v>0</v>
      </c>
      <c r="J325" s="58">
        <v>7005</v>
      </c>
      <c r="K325" s="58">
        <v>7418</v>
      </c>
      <c r="L325" s="58">
        <v>7151</v>
      </c>
      <c r="M325" s="58">
        <v>7092</v>
      </c>
      <c r="N325" s="58">
        <v>7164</v>
      </c>
      <c r="O325" s="58">
        <v>7283</v>
      </c>
      <c r="Q325" s="729" t="s">
        <v>3109</v>
      </c>
    </row>
    <row r="326" spans="1:17">
      <c r="A326" s="729" t="s">
        <v>5436</v>
      </c>
      <c r="B326" s="62" t="s">
        <v>11410</v>
      </c>
      <c r="C326" s="62" t="s">
        <v>11409</v>
      </c>
      <c r="D326" s="158">
        <v>0</v>
      </c>
      <c r="E326" s="158">
        <v>0</v>
      </c>
      <c r="F326" s="158">
        <v>0</v>
      </c>
      <c r="G326" s="56">
        <v>0</v>
      </c>
      <c r="H326" s="56">
        <v>0</v>
      </c>
      <c r="I326" s="56">
        <v>0</v>
      </c>
      <c r="J326" s="58">
        <v>5676</v>
      </c>
      <c r="K326" s="58">
        <v>6134</v>
      </c>
      <c r="L326" s="58">
        <v>7328</v>
      </c>
      <c r="M326" s="58">
        <v>7102</v>
      </c>
      <c r="N326" s="58">
        <v>6616</v>
      </c>
      <c r="O326" s="58">
        <v>7548</v>
      </c>
      <c r="Q326" s="729" t="s">
        <v>1765</v>
      </c>
    </row>
    <row r="327" spans="1:17">
      <c r="D327" s="733"/>
      <c r="E327" s="733"/>
      <c r="F327" s="733"/>
      <c r="G327" s="733"/>
      <c r="H327" s="733"/>
      <c r="I327" s="733"/>
      <c r="J327" s="733"/>
      <c r="K327" s="733"/>
      <c r="L327" s="733"/>
      <c r="M327" s="733"/>
      <c r="N327" s="733"/>
      <c r="O327" s="733"/>
    </row>
    <row r="328" spans="1:17">
      <c r="A328" s="729" t="s">
        <v>1761</v>
      </c>
      <c r="D328" s="158">
        <f t="shared" ref="D328:I328" si="167">D304+SUM(D307:D310)+SUM(D315:D317)+D320+D322+D323</f>
        <v>73501</v>
      </c>
      <c r="E328" s="158">
        <f t="shared" si="167"/>
        <v>73638</v>
      </c>
      <c r="F328" s="158">
        <f t="shared" si="167"/>
        <v>73928</v>
      </c>
      <c r="G328" s="158">
        <f t="shared" si="167"/>
        <v>76414</v>
      </c>
      <c r="H328" s="158">
        <f t="shared" si="167"/>
        <v>72841</v>
      </c>
      <c r="I328" s="158">
        <f t="shared" si="167"/>
        <v>69819</v>
      </c>
      <c r="J328" s="158">
        <f t="shared" ref="J328:O328" si="168">J304+SUM(J307:J310)+SUM(J315:J317)+J320+J322+J323</f>
        <v>72295</v>
      </c>
      <c r="K328" s="158">
        <f t="shared" si="168"/>
        <v>79607</v>
      </c>
      <c r="L328" s="158">
        <f t="shared" si="168"/>
        <v>76556</v>
      </c>
      <c r="M328" s="158">
        <f t="shared" si="168"/>
        <v>75779</v>
      </c>
      <c r="N328" s="158">
        <f t="shared" si="168"/>
        <v>79989</v>
      </c>
      <c r="O328" s="158">
        <f t="shared" si="168"/>
        <v>83181</v>
      </c>
    </row>
    <row r="329" spans="1:17">
      <c r="A329" s="729" t="s">
        <v>1694</v>
      </c>
      <c r="D329" s="158">
        <f t="shared" ref="D329:I329" si="169">D305+D311+D314+D318+D321+D326</f>
        <v>30132</v>
      </c>
      <c r="E329" s="158">
        <f t="shared" si="169"/>
        <v>30226</v>
      </c>
      <c r="F329" s="158">
        <f t="shared" si="169"/>
        <v>30156</v>
      </c>
      <c r="G329" s="158">
        <f t="shared" si="169"/>
        <v>30369</v>
      </c>
      <c r="H329" s="158">
        <f t="shared" si="169"/>
        <v>29806</v>
      </c>
      <c r="I329" s="158">
        <f t="shared" si="169"/>
        <v>27644</v>
      </c>
      <c r="J329" s="158">
        <f t="shared" ref="J329:O329" si="170">J305+J311+J314+J318+J321+J326</f>
        <v>27829</v>
      </c>
      <c r="K329" s="158">
        <f t="shared" si="170"/>
        <v>29757</v>
      </c>
      <c r="L329" s="158">
        <f t="shared" si="170"/>
        <v>30047</v>
      </c>
      <c r="M329" s="158">
        <f t="shared" si="170"/>
        <v>29756</v>
      </c>
      <c r="N329" s="158">
        <f t="shared" si="170"/>
        <v>29598</v>
      </c>
      <c r="O329" s="158">
        <f t="shared" si="170"/>
        <v>30864</v>
      </c>
    </row>
    <row r="330" spans="1:17">
      <c r="A330" s="729" t="s">
        <v>2805</v>
      </c>
      <c r="D330" s="158">
        <f t="shared" ref="D330:I330" si="171">D313+D324+D325</f>
        <v>20536</v>
      </c>
      <c r="E330" s="158">
        <f t="shared" si="171"/>
        <v>20388</v>
      </c>
      <c r="F330" s="158">
        <f t="shared" si="171"/>
        <v>20370</v>
      </c>
      <c r="G330" s="158">
        <f t="shared" si="171"/>
        <v>20593</v>
      </c>
      <c r="H330" s="158">
        <f t="shared" si="171"/>
        <v>20086</v>
      </c>
      <c r="I330" s="158">
        <f t="shared" si="171"/>
        <v>19817</v>
      </c>
      <c r="J330" s="158">
        <f t="shared" ref="J330:O330" si="172">J313+J324+J325</f>
        <v>19877</v>
      </c>
      <c r="K330" s="158">
        <f t="shared" si="172"/>
        <v>21227</v>
      </c>
      <c r="L330" s="158">
        <f t="shared" si="172"/>
        <v>20649</v>
      </c>
      <c r="M330" s="158">
        <f t="shared" si="172"/>
        <v>21022</v>
      </c>
      <c r="N330" s="158">
        <f t="shared" si="172"/>
        <v>21668</v>
      </c>
      <c r="O330" s="158">
        <f t="shared" si="172"/>
        <v>22165</v>
      </c>
    </row>
    <row r="332" spans="1:17">
      <c r="A332" s="730" t="s">
        <v>11415</v>
      </c>
    </row>
    <row r="335" spans="1:17">
      <c r="E335" s="51" t="s">
        <v>1526</v>
      </c>
      <c r="F335" s="51"/>
      <c r="G335" s="51"/>
      <c r="H335" s="51"/>
      <c r="I335" s="51"/>
      <c r="J335" s="51"/>
      <c r="K335" s="51"/>
      <c r="L335" s="51"/>
      <c r="M335" s="51"/>
      <c r="N335" s="51"/>
      <c r="O335" s="51"/>
      <c r="P335" s="52"/>
      <c r="Q335" s="53" t="s">
        <v>9479</v>
      </c>
    </row>
    <row r="336" spans="1:17">
      <c r="D336" s="40">
        <v>2010</v>
      </c>
      <c r="E336" s="40">
        <v>2011</v>
      </c>
      <c r="F336" s="40">
        <v>2012</v>
      </c>
      <c r="G336" s="40">
        <v>2013</v>
      </c>
      <c r="H336" s="40">
        <v>2014</v>
      </c>
      <c r="I336" s="40">
        <v>2015</v>
      </c>
      <c r="J336" s="40">
        <v>2016</v>
      </c>
      <c r="K336" s="40">
        <v>2017</v>
      </c>
      <c r="L336" s="40">
        <v>2018</v>
      </c>
      <c r="M336" s="40">
        <v>2019</v>
      </c>
      <c r="N336" s="40">
        <v>2020</v>
      </c>
      <c r="O336" s="977" t="s">
        <v>14823</v>
      </c>
      <c r="Q336" s="54" t="s">
        <v>1527</v>
      </c>
    </row>
    <row r="337" spans="1:17">
      <c r="A337" s="729" t="s">
        <v>1695</v>
      </c>
      <c r="D337" s="158">
        <f t="shared" ref="D337:O337" si="173">SUM(D338:D348)+SUM(D350:D371)</f>
        <v>95464</v>
      </c>
      <c r="E337" s="158">
        <f t="shared" si="173"/>
        <v>95881</v>
      </c>
      <c r="F337" s="158">
        <f t="shared" si="173"/>
        <v>97065</v>
      </c>
      <c r="G337" s="158">
        <f t="shared" si="173"/>
        <v>97467</v>
      </c>
      <c r="H337" s="158">
        <f t="shared" si="173"/>
        <v>96837</v>
      </c>
      <c r="I337" s="158">
        <f t="shared" si="173"/>
        <v>96989</v>
      </c>
      <c r="J337" s="158">
        <f t="shared" si="173"/>
        <v>97897</v>
      </c>
      <c r="K337" s="158">
        <f t="shared" si="173"/>
        <v>99177</v>
      </c>
      <c r="L337" s="158">
        <f t="shared" si="173"/>
        <v>98420</v>
      </c>
      <c r="M337" s="158">
        <f t="shared" si="173"/>
        <v>98223</v>
      </c>
      <c r="N337" s="158">
        <f t="shared" si="173"/>
        <v>99621</v>
      </c>
      <c r="O337" s="158">
        <f t="shared" si="173"/>
        <v>99466</v>
      </c>
    </row>
    <row r="338" spans="1:17">
      <c r="A338" s="729" t="s">
        <v>5387</v>
      </c>
      <c r="B338" s="729" t="s">
        <v>838</v>
      </c>
      <c r="C338" s="55" t="s">
        <v>7892</v>
      </c>
      <c r="D338" s="737">
        <v>1606</v>
      </c>
      <c r="E338" s="737">
        <v>1618</v>
      </c>
      <c r="F338" s="737">
        <v>1610</v>
      </c>
      <c r="G338" s="56">
        <v>1638</v>
      </c>
      <c r="H338" s="56">
        <v>1669</v>
      </c>
      <c r="I338" s="56">
        <v>1663</v>
      </c>
      <c r="J338" s="56">
        <v>1693</v>
      </c>
      <c r="K338" s="56">
        <v>1733</v>
      </c>
      <c r="L338" s="56">
        <v>1748</v>
      </c>
      <c r="M338" s="56">
        <v>1781</v>
      </c>
      <c r="N338" s="56">
        <v>1780</v>
      </c>
      <c r="O338" s="56">
        <v>1768</v>
      </c>
      <c r="Q338" s="729" t="s">
        <v>839</v>
      </c>
    </row>
    <row r="339" spans="1:17">
      <c r="A339" s="729" t="s">
        <v>5389</v>
      </c>
      <c r="B339" s="729" t="s">
        <v>840</v>
      </c>
      <c r="C339" s="55" t="s">
        <v>7893</v>
      </c>
      <c r="D339" s="158">
        <v>3405</v>
      </c>
      <c r="E339" s="158">
        <v>3438</v>
      </c>
      <c r="F339" s="158">
        <v>3490</v>
      </c>
      <c r="G339" s="56">
        <v>3489</v>
      </c>
      <c r="H339" s="56">
        <v>3451</v>
      </c>
      <c r="I339" s="56">
        <v>3418</v>
      </c>
      <c r="J339" s="56">
        <v>3433</v>
      </c>
      <c r="K339" s="56">
        <v>3480</v>
      </c>
      <c r="L339" s="56">
        <v>3492</v>
      </c>
      <c r="M339" s="56">
        <v>3469</v>
      </c>
      <c r="N339" s="56">
        <v>3511</v>
      </c>
      <c r="O339" s="56">
        <v>3503</v>
      </c>
      <c r="Q339" s="729" t="s">
        <v>839</v>
      </c>
    </row>
    <row r="340" spans="1:17">
      <c r="A340" s="729" t="s">
        <v>5391</v>
      </c>
      <c r="B340" s="729" t="s">
        <v>841</v>
      </c>
      <c r="C340" s="55" t="s">
        <v>7894</v>
      </c>
      <c r="D340" s="158">
        <v>5237</v>
      </c>
      <c r="E340" s="158">
        <v>5154</v>
      </c>
      <c r="F340" s="158">
        <v>5213</v>
      </c>
      <c r="G340" s="56">
        <v>5206</v>
      </c>
      <c r="H340" s="56">
        <v>5164</v>
      </c>
      <c r="I340" s="56">
        <v>5217</v>
      </c>
      <c r="J340" s="56">
        <v>5234</v>
      </c>
      <c r="K340" s="56">
        <v>5273</v>
      </c>
      <c r="L340" s="56">
        <v>5273</v>
      </c>
      <c r="M340" s="56">
        <v>5206</v>
      </c>
      <c r="N340" s="56">
        <v>5300</v>
      </c>
      <c r="O340" s="56">
        <v>5286</v>
      </c>
      <c r="Q340" s="729" t="s">
        <v>839</v>
      </c>
    </row>
    <row r="341" spans="1:17" ht="15" customHeight="1">
      <c r="A341" s="729" t="s">
        <v>5393</v>
      </c>
      <c r="B341" s="729" t="s">
        <v>842</v>
      </c>
      <c r="C341" s="55" t="s">
        <v>7895</v>
      </c>
      <c r="D341" s="158">
        <v>1827</v>
      </c>
      <c r="E341" s="158">
        <v>1813</v>
      </c>
      <c r="F341" s="158">
        <v>1832</v>
      </c>
      <c r="G341" s="56">
        <v>1835</v>
      </c>
      <c r="H341" s="56">
        <v>1857</v>
      </c>
      <c r="I341" s="56">
        <v>1856</v>
      </c>
      <c r="J341" s="56">
        <v>1835</v>
      </c>
      <c r="K341" s="56">
        <v>1854</v>
      </c>
      <c r="L341" s="56">
        <v>1789</v>
      </c>
      <c r="M341" s="56">
        <v>1784</v>
      </c>
      <c r="N341" s="56">
        <v>1789</v>
      </c>
      <c r="O341" s="56">
        <v>1792</v>
      </c>
      <c r="Q341" s="729" t="s">
        <v>839</v>
      </c>
    </row>
    <row r="342" spans="1:17" ht="15" customHeight="1">
      <c r="A342" s="729" t="s">
        <v>5394</v>
      </c>
      <c r="B342" s="729" t="s">
        <v>843</v>
      </c>
      <c r="C342" s="55" t="s">
        <v>7896</v>
      </c>
      <c r="D342" s="158">
        <v>3248</v>
      </c>
      <c r="E342" s="158">
        <v>3221</v>
      </c>
      <c r="F342" s="158">
        <v>3242</v>
      </c>
      <c r="G342" s="56">
        <v>3282</v>
      </c>
      <c r="H342" s="56">
        <v>3215</v>
      </c>
      <c r="I342" s="56">
        <v>3295</v>
      </c>
      <c r="J342" s="56">
        <v>3304</v>
      </c>
      <c r="K342" s="56">
        <v>3319</v>
      </c>
      <c r="L342" s="56">
        <v>3317</v>
      </c>
      <c r="M342" s="56">
        <v>3402</v>
      </c>
      <c r="N342" s="56">
        <v>3471</v>
      </c>
      <c r="O342" s="56">
        <v>3469</v>
      </c>
      <c r="Q342" s="729" t="s">
        <v>839</v>
      </c>
    </row>
    <row r="343" spans="1:17">
      <c r="A343" s="729" t="s">
        <v>5416</v>
      </c>
      <c r="B343" s="729" t="s">
        <v>844</v>
      </c>
      <c r="C343" s="55" t="s">
        <v>7897</v>
      </c>
      <c r="D343" s="158">
        <v>3234</v>
      </c>
      <c r="E343" s="158">
        <v>3313</v>
      </c>
      <c r="F343" s="158">
        <v>3321</v>
      </c>
      <c r="G343" s="743">
        <v>3350</v>
      </c>
      <c r="H343" s="56">
        <v>3451</v>
      </c>
      <c r="I343" s="56">
        <v>3451</v>
      </c>
      <c r="J343" s="56">
        <v>3435</v>
      </c>
      <c r="K343" s="56">
        <v>3486</v>
      </c>
      <c r="L343" s="56">
        <v>3436</v>
      </c>
      <c r="M343" s="56">
        <v>3434</v>
      </c>
      <c r="N343" s="56">
        <v>3451</v>
      </c>
      <c r="O343" s="56">
        <v>3451</v>
      </c>
      <c r="Q343" s="729" t="s">
        <v>1013</v>
      </c>
    </row>
    <row r="344" spans="1:17">
      <c r="A344" s="729" t="s">
        <v>5418</v>
      </c>
      <c r="B344" s="729" t="s">
        <v>845</v>
      </c>
      <c r="C344" s="55" t="s">
        <v>7898</v>
      </c>
      <c r="D344" s="158">
        <v>4795</v>
      </c>
      <c r="E344" s="158">
        <v>4805</v>
      </c>
      <c r="F344" s="158">
        <v>4867</v>
      </c>
      <c r="G344" s="56">
        <v>4866</v>
      </c>
      <c r="H344" s="56">
        <v>4838</v>
      </c>
      <c r="I344" s="56">
        <v>4799</v>
      </c>
      <c r="J344" s="56">
        <v>4858</v>
      </c>
      <c r="K344" s="56">
        <v>4917</v>
      </c>
      <c r="L344" s="56">
        <v>4825</v>
      </c>
      <c r="M344" s="56">
        <v>4831</v>
      </c>
      <c r="N344" s="56">
        <v>4966</v>
      </c>
      <c r="O344" s="56">
        <v>4936</v>
      </c>
      <c r="Q344" s="729" t="s">
        <v>839</v>
      </c>
    </row>
    <row r="345" spans="1:17">
      <c r="A345" s="729" t="s">
        <v>5420</v>
      </c>
      <c r="B345" s="729" t="s">
        <v>835</v>
      </c>
      <c r="C345" s="55" t="s">
        <v>7899</v>
      </c>
      <c r="D345" s="158">
        <v>4753</v>
      </c>
      <c r="E345" s="158">
        <v>4874</v>
      </c>
      <c r="F345" s="158">
        <v>4974</v>
      </c>
      <c r="G345" s="56">
        <v>5034</v>
      </c>
      <c r="H345" s="56">
        <v>4980</v>
      </c>
      <c r="I345" s="56">
        <v>5042</v>
      </c>
      <c r="J345" s="56">
        <v>5239</v>
      </c>
      <c r="K345" s="56">
        <v>5307</v>
      </c>
      <c r="L345" s="56">
        <v>5320</v>
      </c>
      <c r="M345" s="56">
        <v>5271</v>
      </c>
      <c r="N345" s="56">
        <v>5375</v>
      </c>
      <c r="O345" s="56">
        <v>5343</v>
      </c>
      <c r="Q345" s="729" t="s">
        <v>839</v>
      </c>
    </row>
    <row r="346" spans="1:17">
      <c r="A346" s="729" t="s">
        <v>5422</v>
      </c>
      <c r="B346" s="729" t="s">
        <v>836</v>
      </c>
      <c r="C346" s="55" t="s">
        <v>7900</v>
      </c>
      <c r="D346" s="158">
        <v>4753</v>
      </c>
      <c r="E346" s="158">
        <v>4797</v>
      </c>
      <c r="F346" s="158">
        <v>4873</v>
      </c>
      <c r="G346" s="58">
        <v>4861</v>
      </c>
      <c r="H346" s="58">
        <v>4813</v>
      </c>
      <c r="I346" s="58">
        <v>4861</v>
      </c>
      <c r="J346" s="58">
        <v>4898</v>
      </c>
      <c r="K346" s="58">
        <v>4963</v>
      </c>
      <c r="L346" s="58">
        <v>4935</v>
      </c>
      <c r="M346" s="58">
        <v>4885</v>
      </c>
      <c r="N346" s="58">
        <v>4925</v>
      </c>
      <c r="O346" s="58">
        <v>4906</v>
      </c>
      <c r="Q346" s="729" t="s">
        <v>839</v>
      </c>
    </row>
    <row r="347" spans="1:17">
      <c r="A347" s="729" t="s">
        <v>5424</v>
      </c>
      <c r="B347" s="729" t="s">
        <v>1539</v>
      </c>
      <c r="C347" s="55" t="s">
        <v>9277</v>
      </c>
      <c r="D347" s="737">
        <v>0</v>
      </c>
      <c r="E347" s="737">
        <v>0</v>
      </c>
      <c r="F347" s="737">
        <v>157</v>
      </c>
      <c r="G347" s="737">
        <v>164</v>
      </c>
      <c r="H347" s="56">
        <v>167</v>
      </c>
      <c r="I347" s="56">
        <v>166</v>
      </c>
      <c r="J347" s="56">
        <v>168</v>
      </c>
      <c r="K347" s="56">
        <v>168</v>
      </c>
      <c r="L347" s="56">
        <v>174</v>
      </c>
      <c r="M347" s="56">
        <v>169</v>
      </c>
      <c r="N347" s="56">
        <v>177</v>
      </c>
      <c r="O347" s="56">
        <v>178</v>
      </c>
      <c r="Q347" s="729" t="s">
        <v>1013</v>
      </c>
    </row>
    <row r="348" spans="1:17" ht="15.75" thickBot="1">
      <c r="A348" s="729"/>
      <c r="B348" s="729"/>
      <c r="C348" s="55" t="s">
        <v>9277</v>
      </c>
      <c r="D348" s="732">
        <v>1651</v>
      </c>
      <c r="E348" s="732">
        <v>1671</v>
      </c>
      <c r="F348" s="732">
        <v>1684</v>
      </c>
      <c r="G348" s="737">
        <v>1700</v>
      </c>
      <c r="H348" s="58">
        <v>1711</v>
      </c>
      <c r="I348" s="58">
        <v>1702</v>
      </c>
      <c r="J348" s="58">
        <v>1715</v>
      </c>
      <c r="K348" s="58">
        <v>1778</v>
      </c>
      <c r="L348" s="58">
        <v>1749</v>
      </c>
      <c r="M348" s="58">
        <v>1742</v>
      </c>
      <c r="N348" s="58">
        <v>1775</v>
      </c>
      <c r="O348" s="58">
        <v>1776</v>
      </c>
      <c r="Q348" s="729" t="s">
        <v>1764</v>
      </c>
    </row>
    <row r="349" spans="1:17" ht="15.75" thickBot="1">
      <c r="A349" s="729"/>
      <c r="B349" s="729"/>
      <c r="C349" s="55" t="s">
        <v>9277</v>
      </c>
      <c r="D349" s="736">
        <f>D347+D348</f>
        <v>1651</v>
      </c>
      <c r="E349" s="736">
        <f t="shared" ref="E349:L349" si="174">E347+E348</f>
        <v>1671</v>
      </c>
      <c r="F349" s="736">
        <f t="shared" si="174"/>
        <v>1841</v>
      </c>
      <c r="G349" s="736">
        <f t="shared" si="174"/>
        <v>1864</v>
      </c>
      <c r="H349" s="736">
        <f t="shared" si="174"/>
        <v>1878</v>
      </c>
      <c r="I349" s="736">
        <f t="shared" si="174"/>
        <v>1868</v>
      </c>
      <c r="J349" s="736">
        <f t="shared" si="174"/>
        <v>1883</v>
      </c>
      <c r="K349" s="736">
        <f t="shared" si="174"/>
        <v>1946</v>
      </c>
      <c r="L349" s="736">
        <f t="shared" si="174"/>
        <v>1923</v>
      </c>
      <c r="M349" s="736">
        <f>M347+M348</f>
        <v>1911</v>
      </c>
      <c r="N349" s="736">
        <f>N347+N348</f>
        <v>1952</v>
      </c>
      <c r="O349" s="736">
        <f>O347+O348</f>
        <v>1954</v>
      </c>
      <c r="Q349" s="729"/>
    </row>
    <row r="350" spans="1:17">
      <c r="A350" s="729" t="s">
        <v>5426</v>
      </c>
      <c r="B350" s="729" t="s">
        <v>1540</v>
      </c>
      <c r="C350" s="55" t="s">
        <v>7901</v>
      </c>
      <c r="D350" s="158">
        <v>1691</v>
      </c>
      <c r="E350" s="158">
        <v>1737</v>
      </c>
      <c r="F350" s="158">
        <v>1789</v>
      </c>
      <c r="G350" s="158">
        <v>1786</v>
      </c>
      <c r="H350" s="56">
        <v>1783</v>
      </c>
      <c r="I350" s="56">
        <v>1791</v>
      </c>
      <c r="J350" s="56">
        <v>1832</v>
      </c>
      <c r="K350" s="56">
        <v>1866</v>
      </c>
      <c r="L350" s="56">
        <v>1860</v>
      </c>
      <c r="M350" s="56">
        <v>1856</v>
      </c>
      <c r="N350" s="56">
        <v>1886</v>
      </c>
      <c r="O350" s="56">
        <v>1895</v>
      </c>
      <c r="Q350" s="729" t="s">
        <v>1013</v>
      </c>
    </row>
    <row r="351" spans="1:17">
      <c r="A351" s="729" t="s">
        <v>5428</v>
      </c>
      <c r="B351" s="729" t="s">
        <v>1541</v>
      </c>
      <c r="C351" s="55" t="s">
        <v>7902</v>
      </c>
      <c r="D351" s="158">
        <v>1579</v>
      </c>
      <c r="E351" s="158">
        <v>1573</v>
      </c>
      <c r="F351" s="158">
        <v>1570</v>
      </c>
      <c r="G351" s="158">
        <v>1535</v>
      </c>
      <c r="H351" s="56">
        <v>1479</v>
      </c>
      <c r="I351" s="56">
        <v>1481</v>
      </c>
      <c r="J351" s="56">
        <v>1561</v>
      </c>
      <c r="K351" s="56">
        <v>1603</v>
      </c>
      <c r="L351" s="56">
        <v>1597</v>
      </c>
      <c r="M351" s="56">
        <v>1589</v>
      </c>
      <c r="N351" s="56">
        <v>1611</v>
      </c>
      <c r="O351" s="56">
        <v>1619</v>
      </c>
      <c r="Q351" s="729" t="s">
        <v>1013</v>
      </c>
    </row>
    <row r="352" spans="1:17">
      <c r="A352" s="729" t="s">
        <v>5429</v>
      </c>
      <c r="B352" s="729" t="s">
        <v>1542</v>
      </c>
      <c r="C352" s="55" t="s">
        <v>7903</v>
      </c>
      <c r="D352" s="158">
        <v>3289</v>
      </c>
      <c r="E352" s="158">
        <v>3311</v>
      </c>
      <c r="F352" s="158">
        <v>3363</v>
      </c>
      <c r="G352" s="58">
        <v>3325</v>
      </c>
      <c r="H352" s="58">
        <v>3290</v>
      </c>
      <c r="I352" s="58">
        <v>3263</v>
      </c>
      <c r="J352" s="58">
        <v>3258</v>
      </c>
      <c r="K352" s="58">
        <v>3299</v>
      </c>
      <c r="L352" s="58">
        <v>3262</v>
      </c>
      <c r="M352" s="58">
        <v>3252</v>
      </c>
      <c r="N352" s="58">
        <v>3277</v>
      </c>
      <c r="O352" s="58">
        <v>3253</v>
      </c>
      <c r="Q352" s="729" t="s">
        <v>839</v>
      </c>
    </row>
    <row r="353" spans="1:17">
      <c r="A353" s="729" t="s">
        <v>5431</v>
      </c>
      <c r="B353" s="729" t="s">
        <v>1543</v>
      </c>
      <c r="C353" s="55" t="s">
        <v>7904</v>
      </c>
      <c r="D353" s="158">
        <v>3173</v>
      </c>
      <c r="E353" s="158">
        <v>3173</v>
      </c>
      <c r="F353" s="158">
        <v>3208</v>
      </c>
      <c r="G353" s="58">
        <v>3191</v>
      </c>
      <c r="H353" s="58">
        <v>3130</v>
      </c>
      <c r="I353" s="58">
        <v>3120</v>
      </c>
      <c r="J353" s="58">
        <v>3173</v>
      </c>
      <c r="K353" s="58">
        <v>3178</v>
      </c>
      <c r="L353" s="58">
        <v>3165</v>
      </c>
      <c r="M353" s="58">
        <v>3187</v>
      </c>
      <c r="N353" s="58">
        <v>3314</v>
      </c>
      <c r="O353" s="58">
        <v>3312</v>
      </c>
      <c r="Q353" s="729" t="s">
        <v>839</v>
      </c>
    </row>
    <row r="354" spans="1:17">
      <c r="A354" s="729" t="s">
        <v>5433</v>
      </c>
      <c r="B354" s="729" t="s">
        <v>1544</v>
      </c>
      <c r="C354" s="55" t="s">
        <v>7905</v>
      </c>
      <c r="D354" s="158">
        <v>3185</v>
      </c>
      <c r="E354" s="158">
        <v>3227</v>
      </c>
      <c r="F354" s="158">
        <v>3205</v>
      </c>
      <c r="G354" s="58">
        <v>3199</v>
      </c>
      <c r="H354" s="58">
        <v>3169</v>
      </c>
      <c r="I354" s="58">
        <v>3157</v>
      </c>
      <c r="J354" s="58">
        <v>3166</v>
      </c>
      <c r="K354" s="58">
        <v>3176</v>
      </c>
      <c r="L354" s="58">
        <v>3118</v>
      </c>
      <c r="M354" s="58">
        <v>3054</v>
      </c>
      <c r="N354" s="58">
        <v>3094</v>
      </c>
      <c r="O354" s="58">
        <v>3094</v>
      </c>
      <c r="Q354" s="729" t="s">
        <v>839</v>
      </c>
    </row>
    <row r="355" spans="1:17">
      <c r="A355" s="729" t="s">
        <v>5435</v>
      </c>
      <c r="B355" s="729" t="s">
        <v>1545</v>
      </c>
      <c r="C355" s="55" t="s">
        <v>7906</v>
      </c>
      <c r="D355" s="158">
        <v>3334</v>
      </c>
      <c r="E355" s="158">
        <v>3373</v>
      </c>
      <c r="F355" s="158">
        <v>3367</v>
      </c>
      <c r="G355" s="58">
        <v>3352</v>
      </c>
      <c r="H355" s="58">
        <v>3361</v>
      </c>
      <c r="I355" s="58">
        <v>3355</v>
      </c>
      <c r="J355" s="58">
        <v>3349</v>
      </c>
      <c r="K355" s="58">
        <v>3373</v>
      </c>
      <c r="L355" s="58">
        <v>3349</v>
      </c>
      <c r="M355" s="58">
        <v>3347</v>
      </c>
      <c r="N355" s="58">
        <v>3403</v>
      </c>
      <c r="O355" s="58">
        <v>3407</v>
      </c>
      <c r="Q355" s="729" t="s">
        <v>839</v>
      </c>
    </row>
    <row r="356" spans="1:17">
      <c r="A356" s="729" t="s">
        <v>5436</v>
      </c>
      <c r="B356" s="729" t="s">
        <v>1546</v>
      </c>
      <c r="C356" s="55" t="s">
        <v>7907</v>
      </c>
      <c r="D356" s="158">
        <v>3507</v>
      </c>
      <c r="E356" s="158">
        <v>3470</v>
      </c>
      <c r="F356" s="158">
        <v>3527</v>
      </c>
      <c r="G356" s="58">
        <v>3532</v>
      </c>
      <c r="H356" s="58">
        <v>3492</v>
      </c>
      <c r="I356" s="58">
        <v>3472</v>
      </c>
      <c r="J356" s="58">
        <v>3523</v>
      </c>
      <c r="K356" s="58">
        <v>3574</v>
      </c>
      <c r="L356" s="58">
        <v>3517</v>
      </c>
      <c r="M356" s="58">
        <v>3497</v>
      </c>
      <c r="N356" s="58">
        <v>3528</v>
      </c>
      <c r="O356" s="58">
        <v>3521</v>
      </c>
      <c r="Q356" s="729" t="s">
        <v>839</v>
      </c>
    </row>
    <row r="357" spans="1:17">
      <c r="A357" s="729" t="s">
        <v>5437</v>
      </c>
      <c r="B357" s="729" t="s">
        <v>2909</v>
      </c>
      <c r="C357" s="55" t="s">
        <v>7908</v>
      </c>
      <c r="D357" s="158">
        <v>3451</v>
      </c>
      <c r="E357" s="158">
        <v>3407</v>
      </c>
      <c r="F357" s="158">
        <v>3423</v>
      </c>
      <c r="G357" s="58">
        <v>3390</v>
      </c>
      <c r="H357" s="58">
        <v>3325</v>
      </c>
      <c r="I357" s="58">
        <v>3344</v>
      </c>
      <c r="J357" s="58">
        <v>3392</v>
      </c>
      <c r="K357" s="58">
        <v>3440</v>
      </c>
      <c r="L357" s="58">
        <v>3446</v>
      </c>
      <c r="M357" s="58">
        <v>3434</v>
      </c>
      <c r="N357" s="58">
        <v>3514</v>
      </c>
      <c r="O357" s="58">
        <v>3506</v>
      </c>
      <c r="Q357" s="729" t="s">
        <v>839</v>
      </c>
    </row>
    <row r="358" spans="1:17">
      <c r="A358" s="729" t="s">
        <v>5439</v>
      </c>
      <c r="B358" s="729" t="s">
        <v>2910</v>
      </c>
      <c r="C358" s="55" t="s">
        <v>7909</v>
      </c>
      <c r="D358" s="158">
        <v>3284</v>
      </c>
      <c r="E358" s="158">
        <v>3373</v>
      </c>
      <c r="F358" s="158">
        <v>3549</v>
      </c>
      <c r="G358" s="58">
        <v>3614</v>
      </c>
      <c r="H358" s="58">
        <v>3658</v>
      </c>
      <c r="I358" s="58">
        <v>3656</v>
      </c>
      <c r="J358" s="58">
        <v>3703</v>
      </c>
      <c r="K358" s="58">
        <v>3770</v>
      </c>
      <c r="L358" s="58">
        <v>3716</v>
      </c>
      <c r="M358" s="58">
        <v>3700</v>
      </c>
      <c r="N358" s="58">
        <v>3835</v>
      </c>
      <c r="O358" s="58">
        <v>3808</v>
      </c>
      <c r="Q358" s="729" t="s">
        <v>839</v>
      </c>
    </row>
    <row r="359" spans="1:17">
      <c r="A359" s="729" t="s">
        <v>5441</v>
      </c>
      <c r="B359" s="729" t="s">
        <v>2911</v>
      </c>
      <c r="C359" s="55" t="s">
        <v>7910</v>
      </c>
      <c r="D359" s="158">
        <v>3141</v>
      </c>
      <c r="E359" s="158">
        <v>3198</v>
      </c>
      <c r="F359" s="158">
        <v>3204</v>
      </c>
      <c r="G359" s="158">
        <v>3216</v>
      </c>
      <c r="H359" s="58">
        <v>3220</v>
      </c>
      <c r="I359" s="58">
        <v>3253</v>
      </c>
      <c r="J359" s="58">
        <v>3245</v>
      </c>
      <c r="K359" s="58">
        <v>3299</v>
      </c>
      <c r="L359" s="58">
        <v>3273</v>
      </c>
      <c r="M359" s="58">
        <v>3248</v>
      </c>
      <c r="N359" s="58">
        <v>3301</v>
      </c>
      <c r="O359" s="58">
        <v>3314</v>
      </c>
      <c r="Q359" s="729" t="s">
        <v>1764</v>
      </c>
    </row>
    <row r="360" spans="1:17">
      <c r="A360" s="729" t="s">
        <v>5886</v>
      </c>
      <c r="B360" s="729" t="s">
        <v>1530</v>
      </c>
      <c r="C360" s="55" t="s">
        <v>7911</v>
      </c>
      <c r="D360" s="158">
        <v>1717</v>
      </c>
      <c r="E360" s="158">
        <v>1708</v>
      </c>
      <c r="F360" s="158">
        <v>1783</v>
      </c>
      <c r="G360" s="158">
        <v>1760</v>
      </c>
      <c r="H360" s="58">
        <v>1681</v>
      </c>
      <c r="I360" s="58">
        <v>1659</v>
      </c>
      <c r="J360" s="58">
        <v>1699</v>
      </c>
      <c r="K360" s="58">
        <v>1730</v>
      </c>
      <c r="L360" s="58">
        <v>1715</v>
      </c>
      <c r="M360" s="58">
        <v>1726</v>
      </c>
      <c r="N360" s="58">
        <v>1732</v>
      </c>
      <c r="O360" s="58">
        <v>1731</v>
      </c>
      <c r="Q360" s="729" t="s">
        <v>1764</v>
      </c>
    </row>
    <row r="361" spans="1:17">
      <c r="A361" s="729" t="s">
        <v>5888</v>
      </c>
      <c r="B361" s="730" t="s">
        <v>1531</v>
      </c>
      <c r="C361" s="55" t="s">
        <v>9278</v>
      </c>
      <c r="D361" s="158">
        <v>1719</v>
      </c>
      <c r="E361" s="158">
        <v>1720</v>
      </c>
      <c r="F361" s="158">
        <v>1580</v>
      </c>
      <c r="G361" s="158">
        <v>1615</v>
      </c>
      <c r="H361" s="56">
        <v>1618</v>
      </c>
      <c r="I361" s="56">
        <v>1634</v>
      </c>
      <c r="J361" s="56">
        <v>1661</v>
      </c>
      <c r="K361" s="56">
        <v>1725</v>
      </c>
      <c r="L361" s="56">
        <v>1694</v>
      </c>
      <c r="M361" s="56">
        <v>1725</v>
      </c>
      <c r="N361" s="56">
        <v>1740</v>
      </c>
      <c r="O361" s="56">
        <v>1744</v>
      </c>
      <c r="Q361" s="729" t="s">
        <v>1013</v>
      </c>
    </row>
    <row r="362" spans="1:17">
      <c r="A362" s="729" t="s">
        <v>5889</v>
      </c>
      <c r="B362" s="729" t="s">
        <v>1532</v>
      </c>
      <c r="C362" s="55" t="s">
        <v>7912</v>
      </c>
      <c r="D362" s="158">
        <v>3509</v>
      </c>
      <c r="E362" s="158">
        <v>3529</v>
      </c>
      <c r="F362" s="158">
        <v>3658</v>
      </c>
      <c r="G362" s="158">
        <v>3732</v>
      </c>
      <c r="H362" s="56">
        <v>3687</v>
      </c>
      <c r="I362" s="56">
        <v>3681</v>
      </c>
      <c r="J362" s="56">
        <v>3659</v>
      </c>
      <c r="K362" s="56">
        <v>3757</v>
      </c>
      <c r="L362" s="56">
        <v>3693</v>
      </c>
      <c r="M362" s="56">
        <v>3694</v>
      </c>
      <c r="N362" s="56">
        <v>3710</v>
      </c>
      <c r="O362" s="56">
        <v>3688</v>
      </c>
      <c r="Q362" s="729" t="s">
        <v>1013</v>
      </c>
    </row>
    <row r="363" spans="1:17">
      <c r="A363" s="729" t="s">
        <v>4431</v>
      </c>
      <c r="B363" s="729" t="s">
        <v>1533</v>
      </c>
      <c r="C363" s="55" t="s">
        <v>7913</v>
      </c>
      <c r="D363" s="158">
        <v>1754</v>
      </c>
      <c r="E363" s="158">
        <v>1772</v>
      </c>
      <c r="F363" s="158">
        <v>1811</v>
      </c>
      <c r="G363" s="158">
        <v>1838</v>
      </c>
      <c r="H363" s="56">
        <v>1823</v>
      </c>
      <c r="I363" s="56">
        <v>1847</v>
      </c>
      <c r="J363" s="56">
        <v>1884</v>
      </c>
      <c r="K363" s="56">
        <v>1911</v>
      </c>
      <c r="L363" s="56">
        <v>1897</v>
      </c>
      <c r="M363" s="56">
        <v>1895</v>
      </c>
      <c r="N363" s="56">
        <v>1900</v>
      </c>
      <c r="O363" s="56">
        <v>1919</v>
      </c>
      <c r="Q363" s="729" t="s">
        <v>1013</v>
      </c>
    </row>
    <row r="364" spans="1:17">
      <c r="A364" s="729" t="s">
        <v>4432</v>
      </c>
      <c r="B364" s="729" t="s">
        <v>3233</v>
      </c>
      <c r="C364" s="55" t="s">
        <v>7914</v>
      </c>
      <c r="D364" s="158">
        <v>1749</v>
      </c>
      <c r="E364" s="158">
        <v>1743</v>
      </c>
      <c r="F364" s="158">
        <v>1765</v>
      </c>
      <c r="G364" s="158">
        <v>1780</v>
      </c>
      <c r="H364" s="58">
        <v>1785</v>
      </c>
      <c r="I364" s="58">
        <v>1761</v>
      </c>
      <c r="J364" s="58">
        <v>1780</v>
      </c>
      <c r="K364" s="58">
        <v>1779</v>
      </c>
      <c r="L364" s="58">
        <v>1756</v>
      </c>
      <c r="M364" s="58">
        <v>1729</v>
      </c>
      <c r="N364" s="58">
        <v>1744</v>
      </c>
      <c r="O364" s="58">
        <v>1741</v>
      </c>
      <c r="Q364" s="729" t="s">
        <v>1764</v>
      </c>
    </row>
    <row r="365" spans="1:17">
      <c r="A365" s="729" t="s">
        <v>4434</v>
      </c>
      <c r="B365" s="729" t="s">
        <v>1534</v>
      </c>
      <c r="C365" s="55" t="s">
        <v>7915</v>
      </c>
      <c r="D365" s="733">
        <v>1714</v>
      </c>
      <c r="E365" s="733">
        <v>1705</v>
      </c>
      <c r="F365" s="733">
        <v>1702</v>
      </c>
      <c r="G365" s="733">
        <v>1720</v>
      </c>
      <c r="H365" s="56">
        <v>1727</v>
      </c>
      <c r="I365" s="56">
        <v>1720</v>
      </c>
      <c r="J365" s="56">
        <v>1737</v>
      </c>
      <c r="K365" s="56">
        <v>1794</v>
      </c>
      <c r="L365" s="56">
        <v>1759</v>
      </c>
      <c r="M365" s="56">
        <v>1778</v>
      </c>
      <c r="N365" s="56">
        <v>1842</v>
      </c>
      <c r="O365" s="56">
        <v>1857</v>
      </c>
      <c r="Q365" s="729" t="s">
        <v>1013</v>
      </c>
    </row>
    <row r="366" spans="1:17">
      <c r="A366" s="729" t="s">
        <v>4533</v>
      </c>
      <c r="B366" s="729" t="s">
        <v>1535</v>
      </c>
      <c r="C366" s="55" t="s">
        <v>7916</v>
      </c>
      <c r="D366" s="158">
        <v>3232</v>
      </c>
      <c r="E366" s="158">
        <v>3258</v>
      </c>
      <c r="F366" s="158">
        <v>3291</v>
      </c>
      <c r="G366" s="58">
        <v>3300</v>
      </c>
      <c r="H366" s="58">
        <v>3296</v>
      </c>
      <c r="I366" s="58">
        <v>3261</v>
      </c>
      <c r="J366" s="58">
        <v>3296</v>
      </c>
      <c r="K366" s="58">
        <v>3332</v>
      </c>
      <c r="L366" s="58">
        <v>3321</v>
      </c>
      <c r="M366" s="58">
        <v>3279</v>
      </c>
      <c r="N366" s="58">
        <v>3327</v>
      </c>
      <c r="O366" s="58">
        <v>3323</v>
      </c>
      <c r="Q366" s="729" t="s">
        <v>839</v>
      </c>
    </row>
    <row r="367" spans="1:17">
      <c r="A367" s="729" t="s">
        <v>4535</v>
      </c>
      <c r="B367" s="729" t="s">
        <v>1536</v>
      </c>
      <c r="C367" s="55" t="s">
        <v>7917</v>
      </c>
      <c r="D367" s="158">
        <v>1776</v>
      </c>
      <c r="E367" s="158">
        <v>1775</v>
      </c>
      <c r="F367" s="158">
        <v>1765</v>
      </c>
      <c r="G367" s="58">
        <v>1856</v>
      </c>
      <c r="H367" s="58">
        <v>1937</v>
      </c>
      <c r="I367" s="58">
        <v>1929</v>
      </c>
      <c r="J367" s="58">
        <v>1987</v>
      </c>
      <c r="K367" s="58">
        <v>2026</v>
      </c>
      <c r="L367" s="58">
        <v>2023</v>
      </c>
      <c r="M367" s="58">
        <v>2017</v>
      </c>
      <c r="N367" s="58">
        <v>2034</v>
      </c>
      <c r="O367" s="58">
        <v>2023</v>
      </c>
      <c r="Q367" s="729" t="s">
        <v>839</v>
      </c>
    </row>
    <row r="368" spans="1:17">
      <c r="A368" s="729" t="s">
        <v>4537</v>
      </c>
      <c r="B368" s="729" t="s">
        <v>1537</v>
      </c>
      <c r="C368" s="55" t="s">
        <v>7918</v>
      </c>
      <c r="D368" s="158">
        <v>4582</v>
      </c>
      <c r="E368" s="158">
        <v>4569</v>
      </c>
      <c r="F368" s="158">
        <v>4615</v>
      </c>
      <c r="G368" s="58">
        <v>4600</v>
      </c>
      <c r="H368" s="58">
        <v>4489</v>
      </c>
      <c r="I368" s="58">
        <v>4508</v>
      </c>
      <c r="J368" s="58">
        <v>4508</v>
      </c>
      <c r="K368" s="58">
        <v>4554</v>
      </c>
      <c r="L368" s="58">
        <v>4531</v>
      </c>
      <c r="M368" s="58">
        <v>4477</v>
      </c>
      <c r="N368" s="58">
        <v>4511</v>
      </c>
      <c r="O368" s="58">
        <v>4503</v>
      </c>
      <c r="Q368" s="729" t="s">
        <v>839</v>
      </c>
    </row>
    <row r="369" spans="1:17">
      <c r="A369" s="729" t="s">
        <v>4539</v>
      </c>
      <c r="B369" s="729" t="s">
        <v>1538</v>
      </c>
      <c r="C369" s="55" t="s">
        <v>7919</v>
      </c>
      <c r="D369" s="158">
        <v>3216</v>
      </c>
      <c r="E369" s="158">
        <v>3186</v>
      </c>
      <c r="F369" s="158">
        <v>3229</v>
      </c>
      <c r="G369" s="58">
        <v>3242</v>
      </c>
      <c r="H369" s="58">
        <v>3225</v>
      </c>
      <c r="I369" s="58">
        <v>3256</v>
      </c>
      <c r="J369" s="58">
        <v>3254</v>
      </c>
      <c r="K369" s="58">
        <v>3276</v>
      </c>
      <c r="L369" s="58">
        <v>3260</v>
      </c>
      <c r="M369" s="58">
        <v>3213</v>
      </c>
      <c r="N369" s="58">
        <v>3187</v>
      </c>
      <c r="O369" s="58">
        <v>3182</v>
      </c>
      <c r="Q369" s="729" t="s">
        <v>839</v>
      </c>
    </row>
    <row r="370" spans="1:17">
      <c r="A370" s="740">
        <v>31</v>
      </c>
      <c r="B370" s="729" t="s">
        <v>4379</v>
      </c>
      <c r="C370" s="55" t="s">
        <v>7920</v>
      </c>
      <c r="D370" s="158">
        <v>3290</v>
      </c>
      <c r="E370" s="158">
        <v>3328</v>
      </c>
      <c r="F370" s="158">
        <v>3323</v>
      </c>
      <c r="G370" s="58">
        <v>3387</v>
      </c>
      <c r="H370" s="58">
        <v>3353</v>
      </c>
      <c r="I370" s="58">
        <v>3346</v>
      </c>
      <c r="J370" s="58">
        <v>3362</v>
      </c>
      <c r="K370" s="58">
        <v>3331</v>
      </c>
      <c r="L370" s="58">
        <v>3278</v>
      </c>
      <c r="M370" s="58">
        <v>3377</v>
      </c>
      <c r="N370" s="58">
        <v>3392</v>
      </c>
      <c r="O370" s="58">
        <v>3389</v>
      </c>
      <c r="Q370" s="729" t="s">
        <v>839</v>
      </c>
    </row>
    <row r="371" spans="1:17">
      <c r="A371" s="740">
        <v>32</v>
      </c>
      <c r="B371" s="729" t="s">
        <v>4380</v>
      </c>
      <c r="C371" s="55" t="s">
        <v>7921</v>
      </c>
      <c r="D371" s="158">
        <v>3063</v>
      </c>
      <c r="E371" s="158">
        <v>3042</v>
      </c>
      <c r="F371" s="158">
        <v>3075</v>
      </c>
      <c r="G371" s="58">
        <v>3072</v>
      </c>
      <c r="H371" s="58">
        <v>2993</v>
      </c>
      <c r="I371" s="58">
        <v>3025</v>
      </c>
      <c r="J371" s="58">
        <v>3056</v>
      </c>
      <c r="K371" s="58">
        <v>3106</v>
      </c>
      <c r="L371" s="58">
        <v>3132</v>
      </c>
      <c r="M371" s="58">
        <v>3175</v>
      </c>
      <c r="N371" s="58">
        <v>3219</v>
      </c>
      <c r="O371" s="58">
        <v>3229</v>
      </c>
      <c r="Q371" s="729" t="s">
        <v>839</v>
      </c>
    </row>
    <row r="372" spans="1:17">
      <c r="D372" s="733"/>
      <c r="E372" s="733"/>
      <c r="F372" s="733"/>
      <c r="G372" s="733"/>
      <c r="H372" s="733"/>
      <c r="I372" s="733"/>
      <c r="J372" s="733"/>
      <c r="K372" s="733"/>
      <c r="L372" s="733"/>
      <c r="M372" s="733"/>
      <c r="N372" s="733"/>
      <c r="O372" s="733"/>
    </row>
    <row r="373" spans="1:17">
      <c r="A373" s="729" t="s">
        <v>2830</v>
      </c>
      <c r="D373" s="158">
        <f>D343+D347+D350+D351+SUM(D361:D363)+D365</f>
        <v>15200</v>
      </c>
      <c r="E373" s="158">
        <f>E343+E347+E350+E351+SUM(E361:E363)+E365</f>
        <v>15349</v>
      </c>
      <c r="F373" s="158">
        <f t="shared" ref="F373:K373" si="175">F343+F347+F350+F351+SUM(F361:F363)+F365</f>
        <v>15588</v>
      </c>
      <c r="G373" s="158">
        <f t="shared" si="175"/>
        <v>15740</v>
      </c>
      <c r="H373" s="158">
        <f t="shared" si="175"/>
        <v>15735</v>
      </c>
      <c r="I373" s="158">
        <f t="shared" si="175"/>
        <v>15771</v>
      </c>
      <c r="J373" s="158">
        <f t="shared" si="175"/>
        <v>15937</v>
      </c>
      <c r="K373" s="158">
        <f t="shared" si="175"/>
        <v>16310</v>
      </c>
      <c r="L373" s="158">
        <f>L343+L347+L350+L351+SUM(L361:L363)+L365</f>
        <v>16110</v>
      </c>
      <c r="M373" s="158">
        <f>M343+M347+M350+M351+SUM(M361:M363)+M365</f>
        <v>16140</v>
      </c>
      <c r="N373" s="158">
        <f>N343+N347+N350+N351+SUM(N361:N363)+N365</f>
        <v>16317</v>
      </c>
      <c r="O373" s="158">
        <f>O343+O347+O350+O351+SUM(O361:O363)+O365</f>
        <v>16351</v>
      </c>
    </row>
    <row r="374" spans="1:17">
      <c r="A374" s="729" t="s">
        <v>839</v>
      </c>
      <c r="D374" s="158">
        <f t="shared" ref="D374:I374" si="176">SUM(D338:D342)+SUM(D344:D346)+SUM(D352:D358)+SUM(D366:D371)</f>
        <v>72006</v>
      </c>
      <c r="E374" s="158">
        <f t="shared" si="176"/>
        <v>72212</v>
      </c>
      <c r="F374" s="158">
        <f t="shared" si="176"/>
        <v>73041</v>
      </c>
      <c r="G374" s="158">
        <f t="shared" si="176"/>
        <v>73271</v>
      </c>
      <c r="H374" s="158">
        <f t="shared" si="176"/>
        <v>72705</v>
      </c>
      <c r="I374" s="158">
        <f t="shared" si="176"/>
        <v>72843</v>
      </c>
      <c r="J374" s="158">
        <f t="shared" ref="J374:O374" si="177">SUM(J338:J342)+SUM(J344:J346)+SUM(J352:J358)+SUM(J366:J371)</f>
        <v>73521</v>
      </c>
      <c r="K374" s="158">
        <f t="shared" si="177"/>
        <v>74281</v>
      </c>
      <c r="L374" s="158">
        <f t="shared" si="177"/>
        <v>73817</v>
      </c>
      <c r="M374" s="158">
        <f t="shared" si="177"/>
        <v>73638</v>
      </c>
      <c r="N374" s="158">
        <f t="shared" si="177"/>
        <v>74752</v>
      </c>
      <c r="O374" s="158">
        <f t="shared" si="177"/>
        <v>74553</v>
      </c>
    </row>
    <row r="375" spans="1:17">
      <c r="A375" s="729" t="s">
        <v>4381</v>
      </c>
      <c r="D375" s="158">
        <f>D348+D359+D360+D364</f>
        <v>8258</v>
      </c>
      <c r="E375" s="158">
        <f>E348+E359+E360+E364</f>
        <v>8320</v>
      </c>
      <c r="F375" s="158">
        <f t="shared" ref="F375:K375" si="178">F348+F359+F360+F364</f>
        <v>8436</v>
      </c>
      <c r="G375" s="158">
        <f t="shared" si="178"/>
        <v>8456</v>
      </c>
      <c r="H375" s="158">
        <f t="shared" si="178"/>
        <v>8397</v>
      </c>
      <c r="I375" s="158">
        <f t="shared" si="178"/>
        <v>8375</v>
      </c>
      <c r="J375" s="158">
        <f t="shared" si="178"/>
        <v>8439</v>
      </c>
      <c r="K375" s="158">
        <f t="shared" si="178"/>
        <v>8586</v>
      </c>
      <c r="L375" s="158">
        <f>L348+L359+L360+L364</f>
        <v>8493</v>
      </c>
      <c r="M375" s="158">
        <f>M348+M359+M360+M364</f>
        <v>8445</v>
      </c>
      <c r="N375" s="158">
        <f>N348+N359+N360+N364</f>
        <v>8552</v>
      </c>
      <c r="O375" s="158">
        <f>O348+O359+O360+O364</f>
        <v>8562</v>
      </c>
    </row>
    <row r="376" spans="1:17">
      <c r="A376" s="729"/>
      <c r="D376" s="158"/>
      <c r="E376" s="158"/>
      <c r="F376" s="158"/>
      <c r="G376" s="158"/>
      <c r="H376" s="158"/>
      <c r="I376" s="158"/>
      <c r="J376" s="158"/>
      <c r="K376" s="158"/>
      <c r="L376" s="158"/>
      <c r="M376" s="158"/>
      <c r="N376" s="158"/>
      <c r="O376" s="158"/>
    </row>
    <row r="377" spans="1:17">
      <c r="A377" s="729" t="s">
        <v>9089</v>
      </c>
      <c r="D377" s="158"/>
      <c r="E377" s="158"/>
      <c r="F377" s="158"/>
      <c r="G377" s="158"/>
      <c r="H377" s="158"/>
      <c r="I377" s="158"/>
      <c r="J377" s="158"/>
      <c r="K377" s="158"/>
      <c r="L377" s="158"/>
      <c r="M377" s="158"/>
      <c r="N377" s="158"/>
      <c r="O377" s="158"/>
    </row>
    <row r="378" spans="1:17">
      <c r="A378" s="729" t="s">
        <v>9276</v>
      </c>
      <c r="D378" s="158"/>
      <c r="E378" s="158"/>
      <c r="F378" s="158"/>
      <c r="G378" s="158"/>
      <c r="H378" s="158"/>
      <c r="I378" s="158"/>
      <c r="J378" s="158"/>
      <c r="K378" s="158"/>
      <c r="L378" s="158"/>
      <c r="M378" s="158"/>
      <c r="N378" s="158"/>
      <c r="O378" s="158"/>
    </row>
    <row r="379" spans="1:17">
      <c r="A379" s="739"/>
    </row>
    <row r="380" spans="1:17">
      <c r="A380" s="739"/>
    </row>
    <row r="381" spans="1:17">
      <c r="E381" s="51" t="s">
        <v>1526</v>
      </c>
      <c r="F381" s="51"/>
      <c r="G381" s="51"/>
      <c r="H381" s="51"/>
      <c r="I381" s="51"/>
      <c r="J381" s="51"/>
      <c r="K381" s="51"/>
      <c r="L381" s="51"/>
      <c r="M381" s="51"/>
      <c r="N381" s="51"/>
      <c r="O381" s="51"/>
      <c r="P381" s="52"/>
      <c r="Q381" s="53" t="s">
        <v>9479</v>
      </c>
    </row>
    <row r="382" spans="1:17">
      <c r="D382" s="40">
        <v>2010</v>
      </c>
      <c r="E382" s="40">
        <v>2011</v>
      </c>
      <c r="F382" s="40">
        <v>2012</v>
      </c>
      <c r="G382" s="40">
        <v>2013</v>
      </c>
      <c r="H382" s="40">
        <v>2014</v>
      </c>
      <c r="I382" s="40">
        <v>2015</v>
      </c>
      <c r="J382" s="40">
        <v>2016</v>
      </c>
      <c r="K382" s="40">
        <v>2017</v>
      </c>
      <c r="L382" s="40">
        <v>2018</v>
      </c>
      <c r="M382" s="40">
        <v>2019</v>
      </c>
      <c r="N382" s="40">
        <v>2020</v>
      </c>
      <c r="O382" s="977" t="s">
        <v>14823</v>
      </c>
      <c r="Q382" s="54" t="s">
        <v>1527</v>
      </c>
    </row>
    <row r="383" spans="1:17">
      <c r="A383" s="729" t="s">
        <v>4382</v>
      </c>
      <c r="D383" s="158">
        <f t="shared" ref="D383:I383" si="179">SUM(D384:D394)</f>
        <v>59167</v>
      </c>
      <c r="E383" s="158">
        <f t="shared" si="179"/>
        <v>59380</v>
      </c>
      <c r="F383" s="158">
        <f t="shared" si="179"/>
        <v>60159</v>
      </c>
      <c r="G383" s="158">
        <f t="shared" si="179"/>
        <v>60705</v>
      </c>
      <c r="H383" s="158">
        <f t="shared" si="179"/>
        <v>60380</v>
      </c>
      <c r="I383" s="158">
        <f t="shared" si="179"/>
        <v>58988</v>
      </c>
      <c r="J383" s="158">
        <f t="shared" ref="J383:O383" si="180">SUM(J384:J394)</f>
        <v>57532</v>
      </c>
      <c r="K383" s="158">
        <f t="shared" si="180"/>
        <v>58776</v>
      </c>
      <c r="L383" s="158">
        <f t="shared" si="180"/>
        <v>58671</v>
      </c>
      <c r="M383" s="158">
        <f t="shared" si="180"/>
        <v>57746</v>
      </c>
      <c r="N383" s="158">
        <f t="shared" si="180"/>
        <v>58438</v>
      </c>
      <c r="O383" s="158">
        <f t="shared" si="180"/>
        <v>59682</v>
      </c>
    </row>
    <row r="384" spans="1:17">
      <c r="A384" s="729" t="s">
        <v>5387</v>
      </c>
      <c r="B384" s="729" t="s">
        <v>4383</v>
      </c>
      <c r="C384" s="55" t="s">
        <v>7922</v>
      </c>
      <c r="D384" s="158">
        <v>5552</v>
      </c>
      <c r="E384" s="158">
        <v>5572</v>
      </c>
      <c r="F384" s="158">
        <v>5598</v>
      </c>
      <c r="G384" s="56">
        <v>5646</v>
      </c>
      <c r="H384" s="56">
        <v>5625</v>
      </c>
      <c r="I384" s="56">
        <v>5489</v>
      </c>
      <c r="J384" s="56">
        <v>5350</v>
      </c>
      <c r="K384" s="56">
        <v>5379</v>
      </c>
      <c r="L384" s="56">
        <v>5366</v>
      </c>
      <c r="M384" s="56">
        <v>5264</v>
      </c>
      <c r="N384" s="56">
        <v>5291</v>
      </c>
      <c r="O384" s="56">
        <v>5343</v>
      </c>
      <c r="Q384" s="729" t="s">
        <v>1764</v>
      </c>
    </row>
    <row r="385" spans="1:17">
      <c r="A385" s="729" t="s">
        <v>5389</v>
      </c>
      <c r="B385" s="729" t="s">
        <v>4384</v>
      </c>
      <c r="C385" s="55" t="s">
        <v>7923</v>
      </c>
      <c r="D385" s="158">
        <v>6278</v>
      </c>
      <c r="E385" s="158">
        <v>6204</v>
      </c>
      <c r="F385" s="158">
        <v>6263</v>
      </c>
      <c r="G385" s="56">
        <v>6331</v>
      </c>
      <c r="H385" s="56">
        <v>6258</v>
      </c>
      <c r="I385" s="56">
        <v>6193</v>
      </c>
      <c r="J385" s="56">
        <v>6067</v>
      </c>
      <c r="K385" s="56">
        <v>6255</v>
      </c>
      <c r="L385" s="56">
        <v>6272</v>
      </c>
      <c r="M385" s="56">
        <v>6138</v>
      </c>
      <c r="N385" s="56">
        <v>6192</v>
      </c>
      <c r="O385" s="56">
        <v>6324</v>
      </c>
      <c r="Q385" s="729" t="s">
        <v>1764</v>
      </c>
    </row>
    <row r="386" spans="1:17">
      <c r="A386" s="729" t="s">
        <v>5391</v>
      </c>
      <c r="B386" s="729" t="s">
        <v>4385</v>
      </c>
      <c r="C386" s="55" t="s">
        <v>7924</v>
      </c>
      <c r="D386" s="158">
        <v>5143</v>
      </c>
      <c r="E386" s="158">
        <v>5062</v>
      </c>
      <c r="F386" s="158">
        <v>5059</v>
      </c>
      <c r="G386" s="56">
        <v>5122</v>
      </c>
      <c r="H386" s="56">
        <v>5069</v>
      </c>
      <c r="I386" s="56">
        <v>4992</v>
      </c>
      <c r="J386" s="56">
        <v>4899</v>
      </c>
      <c r="K386" s="56">
        <v>4948</v>
      </c>
      <c r="L386" s="56">
        <v>4861</v>
      </c>
      <c r="M386" s="56">
        <v>4749</v>
      </c>
      <c r="N386" s="56">
        <v>4715</v>
      </c>
      <c r="O386" s="56">
        <v>4751</v>
      </c>
      <c r="Q386" s="729" t="s">
        <v>1764</v>
      </c>
    </row>
    <row r="387" spans="1:17">
      <c r="A387" s="729" t="s">
        <v>5393</v>
      </c>
      <c r="B387" s="729" t="s">
        <v>4386</v>
      </c>
      <c r="C387" s="55" t="s">
        <v>7925</v>
      </c>
      <c r="D387" s="158">
        <v>5453</v>
      </c>
      <c r="E387" s="158">
        <v>5486</v>
      </c>
      <c r="F387" s="158">
        <v>5494</v>
      </c>
      <c r="G387" s="56">
        <v>5544</v>
      </c>
      <c r="H387" s="56">
        <v>5499</v>
      </c>
      <c r="I387" s="56">
        <v>5402</v>
      </c>
      <c r="J387" s="56">
        <v>5299</v>
      </c>
      <c r="K387" s="56">
        <v>5423</v>
      </c>
      <c r="L387" s="56">
        <v>5402</v>
      </c>
      <c r="M387" s="56">
        <v>5263</v>
      </c>
      <c r="N387" s="56">
        <v>5208</v>
      </c>
      <c r="O387" s="56">
        <v>5309</v>
      </c>
      <c r="Q387" s="729" t="s">
        <v>1764</v>
      </c>
    </row>
    <row r="388" spans="1:17">
      <c r="A388" s="729" t="s">
        <v>5394</v>
      </c>
      <c r="B388" s="729" t="s">
        <v>4387</v>
      </c>
      <c r="C388" s="55" t="s">
        <v>7926</v>
      </c>
      <c r="D388" s="158">
        <v>5634</v>
      </c>
      <c r="E388" s="158">
        <v>5750</v>
      </c>
      <c r="F388" s="158">
        <v>5922</v>
      </c>
      <c r="G388" s="56">
        <v>6048</v>
      </c>
      <c r="H388" s="56">
        <v>5974</v>
      </c>
      <c r="I388" s="56">
        <v>5808</v>
      </c>
      <c r="J388" s="56">
        <v>5629</v>
      </c>
      <c r="K388" s="56">
        <v>5739</v>
      </c>
      <c r="L388" s="56">
        <v>5715</v>
      </c>
      <c r="M388" s="56">
        <v>5631</v>
      </c>
      <c r="N388" s="56">
        <v>5752</v>
      </c>
      <c r="O388" s="56">
        <v>5888</v>
      </c>
      <c r="Q388" s="729" t="s">
        <v>1764</v>
      </c>
    </row>
    <row r="389" spans="1:17">
      <c r="A389" s="729" t="s">
        <v>5416</v>
      </c>
      <c r="B389" s="729" t="s">
        <v>4388</v>
      </c>
      <c r="C389" s="55" t="s">
        <v>7927</v>
      </c>
      <c r="D389" s="158">
        <v>5032</v>
      </c>
      <c r="E389" s="158">
        <v>5029</v>
      </c>
      <c r="F389" s="158">
        <v>5146</v>
      </c>
      <c r="G389" s="56">
        <v>5147</v>
      </c>
      <c r="H389" s="56">
        <v>5179</v>
      </c>
      <c r="I389" s="56">
        <v>5033</v>
      </c>
      <c r="J389" s="56">
        <v>4879</v>
      </c>
      <c r="K389" s="56">
        <v>5003</v>
      </c>
      <c r="L389" s="56">
        <v>5030</v>
      </c>
      <c r="M389" s="56">
        <v>4926</v>
      </c>
      <c r="N389" s="56">
        <v>4962</v>
      </c>
      <c r="O389" s="56">
        <v>5067</v>
      </c>
      <c r="Q389" s="729" t="s">
        <v>1764</v>
      </c>
    </row>
    <row r="390" spans="1:17">
      <c r="A390" s="729" t="s">
        <v>5418</v>
      </c>
      <c r="B390" s="729" t="s">
        <v>8896</v>
      </c>
      <c r="C390" s="55" t="s">
        <v>7928</v>
      </c>
      <c r="D390" s="158">
        <v>5365</v>
      </c>
      <c r="E390" s="158">
        <v>5377</v>
      </c>
      <c r="F390" s="158">
        <v>5388</v>
      </c>
      <c r="G390" s="56">
        <v>5342</v>
      </c>
      <c r="H390" s="56">
        <v>5337</v>
      </c>
      <c r="I390" s="56">
        <v>5188</v>
      </c>
      <c r="J390" s="56">
        <v>5089</v>
      </c>
      <c r="K390" s="56">
        <v>5206</v>
      </c>
      <c r="L390" s="56">
        <v>5184</v>
      </c>
      <c r="M390" s="56">
        <v>5096</v>
      </c>
      <c r="N390" s="56">
        <v>5222</v>
      </c>
      <c r="O390" s="56">
        <v>5345</v>
      </c>
      <c r="Q390" s="729" t="s">
        <v>1764</v>
      </c>
    </row>
    <row r="391" spans="1:17">
      <c r="A391" s="729" t="s">
        <v>5420</v>
      </c>
      <c r="B391" s="729" t="s">
        <v>4389</v>
      </c>
      <c r="C391" s="55" t="s">
        <v>7929</v>
      </c>
      <c r="D391" s="158">
        <v>5156</v>
      </c>
      <c r="E391" s="158">
        <v>5338</v>
      </c>
      <c r="F391" s="158">
        <v>5413</v>
      </c>
      <c r="G391" s="56">
        <v>5593</v>
      </c>
      <c r="H391" s="56">
        <v>5696</v>
      </c>
      <c r="I391" s="56">
        <v>5594</v>
      </c>
      <c r="J391" s="56">
        <v>5661</v>
      </c>
      <c r="K391" s="56">
        <v>6071</v>
      </c>
      <c r="L391" s="56">
        <v>6296</v>
      </c>
      <c r="M391" s="56">
        <v>6386</v>
      </c>
      <c r="N391" s="56">
        <v>6755</v>
      </c>
      <c r="O391" s="56">
        <v>6992</v>
      </c>
      <c r="Q391" s="729" t="s">
        <v>1764</v>
      </c>
    </row>
    <row r="392" spans="1:17">
      <c r="A392" s="729" t="s">
        <v>5422</v>
      </c>
      <c r="B392" s="729" t="s">
        <v>4390</v>
      </c>
      <c r="C392" s="55" t="s">
        <v>7930</v>
      </c>
      <c r="D392" s="158">
        <v>4966</v>
      </c>
      <c r="E392" s="158">
        <v>4978</v>
      </c>
      <c r="F392" s="158">
        <v>5081</v>
      </c>
      <c r="G392" s="56">
        <v>5109</v>
      </c>
      <c r="H392" s="56">
        <v>5039</v>
      </c>
      <c r="I392" s="56">
        <v>4848</v>
      </c>
      <c r="J392" s="56">
        <v>4600</v>
      </c>
      <c r="K392" s="56">
        <v>4527</v>
      </c>
      <c r="L392" s="56">
        <v>4436</v>
      </c>
      <c r="M392" s="56">
        <v>4428</v>
      </c>
      <c r="N392" s="56">
        <v>4500</v>
      </c>
      <c r="O392" s="56">
        <v>4610</v>
      </c>
      <c r="Q392" s="729" t="s">
        <v>1764</v>
      </c>
    </row>
    <row r="393" spans="1:17">
      <c r="A393" s="729" t="s">
        <v>5424</v>
      </c>
      <c r="B393" s="729" t="s">
        <v>6609</v>
      </c>
      <c r="C393" s="55" t="s">
        <v>7931</v>
      </c>
      <c r="D393" s="158">
        <v>5303</v>
      </c>
      <c r="E393" s="158">
        <v>5300</v>
      </c>
      <c r="F393" s="158">
        <v>5300</v>
      </c>
      <c r="G393" s="56">
        <v>5302</v>
      </c>
      <c r="H393" s="56">
        <v>5250</v>
      </c>
      <c r="I393" s="56">
        <v>5162</v>
      </c>
      <c r="J393" s="56">
        <v>4974</v>
      </c>
      <c r="K393" s="56">
        <v>5063</v>
      </c>
      <c r="L393" s="56">
        <v>4983</v>
      </c>
      <c r="M393" s="56">
        <v>4884</v>
      </c>
      <c r="N393" s="56">
        <v>4853</v>
      </c>
      <c r="O393" s="56">
        <v>4955</v>
      </c>
      <c r="Q393" s="729" t="s">
        <v>1764</v>
      </c>
    </row>
    <row r="394" spans="1:17">
      <c r="A394" s="729" t="s">
        <v>5426</v>
      </c>
      <c r="B394" s="729" t="s">
        <v>5859</v>
      </c>
      <c r="C394" s="55" t="s">
        <v>7932</v>
      </c>
      <c r="D394" s="158">
        <v>5285</v>
      </c>
      <c r="E394" s="158">
        <v>5284</v>
      </c>
      <c r="F394" s="158">
        <v>5495</v>
      </c>
      <c r="G394" s="56">
        <v>5521</v>
      </c>
      <c r="H394" s="56">
        <v>5454</v>
      </c>
      <c r="I394" s="56">
        <v>5279</v>
      </c>
      <c r="J394" s="56">
        <v>5085</v>
      </c>
      <c r="K394" s="56">
        <v>5162</v>
      </c>
      <c r="L394" s="56">
        <v>5126</v>
      </c>
      <c r="M394" s="56">
        <v>4981</v>
      </c>
      <c r="N394" s="56">
        <v>4988</v>
      </c>
      <c r="O394" s="56">
        <v>5098</v>
      </c>
      <c r="Q394" s="729" t="s">
        <v>1764</v>
      </c>
    </row>
    <row r="395" spans="1:17">
      <c r="D395" s="733"/>
      <c r="E395" s="733"/>
      <c r="F395" s="733"/>
      <c r="G395" s="733"/>
      <c r="H395" s="733"/>
      <c r="I395" s="733"/>
      <c r="J395" s="733"/>
      <c r="K395" s="733"/>
      <c r="L395" s="733"/>
      <c r="M395" s="733"/>
      <c r="N395" s="733"/>
      <c r="O395" s="733"/>
    </row>
    <row r="396" spans="1:17">
      <c r="A396" s="729" t="s">
        <v>4381</v>
      </c>
      <c r="D396" s="158">
        <f t="shared" ref="D396:I396" si="181">SUM(D384:D394)</f>
        <v>59167</v>
      </c>
      <c r="E396" s="158">
        <f t="shared" si="181"/>
        <v>59380</v>
      </c>
      <c r="F396" s="158">
        <f t="shared" si="181"/>
        <v>60159</v>
      </c>
      <c r="G396" s="158">
        <f t="shared" si="181"/>
        <v>60705</v>
      </c>
      <c r="H396" s="158">
        <f t="shared" si="181"/>
        <v>60380</v>
      </c>
      <c r="I396" s="158">
        <f t="shared" si="181"/>
        <v>58988</v>
      </c>
      <c r="J396" s="158">
        <f t="shared" ref="J396:O396" si="182">SUM(J384:J394)</f>
        <v>57532</v>
      </c>
      <c r="K396" s="158">
        <f t="shared" si="182"/>
        <v>58776</v>
      </c>
      <c r="L396" s="158">
        <f t="shared" si="182"/>
        <v>58671</v>
      </c>
      <c r="M396" s="158">
        <f t="shared" si="182"/>
        <v>57746</v>
      </c>
      <c r="N396" s="158">
        <f t="shared" si="182"/>
        <v>58438</v>
      </c>
      <c r="O396" s="158">
        <f t="shared" si="182"/>
        <v>59682</v>
      </c>
    </row>
    <row r="397" spans="1:17">
      <c r="A397" s="729"/>
      <c r="D397" s="158"/>
      <c r="E397" s="158"/>
      <c r="F397" s="158"/>
      <c r="G397" s="158"/>
      <c r="H397" s="158"/>
      <c r="I397" s="158"/>
      <c r="J397" s="158"/>
      <c r="K397" s="158"/>
      <c r="L397" s="158"/>
      <c r="M397" s="158"/>
      <c r="N397" s="158"/>
      <c r="O397" s="158"/>
    </row>
    <row r="398" spans="1:17">
      <c r="A398" s="729" t="s">
        <v>5893</v>
      </c>
      <c r="D398" s="158"/>
      <c r="E398" s="158"/>
      <c r="F398" s="158"/>
      <c r="G398" s="158"/>
      <c r="H398" s="158"/>
      <c r="I398" s="158"/>
      <c r="J398" s="158"/>
      <c r="K398" s="158"/>
      <c r="L398" s="158"/>
      <c r="M398" s="158"/>
      <c r="N398" s="158"/>
      <c r="O398" s="158"/>
    </row>
    <row r="399" spans="1:17">
      <c r="A399" s="729"/>
      <c r="B399" s="729"/>
      <c r="D399" s="742"/>
      <c r="E399" s="742"/>
      <c r="F399" s="742"/>
      <c r="G399" s="742"/>
      <c r="H399" s="742"/>
      <c r="I399" s="742"/>
      <c r="J399" s="742"/>
      <c r="K399" s="742"/>
      <c r="L399" s="742"/>
      <c r="M399" s="742"/>
      <c r="N399" s="742"/>
      <c r="O399" s="742"/>
    </row>
    <row r="400" spans="1:17">
      <c r="A400" s="729"/>
      <c r="B400" s="729"/>
      <c r="D400" s="742"/>
      <c r="E400" s="742"/>
      <c r="F400" s="742"/>
      <c r="G400" s="742"/>
      <c r="H400" s="742"/>
      <c r="I400" s="742"/>
      <c r="J400" s="742"/>
      <c r="K400" s="742"/>
      <c r="L400" s="742"/>
      <c r="M400" s="742"/>
      <c r="N400" s="742"/>
      <c r="O400" s="742"/>
    </row>
    <row r="401" spans="1:17">
      <c r="E401" s="51" t="s">
        <v>1526</v>
      </c>
      <c r="F401" s="51"/>
      <c r="G401" s="51"/>
      <c r="H401" s="51"/>
      <c r="I401" s="51"/>
      <c r="J401" s="51"/>
      <c r="K401" s="51"/>
      <c r="L401" s="51"/>
      <c r="M401" s="51"/>
      <c r="N401" s="51"/>
      <c r="O401" s="51"/>
      <c r="P401" s="52"/>
      <c r="Q401" s="53" t="s">
        <v>9479</v>
      </c>
    </row>
    <row r="402" spans="1:17">
      <c r="D402" s="40">
        <v>2010</v>
      </c>
      <c r="E402" s="40">
        <v>2011</v>
      </c>
      <c r="F402" s="40">
        <v>2012</v>
      </c>
      <c r="G402" s="40">
        <v>2013</v>
      </c>
      <c r="H402" s="40">
        <v>2014</v>
      </c>
      <c r="I402" s="40">
        <v>2015</v>
      </c>
      <c r="J402" s="40">
        <v>2016</v>
      </c>
      <c r="K402" s="40">
        <v>2017</v>
      </c>
      <c r="L402" s="40">
        <v>2018</v>
      </c>
      <c r="M402" s="40">
        <v>2019</v>
      </c>
      <c r="N402" s="40">
        <v>2020</v>
      </c>
      <c r="O402" s="977" t="s">
        <v>14823</v>
      </c>
      <c r="Q402" s="54" t="s">
        <v>1527</v>
      </c>
    </row>
    <row r="403" spans="1:17">
      <c r="A403" s="729" t="s">
        <v>5894</v>
      </c>
      <c r="D403" s="158">
        <f>SUM(D404:D420)</f>
        <v>47843</v>
      </c>
      <c r="E403" s="158">
        <f>SUM(E404:E420)</f>
        <v>48619</v>
      </c>
      <c r="F403" s="158">
        <f>SUM(F404:F420)</f>
        <v>48025</v>
      </c>
      <c r="G403" s="158">
        <f>SUM(G404:G420)</f>
        <v>47802</v>
      </c>
      <c r="H403" s="158">
        <f>SUM(H404:H420)</f>
        <v>47762</v>
      </c>
      <c r="I403" s="158">
        <f t="shared" ref="I403:N403" si="183">SUM(I404:I420)</f>
        <v>46959</v>
      </c>
      <c r="J403" s="158">
        <f t="shared" si="183"/>
        <v>47312</v>
      </c>
      <c r="K403" s="158">
        <f t="shared" si="183"/>
        <v>49001</v>
      </c>
      <c r="L403" s="158">
        <f t="shared" si="183"/>
        <v>49433</v>
      </c>
      <c r="M403" s="158">
        <f t="shared" si="183"/>
        <v>49846</v>
      </c>
      <c r="N403" s="158">
        <f t="shared" si="183"/>
        <v>51383</v>
      </c>
      <c r="O403" s="158">
        <f>SUM(O404:O420)</f>
        <v>50974</v>
      </c>
    </row>
    <row r="404" spans="1:17">
      <c r="A404" s="729" t="s">
        <v>5387</v>
      </c>
      <c r="B404" s="729" t="s">
        <v>5895</v>
      </c>
      <c r="C404" s="55" t="s">
        <v>7933</v>
      </c>
      <c r="D404" s="158">
        <v>3237</v>
      </c>
      <c r="E404" s="158">
        <v>3331</v>
      </c>
      <c r="F404" s="158">
        <v>3270</v>
      </c>
      <c r="G404" s="158">
        <v>3281</v>
      </c>
      <c r="H404" s="56">
        <v>3271</v>
      </c>
      <c r="I404" s="56">
        <v>3150</v>
      </c>
      <c r="J404" s="56">
        <v>3208</v>
      </c>
      <c r="K404" s="56">
        <v>3353</v>
      </c>
      <c r="L404" s="56">
        <v>3432</v>
      </c>
      <c r="M404" s="56">
        <v>3450</v>
      </c>
      <c r="N404" s="56">
        <v>3574</v>
      </c>
      <c r="O404" s="56">
        <v>3546</v>
      </c>
      <c r="Q404" s="729" t="s">
        <v>1766</v>
      </c>
    </row>
    <row r="405" spans="1:17">
      <c r="A405" s="729" t="s">
        <v>5389</v>
      </c>
      <c r="B405" s="729" t="s">
        <v>5896</v>
      </c>
      <c r="C405" s="55" t="s">
        <v>7934</v>
      </c>
      <c r="D405" s="158">
        <v>2987</v>
      </c>
      <c r="E405" s="158">
        <v>3016</v>
      </c>
      <c r="F405" s="158">
        <v>2985</v>
      </c>
      <c r="G405" s="158">
        <v>3006</v>
      </c>
      <c r="H405" s="56">
        <v>2921</v>
      </c>
      <c r="I405" s="56">
        <v>2897</v>
      </c>
      <c r="J405" s="56">
        <v>2901</v>
      </c>
      <c r="K405" s="56">
        <v>2994</v>
      </c>
      <c r="L405" s="56">
        <v>3016</v>
      </c>
      <c r="M405" s="56">
        <v>3075</v>
      </c>
      <c r="N405" s="56">
        <v>3279</v>
      </c>
      <c r="O405" s="56">
        <v>3293</v>
      </c>
      <c r="Q405" s="729" t="s">
        <v>1766</v>
      </c>
    </row>
    <row r="406" spans="1:17">
      <c r="A406" s="729" t="s">
        <v>5391</v>
      </c>
      <c r="B406" s="729" t="s">
        <v>4349</v>
      </c>
      <c r="C406" s="55" t="s">
        <v>7935</v>
      </c>
      <c r="D406" s="158">
        <v>3098</v>
      </c>
      <c r="E406" s="158">
        <v>3141</v>
      </c>
      <c r="F406" s="158">
        <v>3157</v>
      </c>
      <c r="G406" s="158">
        <v>3068</v>
      </c>
      <c r="H406" s="56">
        <v>3069</v>
      </c>
      <c r="I406" s="56">
        <v>3053</v>
      </c>
      <c r="J406" s="56">
        <v>3147</v>
      </c>
      <c r="K406" s="56">
        <v>3217</v>
      </c>
      <c r="L406" s="56">
        <v>3232</v>
      </c>
      <c r="M406" s="56">
        <v>3241</v>
      </c>
      <c r="N406" s="56">
        <v>3346</v>
      </c>
      <c r="O406" s="56">
        <v>3299</v>
      </c>
      <c r="Q406" s="729" t="s">
        <v>1766</v>
      </c>
    </row>
    <row r="407" spans="1:17">
      <c r="A407" s="729" t="s">
        <v>5393</v>
      </c>
      <c r="B407" s="729" t="s">
        <v>4350</v>
      </c>
      <c r="C407" s="55" t="s">
        <v>7936</v>
      </c>
      <c r="D407" s="158">
        <v>2903</v>
      </c>
      <c r="E407" s="158">
        <v>2944</v>
      </c>
      <c r="F407" s="158">
        <v>2920</v>
      </c>
      <c r="G407" s="158">
        <v>2928</v>
      </c>
      <c r="H407" s="56">
        <v>2927</v>
      </c>
      <c r="I407" s="56">
        <v>2854</v>
      </c>
      <c r="J407" s="56">
        <v>2851</v>
      </c>
      <c r="K407" s="56">
        <v>2927</v>
      </c>
      <c r="L407" s="56">
        <v>2968</v>
      </c>
      <c r="M407" s="56">
        <v>2966</v>
      </c>
      <c r="N407" s="56">
        <v>3044</v>
      </c>
      <c r="O407" s="56">
        <v>3019</v>
      </c>
      <c r="Q407" s="729" t="s">
        <v>3109</v>
      </c>
    </row>
    <row r="408" spans="1:17">
      <c r="A408" s="729" t="s">
        <v>5394</v>
      </c>
      <c r="B408" s="729" t="s">
        <v>4351</v>
      </c>
      <c r="C408" s="55" t="s">
        <v>7937</v>
      </c>
      <c r="D408" s="158">
        <v>3165</v>
      </c>
      <c r="E408" s="158">
        <v>3232</v>
      </c>
      <c r="F408" s="158">
        <v>3175</v>
      </c>
      <c r="G408" s="158">
        <v>3186</v>
      </c>
      <c r="H408" s="56">
        <v>3247</v>
      </c>
      <c r="I408" s="56">
        <v>3146</v>
      </c>
      <c r="J408" s="56">
        <v>3190</v>
      </c>
      <c r="K408" s="56">
        <v>3250</v>
      </c>
      <c r="L408" s="56">
        <v>3279</v>
      </c>
      <c r="M408" s="56">
        <v>3286</v>
      </c>
      <c r="N408" s="56">
        <v>3326</v>
      </c>
      <c r="O408" s="56">
        <v>3291</v>
      </c>
      <c r="Q408" s="729" t="s">
        <v>1766</v>
      </c>
    </row>
    <row r="409" spans="1:17">
      <c r="A409" s="729" t="s">
        <v>5416</v>
      </c>
      <c r="B409" s="729" t="s">
        <v>4352</v>
      </c>
      <c r="C409" s="55" t="s">
        <v>7938</v>
      </c>
      <c r="D409" s="158">
        <v>3081</v>
      </c>
      <c r="E409" s="158">
        <v>3074</v>
      </c>
      <c r="F409" s="158">
        <v>3044</v>
      </c>
      <c r="G409" s="158">
        <v>2991</v>
      </c>
      <c r="H409" s="56">
        <v>3095</v>
      </c>
      <c r="I409" s="56">
        <v>3039</v>
      </c>
      <c r="J409" s="56">
        <v>3014</v>
      </c>
      <c r="K409" s="56">
        <v>3089</v>
      </c>
      <c r="L409" s="56">
        <v>3074</v>
      </c>
      <c r="M409" s="56">
        <v>3135</v>
      </c>
      <c r="N409" s="56">
        <v>3295</v>
      </c>
      <c r="O409" s="56">
        <v>3280</v>
      </c>
      <c r="Q409" s="729" t="s">
        <v>1766</v>
      </c>
    </row>
    <row r="410" spans="1:17">
      <c r="A410" s="729" t="s">
        <v>5418</v>
      </c>
      <c r="B410" s="729" t="s">
        <v>4353</v>
      </c>
      <c r="C410" s="55" t="s">
        <v>7939</v>
      </c>
      <c r="D410" s="158">
        <v>1616</v>
      </c>
      <c r="E410" s="158">
        <v>1654</v>
      </c>
      <c r="F410" s="158">
        <v>1594</v>
      </c>
      <c r="G410" s="158">
        <v>1590</v>
      </c>
      <c r="H410" s="56">
        <v>1557</v>
      </c>
      <c r="I410" s="56">
        <v>1546</v>
      </c>
      <c r="J410" s="56">
        <v>1548</v>
      </c>
      <c r="K410" s="56">
        <v>1654</v>
      </c>
      <c r="L410" s="56">
        <v>1797</v>
      </c>
      <c r="M410" s="56">
        <v>1871</v>
      </c>
      <c r="N410" s="56">
        <v>1905</v>
      </c>
      <c r="O410" s="56">
        <v>1889</v>
      </c>
      <c r="Q410" s="729" t="s">
        <v>1766</v>
      </c>
    </row>
    <row r="411" spans="1:17">
      <c r="A411" s="729" t="s">
        <v>5420</v>
      </c>
      <c r="B411" s="729" t="s">
        <v>4354</v>
      </c>
      <c r="C411" s="55" t="s">
        <v>7940</v>
      </c>
      <c r="D411" s="158">
        <v>3202</v>
      </c>
      <c r="E411" s="158">
        <v>3251</v>
      </c>
      <c r="F411" s="158">
        <v>3256</v>
      </c>
      <c r="G411" s="158">
        <v>3161</v>
      </c>
      <c r="H411" s="56">
        <v>3189</v>
      </c>
      <c r="I411" s="56">
        <v>3145</v>
      </c>
      <c r="J411" s="56">
        <v>3189</v>
      </c>
      <c r="K411" s="56">
        <v>3309</v>
      </c>
      <c r="L411" s="56">
        <v>3333</v>
      </c>
      <c r="M411" s="56">
        <v>3332</v>
      </c>
      <c r="N411" s="56">
        <v>3417</v>
      </c>
      <c r="O411" s="56">
        <v>3339</v>
      </c>
      <c r="Q411" s="729" t="s">
        <v>1766</v>
      </c>
    </row>
    <row r="412" spans="1:17">
      <c r="A412" s="729" t="s">
        <v>5422</v>
      </c>
      <c r="B412" s="729" t="s">
        <v>4355</v>
      </c>
      <c r="C412" s="55" t="s">
        <v>7941</v>
      </c>
      <c r="D412" s="158">
        <v>2998</v>
      </c>
      <c r="E412" s="158">
        <v>3036</v>
      </c>
      <c r="F412" s="158">
        <v>2970</v>
      </c>
      <c r="G412" s="158">
        <v>2976</v>
      </c>
      <c r="H412" s="56">
        <v>3002</v>
      </c>
      <c r="I412" s="56">
        <v>2992</v>
      </c>
      <c r="J412" s="56">
        <v>2969</v>
      </c>
      <c r="K412" s="56">
        <v>3035</v>
      </c>
      <c r="L412" s="56">
        <v>3015</v>
      </c>
      <c r="M412" s="56">
        <v>3037</v>
      </c>
      <c r="N412" s="56">
        <v>3061</v>
      </c>
      <c r="O412" s="56">
        <v>3043</v>
      </c>
      <c r="Q412" s="729" t="s">
        <v>1766</v>
      </c>
    </row>
    <row r="413" spans="1:17">
      <c r="A413" s="729" t="s">
        <v>5424</v>
      </c>
      <c r="B413" s="729" t="s">
        <v>2935</v>
      </c>
      <c r="C413" s="55" t="s">
        <v>7942</v>
      </c>
      <c r="D413" s="158">
        <v>3023</v>
      </c>
      <c r="E413" s="158">
        <v>3078</v>
      </c>
      <c r="F413" s="158">
        <v>3003</v>
      </c>
      <c r="G413" s="158">
        <v>3019</v>
      </c>
      <c r="H413" s="56">
        <v>3041</v>
      </c>
      <c r="I413" s="56">
        <v>3033</v>
      </c>
      <c r="J413" s="56">
        <v>3030</v>
      </c>
      <c r="K413" s="56">
        <v>3080</v>
      </c>
      <c r="L413" s="56">
        <v>3034</v>
      </c>
      <c r="M413" s="56">
        <v>3086</v>
      </c>
      <c r="N413" s="56">
        <v>3223</v>
      </c>
      <c r="O413" s="56">
        <v>3200</v>
      </c>
      <c r="Q413" s="729" t="s">
        <v>1766</v>
      </c>
    </row>
    <row r="414" spans="1:17">
      <c r="A414" s="729" t="s">
        <v>5426</v>
      </c>
      <c r="B414" s="729" t="s">
        <v>2936</v>
      </c>
      <c r="C414" s="55" t="s">
        <v>7943</v>
      </c>
      <c r="D414" s="158">
        <v>3360</v>
      </c>
      <c r="E414" s="158">
        <v>3409</v>
      </c>
      <c r="F414" s="158">
        <v>3397</v>
      </c>
      <c r="G414" s="158">
        <v>3389</v>
      </c>
      <c r="H414" s="56">
        <v>3330</v>
      </c>
      <c r="I414" s="56">
        <v>3235</v>
      </c>
      <c r="J414" s="56">
        <v>3281</v>
      </c>
      <c r="K414" s="56">
        <v>3447</v>
      </c>
      <c r="L414" s="56">
        <v>3478</v>
      </c>
      <c r="M414" s="56">
        <v>3467</v>
      </c>
      <c r="N414" s="56">
        <v>3553</v>
      </c>
      <c r="O414" s="56">
        <v>3539</v>
      </c>
      <c r="Q414" s="729" t="s">
        <v>1766</v>
      </c>
    </row>
    <row r="415" spans="1:17">
      <c r="A415" s="729" t="s">
        <v>5428</v>
      </c>
      <c r="B415" s="729" t="s">
        <v>2937</v>
      </c>
      <c r="C415" s="55" t="s">
        <v>7944</v>
      </c>
      <c r="D415" s="158">
        <v>2648</v>
      </c>
      <c r="E415" s="158">
        <v>2712</v>
      </c>
      <c r="F415" s="158">
        <v>2687</v>
      </c>
      <c r="G415" s="158">
        <v>2673</v>
      </c>
      <c r="H415" s="56">
        <v>2701</v>
      </c>
      <c r="I415" s="56">
        <v>2642</v>
      </c>
      <c r="J415" s="56">
        <v>2642</v>
      </c>
      <c r="K415" s="56">
        <v>2751</v>
      </c>
      <c r="L415" s="56">
        <v>2746</v>
      </c>
      <c r="M415" s="56">
        <v>2789</v>
      </c>
      <c r="N415" s="56">
        <v>2885</v>
      </c>
      <c r="O415" s="56">
        <v>2866</v>
      </c>
      <c r="Q415" s="729" t="s">
        <v>1766</v>
      </c>
    </row>
    <row r="416" spans="1:17">
      <c r="A416" s="729" t="s">
        <v>5429</v>
      </c>
      <c r="B416" s="729" t="s">
        <v>2934</v>
      </c>
      <c r="C416" s="55" t="s">
        <v>7945</v>
      </c>
      <c r="D416" s="158">
        <v>3165</v>
      </c>
      <c r="E416" s="158">
        <v>3181</v>
      </c>
      <c r="F416" s="158">
        <v>3131</v>
      </c>
      <c r="G416" s="158">
        <v>3113</v>
      </c>
      <c r="H416" s="56">
        <v>3058</v>
      </c>
      <c r="I416" s="56">
        <v>3015</v>
      </c>
      <c r="J416" s="56">
        <v>3105</v>
      </c>
      <c r="K416" s="56">
        <v>3359</v>
      </c>
      <c r="L416" s="56">
        <v>3391</v>
      </c>
      <c r="M416" s="56">
        <v>3439</v>
      </c>
      <c r="N416" s="56">
        <v>3524</v>
      </c>
      <c r="O416" s="56">
        <v>3484</v>
      </c>
      <c r="Q416" s="729" t="s">
        <v>1766</v>
      </c>
    </row>
    <row r="417" spans="1:17">
      <c r="A417" s="729" t="s">
        <v>5431</v>
      </c>
      <c r="B417" s="729" t="s">
        <v>1588</v>
      </c>
      <c r="C417" s="55" t="s">
        <v>7946</v>
      </c>
      <c r="D417" s="158">
        <v>1745</v>
      </c>
      <c r="E417" s="158">
        <v>1779</v>
      </c>
      <c r="F417" s="158">
        <v>1761</v>
      </c>
      <c r="G417" s="158">
        <v>1739</v>
      </c>
      <c r="H417" s="56">
        <v>1711</v>
      </c>
      <c r="I417" s="56">
        <v>1636</v>
      </c>
      <c r="J417" s="56">
        <v>1669</v>
      </c>
      <c r="K417" s="56">
        <v>1770</v>
      </c>
      <c r="L417" s="56">
        <v>1779</v>
      </c>
      <c r="M417" s="56">
        <v>1765</v>
      </c>
      <c r="N417" s="56">
        <v>1809</v>
      </c>
      <c r="O417" s="56">
        <v>1811</v>
      </c>
      <c r="Q417" s="729" t="s">
        <v>1766</v>
      </c>
    </row>
    <row r="418" spans="1:17">
      <c r="A418" s="729" t="s">
        <v>5433</v>
      </c>
      <c r="B418" s="729" t="s">
        <v>855</v>
      </c>
      <c r="C418" s="55" t="s">
        <v>7947</v>
      </c>
      <c r="D418" s="158">
        <v>1592</v>
      </c>
      <c r="E418" s="158">
        <v>1616</v>
      </c>
      <c r="F418" s="158">
        <v>1570</v>
      </c>
      <c r="G418" s="158">
        <v>1556</v>
      </c>
      <c r="H418" s="56">
        <v>1561</v>
      </c>
      <c r="I418" s="56">
        <v>1537</v>
      </c>
      <c r="J418" s="56">
        <v>1571</v>
      </c>
      <c r="K418" s="56">
        <v>1616</v>
      </c>
      <c r="L418" s="56">
        <v>1609</v>
      </c>
      <c r="M418" s="56">
        <v>1617</v>
      </c>
      <c r="N418" s="56">
        <v>1641</v>
      </c>
      <c r="O418" s="56">
        <v>1630</v>
      </c>
      <c r="Q418" s="729" t="s">
        <v>3109</v>
      </c>
    </row>
    <row r="419" spans="1:17">
      <c r="A419" s="729" t="s">
        <v>5435</v>
      </c>
      <c r="B419" s="729" t="s">
        <v>856</v>
      </c>
      <c r="C419" s="55" t="s">
        <v>7948</v>
      </c>
      <c r="D419" s="158">
        <v>3184</v>
      </c>
      <c r="E419" s="158">
        <v>3252</v>
      </c>
      <c r="F419" s="158">
        <v>3238</v>
      </c>
      <c r="G419" s="158">
        <v>3250</v>
      </c>
      <c r="H419" s="58">
        <v>3235</v>
      </c>
      <c r="I419" s="58">
        <v>3224</v>
      </c>
      <c r="J419" s="58">
        <v>3167</v>
      </c>
      <c r="K419" s="58">
        <v>3300</v>
      </c>
      <c r="L419" s="58">
        <v>3327</v>
      </c>
      <c r="M419" s="58">
        <v>3368</v>
      </c>
      <c r="N419" s="58">
        <v>3470</v>
      </c>
      <c r="O419" s="58">
        <v>3442</v>
      </c>
      <c r="Q419" s="729" t="s">
        <v>3109</v>
      </c>
    </row>
    <row r="420" spans="1:17">
      <c r="A420" s="729" t="s">
        <v>5436</v>
      </c>
      <c r="B420" s="729" t="s">
        <v>857</v>
      </c>
      <c r="C420" s="55" t="s">
        <v>7949</v>
      </c>
      <c r="D420" s="158">
        <v>2839</v>
      </c>
      <c r="E420" s="158">
        <v>2913</v>
      </c>
      <c r="F420" s="158">
        <v>2867</v>
      </c>
      <c r="G420" s="158">
        <v>2876</v>
      </c>
      <c r="H420" s="58">
        <v>2847</v>
      </c>
      <c r="I420" s="58">
        <v>2815</v>
      </c>
      <c r="J420" s="58">
        <v>2830</v>
      </c>
      <c r="K420" s="58">
        <v>2850</v>
      </c>
      <c r="L420" s="58">
        <v>2923</v>
      </c>
      <c r="M420" s="58">
        <v>2922</v>
      </c>
      <c r="N420" s="58">
        <v>3031</v>
      </c>
      <c r="O420" s="58">
        <v>3003</v>
      </c>
      <c r="Q420" s="729" t="s">
        <v>3109</v>
      </c>
    </row>
    <row r="421" spans="1:17">
      <c r="D421" s="733"/>
      <c r="E421" s="733"/>
      <c r="F421" s="733"/>
      <c r="G421" s="733"/>
      <c r="H421" s="733"/>
      <c r="I421" s="733"/>
      <c r="J421" s="733"/>
      <c r="K421" s="733"/>
      <c r="L421" s="733"/>
      <c r="M421" s="733"/>
      <c r="N421" s="733"/>
      <c r="O421" s="733"/>
    </row>
    <row r="422" spans="1:17">
      <c r="A422" s="729" t="s">
        <v>4345</v>
      </c>
      <c r="D422" s="158">
        <f t="shared" ref="D422:I422" si="184">SUM(D404:D406)+SUM(D408:D417)</f>
        <v>37325</v>
      </c>
      <c r="E422" s="158">
        <f t="shared" si="184"/>
        <v>37894</v>
      </c>
      <c r="F422" s="158">
        <f t="shared" si="184"/>
        <v>37430</v>
      </c>
      <c r="G422" s="158">
        <f t="shared" si="184"/>
        <v>37192</v>
      </c>
      <c r="H422" s="158">
        <f t="shared" si="184"/>
        <v>37192</v>
      </c>
      <c r="I422" s="158">
        <f t="shared" si="184"/>
        <v>36529</v>
      </c>
      <c r="J422" s="158">
        <f t="shared" ref="J422:O422" si="185">SUM(J404:J406)+SUM(J408:J417)</f>
        <v>36893</v>
      </c>
      <c r="K422" s="158">
        <f t="shared" si="185"/>
        <v>38308</v>
      </c>
      <c r="L422" s="158">
        <f t="shared" si="185"/>
        <v>38606</v>
      </c>
      <c r="M422" s="158">
        <f t="shared" si="185"/>
        <v>38973</v>
      </c>
      <c r="N422" s="158">
        <f t="shared" si="185"/>
        <v>40197</v>
      </c>
      <c r="O422" s="158">
        <f t="shared" si="185"/>
        <v>39880</v>
      </c>
    </row>
    <row r="423" spans="1:17">
      <c r="A423" s="729" t="s">
        <v>2805</v>
      </c>
      <c r="D423" s="158">
        <f t="shared" ref="D423:I423" si="186">D407+SUM(D418:D420)</f>
        <v>10518</v>
      </c>
      <c r="E423" s="158">
        <f t="shared" si="186"/>
        <v>10725</v>
      </c>
      <c r="F423" s="158">
        <f t="shared" si="186"/>
        <v>10595</v>
      </c>
      <c r="G423" s="158">
        <f t="shared" si="186"/>
        <v>10610</v>
      </c>
      <c r="H423" s="158">
        <f t="shared" si="186"/>
        <v>10570</v>
      </c>
      <c r="I423" s="158">
        <f t="shared" si="186"/>
        <v>10430</v>
      </c>
      <c r="J423" s="158">
        <f t="shared" ref="J423:O423" si="187">J407+SUM(J418:J420)</f>
        <v>10419</v>
      </c>
      <c r="K423" s="158">
        <f t="shared" si="187"/>
        <v>10693</v>
      </c>
      <c r="L423" s="158">
        <f t="shared" si="187"/>
        <v>10827</v>
      </c>
      <c r="M423" s="158">
        <f t="shared" si="187"/>
        <v>10873</v>
      </c>
      <c r="N423" s="158">
        <f t="shared" si="187"/>
        <v>11186</v>
      </c>
      <c r="O423" s="158">
        <f t="shared" si="187"/>
        <v>11094</v>
      </c>
    </row>
    <row r="424" spans="1:17">
      <c r="A424" s="729"/>
      <c r="D424" s="158"/>
      <c r="E424" s="158"/>
      <c r="F424" s="158"/>
      <c r="G424" s="158"/>
      <c r="H424" s="158"/>
      <c r="I424" s="158"/>
      <c r="J424" s="158"/>
      <c r="K424" s="158"/>
      <c r="L424" s="158"/>
      <c r="M424" s="158"/>
      <c r="N424" s="158"/>
      <c r="O424" s="158"/>
    </row>
    <row r="425" spans="1:17">
      <c r="A425" s="729" t="s">
        <v>858</v>
      </c>
      <c r="D425" s="158"/>
      <c r="E425" s="158"/>
      <c r="F425" s="158"/>
      <c r="G425" s="158"/>
      <c r="H425" s="158"/>
      <c r="I425" s="158"/>
      <c r="J425" s="158"/>
      <c r="K425" s="158"/>
      <c r="L425" s="158"/>
      <c r="M425" s="158"/>
      <c r="N425" s="158"/>
      <c r="O425" s="158"/>
    </row>
    <row r="426" spans="1:17">
      <c r="A426" s="729"/>
      <c r="B426" s="729"/>
      <c r="D426" s="742"/>
      <c r="E426" s="742"/>
      <c r="F426" s="742"/>
      <c r="G426" s="742"/>
      <c r="H426" s="742"/>
      <c r="I426" s="742"/>
      <c r="J426" s="742"/>
      <c r="K426" s="742"/>
      <c r="L426" s="742"/>
      <c r="M426" s="742"/>
      <c r="N426" s="742"/>
      <c r="O426" s="742"/>
    </row>
    <row r="427" spans="1:17">
      <c r="A427" s="729"/>
      <c r="B427" s="729"/>
      <c r="D427" s="742"/>
      <c r="E427" s="742"/>
      <c r="F427" s="742"/>
      <c r="G427" s="742"/>
      <c r="H427" s="742"/>
      <c r="I427" s="742"/>
      <c r="J427" s="742"/>
      <c r="K427" s="742"/>
      <c r="L427" s="742"/>
      <c r="M427" s="742"/>
      <c r="N427" s="742"/>
      <c r="O427" s="742"/>
    </row>
    <row r="428" spans="1:17">
      <c r="E428" s="51" t="s">
        <v>1526</v>
      </c>
      <c r="F428" s="51"/>
      <c r="G428" s="51"/>
      <c r="H428" s="51"/>
      <c r="I428" s="51"/>
      <c r="J428" s="51"/>
      <c r="K428" s="51"/>
      <c r="L428" s="51"/>
      <c r="M428" s="51"/>
      <c r="N428" s="51"/>
      <c r="O428" s="51"/>
      <c r="P428" s="52"/>
      <c r="Q428" s="53" t="s">
        <v>9479</v>
      </c>
    </row>
    <row r="429" spans="1:17">
      <c r="D429" s="40">
        <v>2010</v>
      </c>
      <c r="E429" s="40">
        <v>2011</v>
      </c>
      <c r="F429" s="40">
        <v>2012</v>
      </c>
      <c r="G429" s="40">
        <v>2013</v>
      </c>
      <c r="H429" s="40">
        <v>2014</v>
      </c>
      <c r="I429" s="40">
        <v>2015</v>
      </c>
      <c r="J429" s="40">
        <v>2016</v>
      </c>
      <c r="K429" s="40">
        <v>2017</v>
      </c>
      <c r="L429" s="40">
        <v>2018</v>
      </c>
      <c r="M429" s="40">
        <v>2019</v>
      </c>
      <c r="N429" s="40">
        <v>2020</v>
      </c>
      <c r="O429" s="977" t="s">
        <v>14823</v>
      </c>
      <c r="Q429" s="54" t="s">
        <v>1527</v>
      </c>
    </row>
    <row r="430" spans="1:17">
      <c r="A430" s="729" t="s">
        <v>859</v>
      </c>
      <c r="D430" s="158">
        <f>SUM(D431:D440)+SUM(D442:D445)</f>
        <v>64867</v>
      </c>
      <c r="E430" s="158">
        <f t="shared" ref="E430:K430" si="188">SUM(E431:E440)+SUM(E442:E445)</f>
        <v>65133</v>
      </c>
      <c r="F430" s="158">
        <f t="shared" si="188"/>
        <v>65401</v>
      </c>
      <c r="G430" s="158">
        <f t="shared" si="188"/>
        <v>66122</v>
      </c>
      <c r="H430" s="158">
        <f t="shared" si="188"/>
        <v>66359</v>
      </c>
      <c r="I430" s="158">
        <f t="shared" si="188"/>
        <v>65617</v>
      </c>
      <c r="J430" s="158">
        <f t="shared" si="188"/>
        <v>64466</v>
      </c>
      <c r="K430" s="158">
        <f t="shared" si="188"/>
        <v>65876</v>
      </c>
      <c r="L430" s="158">
        <f>SUM(L431:L440)+SUM(L442:L445)</f>
        <v>65824</v>
      </c>
      <c r="M430" s="158">
        <f>SUM(M431:M440)+SUM(M442:M445)</f>
        <v>66022</v>
      </c>
      <c r="N430" s="158">
        <f>SUM(N431:N440)+SUM(N442:N445)</f>
        <v>67617</v>
      </c>
      <c r="O430" s="158">
        <f>SUM(O431:O440)+SUM(O442:O445)</f>
        <v>67292</v>
      </c>
    </row>
    <row r="431" spans="1:17">
      <c r="A431" s="729" t="s">
        <v>5387</v>
      </c>
      <c r="B431" s="729" t="s">
        <v>11538</v>
      </c>
      <c r="C431" s="55" t="s">
        <v>11536</v>
      </c>
      <c r="D431" s="158">
        <v>53337</v>
      </c>
      <c r="E431" s="158">
        <v>53472</v>
      </c>
      <c r="F431" s="158">
        <v>53682</v>
      </c>
      <c r="G431" s="158">
        <v>54253</v>
      </c>
      <c r="H431" s="56">
        <v>54466</v>
      </c>
      <c r="I431" s="56">
        <v>53950</v>
      </c>
      <c r="J431" s="56">
        <v>53031</v>
      </c>
      <c r="K431" s="56">
        <v>5004</v>
      </c>
      <c r="L431" s="56">
        <v>5055</v>
      </c>
      <c r="M431" s="56">
        <v>5034</v>
      </c>
      <c r="N431" s="56">
        <v>5177</v>
      </c>
      <c r="O431" s="56">
        <v>5157</v>
      </c>
      <c r="Q431" s="729" t="s">
        <v>1768</v>
      </c>
    </row>
    <row r="432" spans="1:17">
      <c r="A432" s="729" t="s">
        <v>5389</v>
      </c>
      <c r="B432" s="729" t="s">
        <v>11537</v>
      </c>
      <c r="C432" s="55" t="s">
        <v>11539</v>
      </c>
      <c r="D432" s="158">
        <v>11530</v>
      </c>
      <c r="E432" s="158">
        <v>11661</v>
      </c>
      <c r="F432" s="158">
        <v>11719</v>
      </c>
      <c r="G432" s="158">
        <v>11869</v>
      </c>
      <c r="H432" s="58">
        <v>11893</v>
      </c>
      <c r="I432" s="58">
        <v>11667</v>
      </c>
      <c r="J432" s="58">
        <v>11435</v>
      </c>
      <c r="K432" s="56">
        <v>5309</v>
      </c>
      <c r="L432" s="56">
        <v>5361</v>
      </c>
      <c r="M432" s="56">
        <v>5480</v>
      </c>
      <c r="N432" s="56">
        <v>5567</v>
      </c>
      <c r="O432" s="56">
        <v>5557</v>
      </c>
      <c r="Q432" s="729" t="s">
        <v>1752</v>
      </c>
    </row>
    <row r="433" spans="1:17">
      <c r="A433" s="729" t="s">
        <v>5391</v>
      </c>
      <c r="B433" s="729" t="s">
        <v>11551</v>
      </c>
      <c r="C433" s="55" t="s">
        <v>11540</v>
      </c>
      <c r="D433" s="158">
        <v>0</v>
      </c>
      <c r="E433" s="158">
        <v>0</v>
      </c>
      <c r="F433" s="158">
        <v>0</v>
      </c>
      <c r="G433" s="158">
        <v>0</v>
      </c>
      <c r="H433" s="56">
        <v>0</v>
      </c>
      <c r="I433" s="56">
        <v>0</v>
      </c>
      <c r="J433" s="56">
        <v>0</v>
      </c>
      <c r="K433" s="56">
        <v>4818</v>
      </c>
      <c r="L433" s="56">
        <v>4799</v>
      </c>
      <c r="M433" s="56">
        <v>4752</v>
      </c>
      <c r="N433" s="56">
        <v>4879</v>
      </c>
      <c r="O433" s="56">
        <v>4848</v>
      </c>
      <c r="Q433" s="729" t="s">
        <v>1768</v>
      </c>
    </row>
    <row r="434" spans="1:17">
      <c r="A434" s="729" t="s">
        <v>5393</v>
      </c>
      <c r="B434" s="729" t="s">
        <v>2335</v>
      </c>
      <c r="C434" s="55" t="s">
        <v>11541</v>
      </c>
      <c r="D434" s="158">
        <v>0</v>
      </c>
      <c r="E434" s="158">
        <v>0</v>
      </c>
      <c r="F434" s="158">
        <v>0</v>
      </c>
      <c r="G434" s="158">
        <v>0</v>
      </c>
      <c r="H434" s="58">
        <v>0</v>
      </c>
      <c r="I434" s="58">
        <v>0</v>
      </c>
      <c r="J434" s="58">
        <v>0</v>
      </c>
      <c r="K434" s="56">
        <v>5047</v>
      </c>
      <c r="L434" s="56">
        <v>5087</v>
      </c>
      <c r="M434" s="56">
        <v>5099</v>
      </c>
      <c r="N434" s="56">
        <v>5174</v>
      </c>
      <c r="O434" s="56">
        <v>5154</v>
      </c>
      <c r="Q434" s="729" t="s">
        <v>1768</v>
      </c>
    </row>
    <row r="435" spans="1:17">
      <c r="A435" s="729" t="s">
        <v>5394</v>
      </c>
      <c r="B435" s="729" t="s">
        <v>11552</v>
      </c>
      <c r="C435" s="55" t="s">
        <v>11542</v>
      </c>
      <c r="D435" s="158">
        <v>0</v>
      </c>
      <c r="E435" s="158">
        <v>0</v>
      </c>
      <c r="F435" s="158">
        <v>0</v>
      </c>
      <c r="G435" s="158">
        <v>0</v>
      </c>
      <c r="H435" s="56">
        <v>0</v>
      </c>
      <c r="I435" s="56">
        <v>0</v>
      </c>
      <c r="J435" s="56">
        <v>0</v>
      </c>
      <c r="K435" s="56">
        <v>5010</v>
      </c>
      <c r="L435" s="56">
        <v>4943</v>
      </c>
      <c r="M435" s="56">
        <v>5032</v>
      </c>
      <c r="N435" s="56">
        <v>5210</v>
      </c>
      <c r="O435" s="56">
        <v>5177</v>
      </c>
      <c r="Q435" s="729" t="s">
        <v>1768</v>
      </c>
    </row>
    <row r="436" spans="1:17">
      <c r="A436" s="729" t="s">
        <v>5416</v>
      </c>
      <c r="B436" s="729" t="s">
        <v>11553</v>
      </c>
      <c r="C436" s="55" t="s">
        <v>11543</v>
      </c>
      <c r="D436" s="158">
        <v>0</v>
      </c>
      <c r="E436" s="158">
        <v>0</v>
      </c>
      <c r="F436" s="158">
        <v>0</v>
      </c>
      <c r="G436" s="158">
        <v>0</v>
      </c>
      <c r="H436" s="56">
        <v>0</v>
      </c>
      <c r="I436" s="56">
        <v>0</v>
      </c>
      <c r="J436" s="56">
        <v>0</v>
      </c>
      <c r="K436" s="56">
        <v>5286</v>
      </c>
      <c r="L436" s="56">
        <v>5216</v>
      </c>
      <c r="M436" s="56">
        <v>5226</v>
      </c>
      <c r="N436" s="56">
        <v>5314</v>
      </c>
      <c r="O436" s="56">
        <v>5290</v>
      </c>
      <c r="Q436" s="729" t="s">
        <v>1768</v>
      </c>
    </row>
    <row r="437" spans="1:17">
      <c r="A437" s="729" t="s">
        <v>5418</v>
      </c>
      <c r="B437" s="729" t="s">
        <v>2336</v>
      </c>
      <c r="C437" s="55" t="s">
        <v>11544</v>
      </c>
      <c r="D437" s="158">
        <v>0</v>
      </c>
      <c r="E437" s="158">
        <v>0</v>
      </c>
      <c r="F437" s="158">
        <v>0</v>
      </c>
      <c r="G437" s="158">
        <v>0</v>
      </c>
      <c r="H437" s="56">
        <v>0</v>
      </c>
      <c r="I437" s="56">
        <v>0</v>
      </c>
      <c r="J437" s="56">
        <v>0</v>
      </c>
      <c r="K437" s="56">
        <v>5446</v>
      </c>
      <c r="L437" s="56">
        <v>5405</v>
      </c>
      <c r="M437" s="56">
        <v>5399</v>
      </c>
      <c r="N437" s="56">
        <v>5519</v>
      </c>
      <c r="O437" s="56">
        <v>5500</v>
      </c>
      <c r="Q437" s="729" t="s">
        <v>1768</v>
      </c>
    </row>
    <row r="438" spans="1:17">
      <c r="A438" s="729" t="s">
        <v>5420</v>
      </c>
      <c r="B438" s="729" t="s">
        <v>2337</v>
      </c>
      <c r="C438" s="55" t="s">
        <v>11545</v>
      </c>
      <c r="D438" s="158">
        <v>0</v>
      </c>
      <c r="E438" s="158">
        <v>0</v>
      </c>
      <c r="F438" s="158">
        <v>0</v>
      </c>
      <c r="G438" s="158">
        <v>0</v>
      </c>
      <c r="H438" s="56">
        <v>0</v>
      </c>
      <c r="I438" s="56">
        <v>0</v>
      </c>
      <c r="J438" s="56">
        <v>0</v>
      </c>
      <c r="K438" s="56">
        <v>5388</v>
      </c>
      <c r="L438" s="56">
        <v>5325</v>
      </c>
      <c r="M438" s="56">
        <v>5306</v>
      </c>
      <c r="N438" s="56">
        <v>5349</v>
      </c>
      <c r="O438" s="56">
        <v>5295</v>
      </c>
      <c r="Q438" s="729" t="s">
        <v>1768</v>
      </c>
    </row>
    <row r="439" spans="1:17">
      <c r="A439" s="729" t="s">
        <v>5422</v>
      </c>
      <c r="B439" s="729" t="s">
        <v>11554</v>
      </c>
      <c r="C439" s="55" t="s">
        <v>11546</v>
      </c>
      <c r="D439" s="737">
        <v>0</v>
      </c>
      <c r="E439" s="737">
        <v>0</v>
      </c>
      <c r="F439" s="737">
        <v>0</v>
      </c>
      <c r="G439" s="737">
        <v>0</v>
      </c>
      <c r="H439" s="56">
        <v>0</v>
      </c>
      <c r="I439" s="56">
        <v>0</v>
      </c>
      <c r="J439" s="56">
        <v>0</v>
      </c>
      <c r="K439" s="56">
        <v>2649</v>
      </c>
      <c r="L439" s="56">
        <v>2659</v>
      </c>
      <c r="M439" s="56">
        <v>2685</v>
      </c>
      <c r="N439" s="56">
        <v>2744</v>
      </c>
      <c r="O439" s="56">
        <v>2736</v>
      </c>
      <c r="Q439" s="729" t="s">
        <v>1768</v>
      </c>
    </row>
    <row r="440" spans="1:17" ht="15.75" thickBot="1">
      <c r="A440" s="729"/>
      <c r="B440" s="729"/>
      <c r="C440" s="55" t="s">
        <v>11546</v>
      </c>
      <c r="D440" s="732">
        <v>0</v>
      </c>
      <c r="E440" s="732">
        <v>0</v>
      </c>
      <c r="F440" s="732">
        <v>0</v>
      </c>
      <c r="G440" s="732">
        <v>0</v>
      </c>
      <c r="H440" s="274">
        <v>0</v>
      </c>
      <c r="I440" s="274">
        <v>0</v>
      </c>
      <c r="J440" s="274">
        <v>0</v>
      </c>
      <c r="K440" s="274">
        <v>2389</v>
      </c>
      <c r="L440" s="274">
        <v>2391</v>
      </c>
      <c r="M440" s="274">
        <v>2343</v>
      </c>
      <c r="N440" s="274">
        <v>2404</v>
      </c>
      <c r="O440" s="274">
        <v>2396</v>
      </c>
      <c r="Q440" s="729" t="s">
        <v>1752</v>
      </c>
    </row>
    <row r="441" spans="1:17" ht="15.75" thickBot="1">
      <c r="A441" s="729"/>
      <c r="B441" s="729"/>
      <c r="C441" s="55" t="s">
        <v>11546</v>
      </c>
      <c r="D441" s="732">
        <f>D439+D440</f>
        <v>0</v>
      </c>
      <c r="E441" s="732">
        <f t="shared" ref="E441:L441" si="189">E439+E440</f>
        <v>0</v>
      </c>
      <c r="F441" s="732">
        <f t="shared" si="189"/>
        <v>0</v>
      </c>
      <c r="G441" s="732">
        <f t="shared" si="189"/>
        <v>0</v>
      </c>
      <c r="H441" s="732">
        <f t="shared" si="189"/>
        <v>0</v>
      </c>
      <c r="I441" s="732">
        <f t="shared" si="189"/>
        <v>0</v>
      </c>
      <c r="J441" s="732">
        <f t="shared" si="189"/>
        <v>0</v>
      </c>
      <c r="K441" s="732">
        <f>K439+K440</f>
        <v>5038</v>
      </c>
      <c r="L441" s="732">
        <f t="shared" si="189"/>
        <v>5050</v>
      </c>
      <c r="M441" s="732">
        <f>M439+M440</f>
        <v>5028</v>
      </c>
      <c r="N441" s="732">
        <f>N439+N440</f>
        <v>5148</v>
      </c>
      <c r="O441" s="732">
        <f>O439+O440</f>
        <v>5132</v>
      </c>
      <c r="Q441" s="729"/>
    </row>
    <row r="442" spans="1:17">
      <c r="A442" s="729" t="s">
        <v>5424</v>
      </c>
      <c r="B442" s="729" t="s">
        <v>11555</v>
      </c>
      <c r="C442" s="55" t="s">
        <v>11547</v>
      </c>
      <c r="D442" s="158">
        <v>0</v>
      </c>
      <c r="E442" s="158">
        <v>0</v>
      </c>
      <c r="F442" s="158">
        <v>0</v>
      </c>
      <c r="G442" s="158">
        <v>0</v>
      </c>
      <c r="H442" s="56">
        <v>0</v>
      </c>
      <c r="I442" s="56">
        <v>0</v>
      </c>
      <c r="J442" s="56">
        <v>0</v>
      </c>
      <c r="K442" s="56">
        <v>3931</v>
      </c>
      <c r="L442" s="56">
        <v>3993</v>
      </c>
      <c r="M442" s="56">
        <v>4205</v>
      </c>
      <c r="N442" s="56">
        <v>4553</v>
      </c>
      <c r="O442" s="56">
        <v>4538</v>
      </c>
      <c r="Q442" s="729" t="s">
        <v>1752</v>
      </c>
    </row>
    <row r="443" spans="1:17">
      <c r="A443" s="729" t="s">
        <v>5426</v>
      </c>
      <c r="B443" s="729" t="s">
        <v>11556</v>
      </c>
      <c r="C443" s="55" t="s">
        <v>11548</v>
      </c>
      <c r="D443" s="158">
        <v>0</v>
      </c>
      <c r="E443" s="158">
        <v>0</v>
      </c>
      <c r="F443" s="158">
        <v>0</v>
      </c>
      <c r="G443" s="158">
        <v>0</v>
      </c>
      <c r="H443" s="56">
        <v>0</v>
      </c>
      <c r="I443" s="56">
        <v>0</v>
      </c>
      <c r="J443" s="56">
        <v>0</v>
      </c>
      <c r="K443" s="56">
        <v>5004</v>
      </c>
      <c r="L443" s="56">
        <v>5016</v>
      </c>
      <c r="M443" s="56">
        <v>4984</v>
      </c>
      <c r="N443" s="56">
        <v>5092</v>
      </c>
      <c r="O443" s="56">
        <v>5059</v>
      </c>
      <c r="Q443" s="729" t="s">
        <v>1768</v>
      </c>
    </row>
    <row r="444" spans="1:17">
      <c r="A444" s="729" t="s">
        <v>5428</v>
      </c>
      <c r="B444" s="729" t="s">
        <v>4186</v>
      </c>
      <c r="C444" s="55" t="s">
        <v>11549</v>
      </c>
      <c r="D444" s="158">
        <v>0</v>
      </c>
      <c r="E444" s="158">
        <v>0</v>
      </c>
      <c r="F444" s="158">
        <v>0</v>
      </c>
      <c r="G444" s="158">
        <v>0</v>
      </c>
      <c r="H444" s="56">
        <v>0</v>
      </c>
      <c r="I444" s="56">
        <v>0</v>
      </c>
      <c r="J444" s="56">
        <v>0</v>
      </c>
      <c r="K444" s="56">
        <v>5490</v>
      </c>
      <c r="L444" s="56">
        <v>5470</v>
      </c>
      <c r="M444" s="56">
        <v>5403</v>
      </c>
      <c r="N444" s="56">
        <v>5517</v>
      </c>
      <c r="O444" s="56">
        <v>5495</v>
      </c>
      <c r="Q444" s="729" t="s">
        <v>1768</v>
      </c>
    </row>
    <row r="445" spans="1:17">
      <c r="A445" s="729" t="s">
        <v>5429</v>
      </c>
      <c r="B445" s="729" t="s">
        <v>2982</v>
      </c>
      <c r="C445" s="55" t="s">
        <v>11550</v>
      </c>
      <c r="D445" s="158">
        <v>0</v>
      </c>
      <c r="E445" s="158">
        <v>0</v>
      </c>
      <c r="F445" s="158">
        <v>0</v>
      </c>
      <c r="G445" s="158">
        <v>0</v>
      </c>
      <c r="H445" s="56">
        <v>0</v>
      </c>
      <c r="I445" s="56">
        <v>0</v>
      </c>
      <c r="J445" s="56">
        <v>0</v>
      </c>
      <c r="K445" s="56">
        <v>5105</v>
      </c>
      <c r="L445" s="56">
        <v>5104</v>
      </c>
      <c r="M445" s="56">
        <v>5074</v>
      </c>
      <c r="N445" s="56">
        <v>5118</v>
      </c>
      <c r="O445" s="56">
        <v>5090</v>
      </c>
      <c r="Q445" s="729" t="s">
        <v>1768</v>
      </c>
    </row>
    <row r="446" spans="1:17">
      <c r="D446" s="733"/>
      <c r="E446" s="733"/>
      <c r="F446" s="733"/>
      <c r="G446" s="733"/>
      <c r="H446" s="733"/>
      <c r="I446" s="733"/>
      <c r="J446" s="733"/>
      <c r="K446" s="733"/>
      <c r="L446" s="733"/>
      <c r="M446" s="733"/>
      <c r="N446" s="733"/>
      <c r="O446" s="733"/>
    </row>
    <row r="447" spans="1:17">
      <c r="A447" s="729" t="s">
        <v>3854</v>
      </c>
      <c r="D447" s="158">
        <f>D431+SUM(D433:D439)+SUM(D443:D445)</f>
        <v>53337</v>
      </c>
      <c r="E447" s="158">
        <f t="shared" ref="E447:K447" si="190">E431+SUM(E433:E439)+SUM(E443:E445)</f>
        <v>53472</v>
      </c>
      <c r="F447" s="158">
        <f t="shared" si="190"/>
        <v>53682</v>
      </c>
      <c r="G447" s="158">
        <f t="shared" si="190"/>
        <v>54253</v>
      </c>
      <c r="H447" s="158">
        <f t="shared" si="190"/>
        <v>54466</v>
      </c>
      <c r="I447" s="158">
        <f t="shared" si="190"/>
        <v>53950</v>
      </c>
      <c r="J447" s="158">
        <f t="shared" si="190"/>
        <v>53031</v>
      </c>
      <c r="K447" s="158">
        <f t="shared" si="190"/>
        <v>54247</v>
      </c>
      <c r="L447" s="158">
        <f>L431+SUM(L433:L439)+SUM(L443:L445)</f>
        <v>54079</v>
      </c>
      <c r="M447" s="158">
        <f>M431+SUM(M433:M439)+SUM(M443:M445)</f>
        <v>53994</v>
      </c>
      <c r="N447" s="158">
        <f>N431+SUM(N433:N439)+SUM(N443:N445)</f>
        <v>55093</v>
      </c>
      <c r="O447" s="158">
        <f>O431+SUM(O433:O439)+SUM(O443:O445)</f>
        <v>54801</v>
      </c>
    </row>
    <row r="448" spans="1:17">
      <c r="A448" s="729" t="s">
        <v>994</v>
      </c>
      <c r="D448" s="158">
        <f>D432+D440+D442</f>
        <v>11530</v>
      </c>
      <c r="E448" s="158">
        <f t="shared" ref="E448:K448" si="191">E432+E440+E442</f>
        <v>11661</v>
      </c>
      <c r="F448" s="158">
        <f t="shared" si="191"/>
        <v>11719</v>
      </c>
      <c r="G448" s="158">
        <f t="shared" si="191"/>
        <v>11869</v>
      </c>
      <c r="H448" s="158">
        <f t="shared" si="191"/>
        <v>11893</v>
      </c>
      <c r="I448" s="158">
        <f t="shared" si="191"/>
        <v>11667</v>
      </c>
      <c r="J448" s="158">
        <f t="shared" si="191"/>
        <v>11435</v>
      </c>
      <c r="K448" s="158">
        <f t="shared" si="191"/>
        <v>11629</v>
      </c>
      <c r="L448" s="158">
        <f>L432+L440+L442</f>
        <v>11745</v>
      </c>
      <c r="M448" s="158">
        <f>M432+M440+M442</f>
        <v>12028</v>
      </c>
      <c r="N448" s="158">
        <f>N432+N440+N442</f>
        <v>12524</v>
      </c>
      <c r="O448" s="158">
        <f>O432+O440+O442</f>
        <v>12491</v>
      </c>
    </row>
    <row r="449" spans="1:17">
      <c r="A449" s="729"/>
      <c r="D449" s="158"/>
      <c r="E449" s="158"/>
      <c r="F449" s="158"/>
      <c r="G449" s="158"/>
      <c r="H449" s="158"/>
      <c r="I449" s="158"/>
      <c r="J449" s="158"/>
      <c r="K449" s="158"/>
      <c r="L449" s="158"/>
      <c r="M449" s="158"/>
      <c r="N449" s="158"/>
      <c r="O449" s="158"/>
    </row>
    <row r="450" spans="1:17">
      <c r="A450" s="729" t="s">
        <v>11557</v>
      </c>
      <c r="D450" s="158"/>
      <c r="E450" s="158"/>
      <c r="F450" s="158"/>
      <c r="G450" s="158"/>
      <c r="H450" s="158"/>
      <c r="I450" s="158"/>
      <c r="J450" s="158"/>
      <c r="K450" s="158"/>
      <c r="L450" s="158"/>
      <c r="M450" s="158"/>
      <c r="N450" s="158"/>
      <c r="O450" s="158"/>
    </row>
    <row r="453" spans="1:17">
      <c r="E453" s="51" t="s">
        <v>1526</v>
      </c>
      <c r="F453" s="51"/>
      <c r="G453" s="51"/>
      <c r="H453" s="51"/>
      <c r="I453" s="51"/>
      <c r="J453" s="51"/>
      <c r="K453" s="51"/>
      <c r="L453" s="51"/>
      <c r="M453" s="51"/>
      <c r="N453" s="51"/>
      <c r="O453" s="51"/>
      <c r="P453" s="52"/>
      <c r="Q453" s="53" t="s">
        <v>9479</v>
      </c>
    </row>
    <row r="454" spans="1:17">
      <c r="D454" s="40">
        <v>2010</v>
      </c>
      <c r="E454" s="40">
        <v>2011</v>
      </c>
      <c r="F454" s="40">
        <v>2012</v>
      </c>
      <c r="G454" s="40">
        <v>2013</v>
      </c>
      <c r="H454" s="40">
        <v>2014</v>
      </c>
      <c r="I454" s="40">
        <v>2015</v>
      </c>
      <c r="J454" s="40">
        <v>2016</v>
      </c>
      <c r="K454" s="40">
        <v>2017</v>
      </c>
      <c r="L454" s="40">
        <v>2018</v>
      </c>
      <c r="M454" s="40">
        <v>2019</v>
      </c>
      <c r="N454" s="40">
        <v>2020</v>
      </c>
      <c r="O454" s="977" t="s">
        <v>14823</v>
      </c>
      <c r="Q454" s="54" t="s">
        <v>1527</v>
      </c>
    </row>
    <row r="455" spans="1:17">
      <c r="A455" s="729" t="s">
        <v>3001</v>
      </c>
      <c r="D455" s="158">
        <f t="shared" ref="D455:L455" si="192">SUM(D456:D487,D489)</f>
        <v>107765</v>
      </c>
      <c r="E455" s="158">
        <f t="shared" si="192"/>
        <v>108308</v>
      </c>
      <c r="F455" s="158">
        <f t="shared" si="192"/>
        <v>108723</v>
      </c>
      <c r="G455" s="158">
        <f t="shared" si="192"/>
        <v>109553</v>
      </c>
      <c r="H455" s="158">
        <f t="shared" si="192"/>
        <v>110276</v>
      </c>
      <c r="I455" s="158">
        <f t="shared" si="192"/>
        <v>107859</v>
      </c>
      <c r="J455" s="158">
        <f t="shared" si="192"/>
        <v>108820</v>
      </c>
      <c r="K455" s="158">
        <f t="shared" si="192"/>
        <v>109092</v>
      </c>
      <c r="L455" s="158">
        <f t="shared" si="192"/>
        <v>109023</v>
      </c>
      <c r="M455" s="158">
        <f>SUM(M456:M487,M489)</f>
        <v>109489</v>
      </c>
      <c r="N455" s="158">
        <f>SUM(N456:N487,N489)</f>
        <v>113369</v>
      </c>
      <c r="O455" s="158">
        <f>SUM(O456:O487,O489)</f>
        <v>113595</v>
      </c>
      <c r="P455" s="158"/>
    </row>
    <row r="456" spans="1:17">
      <c r="A456" s="729" t="s">
        <v>5387</v>
      </c>
      <c r="B456" s="744" t="s">
        <v>12513</v>
      </c>
      <c r="C456" s="55" t="s">
        <v>14463</v>
      </c>
      <c r="D456" s="158">
        <v>40549</v>
      </c>
      <c r="E456" s="158">
        <v>40861</v>
      </c>
      <c r="F456" s="158">
        <v>41067</v>
      </c>
      <c r="G456" s="158">
        <v>41247</v>
      </c>
      <c r="H456" s="158">
        <v>41384</v>
      </c>
      <c r="I456" s="158">
        <v>39850</v>
      </c>
      <c r="J456" s="158">
        <v>40611</v>
      </c>
      <c r="K456" s="158">
        <v>40740</v>
      </c>
      <c r="L456" s="158">
        <v>40937</v>
      </c>
      <c r="M456" s="58">
        <v>4998</v>
      </c>
      <c r="N456" s="58">
        <v>5268</v>
      </c>
      <c r="O456" s="58">
        <v>5329</v>
      </c>
      <c r="Q456" s="729" t="s">
        <v>1765</v>
      </c>
    </row>
    <row r="457" spans="1:17">
      <c r="A457" s="729" t="s">
        <v>5389</v>
      </c>
      <c r="B457" s="744" t="s">
        <v>3002</v>
      </c>
      <c r="C457" s="55" t="s">
        <v>14464</v>
      </c>
      <c r="D457" s="158">
        <v>0</v>
      </c>
      <c r="E457" s="158">
        <v>0</v>
      </c>
      <c r="F457" s="158">
        <v>0</v>
      </c>
      <c r="G457" s="158">
        <v>0</v>
      </c>
      <c r="H457" s="158">
        <v>0</v>
      </c>
      <c r="I457" s="158">
        <v>0</v>
      </c>
      <c r="J457" s="158">
        <v>0</v>
      </c>
      <c r="K457" s="158">
        <v>0</v>
      </c>
      <c r="L457" s="158">
        <v>0</v>
      </c>
      <c r="M457" s="56">
        <v>1952</v>
      </c>
      <c r="N457" s="56">
        <v>2121</v>
      </c>
      <c r="O457" s="56">
        <v>2165</v>
      </c>
      <c r="Q457" s="729" t="s">
        <v>1765</v>
      </c>
    </row>
    <row r="458" spans="1:17">
      <c r="A458" s="729" t="s">
        <v>5391</v>
      </c>
      <c r="B458" s="744" t="s">
        <v>12504</v>
      </c>
      <c r="C458" s="55" t="s">
        <v>14465</v>
      </c>
      <c r="D458" s="158">
        <v>67216</v>
      </c>
      <c r="E458" s="158">
        <v>67447</v>
      </c>
      <c r="F458" s="158">
        <v>67656</v>
      </c>
      <c r="G458" s="158">
        <v>68306</v>
      </c>
      <c r="H458" s="158">
        <v>68892</v>
      </c>
      <c r="I458" s="158">
        <v>68009</v>
      </c>
      <c r="J458" s="158">
        <v>68209</v>
      </c>
      <c r="K458" s="158">
        <v>68352</v>
      </c>
      <c r="L458" s="158">
        <v>68086</v>
      </c>
      <c r="M458" s="56">
        <v>4001</v>
      </c>
      <c r="N458" s="56">
        <v>4134</v>
      </c>
      <c r="O458" s="56">
        <v>4114</v>
      </c>
      <c r="Q458" s="729" t="s">
        <v>1759</v>
      </c>
    </row>
    <row r="459" spans="1:17">
      <c r="A459" s="729" t="s">
        <v>5393</v>
      </c>
      <c r="B459" s="744" t="s">
        <v>1634</v>
      </c>
      <c r="C459" s="55" t="s">
        <v>14466</v>
      </c>
      <c r="D459" s="158">
        <v>0</v>
      </c>
      <c r="E459" s="158">
        <v>0</v>
      </c>
      <c r="F459" s="158">
        <v>0</v>
      </c>
      <c r="G459" s="158">
        <v>0</v>
      </c>
      <c r="H459" s="158">
        <v>0</v>
      </c>
      <c r="I459" s="158">
        <v>0</v>
      </c>
      <c r="J459" s="158">
        <v>0</v>
      </c>
      <c r="K459" s="158">
        <v>0</v>
      </c>
      <c r="L459" s="158">
        <v>0</v>
      </c>
      <c r="M459" s="56">
        <v>6479</v>
      </c>
      <c r="N459" s="56">
        <v>6732</v>
      </c>
      <c r="O459" s="56">
        <v>6746</v>
      </c>
      <c r="Q459" s="729" t="s">
        <v>1765</v>
      </c>
    </row>
    <row r="460" spans="1:17">
      <c r="A460" s="729" t="s">
        <v>5394</v>
      </c>
      <c r="B460" s="744" t="s">
        <v>1625</v>
      </c>
      <c r="C460" s="55" t="s">
        <v>14467</v>
      </c>
      <c r="D460" s="158">
        <v>0</v>
      </c>
      <c r="E460" s="158">
        <v>0</v>
      </c>
      <c r="F460" s="158">
        <v>0</v>
      </c>
      <c r="G460" s="158">
        <v>0</v>
      </c>
      <c r="H460" s="158">
        <v>0</v>
      </c>
      <c r="I460" s="158">
        <v>0</v>
      </c>
      <c r="J460" s="158">
        <v>0</v>
      </c>
      <c r="K460" s="158">
        <v>0</v>
      </c>
      <c r="L460" s="158">
        <v>0</v>
      </c>
      <c r="M460" s="58">
        <v>4244</v>
      </c>
      <c r="N460" s="58">
        <v>4409</v>
      </c>
      <c r="O460" s="58">
        <v>4414</v>
      </c>
      <c r="Q460" s="729" t="s">
        <v>1759</v>
      </c>
    </row>
    <row r="461" spans="1:17">
      <c r="A461" s="729" t="s">
        <v>5416</v>
      </c>
      <c r="B461" s="744" t="s">
        <v>5988</v>
      </c>
      <c r="C461" s="55" t="s">
        <v>14468</v>
      </c>
      <c r="D461" s="158">
        <v>0</v>
      </c>
      <c r="E461" s="158">
        <v>0</v>
      </c>
      <c r="F461" s="158">
        <v>0</v>
      </c>
      <c r="G461" s="158">
        <v>0</v>
      </c>
      <c r="H461" s="158">
        <v>0</v>
      </c>
      <c r="I461" s="158">
        <v>0</v>
      </c>
      <c r="J461" s="158">
        <v>0</v>
      </c>
      <c r="K461" s="158">
        <v>0</v>
      </c>
      <c r="L461" s="158">
        <v>0</v>
      </c>
      <c r="M461" s="58">
        <v>4564</v>
      </c>
      <c r="N461" s="58">
        <v>4709</v>
      </c>
      <c r="O461" s="58">
        <v>4731</v>
      </c>
      <c r="Q461" s="729" t="s">
        <v>1759</v>
      </c>
    </row>
    <row r="462" spans="1:17">
      <c r="A462" s="729" t="s">
        <v>5418</v>
      </c>
      <c r="B462" s="744" t="s">
        <v>12505</v>
      </c>
      <c r="C462" s="55" t="s">
        <v>14469</v>
      </c>
      <c r="D462" s="158">
        <v>0</v>
      </c>
      <c r="E462" s="158">
        <v>0</v>
      </c>
      <c r="F462" s="158">
        <v>0</v>
      </c>
      <c r="G462" s="158">
        <v>0</v>
      </c>
      <c r="H462" s="158">
        <v>0</v>
      </c>
      <c r="I462" s="158">
        <v>0</v>
      </c>
      <c r="J462" s="158">
        <v>0</v>
      </c>
      <c r="K462" s="158">
        <v>0</v>
      </c>
      <c r="L462" s="158">
        <v>0</v>
      </c>
      <c r="M462" s="56">
        <v>5083</v>
      </c>
      <c r="N462" s="56">
        <v>5228</v>
      </c>
      <c r="O462" s="56">
        <v>5222</v>
      </c>
      <c r="Q462" s="729" t="s">
        <v>1759</v>
      </c>
    </row>
    <row r="463" spans="1:17">
      <c r="A463" s="729" t="s">
        <v>5420</v>
      </c>
      <c r="B463" s="744" t="s">
        <v>12514</v>
      </c>
      <c r="C463" s="55" t="s">
        <v>14470</v>
      </c>
      <c r="D463" s="158">
        <v>0</v>
      </c>
      <c r="E463" s="158">
        <v>0</v>
      </c>
      <c r="F463" s="158">
        <v>0</v>
      </c>
      <c r="G463" s="158">
        <v>0</v>
      </c>
      <c r="H463" s="158">
        <v>0</v>
      </c>
      <c r="I463" s="158">
        <v>0</v>
      </c>
      <c r="J463" s="158">
        <v>0</v>
      </c>
      <c r="K463" s="158">
        <v>0</v>
      </c>
      <c r="L463" s="158">
        <v>0</v>
      </c>
      <c r="M463" s="56">
        <v>4919</v>
      </c>
      <c r="N463" s="56">
        <v>5168</v>
      </c>
      <c r="O463" s="56">
        <v>5202</v>
      </c>
      <c r="Q463" s="729" t="s">
        <v>1765</v>
      </c>
    </row>
    <row r="464" spans="1:17">
      <c r="A464" s="729" t="s">
        <v>5422</v>
      </c>
      <c r="B464" s="744" t="s">
        <v>12515</v>
      </c>
      <c r="C464" s="55" t="s">
        <v>14471</v>
      </c>
      <c r="D464" s="158">
        <v>0</v>
      </c>
      <c r="E464" s="158">
        <v>0</v>
      </c>
      <c r="F464" s="158">
        <v>0</v>
      </c>
      <c r="G464" s="158">
        <v>0</v>
      </c>
      <c r="H464" s="158">
        <v>0</v>
      </c>
      <c r="I464" s="158">
        <v>0</v>
      </c>
      <c r="J464" s="158">
        <v>0</v>
      </c>
      <c r="K464" s="158">
        <v>0</v>
      </c>
      <c r="L464" s="158">
        <v>0</v>
      </c>
      <c r="M464" s="56">
        <v>2146</v>
      </c>
      <c r="N464" s="56">
        <v>2216</v>
      </c>
      <c r="O464" s="56">
        <v>2190</v>
      </c>
      <c r="Q464" s="729" t="s">
        <v>1765</v>
      </c>
    </row>
    <row r="465" spans="1:17">
      <c r="A465" s="729" t="s">
        <v>5424</v>
      </c>
      <c r="B465" s="744" t="s">
        <v>12516</v>
      </c>
      <c r="C465" s="55" t="s">
        <v>14472</v>
      </c>
      <c r="D465" s="158">
        <v>0</v>
      </c>
      <c r="E465" s="158">
        <v>0</v>
      </c>
      <c r="F465" s="158">
        <v>0</v>
      </c>
      <c r="G465" s="158">
        <v>0</v>
      </c>
      <c r="H465" s="158">
        <v>0</v>
      </c>
      <c r="I465" s="158">
        <v>0</v>
      </c>
      <c r="J465" s="158">
        <v>0</v>
      </c>
      <c r="K465" s="158">
        <v>0</v>
      </c>
      <c r="L465" s="158">
        <v>0</v>
      </c>
      <c r="M465" s="58">
        <v>2350</v>
      </c>
      <c r="N465" s="58">
        <v>2405</v>
      </c>
      <c r="O465" s="58">
        <v>2385</v>
      </c>
      <c r="Q465" s="729" t="s">
        <v>1765</v>
      </c>
    </row>
    <row r="466" spans="1:17">
      <c r="A466" s="729" t="s">
        <v>5426</v>
      </c>
      <c r="B466" s="744" t="s">
        <v>12517</v>
      </c>
      <c r="C466" s="55" t="s">
        <v>14473</v>
      </c>
      <c r="D466" s="158">
        <v>0</v>
      </c>
      <c r="E466" s="158">
        <v>0</v>
      </c>
      <c r="F466" s="158">
        <v>0</v>
      </c>
      <c r="G466" s="158">
        <v>0</v>
      </c>
      <c r="H466" s="158">
        <v>0</v>
      </c>
      <c r="I466" s="158">
        <v>0</v>
      </c>
      <c r="J466" s="158">
        <v>0</v>
      </c>
      <c r="K466" s="158">
        <v>0</v>
      </c>
      <c r="L466" s="158">
        <v>0</v>
      </c>
      <c r="M466" s="58">
        <v>2051</v>
      </c>
      <c r="N466" s="58">
        <v>2081</v>
      </c>
      <c r="O466" s="58">
        <v>2104</v>
      </c>
      <c r="Q466" s="729" t="s">
        <v>1765</v>
      </c>
    </row>
    <row r="467" spans="1:17">
      <c r="A467" s="729" t="s">
        <v>5428</v>
      </c>
      <c r="B467" s="744" t="s">
        <v>2376</v>
      </c>
      <c r="C467" s="55" t="s">
        <v>14474</v>
      </c>
      <c r="D467" s="158">
        <v>0</v>
      </c>
      <c r="E467" s="158">
        <v>0</v>
      </c>
      <c r="F467" s="158">
        <v>0</v>
      </c>
      <c r="G467" s="158">
        <v>0</v>
      </c>
      <c r="H467" s="158">
        <v>0</v>
      </c>
      <c r="I467" s="158">
        <v>0</v>
      </c>
      <c r="J467" s="158">
        <v>0</v>
      </c>
      <c r="K467" s="158">
        <v>0</v>
      </c>
      <c r="L467" s="158">
        <v>0</v>
      </c>
      <c r="M467" s="56">
        <v>2503</v>
      </c>
      <c r="N467" s="56">
        <v>2561</v>
      </c>
      <c r="O467" s="56">
        <v>2564</v>
      </c>
      <c r="Q467" s="729" t="s">
        <v>1759</v>
      </c>
    </row>
    <row r="468" spans="1:17">
      <c r="A468" s="729" t="s">
        <v>5429</v>
      </c>
      <c r="B468" s="744" t="s">
        <v>1626</v>
      </c>
      <c r="C468" s="55" t="s">
        <v>14475</v>
      </c>
      <c r="D468" s="158">
        <v>0</v>
      </c>
      <c r="E468" s="158">
        <v>0</v>
      </c>
      <c r="F468" s="158">
        <v>0</v>
      </c>
      <c r="G468" s="158">
        <v>0</v>
      </c>
      <c r="H468" s="158">
        <v>0</v>
      </c>
      <c r="I468" s="158">
        <v>0</v>
      </c>
      <c r="J468" s="158">
        <v>0</v>
      </c>
      <c r="K468" s="158">
        <v>0</v>
      </c>
      <c r="L468" s="158">
        <v>0</v>
      </c>
      <c r="M468" s="58">
        <v>4982</v>
      </c>
      <c r="N468" s="58">
        <v>5145</v>
      </c>
      <c r="O468" s="58">
        <v>5099</v>
      </c>
      <c r="Q468" s="729" t="s">
        <v>1759</v>
      </c>
    </row>
    <row r="469" spans="1:17">
      <c r="A469" s="729" t="s">
        <v>5431</v>
      </c>
      <c r="B469" s="744" t="s">
        <v>12518</v>
      </c>
      <c r="C469" s="55" t="s">
        <v>14476</v>
      </c>
      <c r="D469" s="158">
        <v>0</v>
      </c>
      <c r="E469" s="158">
        <v>0</v>
      </c>
      <c r="F469" s="158">
        <v>0</v>
      </c>
      <c r="G469" s="158">
        <v>0</v>
      </c>
      <c r="H469" s="158">
        <v>0</v>
      </c>
      <c r="I469" s="158">
        <v>0</v>
      </c>
      <c r="J469" s="158">
        <v>0</v>
      </c>
      <c r="K469" s="158">
        <v>0</v>
      </c>
      <c r="L469" s="158">
        <v>0</v>
      </c>
      <c r="M469" s="58">
        <v>2501</v>
      </c>
      <c r="N469" s="58">
        <v>2540</v>
      </c>
      <c r="O469" s="58">
        <v>2546</v>
      </c>
      <c r="Q469" s="729" t="s">
        <v>1765</v>
      </c>
    </row>
    <row r="470" spans="1:17">
      <c r="A470" s="729" t="s">
        <v>5433</v>
      </c>
      <c r="B470" s="744" t="s">
        <v>4450</v>
      </c>
      <c r="C470" s="55" t="s">
        <v>14477</v>
      </c>
      <c r="D470" s="158">
        <v>0</v>
      </c>
      <c r="E470" s="158">
        <v>0</v>
      </c>
      <c r="F470" s="158">
        <v>0</v>
      </c>
      <c r="G470" s="158">
        <v>0</v>
      </c>
      <c r="H470" s="158">
        <v>0</v>
      </c>
      <c r="I470" s="158">
        <v>0</v>
      </c>
      <c r="J470" s="158">
        <v>0</v>
      </c>
      <c r="K470" s="158">
        <v>0</v>
      </c>
      <c r="L470" s="158">
        <v>0</v>
      </c>
      <c r="M470" s="58">
        <v>2427</v>
      </c>
      <c r="N470" s="58">
        <v>2490</v>
      </c>
      <c r="O470" s="58">
        <v>2469</v>
      </c>
      <c r="Q470" s="729" t="s">
        <v>1759</v>
      </c>
    </row>
    <row r="471" spans="1:17">
      <c r="A471" s="729" t="s">
        <v>5435</v>
      </c>
      <c r="B471" s="744" t="s">
        <v>12506</v>
      </c>
      <c r="C471" s="55" t="s">
        <v>14478</v>
      </c>
      <c r="D471" s="158">
        <v>0</v>
      </c>
      <c r="E471" s="158">
        <v>0</v>
      </c>
      <c r="F471" s="158">
        <v>0</v>
      </c>
      <c r="G471" s="158">
        <v>0</v>
      </c>
      <c r="H471" s="158">
        <v>0</v>
      </c>
      <c r="I471" s="158">
        <v>0</v>
      </c>
      <c r="J471" s="158">
        <v>0</v>
      </c>
      <c r="K471" s="158">
        <v>0</v>
      </c>
      <c r="L471" s="158">
        <v>0</v>
      </c>
      <c r="M471" s="58">
        <v>2488</v>
      </c>
      <c r="N471" s="58">
        <v>2592</v>
      </c>
      <c r="O471" s="58">
        <v>2605</v>
      </c>
      <c r="Q471" s="729" t="s">
        <v>1759</v>
      </c>
    </row>
    <row r="472" spans="1:17">
      <c r="A472" s="729" t="s">
        <v>5436</v>
      </c>
      <c r="B472" s="744" t="s">
        <v>12507</v>
      </c>
      <c r="C472" s="55" t="s">
        <v>14479</v>
      </c>
      <c r="D472" s="158">
        <v>0</v>
      </c>
      <c r="E472" s="158">
        <v>0</v>
      </c>
      <c r="F472" s="158">
        <v>0</v>
      </c>
      <c r="G472" s="158">
        <v>0</v>
      </c>
      <c r="H472" s="158">
        <v>0</v>
      </c>
      <c r="I472" s="158">
        <v>0</v>
      </c>
      <c r="J472" s="158">
        <v>0</v>
      </c>
      <c r="K472" s="158">
        <v>0</v>
      </c>
      <c r="L472" s="158">
        <v>0</v>
      </c>
      <c r="M472" s="56">
        <v>2444</v>
      </c>
      <c r="N472" s="56">
        <v>2509</v>
      </c>
      <c r="O472" s="56">
        <v>2504</v>
      </c>
      <c r="Q472" s="729" t="s">
        <v>1759</v>
      </c>
    </row>
    <row r="473" spans="1:17">
      <c r="A473" s="729" t="s">
        <v>5437</v>
      </c>
      <c r="B473" s="744" t="s">
        <v>12519</v>
      </c>
      <c r="C473" s="55" t="s">
        <v>14480</v>
      </c>
      <c r="D473" s="158">
        <v>0</v>
      </c>
      <c r="E473" s="158">
        <v>0</v>
      </c>
      <c r="F473" s="158">
        <v>0</v>
      </c>
      <c r="G473" s="158">
        <v>0</v>
      </c>
      <c r="H473" s="158">
        <v>0</v>
      </c>
      <c r="I473" s="158">
        <v>0</v>
      </c>
      <c r="J473" s="158">
        <v>0</v>
      </c>
      <c r="K473" s="158">
        <v>0</v>
      </c>
      <c r="L473" s="158">
        <v>0</v>
      </c>
      <c r="M473" s="56">
        <v>6268</v>
      </c>
      <c r="N473" s="56">
        <v>6551</v>
      </c>
      <c r="O473" s="56">
        <v>6559</v>
      </c>
      <c r="Q473" s="729" t="s">
        <v>1765</v>
      </c>
    </row>
    <row r="474" spans="1:17">
      <c r="A474" s="729" t="s">
        <v>5439</v>
      </c>
      <c r="B474" s="744" t="s">
        <v>12508</v>
      </c>
      <c r="C474" s="55" t="s">
        <v>14481</v>
      </c>
      <c r="D474" s="158">
        <v>0</v>
      </c>
      <c r="E474" s="158">
        <v>0</v>
      </c>
      <c r="F474" s="158">
        <v>0</v>
      </c>
      <c r="G474" s="158">
        <v>0</v>
      </c>
      <c r="H474" s="158">
        <v>0</v>
      </c>
      <c r="I474" s="158">
        <v>0</v>
      </c>
      <c r="J474" s="158">
        <v>0</v>
      </c>
      <c r="K474" s="158">
        <v>0</v>
      </c>
      <c r="L474" s="158">
        <v>0</v>
      </c>
      <c r="M474" s="56">
        <v>2382</v>
      </c>
      <c r="N474" s="56">
        <v>2487</v>
      </c>
      <c r="O474" s="56">
        <v>2508</v>
      </c>
      <c r="Q474" s="729" t="s">
        <v>1759</v>
      </c>
    </row>
    <row r="475" spans="1:17">
      <c r="A475" s="729" t="s">
        <v>5441</v>
      </c>
      <c r="B475" s="744" t="s">
        <v>4451</v>
      </c>
      <c r="C475" s="55" t="s">
        <v>14482</v>
      </c>
      <c r="D475" s="158">
        <v>0</v>
      </c>
      <c r="E475" s="158">
        <v>0</v>
      </c>
      <c r="F475" s="158">
        <v>0</v>
      </c>
      <c r="G475" s="158">
        <v>0</v>
      </c>
      <c r="H475" s="158">
        <v>0</v>
      </c>
      <c r="I475" s="158">
        <v>0</v>
      </c>
      <c r="J475" s="158">
        <v>0</v>
      </c>
      <c r="K475" s="158">
        <v>0</v>
      </c>
      <c r="L475" s="158">
        <v>0</v>
      </c>
      <c r="M475" s="56">
        <v>1809</v>
      </c>
      <c r="N475" s="56">
        <v>1866</v>
      </c>
      <c r="O475" s="56">
        <v>1876</v>
      </c>
      <c r="Q475" s="729" t="s">
        <v>1759</v>
      </c>
    </row>
    <row r="476" spans="1:17">
      <c r="A476" s="729" t="s">
        <v>5886</v>
      </c>
      <c r="B476" s="744" t="s">
        <v>4452</v>
      </c>
      <c r="C476" s="55" t="s">
        <v>14483</v>
      </c>
      <c r="D476" s="158">
        <v>0</v>
      </c>
      <c r="E476" s="158">
        <v>0</v>
      </c>
      <c r="F476" s="158">
        <v>0</v>
      </c>
      <c r="G476" s="158">
        <v>0</v>
      </c>
      <c r="H476" s="158">
        <v>0</v>
      </c>
      <c r="I476" s="158">
        <v>0</v>
      </c>
      <c r="J476" s="158">
        <v>0</v>
      </c>
      <c r="K476" s="158">
        <v>0</v>
      </c>
      <c r="L476" s="158">
        <v>0</v>
      </c>
      <c r="M476" s="58">
        <v>4679</v>
      </c>
      <c r="N476" s="58">
        <v>4765</v>
      </c>
      <c r="O476" s="58">
        <v>4771</v>
      </c>
      <c r="Q476" s="729" t="s">
        <v>1759</v>
      </c>
    </row>
    <row r="477" spans="1:17">
      <c r="A477" s="729" t="s">
        <v>5888</v>
      </c>
      <c r="B477" s="744" t="s">
        <v>2991</v>
      </c>
      <c r="C477" s="55" t="s">
        <v>14484</v>
      </c>
      <c r="D477" s="158">
        <v>0</v>
      </c>
      <c r="E477" s="158">
        <v>0</v>
      </c>
      <c r="F477" s="158">
        <v>0</v>
      </c>
      <c r="G477" s="158">
        <v>0</v>
      </c>
      <c r="H477" s="158">
        <v>0</v>
      </c>
      <c r="I477" s="158">
        <v>0</v>
      </c>
      <c r="J477" s="158">
        <v>0</v>
      </c>
      <c r="K477" s="158">
        <v>0</v>
      </c>
      <c r="L477" s="158">
        <v>0</v>
      </c>
      <c r="M477" s="56">
        <v>5005</v>
      </c>
      <c r="N477" s="56">
        <v>5126</v>
      </c>
      <c r="O477" s="56">
        <v>5103</v>
      </c>
      <c r="Q477" s="729" t="s">
        <v>1759</v>
      </c>
    </row>
    <row r="478" spans="1:17">
      <c r="A478" s="729" t="s">
        <v>5889</v>
      </c>
      <c r="B478" s="744" t="s">
        <v>6030</v>
      </c>
      <c r="C478" s="55" t="s">
        <v>14485</v>
      </c>
      <c r="D478" s="158">
        <v>0</v>
      </c>
      <c r="E478" s="158">
        <v>0</v>
      </c>
      <c r="F478" s="158">
        <v>0</v>
      </c>
      <c r="G478" s="158">
        <v>0</v>
      </c>
      <c r="H478" s="158">
        <v>0</v>
      </c>
      <c r="I478" s="158">
        <v>0</v>
      </c>
      <c r="J478" s="158">
        <v>0</v>
      </c>
      <c r="K478" s="158">
        <v>0</v>
      </c>
      <c r="L478" s="158">
        <v>0</v>
      </c>
      <c r="M478" s="56">
        <v>4939</v>
      </c>
      <c r="N478" s="56">
        <v>5053</v>
      </c>
      <c r="O478" s="56">
        <v>5065</v>
      </c>
      <c r="Q478" s="729" t="s">
        <v>1759</v>
      </c>
    </row>
    <row r="479" spans="1:17">
      <c r="A479" s="729" t="s">
        <v>4431</v>
      </c>
      <c r="B479" s="744" t="s">
        <v>12509</v>
      </c>
      <c r="C479" s="55" t="s">
        <v>14486</v>
      </c>
      <c r="D479" s="158">
        <v>0</v>
      </c>
      <c r="E479" s="158">
        <v>0</v>
      </c>
      <c r="F479" s="158">
        <v>0</v>
      </c>
      <c r="G479" s="158">
        <v>0</v>
      </c>
      <c r="H479" s="158">
        <v>0</v>
      </c>
      <c r="I479" s="158">
        <v>0</v>
      </c>
      <c r="J479" s="158">
        <v>0</v>
      </c>
      <c r="K479" s="158">
        <v>0</v>
      </c>
      <c r="L479" s="158">
        <v>0</v>
      </c>
      <c r="M479" s="58">
        <v>3906</v>
      </c>
      <c r="N479" s="58">
        <v>4042</v>
      </c>
      <c r="O479" s="58">
        <v>4055</v>
      </c>
      <c r="Q479" s="729" t="s">
        <v>1759</v>
      </c>
    </row>
    <row r="480" spans="1:17">
      <c r="A480" s="729" t="s">
        <v>4432</v>
      </c>
      <c r="B480" s="744" t="s">
        <v>2968</v>
      </c>
      <c r="C480" s="55" t="s">
        <v>14487</v>
      </c>
      <c r="D480" s="158">
        <v>0</v>
      </c>
      <c r="E480" s="158">
        <v>0</v>
      </c>
      <c r="F480" s="158">
        <v>0</v>
      </c>
      <c r="G480" s="158">
        <v>0</v>
      </c>
      <c r="H480" s="158">
        <v>0</v>
      </c>
      <c r="I480" s="158">
        <v>0</v>
      </c>
      <c r="J480" s="158">
        <v>0</v>
      </c>
      <c r="K480" s="158">
        <v>0</v>
      </c>
      <c r="L480" s="158">
        <v>0</v>
      </c>
      <c r="M480" s="56">
        <v>2211</v>
      </c>
      <c r="N480" s="56">
        <v>2262</v>
      </c>
      <c r="O480" s="56">
        <v>2236</v>
      </c>
      <c r="Q480" s="729" t="s">
        <v>1759</v>
      </c>
    </row>
    <row r="481" spans="1:17">
      <c r="A481" s="729" t="s">
        <v>4434</v>
      </c>
      <c r="B481" s="744" t="s">
        <v>12520</v>
      </c>
      <c r="C481" s="55" t="s">
        <v>14488</v>
      </c>
      <c r="D481" s="158">
        <v>0</v>
      </c>
      <c r="E481" s="158">
        <v>0</v>
      </c>
      <c r="F481" s="158">
        <v>0</v>
      </c>
      <c r="G481" s="158">
        <v>0</v>
      </c>
      <c r="H481" s="158">
        <v>0</v>
      </c>
      <c r="I481" s="158">
        <v>0</v>
      </c>
      <c r="J481" s="158">
        <v>0</v>
      </c>
      <c r="K481" s="158">
        <v>0</v>
      </c>
      <c r="L481" s="158">
        <v>0</v>
      </c>
      <c r="M481" s="56">
        <v>2351</v>
      </c>
      <c r="N481" s="56">
        <v>2426</v>
      </c>
      <c r="O481" s="56">
        <v>2410</v>
      </c>
      <c r="Q481" s="729" t="s">
        <v>1765</v>
      </c>
    </row>
    <row r="482" spans="1:17">
      <c r="A482" s="729" t="s">
        <v>4533</v>
      </c>
      <c r="B482" s="730" t="s">
        <v>14490</v>
      </c>
      <c r="C482" s="730" t="s">
        <v>14489</v>
      </c>
      <c r="D482" s="158">
        <v>0</v>
      </c>
      <c r="E482" s="158">
        <v>0</v>
      </c>
      <c r="F482" s="158">
        <v>0</v>
      </c>
      <c r="G482" s="158">
        <v>0</v>
      </c>
      <c r="H482" s="158">
        <v>0</v>
      </c>
      <c r="I482" s="158">
        <v>0</v>
      </c>
      <c r="J482" s="158">
        <v>0</v>
      </c>
      <c r="K482" s="158">
        <v>0</v>
      </c>
      <c r="L482" s="158">
        <v>0</v>
      </c>
      <c r="M482" s="58">
        <v>2451</v>
      </c>
      <c r="N482" s="58">
        <v>2567</v>
      </c>
      <c r="O482" s="58">
        <v>2603</v>
      </c>
      <c r="Q482" s="729" t="s">
        <v>1765</v>
      </c>
    </row>
    <row r="483" spans="1:17">
      <c r="A483" s="729" t="s">
        <v>4535</v>
      </c>
      <c r="B483" s="730" t="s">
        <v>14492</v>
      </c>
      <c r="C483" s="730" t="s">
        <v>14491</v>
      </c>
      <c r="D483" s="158">
        <v>0</v>
      </c>
      <c r="E483" s="158">
        <v>0</v>
      </c>
      <c r="F483" s="158">
        <v>0</v>
      </c>
      <c r="G483" s="158">
        <v>0</v>
      </c>
      <c r="H483" s="158">
        <v>0</v>
      </c>
      <c r="I483" s="158">
        <v>0</v>
      </c>
      <c r="J483" s="158">
        <v>0</v>
      </c>
      <c r="K483" s="158">
        <v>0</v>
      </c>
      <c r="L483" s="158">
        <v>0</v>
      </c>
      <c r="M483" s="58">
        <v>2351</v>
      </c>
      <c r="N483" s="58">
        <v>2422</v>
      </c>
      <c r="O483" s="58">
        <v>2414</v>
      </c>
      <c r="Q483" s="729" t="s">
        <v>1765</v>
      </c>
    </row>
    <row r="484" spans="1:17">
      <c r="A484" s="729" t="s">
        <v>4537</v>
      </c>
      <c r="B484" s="744" t="s">
        <v>12510</v>
      </c>
      <c r="C484" s="55" t="s">
        <v>14493</v>
      </c>
      <c r="D484" s="158">
        <v>0</v>
      </c>
      <c r="E484" s="158">
        <v>0</v>
      </c>
      <c r="F484" s="158">
        <v>0</v>
      </c>
      <c r="G484" s="158">
        <v>0</v>
      </c>
      <c r="H484" s="158">
        <v>0</v>
      </c>
      <c r="I484" s="158">
        <v>0</v>
      </c>
      <c r="J484" s="158">
        <v>0</v>
      </c>
      <c r="K484" s="158">
        <v>0</v>
      </c>
      <c r="L484" s="158">
        <v>0</v>
      </c>
      <c r="M484" s="58">
        <v>2505</v>
      </c>
      <c r="N484" s="58">
        <v>2639</v>
      </c>
      <c r="O484" s="58">
        <v>2668</v>
      </c>
      <c r="Q484" s="729" t="s">
        <v>1759</v>
      </c>
    </row>
    <row r="485" spans="1:17">
      <c r="A485" s="729" t="s">
        <v>4539</v>
      </c>
      <c r="B485" s="744" t="s">
        <v>6140</v>
      </c>
      <c r="C485" s="55" t="s">
        <v>14494</v>
      </c>
      <c r="D485" s="158">
        <v>0</v>
      </c>
      <c r="E485" s="158">
        <v>0</v>
      </c>
      <c r="F485" s="158">
        <v>0</v>
      </c>
      <c r="G485" s="158">
        <v>0</v>
      </c>
      <c r="H485" s="158">
        <v>0</v>
      </c>
      <c r="I485" s="158">
        <v>0</v>
      </c>
      <c r="J485" s="158">
        <v>0</v>
      </c>
      <c r="K485" s="158">
        <v>0</v>
      </c>
      <c r="L485" s="158">
        <v>0</v>
      </c>
      <c r="M485" s="58">
        <v>2364</v>
      </c>
      <c r="N485" s="58">
        <v>2502</v>
      </c>
      <c r="O485" s="58">
        <v>2545</v>
      </c>
      <c r="Q485" s="729" t="s">
        <v>1759</v>
      </c>
    </row>
    <row r="486" spans="1:17">
      <c r="A486" s="729" t="s">
        <v>6158</v>
      </c>
      <c r="B486" s="744" t="s">
        <v>12511</v>
      </c>
      <c r="C486" s="55" t="s">
        <v>14495</v>
      </c>
      <c r="D486" s="158">
        <v>0</v>
      </c>
      <c r="E486" s="158">
        <v>0</v>
      </c>
      <c r="F486" s="158">
        <v>0</v>
      </c>
      <c r="G486" s="158">
        <v>0</v>
      </c>
      <c r="H486" s="158">
        <v>0</v>
      </c>
      <c r="I486" s="158">
        <v>0</v>
      </c>
      <c r="J486" s="158">
        <v>0</v>
      </c>
      <c r="K486" s="158">
        <v>0</v>
      </c>
      <c r="L486" s="158">
        <v>0</v>
      </c>
      <c r="M486" s="58">
        <v>1540</v>
      </c>
      <c r="N486" s="58">
        <v>1642</v>
      </c>
      <c r="O486" s="58">
        <v>1671</v>
      </c>
      <c r="Q486" s="729" t="s">
        <v>1759</v>
      </c>
    </row>
    <row r="487" spans="1:17" ht="15.75" thickBot="1">
      <c r="B487" s="744"/>
      <c r="C487" s="55" t="s">
        <v>14495</v>
      </c>
      <c r="D487" s="274">
        <v>0</v>
      </c>
      <c r="E487" s="274">
        <v>0</v>
      </c>
      <c r="F487" s="274">
        <v>0</v>
      </c>
      <c r="G487" s="274">
        <v>0</v>
      </c>
      <c r="H487" s="274">
        <v>0</v>
      </c>
      <c r="I487" s="274">
        <v>0</v>
      </c>
      <c r="J487" s="274">
        <v>0</v>
      </c>
      <c r="K487" s="274">
        <v>0</v>
      </c>
      <c r="L487" s="274">
        <v>0</v>
      </c>
      <c r="M487" s="274">
        <v>531</v>
      </c>
      <c r="N487" s="274">
        <v>569</v>
      </c>
      <c r="O487" s="274">
        <v>566</v>
      </c>
      <c r="Q487" s="729" t="s">
        <v>1765</v>
      </c>
    </row>
    <row r="488" spans="1:17" ht="15.75" thickBot="1">
      <c r="A488" s="741"/>
      <c r="B488" s="744"/>
      <c r="C488" s="55" t="s">
        <v>14495</v>
      </c>
      <c r="D488" s="732">
        <f t="shared" ref="D488:L488" si="193">D486+D487</f>
        <v>0</v>
      </c>
      <c r="E488" s="732">
        <f t="shared" si="193"/>
        <v>0</v>
      </c>
      <c r="F488" s="732">
        <f t="shared" si="193"/>
        <v>0</v>
      </c>
      <c r="G488" s="732">
        <f t="shared" si="193"/>
        <v>0</v>
      </c>
      <c r="H488" s="732">
        <f t="shared" si="193"/>
        <v>0</v>
      </c>
      <c r="I488" s="732">
        <f t="shared" si="193"/>
        <v>0</v>
      </c>
      <c r="J488" s="732">
        <f t="shared" si="193"/>
        <v>0</v>
      </c>
      <c r="K488" s="732">
        <f t="shared" si="193"/>
        <v>0</v>
      </c>
      <c r="L488" s="732">
        <f t="shared" si="193"/>
        <v>0</v>
      </c>
      <c r="M488" s="732">
        <f>M486+M487</f>
        <v>2071</v>
      </c>
      <c r="N488" s="732">
        <f>N486+N487</f>
        <v>2211</v>
      </c>
      <c r="O488" s="732">
        <f>O486+O487</f>
        <v>2237</v>
      </c>
      <c r="Q488" s="729"/>
    </row>
    <row r="489" spans="1:17">
      <c r="A489" s="741">
        <v>32</v>
      </c>
      <c r="B489" s="744" t="s">
        <v>12512</v>
      </c>
      <c r="C489" s="55" t="s">
        <v>14496</v>
      </c>
      <c r="D489" s="158">
        <v>0</v>
      </c>
      <c r="E489" s="158">
        <v>0</v>
      </c>
      <c r="F489" s="158">
        <v>0</v>
      </c>
      <c r="G489" s="158">
        <v>0</v>
      </c>
      <c r="H489" s="58">
        <v>0</v>
      </c>
      <c r="I489" s="58">
        <v>0</v>
      </c>
      <c r="J489" s="58">
        <v>0</v>
      </c>
      <c r="K489" s="58">
        <v>0</v>
      </c>
      <c r="L489" s="58">
        <v>0</v>
      </c>
      <c r="M489" s="58">
        <v>4065</v>
      </c>
      <c r="N489" s="58">
        <v>4142</v>
      </c>
      <c r="O489" s="58">
        <v>4156</v>
      </c>
      <c r="Q489" s="729" t="s">
        <v>1759</v>
      </c>
    </row>
    <row r="490" spans="1:17">
      <c r="D490" s="733"/>
      <c r="E490" s="733"/>
      <c r="F490" s="733"/>
      <c r="G490" s="733"/>
      <c r="H490" s="733"/>
      <c r="I490" s="733"/>
      <c r="J490" s="733"/>
      <c r="K490" s="733"/>
      <c r="L490" s="733"/>
      <c r="M490" s="733"/>
      <c r="N490" s="733"/>
      <c r="O490" s="733"/>
    </row>
    <row r="491" spans="1:17">
      <c r="A491" s="729" t="s">
        <v>1759</v>
      </c>
      <c r="D491" s="158">
        <f t="shared" ref="D491:M491" si="194">SUM(D458,D460:D462,D467:D468,D470:D472,D474:D480,D484:D486,D489)</f>
        <v>67216</v>
      </c>
      <c r="E491" s="158">
        <f t="shared" si="194"/>
        <v>67447</v>
      </c>
      <c r="F491" s="158">
        <f t="shared" si="194"/>
        <v>67656</v>
      </c>
      <c r="G491" s="158">
        <f t="shared" si="194"/>
        <v>68306</v>
      </c>
      <c r="H491" s="158">
        <f t="shared" si="194"/>
        <v>68892</v>
      </c>
      <c r="I491" s="158">
        <f t="shared" si="194"/>
        <v>68009</v>
      </c>
      <c r="J491" s="158">
        <f t="shared" si="194"/>
        <v>68209</v>
      </c>
      <c r="K491" s="158">
        <f t="shared" si="194"/>
        <v>68352</v>
      </c>
      <c r="L491" s="158">
        <f t="shared" si="194"/>
        <v>68086</v>
      </c>
      <c r="M491" s="158">
        <f t="shared" si="194"/>
        <v>68141</v>
      </c>
      <c r="N491" s="158">
        <f>SUM(N458,N460:N462,N467:N468,N470:N472,N474:N480,N484:N486,N489)</f>
        <v>70303</v>
      </c>
      <c r="O491" s="158">
        <f>SUM(O458,O460:O462,O467:O468,O470:O472,O474:O480,O484:O486,O489)</f>
        <v>70376</v>
      </c>
    </row>
    <row r="492" spans="1:17">
      <c r="A492" s="729" t="s">
        <v>1694</v>
      </c>
      <c r="D492" s="158">
        <f t="shared" ref="D492:M492" si="195">SUM(D456:D457,D459,D463:D466,D469,D473,D481:D483,D487)</f>
        <v>40549</v>
      </c>
      <c r="E492" s="158">
        <f t="shared" si="195"/>
        <v>40861</v>
      </c>
      <c r="F492" s="158">
        <f t="shared" si="195"/>
        <v>41067</v>
      </c>
      <c r="G492" s="158">
        <f t="shared" si="195"/>
        <v>41247</v>
      </c>
      <c r="H492" s="158">
        <f t="shared" si="195"/>
        <v>41384</v>
      </c>
      <c r="I492" s="158">
        <f t="shared" si="195"/>
        <v>39850</v>
      </c>
      <c r="J492" s="158">
        <f t="shared" si="195"/>
        <v>40611</v>
      </c>
      <c r="K492" s="158">
        <f t="shared" si="195"/>
        <v>40740</v>
      </c>
      <c r="L492" s="158">
        <f t="shared" si="195"/>
        <v>40937</v>
      </c>
      <c r="M492" s="158">
        <f t="shared" si="195"/>
        <v>41348</v>
      </c>
      <c r="N492" s="158">
        <f>SUM(N456:N457,N459,N463:N466,N469,N473,N481:N483,N487)</f>
        <v>43066</v>
      </c>
      <c r="O492" s="158">
        <f>SUM(O456:O457,O459,O463:O466,O469,O473,O481:O483,O487)</f>
        <v>43219</v>
      </c>
    </row>
    <row r="493" spans="1:17">
      <c r="A493" s="729"/>
      <c r="B493" s="729"/>
      <c r="D493" s="742"/>
      <c r="E493" s="742"/>
      <c r="F493" s="742"/>
      <c r="G493" s="742"/>
      <c r="H493" s="742"/>
      <c r="I493" s="742"/>
      <c r="J493" s="742"/>
      <c r="K493" s="742"/>
      <c r="L493" s="742"/>
      <c r="M493" s="742"/>
      <c r="N493" s="742"/>
      <c r="O493" s="742"/>
    </row>
    <row r="494" spans="1:17">
      <c r="A494" s="730" t="s">
        <v>14462</v>
      </c>
      <c r="B494" s="729"/>
      <c r="D494" s="742"/>
      <c r="E494" s="742"/>
      <c r="F494" s="742"/>
      <c r="G494" s="742"/>
      <c r="H494" s="742"/>
      <c r="I494" s="742"/>
      <c r="J494" s="742"/>
      <c r="K494" s="742"/>
      <c r="L494" s="742"/>
      <c r="M494" s="742"/>
      <c r="N494" s="742"/>
      <c r="O494" s="742"/>
    </row>
    <row r="496" spans="1:17">
      <c r="E496" s="51" t="s">
        <v>1526</v>
      </c>
      <c r="F496" s="51"/>
      <c r="G496" s="51"/>
      <c r="H496" s="51"/>
      <c r="I496" s="51"/>
      <c r="J496" s="51"/>
      <c r="K496" s="51"/>
      <c r="L496" s="51"/>
      <c r="M496" s="51"/>
      <c r="N496" s="51"/>
      <c r="O496" s="51"/>
      <c r="P496" s="52"/>
      <c r="Q496" s="53" t="s">
        <v>9479</v>
      </c>
    </row>
    <row r="497" spans="1:17">
      <c r="D497" s="40">
        <v>2010</v>
      </c>
      <c r="E497" s="40">
        <v>2011</v>
      </c>
      <c r="F497" s="40">
        <v>2012</v>
      </c>
      <c r="G497" s="40">
        <v>2013</v>
      </c>
      <c r="H497" s="40">
        <v>2014</v>
      </c>
      <c r="I497" s="40">
        <v>2015</v>
      </c>
      <c r="J497" s="40">
        <v>2016</v>
      </c>
      <c r="K497" s="40">
        <v>2017</v>
      </c>
      <c r="L497" s="40">
        <v>2018</v>
      </c>
      <c r="M497" s="40">
        <v>2019</v>
      </c>
      <c r="N497" s="40">
        <v>2020</v>
      </c>
      <c r="O497" s="977" t="s">
        <v>14823</v>
      </c>
      <c r="Q497" s="54" t="s">
        <v>1527</v>
      </c>
    </row>
    <row r="498" spans="1:17">
      <c r="A498" s="729" t="s">
        <v>2969</v>
      </c>
      <c r="D498" s="158">
        <f t="shared" ref="D498:I498" si="196">SUM(D499:D520)</f>
        <v>58606</v>
      </c>
      <c r="E498" s="158">
        <f t="shared" si="196"/>
        <v>59608</v>
      </c>
      <c r="F498" s="158">
        <f t="shared" si="196"/>
        <v>60719</v>
      </c>
      <c r="G498" s="158">
        <f t="shared" si="196"/>
        <v>61613</v>
      </c>
      <c r="H498" s="158">
        <f t="shared" si="196"/>
        <v>62275</v>
      </c>
      <c r="I498" s="158">
        <f t="shared" si="196"/>
        <v>62081</v>
      </c>
      <c r="J498" s="158">
        <f t="shared" ref="J498:O498" si="197">SUM(J499:J520)</f>
        <v>61702</v>
      </c>
      <c r="K498" s="158">
        <f t="shared" si="197"/>
        <v>64461</v>
      </c>
      <c r="L498" s="158">
        <f t="shared" si="197"/>
        <v>63764</v>
      </c>
      <c r="M498" s="158">
        <f t="shared" si="197"/>
        <v>64924</v>
      </c>
      <c r="N498" s="158">
        <f t="shared" si="197"/>
        <v>66677</v>
      </c>
      <c r="O498" s="158">
        <f t="shared" si="197"/>
        <v>67936</v>
      </c>
    </row>
    <row r="499" spans="1:17">
      <c r="A499" s="729" t="s">
        <v>5387</v>
      </c>
      <c r="B499" s="729" t="s">
        <v>2970</v>
      </c>
      <c r="C499" s="55" t="s">
        <v>10279</v>
      </c>
      <c r="D499" s="158">
        <v>58606</v>
      </c>
      <c r="E499" s="158">
        <v>59608</v>
      </c>
      <c r="F499" s="158">
        <v>60719</v>
      </c>
      <c r="G499" s="63">
        <v>61613</v>
      </c>
      <c r="H499" s="63">
        <v>62275</v>
      </c>
      <c r="I499" s="63">
        <v>1569</v>
      </c>
      <c r="J499" s="63">
        <v>1560</v>
      </c>
      <c r="K499" s="63">
        <v>1592</v>
      </c>
      <c r="L499" s="63">
        <v>1564</v>
      </c>
      <c r="M499" s="63">
        <v>1555</v>
      </c>
      <c r="N499" s="63">
        <v>1581</v>
      </c>
      <c r="O499" s="63">
        <v>1625</v>
      </c>
      <c r="Q499" s="729" t="s">
        <v>1754</v>
      </c>
    </row>
    <row r="500" spans="1:17">
      <c r="A500" s="729" t="s">
        <v>5389</v>
      </c>
      <c r="B500" s="730" t="s">
        <v>10280</v>
      </c>
      <c r="C500" s="55" t="s">
        <v>10359</v>
      </c>
      <c r="D500" s="158">
        <v>0</v>
      </c>
      <c r="E500" s="158">
        <v>0</v>
      </c>
      <c r="F500" s="158">
        <v>0</v>
      </c>
      <c r="G500" s="63">
        <v>0</v>
      </c>
      <c r="H500" s="63">
        <v>0</v>
      </c>
      <c r="I500" s="63">
        <v>3124</v>
      </c>
      <c r="J500" s="63">
        <v>3033</v>
      </c>
      <c r="K500" s="63">
        <v>3197</v>
      </c>
      <c r="L500" s="63">
        <v>3110</v>
      </c>
      <c r="M500" s="63">
        <v>3135</v>
      </c>
      <c r="N500" s="63">
        <v>3191</v>
      </c>
      <c r="O500" s="63">
        <v>3236</v>
      </c>
      <c r="Q500" s="729" t="s">
        <v>1754</v>
      </c>
    </row>
    <row r="501" spans="1:17">
      <c r="A501" s="729" t="s">
        <v>5391</v>
      </c>
      <c r="B501" s="729" t="s">
        <v>4448</v>
      </c>
      <c r="C501" s="55" t="s">
        <v>10360</v>
      </c>
      <c r="D501" s="158">
        <v>0</v>
      </c>
      <c r="E501" s="158">
        <v>0</v>
      </c>
      <c r="F501" s="158">
        <v>0</v>
      </c>
      <c r="G501" s="63">
        <v>0</v>
      </c>
      <c r="H501" s="63">
        <v>0</v>
      </c>
      <c r="I501" s="63">
        <v>1757</v>
      </c>
      <c r="J501" s="63">
        <v>1776</v>
      </c>
      <c r="K501" s="63">
        <v>1852</v>
      </c>
      <c r="L501" s="63">
        <v>1818</v>
      </c>
      <c r="M501" s="63">
        <v>1818</v>
      </c>
      <c r="N501" s="63">
        <v>1833</v>
      </c>
      <c r="O501" s="63">
        <v>1864</v>
      </c>
      <c r="Q501" s="729" t="s">
        <v>1754</v>
      </c>
    </row>
    <row r="502" spans="1:17">
      <c r="A502" s="729" t="s">
        <v>5393</v>
      </c>
      <c r="B502" s="730" t="s">
        <v>10281</v>
      </c>
      <c r="C502" s="55" t="s">
        <v>10361</v>
      </c>
      <c r="D502" s="158">
        <v>0</v>
      </c>
      <c r="E502" s="158">
        <v>0</v>
      </c>
      <c r="F502" s="158">
        <v>0</v>
      </c>
      <c r="G502" s="63">
        <v>0</v>
      </c>
      <c r="H502" s="63">
        <v>0</v>
      </c>
      <c r="I502" s="63">
        <v>1613</v>
      </c>
      <c r="J502" s="63">
        <v>1628</v>
      </c>
      <c r="K502" s="63">
        <v>1710</v>
      </c>
      <c r="L502" s="63">
        <v>1638</v>
      </c>
      <c r="M502" s="63">
        <v>1691</v>
      </c>
      <c r="N502" s="63">
        <v>1706</v>
      </c>
      <c r="O502" s="63">
        <v>1743</v>
      </c>
      <c r="Q502" s="729" t="s">
        <v>1754</v>
      </c>
    </row>
    <row r="503" spans="1:17">
      <c r="A503" s="729" t="s">
        <v>5394</v>
      </c>
      <c r="B503" s="729" t="s">
        <v>10282</v>
      </c>
      <c r="C503" s="55" t="s">
        <v>10362</v>
      </c>
      <c r="D503" s="158">
        <v>0</v>
      </c>
      <c r="E503" s="158">
        <v>0</v>
      </c>
      <c r="F503" s="158">
        <v>0</v>
      </c>
      <c r="G503" s="63">
        <v>0</v>
      </c>
      <c r="H503" s="63">
        <v>0</v>
      </c>
      <c r="I503" s="63">
        <v>2803</v>
      </c>
      <c r="J503" s="63">
        <v>2800</v>
      </c>
      <c r="K503" s="63">
        <v>2983</v>
      </c>
      <c r="L503" s="63">
        <v>3101</v>
      </c>
      <c r="M503" s="63">
        <v>3338</v>
      </c>
      <c r="N503" s="63">
        <v>3495</v>
      </c>
      <c r="O503" s="63">
        <v>3616</v>
      </c>
      <c r="Q503" s="729" t="s">
        <v>1754</v>
      </c>
    </row>
    <row r="504" spans="1:17">
      <c r="A504" s="729" t="s">
        <v>5416</v>
      </c>
      <c r="B504" s="729" t="s">
        <v>10283</v>
      </c>
      <c r="C504" s="55" t="s">
        <v>10363</v>
      </c>
      <c r="D504" s="158">
        <v>0</v>
      </c>
      <c r="E504" s="158">
        <v>0</v>
      </c>
      <c r="F504" s="158">
        <v>0</v>
      </c>
      <c r="G504" s="63">
        <v>0</v>
      </c>
      <c r="H504" s="63">
        <v>0</v>
      </c>
      <c r="I504" s="63">
        <v>3252</v>
      </c>
      <c r="J504" s="63">
        <v>3268</v>
      </c>
      <c r="K504" s="63">
        <v>3354</v>
      </c>
      <c r="L504" s="63">
        <v>3296</v>
      </c>
      <c r="M504" s="63">
        <v>3368</v>
      </c>
      <c r="N504" s="63">
        <v>3368</v>
      </c>
      <c r="O504" s="63">
        <v>3459</v>
      </c>
      <c r="Q504" s="729" t="s">
        <v>1754</v>
      </c>
    </row>
    <row r="505" spans="1:17">
      <c r="A505" s="729" t="s">
        <v>5418</v>
      </c>
      <c r="B505" s="729" t="s">
        <v>10284</v>
      </c>
      <c r="C505" s="55" t="s">
        <v>10364</v>
      </c>
      <c r="D505" s="158">
        <v>0</v>
      </c>
      <c r="E505" s="158">
        <v>0</v>
      </c>
      <c r="F505" s="158">
        <v>0</v>
      </c>
      <c r="G505" s="63">
        <v>0</v>
      </c>
      <c r="H505" s="63">
        <v>0</v>
      </c>
      <c r="I505" s="63">
        <v>1566</v>
      </c>
      <c r="J505" s="63">
        <v>1546</v>
      </c>
      <c r="K505" s="63">
        <v>1613</v>
      </c>
      <c r="L505" s="63">
        <v>1685</v>
      </c>
      <c r="M505" s="63">
        <v>1804</v>
      </c>
      <c r="N505" s="63">
        <v>1837</v>
      </c>
      <c r="O505" s="63">
        <v>1893</v>
      </c>
      <c r="Q505" s="729" t="s">
        <v>1754</v>
      </c>
    </row>
    <row r="506" spans="1:17">
      <c r="A506" s="729" t="s">
        <v>5420</v>
      </c>
      <c r="B506" s="729" t="s">
        <v>5966</v>
      </c>
      <c r="C506" s="55" t="s">
        <v>10365</v>
      </c>
      <c r="D506" s="158">
        <v>0</v>
      </c>
      <c r="E506" s="158">
        <v>0</v>
      </c>
      <c r="F506" s="158">
        <v>0</v>
      </c>
      <c r="G506" s="63">
        <v>0</v>
      </c>
      <c r="H506" s="63">
        <v>0</v>
      </c>
      <c r="I506" s="63">
        <v>3117</v>
      </c>
      <c r="J506" s="63">
        <v>3154</v>
      </c>
      <c r="K506" s="63">
        <v>3300</v>
      </c>
      <c r="L506" s="63">
        <v>3376</v>
      </c>
      <c r="M506" s="63">
        <v>3483</v>
      </c>
      <c r="N506" s="63">
        <v>3606</v>
      </c>
      <c r="O506" s="63">
        <v>3657</v>
      </c>
      <c r="Q506" s="729" t="s">
        <v>1754</v>
      </c>
    </row>
    <row r="507" spans="1:17">
      <c r="A507" s="729" t="s">
        <v>5422</v>
      </c>
      <c r="B507" s="729" t="s">
        <v>10285</v>
      </c>
      <c r="C507" s="55" t="s">
        <v>10366</v>
      </c>
      <c r="D507" s="158">
        <v>0</v>
      </c>
      <c r="E507" s="158">
        <v>0</v>
      </c>
      <c r="F507" s="158">
        <v>0</v>
      </c>
      <c r="G507" s="63">
        <v>0</v>
      </c>
      <c r="H507" s="63">
        <v>0</v>
      </c>
      <c r="I507" s="63">
        <v>4658</v>
      </c>
      <c r="J507" s="63">
        <v>4552</v>
      </c>
      <c r="K507" s="63">
        <v>4703</v>
      </c>
      <c r="L507" s="63">
        <v>4646</v>
      </c>
      <c r="M507" s="63">
        <v>4764</v>
      </c>
      <c r="N507" s="63">
        <v>4894</v>
      </c>
      <c r="O507" s="63">
        <v>4985</v>
      </c>
      <c r="Q507" s="729" t="s">
        <v>1754</v>
      </c>
    </row>
    <row r="508" spans="1:17">
      <c r="A508" s="729" t="s">
        <v>5424</v>
      </c>
      <c r="B508" s="729" t="s">
        <v>5967</v>
      </c>
      <c r="C508" s="55" t="s">
        <v>10367</v>
      </c>
      <c r="D508" s="158">
        <v>0</v>
      </c>
      <c r="E508" s="158">
        <v>0</v>
      </c>
      <c r="F508" s="158">
        <v>0</v>
      </c>
      <c r="G508" s="63">
        <v>0</v>
      </c>
      <c r="H508" s="63">
        <v>0</v>
      </c>
      <c r="I508" s="63">
        <v>1692</v>
      </c>
      <c r="J508" s="63">
        <v>1676</v>
      </c>
      <c r="K508" s="63">
        <v>1756</v>
      </c>
      <c r="L508" s="63">
        <v>1747</v>
      </c>
      <c r="M508" s="63">
        <v>1760</v>
      </c>
      <c r="N508" s="63">
        <v>1785</v>
      </c>
      <c r="O508" s="63">
        <v>1821</v>
      </c>
      <c r="Q508" s="729" t="s">
        <v>1754</v>
      </c>
    </row>
    <row r="509" spans="1:17">
      <c r="A509" s="729" t="s">
        <v>5426</v>
      </c>
      <c r="B509" s="730" t="s">
        <v>10286</v>
      </c>
      <c r="C509" s="55" t="s">
        <v>10368</v>
      </c>
      <c r="D509" s="158">
        <v>0</v>
      </c>
      <c r="E509" s="158">
        <v>0</v>
      </c>
      <c r="F509" s="158">
        <v>0</v>
      </c>
      <c r="G509" s="63">
        <v>0</v>
      </c>
      <c r="H509" s="63">
        <v>0</v>
      </c>
      <c r="I509" s="63">
        <v>1784</v>
      </c>
      <c r="J509" s="63">
        <v>1772</v>
      </c>
      <c r="K509" s="63">
        <v>1890</v>
      </c>
      <c r="L509" s="63">
        <v>1865</v>
      </c>
      <c r="M509" s="63">
        <v>1902</v>
      </c>
      <c r="N509" s="63">
        <v>1937</v>
      </c>
      <c r="O509" s="63">
        <v>1973</v>
      </c>
      <c r="Q509" s="729" t="s">
        <v>1754</v>
      </c>
    </row>
    <row r="510" spans="1:17">
      <c r="A510" s="729" t="s">
        <v>5428</v>
      </c>
      <c r="B510" s="729" t="s">
        <v>10287</v>
      </c>
      <c r="C510" s="55" t="s">
        <v>10369</v>
      </c>
      <c r="D510" s="158">
        <v>0</v>
      </c>
      <c r="E510" s="158">
        <v>0</v>
      </c>
      <c r="F510" s="158">
        <v>0</v>
      </c>
      <c r="G510" s="63">
        <v>0</v>
      </c>
      <c r="H510" s="63">
        <v>0</v>
      </c>
      <c r="I510" s="63">
        <v>3280</v>
      </c>
      <c r="J510" s="63">
        <v>3290</v>
      </c>
      <c r="K510" s="63">
        <v>3418</v>
      </c>
      <c r="L510" s="63">
        <v>3351</v>
      </c>
      <c r="M510" s="63">
        <v>3346</v>
      </c>
      <c r="N510" s="63">
        <v>3445</v>
      </c>
      <c r="O510" s="63">
        <v>3473</v>
      </c>
      <c r="Q510" s="729" t="s">
        <v>1754</v>
      </c>
    </row>
    <row r="511" spans="1:17">
      <c r="A511" s="729" t="s">
        <v>5429</v>
      </c>
      <c r="B511" s="729" t="s">
        <v>2813</v>
      </c>
      <c r="C511" s="55" t="s">
        <v>10370</v>
      </c>
      <c r="D511" s="158">
        <v>0</v>
      </c>
      <c r="E511" s="158">
        <v>0</v>
      </c>
      <c r="F511" s="158">
        <v>0</v>
      </c>
      <c r="G511" s="63">
        <v>0</v>
      </c>
      <c r="H511" s="63">
        <v>0</v>
      </c>
      <c r="I511" s="63">
        <v>2728</v>
      </c>
      <c r="J511" s="63">
        <v>2652</v>
      </c>
      <c r="K511" s="63">
        <v>2747</v>
      </c>
      <c r="L511" s="63">
        <v>2696</v>
      </c>
      <c r="M511" s="63">
        <v>2785</v>
      </c>
      <c r="N511" s="63">
        <v>2962</v>
      </c>
      <c r="O511" s="63">
        <v>3062</v>
      </c>
      <c r="Q511" s="729" t="s">
        <v>1754</v>
      </c>
    </row>
    <row r="512" spans="1:17">
      <c r="A512" s="729" t="s">
        <v>5431</v>
      </c>
      <c r="B512" s="729" t="s">
        <v>5968</v>
      </c>
      <c r="C512" s="55" t="s">
        <v>10371</v>
      </c>
      <c r="D512" s="158">
        <v>0</v>
      </c>
      <c r="E512" s="158">
        <v>0</v>
      </c>
      <c r="F512" s="158">
        <v>0</v>
      </c>
      <c r="G512" s="63">
        <v>0</v>
      </c>
      <c r="H512" s="63">
        <v>0</v>
      </c>
      <c r="I512" s="63">
        <v>3384</v>
      </c>
      <c r="J512" s="63">
        <v>3315</v>
      </c>
      <c r="K512" s="63">
        <v>3477</v>
      </c>
      <c r="L512" s="63">
        <v>3368</v>
      </c>
      <c r="M512" s="63">
        <v>3378</v>
      </c>
      <c r="N512" s="63">
        <v>3425</v>
      </c>
      <c r="O512" s="63">
        <v>3488</v>
      </c>
      <c r="Q512" s="729" t="s">
        <v>1754</v>
      </c>
    </row>
    <row r="513" spans="1:17">
      <c r="A513" s="729" t="s">
        <v>5433</v>
      </c>
      <c r="B513" s="729" t="s">
        <v>5969</v>
      </c>
      <c r="C513" s="55" t="s">
        <v>10372</v>
      </c>
      <c r="D513" s="158">
        <v>0</v>
      </c>
      <c r="E513" s="158">
        <v>0</v>
      </c>
      <c r="F513" s="158">
        <v>0</v>
      </c>
      <c r="G513" s="63">
        <v>0</v>
      </c>
      <c r="H513" s="63">
        <v>0</v>
      </c>
      <c r="I513" s="63">
        <v>2882</v>
      </c>
      <c r="J513" s="63">
        <v>3002</v>
      </c>
      <c r="K513" s="63">
        <v>3111</v>
      </c>
      <c r="L513" s="63">
        <v>3094</v>
      </c>
      <c r="M513" s="63">
        <v>3184</v>
      </c>
      <c r="N513" s="63">
        <v>3359</v>
      </c>
      <c r="O513" s="63">
        <v>3448</v>
      </c>
      <c r="Q513" s="729" t="s">
        <v>1754</v>
      </c>
    </row>
    <row r="514" spans="1:17">
      <c r="A514" s="729" t="s">
        <v>5435</v>
      </c>
      <c r="B514" s="729" t="s">
        <v>2984</v>
      </c>
      <c r="C514" s="55" t="s">
        <v>10373</v>
      </c>
      <c r="D514" s="158">
        <v>0</v>
      </c>
      <c r="E514" s="158">
        <v>0</v>
      </c>
      <c r="F514" s="158">
        <v>0</v>
      </c>
      <c r="G514" s="63">
        <v>0</v>
      </c>
      <c r="H514" s="63">
        <v>0</v>
      </c>
      <c r="I514" s="63">
        <v>5261</v>
      </c>
      <c r="J514" s="63">
        <v>5194</v>
      </c>
      <c r="K514" s="63">
        <v>5270</v>
      </c>
      <c r="L514" s="63">
        <v>5159</v>
      </c>
      <c r="M514" s="63">
        <v>5137</v>
      </c>
      <c r="N514" s="63">
        <v>5273</v>
      </c>
      <c r="O514" s="63">
        <v>5343</v>
      </c>
      <c r="Q514" s="729" t="s">
        <v>1754</v>
      </c>
    </row>
    <row r="515" spans="1:17">
      <c r="A515" s="729" t="s">
        <v>5436</v>
      </c>
      <c r="B515" s="729" t="s">
        <v>4449</v>
      </c>
      <c r="C515" s="55" t="s">
        <v>10374</v>
      </c>
      <c r="D515" s="158">
        <v>0</v>
      </c>
      <c r="E515" s="158">
        <v>0</v>
      </c>
      <c r="F515" s="158">
        <v>0</v>
      </c>
      <c r="G515" s="63">
        <v>0</v>
      </c>
      <c r="H515" s="63">
        <v>0</v>
      </c>
      <c r="I515" s="63">
        <v>3308</v>
      </c>
      <c r="J515" s="63">
        <v>3253</v>
      </c>
      <c r="K515" s="63">
        <v>3364</v>
      </c>
      <c r="L515" s="63">
        <v>3242</v>
      </c>
      <c r="M515" s="63">
        <v>3287</v>
      </c>
      <c r="N515" s="63">
        <v>3448</v>
      </c>
      <c r="O515" s="63">
        <v>3524</v>
      </c>
      <c r="Q515" s="729" t="s">
        <v>1754</v>
      </c>
    </row>
    <row r="516" spans="1:17">
      <c r="A516" s="729" t="s">
        <v>5437</v>
      </c>
      <c r="B516" s="730" t="s">
        <v>10288</v>
      </c>
      <c r="C516" s="55" t="s">
        <v>10375</v>
      </c>
      <c r="D516" s="158">
        <v>0</v>
      </c>
      <c r="E516" s="158">
        <v>0</v>
      </c>
      <c r="F516" s="158">
        <v>0</v>
      </c>
      <c r="G516" s="63">
        <v>0</v>
      </c>
      <c r="H516" s="63">
        <v>0</v>
      </c>
      <c r="I516" s="63">
        <v>3196</v>
      </c>
      <c r="J516" s="63">
        <v>3091</v>
      </c>
      <c r="K516" s="63">
        <v>3227</v>
      </c>
      <c r="L516" s="63">
        <v>3104</v>
      </c>
      <c r="M516" s="63">
        <v>3154</v>
      </c>
      <c r="N516" s="63">
        <v>3235</v>
      </c>
      <c r="O516" s="63">
        <v>3305</v>
      </c>
      <c r="Q516" s="729" t="s">
        <v>1754</v>
      </c>
    </row>
    <row r="517" spans="1:17">
      <c r="A517" s="729" t="s">
        <v>5439</v>
      </c>
      <c r="B517" s="729" t="s">
        <v>6008</v>
      </c>
      <c r="C517" s="55" t="s">
        <v>10376</v>
      </c>
      <c r="D517" s="158">
        <v>0</v>
      </c>
      <c r="E517" s="158">
        <v>0</v>
      </c>
      <c r="F517" s="158">
        <v>0</v>
      </c>
      <c r="G517" s="63">
        <v>0</v>
      </c>
      <c r="H517" s="63">
        <v>0</v>
      </c>
      <c r="I517" s="63">
        <v>1548</v>
      </c>
      <c r="J517" s="63">
        <v>1559</v>
      </c>
      <c r="K517" s="63">
        <v>1636</v>
      </c>
      <c r="L517" s="63">
        <v>1582</v>
      </c>
      <c r="M517" s="63">
        <v>1589</v>
      </c>
      <c r="N517" s="63">
        <v>1589</v>
      </c>
      <c r="O517" s="63">
        <v>1622</v>
      </c>
      <c r="Q517" s="729" t="s">
        <v>1754</v>
      </c>
    </row>
    <row r="518" spans="1:17">
      <c r="A518" s="729" t="s">
        <v>5441</v>
      </c>
      <c r="B518" s="729" t="s">
        <v>10289</v>
      </c>
      <c r="C518" s="55" t="s">
        <v>10377</v>
      </c>
      <c r="D518" s="158">
        <v>0</v>
      </c>
      <c r="E518" s="158">
        <v>0</v>
      </c>
      <c r="F518" s="158">
        <v>0</v>
      </c>
      <c r="G518" s="63">
        <v>0</v>
      </c>
      <c r="H518" s="63">
        <v>0</v>
      </c>
      <c r="I518" s="63">
        <v>4258</v>
      </c>
      <c r="J518" s="63">
        <v>4300</v>
      </c>
      <c r="K518" s="63">
        <v>4668</v>
      </c>
      <c r="L518" s="63">
        <v>4745</v>
      </c>
      <c r="M518" s="63">
        <v>4786</v>
      </c>
      <c r="N518" s="63">
        <v>4901</v>
      </c>
      <c r="O518" s="63">
        <v>4936</v>
      </c>
      <c r="Q518" s="729" t="s">
        <v>1754</v>
      </c>
    </row>
    <row r="519" spans="1:17">
      <c r="A519" s="729" t="s">
        <v>5886</v>
      </c>
      <c r="B519" s="729" t="s">
        <v>10290</v>
      </c>
      <c r="C519" s="55" t="s">
        <v>10378</v>
      </c>
      <c r="D519" s="158">
        <v>0</v>
      </c>
      <c r="E519" s="158">
        <v>0</v>
      </c>
      <c r="F519" s="158">
        <v>0</v>
      </c>
      <c r="G519" s="63">
        <v>0</v>
      </c>
      <c r="H519" s="63">
        <v>0</v>
      </c>
      <c r="I519" s="63">
        <v>3583</v>
      </c>
      <c r="J519" s="63">
        <v>3613</v>
      </c>
      <c r="K519" s="63">
        <v>3857</v>
      </c>
      <c r="L519" s="63">
        <v>3856</v>
      </c>
      <c r="M519" s="63">
        <v>3920</v>
      </c>
      <c r="N519" s="63">
        <v>4008</v>
      </c>
      <c r="O519" s="63">
        <v>4054</v>
      </c>
      <c r="Q519" s="729" t="s">
        <v>1754</v>
      </c>
    </row>
    <row r="520" spans="1:17">
      <c r="A520" s="729" t="s">
        <v>5888</v>
      </c>
      <c r="B520" s="729" t="s">
        <v>6009</v>
      </c>
      <c r="C520" s="55" t="s">
        <v>10379</v>
      </c>
      <c r="D520" s="158">
        <v>0</v>
      </c>
      <c r="E520" s="158">
        <v>0</v>
      </c>
      <c r="F520" s="158">
        <v>0</v>
      </c>
      <c r="G520" s="63">
        <v>0</v>
      </c>
      <c r="H520" s="63">
        <v>0</v>
      </c>
      <c r="I520" s="63">
        <v>1718</v>
      </c>
      <c r="J520" s="63">
        <v>1668</v>
      </c>
      <c r="K520" s="63">
        <v>1736</v>
      </c>
      <c r="L520" s="63">
        <v>1721</v>
      </c>
      <c r="M520" s="63">
        <v>1740</v>
      </c>
      <c r="N520" s="63">
        <v>1799</v>
      </c>
      <c r="O520" s="63">
        <v>1809</v>
      </c>
      <c r="Q520" s="729" t="s">
        <v>1754</v>
      </c>
    </row>
    <row r="521" spans="1:17">
      <c r="D521" s="733"/>
      <c r="E521" s="733"/>
      <c r="F521" s="733"/>
      <c r="G521" s="733"/>
      <c r="H521" s="733"/>
      <c r="I521" s="733"/>
      <c r="J521" s="733"/>
      <c r="K521" s="733"/>
      <c r="L521" s="733"/>
      <c r="M521" s="733"/>
      <c r="N521" s="733"/>
      <c r="O521" s="733"/>
    </row>
    <row r="522" spans="1:17">
      <c r="A522" s="729" t="s">
        <v>4346</v>
      </c>
      <c r="D522" s="158">
        <f t="shared" ref="D522:L522" si="198">SUM(D499:D520)</f>
        <v>58606</v>
      </c>
      <c r="E522" s="158">
        <f t="shared" si="198"/>
        <v>59608</v>
      </c>
      <c r="F522" s="158">
        <f t="shared" si="198"/>
        <v>60719</v>
      </c>
      <c r="G522" s="158">
        <f t="shared" si="198"/>
        <v>61613</v>
      </c>
      <c r="H522" s="158">
        <f t="shared" si="198"/>
        <v>62275</v>
      </c>
      <c r="I522" s="158">
        <f t="shared" si="198"/>
        <v>62081</v>
      </c>
      <c r="J522" s="158">
        <f t="shared" si="198"/>
        <v>61702</v>
      </c>
      <c r="K522" s="158">
        <f t="shared" si="198"/>
        <v>64461</v>
      </c>
      <c r="L522" s="158">
        <f t="shared" si="198"/>
        <v>63764</v>
      </c>
      <c r="M522" s="158">
        <f>SUM(M499:M520)</f>
        <v>64924</v>
      </c>
      <c r="N522" s="158">
        <f>SUM(N499:N520)</f>
        <v>66677</v>
      </c>
      <c r="O522" s="158">
        <f>SUM(O499:O520)</f>
        <v>67936</v>
      </c>
    </row>
    <row r="524" spans="1:17">
      <c r="A524" s="730" t="s">
        <v>10278</v>
      </c>
    </row>
  </sheetData>
  <phoneticPr fontId="6" type="noConversion"/>
  <printOptions gridLinesSet="0"/>
  <pageMargins left="0.78740157480314965" right="0" top="0.51181102362204722" bottom="0.51181102362204722" header="0.51181102362204722" footer="0.51181102362204722"/>
  <pageSetup paperSize="9" scale="54" orientation="portrait" horizontalDpi="300" verticalDpi="300" r:id="rId1"/>
  <headerFooter alignWithMargins="0">
    <oddFooter>&amp;C&amp;"Times New Roman,Regular"&amp;8&amp;P of &amp;N</oddFooter>
  </headerFooter>
  <ignoredErrors>
    <ignoredError sqref="D93:I93 D112:D113 D3:D20 D383:K383 D260:K260 D244:K244 D267:K267 D293:D295 D142:D143 D120:K120 D168 D170 D150:K150 D422:D423 D403:K403 D522:K522 D498:K498 D237:K237 D220:K220 E142:E143 E112:E113 E293:E295 D396:K396 E422:E423 E168 E3:E20 E170 F112:F113 F142:F143 F168 F293:F295 D349:K349 D337:K337 E374 D374 D373:F373 D375:F375 F374 F422:F423 F3:F20 F27:F86 F170 G373:G375 G293:G295 G142:G143 G422:G423 G112:G113 G168 G170 G3:G20 D21:D24 E21:E24 F21:F24 G21:G24 D26 E26 G26 D25:G25 H112:H113 H168 H170 H373:H375 H422:H423 H142:H143 H293:H295 H3:H20 H21:H26 D27:D86 E27:E86 G27:G86 H27:H86 I168 I293:I295 I373:I375 I422:I423 I112:I113 D188:K188 D192:K192 D201:K201 D212:H212 D178:K178 I212 I142:I143 I3:I86 I170 J168 J212 J293:J295 J373:J375 J112:J113 J142:J143 J170 J422:J423 J3:J86 D306:K306 D312:K312 D319:K319 D303:K303 D329:J330 D441:K441 D447:J448 D430:K430 K373:K375 K293:K295 K329:K330 K422:K423 K447:K448 K168 K170 K112:K113 K93 K142:K143 K212 K3:K86 L293:L295 L329:L330 L303 L319 L312 L306 L3:L168 L307:L311 L313:L318 L320:L322 L304:L305 L331:L454 L296:L302 L170:L212 L214:L292 L327 L324:L325 L495:L522 L490 L493" unlockedFormula="1"/>
    <ignoredError sqref="D169:L169 D213:L213 D328:L328" formulaRange="1" unlockedFormula="1"/>
    <ignoredError sqref="J93" formula="1"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Q238"/>
  <sheetViews>
    <sheetView showGridLines="0" topLeftCell="A223" zoomScale="90" zoomScaleNormal="90" workbookViewId="0">
      <selection activeCell="C200" sqref="C200"/>
    </sheetView>
  </sheetViews>
  <sheetFormatPr defaultColWidth="12.5703125" defaultRowHeight="15"/>
  <cols>
    <col min="1" max="1" width="4.85546875" style="157" customWidth="1"/>
    <col min="2" max="2" width="40.7109375" style="157" customWidth="1"/>
    <col min="3" max="3" width="11.5703125" style="157" customWidth="1"/>
    <col min="4" max="15" width="10" style="157" customWidth="1"/>
    <col min="16" max="16" width="2.28515625" style="157" customWidth="1"/>
    <col min="17" max="17" width="25.7109375" style="157" customWidth="1"/>
    <col min="18" max="16384" width="12.5703125" style="157"/>
  </cols>
  <sheetData>
    <row r="1" spans="1:17">
      <c r="A1" s="38" t="s">
        <v>6924</v>
      </c>
      <c r="D1" s="717">
        <v>2010</v>
      </c>
      <c r="E1" s="717">
        <v>2011</v>
      </c>
      <c r="F1" s="717">
        <v>2012</v>
      </c>
      <c r="G1" s="717">
        <v>2013</v>
      </c>
      <c r="H1" s="717">
        <v>2014</v>
      </c>
      <c r="I1" s="717">
        <v>2015</v>
      </c>
      <c r="J1" s="717">
        <v>2016</v>
      </c>
      <c r="K1" s="717">
        <v>2017</v>
      </c>
      <c r="L1" s="717">
        <v>2018</v>
      </c>
      <c r="M1" s="717">
        <v>2019</v>
      </c>
      <c r="N1" s="717">
        <v>2020</v>
      </c>
      <c r="O1" s="976" t="s">
        <v>14823</v>
      </c>
    </row>
    <row r="3" spans="1:17">
      <c r="A3" s="38" t="s">
        <v>3750</v>
      </c>
      <c r="D3" s="718">
        <f t="shared" ref="D3:I3" si="0">SUM(D5:D10)</f>
        <v>459085</v>
      </c>
      <c r="E3" s="718">
        <f t="shared" si="0"/>
        <v>462208</v>
      </c>
      <c r="F3" s="718">
        <f t="shared" si="0"/>
        <v>466036</v>
      </c>
      <c r="G3" s="718">
        <f t="shared" si="0"/>
        <v>467889</v>
      </c>
      <c r="H3" s="718">
        <f t="shared" si="0"/>
        <v>465621</v>
      </c>
      <c r="I3" s="718">
        <f t="shared" si="0"/>
        <v>458822</v>
      </c>
      <c r="J3" s="718">
        <f t="shared" ref="J3:O3" si="1">SUM(J5:J10)</f>
        <v>460522</v>
      </c>
      <c r="K3" s="718">
        <f t="shared" si="1"/>
        <v>467951</v>
      </c>
      <c r="L3" s="718">
        <f t="shared" si="1"/>
        <v>476589</v>
      </c>
      <c r="M3" s="718">
        <f t="shared" si="1"/>
        <v>470445</v>
      </c>
      <c r="N3" s="718">
        <f t="shared" si="1"/>
        <v>475328</v>
      </c>
      <c r="O3" s="718">
        <f t="shared" si="1"/>
        <v>483442</v>
      </c>
    </row>
    <row r="4" spans="1:17">
      <c r="A4" s="38"/>
      <c r="D4" s="718"/>
      <c r="E4" s="718"/>
      <c r="F4" s="718"/>
      <c r="G4" s="718"/>
      <c r="H4" s="718"/>
      <c r="I4" s="718"/>
      <c r="J4" s="718"/>
      <c r="K4" s="718"/>
      <c r="L4" s="718"/>
      <c r="M4" s="718"/>
      <c r="N4" s="718"/>
      <c r="O4" s="718"/>
      <c r="Q4" s="719"/>
    </row>
    <row r="5" spans="1:17">
      <c r="A5" s="38" t="s">
        <v>5891</v>
      </c>
      <c r="C5" s="38"/>
      <c r="D5" s="718">
        <f t="shared" ref="D5:I5" si="2">D42</f>
        <v>87489</v>
      </c>
      <c r="E5" s="718">
        <f t="shared" si="2"/>
        <v>86856</v>
      </c>
      <c r="F5" s="718">
        <f t="shared" si="2"/>
        <v>86841</v>
      </c>
      <c r="G5" s="718">
        <f t="shared" si="2"/>
        <v>86854</v>
      </c>
      <c r="H5" s="718">
        <f t="shared" si="2"/>
        <v>86332</v>
      </c>
      <c r="I5" s="718">
        <f t="shared" si="2"/>
        <v>83347</v>
      </c>
      <c r="J5" s="718">
        <f t="shared" ref="J5:O5" si="3">J42</f>
        <v>85812</v>
      </c>
      <c r="K5" s="718">
        <f t="shared" si="3"/>
        <v>83888</v>
      </c>
      <c r="L5" s="718">
        <f t="shared" si="3"/>
        <v>85321</v>
      </c>
      <c r="M5" s="718">
        <f t="shared" si="3"/>
        <v>84136</v>
      </c>
      <c r="N5" s="718">
        <f t="shared" si="3"/>
        <v>86010</v>
      </c>
      <c r="O5" s="718">
        <f t="shared" si="3"/>
        <v>89005</v>
      </c>
      <c r="Q5" s="719"/>
    </row>
    <row r="6" spans="1:17">
      <c r="A6" s="38" t="s">
        <v>5892</v>
      </c>
      <c r="C6" s="38"/>
      <c r="D6" s="718">
        <f t="shared" ref="D6:I6" si="4">D72</f>
        <v>66804</v>
      </c>
      <c r="E6" s="718">
        <f t="shared" si="4"/>
        <v>68087</v>
      </c>
      <c r="F6" s="718">
        <f t="shared" si="4"/>
        <v>68019</v>
      </c>
      <c r="G6" s="718">
        <f t="shared" si="4"/>
        <v>67966</v>
      </c>
      <c r="H6" s="718">
        <f t="shared" si="4"/>
        <v>67770</v>
      </c>
      <c r="I6" s="718">
        <f t="shared" si="4"/>
        <v>66739</v>
      </c>
      <c r="J6" s="718">
        <f t="shared" ref="J6:O6" si="5">J72</f>
        <v>65825</v>
      </c>
      <c r="K6" s="718">
        <f t="shared" si="5"/>
        <v>67478</v>
      </c>
      <c r="L6" s="718">
        <f t="shared" si="5"/>
        <v>68969</v>
      </c>
      <c r="M6" s="718">
        <f t="shared" si="5"/>
        <v>68984</v>
      </c>
      <c r="N6" s="718">
        <f t="shared" si="5"/>
        <v>69945</v>
      </c>
      <c r="O6" s="718">
        <f t="shared" si="5"/>
        <v>71234</v>
      </c>
      <c r="Q6" s="719"/>
    </row>
    <row r="7" spans="1:17">
      <c r="A7" s="38" t="s">
        <v>2908</v>
      </c>
      <c r="C7" s="38"/>
      <c r="D7" s="718">
        <f t="shared" ref="D7:I7" si="6">D113</f>
        <v>65296</v>
      </c>
      <c r="E7" s="718">
        <f t="shared" si="6"/>
        <v>65153</v>
      </c>
      <c r="F7" s="718">
        <f t="shared" si="6"/>
        <v>65892</v>
      </c>
      <c r="G7" s="718">
        <f t="shared" si="6"/>
        <v>66361</v>
      </c>
      <c r="H7" s="718">
        <f t="shared" si="6"/>
        <v>66310</v>
      </c>
      <c r="I7" s="718">
        <f t="shared" si="6"/>
        <v>65422</v>
      </c>
      <c r="J7" s="718">
        <f t="shared" ref="J7:O7" si="7">J113</f>
        <v>65175</v>
      </c>
      <c r="K7" s="718">
        <f t="shared" si="7"/>
        <v>68319</v>
      </c>
      <c r="L7" s="718">
        <f t="shared" si="7"/>
        <v>67061</v>
      </c>
      <c r="M7" s="718">
        <f t="shared" si="7"/>
        <v>66753</v>
      </c>
      <c r="N7" s="718">
        <f t="shared" si="7"/>
        <v>68296</v>
      </c>
      <c r="O7" s="718">
        <f t="shared" si="7"/>
        <v>67890</v>
      </c>
      <c r="Q7" s="719"/>
    </row>
    <row r="8" spans="1:17">
      <c r="A8" s="38" t="s">
        <v>4365</v>
      </c>
      <c r="C8" s="38"/>
      <c r="D8" s="718">
        <f t="shared" ref="D8:I8" si="8">D143</f>
        <v>87510</v>
      </c>
      <c r="E8" s="718">
        <f t="shared" si="8"/>
        <v>88291</v>
      </c>
      <c r="F8" s="718">
        <f t="shared" si="8"/>
        <v>89781</v>
      </c>
      <c r="G8" s="718">
        <f t="shared" si="8"/>
        <v>90793</v>
      </c>
      <c r="H8" s="718">
        <f t="shared" si="8"/>
        <v>90196</v>
      </c>
      <c r="I8" s="718">
        <f t="shared" si="8"/>
        <v>89522</v>
      </c>
      <c r="J8" s="718">
        <f t="shared" ref="J8:O8" si="9">J143</f>
        <v>86427</v>
      </c>
      <c r="K8" s="718">
        <f t="shared" si="9"/>
        <v>87756</v>
      </c>
      <c r="L8" s="718">
        <f t="shared" si="9"/>
        <v>92251</v>
      </c>
      <c r="M8" s="718">
        <f t="shared" si="9"/>
        <v>88829</v>
      </c>
      <c r="N8" s="718">
        <f t="shared" si="9"/>
        <v>85556</v>
      </c>
      <c r="O8" s="718">
        <f t="shared" si="9"/>
        <v>88968</v>
      </c>
      <c r="Q8" s="719"/>
    </row>
    <row r="9" spans="1:17">
      <c r="A9" s="38" t="s">
        <v>4366</v>
      </c>
      <c r="C9" s="38"/>
      <c r="D9" s="718">
        <f t="shared" ref="D9:I9" si="10">D171</f>
        <v>88595</v>
      </c>
      <c r="E9" s="718">
        <f t="shared" si="10"/>
        <v>89487</v>
      </c>
      <c r="F9" s="718">
        <f t="shared" si="10"/>
        <v>90510</v>
      </c>
      <c r="G9" s="718">
        <f t="shared" si="10"/>
        <v>90368</v>
      </c>
      <c r="H9" s="718">
        <f t="shared" si="10"/>
        <v>89416</v>
      </c>
      <c r="I9" s="718">
        <f t="shared" si="10"/>
        <v>88663</v>
      </c>
      <c r="J9" s="718">
        <f t="shared" ref="J9:O9" si="11">J171</f>
        <v>91294</v>
      </c>
      <c r="K9" s="718">
        <f t="shared" si="11"/>
        <v>92461</v>
      </c>
      <c r="L9" s="718">
        <f t="shared" si="11"/>
        <v>93264</v>
      </c>
      <c r="M9" s="718">
        <f t="shared" si="11"/>
        <v>92419</v>
      </c>
      <c r="N9" s="718">
        <f t="shared" si="11"/>
        <v>95278</v>
      </c>
      <c r="O9" s="718">
        <f t="shared" si="11"/>
        <v>95391</v>
      </c>
      <c r="Q9" s="719"/>
    </row>
    <row r="10" spans="1:17">
      <c r="A10" s="38" t="s">
        <v>4367</v>
      </c>
      <c r="C10" s="38"/>
      <c r="D10" s="718">
        <f t="shared" ref="D10:I10" si="12">D213</f>
        <v>63391</v>
      </c>
      <c r="E10" s="718">
        <f t="shared" si="12"/>
        <v>64334</v>
      </c>
      <c r="F10" s="718">
        <f t="shared" si="12"/>
        <v>64993</v>
      </c>
      <c r="G10" s="718">
        <f t="shared" si="12"/>
        <v>65547</v>
      </c>
      <c r="H10" s="718">
        <f t="shared" si="12"/>
        <v>65597</v>
      </c>
      <c r="I10" s="718">
        <f t="shared" si="12"/>
        <v>65129</v>
      </c>
      <c r="J10" s="718">
        <f t="shared" ref="J10:O10" si="13">J213</f>
        <v>65989</v>
      </c>
      <c r="K10" s="718">
        <f t="shared" si="13"/>
        <v>68049</v>
      </c>
      <c r="L10" s="718">
        <f t="shared" si="13"/>
        <v>69723</v>
      </c>
      <c r="M10" s="718">
        <f t="shared" si="13"/>
        <v>69324</v>
      </c>
      <c r="N10" s="718">
        <f t="shared" si="13"/>
        <v>70243</v>
      </c>
      <c r="O10" s="718">
        <f t="shared" si="13"/>
        <v>70954</v>
      </c>
      <c r="Q10" s="719"/>
    </row>
    <row r="12" spans="1:17">
      <c r="A12" s="38" t="s">
        <v>639</v>
      </c>
      <c r="D12" s="718">
        <f t="shared" ref="D12:I12" si="14">D3/6</f>
        <v>76514.166666666672</v>
      </c>
      <c r="E12" s="718">
        <f t="shared" si="14"/>
        <v>77034.666666666672</v>
      </c>
      <c r="F12" s="718">
        <f t="shared" si="14"/>
        <v>77672.666666666672</v>
      </c>
      <c r="G12" s="718">
        <f t="shared" si="14"/>
        <v>77981.5</v>
      </c>
      <c r="H12" s="718">
        <f t="shared" si="14"/>
        <v>77603.5</v>
      </c>
      <c r="I12" s="718">
        <f t="shared" si="14"/>
        <v>76470.333333333328</v>
      </c>
      <c r="J12" s="718">
        <f t="shared" ref="J12:O12" si="15">J3/6</f>
        <v>76753.666666666672</v>
      </c>
      <c r="K12" s="718">
        <f t="shared" si="15"/>
        <v>77991.833333333328</v>
      </c>
      <c r="L12" s="718">
        <f t="shared" si="15"/>
        <v>79431.5</v>
      </c>
      <c r="M12" s="718">
        <f t="shared" si="15"/>
        <v>78407.5</v>
      </c>
      <c r="N12" s="718">
        <f t="shared" si="15"/>
        <v>79221.333333333328</v>
      </c>
      <c r="O12" s="718">
        <f t="shared" si="15"/>
        <v>80573.666666666672</v>
      </c>
    </row>
    <row r="13" spans="1:17">
      <c r="D13" s="720"/>
      <c r="E13" s="720"/>
      <c r="F13" s="720"/>
      <c r="G13" s="720"/>
      <c r="H13" s="720"/>
      <c r="I13" s="720"/>
      <c r="J13" s="720"/>
      <c r="K13" s="720"/>
      <c r="L13" s="720"/>
      <c r="M13" s="720"/>
      <c r="N13" s="720"/>
      <c r="O13" s="720"/>
    </row>
    <row r="14" spans="1:17">
      <c r="A14" s="38" t="s">
        <v>4368</v>
      </c>
      <c r="D14" s="718">
        <f t="shared" ref="D14:I14" si="16">D64</f>
        <v>78469</v>
      </c>
      <c r="E14" s="718">
        <f t="shared" si="16"/>
        <v>77937</v>
      </c>
      <c r="F14" s="718">
        <f t="shared" si="16"/>
        <v>77929</v>
      </c>
      <c r="G14" s="718">
        <f t="shared" si="16"/>
        <v>77939</v>
      </c>
      <c r="H14" s="718">
        <f t="shared" si="16"/>
        <v>77605</v>
      </c>
      <c r="I14" s="718">
        <f t="shared" si="16"/>
        <v>74891</v>
      </c>
      <c r="J14" s="718">
        <f t="shared" ref="J14:O14" si="17">J64</f>
        <v>77222</v>
      </c>
      <c r="K14" s="718">
        <f t="shared" si="17"/>
        <v>75351</v>
      </c>
      <c r="L14" s="718">
        <f t="shared" si="17"/>
        <v>76708</v>
      </c>
      <c r="M14" s="718">
        <f t="shared" si="17"/>
        <v>75535</v>
      </c>
      <c r="N14" s="718">
        <f t="shared" si="17"/>
        <v>77267</v>
      </c>
      <c r="O14" s="718">
        <f t="shared" si="17"/>
        <v>79980</v>
      </c>
      <c r="Q14" s="38" t="s">
        <v>4369</v>
      </c>
    </row>
    <row r="15" spans="1:17">
      <c r="D15" s="720"/>
      <c r="E15" s="720"/>
      <c r="F15" s="720"/>
      <c r="G15" s="720"/>
      <c r="H15" s="720"/>
      <c r="I15" s="720"/>
      <c r="J15" s="720"/>
      <c r="K15" s="720"/>
      <c r="L15" s="720"/>
      <c r="M15" s="720"/>
      <c r="N15" s="720"/>
      <c r="O15" s="720"/>
    </row>
    <row r="16" spans="1:17">
      <c r="A16" s="38" t="s">
        <v>4370</v>
      </c>
      <c r="D16" s="718">
        <f t="shared" ref="D16:I16" si="18">D136</f>
        <v>65296</v>
      </c>
      <c r="E16" s="718">
        <f t="shared" si="18"/>
        <v>65153</v>
      </c>
      <c r="F16" s="718">
        <f t="shared" si="18"/>
        <v>65892</v>
      </c>
      <c r="G16" s="718">
        <f t="shared" si="18"/>
        <v>66361</v>
      </c>
      <c r="H16" s="718">
        <f t="shared" si="18"/>
        <v>66310</v>
      </c>
      <c r="I16" s="718">
        <f t="shared" si="18"/>
        <v>65422</v>
      </c>
      <c r="J16" s="718">
        <f t="shared" ref="J16:O16" si="19">J136</f>
        <v>65175</v>
      </c>
      <c r="K16" s="718">
        <f t="shared" si="19"/>
        <v>68319</v>
      </c>
      <c r="L16" s="718">
        <f t="shared" si="19"/>
        <v>67061</v>
      </c>
      <c r="M16" s="718">
        <f t="shared" si="19"/>
        <v>66753</v>
      </c>
      <c r="N16" s="718">
        <f t="shared" si="19"/>
        <v>68296</v>
      </c>
      <c r="O16" s="718">
        <f t="shared" si="19"/>
        <v>67890</v>
      </c>
      <c r="Q16" s="38" t="s">
        <v>6753</v>
      </c>
    </row>
    <row r="17" spans="1:17" ht="15.75" thickBot="1">
      <c r="D17" s="721">
        <f t="shared" ref="D17:I17" si="20">D235</f>
        <v>3543</v>
      </c>
      <c r="E17" s="721">
        <f t="shared" si="20"/>
        <v>3550</v>
      </c>
      <c r="F17" s="721">
        <f t="shared" si="20"/>
        <v>3529</v>
      </c>
      <c r="G17" s="721">
        <f t="shared" si="20"/>
        <v>3545</v>
      </c>
      <c r="H17" s="721">
        <f t="shared" si="20"/>
        <v>3456</v>
      </c>
      <c r="I17" s="721">
        <f t="shared" si="20"/>
        <v>3408</v>
      </c>
      <c r="J17" s="721">
        <f t="shared" ref="J17:O17" si="21">J235</f>
        <v>3415</v>
      </c>
      <c r="K17" s="721">
        <f t="shared" si="21"/>
        <v>3459</v>
      </c>
      <c r="L17" s="721">
        <f t="shared" si="21"/>
        <v>3501</v>
      </c>
      <c r="M17" s="721">
        <f t="shared" si="21"/>
        <v>3536</v>
      </c>
      <c r="N17" s="721">
        <f t="shared" si="21"/>
        <v>3583</v>
      </c>
      <c r="O17" s="721">
        <f t="shared" si="21"/>
        <v>3620</v>
      </c>
      <c r="Q17" s="38" t="s">
        <v>4371</v>
      </c>
    </row>
    <row r="18" spans="1:17" ht="15.75" thickBot="1">
      <c r="D18" s="721">
        <f t="shared" ref="D18:I18" si="22">D16+D17</f>
        <v>68839</v>
      </c>
      <c r="E18" s="721">
        <f t="shared" si="22"/>
        <v>68703</v>
      </c>
      <c r="F18" s="721">
        <f t="shared" si="22"/>
        <v>69421</v>
      </c>
      <c r="G18" s="721">
        <f t="shared" si="22"/>
        <v>69906</v>
      </c>
      <c r="H18" s="721">
        <f t="shared" si="22"/>
        <v>69766</v>
      </c>
      <c r="I18" s="721">
        <f t="shared" si="22"/>
        <v>68830</v>
      </c>
      <c r="J18" s="721">
        <f t="shared" ref="J18:O18" si="23">J16+J17</f>
        <v>68590</v>
      </c>
      <c r="K18" s="721">
        <f t="shared" si="23"/>
        <v>71778</v>
      </c>
      <c r="L18" s="721">
        <f t="shared" si="23"/>
        <v>70562</v>
      </c>
      <c r="M18" s="721">
        <f t="shared" si="23"/>
        <v>70289</v>
      </c>
      <c r="N18" s="721">
        <f t="shared" si="23"/>
        <v>71879</v>
      </c>
      <c r="O18" s="721">
        <f t="shared" si="23"/>
        <v>71510</v>
      </c>
    </row>
    <row r="19" spans="1:17">
      <c r="D19" s="720"/>
      <c r="E19" s="720"/>
      <c r="F19" s="720"/>
      <c r="G19" s="720"/>
      <c r="H19" s="720"/>
      <c r="I19" s="720"/>
      <c r="J19" s="720"/>
      <c r="K19" s="720"/>
      <c r="L19" s="720"/>
      <c r="M19" s="720"/>
      <c r="N19" s="720"/>
      <c r="O19" s="720"/>
    </row>
    <row r="20" spans="1:17">
      <c r="A20" s="38" t="s">
        <v>4372</v>
      </c>
      <c r="D20" s="718">
        <f t="shared" ref="D20:I20" si="24">D163</f>
        <v>79972</v>
      </c>
      <c r="E20" s="718">
        <f t="shared" si="24"/>
        <v>80788</v>
      </c>
      <c r="F20" s="718">
        <f t="shared" si="24"/>
        <v>82214</v>
      </c>
      <c r="G20" s="718">
        <f t="shared" si="24"/>
        <v>83183</v>
      </c>
      <c r="H20" s="718">
        <f t="shared" si="24"/>
        <v>82626</v>
      </c>
      <c r="I20" s="718">
        <f t="shared" si="24"/>
        <v>82066</v>
      </c>
      <c r="J20" s="718">
        <f t="shared" ref="J20:O20" si="25">J163</f>
        <v>79129</v>
      </c>
      <c r="K20" s="718">
        <f t="shared" si="25"/>
        <v>80427</v>
      </c>
      <c r="L20" s="718">
        <f t="shared" si="25"/>
        <v>84650</v>
      </c>
      <c r="M20" s="718">
        <f t="shared" si="25"/>
        <v>81365</v>
      </c>
      <c r="N20" s="718">
        <f t="shared" si="25"/>
        <v>78312</v>
      </c>
      <c r="O20" s="718">
        <f t="shared" si="25"/>
        <v>81509</v>
      </c>
      <c r="Q20" s="38" t="s">
        <v>4373</v>
      </c>
    </row>
    <row r="21" spans="1:17">
      <c r="D21" s="720"/>
      <c r="E21" s="720"/>
      <c r="F21" s="720"/>
      <c r="G21" s="720"/>
      <c r="H21" s="720"/>
      <c r="I21" s="720"/>
      <c r="J21" s="720"/>
      <c r="K21" s="720"/>
      <c r="L21" s="720"/>
      <c r="M21" s="720"/>
      <c r="N21" s="720"/>
      <c r="O21" s="720"/>
    </row>
    <row r="22" spans="1:17">
      <c r="A22" s="38" t="s">
        <v>4374</v>
      </c>
      <c r="D22" s="718">
        <f t="shared" ref="D22:I22" si="26">D204</f>
        <v>78261</v>
      </c>
      <c r="E22" s="718">
        <f t="shared" si="26"/>
        <v>79135</v>
      </c>
      <c r="F22" s="718">
        <f t="shared" si="26"/>
        <v>80114</v>
      </c>
      <c r="G22" s="718">
        <f t="shared" si="26"/>
        <v>79998</v>
      </c>
      <c r="H22" s="718">
        <f t="shared" si="26"/>
        <v>79226</v>
      </c>
      <c r="I22" s="718">
        <f t="shared" si="26"/>
        <v>78539</v>
      </c>
      <c r="J22" s="718">
        <f t="shared" ref="J22:O22" si="27">J204</f>
        <v>80909</v>
      </c>
      <c r="K22" s="718">
        <f t="shared" si="27"/>
        <v>81849</v>
      </c>
      <c r="L22" s="718">
        <f t="shared" si="27"/>
        <v>82616</v>
      </c>
      <c r="M22" s="718">
        <f t="shared" si="27"/>
        <v>81913</v>
      </c>
      <c r="N22" s="718">
        <f t="shared" si="27"/>
        <v>84452</v>
      </c>
      <c r="O22" s="718">
        <f t="shared" si="27"/>
        <v>84573</v>
      </c>
      <c r="Q22" s="38" t="s">
        <v>4375</v>
      </c>
    </row>
    <row r="23" spans="1:17">
      <c r="D23" s="720"/>
      <c r="E23" s="720"/>
      <c r="F23" s="720"/>
      <c r="G23" s="720"/>
      <c r="H23" s="720"/>
      <c r="I23" s="720"/>
      <c r="J23" s="720"/>
      <c r="K23" s="720"/>
      <c r="L23" s="720"/>
      <c r="M23" s="720"/>
      <c r="N23" s="720"/>
      <c r="O23" s="720"/>
    </row>
    <row r="24" spans="1:17">
      <c r="A24" s="38" t="s">
        <v>4376</v>
      </c>
      <c r="D24" s="718">
        <f t="shared" ref="D24:I24" si="28">D65</f>
        <v>9020</v>
      </c>
      <c r="E24" s="718">
        <f t="shared" si="28"/>
        <v>8919</v>
      </c>
      <c r="F24" s="718">
        <f t="shared" si="28"/>
        <v>8912</v>
      </c>
      <c r="G24" s="718">
        <f t="shared" si="28"/>
        <v>8915</v>
      </c>
      <c r="H24" s="718">
        <f t="shared" si="28"/>
        <v>8727</v>
      </c>
      <c r="I24" s="718">
        <f t="shared" si="28"/>
        <v>8456</v>
      </c>
      <c r="J24" s="718">
        <f t="shared" ref="J24:O24" si="29">J65</f>
        <v>8590</v>
      </c>
      <c r="K24" s="718">
        <f t="shared" si="29"/>
        <v>8537</v>
      </c>
      <c r="L24" s="718">
        <f t="shared" si="29"/>
        <v>8613</v>
      </c>
      <c r="M24" s="718">
        <f t="shared" si="29"/>
        <v>8601</v>
      </c>
      <c r="N24" s="718">
        <f t="shared" si="29"/>
        <v>8743</v>
      </c>
      <c r="O24" s="718">
        <f t="shared" si="29"/>
        <v>9025</v>
      </c>
      <c r="Q24" s="38" t="s">
        <v>4369</v>
      </c>
    </row>
    <row r="25" spans="1:17">
      <c r="A25" s="38"/>
      <c r="D25" s="718">
        <f t="shared" ref="D25:I25" si="30">D164</f>
        <v>7538</v>
      </c>
      <c r="E25" s="718">
        <f t="shared" si="30"/>
        <v>7503</v>
      </c>
      <c r="F25" s="718">
        <f t="shared" si="30"/>
        <v>7567</v>
      </c>
      <c r="G25" s="718">
        <f t="shared" si="30"/>
        <v>7610</v>
      </c>
      <c r="H25" s="718">
        <f t="shared" si="30"/>
        <v>7570</v>
      </c>
      <c r="I25" s="718">
        <f t="shared" si="30"/>
        <v>7456</v>
      </c>
      <c r="J25" s="718">
        <f t="shared" ref="J25:O25" si="31">J164</f>
        <v>7298</v>
      </c>
      <c r="K25" s="718">
        <f t="shared" si="31"/>
        <v>7329</v>
      </c>
      <c r="L25" s="718">
        <f t="shared" si="31"/>
        <v>7601</v>
      </c>
      <c r="M25" s="718">
        <f t="shared" si="31"/>
        <v>7464</v>
      </c>
      <c r="N25" s="718">
        <f t="shared" si="31"/>
        <v>7244</v>
      </c>
      <c r="O25" s="718">
        <f t="shared" si="31"/>
        <v>7459</v>
      </c>
      <c r="Q25" s="38" t="s">
        <v>4373</v>
      </c>
    </row>
    <row r="26" spans="1:17" ht="15.75" thickBot="1">
      <c r="D26" s="721">
        <f t="shared" ref="D26:I26" si="32">D236</f>
        <v>59848</v>
      </c>
      <c r="E26" s="721">
        <f t="shared" si="32"/>
        <v>60784</v>
      </c>
      <c r="F26" s="721">
        <f t="shared" si="32"/>
        <v>61464</v>
      </c>
      <c r="G26" s="721">
        <f t="shared" si="32"/>
        <v>62002</v>
      </c>
      <c r="H26" s="721">
        <f t="shared" si="32"/>
        <v>62141</v>
      </c>
      <c r="I26" s="721">
        <f t="shared" si="32"/>
        <v>61721</v>
      </c>
      <c r="J26" s="721">
        <f t="shared" ref="J26:O26" si="33">J236</f>
        <v>62574</v>
      </c>
      <c r="K26" s="721">
        <f t="shared" si="33"/>
        <v>64590</v>
      </c>
      <c r="L26" s="721">
        <f t="shared" si="33"/>
        <v>66222</v>
      </c>
      <c r="M26" s="721">
        <f t="shared" si="33"/>
        <v>65788</v>
      </c>
      <c r="N26" s="721">
        <f t="shared" si="33"/>
        <v>66660</v>
      </c>
      <c r="O26" s="721">
        <f t="shared" si="33"/>
        <v>67334</v>
      </c>
      <c r="Q26" s="38" t="s">
        <v>4371</v>
      </c>
    </row>
    <row r="27" spans="1:17" ht="15.75" thickBot="1">
      <c r="D27" s="721">
        <f t="shared" ref="D27:I27" si="34">SUM(D24:D26)</f>
        <v>76406</v>
      </c>
      <c r="E27" s="721">
        <f t="shared" si="34"/>
        <v>77206</v>
      </c>
      <c r="F27" s="721">
        <f t="shared" si="34"/>
        <v>77943</v>
      </c>
      <c r="G27" s="721">
        <f t="shared" si="34"/>
        <v>78527</v>
      </c>
      <c r="H27" s="721">
        <f t="shared" si="34"/>
        <v>78438</v>
      </c>
      <c r="I27" s="721">
        <f t="shared" si="34"/>
        <v>77633</v>
      </c>
      <c r="J27" s="721">
        <f t="shared" ref="J27:O27" si="35">SUM(J24:J26)</f>
        <v>78462</v>
      </c>
      <c r="K27" s="721">
        <f t="shared" si="35"/>
        <v>80456</v>
      </c>
      <c r="L27" s="721">
        <f t="shared" si="35"/>
        <v>82436</v>
      </c>
      <c r="M27" s="721">
        <f t="shared" si="35"/>
        <v>81853</v>
      </c>
      <c r="N27" s="721">
        <f t="shared" si="35"/>
        <v>82647</v>
      </c>
      <c r="O27" s="721">
        <f t="shared" si="35"/>
        <v>83818</v>
      </c>
    </row>
    <row r="28" spans="1:17">
      <c r="D28" s="720"/>
      <c r="E28" s="720"/>
      <c r="F28" s="720"/>
      <c r="G28" s="720"/>
      <c r="H28" s="720"/>
      <c r="I28" s="720"/>
      <c r="J28" s="720"/>
      <c r="K28" s="720"/>
      <c r="L28" s="720"/>
      <c r="M28" s="720"/>
      <c r="N28" s="720"/>
      <c r="O28" s="720"/>
    </row>
    <row r="29" spans="1:17">
      <c r="A29" s="38" t="s">
        <v>4377</v>
      </c>
      <c r="D29" s="718">
        <f t="shared" ref="D29:I29" si="36">D106</f>
        <v>66804</v>
      </c>
      <c r="E29" s="718">
        <f t="shared" si="36"/>
        <v>68087</v>
      </c>
      <c r="F29" s="718">
        <f t="shared" si="36"/>
        <v>68019</v>
      </c>
      <c r="G29" s="718">
        <f t="shared" si="36"/>
        <v>67966</v>
      </c>
      <c r="H29" s="718">
        <f t="shared" si="36"/>
        <v>67770</v>
      </c>
      <c r="I29" s="718">
        <f t="shared" si="36"/>
        <v>66739</v>
      </c>
      <c r="J29" s="718">
        <f t="shared" ref="J29:O29" si="37">J106</f>
        <v>65825</v>
      </c>
      <c r="K29" s="718">
        <f t="shared" si="37"/>
        <v>67478</v>
      </c>
      <c r="L29" s="718">
        <f t="shared" si="37"/>
        <v>68969</v>
      </c>
      <c r="M29" s="718">
        <f t="shared" si="37"/>
        <v>68984</v>
      </c>
      <c r="N29" s="718">
        <f t="shared" si="37"/>
        <v>69945</v>
      </c>
      <c r="O29" s="718">
        <f t="shared" si="37"/>
        <v>71234</v>
      </c>
      <c r="Q29" s="38" t="s">
        <v>6752</v>
      </c>
    </row>
    <row r="30" spans="1:17" ht="15.75" thickBot="1">
      <c r="D30" s="721">
        <f t="shared" ref="D30:I30" si="38">D205</f>
        <v>10334</v>
      </c>
      <c r="E30" s="721">
        <f t="shared" si="38"/>
        <v>10352</v>
      </c>
      <c r="F30" s="721">
        <f t="shared" si="38"/>
        <v>10396</v>
      </c>
      <c r="G30" s="721">
        <f t="shared" si="38"/>
        <v>10370</v>
      </c>
      <c r="H30" s="721">
        <f t="shared" si="38"/>
        <v>10190</v>
      </c>
      <c r="I30" s="721">
        <f t="shared" si="38"/>
        <v>10124</v>
      </c>
      <c r="J30" s="721">
        <f t="shared" ref="J30:O30" si="39">J205</f>
        <v>10385</v>
      </c>
      <c r="K30" s="721">
        <f t="shared" si="39"/>
        <v>10612</v>
      </c>
      <c r="L30" s="721">
        <f t="shared" si="39"/>
        <v>10648</v>
      </c>
      <c r="M30" s="721">
        <f t="shared" si="39"/>
        <v>10506</v>
      </c>
      <c r="N30" s="721">
        <f t="shared" si="39"/>
        <v>10826</v>
      </c>
      <c r="O30" s="721">
        <f t="shared" si="39"/>
        <v>10818</v>
      </c>
      <c r="Q30" s="38" t="s">
        <v>4375</v>
      </c>
    </row>
    <row r="31" spans="1:17" ht="15.75" thickBot="1">
      <c r="D31" s="721">
        <f t="shared" ref="D31:I31" si="40">D29+D30</f>
        <v>77138</v>
      </c>
      <c r="E31" s="721">
        <f t="shared" si="40"/>
        <v>78439</v>
      </c>
      <c r="F31" s="721">
        <f t="shared" si="40"/>
        <v>78415</v>
      </c>
      <c r="G31" s="721">
        <f t="shared" si="40"/>
        <v>78336</v>
      </c>
      <c r="H31" s="721">
        <f t="shared" si="40"/>
        <v>77960</v>
      </c>
      <c r="I31" s="721">
        <f t="shared" si="40"/>
        <v>76863</v>
      </c>
      <c r="J31" s="721">
        <f t="shared" ref="J31:O31" si="41">J29+J30</f>
        <v>76210</v>
      </c>
      <c r="K31" s="721">
        <f t="shared" si="41"/>
        <v>78090</v>
      </c>
      <c r="L31" s="721">
        <f t="shared" si="41"/>
        <v>79617</v>
      </c>
      <c r="M31" s="721">
        <f t="shared" si="41"/>
        <v>79490</v>
      </c>
      <c r="N31" s="721">
        <f t="shared" si="41"/>
        <v>80771</v>
      </c>
      <c r="O31" s="721">
        <f t="shared" si="41"/>
        <v>82052</v>
      </c>
    </row>
    <row r="32" spans="1:17">
      <c r="D32" s="720"/>
      <c r="E32" s="720"/>
      <c r="F32" s="720"/>
      <c r="G32" s="720"/>
      <c r="H32" s="720"/>
      <c r="I32" s="720"/>
      <c r="J32" s="720"/>
      <c r="K32" s="720"/>
      <c r="L32" s="720"/>
      <c r="M32" s="720"/>
      <c r="N32" s="720"/>
      <c r="O32" s="720"/>
    </row>
    <row r="33" spans="1:17">
      <c r="A33" s="38" t="s">
        <v>6796</v>
      </c>
      <c r="D33" s="718">
        <f t="shared" ref="D33:I33" si="42">D14+D18+D20+D22+D27+D31</f>
        <v>459085</v>
      </c>
      <c r="E33" s="718">
        <f t="shared" si="42"/>
        <v>462208</v>
      </c>
      <c r="F33" s="718">
        <f t="shared" si="42"/>
        <v>466036</v>
      </c>
      <c r="G33" s="718">
        <f t="shared" si="42"/>
        <v>467889</v>
      </c>
      <c r="H33" s="718">
        <f t="shared" si="42"/>
        <v>465621</v>
      </c>
      <c r="I33" s="718">
        <f t="shared" si="42"/>
        <v>458822</v>
      </c>
      <c r="J33" s="718">
        <f t="shared" ref="J33:O33" si="43">J14+J18+J20+J22+J27+J31</f>
        <v>460522</v>
      </c>
      <c r="K33" s="718">
        <f t="shared" si="43"/>
        <v>467951</v>
      </c>
      <c r="L33" s="718">
        <f t="shared" si="43"/>
        <v>476589</v>
      </c>
      <c r="M33" s="718">
        <f t="shared" si="43"/>
        <v>470445</v>
      </c>
      <c r="N33" s="718">
        <f t="shared" si="43"/>
        <v>475328</v>
      </c>
      <c r="O33" s="718">
        <f t="shared" si="43"/>
        <v>483442</v>
      </c>
    </row>
    <row r="34" spans="1:17">
      <c r="D34" s="720"/>
      <c r="E34" s="720"/>
      <c r="F34" s="720"/>
      <c r="G34" s="720"/>
      <c r="H34" s="720"/>
      <c r="I34" s="720"/>
      <c r="J34" s="720"/>
      <c r="K34" s="720"/>
      <c r="L34" s="720"/>
      <c r="M34" s="720"/>
      <c r="N34" s="720"/>
      <c r="O34" s="720"/>
    </row>
    <row r="35" spans="1:17">
      <c r="A35" s="38" t="s">
        <v>6797</v>
      </c>
      <c r="D35" s="718">
        <f t="shared" ref="D35:I35" si="44">MAX(D14,D18,D20,D22,D27,D31)-MIN(D14,D18,D20,D27,D31)</f>
        <v>11133</v>
      </c>
      <c r="E35" s="718">
        <f t="shared" si="44"/>
        <v>12085</v>
      </c>
      <c r="F35" s="718">
        <f t="shared" si="44"/>
        <v>12793</v>
      </c>
      <c r="G35" s="718">
        <f t="shared" si="44"/>
        <v>13277</v>
      </c>
      <c r="H35" s="718">
        <f t="shared" si="44"/>
        <v>12860</v>
      </c>
      <c r="I35" s="718">
        <f t="shared" si="44"/>
        <v>13236</v>
      </c>
      <c r="J35" s="718">
        <f t="shared" ref="J35:O35" si="45">MAX(J14,J18,J20,J22,J27,J31)-MIN(J14,J18,J20,J27,J31)</f>
        <v>12319</v>
      </c>
      <c r="K35" s="718">
        <f t="shared" si="45"/>
        <v>10071</v>
      </c>
      <c r="L35" s="718">
        <f t="shared" si="45"/>
        <v>14088</v>
      </c>
      <c r="M35" s="718">
        <f t="shared" si="45"/>
        <v>11624</v>
      </c>
      <c r="N35" s="718">
        <f t="shared" si="45"/>
        <v>12573</v>
      </c>
      <c r="O35" s="718">
        <f t="shared" si="45"/>
        <v>13063</v>
      </c>
    </row>
    <row r="36" spans="1:17">
      <c r="D36" s="720"/>
      <c r="E36" s="720"/>
      <c r="F36" s="720"/>
      <c r="G36" s="720"/>
      <c r="H36" s="720"/>
      <c r="I36" s="720"/>
      <c r="J36" s="720"/>
      <c r="K36" s="720"/>
      <c r="L36" s="720"/>
      <c r="M36" s="720"/>
      <c r="N36" s="720"/>
      <c r="O36" s="720"/>
    </row>
    <row r="37" spans="1:17">
      <c r="A37" s="38" t="s">
        <v>6800</v>
      </c>
      <c r="D37" s="718">
        <f t="shared" ref="D37:I37" si="46">STDEVP(D14,D18,D20,D22,D27,D31)</f>
        <v>3608.7500798599076</v>
      </c>
      <c r="E37" s="718">
        <f t="shared" si="46"/>
        <v>3888.6864391748304</v>
      </c>
      <c r="F37" s="718">
        <f t="shared" si="46"/>
        <v>3986.7209862520131</v>
      </c>
      <c r="G37" s="718">
        <f t="shared" si="46"/>
        <v>4015.8150169050368</v>
      </c>
      <c r="H37" s="718">
        <f t="shared" si="46"/>
        <v>3875.3043643908368</v>
      </c>
      <c r="I37" s="718">
        <f t="shared" si="46"/>
        <v>4040.7473593658665</v>
      </c>
      <c r="J37" s="718">
        <f t="shared" ref="J37:O37" si="47">STDEVP(J14,J18,J20,J22,J27,J31)</f>
        <v>3936.7450457904374</v>
      </c>
      <c r="K37" s="718">
        <f t="shared" si="47"/>
        <v>3475.5155692677054</v>
      </c>
      <c r="L37" s="718">
        <f t="shared" si="47"/>
        <v>4699.6577091670551</v>
      </c>
      <c r="M37" s="718">
        <f t="shared" si="47"/>
        <v>4247.3503799427708</v>
      </c>
      <c r="N37" s="718">
        <f t="shared" si="47"/>
        <v>4083.5584427745807</v>
      </c>
      <c r="O37" s="718">
        <f t="shared" si="47"/>
        <v>4322.0978188323734</v>
      </c>
    </row>
    <row r="38" spans="1:17">
      <c r="A38" s="38"/>
      <c r="D38" s="722"/>
      <c r="E38" s="722"/>
      <c r="F38" s="722"/>
      <c r="G38" s="722"/>
      <c r="H38" s="722"/>
      <c r="I38" s="722"/>
      <c r="J38" s="722"/>
      <c r="K38" s="722"/>
      <c r="L38" s="722"/>
      <c r="M38" s="722"/>
      <c r="N38" s="722"/>
      <c r="O38" s="722"/>
    </row>
    <row r="39" spans="1:17">
      <c r="A39" s="38"/>
      <c r="D39" s="722"/>
      <c r="E39" s="722"/>
      <c r="F39" s="722"/>
      <c r="G39" s="722"/>
      <c r="H39" s="722"/>
      <c r="I39" s="722"/>
      <c r="J39" s="722"/>
      <c r="K39" s="722"/>
      <c r="L39" s="722"/>
      <c r="M39" s="722"/>
      <c r="N39" s="722"/>
      <c r="O39" s="722"/>
    </row>
    <row r="40" spans="1:17">
      <c r="E40" s="51" t="s">
        <v>1526</v>
      </c>
      <c r="F40" s="51"/>
      <c r="G40" s="51"/>
      <c r="H40" s="51"/>
      <c r="I40" s="51"/>
      <c r="J40" s="51"/>
      <c r="K40" s="51"/>
      <c r="L40" s="51"/>
      <c r="M40" s="51"/>
      <c r="N40" s="51"/>
      <c r="O40" s="51"/>
      <c r="P40" s="52"/>
      <c r="Q40" s="53" t="s">
        <v>9479</v>
      </c>
    </row>
    <row r="41" spans="1:17">
      <c r="D41" s="40">
        <v>2010</v>
      </c>
      <c r="E41" s="40">
        <v>2011</v>
      </c>
      <c r="F41" s="40">
        <v>2012</v>
      </c>
      <c r="G41" s="40">
        <v>2013</v>
      </c>
      <c r="H41" s="40">
        <v>2014</v>
      </c>
      <c r="I41" s="40">
        <v>2015</v>
      </c>
      <c r="J41" s="40">
        <v>2016</v>
      </c>
      <c r="K41" s="40">
        <v>2017</v>
      </c>
      <c r="L41" s="40">
        <v>2018</v>
      </c>
      <c r="M41" s="40">
        <v>2019</v>
      </c>
      <c r="N41" s="40">
        <v>2020</v>
      </c>
      <c r="O41" s="976" t="s">
        <v>14823</v>
      </c>
      <c r="P41" s="52"/>
      <c r="Q41" s="54" t="s">
        <v>1527</v>
      </c>
    </row>
    <row r="42" spans="1:17">
      <c r="A42" s="38" t="s">
        <v>4378</v>
      </c>
      <c r="C42" s="38"/>
      <c r="D42" s="718">
        <f t="shared" ref="D42:I42" si="48">SUM(D43:D62)</f>
        <v>87489</v>
      </c>
      <c r="E42" s="718">
        <f t="shared" si="48"/>
        <v>86856</v>
      </c>
      <c r="F42" s="718">
        <f t="shared" si="48"/>
        <v>86841</v>
      </c>
      <c r="G42" s="718">
        <f t="shared" si="48"/>
        <v>86854</v>
      </c>
      <c r="H42" s="718">
        <f t="shared" si="48"/>
        <v>86332</v>
      </c>
      <c r="I42" s="718">
        <f t="shared" si="48"/>
        <v>83347</v>
      </c>
      <c r="J42" s="718">
        <f t="shared" ref="J42:O42" si="49">SUM(J43:J62)</f>
        <v>85812</v>
      </c>
      <c r="K42" s="718">
        <f t="shared" si="49"/>
        <v>83888</v>
      </c>
      <c r="L42" s="718">
        <f t="shared" si="49"/>
        <v>85321</v>
      </c>
      <c r="M42" s="718">
        <f t="shared" si="49"/>
        <v>84136</v>
      </c>
      <c r="N42" s="718">
        <f t="shared" si="49"/>
        <v>86010</v>
      </c>
      <c r="O42" s="718">
        <f t="shared" si="49"/>
        <v>89005</v>
      </c>
    </row>
    <row r="43" spans="1:17">
      <c r="A43" s="38" t="s">
        <v>5387</v>
      </c>
      <c r="B43" s="38" t="s">
        <v>3426</v>
      </c>
      <c r="C43" s="55" t="s">
        <v>8770</v>
      </c>
      <c r="D43" s="718">
        <v>4005</v>
      </c>
      <c r="E43" s="718">
        <v>3932</v>
      </c>
      <c r="F43" s="718">
        <v>3838</v>
      </c>
      <c r="G43" s="63">
        <v>3948</v>
      </c>
      <c r="H43" s="63">
        <v>3869</v>
      </c>
      <c r="I43" s="63">
        <v>3739</v>
      </c>
      <c r="J43" s="63">
        <v>3909</v>
      </c>
      <c r="K43" s="63">
        <v>3758</v>
      </c>
      <c r="L43" s="63">
        <v>3848</v>
      </c>
      <c r="M43" s="63">
        <v>3790</v>
      </c>
      <c r="N43" s="63">
        <v>4023</v>
      </c>
      <c r="O43" s="63">
        <v>4187</v>
      </c>
      <c r="Q43" s="38" t="s">
        <v>4368</v>
      </c>
    </row>
    <row r="44" spans="1:17">
      <c r="A44" s="723">
        <v>2</v>
      </c>
      <c r="B44" s="38" t="s">
        <v>6023</v>
      </c>
      <c r="C44" s="55" t="s">
        <v>8771</v>
      </c>
      <c r="D44" s="718">
        <v>3994</v>
      </c>
      <c r="E44" s="718">
        <v>4120</v>
      </c>
      <c r="F44" s="718">
        <v>4201</v>
      </c>
      <c r="G44" s="63">
        <v>4229</v>
      </c>
      <c r="H44" s="63">
        <v>4160</v>
      </c>
      <c r="I44" s="63">
        <v>4092</v>
      </c>
      <c r="J44" s="63">
        <v>4142</v>
      </c>
      <c r="K44" s="63">
        <v>4109</v>
      </c>
      <c r="L44" s="63">
        <v>4241</v>
      </c>
      <c r="M44" s="63">
        <v>4343</v>
      </c>
      <c r="N44" s="63">
        <v>4492</v>
      </c>
      <c r="O44" s="63">
        <v>4611</v>
      </c>
      <c r="Q44" s="38" t="s">
        <v>4368</v>
      </c>
    </row>
    <row r="45" spans="1:17">
      <c r="A45" s="723">
        <v>3</v>
      </c>
      <c r="B45" s="38" t="s">
        <v>6719</v>
      </c>
      <c r="C45" s="55" t="s">
        <v>8772</v>
      </c>
      <c r="D45" s="718">
        <v>4049</v>
      </c>
      <c r="E45" s="718">
        <v>4028</v>
      </c>
      <c r="F45" s="718">
        <v>4072</v>
      </c>
      <c r="G45" s="63">
        <v>4065</v>
      </c>
      <c r="H45" s="63">
        <v>4075</v>
      </c>
      <c r="I45" s="63">
        <v>4000</v>
      </c>
      <c r="J45" s="63">
        <v>4095</v>
      </c>
      <c r="K45" s="63">
        <v>3989</v>
      </c>
      <c r="L45" s="63">
        <v>3985</v>
      </c>
      <c r="M45" s="63">
        <v>3926</v>
      </c>
      <c r="N45" s="63">
        <v>3963</v>
      </c>
      <c r="O45" s="63">
        <v>4007</v>
      </c>
      <c r="Q45" s="38" t="s">
        <v>4368</v>
      </c>
    </row>
    <row r="46" spans="1:17">
      <c r="A46" s="38" t="s">
        <v>5393</v>
      </c>
      <c r="B46" s="38" t="s">
        <v>6720</v>
      </c>
      <c r="C46" s="55" t="s">
        <v>8773</v>
      </c>
      <c r="D46" s="718">
        <v>4303</v>
      </c>
      <c r="E46" s="718">
        <v>4304</v>
      </c>
      <c r="F46" s="718">
        <v>4352</v>
      </c>
      <c r="G46" s="63">
        <v>4388</v>
      </c>
      <c r="H46" s="63">
        <v>4365</v>
      </c>
      <c r="I46" s="63">
        <v>4319</v>
      </c>
      <c r="J46" s="63">
        <v>4370</v>
      </c>
      <c r="K46" s="63">
        <v>4376</v>
      </c>
      <c r="L46" s="63">
        <v>4342</v>
      </c>
      <c r="M46" s="63">
        <v>4288</v>
      </c>
      <c r="N46" s="63">
        <v>4293</v>
      </c>
      <c r="O46" s="63">
        <v>4407</v>
      </c>
      <c r="Q46" s="38" t="s">
        <v>4368</v>
      </c>
    </row>
    <row r="47" spans="1:17">
      <c r="A47" s="38" t="s">
        <v>5394</v>
      </c>
      <c r="B47" s="38" t="s">
        <v>6721</v>
      </c>
      <c r="C47" s="55" t="s">
        <v>8774</v>
      </c>
      <c r="D47" s="718">
        <v>4038</v>
      </c>
      <c r="E47" s="718">
        <v>4020</v>
      </c>
      <c r="F47" s="718">
        <v>3999</v>
      </c>
      <c r="G47" s="63">
        <v>4013</v>
      </c>
      <c r="H47" s="63">
        <v>3997</v>
      </c>
      <c r="I47" s="63">
        <v>3951</v>
      </c>
      <c r="J47" s="63">
        <v>4028</v>
      </c>
      <c r="K47" s="63">
        <v>3928</v>
      </c>
      <c r="L47" s="63">
        <v>3973</v>
      </c>
      <c r="M47" s="63">
        <v>3920</v>
      </c>
      <c r="N47" s="63">
        <v>3960</v>
      </c>
      <c r="O47" s="63">
        <v>4079</v>
      </c>
      <c r="Q47" s="38" t="s">
        <v>4368</v>
      </c>
    </row>
    <row r="48" spans="1:17">
      <c r="A48" s="38" t="s">
        <v>5416</v>
      </c>
      <c r="B48" s="38" t="s">
        <v>1414</v>
      </c>
      <c r="C48" s="55" t="s">
        <v>8775</v>
      </c>
      <c r="D48" s="718">
        <v>4223</v>
      </c>
      <c r="E48" s="718">
        <v>4172</v>
      </c>
      <c r="F48" s="718">
        <v>4101</v>
      </c>
      <c r="G48" s="63">
        <v>4030</v>
      </c>
      <c r="H48" s="63">
        <v>4013</v>
      </c>
      <c r="I48" s="63">
        <v>3872</v>
      </c>
      <c r="J48" s="63">
        <v>4184</v>
      </c>
      <c r="K48" s="63">
        <v>4126</v>
      </c>
      <c r="L48" s="63">
        <v>4257</v>
      </c>
      <c r="M48" s="63">
        <v>4114</v>
      </c>
      <c r="N48" s="63">
        <v>4204</v>
      </c>
      <c r="O48" s="63">
        <v>4380</v>
      </c>
      <c r="Q48" s="38" t="s">
        <v>4368</v>
      </c>
    </row>
    <row r="49" spans="1:17">
      <c r="A49" s="38" t="s">
        <v>5418</v>
      </c>
      <c r="B49" s="38" t="s">
        <v>6722</v>
      </c>
      <c r="C49" s="55" t="s">
        <v>8776</v>
      </c>
      <c r="D49" s="718">
        <v>4888</v>
      </c>
      <c r="E49" s="718">
        <v>4880</v>
      </c>
      <c r="F49" s="718">
        <v>4854</v>
      </c>
      <c r="G49" s="63">
        <v>4856</v>
      </c>
      <c r="H49" s="63">
        <v>4712</v>
      </c>
      <c r="I49" s="63">
        <v>4574</v>
      </c>
      <c r="J49" s="63">
        <v>4681</v>
      </c>
      <c r="K49" s="63">
        <v>4462</v>
      </c>
      <c r="L49" s="63">
        <v>4497</v>
      </c>
      <c r="M49" s="63">
        <v>4418</v>
      </c>
      <c r="N49" s="63">
        <v>4502</v>
      </c>
      <c r="O49" s="63">
        <v>4591</v>
      </c>
      <c r="Q49" s="38" t="s">
        <v>4368</v>
      </c>
    </row>
    <row r="50" spans="1:17">
      <c r="A50" s="38" t="s">
        <v>5420</v>
      </c>
      <c r="B50" s="38" t="s">
        <v>1135</v>
      </c>
      <c r="C50" s="55" t="s">
        <v>8777</v>
      </c>
      <c r="D50" s="718">
        <v>4427</v>
      </c>
      <c r="E50" s="718">
        <v>4250</v>
      </c>
      <c r="F50" s="718">
        <v>4182</v>
      </c>
      <c r="G50" s="63">
        <v>4192</v>
      </c>
      <c r="H50" s="63">
        <v>4275</v>
      </c>
      <c r="I50" s="63">
        <v>3879</v>
      </c>
      <c r="J50" s="63">
        <v>3989</v>
      </c>
      <c r="K50" s="63">
        <v>3903</v>
      </c>
      <c r="L50" s="63">
        <v>3898</v>
      </c>
      <c r="M50" s="63">
        <v>3744</v>
      </c>
      <c r="N50" s="63">
        <v>3891</v>
      </c>
      <c r="O50" s="63">
        <v>4133</v>
      </c>
      <c r="Q50" s="38" t="s">
        <v>4368</v>
      </c>
    </row>
    <row r="51" spans="1:17">
      <c r="A51" s="38" t="s">
        <v>5422</v>
      </c>
      <c r="B51" s="38" t="s">
        <v>6723</v>
      </c>
      <c r="C51" s="55" t="s">
        <v>8778</v>
      </c>
      <c r="D51" s="718">
        <v>4102</v>
      </c>
      <c r="E51" s="718">
        <v>4124</v>
      </c>
      <c r="F51" s="718">
        <v>4139</v>
      </c>
      <c r="G51" s="63">
        <v>4129</v>
      </c>
      <c r="H51" s="63">
        <v>4196</v>
      </c>
      <c r="I51" s="63">
        <v>4171</v>
      </c>
      <c r="J51" s="63">
        <v>4290</v>
      </c>
      <c r="K51" s="63">
        <v>4299</v>
      </c>
      <c r="L51" s="63">
        <v>4344</v>
      </c>
      <c r="M51" s="63">
        <v>4345</v>
      </c>
      <c r="N51" s="63">
        <v>4324</v>
      </c>
      <c r="O51" s="63">
        <v>4431</v>
      </c>
      <c r="Q51" s="38" t="s">
        <v>4368</v>
      </c>
    </row>
    <row r="52" spans="1:17">
      <c r="A52" s="38" t="s">
        <v>5424</v>
      </c>
      <c r="B52" s="38" t="s">
        <v>5883</v>
      </c>
      <c r="C52" s="55" t="s">
        <v>8779</v>
      </c>
      <c r="D52" s="718">
        <v>4207</v>
      </c>
      <c r="E52" s="718">
        <v>4191</v>
      </c>
      <c r="F52" s="718">
        <v>4205</v>
      </c>
      <c r="G52" s="63">
        <v>4212</v>
      </c>
      <c r="H52" s="63">
        <v>4215</v>
      </c>
      <c r="I52" s="63">
        <v>4179</v>
      </c>
      <c r="J52" s="63">
        <v>4278</v>
      </c>
      <c r="K52" s="63">
        <v>4096</v>
      </c>
      <c r="L52" s="63">
        <v>4104</v>
      </c>
      <c r="M52" s="63">
        <v>4058</v>
      </c>
      <c r="N52" s="63">
        <v>4174</v>
      </c>
      <c r="O52" s="63">
        <v>4170</v>
      </c>
      <c r="Q52" s="38" t="s">
        <v>4368</v>
      </c>
    </row>
    <row r="53" spans="1:17">
      <c r="A53" s="38" t="s">
        <v>5426</v>
      </c>
      <c r="B53" s="38" t="s">
        <v>1645</v>
      </c>
      <c r="C53" s="55" t="s">
        <v>8780</v>
      </c>
      <c r="D53" s="718">
        <v>5105</v>
      </c>
      <c r="E53" s="718">
        <v>5111</v>
      </c>
      <c r="F53" s="718">
        <v>5072</v>
      </c>
      <c r="G53" s="63">
        <v>5047</v>
      </c>
      <c r="H53" s="63">
        <v>4986</v>
      </c>
      <c r="I53" s="63">
        <v>4609</v>
      </c>
      <c r="J53" s="63">
        <v>4703</v>
      </c>
      <c r="K53" s="63">
        <v>4626</v>
      </c>
      <c r="L53" s="63">
        <v>4735</v>
      </c>
      <c r="M53" s="63">
        <v>4651</v>
      </c>
      <c r="N53" s="63">
        <v>4693</v>
      </c>
      <c r="O53" s="63">
        <v>4942</v>
      </c>
      <c r="Q53" s="38" t="s">
        <v>4368</v>
      </c>
    </row>
    <row r="54" spans="1:17">
      <c r="A54" s="38" t="s">
        <v>5428</v>
      </c>
      <c r="B54" s="38" t="s">
        <v>6724</v>
      </c>
      <c r="C54" s="55" t="s">
        <v>8781</v>
      </c>
      <c r="D54" s="718">
        <v>4123</v>
      </c>
      <c r="E54" s="718">
        <v>4039</v>
      </c>
      <c r="F54" s="718">
        <v>4009</v>
      </c>
      <c r="G54" s="63">
        <v>4008</v>
      </c>
      <c r="H54" s="63">
        <v>4108</v>
      </c>
      <c r="I54" s="63">
        <v>4099</v>
      </c>
      <c r="J54" s="63">
        <v>4344</v>
      </c>
      <c r="K54" s="63">
        <v>4300</v>
      </c>
      <c r="L54" s="63">
        <v>4508</v>
      </c>
      <c r="M54" s="63">
        <v>4356</v>
      </c>
      <c r="N54" s="63">
        <v>4446</v>
      </c>
      <c r="O54" s="63">
        <v>4725</v>
      </c>
      <c r="Q54" s="38" t="s">
        <v>4368</v>
      </c>
    </row>
    <row r="55" spans="1:17">
      <c r="A55" s="38" t="s">
        <v>5429</v>
      </c>
      <c r="B55" s="38" t="s">
        <v>6725</v>
      </c>
      <c r="C55" s="55" t="s">
        <v>8782</v>
      </c>
      <c r="D55" s="724">
        <v>4593</v>
      </c>
      <c r="E55" s="724">
        <v>4578</v>
      </c>
      <c r="F55" s="724">
        <v>4567</v>
      </c>
      <c r="G55" s="63">
        <v>4576</v>
      </c>
      <c r="H55" s="63">
        <v>4502</v>
      </c>
      <c r="I55" s="63">
        <v>4262</v>
      </c>
      <c r="J55" s="63">
        <v>4389</v>
      </c>
      <c r="K55" s="63">
        <v>4363</v>
      </c>
      <c r="L55" s="63">
        <v>4448</v>
      </c>
      <c r="M55" s="63">
        <v>4471</v>
      </c>
      <c r="N55" s="63">
        <v>4627</v>
      </c>
      <c r="O55" s="63">
        <v>4883</v>
      </c>
      <c r="Q55" s="38" t="s">
        <v>4376</v>
      </c>
    </row>
    <row r="56" spans="1:17">
      <c r="A56" s="38" t="s">
        <v>5431</v>
      </c>
      <c r="B56" s="38" t="s">
        <v>6726</v>
      </c>
      <c r="C56" s="55" t="s">
        <v>8783</v>
      </c>
      <c r="D56" s="718">
        <v>4562</v>
      </c>
      <c r="E56" s="718">
        <v>4515</v>
      </c>
      <c r="F56" s="718">
        <v>4477</v>
      </c>
      <c r="G56" s="63">
        <v>4526</v>
      </c>
      <c r="H56" s="63">
        <v>4497</v>
      </c>
      <c r="I56" s="63">
        <v>4420</v>
      </c>
      <c r="J56" s="63">
        <v>4533</v>
      </c>
      <c r="K56" s="63">
        <v>4457</v>
      </c>
      <c r="L56" s="63">
        <v>4595</v>
      </c>
      <c r="M56" s="63">
        <v>4603</v>
      </c>
      <c r="N56" s="63">
        <v>4565</v>
      </c>
      <c r="O56" s="63">
        <v>4646</v>
      </c>
      <c r="Q56" s="38" t="s">
        <v>4368</v>
      </c>
    </row>
    <row r="57" spans="1:17">
      <c r="A57" s="725">
        <v>15</v>
      </c>
      <c r="B57" s="38" t="s">
        <v>6727</v>
      </c>
      <c r="C57" s="55" t="s">
        <v>8784</v>
      </c>
      <c r="D57" s="718">
        <v>4353</v>
      </c>
      <c r="E57" s="718">
        <v>4249</v>
      </c>
      <c r="F57" s="718">
        <v>4435</v>
      </c>
      <c r="G57" s="63">
        <v>4422</v>
      </c>
      <c r="H57" s="63">
        <v>4401</v>
      </c>
      <c r="I57" s="63">
        <v>3571</v>
      </c>
      <c r="J57" s="63">
        <v>3904</v>
      </c>
      <c r="K57" s="63">
        <v>3436</v>
      </c>
      <c r="L57" s="63">
        <v>3696</v>
      </c>
      <c r="M57" s="63">
        <v>3386</v>
      </c>
      <c r="N57" s="63">
        <v>3713</v>
      </c>
      <c r="O57" s="63">
        <v>4258</v>
      </c>
      <c r="Q57" s="38" t="s">
        <v>4368</v>
      </c>
    </row>
    <row r="58" spans="1:17">
      <c r="A58" s="725">
        <v>16</v>
      </c>
      <c r="B58" s="38" t="s">
        <v>6728</v>
      </c>
      <c r="C58" s="55" t="s">
        <v>8785</v>
      </c>
      <c r="D58" s="718">
        <v>4792</v>
      </c>
      <c r="E58" s="718">
        <v>4749</v>
      </c>
      <c r="F58" s="718">
        <v>4718</v>
      </c>
      <c r="G58" s="63">
        <v>4676</v>
      </c>
      <c r="H58" s="63">
        <v>4643</v>
      </c>
      <c r="I58" s="63">
        <v>4455</v>
      </c>
      <c r="J58" s="63">
        <v>4595</v>
      </c>
      <c r="K58" s="63">
        <v>4545</v>
      </c>
      <c r="L58" s="63">
        <v>4747</v>
      </c>
      <c r="M58" s="63">
        <v>4736</v>
      </c>
      <c r="N58" s="63">
        <v>4948</v>
      </c>
      <c r="O58" s="63">
        <v>5196</v>
      </c>
      <c r="Q58" s="38" t="s">
        <v>4368</v>
      </c>
    </row>
    <row r="59" spans="1:17">
      <c r="A59" s="725">
        <v>17</v>
      </c>
      <c r="B59" s="38" t="s">
        <v>6729</v>
      </c>
      <c r="C59" s="55" t="s">
        <v>8786</v>
      </c>
      <c r="D59" s="718">
        <v>4767</v>
      </c>
      <c r="E59" s="718">
        <v>4764</v>
      </c>
      <c r="F59" s="718">
        <v>4744</v>
      </c>
      <c r="G59" s="63">
        <v>4703</v>
      </c>
      <c r="H59" s="63">
        <v>4625</v>
      </c>
      <c r="I59" s="63">
        <v>4548</v>
      </c>
      <c r="J59" s="63">
        <v>4557</v>
      </c>
      <c r="K59" s="63">
        <v>4484</v>
      </c>
      <c r="L59" s="63">
        <v>4550</v>
      </c>
      <c r="M59" s="63">
        <v>4532</v>
      </c>
      <c r="N59" s="63">
        <v>4633</v>
      </c>
      <c r="O59" s="63">
        <v>4688</v>
      </c>
      <c r="Q59" s="38" t="s">
        <v>4368</v>
      </c>
    </row>
    <row r="60" spans="1:17">
      <c r="A60" s="725">
        <v>18</v>
      </c>
      <c r="B60" s="38" t="s">
        <v>6730</v>
      </c>
      <c r="C60" s="55" t="s">
        <v>8787</v>
      </c>
      <c r="D60" s="724">
        <v>4427</v>
      </c>
      <c r="E60" s="724">
        <v>4341</v>
      </c>
      <c r="F60" s="724">
        <v>4345</v>
      </c>
      <c r="G60" s="63">
        <v>4339</v>
      </c>
      <c r="H60" s="63">
        <v>4225</v>
      </c>
      <c r="I60" s="63">
        <v>4194</v>
      </c>
      <c r="J60" s="63">
        <v>4201</v>
      </c>
      <c r="K60" s="63">
        <v>4174</v>
      </c>
      <c r="L60" s="63">
        <v>4165</v>
      </c>
      <c r="M60" s="63">
        <v>4130</v>
      </c>
      <c r="N60" s="63">
        <v>4116</v>
      </c>
      <c r="O60" s="63">
        <v>4142</v>
      </c>
      <c r="Q60" s="38" t="s">
        <v>4376</v>
      </c>
    </row>
    <row r="61" spans="1:17">
      <c r="A61" s="725">
        <v>19</v>
      </c>
      <c r="B61" s="38" t="s">
        <v>6035</v>
      </c>
      <c r="C61" s="55" t="s">
        <v>8788</v>
      </c>
      <c r="D61" s="718">
        <v>4137</v>
      </c>
      <c r="E61" s="718">
        <v>4120</v>
      </c>
      <c r="F61" s="718">
        <v>4126</v>
      </c>
      <c r="G61" s="63">
        <v>4124</v>
      </c>
      <c r="H61" s="63">
        <v>4155</v>
      </c>
      <c r="I61" s="63">
        <v>4143</v>
      </c>
      <c r="J61" s="63">
        <v>4274</v>
      </c>
      <c r="K61" s="63">
        <v>4146</v>
      </c>
      <c r="L61" s="63">
        <v>4146</v>
      </c>
      <c r="M61" s="63">
        <v>4049</v>
      </c>
      <c r="N61" s="63">
        <v>4121</v>
      </c>
      <c r="O61" s="63">
        <v>4176</v>
      </c>
      <c r="Q61" s="38" t="s">
        <v>4368</v>
      </c>
    </row>
    <row r="62" spans="1:17">
      <c r="A62" s="725">
        <v>20</v>
      </c>
      <c r="B62" s="38" t="s">
        <v>4429</v>
      </c>
      <c r="C62" s="55" t="s">
        <v>8789</v>
      </c>
      <c r="D62" s="718">
        <v>4394</v>
      </c>
      <c r="E62" s="718">
        <v>4369</v>
      </c>
      <c r="F62" s="718">
        <v>4405</v>
      </c>
      <c r="G62" s="63">
        <v>4371</v>
      </c>
      <c r="H62" s="63">
        <v>4313</v>
      </c>
      <c r="I62" s="63">
        <v>4270</v>
      </c>
      <c r="J62" s="63">
        <v>4346</v>
      </c>
      <c r="K62" s="63">
        <v>4311</v>
      </c>
      <c r="L62" s="63">
        <v>4242</v>
      </c>
      <c r="M62" s="63">
        <v>4276</v>
      </c>
      <c r="N62" s="63">
        <v>4322</v>
      </c>
      <c r="O62" s="63">
        <v>4353</v>
      </c>
      <c r="Q62" s="38" t="s">
        <v>4368</v>
      </c>
    </row>
    <row r="63" spans="1:17">
      <c r="D63" s="718"/>
      <c r="E63" s="718"/>
      <c r="F63" s="718"/>
      <c r="G63" s="718"/>
      <c r="H63" s="718"/>
      <c r="I63" s="718"/>
      <c r="J63" s="718"/>
      <c r="K63" s="718"/>
      <c r="L63" s="718"/>
      <c r="M63" s="718"/>
      <c r="N63" s="718"/>
      <c r="O63" s="718"/>
      <c r="Q63" s="38"/>
    </row>
    <row r="64" spans="1:17">
      <c r="A64" s="38" t="s">
        <v>4368</v>
      </c>
      <c r="D64" s="718">
        <f t="shared" ref="D64:I64" si="50">SUM(D43:D54)+SUM(D56:D59)+D61+D62</f>
        <v>78469</v>
      </c>
      <c r="E64" s="718">
        <f t="shared" si="50"/>
        <v>77937</v>
      </c>
      <c r="F64" s="718">
        <f t="shared" si="50"/>
        <v>77929</v>
      </c>
      <c r="G64" s="718">
        <f t="shared" si="50"/>
        <v>77939</v>
      </c>
      <c r="H64" s="718">
        <f t="shared" si="50"/>
        <v>77605</v>
      </c>
      <c r="I64" s="718">
        <f t="shared" si="50"/>
        <v>74891</v>
      </c>
      <c r="J64" s="718">
        <f t="shared" ref="J64:O64" si="51">SUM(J43:J54)+SUM(J56:J59)+J61+J62</f>
        <v>77222</v>
      </c>
      <c r="K64" s="718">
        <f t="shared" si="51"/>
        <v>75351</v>
      </c>
      <c r="L64" s="718">
        <f t="shared" si="51"/>
        <v>76708</v>
      </c>
      <c r="M64" s="718">
        <f t="shared" si="51"/>
        <v>75535</v>
      </c>
      <c r="N64" s="718">
        <f t="shared" si="51"/>
        <v>77267</v>
      </c>
      <c r="O64" s="718">
        <f t="shared" si="51"/>
        <v>79980</v>
      </c>
    </row>
    <row r="65" spans="1:17">
      <c r="A65" s="38" t="s">
        <v>4430</v>
      </c>
      <c r="D65" s="718">
        <f t="shared" ref="D65:I65" si="52">D55+D60</f>
        <v>9020</v>
      </c>
      <c r="E65" s="718">
        <f t="shared" si="52"/>
        <v>8919</v>
      </c>
      <c r="F65" s="718">
        <f t="shared" si="52"/>
        <v>8912</v>
      </c>
      <c r="G65" s="718">
        <f t="shared" si="52"/>
        <v>8915</v>
      </c>
      <c r="H65" s="718">
        <f t="shared" si="52"/>
        <v>8727</v>
      </c>
      <c r="I65" s="718">
        <f t="shared" si="52"/>
        <v>8456</v>
      </c>
      <c r="J65" s="718">
        <f t="shared" ref="J65:O65" si="53">J55+J60</f>
        <v>8590</v>
      </c>
      <c r="K65" s="718">
        <f t="shared" si="53"/>
        <v>8537</v>
      </c>
      <c r="L65" s="718">
        <f t="shared" si="53"/>
        <v>8613</v>
      </c>
      <c r="M65" s="718">
        <f t="shared" si="53"/>
        <v>8601</v>
      </c>
      <c r="N65" s="718">
        <f t="shared" si="53"/>
        <v>8743</v>
      </c>
      <c r="O65" s="718">
        <f t="shared" si="53"/>
        <v>9025</v>
      </c>
    </row>
    <row r="66" spans="1:17">
      <c r="A66" s="38"/>
      <c r="D66" s="718"/>
      <c r="E66" s="718"/>
      <c r="F66" s="718"/>
      <c r="G66" s="718"/>
      <c r="H66" s="718"/>
      <c r="I66" s="718"/>
      <c r="J66" s="718"/>
      <c r="K66" s="718"/>
      <c r="L66" s="718"/>
      <c r="M66" s="718"/>
      <c r="N66" s="718"/>
      <c r="O66" s="718"/>
    </row>
    <row r="67" spans="1:17">
      <c r="A67" s="38" t="s">
        <v>5982</v>
      </c>
      <c r="D67" s="718"/>
      <c r="E67" s="718"/>
      <c r="F67" s="718"/>
      <c r="G67" s="718"/>
      <c r="H67" s="718"/>
      <c r="I67" s="718"/>
      <c r="J67" s="718"/>
      <c r="K67" s="718"/>
      <c r="L67" s="718"/>
      <c r="M67" s="718"/>
      <c r="N67" s="718"/>
      <c r="O67" s="718"/>
    </row>
    <row r="68" spans="1:17">
      <c r="A68" s="38"/>
      <c r="B68" s="38"/>
      <c r="D68" s="726"/>
      <c r="E68" s="726"/>
      <c r="F68" s="726"/>
      <c r="G68" s="726"/>
      <c r="H68" s="726"/>
      <c r="I68" s="726"/>
      <c r="J68" s="726"/>
      <c r="K68" s="726"/>
      <c r="L68" s="726"/>
      <c r="M68" s="726"/>
      <c r="N68" s="726"/>
      <c r="O68" s="726"/>
    </row>
    <row r="69" spans="1:17">
      <c r="A69" s="38"/>
      <c r="B69" s="38"/>
      <c r="D69" s="726"/>
      <c r="E69" s="726"/>
      <c r="F69" s="726"/>
      <c r="G69" s="726"/>
      <c r="H69" s="726"/>
      <c r="I69" s="726"/>
      <c r="J69" s="726"/>
      <c r="K69" s="726"/>
      <c r="L69" s="726"/>
      <c r="M69" s="726"/>
      <c r="N69" s="726"/>
      <c r="O69" s="726"/>
    </row>
    <row r="70" spans="1:17">
      <c r="E70" s="51" t="s">
        <v>1526</v>
      </c>
      <c r="F70" s="51"/>
      <c r="G70" s="51"/>
      <c r="H70" s="51"/>
      <c r="I70" s="51"/>
      <c r="J70" s="51"/>
      <c r="K70" s="51"/>
      <c r="L70" s="51"/>
      <c r="M70" s="51"/>
      <c r="N70" s="51"/>
      <c r="O70" s="51"/>
      <c r="P70" s="52"/>
      <c r="Q70" s="53" t="s">
        <v>9479</v>
      </c>
    </row>
    <row r="71" spans="1:17">
      <c r="D71" s="40">
        <v>2010</v>
      </c>
      <c r="E71" s="40">
        <v>2011</v>
      </c>
      <c r="F71" s="40">
        <v>2012</v>
      </c>
      <c r="G71" s="40">
        <v>2013</v>
      </c>
      <c r="H71" s="40">
        <v>2014</v>
      </c>
      <c r="I71" s="40">
        <v>2015</v>
      </c>
      <c r="J71" s="40">
        <v>2016</v>
      </c>
      <c r="K71" s="40">
        <v>2017</v>
      </c>
      <c r="L71" s="40">
        <v>2018</v>
      </c>
      <c r="M71" s="40">
        <v>2019</v>
      </c>
      <c r="N71" s="40">
        <v>2020</v>
      </c>
      <c r="O71" s="976" t="s">
        <v>14823</v>
      </c>
      <c r="P71" s="52"/>
      <c r="Q71" s="54" t="s">
        <v>1527</v>
      </c>
    </row>
    <row r="72" spans="1:17">
      <c r="A72" s="38" t="s">
        <v>5983</v>
      </c>
      <c r="D72" s="718">
        <f>SUM(D73:D104)</f>
        <v>66804</v>
      </c>
      <c r="E72" s="718">
        <f t="shared" ref="E72:J72" si="54">SUM(E73:E104)</f>
        <v>68087</v>
      </c>
      <c r="F72" s="718">
        <f t="shared" si="54"/>
        <v>68019</v>
      </c>
      <c r="G72" s="718">
        <f t="shared" si="54"/>
        <v>67966</v>
      </c>
      <c r="H72" s="718">
        <f t="shared" si="54"/>
        <v>67770</v>
      </c>
      <c r="I72" s="718">
        <f t="shared" si="54"/>
        <v>66739</v>
      </c>
      <c r="J72" s="718">
        <f t="shared" si="54"/>
        <v>65825</v>
      </c>
      <c r="K72" s="718">
        <f>SUM(K73:K104)</f>
        <v>67478</v>
      </c>
      <c r="L72" s="718">
        <f>SUM(L73:L104)</f>
        <v>68969</v>
      </c>
      <c r="M72" s="718">
        <f>SUM(M73:M104)</f>
        <v>68984</v>
      </c>
      <c r="N72" s="718">
        <f>SUM(N73:N104)</f>
        <v>69945</v>
      </c>
      <c r="O72" s="718">
        <f>SUM(O73:O104)</f>
        <v>71234</v>
      </c>
      <c r="P72" s="718"/>
    </row>
    <row r="73" spans="1:17">
      <c r="A73" s="38" t="s">
        <v>5387</v>
      </c>
      <c r="B73" s="38" t="s">
        <v>6402</v>
      </c>
      <c r="C73" s="55" t="s">
        <v>10697</v>
      </c>
      <c r="D73" s="718">
        <v>66804</v>
      </c>
      <c r="E73" s="718">
        <v>68087</v>
      </c>
      <c r="F73" s="718">
        <v>68019</v>
      </c>
      <c r="G73" s="56">
        <v>67966</v>
      </c>
      <c r="H73" s="56">
        <v>67770</v>
      </c>
      <c r="I73" s="56">
        <v>66739</v>
      </c>
      <c r="J73" s="56">
        <v>1859</v>
      </c>
      <c r="K73" s="56">
        <v>1885</v>
      </c>
      <c r="L73" s="56">
        <v>1921</v>
      </c>
      <c r="M73" s="56">
        <v>1921</v>
      </c>
      <c r="N73" s="56">
        <v>1982</v>
      </c>
      <c r="O73" s="56">
        <v>1979</v>
      </c>
      <c r="Q73" s="38" t="s">
        <v>4377</v>
      </c>
    </row>
    <row r="74" spans="1:17">
      <c r="A74" s="38" t="s">
        <v>5389</v>
      </c>
      <c r="B74" s="38" t="s">
        <v>5990</v>
      </c>
      <c r="C74" s="55" t="s">
        <v>10698</v>
      </c>
      <c r="D74" s="56">
        <v>0</v>
      </c>
      <c r="E74" s="56">
        <v>0</v>
      </c>
      <c r="F74" s="56">
        <v>0</v>
      </c>
      <c r="G74" s="56">
        <v>0</v>
      </c>
      <c r="H74" s="56">
        <v>0</v>
      </c>
      <c r="I74" s="56">
        <v>0</v>
      </c>
      <c r="J74" s="56">
        <v>2121</v>
      </c>
      <c r="K74" s="56">
        <v>2120</v>
      </c>
      <c r="L74" s="56">
        <v>2120</v>
      </c>
      <c r="M74" s="56">
        <v>2120</v>
      </c>
      <c r="N74" s="56">
        <v>2114</v>
      </c>
      <c r="O74" s="56">
        <v>2139</v>
      </c>
      <c r="Q74" s="38" t="s">
        <v>4377</v>
      </c>
    </row>
    <row r="75" spans="1:17">
      <c r="A75" s="38" t="s">
        <v>5391</v>
      </c>
      <c r="B75" s="38" t="s">
        <v>10738</v>
      </c>
      <c r="C75" s="55" t="s">
        <v>10699</v>
      </c>
      <c r="D75" s="56">
        <v>0</v>
      </c>
      <c r="E75" s="56">
        <v>0</v>
      </c>
      <c r="F75" s="56">
        <v>0</v>
      </c>
      <c r="G75" s="56">
        <v>0</v>
      </c>
      <c r="H75" s="56">
        <v>0</v>
      </c>
      <c r="I75" s="56">
        <v>0</v>
      </c>
      <c r="J75" s="56">
        <v>2164</v>
      </c>
      <c r="K75" s="56">
        <v>2207</v>
      </c>
      <c r="L75" s="56">
        <v>2185</v>
      </c>
      <c r="M75" s="56">
        <v>2185</v>
      </c>
      <c r="N75" s="56">
        <v>2136</v>
      </c>
      <c r="O75" s="56">
        <v>2179</v>
      </c>
      <c r="Q75" s="38" t="s">
        <v>4377</v>
      </c>
    </row>
    <row r="76" spans="1:17">
      <c r="A76" s="38" t="s">
        <v>5393</v>
      </c>
      <c r="B76" s="38" t="s">
        <v>10739</v>
      </c>
      <c r="C76" s="55" t="s">
        <v>10700</v>
      </c>
      <c r="D76" s="56">
        <v>0</v>
      </c>
      <c r="E76" s="56">
        <v>0</v>
      </c>
      <c r="F76" s="56">
        <v>0</v>
      </c>
      <c r="G76" s="56">
        <v>0</v>
      </c>
      <c r="H76" s="56">
        <v>0</v>
      </c>
      <c r="I76" s="56">
        <v>0</v>
      </c>
      <c r="J76" s="56">
        <v>1989</v>
      </c>
      <c r="K76" s="56">
        <v>2066</v>
      </c>
      <c r="L76" s="56">
        <v>2229</v>
      </c>
      <c r="M76" s="56">
        <v>2231</v>
      </c>
      <c r="N76" s="56">
        <v>2363</v>
      </c>
      <c r="O76" s="56">
        <v>2416</v>
      </c>
      <c r="Q76" s="38" t="s">
        <v>4377</v>
      </c>
    </row>
    <row r="77" spans="1:17">
      <c r="A77" s="38" t="s">
        <v>5394</v>
      </c>
      <c r="B77" s="38" t="s">
        <v>10740</v>
      </c>
      <c r="C77" s="55" t="s">
        <v>10701</v>
      </c>
      <c r="D77" s="56">
        <v>0</v>
      </c>
      <c r="E77" s="56">
        <v>0</v>
      </c>
      <c r="F77" s="56">
        <v>0</v>
      </c>
      <c r="G77" s="56">
        <v>0</v>
      </c>
      <c r="H77" s="56">
        <v>0</v>
      </c>
      <c r="I77" s="56">
        <v>0</v>
      </c>
      <c r="J77" s="56">
        <v>4331</v>
      </c>
      <c r="K77" s="56">
        <v>4398</v>
      </c>
      <c r="L77" s="56">
        <v>4622</v>
      </c>
      <c r="M77" s="56">
        <v>4622</v>
      </c>
      <c r="N77" s="56">
        <v>4783</v>
      </c>
      <c r="O77" s="56">
        <v>4880</v>
      </c>
      <c r="Q77" s="38" t="s">
        <v>4377</v>
      </c>
    </row>
    <row r="78" spans="1:17">
      <c r="A78" s="38" t="s">
        <v>5416</v>
      </c>
      <c r="B78" s="38" t="s">
        <v>10741</v>
      </c>
      <c r="C78" s="55" t="s">
        <v>10702</v>
      </c>
      <c r="D78" s="56">
        <v>0</v>
      </c>
      <c r="E78" s="56">
        <v>0</v>
      </c>
      <c r="F78" s="56">
        <v>0</v>
      </c>
      <c r="G78" s="56">
        <v>0</v>
      </c>
      <c r="H78" s="56">
        <v>0</v>
      </c>
      <c r="I78" s="56">
        <v>0</v>
      </c>
      <c r="J78" s="56">
        <v>1975</v>
      </c>
      <c r="K78" s="56">
        <v>1982</v>
      </c>
      <c r="L78" s="56">
        <v>1989</v>
      </c>
      <c r="M78" s="56">
        <v>1990</v>
      </c>
      <c r="N78" s="56">
        <v>1996</v>
      </c>
      <c r="O78" s="56">
        <v>2020</v>
      </c>
      <c r="Q78" s="38" t="s">
        <v>4377</v>
      </c>
    </row>
    <row r="79" spans="1:17">
      <c r="A79" s="723">
        <v>7</v>
      </c>
      <c r="B79" s="38" t="s">
        <v>1698</v>
      </c>
      <c r="C79" s="55" t="s">
        <v>10703</v>
      </c>
      <c r="D79" s="56">
        <v>0</v>
      </c>
      <c r="E79" s="56">
        <v>0</v>
      </c>
      <c r="F79" s="56">
        <v>0</v>
      </c>
      <c r="G79" s="56">
        <v>0</v>
      </c>
      <c r="H79" s="56">
        <v>0</v>
      </c>
      <c r="I79" s="56">
        <v>0</v>
      </c>
      <c r="J79" s="56">
        <v>1814</v>
      </c>
      <c r="K79" s="56">
        <v>1843</v>
      </c>
      <c r="L79" s="56">
        <v>1850</v>
      </c>
      <c r="M79" s="56">
        <v>1850</v>
      </c>
      <c r="N79" s="56">
        <v>1838</v>
      </c>
      <c r="O79" s="56">
        <v>1868</v>
      </c>
      <c r="Q79" s="38" t="s">
        <v>4377</v>
      </c>
    </row>
    <row r="80" spans="1:17">
      <c r="A80" s="723">
        <v>8</v>
      </c>
      <c r="B80" s="38" t="s">
        <v>10742</v>
      </c>
      <c r="C80" s="55" t="s">
        <v>10704</v>
      </c>
      <c r="D80" s="56">
        <v>0</v>
      </c>
      <c r="E80" s="56">
        <v>0</v>
      </c>
      <c r="F80" s="56">
        <v>0</v>
      </c>
      <c r="G80" s="56">
        <v>0</v>
      </c>
      <c r="H80" s="56">
        <v>0</v>
      </c>
      <c r="I80" s="56">
        <v>0</v>
      </c>
      <c r="J80" s="56">
        <v>1948</v>
      </c>
      <c r="K80" s="56">
        <v>2032</v>
      </c>
      <c r="L80" s="56">
        <v>2032</v>
      </c>
      <c r="M80" s="56">
        <v>2032</v>
      </c>
      <c r="N80" s="56">
        <v>2002</v>
      </c>
      <c r="O80" s="56">
        <v>2044</v>
      </c>
      <c r="Q80" s="38" t="s">
        <v>4377</v>
      </c>
    </row>
    <row r="81" spans="1:17">
      <c r="A81" s="723">
        <v>9</v>
      </c>
      <c r="B81" s="38" t="s">
        <v>3138</v>
      </c>
      <c r="C81" s="55" t="s">
        <v>10705</v>
      </c>
      <c r="D81" s="56">
        <v>0</v>
      </c>
      <c r="E81" s="56">
        <v>0</v>
      </c>
      <c r="F81" s="56">
        <v>0</v>
      </c>
      <c r="G81" s="56">
        <v>0</v>
      </c>
      <c r="H81" s="56">
        <v>0</v>
      </c>
      <c r="I81" s="56">
        <v>0</v>
      </c>
      <c r="J81" s="56">
        <v>1994</v>
      </c>
      <c r="K81" s="56">
        <v>2005</v>
      </c>
      <c r="L81" s="56">
        <v>2028</v>
      </c>
      <c r="M81" s="56">
        <v>2028</v>
      </c>
      <c r="N81" s="56">
        <v>2007</v>
      </c>
      <c r="O81" s="56">
        <v>2057</v>
      </c>
      <c r="Q81" s="38" t="s">
        <v>4377</v>
      </c>
    </row>
    <row r="82" spans="1:17">
      <c r="A82" s="723">
        <v>10</v>
      </c>
      <c r="B82" s="38" t="s">
        <v>10743</v>
      </c>
      <c r="C82" s="55" t="s">
        <v>10706</v>
      </c>
      <c r="D82" s="56">
        <v>0</v>
      </c>
      <c r="E82" s="56">
        <v>0</v>
      </c>
      <c r="F82" s="56">
        <v>0</v>
      </c>
      <c r="G82" s="56">
        <v>0</v>
      </c>
      <c r="H82" s="56">
        <v>0</v>
      </c>
      <c r="I82" s="56">
        <v>0</v>
      </c>
      <c r="J82" s="56">
        <v>1825</v>
      </c>
      <c r="K82" s="56">
        <v>1922</v>
      </c>
      <c r="L82" s="56">
        <v>1985</v>
      </c>
      <c r="M82" s="56">
        <v>1986</v>
      </c>
      <c r="N82" s="56">
        <v>1962</v>
      </c>
      <c r="O82" s="56">
        <v>1996</v>
      </c>
      <c r="Q82" s="38" t="s">
        <v>4377</v>
      </c>
    </row>
    <row r="83" spans="1:17">
      <c r="A83" s="723">
        <v>11</v>
      </c>
      <c r="B83" s="38" t="s">
        <v>1662</v>
      </c>
      <c r="C83" s="55" t="s">
        <v>10707</v>
      </c>
      <c r="D83" s="56">
        <v>0</v>
      </c>
      <c r="E83" s="56">
        <v>0</v>
      </c>
      <c r="F83" s="56">
        <v>0</v>
      </c>
      <c r="G83" s="56">
        <v>0</v>
      </c>
      <c r="H83" s="56">
        <v>0</v>
      </c>
      <c r="I83" s="56">
        <v>0</v>
      </c>
      <c r="J83" s="56">
        <v>2065</v>
      </c>
      <c r="K83" s="56">
        <v>2106</v>
      </c>
      <c r="L83" s="56">
        <v>2129</v>
      </c>
      <c r="M83" s="56">
        <v>2131</v>
      </c>
      <c r="N83" s="56">
        <v>2099</v>
      </c>
      <c r="O83" s="56">
        <v>2146</v>
      </c>
      <c r="Q83" s="38" t="s">
        <v>4377</v>
      </c>
    </row>
    <row r="84" spans="1:17">
      <c r="A84" s="723">
        <v>12</v>
      </c>
      <c r="B84" s="157" t="s">
        <v>10750</v>
      </c>
      <c r="C84" s="55" t="s">
        <v>10708</v>
      </c>
      <c r="D84" s="56">
        <v>0</v>
      </c>
      <c r="E84" s="56">
        <v>0</v>
      </c>
      <c r="F84" s="56">
        <v>0</v>
      </c>
      <c r="G84" s="56">
        <v>0</v>
      </c>
      <c r="H84" s="56">
        <v>0</v>
      </c>
      <c r="I84" s="56">
        <v>0</v>
      </c>
      <c r="J84" s="56">
        <v>1431</v>
      </c>
      <c r="K84" s="56">
        <v>1445</v>
      </c>
      <c r="L84" s="56">
        <v>1515</v>
      </c>
      <c r="M84" s="56">
        <v>1543</v>
      </c>
      <c r="N84" s="56">
        <v>1527</v>
      </c>
      <c r="O84" s="56">
        <v>1544</v>
      </c>
      <c r="Q84" s="38" t="s">
        <v>4377</v>
      </c>
    </row>
    <row r="85" spans="1:17">
      <c r="A85" s="38" t="s">
        <v>5429</v>
      </c>
      <c r="B85" s="38" t="s">
        <v>10744</v>
      </c>
      <c r="C85" s="55" t="s">
        <v>10709</v>
      </c>
      <c r="D85" s="56">
        <v>0</v>
      </c>
      <c r="E85" s="56">
        <v>0</v>
      </c>
      <c r="F85" s="56">
        <v>0</v>
      </c>
      <c r="G85" s="56">
        <v>0</v>
      </c>
      <c r="H85" s="56">
        <v>0</v>
      </c>
      <c r="I85" s="56">
        <v>0</v>
      </c>
      <c r="J85" s="56">
        <v>2005</v>
      </c>
      <c r="K85" s="56">
        <v>2044</v>
      </c>
      <c r="L85" s="56">
        <v>2071</v>
      </c>
      <c r="M85" s="56">
        <v>2071</v>
      </c>
      <c r="N85" s="56">
        <v>2028</v>
      </c>
      <c r="O85" s="56">
        <v>2044</v>
      </c>
      <c r="Q85" s="38" t="s">
        <v>4377</v>
      </c>
    </row>
    <row r="86" spans="1:17">
      <c r="A86" s="38" t="s">
        <v>5431</v>
      </c>
      <c r="B86" s="38" t="s">
        <v>10745</v>
      </c>
      <c r="C86" s="55" t="s">
        <v>10710</v>
      </c>
      <c r="D86" s="56">
        <v>0</v>
      </c>
      <c r="E86" s="56">
        <v>0</v>
      </c>
      <c r="F86" s="56">
        <v>0</v>
      </c>
      <c r="G86" s="56">
        <v>0</v>
      </c>
      <c r="H86" s="56">
        <v>0</v>
      </c>
      <c r="I86" s="56">
        <v>0</v>
      </c>
      <c r="J86" s="56">
        <v>2003</v>
      </c>
      <c r="K86" s="56">
        <v>2040</v>
      </c>
      <c r="L86" s="56">
        <v>2081</v>
      </c>
      <c r="M86" s="56">
        <v>2081</v>
      </c>
      <c r="N86" s="56">
        <v>2118</v>
      </c>
      <c r="O86" s="56">
        <v>2162</v>
      </c>
      <c r="Q86" s="38" t="s">
        <v>4377</v>
      </c>
    </row>
    <row r="87" spans="1:17">
      <c r="A87" s="38" t="s">
        <v>5433</v>
      </c>
      <c r="B87" s="38" t="s">
        <v>10746</v>
      </c>
      <c r="C87" s="55" t="s">
        <v>10711</v>
      </c>
      <c r="D87" s="56">
        <v>0</v>
      </c>
      <c r="E87" s="56">
        <v>0</v>
      </c>
      <c r="F87" s="56">
        <v>0</v>
      </c>
      <c r="G87" s="56">
        <v>0</v>
      </c>
      <c r="H87" s="56">
        <v>0</v>
      </c>
      <c r="I87" s="56">
        <v>0</v>
      </c>
      <c r="J87" s="56">
        <v>4184</v>
      </c>
      <c r="K87" s="56">
        <v>4357</v>
      </c>
      <c r="L87" s="56">
        <v>4669</v>
      </c>
      <c r="M87" s="56">
        <v>4670</v>
      </c>
      <c r="N87" s="56">
        <v>4794</v>
      </c>
      <c r="O87" s="56">
        <v>4873</v>
      </c>
      <c r="Q87" s="38" t="s">
        <v>4377</v>
      </c>
    </row>
    <row r="88" spans="1:17">
      <c r="A88" s="38" t="s">
        <v>5435</v>
      </c>
      <c r="B88" s="38" t="s">
        <v>10747</v>
      </c>
      <c r="C88" s="55" t="s">
        <v>10712</v>
      </c>
      <c r="D88" s="58">
        <v>0</v>
      </c>
      <c r="E88" s="58">
        <v>0</v>
      </c>
      <c r="F88" s="58">
        <v>0</v>
      </c>
      <c r="G88" s="58">
        <v>0</v>
      </c>
      <c r="H88" s="58">
        <v>0</v>
      </c>
      <c r="I88" s="58">
        <v>0</v>
      </c>
      <c r="J88" s="58">
        <v>1897</v>
      </c>
      <c r="K88" s="58">
        <v>1973</v>
      </c>
      <c r="L88" s="58">
        <v>2063</v>
      </c>
      <c r="M88" s="58">
        <v>2066</v>
      </c>
      <c r="N88" s="58">
        <v>2348</v>
      </c>
      <c r="O88" s="58">
        <v>2397</v>
      </c>
      <c r="Q88" s="38" t="s">
        <v>4377</v>
      </c>
    </row>
    <row r="89" spans="1:17">
      <c r="A89" s="38" t="s">
        <v>5436</v>
      </c>
      <c r="B89" s="38" t="s">
        <v>10748</v>
      </c>
      <c r="C89" s="55" t="s">
        <v>10713</v>
      </c>
      <c r="D89" s="58">
        <v>0</v>
      </c>
      <c r="E89" s="58">
        <v>0</v>
      </c>
      <c r="F89" s="58">
        <v>0</v>
      </c>
      <c r="G89" s="58">
        <v>0</v>
      </c>
      <c r="H89" s="58">
        <v>0</v>
      </c>
      <c r="I89" s="58">
        <v>0</v>
      </c>
      <c r="J89" s="58">
        <v>1881</v>
      </c>
      <c r="K89" s="58">
        <v>1870</v>
      </c>
      <c r="L89" s="58">
        <v>1904</v>
      </c>
      <c r="M89" s="58">
        <v>1904</v>
      </c>
      <c r="N89" s="58">
        <v>1920</v>
      </c>
      <c r="O89" s="58">
        <v>1943</v>
      </c>
      <c r="Q89" s="38" t="s">
        <v>4377</v>
      </c>
    </row>
    <row r="90" spans="1:17">
      <c r="A90" s="38" t="s">
        <v>5437</v>
      </c>
      <c r="B90" s="38" t="s">
        <v>10749</v>
      </c>
      <c r="C90" s="55" t="s">
        <v>10714</v>
      </c>
      <c r="D90" s="58">
        <v>0</v>
      </c>
      <c r="E90" s="58">
        <v>0</v>
      </c>
      <c r="F90" s="58">
        <v>0</v>
      </c>
      <c r="G90" s="58">
        <v>0</v>
      </c>
      <c r="H90" s="58">
        <v>0</v>
      </c>
      <c r="I90" s="58">
        <v>0</v>
      </c>
      <c r="J90" s="58">
        <v>1848</v>
      </c>
      <c r="K90" s="58">
        <v>1904</v>
      </c>
      <c r="L90" s="58">
        <v>1884</v>
      </c>
      <c r="M90" s="58">
        <v>1884</v>
      </c>
      <c r="N90" s="58">
        <v>1831</v>
      </c>
      <c r="O90" s="58">
        <v>1863</v>
      </c>
      <c r="Q90" s="38" t="s">
        <v>4377</v>
      </c>
    </row>
    <row r="91" spans="1:17">
      <c r="A91" s="38" t="s">
        <v>5439</v>
      </c>
      <c r="B91" s="38" t="s">
        <v>1664</v>
      </c>
      <c r="C91" s="55" t="s">
        <v>10715</v>
      </c>
      <c r="D91" s="58">
        <v>0</v>
      </c>
      <c r="E91" s="58">
        <v>0</v>
      </c>
      <c r="F91" s="58">
        <v>0</v>
      </c>
      <c r="G91" s="58">
        <v>0</v>
      </c>
      <c r="H91" s="58">
        <v>0</v>
      </c>
      <c r="I91" s="58">
        <v>0</v>
      </c>
      <c r="J91" s="58">
        <v>2074</v>
      </c>
      <c r="K91" s="58">
        <v>2137</v>
      </c>
      <c r="L91" s="58">
        <v>2152</v>
      </c>
      <c r="M91" s="58">
        <v>2153</v>
      </c>
      <c r="N91" s="58">
        <v>2180</v>
      </c>
      <c r="O91" s="58">
        <v>2240</v>
      </c>
      <c r="Q91" s="38" t="s">
        <v>4377</v>
      </c>
    </row>
    <row r="92" spans="1:17">
      <c r="A92" s="38" t="s">
        <v>5441</v>
      </c>
      <c r="B92" s="38" t="s">
        <v>6913</v>
      </c>
      <c r="C92" s="55" t="s">
        <v>10716</v>
      </c>
      <c r="D92" s="58">
        <v>0</v>
      </c>
      <c r="E92" s="58">
        <v>0</v>
      </c>
      <c r="F92" s="58">
        <v>0</v>
      </c>
      <c r="G92" s="58">
        <v>0</v>
      </c>
      <c r="H92" s="58">
        <v>0</v>
      </c>
      <c r="I92" s="58">
        <v>0</v>
      </c>
      <c r="J92" s="58">
        <v>1857</v>
      </c>
      <c r="K92" s="58">
        <v>1860</v>
      </c>
      <c r="L92" s="58">
        <v>1870</v>
      </c>
      <c r="M92" s="58">
        <v>1864</v>
      </c>
      <c r="N92" s="58">
        <v>1792</v>
      </c>
      <c r="O92" s="58">
        <v>1828</v>
      </c>
      <c r="Q92" s="38" t="s">
        <v>4377</v>
      </c>
    </row>
    <row r="93" spans="1:17">
      <c r="A93" s="38" t="s">
        <v>5886</v>
      </c>
      <c r="B93" s="38" t="s">
        <v>1665</v>
      </c>
      <c r="C93" s="55" t="s">
        <v>10717</v>
      </c>
      <c r="D93" s="58">
        <v>0</v>
      </c>
      <c r="E93" s="58">
        <v>0</v>
      </c>
      <c r="F93" s="58">
        <v>0</v>
      </c>
      <c r="G93" s="58">
        <v>0</v>
      </c>
      <c r="H93" s="58">
        <v>0</v>
      </c>
      <c r="I93" s="58">
        <v>0</v>
      </c>
      <c r="J93" s="58">
        <v>2098</v>
      </c>
      <c r="K93" s="58">
        <v>2136</v>
      </c>
      <c r="L93" s="58">
        <v>2145</v>
      </c>
      <c r="M93" s="58">
        <v>2145</v>
      </c>
      <c r="N93" s="58">
        <v>2102</v>
      </c>
      <c r="O93" s="58">
        <v>2143</v>
      </c>
      <c r="Q93" s="38" t="s">
        <v>4377</v>
      </c>
    </row>
    <row r="94" spans="1:17">
      <c r="A94" s="38" t="s">
        <v>5888</v>
      </c>
      <c r="B94" s="38" t="s">
        <v>10737</v>
      </c>
      <c r="C94" s="55" t="s">
        <v>10718</v>
      </c>
      <c r="D94" s="58">
        <v>0</v>
      </c>
      <c r="E94" s="58">
        <v>0</v>
      </c>
      <c r="F94" s="58">
        <v>0</v>
      </c>
      <c r="G94" s="58">
        <v>0</v>
      </c>
      <c r="H94" s="58">
        <v>0</v>
      </c>
      <c r="I94" s="58">
        <v>0</v>
      </c>
      <c r="J94" s="58">
        <v>1887</v>
      </c>
      <c r="K94" s="58">
        <v>2021</v>
      </c>
      <c r="L94" s="58">
        <v>2068</v>
      </c>
      <c r="M94" s="58">
        <v>2071</v>
      </c>
      <c r="N94" s="58">
        <v>2135</v>
      </c>
      <c r="O94" s="58">
        <v>2226</v>
      </c>
      <c r="Q94" s="38" t="s">
        <v>4377</v>
      </c>
    </row>
    <row r="95" spans="1:17">
      <c r="A95" s="38" t="s">
        <v>5889</v>
      </c>
      <c r="B95" s="38" t="s">
        <v>10736</v>
      </c>
      <c r="C95" s="55" t="s">
        <v>10719</v>
      </c>
      <c r="D95" s="58">
        <v>0</v>
      </c>
      <c r="E95" s="58">
        <v>0</v>
      </c>
      <c r="F95" s="58">
        <v>0</v>
      </c>
      <c r="G95" s="58">
        <v>0</v>
      </c>
      <c r="H95" s="58">
        <v>0</v>
      </c>
      <c r="I95" s="58">
        <v>0</v>
      </c>
      <c r="J95" s="58">
        <v>1943</v>
      </c>
      <c r="K95" s="58">
        <v>2022</v>
      </c>
      <c r="L95" s="58">
        <v>2091</v>
      </c>
      <c r="M95" s="58">
        <v>2091</v>
      </c>
      <c r="N95" s="58">
        <v>2086</v>
      </c>
      <c r="O95" s="58">
        <v>2123</v>
      </c>
      <c r="Q95" s="38" t="s">
        <v>4377</v>
      </c>
    </row>
    <row r="96" spans="1:17">
      <c r="A96" s="38" t="s">
        <v>4431</v>
      </c>
      <c r="B96" s="38" t="s">
        <v>1613</v>
      </c>
      <c r="C96" s="55" t="s">
        <v>10720</v>
      </c>
      <c r="D96" s="58">
        <v>0</v>
      </c>
      <c r="E96" s="58">
        <v>0</v>
      </c>
      <c r="F96" s="58">
        <v>0</v>
      </c>
      <c r="G96" s="58">
        <v>0</v>
      </c>
      <c r="H96" s="58">
        <v>0</v>
      </c>
      <c r="I96" s="58">
        <v>0</v>
      </c>
      <c r="J96" s="58">
        <v>2081</v>
      </c>
      <c r="K96" s="58">
        <v>2051</v>
      </c>
      <c r="L96" s="58">
        <v>2083</v>
      </c>
      <c r="M96" s="58">
        <v>2083</v>
      </c>
      <c r="N96" s="58">
        <v>2047</v>
      </c>
      <c r="O96" s="58">
        <v>2082</v>
      </c>
      <c r="Q96" s="38" t="s">
        <v>4377</v>
      </c>
    </row>
    <row r="97" spans="1:17">
      <c r="A97" s="38" t="s">
        <v>4432</v>
      </c>
      <c r="B97" s="38" t="s">
        <v>3238</v>
      </c>
      <c r="C97" s="55" t="s">
        <v>10721</v>
      </c>
      <c r="D97" s="58">
        <v>0</v>
      </c>
      <c r="E97" s="58">
        <v>0</v>
      </c>
      <c r="F97" s="58">
        <v>0</v>
      </c>
      <c r="G97" s="58">
        <v>0</v>
      </c>
      <c r="H97" s="58">
        <v>0</v>
      </c>
      <c r="I97" s="58">
        <v>0</v>
      </c>
      <c r="J97" s="58">
        <v>2018</v>
      </c>
      <c r="K97" s="58">
        <v>2062</v>
      </c>
      <c r="L97" s="58">
        <v>2062</v>
      </c>
      <c r="M97" s="58">
        <v>2062</v>
      </c>
      <c r="N97" s="58">
        <v>2050</v>
      </c>
      <c r="O97" s="58">
        <v>2074</v>
      </c>
      <c r="Q97" s="38" t="s">
        <v>4377</v>
      </c>
    </row>
    <row r="98" spans="1:17">
      <c r="A98" s="38" t="s">
        <v>4434</v>
      </c>
      <c r="B98" s="38" t="s">
        <v>10735</v>
      </c>
      <c r="C98" s="55" t="s">
        <v>10722</v>
      </c>
      <c r="D98" s="58">
        <v>0</v>
      </c>
      <c r="E98" s="58">
        <v>0</v>
      </c>
      <c r="F98" s="58">
        <v>0</v>
      </c>
      <c r="G98" s="58">
        <v>0</v>
      </c>
      <c r="H98" s="58">
        <v>0</v>
      </c>
      <c r="I98" s="58">
        <v>0</v>
      </c>
      <c r="J98" s="58">
        <v>1549</v>
      </c>
      <c r="K98" s="58">
        <v>1645</v>
      </c>
      <c r="L98" s="58">
        <v>1752</v>
      </c>
      <c r="M98" s="58">
        <v>1752</v>
      </c>
      <c r="N98" s="58">
        <v>1931</v>
      </c>
      <c r="O98" s="58">
        <v>1991</v>
      </c>
      <c r="Q98" s="38" t="s">
        <v>4377</v>
      </c>
    </row>
    <row r="99" spans="1:17">
      <c r="A99" s="38" t="s">
        <v>4533</v>
      </c>
      <c r="B99" s="38" t="s">
        <v>10734</v>
      </c>
      <c r="C99" s="55" t="s">
        <v>10723</v>
      </c>
      <c r="D99" s="58">
        <v>0</v>
      </c>
      <c r="E99" s="58">
        <v>0</v>
      </c>
      <c r="F99" s="58">
        <v>0</v>
      </c>
      <c r="G99" s="58">
        <v>0</v>
      </c>
      <c r="H99" s="58">
        <v>0</v>
      </c>
      <c r="I99" s="58">
        <v>0</v>
      </c>
      <c r="J99" s="58">
        <v>1602</v>
      </c>
      <c r="K99" s="58">
        <v>1597</v>
      </c>
      <c r="L99" s="58">
        <v>1644</v>
      </c>
      <c r="M99" s="58">
        <v>1644</v>
      </c>
      <c r="N99" s="58">
        <v>1803</v>
      </c>
      <c r="O99" s="58">
        <v>1855</v>
      </c>
      <c r="Q99" s="38" t="s">
        <v>4377</v>
      </c>
    </row>
    <row r="100" spans="1:17">
      <c r="A100" s="38" t="s">
        <v>4535</v>
      </c>
      <c r="B100" s="38" t="s">
        <v>10733</v>
      </c>
      <c r="C100" s="55" t="s">
        <v>10724</v>
      </c>
      <c r="D100" s="58">
        <v>0</v>
      </c>
      <c r="E100" s="58">
        <v>0</v>
      </c>
      <c r="F100" s="58">
        <v>0</v>
      </c>
      <c r="G100" s="58">
        <v>0</v>
      </c>
      <c r="H100" s="58">
        <v>0</v>
      </c>
      <c r="I100" s="58">
        <v>0</v>
      </c>
      <c r="J100" s="58">
        <v>1686</v>
      </c>
      <c r="K100" s="58">
        <v>1685</v>
      </c>
      <c r="L100" s="58">
        <v>1661</v>
      </c>
      <c r="M100" s="58">
        <v>1661</v>
      </c>
      <c r="N100" s="58">
        <v>1654</v>
      </c>
      <c r="O100" s="58">
        <v>1667</v>
      </c>
      <c r="Q100" s="38" t="s">
        <v>4377</v>
      </c>
    </row>
    <row r="101" spans="1:17">
      <c r="A101" s="210">
        <v>29</v>
      </c>
      <c r="B101" s="38" t="s">
        <v>10732</v>
      </c>
      <c r="C101" s="55" t="s">
        <v>10725</v>
      </c>
      <c r="D101" s="58">
        <v>0</v>
      </c>
      <c r="E101" s="58">
        <v>0</v>
      </c>
      <c r="F101" s="58">
        <v>0</v>
      </c>
      <c r="G101" s="58">
        <v>0</v>
      </c>
      <c r="H101" s="58">
        <v>0</v>
      </c>
      <c r="I101" s="58">
        <v>0</v>
      </c>
      <c r="J101" s="58">
        <v>2133</v>
      </c>
      <c r="K101" s="58">
        <v>2188</v>
      </c>
      <c r="L101" s="58">
        <v>2176</v>
      </c>
      <c r="M101" s="58">
        <v>2176</v>
      </c>
      <c r="N101" s="58">
        <v>2172</v>
      </c>
      <c r="O101" s="58">
        <v>2206</v>
      </c>
      <c r="Q101" s="38" t="s">
        <v>4377</v>
      </c>
    </row>
    <row r="102" spans="1:17">
      <c r="A102" s="210">
        <v>30</v>
      </c>
      <c r="B102" s="38" t="s">
        <v>10731</v>
      </c>
      <c r="C102" s="55" t="s">
        <v>10726</v>
      </c>
      <c r="D102" s="58">
        <v>0</v>
      </c>
      <c r="E102" s="58">
        <v>0</v>
      </c>
      <c r="F102" s="58">
        <v>0</v>
      </c>
      <c r="G102" s="58">
        <v>0</v>
      </c>
      <c r="H102" s="58">
        <v>0</v>
      </c>
      <c r="I102" s="58">
        <v>0</v>
      </c>
      <c r="J102" s="58">
        <v>2023</v>
      </c>
      <c r="K102" s="58">
        <v>2099</v>
      </c>
      <c r="L102" s="58">
        <v>2111</v>
      </c>
      <c r="M102" s="58">
        <v>2111</v>
      </c>
      <c r="N102" s="58">
        <v>2189</v>
      </c>
      <c r="O102" s="58">
        <v>2237</v>
      </c>
      <c r="Q102" s="38" t="s">
        <v>4377</v>
      </c>
    </row>
    <row r="103" spans="1:17">
      <c r="A103" s="210">
        <v>31</v>
      </c>
      <c r="B103" s="38" t="s">
        <v>10730</v>
      </c>
      <c r="C103" s="55" t="s">
        <v>10727</v>
      </c>
      <c r="D103" s="58">
        <v>0</v>
      </c>
      <c r="E103" s="58">
        <v>0</v>
      </c>
      <c r="F103" s="58">
        <v>0</v>
      </c>
      <c r="G103" s="58">
        <v>0</v>
      </c>
      <c r="H103" s="58">
        <v>0</v>
      </c>
      <c r="I103" s="58">
        <v>0</v>
      </c>
      <c r="J103" s="58">
        <v>1511</v>
      </c>
      <c r="K103" s="58">
        <v>1736</v>
      </c>
      <c r="L103" s="58">
        <v>1825</v>
      </c>
      <c r="M103" s="58">
        <v>1824</v>
      </c>
      <c r="N103" s="58">
        <v>1941</v>
      </c>
      <c r="O103" s="58">
        <v>1935</v>
      </c>
      <c r="Q103" s="38" t="s">
        <v>4377</v>
      </c>
    </row>
    <row r="104" spans="1:17">
      <c r="A104" s="210">
        <v>32</v>
      </c>
      <c r="B104" s="38" t="s">
        <v>10729</v>
      </c>
      <c r="C104" s="55" t="s">
        <v>10728</v>
      </c>
      <c r="D104" s="58">
        <v>0</v>
      </c>
      <c r="E104" s="58">
        <v>0</v>
      </c>
      <c r="F104" s="58">
        <v>0</v>
      </c>
      <c r="G104" s="58">
        <v>0</v>
      </c>
      <c r="H104" s="58">
        <v>0</v>
      </c>
      <c r="I104" s="58">
        <v>0</v>
      </c>
      <c r="J104" s="58">
        <v>2029</v>
      </c>
      <c r="K104" s="58">
        <v>2040</v>
      </c>
      <c r="L104" s="58">
        <v>2052</v>
      </c>
      <c r="M104" s="58">
        <v>2032</v>
      </c>
      <c r="N104" s="58">
        <v>2015</v>
      </c>
      <c r="O104" s="58">
        <v>2077</v>
      </c>
      <c r="Q104" s="38" t="s">
        <v>4377</v>
      </c>
    </row>
    <row r="105" spans="1:17">
      <c r="D105" s="720"/>
      <c r="E105" s="720"/>
      <c r="F105" s="720"/>
      <c r="G105" s="720"/>
      <c r="H105" s="720"/>
      <c r="I105" s="720"/>
      <c r="J105" s="720"/>
      <c r="K105" s="720"/>
      <c r="L105" s="720"/>
      <c r="M105" s="720"/>
      <c r="N105" s="720"/>
      <c r="O105" s="720"/>
    </row>
    <row r="106" spans="1:17">
      <c r="A106" s="38" t="s">
        <v>1666</v>
      </c>
      <c r="D106" s="718">
        <f t="shared" ref="D106:O106" si="55">SUM(D73:D104)</f>
        <v>66804</v>
      </c>
      <c r="E106" s="718">
        <f t="shared" si="55"/>
        <v>68087</v>
      </c>
      <c r="F106" s="718">
        <f t="shared" si="55"/>
        <v>68019</v>
      </c>
      <c r="G106" s="718">
        <f t="shared" si="55"/>
        <v>67966</v>
      </c>
      <c r="H106" s="718">
        <f t="shared" si="55"/>
        <v>67770</v>
      </c>
      <c r="I106" s="718">
        <f t="shared" si="55"/>
        <v>66739</v>
      </c>
      <c r="J106" s="718">
        <f t="shared" si="55"/>
        <v>65825</v>
      </c>
      <c r="K106" s="718">
        <f t="shared" si="55"/>
        <v>67478</v>
      </c>
      <c r="L106" s="718">
        <f t="shared" si="55"/>
        <v>68969</v>
      </c>
      <c r="M106" s="718">
        <f t="shared" si="55"/>
        <v>68984</v>
      </c>
      <c r="N106" s="718">
        <f t="shared" si="55"/>
        <v>69945</v>
      </c>
      <c r="O106" s="718">
        <f t="shared" si="55"/>
        <v>71234</v>
      </c>
    </row>
    <row r="107" spans="1:17">
      <c r="A107" s="38"/>
      <c r="D107" s="718"/>
      <c r="E107" s="718"/>
      <c r="F107" s="718"/>
      <c r="G107" s="718"/>
      <c r="H107" s="718"/>
      <c r="I107" s="718"/>
      <c r="J107" s="718"/>
      <c r="K107" s="718"/>
      <c r="L107" s="718"/>
      <c r="M107" s="718"/>
      <c r="N107" s="718"/>
      <c r="O107" s="718"/>
    </row>
    <row r="108" spans="1:17">
      <c r="A108" s="38" t="s">
        <v>10696</v>
      </c>
      <c r="D108" s="718"/>
      <c r="E108" s="718"/>
      <c r="F108" s="718"/>
      <c r="G108" s="718"/>
      <c r="H108" s="718"/>
      <c r="I108" s="718"/>
      <c r="J108" s="718"/>
      <c r="K108" s="718"/>
      <c r="L108" s="718"/>
      <c r="M108" s="718"/>
      <c r="N108" s="718"/>
      <c r="O108" s="718"/>
    </row>
    <row r="109" spans="1:17">
      <c r="A109" s="38"/>
      <c r="B109" s="38"/>
      <c r="D109" s="726"/>
      <c r="E109" s="726"/>
      <c r="F109" s="726"/>
      <c r="G109" s="726"/>
      <c r="H109" s="726"/>
      <c r="I109" s="726"/>
      <c r="J109" s="726"/>
      <c r="K109" s="726"/>
      <c r="L109" s="726"/>
      <c r="M109" s="726"/>
      <c r="N109" s="726"/>
      <c r="O109" s="726"/>
    </row>
    <row r="110" spans="1:17">
      <c r="A110" s="38"/>
      <c r="B110" s="38"/>
      <c r="D110" s="726"/>
      <c r="E110" s="726"/>
      <c r="F110" s="726"/>
      <c r="G110" s="726"/>
      <c r="H110" s="726"/>
      <c r="I110" s="726"/>
      <c r="J110" s="726"/>
      <c r="K110" s="726"/>
      <c r="L110" s="726"/>
      <c r="M110" s="726"/>
      <c r="N110" s="726"/>
      <c r="O110" s="726"/>
    </row>
    <row r="111" spans="1:17">
      <c r="E111" s="51" t="s">
        <v>1526</v>
      </c>
      <c r="F111" s="51"/>
      <c r="G111" s="51"/>
      <c r="H111" s="51"/>
      <c r="I111" s="51"/>
      <c r="J111" s="51"/>
      <c r="K111" s="51"/>
      <c r="L111" s="51"/>
      <c r="M111" s="51"/>
      <c r="N111" s="51"/>
      <c r="O111" s="51"/>
      <c r="P111" s="52"/>
      <c r="Q111" s="53" t="s">
        <v>9479</v>
      </c>
    </row>
    <row r="112" spans="1:17">
      <c r="D112" s="40">
        <v>2010</v>
      </c>
      <c r="E112" s="40">
        <v>2011</v>
      </c>
      <c r="F112" s="40">
        <v>2012</v>
      </c>
      <c r="G112" s="40">
        <v>2013</v>
      </c>
      <c r="H112" s="40">
        <v>2014</v>
      </c>
      <c r="I112" s="40">
        <v>2015</v>
      </c>
      <c r="J112" s="40">
        <v>2016</v>
      </c>
      <c r="K112" s="40">
        <v>2017</v>
      </c>
      <c r="L112" s="40">
        <v>2018</v>
      </c>
      <c r="M112" s="40">
        <v>2019</v>
      </c>
      <c r="N112" s="40">
        <v>2020</v>
      </c>
      <c r="O112" s="976" t="s">
        <v>14823</v>
      </c>
      <c r="P112" s="52"/>
      <c r="Q112" s="54" t="s">
        <v>1527</v>
      </c>
    </row>
    <row r="113" spans="1:17">
      <c r="A113" s="38" t="s">
        <v>4510</v>
      </c>
      <c r="D113" s="718">
        <f t="shared" ref="D113:M113" si="56">SUM(D114:D134)</f>
        <v>65296</v>
      </c>
      <c r="E113" s="718">
        <f t="shared" si="56"/>
        <v>65153</v>
      </c>
      <c r="F113" s="718">
        <f t="shared" si="56"/>
        <v>65892</v>
      </c>
      <c r="G113" s="718">
        <f t="shared" si="56"/>
        <v>66361</v>
      </c>
      <c r="H113" s="718">
        <f t="shared" si="56"/>
        <v>66310</v>
      </c>
      <c r="I113" s="718">
        <f t="shared" si="56"/>
        <v>65422</v>
      </c>
      <c r="J113" s="718">
        <f t="shared" si="56"/>
        <v>65175</v>
      </c>
      <c r="K113" s="718">
        <f t="shared" si="56"/>
        <v>68319</v>
      </c>
      <c r="L113" s="718">
        <f t="shared" si="56"/>
        <v>67061</v>
      </c>
      <c r="M113" s="718">
        <f t="shared" si="56"/>
        <v>66753</v>
      </c>
      <c r="N113" s="718">
        <f>SUM(N114:N134)</f>
        <v>68296</v>
      </c>
      <c r="O113" s="718">
        <f>SUM(O114:O134)</f>
        <v>67890</v>
      </c>
    </row>
    <row r="114" spans="1:17">
      <c r="A114" s="38" t="s">
        <v>5387</v>
      </c>
      <c r="B114" s="38" t="s">
        <v>6026</v>
      </c>
      <c r="C114" s="55" t="s">
        <v>13894</v>
      </c>
      <c r="D114" s="718">
        <v>65296</v>
      </c>
      <c r="E114" s="718">
        <v>65153</v>
      </c>
      <c r="F114" s="718">
        <v>65892</v>
      </c>
      <c r="G114" s="63">
        <v>66361</v>
      </c>
      <c r="H114" s="63">
        <v>66310</v>
      </c>
      <c r="I114" s="63">
        <v>65422</v>
      </c>
      <c r="J114" s="63">
        <v>65175</v>
      </c>
      <c r="K114" s="63">
        <v>68319</v>
      </c>
      <c r="L114" s="63">
        <v>67061</v>
      </c>
      <c r="M114" s="63">
        <v>3756</v>
      </c>
      <c r="N114" s="63">
        <v>3810</v>
      </c>
      <c r="O114" s="63">
        <v>3790</v>
      </c>
      <c r="Q114" s="38" t="s">
        <v>4370</v>
      </c>
    </row>
    <row r="115" spans="1:17">
      <c r="A115" s="38" t="s">
        <v>5389</v>
      </c>
      <c r="B115" s="38" t="s">
        <v>6027</v>
      </c>
      <c r="C115" s="55" t="s">
        <v>13895</v>
      </c>
      <c r="D115" s="718">
        <v>0</v>
      </c>
      <c r="E115" s="718">
        <v>0</v>
      </c>
      <c r="F115" s="718">
        <v>0</v>
      </c>
      <c r="G115" s="718">
        <v>0</v>
      </c>
      <c r="H115" s="718">
        <v>0</v>
      </c>
      <c r="I115" s="718">
        <v>0</v>
      </c>
      <c r="J115" s="718">
        <v>0</v>
      </c>
      <c r="K115" s="718">
        <v>0</v>
      </c>
      <c r="L115" s="718">
        <v>0</v>
      </c>
      <c r="M115" s="63">
        <v>3726</v>
      </c>
      <c r="N115" s="63">
        <v>3795</v>
      </c>
      <c r="O115" s="63">
        <v>3777</v>
      </c>
      <c r="Q115" s="38" t="s">
        <v>4370</v>
      </c>
    </row>
    <row r="116" spans="1:17">
      <c r="A116" s="38" t="s">
        <v>5391</v>
      </c>
      <c r="B116" s="38" t="s">
        <v>6028</v>
      </c>
      <c r="C116" s="55" t="s">
        <v>13896</v>
      </c>
      <c r="D116" s="718">
        <v>0</v>
      </c>
      <c r="E116" s="718">
        <v>0</v>
      </c>
      <c r="F116" s="718">
        <v>0</v>
      </c>
      <c r="G116" s="718">
        <v>0</v>
      </c>
      <c r="H116" s="718">
        <v>0</v>
      </c>
      <c r="I116" s="718">
        <v>0</v>
      </c>
      <c r="J116" s="718">
        <v>0</v>
      </c>
      <c r="K116" s="718">
        <v>0</v>
      </c>
      <c r="L116" s="718">
        <v>0</v>
      </c>
      <c r="M116" s="63">
        <v>3479</v>
      </c>
      <c r="N116" s="63">
        <v>3452</v>
      </c>
      <c r="O116" s="63">
        <v>3447</v>
      </c>
      <c r="Q116" s="38" t="s">
        <v>4370</v>
      </c>
    </row>
    <row r="117" spans="1:17">
      <c r="A117" s="38" t="s">
        <v>5393</v>
      </c>
      <c r="B117" s="38" t="s">
        <v>4519</v>
      </c>
      <c r="C117" s="55" t="s">
        <v>13897</v>
      </c>
      <c r="D117" s="718">
        <v>0</v>
      </c>
      <c r="E117" s="718">
        <v>0</v>
      </c>
      <c r="F117" s="718">
        <v>0</v>
      </c>
      <c r="G117" s="718">
        <v>0</v>
      </c>
      <c r="H117" s="718">
        <v>0</v>
      </c>
      <c r="I117" s="718">
        <v>0</v>
      </c>
      <c r="J117" s="718">
        <v>0</v>
      </c>
      <c r="K117" s="718">
        <v>0</v>
      </c>
      <c r="L117" s="718">
        <v>0</v>
      </c>
      <c r="M117" s="63">
        <v>3117</v>
      </c>
      <c r="N117" s="63">
        <v>3189</v>
      </c>
      <c r="O117" s="63">
        <v>3130</v>
      </c>
      <c r="Q117" s="38" t="s">
        <v>4370</v>
      </c>
    </row>
    <row r="118" spans="1:17">
      <c r="A118" s="38" t="s">
        <v>5394</v>
      </c>
      <c r="B118" s="38" t="s">
        <v>12574</v>
      </c>
      <c r="C118" s="55" t="s">
        <v>13898</v>
      </c>
      <c r="D118" s="718">
        <v>0</v>
      </c>
      <c r="E118" s="718">
        <v>0</v>
      </c>
      <c r="F118" s="718">
        <v>0</v>
      </c>
      <c r="G118" s="718">
        <v>0</v>
      </c>
      <c r="H118" s="718">
        <v>0</v>
      </c>
      <c r="I118" s="718">
        <v>0</v>
      </c>
      <c r="J118" s="718">
        <v>0</v>
      </c>
      <c r="K118" s="718">
        <v>0</v>
      </c>
      <c r="L118" s="718">
        <v>0</v>
      </c>
      <c r="M118" s="63">
        <v>5906</v>
      </c>
      <c r="N118" s="63">
        <v>5986</v>
      </c>
      <c r="O118" s="63">
        <v>5956</v>
      </c>
      <c r="Q118" s="38" t="s">
        <v>4370</v>
      </c>
    </row>
    <row r="119" spans="1:17">
      <c r="A119" s="38" t="s">
        <v>5416</v>
      </c>
      <c r="B119" s="38" t="s">
        <v>12575</v>
      </c>
      <c r="C119" s="55" t="s">
        <v>13899</v>
      </c>
      <c r="D119" s="718">
        <v>0</v>
      </c>
      <c r="E119" s="718">
        <v>0</v>
      </c>
      <c r="F119" s="718">
        <v>0</v>
      </c>
      <c r="G119" s="718">
        <v>0</v>
      </c>
      <c r="H119" s="718">
        <v>0</v>
      </c>
      <c r="I119" s="718">
        <v>0</v>
      </c>
      <c r="J119" s="718">
        <v>0</v>
      </c>
      <c r="K119" s="718">
        <v>0</v>
      </c>
      <c r="L119" s="718">
        <v>0</v>
      </c>
      <c r="M119" s="63">
        <v>1649</v>
      </c>
      <c r="N119" s="63">
        <v>1669</v>
      </c>
      <c r="O119" s="63">
        <v>1662</v>
      </c>
      <c r="Q119" s="38" t="s">
        <v>4370</v>
      </c>
    </row>
    <row r="120" spans="1:17">
      <c r="A120" s="38" t="s">
        <v>5418</v>
      </c>
      <c r="B120" s="38" t="s">
        <v>12576</v>
      </c>
      <c r="C120" s="55" t="s">
        <v>13900</v>
      </c>
      <c r="D120" s="718">
        <v>0</v>
      </c>
      <c r="E120" s="718">
        <v>0</v>
      </c>
      <c r="F120" s="718">
        <v>0</v>
      </c>
      <c r="G120" s="718">
        <v>0</v>
      </c>
      <c r="H120" s="718">
        <v>0</v>
      </c>
      <c r="I120" s="718">
        <v>0</v>
      </c>
      <c r="J120" s="718">
        <v>0</v>
      </c>
      <c r="K120" s="718">
        <v>0</v>
      </c>
      <c r="L120" s="718">
        <v>0</v>
      </c>
      <c r="M120" s="63">
        <v>3467</v>
      </c>
      <c r="N120" s="63">
        <v>3612</v>
      </c>
      <c r="O120" s="63">
        <v>3584</v>
      </c>
      <c r="Q120" s="38" t="s">
        <v>4370</v>
      </c>
    </row>
    <row r="121" spans="1:17">
      <c r="A121" s="38" t="s">
        <v>5420</v>
      </c>
      <c r="B121" s="38" t="s">
        <v>12577</v>
      </c>
      <c r="C121" s="55" t="s">
        <v>13901</v>
      </c>
      <c r="D121" s="718">
        <v>0</v>
      </c>
      <c r="E121" s="718">
        <v>0</v>
      </c>
      <c r="F121" s="718">
        <v>0</v>
      </c>
      <c r="G121" s="718">
        <v>0</v>
      </c>
      <c r="H121" s="718">
        <v>0</v>
      </c>
      <c r="I121" s="718">
        <v>0</v>
      </c>
      <c r="J121" s="718">
        <v>0</v>
      </c>
      <c r="K121" s="718">
        <v>0</v>
      </c>
      <c r="L121" s="718">
        <v>0</v>
      </c>
      <c r="M121" s="63">
        <v>3238</v>
      </c>
      <c r="N121" s="63">
        <v>3318</v>
      </c>
      <c r="O121" s="63">
        <v>3303</v>
      </c>
      <c r="Q121" s="38" t="s">
        <v>4370</v>
      </c>
    </row>
    <row r="122" spans="1:17">
      <c r="A122" s="38" t="s">
        <v>5422</v>
      </c>
      <c r="B122" s="157" t="s">
        <v>12578</v>
      </c>
      <c r="C122" s="55" t="s">
        <v>13902</v>
      </c>
      <c r="D122" s="718">
        <v>0</v>
      </c>
      <c r="E122" s="718">
        <v>0</v>
      </c>
      <c r="F122" s="718">
        <v>0</v>
      </c>
      <c r="G122" s="718">
        <v>0</v>
      </c>
      <c r="H122" s="718">
        <v>0</v>
      </c>
      <c r="I122" s="718">
        <v>0</v>
      </c>
      <c r="J122" s="718">
        <v>0</v>
      </c>
      <c r="K122" s="718">
        <v>0</v>
      </c>
      <c r="L122" s="718">
        <v>0</v>
      </c>
      <c r="M122" s="63">
        <v>1801</v>
      </c>
      <c r="N122" s="63">
        <v>1844</v>
      </c>
      <c r="O122" s="63">
        <v>1837</v>
      </c>
      <c r="Q122" s="38" t="s">
        <v>4370</v>
      </c>
    </row>
    <row r="123" spans="1:17">
      <c r="A123" s="38" t="s">
        <v>5424</v>
      </c>
      <c r="B123" s="157" t="s">
        <v>4531</v>
      </c>
      <c r="C123" s="55" t="s">
        <v>13903</v>
      </c>
      <c r="D123" s="718">
        <v>0</v>
      </c>
      <c r="E123" s="718">
        <v>0</v>
      </c>
      <c r="F123" s="718">
        <v>0</v>
      </c>
      <c r="G123" s="718">
        <v>0</v>
      </c>
      <c r="H123" s="718">
        <v>0</v>
      </c>
      <c r="I123" s="718">
        <v>0</v>
      </c>
      <c r="J123" s="718">
        <v>0</v>
      </c>
      <c r="K123" s="718">
        <v>0</v>
      </c>
      <c r="L123" s="718">
        <v>0</v>
      </c>
      <c r="M123" s="63">
        <v>4027</v>
      </c>
      <c r="N123" s="63">
        <v>4269</v>
      </c>
      <c r="O123" s="63">
        <v>4257</v>
      </c>
      <c r="Q123" s="38" t="s">
        <v>4370</v>
      </c>
    </row>
    <row r="124" spans="1:17">
      <c r="A124" s="38" t="s">
        <v>5426</v>
      </c>
      <c r="B124" s="157" t="s">
        <v>3058</v>
      </c>
      <c r="C124" s="55" t="s">
        <v>13904</v>
      </c>
      <c r="D124" s="718">
        <v>0</v>
      </c>
      <c r="E124" s="718">
        <v>0</v>
      </c>
      <c r="F124" s="718">
        <v>0</v>
      </c>
      <c r="G124" s="718">
        <v>0</v>
      </c>
      <c r="H124" s="718">
        <v>0</v>
      </c>
      <c r="I124" s="718">
        <v>0</v>
      </c>
      <c r="J124" s="718">
        <v>0</v>
      </c>
      <c r="K124" s="718">
        <v>0</v>
      </c>
      <c r="L124" s="718">
        <v>0</v>
      </c>
      <c r="M124" s="63">
        <v>1710</v>
      </c>
      <c r="N124" s="63">
        <v>1747</v>
      </c>
      <c r="O124" s="63">
        <v>1732</v>
      </c>
      <c r="Q124" s="38" t="s">
        <v>4370</v>
      </c>
    </row>
    <row r="125" spans="1:17">
      <c r="A125" s="38" t="s">
        <v>5428</v>
      </c>
      <c r="B125" s="38" t="s">
        <v>12579</v>
      </c>
      <c r="C125" s="55" t="s">
        <v>13905</v>
      </c>
      <c r="D125" s="718">
        <v>0</v>
      </c>
      <c r="E125" s="718">
        <v>0</v>
      </c>
      <c r="F125" s="718">
        <v>0</v>
      </c>
      <c r="G125" s="718">
        <v>0</v>
      </c>
      <c r="H125" s="718">
        <v>0</v>
      </c>
      <c r="I125" s="718">
        <v>0</v>
      </c>
      <c r="J125" s="718">
        <v>0</v>
      </c>
      <c r="K125" s="718">
        <v>0</v>
      </c>
      <c r="L125" s="718">
        <v>0</v>
      </c>
      <c r="M125" s="63">
        <v>1989</v>
      </c>
      <c r="N125" s="63">
        <v>1995</v>
      </c>
      <c r="O125" s="63">
        <v>1986</v>
      </c>
      <c r="Q125" s="38" t="s">
        <v>4370</v>
      </c>
    </row>
    <row r="126" spans="1:17">
      <c r="A126" s="38" t="s">
        <v>5429</v>
      </c>
      <c r="B126" s="157" t="s">
        <v>12580</v>
      </c>
      <c r="C126" s="55" t="s">
        <v>13906</v>
      </c>
      <c r="D126" s="718">
        <v>0</v>
      </c>
      <c r="E126" s="718">
        <v>0</v>
      </c>
      <c r="F126" s="718">
        <v>0</v>
      </c>
      <c r="G126" s="718">
        <v>0</v>
      </c>
      <c r="H126" s="718">
        <v>0</v>
      </c>
      <c r="I126" s="718">
        <v>0</v>
      </c>
      <c r="J126" s="718">
        <v>0</v>
      </c>
      <c r="K126" s="718">
        <v>0</v>
      </c>
      <c r="L126" s="718">
        <v>0</v>
      </c>
      <c r="M126" s="63">
        <v>5785</v>
      </c>
      <c r="N126" s="63">
        <v>5870</v>
      </c>
      <c r="O126" s="63">
        <v>5843</v>
      </c>
      <c r="Q126" s="38" t="s">
        <v>4370</v>
      </c>
    </row>
    <row r="127" spans="1:17">
      <c r="A127" s="38" t="s">
        <v>5431</v>
      </c>
      <c r="B127" s="38" t="s">
        <v>12581</v>
      </c>
      <c r="C127" s="55" t="s">
        <v>13907</v>
      </c>
      <c r="D127" s="718">
        <v>0</v>
      </c>
      <c r="E127" s="718">
        <v>0</v>
      </c>
      <c r="F127" s="718">
        <v>0</v>
      </c>
      <c r="G127" s="718">
        <v>0</v>
      </c>
      <c r="H127" s="718">
        <v>0</v>
      </c>
      <c r="I127" s="718">
        <v>0</v>
      </c>
      <c r="J127" s="718">
        <v>0</v>
      </c>
      <c r="K127" s="718">
        <v>0</v>
      </c>
      <c r="L127" s="718">
        <v>0</v>
      </c>
      <c r="M127" s="63">
        <v>4859</v>
      </c>
      <c r="N127" s="63">
        <v>4995</v>
      </c>
      <c r="O127" s="63">
        <v>4971</v>
      </c>
      <c r="Q127" s="38" t="s">
        <v>4370</v>
      </c>
    </row>
    <row r="128" spans="1:17">
      <c r="A128" s="38" t="s">
        <v>5433</v>
      </c>
      <c r="B128" s="38" t="s">
        <v>12582</v>
      </c>
      <c r="C128" s="55" t="s">
        <v>13908</v>
      </c>
      <c r="D128" s="718">
        <v>0</v>
      </c>
      <c r="E128" s="718">
        <v>0</v>
      </c>
      <c r="F128" s="718">
        <v>0</v>
      </c>
      <c r="G128" s="718">
        <v>0</v>
      </c>
      <c r="H128" s="718">
        <v>0</v>
      </c>
      <c r="I128" s="718">
        <v>0</v>
      </c>
      <c r="J128" s="718">
        <v>0</v>
      </c>
      <c r="K128" s="718">
        <v>0</v>
      </c>
      <c r="L128" s="718">
        <v>0</v>
      </c>
      <c r="M128" s="63">
        <v>1991</v>
      </c>
      <c r="N128" s="63">
        <v>2032</v>
      </c>
      <c r="O128" s="63">
        <v>2023</v>
      </c>
      <c r="Q128" s="38" t="s">
        <v>4370</v>
      </c>
    </row>
    <row r="129" spans="1:17">
      <c r="A129" s="38" t="s">
        <v>5435</v>
      </c>
      <c r="B129" s="38" t="s">
        <v>5882</v>
      </c>
      <c r="C129" s="55" t="s">
        <v>13909</v>
      </c>
      <c r="D129" s="718">
        <v>0</v>
      </c>
      <c r="E129" s="718">
        <v>0</v>
      </c>
      <c r="F129" s="718">
        <v>0</v>
      </c>
      <c r="G129" s="718">
        <v>0</v>
      </c>
      <c r="H129" s="718">
        <v>0</v>
      </c>
      <c r="I129" s="718">
        <v>0</v>
      </c>
      <c r="J129" s="718">
        <v>0</v>
      </c>
      <c r="K129" s="718">
        <v>0</v>
      </c>
      <c r="L129" s="718">
        <v>0</v>
      </c>
      <c r="M129" s="63">
        <v>3885</v>
      </c>
      <c r="N129" s="63">
        <v>4001</v>
      </c>
      <c r="O129" s="63">
        <v>3980</v>
      </c>
      <c r="Q129" s="38" t="s">
        <v>4370</v>
      </c>
    </row>
    <row r="130" spans="1:17">
      <c r="A130" s="38" t="s">
        <v>5436</v>
      </c>
      <c r="B130" s="38" t="s">
        <v>3059</v>
      </c>
      <c r="C130" s="55" t="s">
        <v>13910</v>
      </c>
      <c r="D130" s="718">
        <v>0</v>
      </c>
      <c r="E130" s="718">
        <v>0</v>
      </c>
      <c r="F130" s="718">
        <v>0</v>
      </c>
      <c r="G130" s="718">
        <v>0</v>
      </c>
      <c r="H130" s="718">
        <v>0</v>
      </c>
      <c r="I130" s="718">
        <v>0</v>
      </c>
      <c r="J130" s="718">
        <v>0</v>
      </c>
      <c r="K130" s="718">
        <v>0</v>
      </c>
      <c r="L130" s="718">
        <v>0</v>
      </c>
      <c r="M130" s="63">
        <v>1777</v>
      </c>
      <c r="N130" s="63">
        <v>1818</v>
      </c>
      <c r="O130" s="63">
        <v>1805</v>
      </c>
      <c r="Q130" s="38" t="s">
        <v>4370</v>
      </c>
    </row>
    <row r="131" spans="1:17">
      <c r="A131" s="38" t="s">
        <v>5437</v>
      </c>
      <c r="B131" s="38" t="s">
        <v>12583</v>
      </c>
      <c r="C131" s="55" t="s">
        <v>13911</v>
      </c>
      <c r="D131" s="718">
        <v>0</v>
      </c>
      <c r="E131" s="718">
        <v>0</v>
      </c>
      <c r="F131" s="718">
        <v>0</v>
      </c>
      <c r="G131" s="718">
        <v>0</v>
      </c>
      <c r="H131" s="718">
        <v>0</v>
      </c>
      <c r="I131" s="718">
        <v>0</v>
      </c>
      <c r="J131" s="718">
        <v>0</v>
      </c>
      <c r="K131" s="718">
        <v>0</v>
      </c>
      <c r="L131" s="718">
        <v>0</v>
      </c>
      <c r="M131" s="63">
        <v>1834</v>
      </c>
      <c r="N131" s="63">
        <v>1866</v>
      </c>
      <c r="O131" s="63">
        <v>1855</v>
      </c>
      <c r="Q131" s="38" t="s">
        <v>4370</v>
      </c>
    </row>
    <row r="132" spans="1:17">
      <c r="A132" s="38" t="s">
        <v>5439</v>
      </c>
      <c r="B132" s="38" t="s">
        <v>12585</v>
      </c>
      <c r="C132" s="55" t="s">
        <v>13912</v>
      </c>
      <c r="D132" s="718">
        <v>0</v>
      </c>
      <c r="E132" s="718">
        <v>0</v>
      </c>
      <c r="F132" s="718">
        <v>0</v>
      </c>
      <c r="G132" s="718">
        <v>0</v>
      </c>
      <c r="H132" s="718">
        <v>0</v>
      </c>
      <c r="I132" s="718">
        <v>0</v>
      </c>
      <c r="J132" s="718">
        <v>0</v>
      </c>
      <c r="K132" s="718">
        <v>0</v>
      </c>
      <c r="L132" s="718">
        <v>0</v>
      </c>
      <c r="M132" s="63">
        <v>1940</v>
      </c>
      <c r="N132" s="63">
        <v>2007</v>
      </c>
      <c r="O132" s="63">
        <v>1992</v>
      </c>
      <c r="Q132" s="38" t="s">
        <v>4370</v>
      </c>
    </row>
    <row r="133" spans="1:17">
      <c r="A133" s="38" t="s">
        <v>5441</v>
      </c>
      <c r="B133" s="38" t="s">
        <v>975</v>
      </c>
      <c r="C133" s="55" t="s">
        <v>13913</v>
      </c>
      <c r="D133" s="718">
        <v>0</v>
      </c>
      <c r="E133" s="718">
        <v>0</v>
      </c>
      <c r="F133" s="718">
        <v>0</v>
      </c>
      <c r="G133" s="718">
        <v>0</v>
      </c>
      <c r="H133" s="718">
        <v>0</v>
      </c>
      <c r="I133" s="718">
        <v>0</v>
      </c>
      <c r="J133" s="718">
        <v>0</v>
      </c>
      <c r="K133" s="718">
        <v>0</v>
      </c>
      <c r="L133" s="718">
        <v>0</v>
      </c>
      <c r="M133" s="63">
        <v>5184</v>
      </c>
      <c r="N133" s="63">
        <v>5357</v>
      </c>
      <c r="O133" s="63">
        <v>5314</v>
      </c>
      <c r="Q133" s="38" t="s">
        <v>4370</v>
      </c>
    </row>
    <row r="134" spans="1:17">
      <c r="A134" s="38" t="s">
        <v>5886</v>
      </c>
      <c r="B134" s="38" t="s">
        <v>12584</v>
      </c>
      <c r="C134" s="55" t="s">
        <v>13914</v>
      </c>
      <c r="D134" s="718">
        <v>0</v>
      </c>
      <c r="E134" s="718">
        <v>0</v>
      </c>
      <c r="F134" s="718">
        <v>0</v>
      </c>
      <c r="G134" s="718">
        <v>0</v>
      </c>
      <c r="H134" s="718">
        <v>0</v>
      </c>
      <c r="I134" s="718">
        <v>0</v>
      </c>
      <c r="J134" s="718">
        <v>0</v>
      </c>
      <c r="K134" s="718">
        <v>0</v>
      </c>
      <c r="L134" s="718">
        <v>0</v>
      </c>
      <c r="M134" s="63">
        <v>1633</v>
      </c>
      <c r="N134" s="63">
        <v>1664</v>
      </c>
      <c r="O134" s="63">
        <v>1646</v>
      </c>
      <c r="Q134" s="38" t="s">
        <v>4370</v>
      </c>
    </row>
    <row r="135" spans="1:17">
      <c r="D135" s="720"/>
      <c r="E135" s="720"/>
      <c r="F135" s="720"/>
      <c r="G135" s="720"/>
      <c r="H135" s="720"/>
      <c r="I135" s="720"/>
      <c r="J135" s="720"/>
      <c r="K135" s="720"/>
      <c r="L135" s="720"/>
      <c r="M135" s="720"/>
      <c r="N135" s="720"/>
      <c r="O135" s="720"/>
    </row>
    <row r="136" spans="1:17">
      <c r="A136" s="38" t="s">
        <v>976</v>
      </c>
      <c r="D136" s="718">
        <f t="shared" ref="D136:M136" si="57">SUM(D114:D134)</f>
        <v>65296</v>
      </c>
      <c r="E136" s="718">
        <f t="shared" si="57"/>
        <v>65153</v>
      </c>
      <c r="F136" s="718">
        <f t="shared" si="57"/>
        <v>65892</v>
      </c>
      <c r="G136" s="718">
        <f t="shared" si="57"/>
        <v>66361</v>
      </c>
      <c r="H136" s="718">
        <f t="shared" si="57"/>
        <v>66310</v>
      </c>
      <c r="I136" s="718">
        <f t="shared" si="57"/>
        <v>65422</v>
      </c>
      <c r="J136" s="718">
        <f t="shared" si="57"/>
        <v>65175</v>
      </c>
      <c r="K136" s="718">
        <f t="shared" si="57"/>
        <v>68319</v>
      </c>
      <c r="L136" s="718">
        <f t="shared" si="57"/>
        <v>67061</v>
      </c>
      <c r="M136" s="718">
        <f t="shared" si="57"/>
        <v>66753</v>
      </c>
      <c r="N136" s="718">
        <f>SUM(N114:N134)</f>
        <v>68296</v>
      </c>
      <c r="O136" s="718">
        <f>SUM(O114:O134)</f>
        <v>67890</v>
      </c>
    </row>
    <row r="138" spans="1:17">
      <c r="A138" s="38" t="s">
        <v>13893</v>
      </c>
    </row>
    <row r="139" spans="1:17">
      <c r="A139" s="38"/>
    </row>
    <row r="140" spans="1:17">
      <c r="A140" s="38"/>
    </row>
    <row r="141" spans="1:17">
      <c r="E141" s="51" t="s">
        <v>1526</v>
      </c>
      <c r="F141" s="51"/>
      <c r="G141" s="51"/>
      <c r="H141" s="51"/>
      <c r="I141" s="51"/>
      <c r="J141" s="51"/>
      <c r="K141" s="51"/>
      <c r="L141" s="51"/>
      <c r="M141" s="51"/>
      <c r="N141" s="51"/>
      <c r="O141" s="51"/>
      <c r="P141" s="52"/>
      <c r="Q141" s="53" t="s">
        <v>9479</v>
      </c>
    </row>
    <row r="142" spans="1:17">
      <c r="D142" s="40">
        <v>2010</v>
      </c>
      <c r="E142" s="40">
        <v>2011</v>
      </c>
      <c r="F142" s="40">
        <v>2012</v>
      </c>
      <c r="G142" s="40">
        <v>2013</v>
      </c>
      <c r="H142" s="40">
        <v>2014</v>
      </c>
      <c r="I142" s="40">
        <v>2015</v>
      </c>
      <c r="J142" s="40">
        <v>2016</v>
      </c>
      <c r="K142" s="40">
        <v>2017</v>
      </c>
      <c r="L142" s="40">
        <v>2018</v>
      </c>
      <c r="M142" s="40">
        <v>2019</v>
      </c>
      <c r="N142" s="40">
        <v>2020</v>
      </c>
      <c r="O142" s="976" t="s">
        <v>14823</v>
      </c>
      <c r="P142" s="52"/>
      <c r="Q142" s="54" t="s">
        <v>1527</v>
      </c>
    </row>
    <row r="143" spans="1:17">
      <c r="A143" s="38" t="s">
        <v>977</v>
      </c>
      <c r="D143" s="718">
        <f>SUM(D144:D161)</f>
        <v>87510</v>
      </c>
      <c r="E143" s="718">
        <f t="shared" ref="E143:K143" si="58">SUM(E144:E161)</f>
        <v>88291</v>
      </c>
      <c r="F143" s="718">
        <f t="shared" si="58"/>
        <v>89781</v>
      </c>
      <c r="G143" s="718">
        <f t="shared" si="58"/>
        <v>90793</v>
      </c>
      <c r="H143" s="718">
        <f t="shared" si="58"/>
        <v>90196</v>
      </c>
      <c r="I143" s="718">
        <f t="shared" si="58"/>
        <v>89522</v>
      </c>
      <c r="J143" s="718">
        <f t="shared" si="58"/>
        <v>86427</v>
      </c>
      <c r="K143" s="718">
        <f t="shared" si="58"/>
        <v>87756</v>
      </c>
      <c r="L143" s="718">
        <f>SUM(L144:L161)</f>
        <v>92251</v>
      </c>
      <c r="M143" s="718">
        <f>SUM(M144:M161)</f>
        <v>88829</v>
      </c>
      <c r="N143" s="718">
        <f>SUM(N144:N161)</f>
        <v>85556</v>
      </c>
      <c r="O143" s="718">
        <f>SUM(O144:O161)</f>
        <v>88968</v>
      </c>
    </row>
    <row r="144" spans="1:17">
      <c r="A144" s="38" t="s">
        <v>5387</v>
      </c>
      <c r="B144" s="38" t="s">
        <v>11700</v>
      </c>
      <c r="C144" s="55" t="s">
        <v>11682</v>
      </c>
      <c r="D144" s="718">
        <v>79972</v>
      </c>
      <c r="E144" s="718">
        <v>80788</v>
      </c>
      <c r="F144" s="718">
        <v>82214</v>
      </c>
      <c r="G144" s="63">
        <v>83183</v>
      </c>
      <c r="H144" s="63">
        <v>82626</v>
      </c>
      <c r="I144" s="56">
        <v>82066</v>
      </c>
      <c r="J144" s="56">
        <v>79129</v>
      </c>
      <c r="K144" s="56">
        <v>5196</v>
      </c>
      <c r="L144" s="56">
        <v>5304</v>
      </c>
      <c r="M144" s="56">
        <v>5168</v>
      </c>
      <c r="N144" s="56">
        <v>4969</v>
      </c>
      <c r="O144" s="56">
        <v>5109</v>
      </c>
      <c r="Q144" s="38" t="s">
        <v>4372</v>
      </c>
    </row>
    <row r="145" spans="1:17">
      <c r="A145" s="38" t="s">
        <v>5389</v>
      </c>
      <c r="B145" s="157" t="s">
        <v>11701</v>
      </c>
      <c r="C145" s="55" t="s">
        <v>11683</v>
      </c>
      <c r="D145" s="56">
        <v>0</v>
      </c>
      <c r="E145" s="56">
        <v>0</v>
      </c>
      <c r="F145" s="56">
        <v>0</v>
      </c>
      <c r="G145" s="56">
        <v>0</v>
      </c>
      <c r="H145" s="56">
        <v>0</v>
      </c>
      <c r="I145" s="56">
        <v>0</v>
      </c>
      <c r="J145" s="56">
        <v>0</v>
      </c>
      <c r="K145" s="56">
        <v>4619</v>
      </c>
      <c r="L145" s="56">
        <v>4851</v>
      </c>
      <c r="M145" s="56">
        <v>4692</v>
      </c>
      <c r="N145" s="56">
        <v>4555</v>
      </c>
      <c r="O145" s="56">
        <v>4659</v>
      </c>
      <c r="Q145" s="38" t="s">
        <v>4372</v>
      </c>
    </row>
    <row r="146" spans="1:17">
      <c r="A146" s="38" t="s">
        <v>5391</v>
      </c>
      <c r="B146" s="38" t="s">
        <v>978</v>
      </c>
      <c r="C146" s="55" t="s">
        <v>11684</v>
      </c>
      <c r="D146" s="56">
        <v>0</v>
      </c>
      <c r="E146" s="56">
        <v>0</v>
      </c>
      <c r="F146" s="56">
        <v>0</v>
      </c>
      <c r="G146" s="56">
        <v>0</v>
      </c>
      <c r="H146" s="56">
        <v>0</v>
      </c>
      <c r="I146" s="56">
        <v>0</v>
      </c>
      <c r="J146" s="56">
        <v>0</v>
      </c>
      <c r="K146" s="56">
        <v>4931</v>
      </c>
      <c r="L146" s="56">
        <v>5097</v>
      </c>
      <c r="M146" s="56">
        <v>5072</v>
      </c>
      <c r="N146" s="56">
        <v>4908</v>
      </c>
      <c r="O146" s="56">
        <v>4980</v>
      </c>
      <c r="Q146" s="38" t="s">
        <v>4372</v>
      </c>
    </row>
    <row r="147" spans="1:17">
      <c r="A147" s="38" t="s">
        <v>5393</v>
      </c>
      <c r="B147" s="157" t="s">
        <v>11705</v>
      </c>
      <c r="C147" s="55" t="s">
        <v>11685</v>
      </c>
      <c r="D147" s="56">
        <v>0</v>
      </c>
      <c r="E147" s="56">
        <v>0</v>
      </c>
      <c r="F147" s="56">
        <v>0</v>
      </c>
      <c r="G147" s="56">
        <v>0</v>
      </c>
      <c r="H147" s="56">
        <v>0</v>
      </c>
      <c r="I147" s="56">
        <v>0</v>
      </c>
      <c r="J147" s="56">
        <v>0</v>
      </c>
      <c r="K147" s="56">
        <v>6312</v>
      </c>
      <c r="L147" s="56">
        <v>6721</v>
      </c>
      <c r="M147" s="56">
        <v>6328</v>
      </c>
      <c r="N147" s="56">
        <v>5975</v>
      </c>
      <c r="O147" s="56">
        <v>6308</v>
      </c>
      <c r="Q147" s="38" t="s">
        <v>4372</v>
      </c>
    </row>
    <row r="148" spans="1:17">
      <c r="A148" s="38" t="s">
        <v>5394</v>
      </c>
      <c r="B148" s="38" t="s">
        <v>11706</v>
      </c>
      <c r="C148" s="55" t="s">
        <v>11686</v>
      </c>
      <c r="D148" s="56">
        <v>0</v>
      </c>
      <c r="E148" s="56">
        <v>0</v>
      </c>
      <c r="F148" s="56">
        <v>0</v>
      </c>
      <c r="G148" s="56">
        <v>0</v>
      </c>
      <c r="H148" s="56">
        <v>0</v>
      </c>
      <c r="I148" s="56">
        <v>0</v>
      </c>
      <c r="J148" s="56">
        <v>0</v>
      </c>
      <c r="K148" s="56">
        <v>2373</v>
      </c>
      <c r="L148" s="56">
        <v>2506</v>
      </c>
      <c r="M148" s="56">
        <v>2403</v>
      </c>
      <c r="N148" s="56">
        <v>2338</v>
      </c>
      <c r="O148" s="56">
        <v>2392</v>
      </c>
      <c r="Q148" s="38" t="s">
        <v>4372</v>
      </c>
    </row>
    <row r="149" spans="1:17">
      <c r="A149" s="38" t="s">
        <v>5416</v>
      </c>
      <c r="B149" s="38" t="s">
        <v>2415</v>
      </c>
      <c r="C149" s="55" t="s">
        <v>11687</v>
      </c>
      <c r="D149" s="56">
        <v>0</v>
      </c>
      <c r="E149" s="56">
        <v>0</v>
      </c>
      <c r="F149" s="56">
        <v>0</v>
      </c>
      <c r="G149" s="56">
        <v>0</v>
      </c>
      <c r="H149" s="56">
        <v>0</v>
      </c>
      <c r="I149" s="56">
        <v>0</v>
      </c>
      <c r="J149" s="56">
        <v>0</v>
      </c>
      <c r="K149" s="56">
        <v>4826</v>
      </c>
      <c r="L149" s="56">
        <v>5000</v>
      </c>
      <c r="M149" s="56">
        <v>4896</v>
      </c>
      <c r="N149" s="56">
        <v>4705</v>
      </c>
      <c r="O149" s="56">
        <v>4814</v>
      </c>
      <c r="Q149" s="38" t="s">
        <v>4372</v>
      </c>
    </row>
    <row r="150" spans="1:17">
      <c r="A150" s="38" t="s">
        <v>5418</v>
      </c>
      <c r="B150" s="38" t="s">
        <v>6688</v>
      </c>
      <c r="C150" s="55" t="s">
        <v>11688</v>
      </c>
      <c r="D150" s="56">
        <v>0</v>
      </c>
      <c r="E150" s="56">
        <v>0</v>
      </c>
      <c r="F150" s="56">
        <v>0</v>
      </c>
      <c r="G150" s="56">
        <v>0</v>
      </c>
      <c r="H150" s="56">
        <v>0</v>
      </c>
      <c r="I150" s="56">
        <v>0</v>
      </c>
      <c r="J150" s="56">
        <v>0</v>
      </c>
      <c r="K150" s="56">
        <v>5124</v>
      </c>
      <c r="L150" s="56">
        <v>5303</v>
      </c>
      <c r="M150" s="56">
        <v>5108</v>
      </c>
      <c r="N150" s="56">
        <v>4888</v>
      </c>
      <c r="O150" s="56">
        <v>5037</v>
      </c>
      <c r="Q150" s="38" t="s">
        <v>4372</v>
      </c>
    </row>
    <row r="151" spans="1:17">
      <c r="A151" s="38" t="s">
        <v>5420</v>
      </c>
      <c r="B151" s="38" t="s">
        <v>3141</v>
      </c>
      <c r="C151" s="55" t="s">
        <v>11689</v>
      </c>
      <c r="D151" s="56">
        <v>0</v>
      </c>
      <c r="E151" s="56">
        <v>0</v>
      </c>
      <c r="F151" s="56">
        <v>0</v>
      </c>
      <c r="G151" s="56">
        <v>0</v>
      </c>
      <c r="H151" s="56">
        <v>0</v>
      </c>
      <c r="I151" s="56">
        <v>0</v>
      </c>
      <c r="J151" s="56">
        <v>0</v>
      </c>
      <c r="K151" s="56">
        <v>5096</v>
      </c>
      <c r="L151" s="56">
        <v>5213</v>
      </c>
      <c r="M151" s="56">
        <v>5096</v>
      </c>
      <c r="N151" s="56">
        <v>4987</v>
      </c>
      <c r="O151" s="56">
        <v>5074</v>
      </c>
      <c r="Q151" s="38" t="s">
        <v>4372</v>
      </c>
    </row>
    <row r="152" spans="1:17">
      <c r="A152" s="38" t="s">
        <v>5422</v>
      </c>
      <c r="B152" s="38" t="s">
        <v>11702</v>
      </c>
      <c r="C152" s="55" t="s">
        <v>11690</v>
      </c>
      <c r="D152" s="56">
        <v>0</v>
      </c>
      <c r="E152" s="56">
        <v>0</v>
      </c>
      <c r="F152" s="56">
        <v>0</v>
      </c>
      <c r="G152" s="56">
        <v>0</v>
      </c>
      <c r="H152" s="56">
        <v>0</v>
      </c>
      <c r="I152" s="56">
        <v>0</v>
      </c>
      <c r="J152" s="56">
        <v>0</v>
      </c>
      <c r="K152" s="56">
        <v>4451</v>
      </c>
      <c r="L152" s="56">
        <v>4789</v>
      </c>
      <c r="M152" s="56">
        <v>4462</v>
      </c>
      <c r="N152" s="56">
        <v>4225</v>
      </c>
      <c r="O152" s="56">
        <v>4564</v>
      </c>
      <c r="Q152" s="38" t="s">
        <v>4372</v>
      </c>
    </row>
    <row r="153" spans="1:17">
      <c r="A153" s="38" t="s">
        <v>5424</v>
      </c>
      <c r="B153" s="38" t="s">
        <v>6692</v>
      </c>
      <c r="C153" s="55" t="s">
        <v>11691</v>
      </c>
      <c r="D153" s="56">
        <v>0</v>
      </c>
      <c r="E153" s="56">
        <v>0</v>
      </c>
      <c r="F153" s="56">
        <v>0</v>
      </c>
      <c r="G153" s="56">
        <v>0</v>
      </c>
      <c r="H153" s="56">
        <v>0</v>
      </c>
      <c r="I153" s="56">
        <v>0</v>
      </c>
      <c r="J153" s="56">
        <v>0</v>
      </c>
      <c r="K153" s="56">
        <v>3680</v>
      </c>
      <c r="L153" s="56">
        <v>3925</v>
      </c>
      <c r="M153" s="56">
        <v>3750</v>
      </c>
      <c r="N153" s="56">
        <v>3601</v>
      </c>
      <c r="O153" s="56">
        <v>3781</v>
      </c>
      <c r="Q153" s="38" t="s">
        <v>4372</v>
      </c>
    </row>
    <row r="154" spans="1:17">
      <c r="A154" s="38" t="s">
        <v>5426</v>
      </c>
      <c r="B154" s="38" t="s">
        <v>3142</v>
      </c>
      <c r="C154" s="55" t="s">
        <v>11692</v>
      </c>
      <c r="D154" s="718">
        <v>7538</v>
      </c>
      <c r="E154" s="718">
        <v>7503</v>
      </c>
      <c r="F154" s="718">
        <v>7567</v>
      </c>
      <c r="G154" s="63">
        <v>7610</v>
      </c>
      <c r="H154" s="63">
        <v>7570</v>
      </c>
      <c r="I154" s="56">
        <v>7456</v>
      </c>
      <c r="J154" s="56">
        <v>7298</v>
      </c>
      <c r="K154" s="58">
        <v>7329</v>
      </c>
      <c r="L154" s="58">
        <v>7601</v>
      </c>
      <c r="M154" s="58">
        <v>7464</v>
      </c>
      <c r="N154" s="58">
        <v>7244</v>
      </c>
      <c r="O154" s="58">
        <v>7459</v>
      </c>
      <c r="Q154" s="38" t="s">
        <v>4376</v>
      </c>
    </row>
    <row r="155" spans="1:17">
      <c r="A155" s="38" t="s">
        <v>5428</v>
      </c>
      <c r="B155" s="38" t="s">
        <v>11703</v>
      </c>
      <c r="C155" s="55" t="s">
        <v>11693</v>
      </c>
      <c r="D155" s="56">
        <v>0</v>
      </c>
      <c r="E155" s="56">
        <v>0</v>
      </c>
      <c r="F155" s="56">
        <v>0</v>
      </c>
      <c r="G155" s="56">
        <v>0</v>
      </c>
      <c r="H155" s="56">
        <v>0</v>
      </c>
      <c r="I155" s="56">
        <v>0</v>
      </c>
      <c r="J155" s="56">
        <v>0</v>
      </c>
      <c r="K155" s="56">
        <v>6429</v>
      </c>
      <c r="L155" s="56">
        <v>6709</v>
      </c>
      <c r="M155" s="56">
        <v>6396</v>
      </c>
      <c r="N155" s="56">
        <v>6137</v>
      </c>
      <c r="O155" s="56">
        <v>6339</v>
      </c>
      <c r="Q155" s="38" t="s">
        <v>4372</v>
      </c>
    </row>
    <row r="156" spans="1:17">
      <c r="A156" s="723">
        <v>13</v>
      </c>
      <c r="B156" s="38" t="s">
        <v>3143</v>
      </c>
      <c r="C156" s="55" t="s">
        <v>11694</v>
      </c>
      <c r="D156" s="56">
        <v>0</v>
      </c>
      <c r="E156" s="56">
        <v>0</v>
      </c>
      <c r="F156" s="56">
        <v>0</v>
      </c>
      <c r="G156" s="56">
        <v>0</v>
      </c>
      <c r="H156" s="56">
        <v>0</v>
      </c>
      <c r="I156" s="56">
        <v>0</v>
      </c>
      <c r="J156" s="56">
        <v>0</v>
      </c>
      <c r="K156" s="56">
        <v>6582</v>
      </c>
      <c r="L156" s="56">
        <v>6925</v>
      </c>
      <c r="M156" s="56">
        <v>6626</v>
      </c>
      <c r="N156" s="56">
        <v>6254</v>
      </c>
      <c r="O156" s="56">
        <v>6535</v>
      </c>
      <c r="Q156" s="38" t="s">
        <v>4372</v>
      </c>
    </row>
    <row r="157" spans="1:17">
      <c r="A157" s="723">
        <v>14</v>
      </c>
      <c r="B157" s="38" t="s">
        <v>3144</v>
      </c>
      <c r="C157" s="55" t="s">
        <v>11695</v>
      </c>
      <c r="D157" s="56">
        <v>0</v>
      </c>
      <c r="E157" s="56">
        <v>0</v>
      </c>
      <c r="F157" s="56">
        <v>0</v>
      </c>
      <c r="G157" s="56">
        <v>0</v>
      </c>
      <c r="H157" s="56">
        <v>0</v>
      </c>
      <c r="I157" s="56">
        <v>0</v>
      </c>
      <c r="J157" s="56">
        <v>0</v>
      </c>
      <c r="K157" s="56">
        <v>2157</v>
      </c>
      <c r="L157" s="56">
        <v>2214</v>
      </c>
      <c r="M157" s="56">
        <v>2028</v>
      </c>
      <c r="N157" s="56">
        <v>2069</v>
      </c>
      <c r="O157" s="56">
        <v>2204</v>
      </c>
      <c r="Q157" s="38" t="s">
        <v>4372</v>
      </c>
    </row>
    <row r="158" spans="1:17">
      <c r="A158" s="723">
        <v>15</v>
      </c>
      <c r="B158" s="38" t="s">
        <v>3145</v>
      </c>
      <c r="C158" s="55" t="s">
        <v>11696</v>
      </c>
      <c r="D158" s="56">
        <v>0</v>
      </c>
      <c r="E158" s="56">
        <v>0</v>
      </c>
      <c r="F158" s="56">
        <v>0</v>
      </c>
      <c r="G158" s="56">
        <v>0</v>
      </c>
      <c r="H158" s="56">
        <v>0</v>
      </c>
      <c r="I158" s="56">
        <v>0</v>
      </c>
      <c r="J158" s="56">
        <v>0</v>
      </c>
      <c r="K158" s="56">
        <v>4543</v>
      </c>
      <c r="L158" s="56">
        <v>5034</v>
      </c>
      <c r="M158" s="56">
        <v>5072</v>
      </c>
      <c r="N158" s="56">
        <v>4939</v>
      </c>
      <c r="O158" s="56">
        <v>5080</v>
      </c>
      <c r="Q158" s="38" t="s">
        <v>4372</v>
      </c>
    </row>
    <row r="159" spans="1:17">
      <c r="A159" s="723">
        <v>16</v>
      </c>
      <c r="B159" s="38" t="s">
        <v>3146</v>
      </c>
      <c r="C159" s="55" t="s">
        <v>11697</v>
      </c>
      <c r="D159" s="56">
        <v>0</v>
      </c>
      <c r="E159" s="56">
        <v>0</v>
      </c>
      <c r="F159" s="56">
        <v>0</v>
      </c>
      <c r="G159" s="56">
        <v>0</v>
      </c>
      <c r="H159" s="56">
        <v>0</v>
      </c>
      <c r="I159" s="56">
        <v>0</v>
      </c>
      <c r="J159" s="56">
        <v>0</v>
      </c>
      <c r="K159" s="56">
        <v>4568</v>
      </c>
      <c r="L159" s="56">
        <v>4790</v>
      </c>
      <c r="M159" s="56">
        <v>4620</v>
      </c>
      <c r="N159" s="56">
        <v>4505</v>
      </c>
      <c r="O159" s="56">
        <v>4619</v>
      </c>
      <c r="Q159" s="38" t="s">
        <v>4372</v>
      </c>
    </row>
    <row r="160" spans="1:17">
      <c r="A160" s="723">
        <v>17</v>
      </c>
      <c r="B160" s="38" t="s">
        <v>3147</v>
      </c>
      <c r="C160" s="55" t="s">
        <v>11698</v>
      </c>
      <c r="D160" s="56">
        <v>0</v>
      </c>
      <c r="E160" s="56">
        <v>0</v>
      </c>
      <c r="F160" s="56">
        <v>0</v>
      </c>
      <c r="G160" s="56">
        <v>0</v>
      </c>
      <c r="H160" s="56">
        <v>0</v>
      </c>
      <c r="I160" s="56">
        <v>0</v>
      </c>
      <c r="J160" s="56">
        <v>0</v>
      </c>
      <c r="K160" s="58">
        <v>4448</v>
      </c>
      <c r="L160" s="58">
        <v>4615</v>
      </c>
      <c r="M160" s="58">
        <v>4438</v>
      </c>
      <c r="N160" s="58">
        <v>4243</v>
      </c>
      <c r="O160" s="58">
        <v>4359</v>
      </c>
      <c r="Q160" s="38" t="s">
        <v>4372</v>
      </c>
    </row>
    <row r="161" spans="1:17">
      <c r="A161" s="723">
        <v>18</v>
      </c>
      <c r="B161" s="157" t="s">
        <v>3148</v>
      </c>
      <c r="C161" s="55" t="s">
        <v>11699</v>
      </c>
      <c r="D161" s="56">
        <v>0</v>
      </c>
      <c r="E161" s="56">
        <v>0</v>
      </c>
      <c r="F161" s="56">
        <v>0</v>
      </c>
      <c r="G161" s="56">
        <v>0</v>
      </c>
      <c r="H161" s="56">
        <v>0</v>
      </c>
      <c r="I161" s="56">
        <v>0</v>
      </c>
      <c r="J161" s="56">
        <v>0</v>
      </c>
      <c r="K161" s="58">
        <v>5092</v>
      </c>
      <c r="L161" s="58">
        <v>5654</v>
      </c>
      <c r="M161" s="58">
        <v>5210</v>
      </c>
      <c r="N161" s="58">
        <v>5014</v>
      </c>
      <c r="O161" s="58">
        <v>5655</v>
      </c>
      <c r="Q161" s="38" t="s">
        <v>4372</v>
      </c>
    </row>
    <row r="163" spans="1:17">
      <c r="A163" s="38" t="s">
        <v>4372</v>
      </c>
      <c r="D163" s="718">
        <f>SUM(D144:D153)+SUM(D155:D161)</f>
        <v>79972</v>
      </c>
      <c r="E163" s="718">
        <f t="shared" ref="E163:K163" si="59">SUM(E144:E153)+SUM(E155:E161)</f>
        <v>80788</v>
      </c>
      <c r="F163" s="718">
        <f t="shared" si="59"/>
        <v>82214</v>
      </c>
      <c r="G163" s="718">
        <f t="shared" si="59"/>
        <v>83183</v>
      </c>
      <c r="H163" s="718">
        <f t="shared" si="59"/>
        <v>82626</v>
      </c>
      <c r="I163" s="718">
        <f t="shared" si="59"/>
        <v>82066</v>
      </c>
      <c r="J163" s="718">
        <f t="shared" si="59"/>
        <v>79129</v>
      </c>
      <c r="K163" s="718">
        <f t="shared" si="59"/>
        <v>80427</v>
      </c>
      <c r="L163" s="718">
        <f>SUM(L144:L153)+SUM(L155:L161)</f>
        <v>84650</v>
      </c>
      <c r="M163" s="718">
        <f>SUM(M144:M153)+SUM(M155:M161)</f>
        <v>81365</v>
      </c>
      <c r="N163" s="718">
        <f>SUM(N144:N153)+SUM(N155:N161)</f>
        <v>78312</v>
      </c>
      <c r="O163" s="718">
        <f>SUM(O144:O153)+SUM(O155:O161)</f>
        <v>81509</v>
      </c>
    </row>
    <row r="164" spans="1:17">
      <c r="A164" s="38" t="s">
        <v>4430</v>
      </c>
      <c r="D164" s="718">
        <f>D154</f>
        <v>7538</v>
      </c>
      <c r="E164" s="718">
        <f t="shared" ref="E164:K164" si="60">E154</f>
        <v>7503</v>
      </c>
      <c r="F164" s="718">
        <f t="shared" si="60"/>
        <v>7567</v>
      </c>
      <c r="G164" s="718">
        <f t="shared" si="60"/>
        <v>7610</v>
      </c>
      <c r="H164" s="718">
        <f t="shared" si="60"/>
        <v>7570</v>
      </c>
      <c r="I164" s="718">
        <f t="shared" si="60"/>
        <v>7456</v>
      </c>
      <c r="J164" s="718">
        <f t="shared" si="60"/>
        <v>7298</v>
      </c>
      <c r="K164" s="718">
        <f t="shared" si="60"/>
        <v>7329</v>
      </c>
      <c r="L164" s="718">
        <f>L154</f>
        <v>7601</v>
      </c>
      <c r="M164" s="718">
        <f>M154</f>
        <v>7464</v>
      </c>
      <c r="N164" s="718">
        <f>N154</f>
        <v>7244</v>
      </c>
      <c r="O164" s="718">
        <f>O154</f>
        <v>7459</v>
      </c>
    </row>
    <row r="165" spans="1:17">
      <c r="A165" s="38"/>
      <c r="B165" s="38"/>
      <c r="D165" s="726"/>
      <c r="E165" s="726"/>
      <c r="F165" s="726"/>
      <c r="G165" s="726"/>
      <c r="H165" s="726"/>
      <c r="I165" s="726"/>
      <c r="J165" s="726"/>
      <c r="K165" s="726"/>
      <c r="L165" s="726"/>
      <c r="M165" s="726"/>
      <c r="N165" s="726"/>
      <c r="O165" s="726"/>
    </row>
    <row r="166" spans="1:17">
      <c r="A166" s="38" t="s">
        <v>11704</v>
      </c>
      <c r="B166" s="38"/>
      <c r="D166" s="726"/>
      <c r="E166" s="726"/>
      <c r="F166" s="726"/>
      <c r="G166" s="726"/>
      <c r="H166" s="726"/>
      <c r="I166" s="726"/>
      <c r="J166" s="726"/>
      <c r="K166" s="726"/>
      <c r="L166" s="726"/>
      <c r="M166" s="726"/>
      <c r="N166" s="726"/>
      <c r="O166" s="726"/>
    </row>
    <row r="167" spans="1:17">
      <c r="A167" s="38"/>
      <c r="B167" s="38"/>
      <c r="D167" s="726"/>
      <c r="E167" s="726"/>
      <c r="F167" s="726"/>
      <c r="G167" s="726"/>
      <c r="H167" s="726"/>
      <c r="I167" s="726"/>
      <c r="J167" s="726"/>
      <c r="K167" s="726"/>
      <c r="L167" s="726"/>
      <c r="M167" s="726"/>
      <c r="N167" s="726"/>
      <c r="O167" s="726"/>
    </row>
    <row r="168" spans="1:17">
      <c r="A168" s="38"/>
      <c r="B168" s="38"/>
      <c r="D168" s="726"/>
      <c r="E168" s="726"/>
      <c r="F168" s="726"/>
      <c r="G168" s="726"/>
      <c r="H168" s="726"/>
      <c r="I168" s="726"/>
      <c r="J168" s="726"/>
      <c r="K168" s="726"/>
      <c r="L168" s="726"/>
      <c r="M168" s="726"/>
      <c r="N168" s="726"/>
      <c r="O168" s="726"/>
    </row>
    <row r="169" spans="1:17">
      <c r="E169" s="51" t="s">
        <v>1526</v>
      </c>
      <c r="F169" s="51"/>
      <c r="G169" s="51"/>
      <c r="H169" s="51"/>
      <c r="I169" s="51"/>
      <c r="J169" s="51"/>
      <c r="K169" s="51"/>
      <c r="L169" s="51"/>
      <c r="M169" s="51"/>
      <c r="N169" s="51"/>
      <c r="O169" s="51"/>
      <c r="P169" s="52"/>
      <c r="Q169" s="53" t="s">
        <v>9479</v>
      </c>
    </row>
    <row r="170" spans="1:17">
      <c r="D170" s="40">
        <v>2010</v>
      </c>
      <c r="E170" s="40">
        <v>2011</v>
      </c>
      <c r="F170" s="40">
        <v>2012</v>
      </c>
      <c r="G170" s="40">
        <v>2013</v>
      </c>
      <c r="H170" s="40">
        <v>2014</v>
      </c>
      <c r="I170" s="40">
        <v>2015</v>
      </c>
      <c r="J170" s="40">
        <v>2016</v>
      </c>
      <c r="K170" s="40">
        <v>2017</v>
      </c>
      <c r="L170" s="40">
        <v>2018</v>
      </c>
      <c r="M170" s="40">
        <v>2019</v>
      </c>
      <c r="N170" s="40">
        <v>2020</v>
      </c>
      <c r="O170" s="976" t="s">
        <v>14823</v>
      </c>
      <c r="P170" s="52"/>
      <c r="Q170" s="54" t="s">
        <v>1527</v>
      </c>
    </row>
    <row r="171" spans="1:17">
      <c r="A171" s="38" t="s">
        <v>4543</v>
      </c>
      <c r="D171" s="718">
        <f t="shared" ref="D171:M171" si="61">SUM(D172:D184)+SUM(D186:D201)</f>
        <v>88595</v>
      </c>
      <c r="E171" s="718">
        <f t="shared" si="61"/>
        <v>89487</v>
      </c>
      <c r="F171" s="718">
        <f t="shared" si="61"/>
        <v>90510</v>
      </c>
      <c r="G171" s="718">
        <f t="shared" si="61"/>
        <v>90368</v>
      </c>
      <c r="H171" s="718">
        <f t="shared" si="61"/>
        <v>89416</v>
      </c>
      <c r="I171" s="718">
        <f t="shared" si="61"/>
        <v>88663</v>
      </c>
      <c r="J171" s="718">
        <f t="shared" si="61"/>
        <v>91294</v>
      </c>
      <c r="K171" s="718">
        <f t="shared" si="61"/>
        <v>92461</v>
      </c>
      <c r="L171" s="718">
        <f t="shared" si="61"/>
        <v>93264</v>
      </c>
      <c r="M171" s="718">
        <f t="shared" si="61"/>
        <v>92419</v>
      </c>
      <c r="N171" s="718">
        <f>SUM(N172:N184)+SUM(N186:N201)</f>
        <v>95278</v>
      </c>
      <c r="O171" s="718">
        <f>SUM(O172:O184)+SUM(O186:O201)</f>
        <v>95391</v>
      </c>
    </row>
    <row r="172" spans="1:17">
      <c r="A172" s="38" t="s">
        <v>5387</v>
      </c>
      <c r="B172" s="157" t="s">
        <v>4544</v>
      </c>
      <c r="C172" s="157" t="s">
        <v>15056</v>
      </c>
      <c r="D172" s="718">
        <v>78261</v>
      </c>
      <c r="E172" s="718">
        <v>79135</v>
      </c>
      <c r="F172" s="718">
        <v>80114</v>
      </c>
      <c r="G172" s="56">
        <v>79998</v>
      </c>
      <c r="H172" s="56">
        <v>79226</v>
      </c>
      <c r="I172" s="56">
        <v>78539</v>
      </c>
      <c r="J172" s="56">
        <v>80909</v>
      </c>
      <c r="K172" s="56">
        <v>1723</v>
      </c>
      <c r="L172" s="56">
        <v>1724</v>
      </c>
      <c r="M172" s="56">
        <v>1714</v>
      </c>
      <c r="N172" s="56">
        <v>1768</v>
      </c>
      <c r="O172" s="56">
        <v>1796</v>
      </c>
      <c r="Q172" s="38" t="s">
        <v>4374</v>
      </c>
    </row>
    <row r="173" spans="1:17">
      <c r="A173" s="38" t="s">
        <v>5389</v>
      </c>
      <c r="B173" s="38" t="s">
        <v>11721</v>
      </c>
      <c r="C173" s="55" t="s">
        <v>11708</v>
      </c>
      <c r="D173" s="56">
        <v>0</v>
      </c>
      <c r="E173" s="56">
        <v>0</v>
      </c>
      <c r="F173" s="56">
        <v>0</v>
      </c>
      <c r="G173" s="56">
        <v>0</v>
      </c>
      <c r="H173" s="56">
        <v>0</v>
      </c>
      <c r="I173" s="56">
        <v>0</v>
      </c>
      <c r="J173" s="56">
        <v>0</v>
      </c>
      <c r="K173" s="56">
        <v>5658</v>
      </c>
      <c r="L173" s="56">
        <v>5717</v>
      </c>
      <c r="M173" s="56">
        <v>5690</v>
      </c>
      <c r="N173" s="56">
        <v>5803</v>
      </c>
      <c r="O173" s="56">
        <v>5807</v>
      </c>
      <c r="Q173" s="38" t="s">
        <v>4374</v>
      </c>
    </row>
    <row r="174" spans="1:17">
      <c r="A174" s="38" t="s">
        <v>5391</v>
      </c>
      <c r="B174" s="157" t="s">
        <v>3060</v>
      </c>
      <c r="C174" s="157" t="s">
        <v>15057</v>
      </c>
      <c r="D174" s="56">
        <v>0</v>
      </c>
      <c r="E174" s="56">
        <v>0</v>
      </c>
      <c r="F174" s="56">
        <v>0</v>
      </c>
      <c r="G174" s="56">
        <v>0</v>
      </c>
      <c r="H174" s="56">
        <v>0</v>
      </c>
      <c r="I174" s="56">
        <v>0</v>
      </c>
      <c r="J174" s="56">
        <v>0</v>
      </c>
      <c r="K174" s="56">
        <v>1869</v>
      </c>
      <c r="L174" s="56">
        <v>1866</v>
      </c>
      <c r="M174" s="56">
        <v>1894</v>
      </c>
      <c r="N174" s="56">
        <v>1911</v>
      </c>
      <c r="O174" s="56">
        <v>1840</v>
      </c>
      <c r="Q174" s="38" t="s">
        <v>4374</v>
      </c>
    </row>
    <row r="175" spans="1:17">
      <c r="A175" s="38" t="s">
        <v>5393</v>
      </c>
      <c r="B175" s="38" t="s">
        <v>979</v>
      </c>
      <c r="C175" s="996" t="s">
        <v>15069</v>
      </c>
      <c r="D175" s="56">
        <v>0</v>
      </c>
      <c r="E175" s="56">
        <v>0</v>
      </c>
      <c r="F175" s="56">
        <v>0</v>
      </c>
      <c r="G175" s="56">
        <v>0</v>
      </c>
      <c r="H175" s="56">
        <v>0</v>
      </c>
      <c r="I175" s="56">
        <v>0</v>
      </c>
      <c r="J175" s="56">
        <v>0</v>
      </c>
      <c r="K175" s="56">
        <v>5954</v>
      </c>
      <c r="L175" s="56">
        <v>5949</v>
      </c>
      <c r="M175" s="56">
        <v>5837</v>
      </c>
      <c r="N175" s="56">
        <v>5958</v>
      </c>
      <c r="O175" s="56">
        <v>5854</v>
      </c>
      <c r="Q175" s="38" t="s">
        <v>4374</v>
      </c>
    </row>
    <row r="176" spans="1:17">
      <c r="A176" s="38" t="s">
        <v>5394</v>
      </c>
      <c r="B176" s="38" t="s">
        <v>1703</v>
      </c>
      <c r="C176" s="55" t="s">
        <v>11709</v>
      </c>
      <c r="D176" s="56">
        <v>0</v>
      </c>
      <c r="E176" s="56">
        <v>0</v>
      </c>
      <c r="F176" s="56">
        <v>0</v>
      </c>
      <c r="G176" s="56">
        <v>0</v>
      </c>
      <c r="H176" s="56">
        <v>0</v>
      </c>
      <c r="I176" s="56">
        <v>0</v>
      </c>
      <c r="J176" s="56">
        <v>0</v>
      </c>
      <c r="K176" s="56">
        <v>3689</v>
      </c>
      <c r="L176" s="56">
        <v>3693</v>
      </c>
      <c r="M176" s="56">
        <v>3647</v>
      </c>
      <c r="N176" s="56">
        <v>3727</v>
      </c>
      <c r="O176" s="56">
        <v>3740</v>
      </c>
      <c r="Q176" s="38" t="s">
        <v>4374</v>
      </c>
    </row>
    <row r="177" spans="1:17">
      <c r="A177" s="38" t="s">
        <v>5416</v>
      </c>
      <c r="B177" s="38" t="s">
        <v>1704</v>
      </c>
      <c r="C177" s="55" t="s">
        <v>11710</v>
      </c>
      <c r="D177" s="56">
        <v>0</v>
      </c>
      <c r="E177" s="56">
        <v>0</v>
      </c>
      <c r="F177" s="56">
        <v>0</v>
      </c>
      <c r="G177" s="56">
        <v>0</v>
      </c>
      <c r="H177" s="56">
        <v>0</v>
      </c>
      <c r="I177" s="56">
        <v>0</v>
      </c>
      <c r="J177" s="56">
        <v>0</v>
      </c>
      <c r="K177" s="56">
        <v>3092</v>
      </c>
      <c r="L177" s="56">
        <v>3114</v>
      </c>
      <c r="M177" s="56">
        <v>3148</v>
      </c>
      <c r="N177" s="56">
        <v>3191</v>
      </c>
      <c r="O177" s="56">
        <v>3191</v>
      </c>
      <c r="Q177" s="38" t="s">
        <v>4374</v>
      </c>
    </row>
    <row r="178" spans="1:17">
      <c r="A178" s="38" t="s">
        <v>5418</v>
      </c>
      <c r="B178" s="157" t="s">
        <v>1705</v>
      </c>
      <c r="C178" s="157" t="s">
        <v>15058</v>
      </c>
      <c r="D178" s="56">
        <v>0</v>
      </c>
      <c r="E178" s="56">
        <v>0</v>
      </c>
      <c r="F178" s="56">
        <v>0</v>
      </c>
      <c r="G178" s="56">
        <v>0</v>
      </c>
      <c r="H178" s="56">
        <v>0</v>
      </c>
      <c r="I178" s="56">
        <v>0</v>
      </c>
      <c r="J178" s="56">
        <v>0</v>
      </c>
      <c r="K178" s="56">
        <v>5144</v>
      </c>
      <c r="L178" s="56">
        <v>5206</v>
      </c>
      <c r="M178" s="56">
        <v>5148</v>
      </c>
      <c r="N178" s="56">
        <v>5242</v>
      </c>
      <c r="O178" s="56">
        <v>5314</v>
      </c>
      <c r="Q178" s="38" t="s">
        <v>4374</v>
      </c>
    </row>
    <row r="179" spans="1:17">
      <c r="A179" s="38" t="s">
        <v>5420</v>
      </c>
      <c r="B179" s="38" t="s">
        <v>11722</v>
      </c>
      <c r="C179" s="55" t="s">
        <v>11711</v>
      </c>
      <c r="D179" s="56">
        <v>0</v>
      </c>
      <c r="E179" s="56">
        <v>0</v>
      </c>
      <c r="F179" s="56">
        <v>0</v>
      </c>
      <c r="G179" s="56">
        <v>0</v>
      </c>
      <c r="H179" s="56">
        <v>0</v>
      </c>
      <c r="I179" s="56">
        <v>0</v>
      </c>
      <c r="J179" s="56">
        <v>0</v>
      </c>
      <c r="K179" s="56">
        <v>1942</v>
      </c>
      <c r="L179" s="56">
        <v>1953</v>
      </c>
      <c r="M179" s="56">
        <v>1926</v>
      </c>
      <c r="N179" s="56">
        <v>1996</v>
      </c>
      <c r="O179" s="56">
        <v>2006</v>
      </c>
      <c r="Q179" s="38" t="s">
        <v>4374</v>
      </c>
    </row>
    <row r="180" spans="1:17">
      <c r="A180" s="38" t="s">
        <v>5422</v>
      </c>
      <c r="B180" s="38" t="s">
        <v>1706</v>
      </c>
      <c r="C180" s="55" t="s">
        <v>11712</v>
      </c>
      <c r="D180" s="56">
        <v>0</v>
      </c>
      <c r="E180" s="56">
        <v>0</v>
      </c>
      <c r="F180" s="56">
        <v>0</v>
      </c>
      <c r="G180" s="56">
        <v>0</v>
      </c>
      <c r="H180" s="56">
        <v>0</v>
      </c>
      <c r="I180" s="56">
        <v>0</v>
      </c>
      <c r="J180" s="56">
        <v>0</v>
      </c>
      <c r="K180" s="56">
        <v>5288</v>
      </c>
      <c r="L180" s="56">
        <v>5338</v>
      </c>
      <c r="M180" s="56">
        <v>5298</v>
      </c>
      <c r="N180" s="56">
        <v>5507</v>
      </c>
      <c r="O180" s="56">
        <v>5519</v>
      </c>
      <c r="Q180" s="38" t="s">
        <v>4374</v>
      </c>
    </row>
    <row r="181" spans="1:17">
      <c r="A181" s="38" t="s">
        <v>5424</v>
      </c>
      <c r="B181" s="157" t="s">
        <v>6064</v>
      </c>
      <c r="C181" s="157" t="s">
        <v>15059</v>
      </c>
      <c r="D181" s="56">
        <v>0</v>
      </c>
      <c r="E181" s="56">
        <v>0</v>
      </c>
      <c r="F181" s="56">
        <v>0</v>
      </c>
      <c r="G181" s="56">
        <v>0</v>
      </c>
      <c r="H181" s="56">
        <v>0</v>
      </c>
      <c r="I181" s="56">
        <v>0</v>
      </c>
      <c r="J181" s="56">
        <v>0</v>
      </c>
      <c r="K181" s="56">
        <v>5277</v>
      </c>
      <c r="L181" s="56">
        <v>5359</v>
      </c>
      <c r="M181" s="56">
        <v>5418</v>
      </c>
      <c r="N181" s="56">
        <v>5734</v>
      </c>
      <c r="O181" s="56">
        <v>5761</v>
      </c>
      <c r="Q181" s="38" t="s">
        <v>4374</v>
      </c>
    </row>
    <row r="182" spans="1:17">
      <c r="A182" s="38" t="s">
        <v>5426</v>
      </c>
      <c r="B182" s="157" t="s">
        <v>6065</v>
      </c>
      <c r="C182" s="157" t="s">
        <v>15060</v>
      </c>
      <c r="D182" s="56">
        <v>10334</v>
      </c>
      <c r="E182" s="56">
        <v>10352</v>
      </c>
      <c r="F182" s="56">
        <v>10396</v>
      </c>
      <c r="G182" s="56">
        <v>10370</v>
      </c>
      <c r="H182" s="56">
        <v>10190</v>
      </c>
      <c r="I182" s="56">
        <v>10124</v>
      </c>
      <c r="J182" s="56">
        <v>10385</v>
      </c>
      <c r="K182" s="58">
        <v>1763</v>
      </c>
      <c r="L182" s="58">
        <v>1773</v>
      </c>
      <c r="M182" s="58">
        <v>1739</v>
      </c>
      <c r="N182" s="58">
        <v>1849</v>
      </c>
      <c r="O182" s="58">
        <v>1825</v>
      </c>
      <c r="Q182" s="38" t="s">
        <v>4377</v>
      </c>
    </row>
    <row r="183" spans="1:17">
      <c r="A183" s="38" t="s">
        <v>5428</v>
      </c>
      <c r="B183" s="157" t="s">
        <v>6066</v>
      </c>
      <c r="C183" s="157" t="s">
        <v>15061</v>
      </c>
      <c r="D183" s="718">
        <v>0</v>
      </c>
      <c r="E183" s="718">
        <v>0</v>
      </c>
      <c r="F183" s="718">
        <v>0</v>
      </c>
      <c r="G183" s="56">
        <v>0</v>
      </c>
      <c r="H183" s="56">
        <v>0</v>
      </c>
      <c r="I183" s="56">
        <v>0</v>
      </c>
      <c r="J183" s="56">
        <v>0</v>
      </c>
      <c r="K183" s="56">
        <v>0</v>
      </c>
      <c r="L183" s="56">
        <v>0</v>
      </c>
      <c r="M183" s="56">
        <v>0</v>
      </c>
      <c r="N183" s="56">
        <v>7</v>
      </c>
      <c r="O183" s="56">
        <v>7</v>
      </c>
      <c r="Q183" s="38" t="s">
        <v>4374</v>
      </c>
    </row>
    <row r="184" spans="1:17" ht="15.75" thickBot="1">
      <c r="A184" s="996"/>
      <c r="B184" s="996"/>
      <c r="C184" s="157" t="s">
        <v>15061</v>
      </c>
      <c r="D184" s="718">
        <v>0</v>
      </c>
      <c r="E184" s="718">
        <v>0</v>
      </c>
      <c r="F184" s="718">
        <v>0</v>
      </c>
      <c r="G184" s="56">
        <v>0</v>
      </c>
      <c r="H184" s="56">
        <v>0</v>
      </c>
      <c r="I184" s="56">
        <v>0</v>
      </c>
      <c r="J184" s="56">
        <v>0</v>
      </c>
      <c r="K184" s="56">
        <v>3727</v>
      </c>
      <c r="L184" s="56">
        <v>3739</v>
      </c>
      <c r="M184" s="56">
        <v>3646</v>
      </c>
      <c r="N184" s="56">
        <v>3706</v>
      </c>
      <c r="O184" s="56">
        <v>3700</v>
      </c>
      <c r="Q184" s="38" t="s">
        <v>4377</v>
      </c>
    </row>
    <row r="185" spans="1:17" ht="15.75" thickBot="1">
      <c r="A185" s="38"/>
      <c r="C185" s="157" t="s">
        <v>15061</v>
      </c>
      <c r="D185" s="727">
        <f t="shared" ref="D185:N185" si="62">D183+D184</f>
        <v>0</v>
      </c>
      <c r="E185" s="727">
        <f t="shared" si="62"/>
        <v>0</v>
      </c>
      <c r="F185" s="727">
        <f t="shared" si="62"/>
        <v>0</v>
      </c>
      <c r="G185" s="727">
        <f t="shared" si="62"/>
        <v>0</v>
      </c>
      <c r="H185" s="727">
        <f t="shared" si="62"/>
        <v>0</v>
      </c>
      <c r="I185" s="727">
        <f t="shared" si="62"/>
        <v>0</v>
      </c>
      <c r="J185" s="727">
        <f t="shared" si="62"/>
        <v>0</v>
      </c>
      <c r="K185" s="727">
        <f t="shared" si="62"/>
        <v>3727</v>
      </c>
      <c r="L185" s="727">
        <f t="shared" si="62"/>
        <v>3739</v>
      </c>
      <c r="M185" s="727">
        <f t="shared" si="62"/>
        <v>3646</v>
      </c>
      <c r="N185" s="727">
        <f t="shared" si="62"/>
        <v>3713</v>
      </c>
      <c r="O185" s="727">
        <f>O183+O184</f>
        <v>3707</v>
      </c>
      <c r="Q185" s="38"/>
    </row>
    <row r="186" spans="1:17">
      <c r="A186" s="38" t="s">
        <v>5429</v>
      </c>
      <c r="B186" s="157" t="s">
        <v>6067</v>
      </c>
      <c r="C186" s="157" t="s">
        <v>15062</v>
      </c>
      <c r="D186" s="718">
        <v>0</v>
      </c>
      <c r="E186" s="718">
        <v>0</v>
      </c>
      <c r="F186" s="718">
        <v>0</v>
      </c>
      <c r="G186" s="56">
        <v>0</v>
      </c>
      <c r="H186" s="56">
        <v>0</v>
      </c>
      <c r="I186" s="56">
        <v>0</v>
      </c>
      <c r="J186" s="56">
        <v>0</v>
      </c>
      <c r="K186" s="56">
        <v>5303</v>
      </c>
      <c r="L186" s="56">
        <v>5259</v>
      </c>
      <c r="M186" s="56">
        <v>5218</v>
      </c>
      <c r="N186" s="56">
        <v>5351</v>
      </c>
      <c r="O186" s="56">
        <v>5346</v>
      </c>
      <c r="Q186" s="38" t="s">
        <v>4374</v>
      </c>
    </row>
    <row r="187" spans="1:17">
      <c r="A187" s="38" t="s">
        <v>5431</v>
      </c>
      <c r="B187" s="38" t="s">
        <v>11723</v>
      </c>
      <c r="C187" s="55" t="s">
        <v>11713</v>
      </c>
      <c r="D187" s="718">
        <v>0</v>
      </c>
      <c r="E187" s="718">
        <v>0</v>
      </c>
      <c r="F187" s="718">
        <v>0</v>
      </c>
      <c r="G187" s="718">
        <v>0</v>
      </c>
      <c r="H187" s="58">
        <v>0</v>
      </c>
      <c r="I187" s="728">
        <v>0</v>
      </c>
      <c r="J187" s="58">
        <v>0</v>
      </c>
      <c r="K187" s="56">
        <v>5724</v>
      </c>
      <c r="L187" s="56">
        <v>5765</v>
      </c>
      <c r="M187" s="56">
        <v>5688</v>
      </c>
      <c r="N187" s="56">
        <v>6001</v>
      </c>
      <c r="O187" s="56">
        <v>6009</v>
      </c>
      <c r="Q187" s="38" t="s">
        <v>4374</v>
      </c>
    </row>
    <row r="188" spans="1:17">
      <c r="A188" s="38" t="s">
        <v>5433</v>
      </c>
      <c r="B188" s="38" t="s">
        <v>11724</v>
      </c>
      <c r="C188" s="55" t="s">
        <v>11714</v>
      </c>
      <c r="D188" s="720">
        <v>0</v>
      </c>
      <c r="E188" s="720">
        <v>0</v>
      </c>
      <c r="F188" s="720">
        <v>0</v>
      </c>
      <c r="G188" s="720">
        <v>0</v>
      </c>
      <c r="H188" s="720">
        <v>0</v>
      </c>
      <c r="I188" s="56">
        <v>0</v>
      </c>
      <c r="J188" s="56">
        <v>0</v>
      </c>
      <c r="K188" s="56">
        <v>1758</v>
      </c>
      <c r="L188" s="56">
        <v>1770</v>
      </c>
      <c r="M188" s="56">
        <v>1782</v>
      </c>
      <c r="N188" s="56">
        <v>1793</v>
      </c>
      <c r="O188" s="56">
        <v>1795</v>
      </c>
      <c r="Q188" s="157" t="s">
        <v>4374</v>
      </c>
    </row>
    <row r="189" spans="1:17">
      <c r="A189" s="38" t="s">
        <v>5435</v>
      </c>
      <c r="B189" s="157" t="s">
        <v>6068</v>
      </c>
      <c r="C189" s="157" t="s">
        <v>15063</v>
      </c>
      <c r="D189" s="720">
        <v>0</v>
      </c>
      <c r="E189" s="720">
        <v>0</v>
      </c>
      <c r="F189" s="720">
        <v>0</v>
      </c>
      <c r="G189" s="720">
        <v>0</v>
      </c>
      <c r="H189" s="720">
        <v>0</v>
      </c>
      <c r="I189" s="56">
        <v>0</v>
      </c>
      <c r="J189" s="56">
        <v>0</v>
      </c>
      <c r="K189" s="56">
        <v>3605</v>
      </c>
      <c r="L189" s="56">
        <v>3630</v>
      </c>
      <c r="M189" s="56">
        <v>3519</v>
      </c>
      <c r="N189" s="56">
        <v>3611</v>
      </c>
      <c r="O189" s="56">
        <v>3584</v>
      </c>
      <c r="Q189" s="38" t="s">
        <v>4374</v>
      </c>
    </row>
    <row r="190" spans="1:17">
      <c r="A190" s="38" t="s">
        <v>5436</v>
      </c>
      <c r="B190" s="157" t="s">
        <v>6069</v>
      </c>
      <c r="C190" s="157" t="s">
        <v>15064</v>
      </c>
      <c r="D190" s="720">
        <v>0</v>
      </c>
      <c r="E190" s="720">
        <v>0</v>
      </c>
      <c r="F190" s="720">
        <v>0</v>
      </c>
      <c r="G190" s="720">
        <v>0</v>
      </c>
      <c r="H190" s="720">
        <v>0</v>
      </c>
      <c r="I190" s="56">
        <v>0</v>
      </c>
      <c r="J190" s="56">
        <v>0</v>
      </c>
      <c r="K190" s="56">
        <v>4100</v>
      </c>
      <c r="L190" s="56">
        <v>4189</v>
      </c>
      <c r="M190" s="56">
        <v>4124</v>
      </c>
      <c r="N190" s="56">
        <v>4265</v>
      </c>
      <c r="O190" s="56">
        <v>4294</v>
      </c>
      <c r="Q190" s="38" t="s">
        <v>4374</v>
      </c>
    </row>
    <row r="191" spans="1:17">
      <c r="A191" s="38" t="s">
        <v>5437</v>
      </c>
      <c r="B191" s="157" t="s">
        <v>6070</v>
      </c>
      <c r="C191" s="157" t="s">
        <v>15065</v>
      </c>
      <c r="D191" s="720">
        <v>0</v>
      </c>
      <c r="E191" s="720">
        <v>0</v>
      </c>
      <c r="F191" s="720">
        <v>0</v>
      </c>
      <c r="G191" s="720">
        <v>0</v>
      </c>
      <c r="H191" s="720">
        <v>0</v>
      </c>
      <c r="I191" s="56">
        <v>0</v>
      </c>
      <c r="J191" s="56">
        <v>0</v>
      </c>
      <c r="K191" s="58">
        <v>5790</v>
      </c>
      <c r="L191" s="58">
        <v>5817</v>
      </c>
      <c r="M191" s="58">
        <v>5721</v>
      </c>
      <c r="N191" s="58">
        <v>5768</v>
      </c>
      <c r="O191" s="58">
        <v>5899</v>
      </c>
      <c r="Q191" s="38" t="s">
        <v>4374</v>
      </c>
    </row>
    <row r="192" spans="1:17">
      <c r="A192" s="38" t="s">
        <v>5439</v>
      </c>
      <c r="B192" s="38" t="s">
        <v>11725</v>
      </c>
      <c r="C192" s="55" t="s">
        <v>11715</v>
      </c>
      <c r="D192" s="720">
        <v>0</v>
      </c>
      <c r="E192" s="720">
        <v>0</v>
      </c>
      <c r="F192" s="720">
        <v>0</v>
      </c>
      <c r="G192" s="720">
        <v>0</v>
      </c>
      <c r="H192" s="720">
        <v>0</v>
      </c>
      <c r="I192" s="56">
        <v>0</v>
      </c>
      <c r="J192" s="56">
        <v>0</v>
      </c>
      <c r="K192" s="58">
        <v>1643</v>
      </c>
      <c r="L192" s="58">
        <v>1675</v>
      </c>
      <c r="M192" s="58">
        <v>1661</v>
      </c>
      <c r="N192" s="58">
        <v>1754</v>
      </c>
      <c r="O192" s="58">
        <v>1760</v>
      </c>
      <c r="Q192" s="38" t="s">
        <v>4374</v>
      </c>
    </row>
    <row r="193" spans="1:17">
      <c r="A193" s="38" t="s">
        <v>5441</v>
      </c>
      <c r="B193" s="38" t="s">
        <v>11726</v>
      </c>
      <c r="C193" s="55" t="s">
        <v>11716</v>
      </c>
      <c r="D193" s="720">
        <v>0</v>
      </c>
      <c r="E193" s="720">
        <v>0</v>
      </c>
      <c r="F193" s="720">
        <v>0</v>
      </c>
      <c r="G193" s="720">
        <v>0</v>
      </c>
      <c r="H193" s="720">
        <v>0</v>
      </c>
      <c r="I193" s="56">
        <v>0</v>
      </c>
      <c r="J193" s="56">
        <v>0</v>
      </c>
      <c r="K193" s="58">
        <v>1866</v>
      </c>
      <c r="L193" s="58">
        <v>1899</v>
      </c>
      <c r="M193" s="58">
        <v>1859</v>
      </c>
      <c r="N193" s="58">
        <v>1903</v>
      </c>
      <c r="O193" s="58">
        <v>1905</v>
      </c>
      <c r="Q193" s="38" t="s">
        <v>4374</v>
      </c>
    </row>
    <row r="194" spans="1:17">
      <c r="A194" s="38" t="s">
        <v>5886</v>
      </c>
      <c r="B194" s="38" t="s">
        <v>11727</v>
      </c>
      <c r="C194" s="55" t="s">
        <v>11717</v>
      </c>
      <c r="D194" s="720">
        <v>0</v>
      </c>
      <c r="E194" s="720">
        <v>0</v>
      </c>
      <c r="F194" s="720">
        <v>0</v>
      </c>
      <c r="G194" s="720">
        <v>0</v>
      </c>
      <c r="H194" s="720">
        <v>0</v>
      </c>
      <c r="I194" s="56">
        <v>0</v>
      </c>
      <c r="J194" s="56">
        <v>0</v>
      </c>
      <c r="K194" s="58">
        <v>1708</v>
      </c>
      <c r="L194" s="58">
        <v>1784</v>
      </c>
      <c r="M194" s="58">
        <v>1771</v>
      </c>
      <c r="N194" s="58">
        <v>1851</v>
      </c>
      <c r="O194" s="58">
        <v>1850</v>
      </c>
      <c r="Q194" s="38" t="s">
        <v>4374</v>
      </c>
    </row>
    <row r="195" spans="1:17">
      <c r="A195" s="38" t="s">
        <v>5888</v>
      </c>
      <c r="B195" s="157" t="s">
        <v>11728</v>
      </c>
      <c r="C195" s="157" t="s">
        <v>15066</v>
      </c>
      <c r="D195" s="720">
        <v>0</v>
      </c>
      <c r="E195" s="720">
        <v>0</v>
      </c>
      <c r="F195" s="720">
        <v>0</v>
      </c>
      <c r="G195" s="720">
        <v>0</v>
      </c>
      <c r="H195" s="720">
        <v>0</v>
      </c>
      <c r="I195" s="56">
        <v>0</v>
      </c>
      <c r="J195" s="56">
        <v>0</v>
      </c>
      <c r="K195" s="58">
        <v>1705</v>
      </c>
      <c r="L195" s="58">
        <v>1718</v>
      </c>
      <c r="M195" s="58">
        <v>1746</v>
      </c>
      <c r="N195" s="58">
        <v>1765</v>
      </c>
      <c r="O195" s="58">
        <v>1685</v>
      </c>
      <c r="Q195" s="38" t="s">
        <v>4374</v>
      </c>
    </row>
    <row r="196" spans="1:17">
      <c r="A196" s="38" t="s">
        <v>5889</v>
      </c>
      <c r="B196" s="38" t="s">
        <v>11729</v>
      </c>
      <c r="C196" s="55" t="s">
        <v>11718</v>
      </c>
      <c r="D196" s="720">
        <v>0</v>
      </c>
      <c r="E196" s="720">
        <v>0</v>
      </c>
      <c r="F196" s="720">
        <v>0</v>
      </c>
      <c r="G196" s="720">
        <v>0</v>
      </c>
      <c r="H196" s="720">
        <v>0</v>
      </c>
      <c r="I196" s="56">
        <v>0</v>
      </c>
      <c r="J196" s="56">
        <v>0</v>
      </c>
      <c r="K196" s="58">
        <v>1677</v>
      </c>
      <c r="L196" s="58">
        <v>1684</v>
      </c>
      <c r="M196" s="58">
        <v>1640</v>
      </c>
      <c r="N196" s="58">
        <v>1668</v>
      </c>
      <c r="O196" s="58">
        <v>1670</v>
      </c>
      <c r="Q196" s="38" t="s">
        <v>4374</v>
      </c>
    </row>
    <row r="197" spans="1:17">
      <c r="A197" s="38" t="s">
        <v>4431</v>
      </c>
      <c r="B197" s="38" t="s">
        <v>11730</v>
      </c>
      <c r="C197" s="55" t="s">
        <v>11719</v>
      </c>
      <c r="D197" s="720">
        <v>0</v>
      </c>
      <c r="E197" s="720">
        <v>0</v>
      </c>
      <c r="F197" s="720">
        <v>0</v>
      </c>
      <c r="G197" s="720">
        <v>0</v>
      </c>
      <c r="H197" s="720">
        <v>0</v>
      </c>
      <c r="I197" s="56">
        <v>0</v>
      </c>
      <c r="J197" s="56">
        <v>0</v>
      </c>
      <c r="K197" s="58">
        <v>1698</v>
      </c>
      <c r="L197" s="58">
        <v>1716</v>
      </c>
      <c r="M197" s="58">
        <v>1639</v>
      </c>
      <c r="N197" s="58">
        <v>1756</v>
      </c>
      <c r="O197" s="58">
        <v>1750</v>
      </c>
      <c r="Q197" s="38" t="s">
        <v>4374</v>
      </c>
    </row>
    <row r="198" spans="1:17">
      <c r="A198" s="38" t="s">
        <v>4432</v>
      </c>
      <c r="B198" s="38" t="s">
        <v>6071</v>
      </c>
      <c r="C198" s="55" t="s">
        <v>11720</v>
      </c>
      <c r="D198" s="720">
        <v>0</v>
      </c>
      <c r="E198" s="720">
        <v>0</v>
      </c>
      <c r="F198" s="720">
        <v>0</v>
      </c>
      <c r="G198" s="720">
        <v>0</v>
      </c>
      <c r="H198" s="720">
        <v>0</v>
      </c>
      <c r="I198" s="56">
        <v>0</v>
      </c>
      <c r="J198" s="56">
        <v>0</v>
      </c>
      <c r="K198" s="58">
        <v>3370</v>
      </c>
      <c r="L198" s="58">
        <v>3498</v>
      </c>
      <c r="M198" s="58">
        <v>3585</v>
      </c>
      <c r="N198" s="58">
        <v>3816</v>
      </c>
      <c r="O198" s="58">
        <v>3808</v>
      </c>
      <c r="Q198" s="38" t="s">
        <v>4374</v>
      </c>
    </row>
    <row r="199" spans="1:17">
      <c r="A199" s="38" t="s">
        <v>4434</v>
      </c>
      <c r="B199" s="157" t="s">
        <v>6072</v>
      </c>
      <c r="C199" s="157" t="s">
        <v>15067</v>
      </c>
      <c r="D199" s="720">
        <v>0</v>
      </c>
      <c r="E199" s="720">
        <v>0</v>
      </c>
      <c r="F199" s="720">
        <v>0</v>
      </c>
      <c r="G199" s="720">
        <v>0</v>
      </c>
      <c r="H199" s="720">
        <v>0</v>
      </c>
      <c r="I199" s="56">
        <v>0</v>
      </c>
      <c r="J199" s="56">
        <v>0</v>
      </c>
      <c r="K199" s="58">
        <v>1872</v>
      </c>
      <c r="L199" s="58">
        <v>1894</v>
      </c>
      <c r="M199" s="58">
        <v>1862</v>
      </c>
      <c r="N199" s="58">
        <v>1928</v>
      </c>
      <c r="O199" s="58">
        <v>2005</v>
      </c>
      <c r="Q199" s="38" t="s">
        <v>4374</v>
      </c>
    </row>
    <row r="200" spans="1:17">
      <c r="A200" s="38" t="s">
        <v>4533</v>
      </c>
      <c r="B200" s="157" t="s">
        <v>6074</v>
      </c>
      <c r="C200" s="157" t="s">
        <v>15068</v>
      </c>
      <c r="D200" s="720">
        <v>0</v>
      </c>
      <c r="E200" s="720">
        <v>0</v>
      </c>
      <c r="F200" s="720">
        <v>0</v>
      </c>
      <c r="G200" s="720">
        <v>0</v>
      </c>
      <c r="H200" s="720">
        <v>0</v>
      </c>
      <c r="I200" s="56">
        <v>0</v>
      </c>
      <c r="J200" s="56">
        <v>0</v>
      </c>
      <c r="K200" s="58">
        <v>394</v>
      </c>
      <c r="L200" s="58">
        <v>399</v>
      </c>
      <c r="M200" s="58">
        <v>378</v>
      </c>
      <c r="N200" s="58">
        <v>378</v>
      </c>
      <c r="O200" s="58">
        <v>378</v>
      </c>
      <c r="Q200" s="38" t="s">
        <v>4374</v>
      </c>
    </row>
    <row r="201" spans="1:17" ht="15.75" thickBot="1">
      <c r="A201" s="38"/>
      <c r="B201" s="38"/>
      <c r="C201" s="157" t="s">
        <v>15068</v>
      </c>
      <c r="D201" s="720">
        <v>0</v>
      </c>
      <c r="E201" s="720">
        <v>0</v>
      </c>
      <c r="F201" s="720">
        <v>0</v>
      </c>
      <c r="G201" s="720">
        <v>0</v>
      </c>
      <c r="H201" s="720">
        <v>0</v>
      </c>
      <c r="I201" s="56">
        <v>0</v>
      </c>
      <c r="J201" s="56">
        <v>0</v>
      </c>
      <c r="K201" s="58">
        <v>5122</v>
      </c>
      <c r="L201" s="58">
        <v>5136</v>
      </c>
      <c r="M201" s="58">
        <v>5121</v>
      </c>
      <c r="N201" s="58">
        <v>5271</v>
      </c>
      <c r="O201" s="58">
        <v>5293</v>
      </c>
      <c r="Q201" s="38" t="s">
        <v>4377</v>
      </c>
    </row>
    <row r="202" spans="1:17" ht="15.75" thickBot="1">
      <c r="A202" s="38"/>
      <c r="B202" s="38"/>
      <c r="C202" s="157" t="s">
        <v>15068</v>
      </c>
      <c r="D202" s="727">
        <f t="shared" ref="D202:K202" si="63">D200+D201</f>
        <v>0</v>
      </c>
      <c r="E202" s="727">
        <f t="shared" si="63"/>
        <v>0</v>
      </c>
      <c r="F202" s="727">
        <f t="shared" si="63"/>
        <v>0</v>
      </c>
      <c r="G202" s="727">
        <f t="shared" si="63"/>
        <v>0</v>
      </c>
      <c r="H202" s="727">
        <f t="shared" si="63"/>
        <v>0</v>
      </c>
      <c r="I202" s="727">
        <f t="shared" si="63"/>
        <v>0</v>
      </c>
      <c r="J202" s="727">
        <f t="shared" si="63"/>
        <v>0</v>
      </c>
      <c r="K202" s="727">
        <f t="shared" si="63"/>
        <v>5516</v>
      </c>
      <c r="L202" s="727">
        <f>L200+L201</f>
        <v>5535</v>
      </c>
      <c r="M202" s="727">
        <f>M200+M201</f>
        <v>5499</v>
      </c>
      <c r="N202" s="727">
        <f>N200+N201</f>
        <v>5649</v>
      </c>
      <c r="O202" s="727">
        <f>O200+O201</f>
        <v>5671</v>
      </c>
      <c r="Q202" s="38"/>
    </row>
    <row r="203" spans="1:17">
      <c r="A203" s="38"/>
      <c r="B203" s="38"/>
      <c r="C203" s="55"/>
      <c r="D203" s="718"/>
      <c r="E203" s="718"/>
      <c r="F203" s="718"/>
      <c r="G203" s="718"/>
      <c r="H203" s="58"/>
      <c r="I203" s="728"/>
      <c r="J203" s="58"/>
      <c r="K203" s="58"/>
      <c r="L203" s="58"/>
      <c r="M203" s="58"/>
      <c r="N203" s="58"/>
      <c r="O203" s="58"/>
    </row>
    <row r="204" spans="1:17">
      <c r="A204" s="38" t="s">
        <v>4374</v>
      </c>
      <c r="D204" s="718">
        <f t="shared" ref="D204:M204" si="64">SUM(D172:D181,D183,D186:D200)</f>
        <v>78261</v>
      </c>
      <c r="E204" s="718">
        <f t="shared" si="64"/>
        <v>79135</v>
      </c>
      <c r="F204" s="718">
        <f t="shared" si="64"/>
        <v>80114</v>
      </c>
      <c r="G204" s="718">
        <f t="shared" si="64"/>
        <v>79998</v>
      </c>
      <c r="H204" s="718">
        <f t="shared" si="64"/>
        <v>79226</v>
      </c>
      <c r="I204" s="718">
        <f t="shared" si="64"/>
        <v>78539</v>
      </c>
      <c r="J204" s="718">
        <f t="shared" si="64"/>
        <v>80909</v>
      </c>
      <c r="K204" s="718">
        <f t="shared" si="64"/>
        <v>81849</v>
      </c>
      <c r="L204" s="718">
        <f t="shared" si="64"/>
        <v>82616</v>
      </c>
      <c r="M204" s="718">
        <f t="shared" si="64"/>
        <v>81913</v>
      </c>
      <c r="N204" s="718">
        <f>SUM(N172:N181,N183,N186:N200)</f>
        <v>84452</v>
      </c>
      <c r="O204" s="718">
        <f>SUM(O172:O181,O183,O186:O200)</f>
        <v>84573</v>
      </c>
    </row>
    <row r="205" spans="1:17">
      <c r="A205" s="38" t="s">
        <v>1666</v>
      </c>
      <c r="D205" s="718">
        <f t="shared" ref="D205:M205" si="65">D182+D184+D201</f>
        <v>10334</v>
      </c>
      <c r="E205" s="718">
        <f t="shared" si="65"/>
        <v>10352</v>
      </c>
      <c r="F205" s="718">
        <f t="shared" si="65"/>
        <v>10396</v>
      </c>
      <c r="G205" s="718">
        <f t="shared" si="65"/>
        <v>10370</v>
      </c>
      <c r="H205" s="718">
        <f t="shared" si="65"/>
        <v>10190</v>
      </c>
      <c r="I205" s="718">
        <f t="shared" si="65"/>
        <v>10124</v>
      </c>
      <c r="J205" s="718">
        <f t="shared" si="65"/>
        <v>10385</v>
      </c>
      <c r="K205" s="718">
        <f t="shared" si="65"/>
        <v>10612</v>
      </c>
      <c r="L205" s="718">
        <f t="shared" si="65"/>
        <v>10648</v>
      </c>
      <c r="M205" s="718">
        <f t="shared" si="65"/>
        <v>10506</v>
      </c>
      <c r="N205" s="718">
        <f>N182+N184+N201</f>
        <v>10826</v>
      </c>
      <c r="O205" s="718">
        <f>O182+O184+O201</f>
        <v>10818</v>
      </c>
      <c r="P205" s="718"/>
    </row>
    <row r="206" spans="1:17">
      <c r="A206" s="38"/>
      <c r="D206" s="718"/>
      <c r="E206" s="718"/>
      <c r="F206" s="718"/>
      <c r="G206" s="718"/>
      <c r="H206" s="718"/>
      <c r="I206" s="718"/>
      <c r="J206" s="718"/>
      <c r="K206" s="718"/>
      <c r="L206" s="718"/>
      <c r="M206" s="718"/>
      <c r="N206" s="718"/>
      <c r="O206" s="718"/>
    </row>
    <row r="207" spans="1:17">
      <c r="A207" s="38" t="s">
        <v>11707</v>
      </c>
      <c r="D207" s="718"/>
      <c r="E207" s="718"/>
      <c r="F207" s="718"/>
      <c r="G207" s="718"/>
      <c r="H207" s="718"/>
      <c r="I207" s="718"/>
      <c r="J207" s="718"/>
      <c r="K207" s="718"/>
      <c r="L207" s="718"/>
      <c r="M207" s="718"/>
      <c r="N207" s="718"/>
      <c r="O207" s="718"/>
    </row>
    <row r="208" spans="1:17">
      <c r="A208" s="38" t="s">
        <v>14348</v>
      </c>
      <c r="B208" s="38"/>
      <c r="D208" s="726"/>
      <c r="E208" s="726"/>
      <c r="F208" s="726"/>
      <c r="G208" s="726"/>
      <c r="H208" s="726"/>
      <c r="I208" s="726"/>
      <c r="J208" s="726"/>
      <c r="K208" s="726"/>
      <c r="L208" s="726"/>
      <c r="M208" s="726"/>
      <c r="N208" s="726"/>
      <c r="O208" s="726"/>
    </row>
    <row r="209" spans="1:17">
      <c r="A209" s="38"/>
      <c r="B209" s="38"/>
      <c r="D209" s="726"/>
      <c r="E209" s="726"/>
      <c r="F209" s="726"/>
      <c r="G209" s="726"/>
      <c r="H209" s="726"/>
      <c r="I209" s="726"/>
      <c r="J209" s="726"/>
      <c r="K209" s="726"/>
      <c r="L209" s="726"/>
      <c r="M209" s="726"/>
      <c r="N209" s="726"/>
      <c r="O209" s="726"/>
    </row>
    <row r="210" spans="1:17">
      <c r="A210" s="38"/>
      <c r="B210" s="38"/>
      <c r="D210" s="726"/>
      <c r="E210" s="726"/>
      <c r="F210" s="726"/>
      <c r="G210" s="726"/>
      <c r="H210" s="726"/>
      <c r="I210" s="726"/>
      <c r="J210" s="726"/>
      <c r="K210" s="726"/>
      <c r="L210" s="726"/>
      <c r="M210" s="726"/>
      <c r="N210" s="726"/>
      <c r="O210" s="726"/>
    </row>
    <row r="211" spans="1:17">
      <c r="E211" s="51" t="s">
        <v>1526</v>
      </c>
      <c r="F211" s="51"/>
      <c r="G211" s="51"/>
      <c r="H211" s="51"/>
      <c r="I211" s="51"/>
      <c r="J211" s="51"/>
      <c r="K211" s="51"/>
      <c r="L211" s="51"/>
      <c r="M211" s="51"/>
      <c r="N211" s="51"/>
      <c r="O211" s="51"/>
      <c r="P211" s="52"/>
      <c r="Q211" s="53" t="s">
        <v>9479</v>
      </c>
    </row>
    <row r="212" spans="1:17">
      <c r="D212" s="40">
        <v>2010</v>
      </c>
      <c r="E212" s="40">
        <v>2011</v>
      </c>
      <c r="F212" s="40">
        <v>2012</v>
      </c>
      <c r="G212" s="40">
        <v>2013</v>
      </c>
      <c r="H212" s="40">
        <v>2014</v>
      </c>
      <c r="I212" s="40">
        <v>2015</v>
      </c>
      <c r="J212" s="40">
        <v>2016</v>
      </c>
      <c r="K212" s="40">
        <v>2017</v>
      </c>
      <c r="L212" s="40">
        <v>2018</v>
      </c>
      <c r="M212" s="40">
        <v>2019</v>
      </c>
      <c r="N212" s="40">
        <v>2020</v>
      </c>
      <c r="O212" s="976" t="s">
        <v>14823</v>
      </c>
      <c r="P212" s="52"/>
      <c r="Q212" s="54" t="s">
        <v>1527</v>
      </c>
    </row>
    <row r="213" spans="1:17">
      <c r="A213" s="38" t="s">
        <v>3085</v>
      </c>
      <c r="D213" s="718">
        <f t="shared" ref="D213:M213" si="66">SUM(D214:D233)</f>
        <v>63391</v>
      </c>
      <c r="E213" s="718">
        <f t="shared" si="66"/>
        <v>64334</v>
      </c>
      <c r="F213" s="718">
        <f t="shared" si="66"/>
        <v>64993</v>
      </c>
      <c r="G213" s="718">
        <f t="shared" si="66"/>
        <v>65547</v>
      </c>
      <c r="H213" s="718">
        <f t="shared" si="66"/>
        <v>65597</v>
      </c>
      <c r="I213" s="718">
        <f t="shared" si="66"/>
        <v>65129</v>
      </c>
      <c r="J213" s="718">
        <f t="shared" si="66"/>
        <v>65989</v>
      </c>
      <c r="K213" s="718">
        <f t="shared" si="66"/>
        <v>68049</v>
      </c>
      <c r="L213" s="718">
        <f t="shared" si="66"/>
        <v>69723</v>
      </c>
      <c r="M213" s="718">
        <f t="shared" si="66"/>
        <v>69324</v>
      </c>
      <c r="N213" s="718">
        <f>SUM(N214:N233)</f>
        <v>70243</v>
      </c>
      <c r="O213" s="718">
        <f>SUM(O214:O233)</f>
        <v>70954</v>
      </c>
    </row>
    <row r="214" spans="1:17">
      <c r="A214" s="38" t="s">
        <v>5387</v>
      </c>
      <c r="B214" s="157" t="s">
        <v>6084</v>
      </c>
      <c r="C214" s="55" t="s">
        <v>14020</v>
      </c>
      <c r="D214" s="718">
        <v>59848</v>
      </c>
      <c r="E214" s="718">
        <v>60784</v>
      </c>
      <c r="F214" s="718">
        <v>61464</v>
      </c>
      <c r="G214" s="718">
        <v>62002</v>
      </c>
      <c r="H214" s="718">
        <v>62141</v>
      </c>
      <c r="I214" s="718">
        <v>61721</v>
      </c>
      <c r="J214" s="718">
        <v>62574</v>
      </c>
      <c r="K214" s="718">
        <v>64590</v>
      </c>
      <c r="L214" s="718">
        <v>66222</v>
      </c>
      <c r="M214" s="56">
        <v>2016</v>
      </c>
      <c r="N214" s="56">
        <v>2047</v>
      </c>
      <c r="O214" s="56">
        <v>2059</v>
      </c>
      <c r="Q214" s="38" t="s">
        <v>4376</v>
      </c>
    </row>
    <row r="215" spans="1:17">
      <c r="A215" s="38" t="s">
        <v>5389</v>
      </c>
      <c r="B215" s="157" t="s">
        <v>12521</v>
      </c>
      <c r="C215" s="55" t="s">
        <v>14021</v>
      </c>
      <c r="D215" s="718">
        <v>0</v>
      </c>
      <c r="E215" s="718">
        <v>0</v>
      </c>
      <c r="F215" s="718">
        <v>0</v>
      </c>
      <c r="G215" s="718">
        <v>0</v>
      </c>
      <c r="H215" s="718">
        <v>0</v>
      </c>
      <c r="I215" s="718">
        <v>0</v>
      </c>
      <c r="J215" s="718">
        <v>0</v>
      </c>
      <c r="K215" s="718">
        <v>0</v>
      </c>
      <c r="L215" s="718">
        <v>0</v>
      </c>
      <c r="M215" s="56">
        <v>2752</v>
      </c>
      <c r="N215" s="56">
        <v>2723</v>
      </c>
      <c r="O215" s="56">
        <v>2739</v>
      </c>
      <c r="Q215" s="38" t="s">
        <v>4376</v>
      </c>
    </row>
    <row r="216" spans="1:17">
      <c r="A216" s="38" t="s">
        <v>5391</v>
      </c>
      <c r="B216" s="157" t="s">
        <v>12522</v>
      </c>
      <c r="C216" s="55" t="s">
        <v>14022</v>
      </c>
      <c r="D216" s="718">
        <v>0</v>
      </c>
      <c r="E216" s="718">
        <v>0</v>
      </c>
      <c r="F216" s="718">
        <v>0</v>
      </c>
      <c r="G216" s="718">
        <v>0</v>
      </c>
      <c r="H216" s="718">
        <v>0</v>
      </c>
      <c r="I216" s="718">
        <v>0</v>
      </c>
      <c r="J216" s="718">
        <v>0</v>
      </c>
      <c r="K216" s="718">
        <v>0</v>
      </c>
      <c r="L216" s="718">
        <v>0</v>
      </c>
      <c r="M216" s="56">
        <v>3601</v>
      </c>
      <c r="N216" s="56">
        <v>3715</v>
      </c>
      <c r="O216" s="56">
        <v>3806</v>
      </c>
      <c r="Q216" s="38" t="s">
        <v>4376</v>
      </c>
    </row>
    <row r="217" spans="1:17">
      <c r="A217" s="38" t="s">
        <v>5393</v>
      </c>
      <c r="B217" s="157" t="s">
        <v>12523</v>
      </c>
      <c r="C217" s="55" t="s">
        <v>14023</v>
      </c>
      <c r="D217" s="718">
        <v>0</v>
      </c>
      <c r="E217" s="718">
        <v>0</v>
      </c>
      <c r="F217" s="718">
        <v>0</v>
      </c>
      <c r="G217" s="718">
        <v>0</v>
      </c>
      <c r="H217" s="718">
        <v>0</v>
      </c>
      <c r="I217" s="718">
        <v>0</v>
      </c>
      <c r="J217" s="718">
        <v>0</v>
      </c>
      <c r="K217" s="718">
        <v>0</v>
      </c>
      <c r="L217" s="718">
        <v>0</v>
      </c>
      <c r="M217" s="56">
        <v>5000</v>
      </c>
      <c r="N217" s="56">
        <v>5028</v>
      </c>
      <c r="O217" s="56">
        <v>5027</v>
      </c>
      <c r="Q217" s="38" t="s">
        <v>4376</v>
      </c>
    </row>
    <row r="218" spans="1:17">
      <c r="A218" s="38" t="s">
        <v>5394</v>
      </c>
      <c r="B218" s="157" t="s">
        <v>12524</v>
      </c>
      <c r="C218" s="55" t="s">
        <v>14024</v>
      </c>
      <c r="D218" s="718">
        <v>0</v>
      </c>
      <c r="E218" s="718">
        <v>0</v>
      </c>
      <c r="F218" s="718">
        <v>0</v>
      </c>
      <c r="G218" s="718">
        <v>0</v>
      </c>
      <c r="H218" s="718">
        <v>0</v>
      </c>
      <c r="I218" s="718">
        <v>0</v>
      </c>
      <c r="J218" s="718">
        <v>0</v>
      </c>
      <c r="K218" s="718">
        <v>0</v>
      </c>
      <c r="L218" s="718">
        <v>0</v>
      </c>
      <c r="M218" s="56">
        <v>5445</v>
      </c>
      <c r="N218" s="56">
        <v>5482</v>
      </c>
      <c r="O218" s="56">
        <v>5506</v>
      </c>
      <c r="Q218" s="38" t="s">
        <v>4376</v>
      </c>
    </row>
    <row r="219" spans="1:17">
      <c r="A219" s="38" t="s">
        <v>5416</v>
      </c>
      <c r="B219" s="157" t="s">
        <v>6085</v>
      </c>
      <c r="C219" s="55" t="s">
        <v>14025</v>
      </c>
      <c r="D219" s="718">
        <v>0</v>
      </c>
      <c r="E219" s="718">
        <v>0</v>
      </c>
      <c r="F219" s="718">
        <v>0</v>
      </c>
      <c r="G219" s="718">
        <v>0</v>
      </c>
      <c r="H219" s="718">
        <v>0</v>
      </c>
      <c r="I219" s="718">
        <v>0</v>
      </c>
      <c r="J219" s="718">
        <v>0</v>
      </c>
      <c r="K219" s="718">
        <v>0</v>
      </c>
      <c r="L219" s="718">
        <v>0</v>
      </c>
      <c r="M219" s="56">
        <v>2046</v>
      </c>
      <c r="N219" s="56">
        <v>2075</v>
      </c>
      <c r="O219" s="56">
        <v>2066</v>
      </c>
      <c r="Q219" s="38" t="s">
        <v>4376</v>
      </c>
    </row>
    <row r="220" spans="1:17">
      <c r="A220" s="38" t="s">
        <v>5418</v>
      </c>
      <c r="B220" s="157" t="s">
        <v>6086</v>
      </c>
      <c r="C220" s="55" t="s">
        <v>14026</v>
      </c>
      <c r="D220" s="718">
        <v>0</v>
      </c>
      <c r="E220" s="718">
        <v>0</v>
      </c>
      <c r="F220" s="718">
        <v>0</v>
      </c>
      <c r="G220" s="718">
        <v>0</v>
      </c>
      <c r="H220" s="718">
        <v>0</v>
      </c>
      <c r="I220" s="718">
        <v>0</v>
      </c>
      <c r="J220" s="718">
        <v>0</v>
      </c>
      <c r="K220" s="718">
        <v>0</v>
      </c>
      <c r="L220" s="718">
        <v>0</v>
      </c>
      <c r="M220" s="56">
        <v>3938</v>
      </c>
      <c r="N220" s="56">
        <v>3957</v>
      </c>
      <c r="O220" s="56">
        <v>3990</v>
      </c>
      <c r="Q220" s="38" t="s">
        <v>4376</v>
      </c>
    </row>
    <row r="221" spans="1:17">
      <c r="A221" s="38" t="s">
        <v>5420</v>
      </c>
      <c r="B221" s="157" t="s">
        <v>12525</v>
      </c>
      <c r="C221" s="55" t="s">
        <v>14027</v>
      </c>
      <c r="D221" s="718">
        <v>0</v>
      </c>
      <c r="E221" s="718">
        <v>0</v>
      </c>
      <c r="F221" s="718">
        <v>0</v>
      </c>
      <c r="G221" s="718">
        <v>0</v>
      </c>
      <c r="H221" s="718">
        <v>0</v>
      </c>
      <c r="I221" s="718">
        <v>0</v>
      </c>
      <c r="J221" s="718">
        <v>0</v>
      </c>
      <c r="K221" s="718">
        <v>0</v>
      </c>
      <c r="L221" s="718">
        <v>0</v>
      </c>
      <c r="M221" s="56">
        <v>4013</v>
      </c>
      <c r="N221" s="56">
        <v>4196</v>
      </c>
      <c r="O221" s="56">
        <v>4246</v>
      </c>
      <c r="Q221" s="38" t="s">
        <v>4376</v>
      </c>
    </row>
    <row r="222" spans="1:17">
      <c r="A222" s="38" t="s">
        <v>5422</v>
      </c>
      <c r="B222" s="157" t="s">
        <v>6707</v>
      </c>
      <c r="C222" s="55" t="s">
        <v>14028</v>
      </c>
      <c r="D222" s="718">
        <v>0</v>
      </c>
      <c r="E222" s="718">
        <v>0</v>
      </c>
      <c r="F222" s="718">
        <v>0</v>
      </c>
      <c r="G222" s="718">
        <v>0</v>
      </c>
      <c r="H222" s="718">
        <v>0</v>
      </c>
      <c r="I222" s="718">
        <v>0</v>
      </c>
      <c r="J222" s="718">
        <v>0</v>
      </c>
      <c r="K222" s="718">
        <v>0</v>
      </c>
      <c r="L222" s="718">
        <v>0</v>
      </c>
      <c r="M222" s="56">
        <v>3840</v>
      </c>
      <c r="N222" s="56">
        <v>3949</v>
      </c>
      <c r="O222" s="56">
        <v>4009</v>
      </c>
      <c r="Q222" s="38" t="s">
        <v>4376</v>
      </c>
    </row>
    <row r="223" spans="1:17">
      <c r="A223" s="38" t="s">
        <v>5424</v>
      </c>
      <c r="B223" s="157" t="s">
        <v>6709</v>
      </c>
      <c r="C223" s="55" t="s">
        <v>14029</v>
      </c>
      <c r="D223" s="718">
        <v>3543</v>
      </c>
      <c r="E223" s="718">
        <v>3550</v>
      </c>
      <c r="F223" s="718">
        <v>3529</v>
      </c>
      <c r="G223" s="718">
        <v>3545</v>
      </c>
      <c r="H223" s="718">
        <v>3456</v>
      </c>
      <c r="I223" s="718">
        <v>3408</v>
      </c>
      <c r="J223" s="718">
        <v>3415</v>
      </c>
      <c r="K223" s="718">
        <v>3459</v>
      </c>
      <c r="L223" s="718">
        <v>3501</v>
      </c>
      <c r="M223" s="56">
        <v>3536</v>
      </c>
      <c r="N223" s="56">
        <v>3583</v>
      </c>
      <c r="O223" s="56">
        <v>3620</v>
      </c>
      <c r="Q223" s="38" t="s">
        <v>4370</v>
      </c>
    </row>
    <row r="224" spans="1:17">
      <c r="A224" s="38" t="s">
        <v>5426</v>
      </c>
      <c r="B224" s="157" t="s">
        <v>12526</v>
      </c>
      <c r="C224" s="55" t="s">
        <v>14030</v>
      </c>
      <c r="D224" s="718">
        <v>0</v>
      </c>
      <c r="E224" s="718">
        <v>0</v>
      </c>
      <c r="F224" s="718">
        <v>0</v>
      </c>
      <c r="G224" s="718">
        <v>0</v>
      </c>
      <c r="H224" s="718">
        <v>0</v>
      </c>
      <c r="I224" s="718">
        <v>0</v>
      </c>
      <c r="J224" s="718">
        <v>0</v>
      </c>
      <c r="K224" s="718">
        <v>0</v>
      </c>
      <c r="L224" s="718">
        <v>0</v>
      </c>
      <c r="M224" s="56">
        <v>3444</v>
      </c>
      <c r="N224" s="56">
        <v>3526</v>
      </c>
      <c r="O224" s="56">
        <v>3623</v>
      </c>
      <c r="Q224" s="38" t="s">
        <v>4376</v>
      </c>
    </row>
    <row r="225" spans="1:17">
      <c r="A225" s="38" t="s">
        <v>5428</v>
      </c>
      <c r="B225" s="157" t="s">
        <v>6710</v>
      </c>
      <c r="C225" s="55" t="s">
        <v>14031</v>
      </c>
      <c r="D225" s="718">
        <v>0</v>
      </c>
      <c r="E225" s="718">
        <v>0</v>
      </c>
      <c r="F225" s="718">
        <v>0</v>
      </c>
      <c r="G225" s="718">
        <v>0</v>
      </c>
      <c r="H225" s="718">
        <v>0</v>
      </c>
      <c r="I225" s="718">
        <v>0</v>
      </c>
      <c r="J225" s="718">
        <v>0</v>
      </c>
      <c r="K225" s="718">
        <v>0</v>
      </c>
      <c r="L225" s="718">
        <v>0</v>
      </c>
      <c r="M225" s="56">
        <v>2910</v>
      </c>
      <c r="N225" s="56">
        <v>3034</v>
      </c>
      <c r="O225" s="56">
        <v>3103</v>
      </c>
      <c r="Q225" s="38" t="s">
        <v>4376</v>
      </c>
    </row>
    <row r="226" spans="1:17">
      <c r="A226" s="38" t="s">
        <v>5429</v>
      </c>
      <c r="B226" s="157" t="s">
        <v>6058</v>
      </c>
      <c r="C226" s="55" t="s">
        <v>14032</v>
      </c>
      <c r="D226" s="718">
        <v>0</v>
      </c>
      <c r="E226" s="718">
        <v>0</v>
      </c>
      <c r="F226" s="718">
        <v>0</v>
      </c>
      <c r="G226" s="718">
        <v>0</v>
      </c>
      <c r="H226" s="718">
        <v>0</v>
      </c>
      <c r="I226" s="718">
        <v>0</v>
      </c>
      <c r="J226" s="718">
        <v>0</v>
      </c>
      <c r="K226" s="718">
        <v>0</v>
      </c>
      <c r="L226" s="718">
        <v>0</v>
      </c>
      <c r="M226" s="56">
        <v>3658</v>
      </c>
      <c r="N226" s="56">
        <v>3640</v>
      </c>
      <c r="O226" s="56">
        <v>3654</v>
      </c>
      <c r="Q226" s="38" t="s">
        <v>4376</v>
      </c>
    </row>
    <row r="227" spans="1:17">
      <c r="A227" s="38" t="s">
        <v>5431</v>
      </c>
      <c r="B227" s="157" t="s">
        <v>12527</v>
      </c>
      <c r="C227" s="55" t="s">
        <v>14033</v>
      </c>
      <c r="D227" s="718">
        <v>0</v>
      </c>
      <c r="E227" s="718">
        <v>0</v>
      </c>
      <c r="F227" s="718">
        <v>0</v>
      </c>
      <c r="G227" s="718">
        <v>0</v>
      </c>
      <c r="H227" s="718">
        <v>0</v>
      </c>
      <c r="I227" s="718">
        <v>0</v>
      </c>
      <c r="J227" s="718">
        <v>0</v>
      </c>
      <c r="K227" s="718">
        <v>0</v>
      </c>
      <c r="L227" s="718">
        <v>0</v>
      </c>
      <c r="M227" s="56">
        <v>1970</v>
      </c>
      <c r="N227" s="56">
        <v>1963</v>
      </c>
      <c r="O227" s="56">
        <v>1981</v>
      </c>
      <c r="Q227" s="38" t="s">
        <v>4376</v>
      </c>
    </row>
    <row r="228" spans="1:17">
      <c r="A228" s="38" t="s">
        <v>5433</v>
      </c>
      <c r="B228" s="157" t="s">
        <v>12528</v>
      </c>
      <c r="C228" s="55" t="s">
        <v>14034</v>
      </c>
      <c r="D228" s="718">
        <v>0</v>
      </c>
      <c r="E228" s="718">
        <v>0</v>
      </c>
      <c r="F228" s="718">
        <v>0</v>
      </c>
      <c r="G228" s="718">
        <v>0</v>
      </c>
      <c r="H228" s="718">
        <v>0</v>
      </c>
      <c r="I228" s="718">
        <v>0</v>
      </c>
      <c r="J228" s="718">
        <v>0</v>
      </c>
      <c r="K228" s="718">
        <v>0</v>
      </c>
      <c r="L228" s="718">
        <v>0</v>
      </c>
      <c r="M228" s="56">
        <v>1871</v>
      </c>
      <c r="N228" s="56">
        <v>1864</v>
      </c>
      <c r="O228" s="56">
        <v>1870</v>
      </c>
      <c r="Q228" s="38" t="s">
        <v>4376</v>
      </c>
    </row>
    <row r="229" spans="1:17">
      <c r="A229" s="38" t="s">
        <v>5435</v>
      </c>
      <c r="B229" s="157" t="s">
        <v>6059</v>
      </c>
      <c r="C229" s="55" t="s">
        <v>14035</v>
      </c>
      <c r="D229" s="718">
        <v>0</v>
      </c>
      <c r="E229" s="718">
        <v>0</v>
      </c>
      <c r="F229" s="718">
        <v>0</v>
      </c>
      <c r="G229" s="718">
        <v>0</v>
      </c>
      <c r="H229" s="718">
        <v>0</v>
      </c>
      <c r="I229" s="718">
        <v>0</v>
      </c>
      <c r="J229" s="718">
        <v>0</v>
      </c>
      <c r="K229" s="718">
        <v>0</v>
      </c>
      <c r="L229" s="718">
        <v>0</v>
      </c>
      <c r="M229" s="56">
        <v>1571</v>
      </c>
      <c r="N229" s="56">
        <v>1691</v>
      </c>
      <c r="O229" s="56">
        <v>1757</v>
      </c>
      <c r="Q229" s="38" t="s">
        <v>4376</v>
      </c>
    </row>
    <row r="230" spans="1:17">
      <c r="A230" s="38" t="s">
        <v>5436</v>
      </c>
      <c r="B230" s="157" t="s">
        <v>12529</v>
      </c>
      <c r="C230" s="55" t="s">
        <v>14036</v>
      </c>
      <c r="D230" s="718">
        <v>0</v>
      </c>
      <c r="E230" s="718">
        <v>0</v>
      </c>
      <c r="F230" s="718">
        <v>0</v>
      </c>
      <c r="G230" s="718">
        <v>0</v>
      </c>
      <c r="H230" s="718">
        <v>0</v>
      </c>
      <c r="I230" s="718">
        <v>0</v>
      </c>
      <c r="J230" s="718">
        <v>0</v>
      </c>
      <c r="K230" s="718">
        <v>0</v>
      </c>
      <c r="L230" s="718">
        <v>0</v>
      </c>
      <c r="M230" s="56">
        <v>4103</v>
      </c>
      <c r="N230" s="56">
        <v>4132</v>
      </c>
      <c r="O230" s="56">
        <v>4164</v>
      </c>
      <c r="Q230" s="38" t="s">
        <v>4376</v>
      </c>
    </row>
    <row r="231" spans="1:17">
      <c r="A231" s="38" t="s">
        <v>5437</v>
      </c>
      <c r="B231" s="157" t="s">
        <v>12530</v>
      </c>
      <c r="C231" s="55" t="s">
        <v>14037</v>
      </c>
      <c r="D231" s="718">
        <v>0</v>
      </c>
      <c r="E231" s="718">
        <v>0</v>
      </c>
      <c r="F231" s="718">
        <v>0</v>
      </c>
      <c r="G231" s="718">
        <v>0</v>
      </c>
      <c r="H231" s="718">
        <v>0</v>
      </c>
      <c r="I231" s="718">
        <v>0</v>
      </c>
      <c r="J231" s="718">
        <v>0</v>
      </c>
      <c r="K231" s="718">
        <v>0</v>
      </c>
      <c r="L231" s="718">
        <v>0</v>
      </c>
      <c r="M231" s="56">
        <v>4101</v>
      </c>
      <c r="N231" s="56">
        <v>4160</v>
      </c>
      <c r="O231" s="56">
        <v>4185</v>
      </c>
      <c r="Q231" s="38" t="s">
        <v>4376</v>
      </c>
    </row>
    <row r="232" spans="1:17">
      <c r="A232" s="38" t="s">
        <v>5439</v>
      </c>
      <c r="B232" s="157" t="s">
        <v>12531</v>
      </c>
      <c r="C232" s="55" t="s">
        <v>14038</v>
      </c>
      <c r="D232" s="718">
        <v>0</v>
      </c>
      <c r="E232" s="718">
        <v>0</v>
      </c>
      <c r="F232" s="718">
        <v>0</v>
      </c>
      <c r="G232" s="718">
        <v>0</v>
      </c>
      <c r="H232" s="718">
        <v>0</v>
      </c>
      <c r="I232" s="718">
        <v>0</v>
      </c>
      <c r="J232" s="718">
        <v>0</v>
      </c>
      <c r="K232" s="718">
        <v>0</v>
      </c>
      <c r="L232" s="718">
        <v>0</v>
      </c>
      <c r="M232" s="56">
        <v>4089</v>
      </c>
      <c r="N232" s="56">
        <v>4072</v>
      </c>
      <c r="O232" s="56">
        <v>4106</v>
      </c>
      <c r="Q232" s="38" t="s">
        <v>4376</v>
      </c>
    </row>
    <row r="233" spans="1:17">
      <c r="A233" s="38" t="s">
        <v>5441</v>
      </c>
      <c r="B233" s="157" t="s">
        <v>3078</v>
      </c>
      <c r="C233" s="55" t="s">
        <v>14039</v>
      </c>
      <c r="D233" s="718">
        <v>0</v>
      </c>
      <c r="E233" s="718">
        <v>0</v>
      </c>
      <c r="F233" s="718">
        <v>0</v>
      </c>
      <c r="G233" s="718">
        <v>0</v>
      </c>
      <c r="H233" s="718">
        <v>0</v>
      </c>
      <c r="I233" s="718">
        <v>0</v>
      </c>
      <c r="J233" s="718">
        <v>0</v>
      </c>
      <c r="K233" s="718">
        <v>0</v>
      </c>
      <c r="L233" s="718">
        <v>0</v>
      </c>
      <c r="M233" s="56">
        <v>5420</v>
      </c>
      <c r="N233" s="56">
        <v>5406</v>
      </c>
      <c r="O233" s="56">
        <v>5443</v>
      </c>
      <c r="Q233" s="38" t="s">
        <v>4376</v>
      </c>
    </row>
    <row r="234" spans="1:17">
      <c r="D234" s="720"/>
      <c r="E234" s="720"/>
      <c r="F234" s="720"/>
      <c r="G234" s="720"/>
      <c r="H234" s="720"/>
      <c r="I234" s="720"/>
      <c r="J234" s="720"/>
      <c r="K234" s="720"/>
      <c r="L234" s="720"/>
      <c r="M234" s="720"/>
      <c r="N234" s="720"/>
      <c r="O234" s="720"/>
    </row>
    <row r="235" spans="1:17">
      <c r="A235" s="38" t="s">
        <v>976</v>
      </c>
      <c r="D235" s="718">
        <f t="shared" ref="D235:L235" si="67">D223</f>
        <v>3543</v>
      </c>
      <c r="E235" s="718">
        <f t="shared" si="67"/>
        <v>3550</v>
      </c>
      <c r="F235" s="718">
        <f t="shared" si="67"/>
        <v>3529</v>
      </c>
      <c r="G235" s="718">
        <f t="shared" si="67"/>
        <v>3545</v>
      </c>
      <c r="H235" s="718">
        <f t="shared" si="67"/>
        <v>3456</v>
      </c>
      <c r="I235" s="718">
        <f t="shared" si="67"/>
        <v>3408</v>
      </c>
      <c r="J235" s="718">
        <f t="shared" si="67"/>
        <v>3415</v>
      </c>
      <c r="K235" s="718">
        <f t="shared" si="67"/>
        <v>3459</v>
      </c>
      <c r="L235" s="718">
        <f t="shared" si="67"/>
        <v>3501</v>
      </c>
      <c r="M235" s="718">
        <f>M223</f>
        <v>3536</v>
      </c>
      <c r="N235" s="718">
        <f>N223</f>
        <v>3583</v>
      </c>
      <c r="O235" s="718">
        <f>O223</f>
        <v>3620</v>
      </c>
    </row>
    <row r="236" spans="1:17">
      <c r="A236" s="38" t="s">
        <v>4430</v>
      </c>
      <c r="D236" s="718">
        <f t="shared" ref="D236:L236" si="68">SUM(D214:D222,D224:D233)</f>
        <v>59848</v>
      </c>
      <c r="E236" s="718">
        <f t="shared" si="68"/>
        <v>60784</v>
      </c>
      <c r="F236" s="718">
        <f t="shared" si="68"/>
        <v>61464</v>
      </c>
      <c r="G236" s="718">
        <f t="shared" si="68"/>
        <v>62002</v>
      </c>
      <c r="H236" s="718">
        <f t="shared" si="68"/>
        <v>62141</v>
      </c>
      <c r="I236" s="718">
        <f t="shared" si="68"/>
        <v>61721</v>
      </c>
      <c r="J236" s="718">
        <f t="shared" si="68"/>
        <v>62574</v>
      </c>
      <c r="K236" s="718">
        <f t="shared" si="68"/>
        <v>64590</v>
      </c>
      <c r="L236" s="718">
        <f t="shared" si="68"/>
        <v>66222</v>
      </c>
      <c r="M236" s="718">
        <f>SUM(M214:M222,M224:M233)</f>
        <v>65788</v>
      </c>
      <c r="N236" s="718">
        <f>SUM(N214:N222,N224:N233)</f>
        <v>66660</v>
      </c>
      <c r="O236" s="718">
        <f>SUM(O214:O222,O224:O233)</f>
        <v>67334</v>
      </c>
    </row>
    <row r="238" spans="1:17">
      <c r="A238" s="157" t="s">
        <v>12532</v>
      </c>
    </row>
  </sheetData>
  <phoneticPr fontId="6" type="noConversion"/>
  <printOptions gridLinesSet="0"/>
  <pageMargins left="0.78740157480314965" right="0" top="0.51181102362204722" bottom="0.51181102362204722" header="0.51181102362204722" footer="0.51181102362204722"/>
  <pageSetup paperSize="9" scale="62" orientation="portrait" horizontalDpi="300" verticalDpi="300" r:id="rId1"/>
  <headerFooter alignWithMargins="0">
    <oddFooter>&amp;C&amp;"Times New Roman,Regular"&amp;8&amp;P of &amp;N</oddFooter>
  </headerFooter>
  <ignoredErrors>
    <ignoredError sqref="D42:E42 D136:E136 D113:E113 D213:E213 D64:E65 D3:E37 F64:F71 F140:F142 F165:F170 F3 G42:K42 G113:K113 G136:K136 G213:K213 F5:F42 G3:K37 F107:F113 D106:K106 D72:K72 D143:K143 D202:K202 F210:F213 G64:K65 D163:K164 L3:L113 L234 L140:L170 L135:L138 F136:F138 L186:L203 L210:L213 L172:L182 L208 F20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Q434"/>
  <sheetViews>
    <sheetView showGridLines="0" topLeftCell="A271" zoomScale="90" zoomScaleNormal="90" workbookViewId="0">
      <selection activeCell="A10" sqref="A10"/>
    </sheetView>
  </sheetViews>
  <sheetFormatPr defaultColWidth="12.5703125" defaultRowHeight="15"/>
  <cols>
    <col min="1" max="1" width="4.85546875" style="156" customWidth="1"/>
    <col min="2" max="2" width="40.7109375" style="156" customWidth="1"/>
    <col min="3" max="3" width="11.5703125" style="156" customWidth="1"/>
    <col min="4" max="12" width="10.140625" style="156" customWidth="1"/>
    <col min="13" max="15" width="10" style="156" customWidth="1"/>
    <col min="16" max="16" width="2.28515625" style="156" customWidth="1"/>
    <col min="17" max="17" width="30.85546875" style="156" bestFit="1" customWidth="1"/>
    <col min="18" max="16384" width="12.5703125" style="156"/>
  </cols>
  <sheetData>
    <row r="1" spans="1:17">
      <c r="A1" s="695" t="s">
        <v>6924</v>
      </c>
      <c r="D1" s="705">
        <v>2010</v>
      </c>
      <c r="E1" s="705">
        <v>2011</v>
      </c>
      <c r="F1" s="705">
        <v>2012</v>
      </c>
      <c r="G1" s="705">
        <v>2013</v>
      </c>
      <c r="H1" s="705">
        <v>2014</v>
      </c>
      <c r="I1" s="705">
        <v>2015</v>
      </c>
      <c r="J1" s="705">
        <v>2016</v>
      </c>
      <c r="K1" s="705">
        <v>2017</v>
      </c>
      <c r="L1" s="705">
        <v>2018</v>
      </c>
      <c r="M1" s="705">
        <v>2019</v>
      </c>
      <c r="N1" s="705">
        <v>2020</v>
      </c>
      <c r="O1" s="975" t="s">
        <v>14823</v>
      </c>
    </row>
    <row r="3" spans="1:17">
      <c r="A3" s="695" t="s">
        <v>5099</v>
      </c>
      <c r="D3" s="706">
        <f t="shared" ref="D3:I3" si="0">SUM(D5:D14)</f>
        <v>1935913</v>
      </c>
      <c r="E3" s="706">
        <f t="shared" si="0"/>
        <v>1957990</v>
      </c>
      <c r="F3" s="706">
        <f t="shared" si="0"/>
        <v>1960361</v>
      </c>
      <c r="G3" s="706">
        <f t="shared" si="0"/>
        <v>1971447</v>
      </c>
      <c r="H3" s="706">
        <f t="shared" si="0"/>
        <v>1978050</v>
      </c>
      <c r="I3" s="706">
        <f t="shared" si="0"/>
        <v>1933630</v>
      </c>
      <c r="J3" s="706">
        <f t="shared" ref="J3:O3" si="1">SUM(J5:J14)</f>
        <v>1897229</v>
      </c>
      <c r="K3" s="706">
        <f t="shared" si="1"/>
        <v>1916189</v>
      </c>
      <c r="L3" s="706">
        <f t="shared" si="1"/>
        <v>1940388</v>
      </c>
      <c r="M3" s="706">
        <f t="shared" si="1"/>
        <v>1928438</v>
      </c>
      <c r="N3" s="706">
        <f t="shared" si="1"/>
        <v>2014301</v>
      </c>
      <c r="O3" s="706">
        <f t="shared" si="1"/>
        <v>2000428</v>
      </c>
    </row>
    <row r="4" spans="1:17">
      <c r="D4" s="707"/>
      <c r="E4" s="707"/>
      <c r="F4" s="707"/>
      <c r="G4" s="707"/>
      <c r="H4" s="707"/>
      <c r="I4" s="707"/>
      <c r="J4" s="707"/>
      <c r="K4" s="707"/>
      <c r="L4" s="707"/>
      <c r="M4" s="707"/>
      <c r="N4" s="707"/>
      <c r="O4" s="707"/>
      <c r="Q4" s="708"/>
    </row>
    <row r="5" spans="1:17">
      <c r="A5" s="695" t="s">
        <v>2712</v>
      </c>
      <c r="C5" s="695"/>
      <c r="D5" s="706">
        <f t="shared" ref="D5:I5" si="2">D92</f>
        <v>196202</v>
      </c>
      <c r="E5" s="706">
        <f t="shared" si="2"/>
        <v>196180</v>
      </c>
      <c r="F5" s="706">
        <f t="shared" si="2"/>
        <v>195499</v>
      </c>
      <c r="G5" s="706">
        <f t="shared" si="2"/>
        <v>196620</v>
      </c>
      <c r="H5" s="706">
        <f t="shared" si="2"/>
        <v>196840</v>
      </c>
      <c r="I5" s="706">
        <f t="shared" si="2"/>
        <v>196320</v>
      </c>
      <c r="J5" s="706">
        <f t="shared" ref="J5:O5" si="3">J92</f>
        <v>188874</v>
      </c>
      <c r="K5" s="706">
        <f t="shared" si="3"/>
        <v>193297</v>
      </c>
      <c r="L5" s="706">
        <f t="shared" si="3"/>
        <v>194950</v>
      </c>
      <c r="M5" s="706">
        <f t="shared" si="3"/>
        <v>192419</v>
      </c>
      <c r="N5" s="706">
        <f t="shared" si="3"/>
        <v>200213</v>
      </c>
      <c r="O5" s="706">
        <f t="shared" si="3"/>
        <v>198553</v>
      </c>
      <c r="Q5" s="709"/>
    </row>
    <row r="6" spans="1:17">
      <c r="A6" s="695" t="s">
        <v>2713</v>
      </c>
      <c r="C6" s="695"/>
      <c r="D6" s="706">
        <f t="shared" ref="D6:I6" si="4">D123</f>
        <v>141734</v>
      </c>
      <c r="E6" s="706">
        <f t="shared" si="4"/>
        <v>143051</v>
      </c>
      <c r="F6" s="706">
        <f t="shared" si="4"/>
        <v>143109</v>
      </c>
      <c r="G6" s="706">
        <f t="shared" si="4"/>
        <v>143450</v>
      </c>
      <c r="H6" s="706">
        <f t="shared" si="4"/>
        <v>143181</v>
      </c>
      <c r="I6" s="706">
        <f t="shared" si="4"/>
        <v>140417</v>
      </c>
      <c r="J6" s="706">
        <f t="shared" ref="J6:O6" si="5">J123</f>
        <v>134649</v>
      </c>
      <c r="K6" s="706">
        <f t="shared" si="5"/>
        <v>138465</v>
      </c>
      <c r="L6" s="706">
        <f t="shared" si="5"/>
        <v>139521</v>
      </c>
      <c r="M6" s="706">
        <f t="shared" si="5"/>
        <v>139264</v>
      </c>
      <c r="N6" s="706">
        <f t="shared" si="5"/>
        <v>144969</v>
      </c>
      <c r="O6" s="706">
        <f t="shared" si="5"/>
        <v>142920</v>
      </c>
      <c r="Q6" s="709"/>
    </row>
    <row r="7" spans="1:17">
      <c r="A7" s="695" t="s">
        <v>2714</v>
      </c>
      <c r="C7" s="695"/>
      <c r="D7" s="706">
        <f t="shared" ref="D7:I7" si="6">D150</f>
        <v>336366</v>
      </c>
      <c r="E7" s="706">
        <f t="shared" si="6"/>
        <v>343889</v>
      </c>
      <c r="F7" s="706">
        <f t="shared" si="6"/>
        <v>351324</v>
      </c>
      <c r="G7" s="706">
        <f t="shared" si="6"/>
        <v>353684</v>
      </c>
      <c r="H7" s="706">
        <f t="shared" si="6"/>
        <v>358357</v>
      </c>
      <c r="I7" s="706">
        <f t="shared" si="6"/>
        <v>346080</v>
      </c>
      <c r="J7" s="706">
        <f t="shared" ref="J7:O7" si="7">J150</f>
        <v>345660</v>
      </c>
      <c r="K7" s="706">
        <f t="shared" si="7"/>
        <v>332071</v>
      </c>
      <c r="L7" s="706">
        <f t="shared" si="7"/>
        <v>340724</v>
      </c>
      <c r="M7" s="706">
        <f t="shared" si="7"/>
        <v>335201</v>
      </c>
      <c r="N7" s="706">
        <f t="shared" si="7"/>
        <v>359363</v>
      </c>
      <c r="O7" s="706">
        <f t="shared" si="7"/>
        <v>359185</v>
      </c>
      <c r="Q7" s="709"/>
    </row>
    <row r="8" spans="1:17">
      <c r="A8" s="695" t="s">
        <v>1357</v>
      </c>
      <c r="C8" s="695"/>
      <c r="D8" s="706">
        <f t="shared" ref="D8:I8" si="8">D213</f>
        <v>160184</v>
      </c>
      <c r="E8" s="706">
        <f t="shared" si="8"/>
        <v>160369</v>
      </c>
      <c r="F8" s="706">
        <f t="shared" si="8"/>
        <v>158724</v>
      </c>
      <c r="G8" s="706">
        <f t="shared" si="8"/>
        <v>160486</v>
      </c>
      <c r="H8" s="706">
        <f t="shared" si="8"/>
        <v>160329</v>
      </c>
      <c r="I8" s="706">
        <f t="shared" si="8"/>
        <v>155990</v>
      </c>
      <c r="J8" s="706">
        <f t="shared" ref="J8:O8" si="9">J213</f>
        <v>153751</v>
      </c>
      <c r="K8" s="706">
        <f t="shared" si="9"/>
        <v>156597</v>
      </c>
      <c r="L8" s="706">
        <f t="shared" si="9"/>
        <v>157063</v>
      </c>
      <c r="M8" s="706">
        <f t="shared" si="9"/>
        <v>156750</v>
      </c>
      <c r="N8" s="706">
        <f t="shared" si="9"/>
        <v>162027</v>
      </c>
      <c r="O8" s="706">
        <f t="shared" si="9"/>
        <v>162830</v>
      </c>
      <c r="Q8" s="709"/>
    </row>
    <row r="9" spans="1:17">
      <c r="A9" s="695" t="s">
        <v>1358</v>
      </c>
      <c r="C9" s="695"/>
      <c r="D9" s="706">
        <f t="shared" ref="D9:I9" si="10">D244</f>
        <v>156502</v>
      </c>
      <c r="E9" s="706">
        <f t="shared" si="10"/>
        <v>157335</v>
      </c>
      <c r="F9" s="706">
        <f t="shared" si="10"/>
        <v>157055</v>
      </c>
      <c r="G9" s="706">
        <f t="shared" si="10"/>
        <v>158823</v>
      </c>
      <c r="H9" s="706">
        <f t="shared" si="10"/>
        <v>157282</v>
      </c>
      <c r="I9" s="706">
        <f t="shared" si="10"/>
        <v>157278</v>
      </c>
      <c r="J9" s="706">
        <f t="shared" ref="J9:O9" si="11">J244</f>
        <v>148410</v>
      </c>
      <c r="K9" s="706">
        <f t="shared" si="11"/>
        <v>155201</v>
      </c>
      <c r="L9" s="706">
        <f t="shared" si="11"/>
        <v>157319</v>
      </c>
      <c r="M9" s="706">
        <f t="shared" si="11"/>
        <v>156851</v>
      </c>
      <c r="N9" s="706">
        <f t="shared" si="11"/>
        <v>160557</v>
      </c>
      <c r="O9" s="706">
        <f t="shared" si="11"/>
        <v>160770</v>
      </c>
      <c r="Q9" s="709"/>
    </row>
    <row r="10" spans="1:17">
      <c r="A10" s="695" t="s">
        <v>697</v>
      </c>
      <c r="C10" s="695"/>
      <c r="D10" s="706">
        <f t="shared" ref="D10:I10" si="12">D274</f>
        <v>162868</v>
      </c>
      <c r="E10" s="706">
        <f t="shared" si="12"/>
        <v>165689</v>
      </c>
      <c r="F10" s="706">
        <f t="shared" si="12"/>
        <v>167566</v>
      </c>
      <c r="G10" s="706">
        <f t="shared" si="12"/>
        <v>168738</v>
      </c>
      <c r="H10" s="706">
        <f t="shared" si="12"/>
        <v>169093</v>
      </c>
      <c r="I10" s="706">
        <f t="shared" si="12"/>
        <v>159585</v>
      </c>
      <c r="J10" s="706">
        <f t="shared" ref="J10:O10" si="13">J274</f>
        <v>162645</v>
      </c>
      <c r="K10" s="706">
        <f t="shared" si="13"/>
        <v>162307</v>
      </c>
      <c r="L10" s="706">
        <f t="shared" si="13"/>
        <v>165286</v>
      </c>
      <c r="M10" s="706">
        <f t="shared" si="13"/>
        <v>164465</v>
      </c>
      <c r="N10" s="706">
        <f t="shared" si="13"/>
        <v>180748</v>
      </c>
      <c r="O10" s="706">
        <f t="shared" si="13"/>
        <v>174181</v>
      </c>
      <c r="Q10" s="709"/>
    </row>
    <row r="11" spans="1:17">
      <c r="A11" s="695" t="s">
        <v>698</v>
      </c>
      <c r="C11" s="695"/>
      <c r="D11" s="706">
        <f t="shared" ref="D11:I11" si="14">D307</f>
        <v>218383</v>
      </c>
      <c r="E11" s="706">
        <f t="shared" si="14"/>
        <v>217872</v>
      </c>
      <c r="F11" s="706">
        <f t="shared" si="14"/>
        <v>220277</v>
      </c>
      <c r="G11" s="706">
        <f t="shared" si="14"/>
        <v>221580</v>
      </c>
      <c r="H11" s="706">
        <f t="shared" si="14"/>
        <v>219880</v>
      </c>
      <c r="I11" s="706">
        <f t="shared" si="14"/>
        <v>220746</v>
      </c>
      <c r="J11" s="706">
        <f t="shared" ref="J11:O11" si="15">J307</f>
        <v>211848</v>
      </c>
      <c r="K11" s="706">
        <f t="shared" si="15"/>
        <v>216687</v>
      </c>
      <c r="L11" s="706">
        <f t="shared" si="15"/>
        <v>218294</v>
      </c>
      <c r="M11" s="706">
        <f t="shared" si="15"/>
        <v>217619</v>
      </c>
      <c r="N11" s="706">
        <f t="shared" si="15"/>
        <v>226057</v>
      </c>
      <c r="O11" s="706">
        <f t="shared" si="15"/>
        <v>221485</v>
      </c>
      <c r="Q11" s="709"/>
    </row>
    <row r="12" spans="1:17">
      <c r="A12" s="695" t="s">
        <v>699</v>
      </c>
      <c r="C12" s="695"/>
      <c r="D12" s="706">
        <f t="shared" ref="D12:I12" si="16">D340</f>
        <v>164902</v>
      </c>
      <c r="E12" s="706">
        <f t="shared" si="16"/>
        <v>168321</v>
      </c>
      <c r="F12" s="706">
        <f t="shared" si="16"/>
        <v>166636</v>
      </c>
      <c r="G12" s="706">
        <f t="shared" si="16"/>
        <v>165961</v>
      </c>
      <c r="H12" s="706">
        <f t="shared" si="16"/>
        <v>169561</v>
      </c>
      <c r="I12" s="706">
        <f t="shared" si="16"/>
        <v>166761</v>
      </c>
      <c r="J12" s="706">
        <f t="shared" ref="J12:O12" si="17">J340</f>
        <v>163976</v>
      </c>
      <c r="K12" s="706">
        <f t="shared" si="17"/>
        <v>167545</v>
      </c>
      <c r="L12" s="706">
        <f t="shared" si="17"/>
        <v>168472</v>
      </c>
      <c r="M12" s="706">
        <f t="shared" si="17"/>
        <v>168775</v>
      </c>
      <c r="N12" s="706">
        <f t="shared" si="17"/>
        <v>171554</v>
      </c>
      <c r="O12" s="706">
        <f t="shared" si="17"/>
        <v>171507</v>
      </c>
      <c r="Q12" s="709"/>
    </row>
    <row r="13" spans="1:17">
      <c r="A13" s="695" t="s">
        <v>700</v>
      </c>
      <c r="C13" s="695"/>
      <c r="D13" s="706">
        <f t="shared" ref="D13:I13" si="18">D370</f>
        <v>164342</v>
      </c>
      <c r="E13" s="706">
        <f t="shared" si="18"/>
        <v>165686</v>
      </c>
      <c r="F13" s="706">
        <f t="shared" si="18"/>
        <v>158458</v>
      </c>
      <c r="G13" s="706">
        <f t="shared" si="18"/>
        <v>158924</v>
      </c>
      <c r="H13" s="706">
        <f t="shared" si="18"/>
        <v>160141</v>
      </c>
      <c r="I13" s="706">
        <f t="shared" si="18"/>
        <v>158831</v>
      </c>
      <c r="J13" s="706">
        <f t="shared" ref="J13:O13" si="19">J370</f>
        <v>159419</v>
      </c>
      <c r="K13" s="706">
        <f t="shared" si="19"/>
        <v>162852</v>
      </c>
      <c r="L13" s="706">
        <f t="shared" si="19"/>
        <v>165628</v>
      </c>
      <c r="M13" s="706">
        <f t="shared" si="19"/>
        <v>165141</v>
      </c>
      <c r="N13" s="706">
        <f t="shared" si="19"/>
        <v>170420</v>
      </c>
      <c r="O13" s="706">
        <f t="shared" si="19"/>
        <v>170612</v>
      </c>
      <c r="Q13" s="709"/>
    </row>
    <row r="14" spans="1:17">
      <c r="A14" s="695" t="s">
        <v>701</v>
      </c>
      <c r="C14" s="695"/>
      <c r="D14" s="706">
        <f t="shared" ref="D14:I14" si="20">D402</f>
        <v>234430</v>
      </c>
      <c r="E14" s="706">
        <f t="shared" si="20"/>
        <v>239598</v>
      </c>
      <c r="F14" s="706">
        <f t="shared" si="20"/>
        <v>241713</v>
      </c>
      <c r="G14" s="706">
        <f t="shared" si="20"/>
        <v>243181</v>
      </c>
      <c r="H14" s="706">
        <f t="shared" si="20"/>
        <v>243386</v>
      </c>
      <c r="I14" s="706">
        <f t="shared" si="20"/>
        <v>231622</v>
      </c>
      <c r="J14" s="706">
        <f t="shared" ref="J14:O14" si="21">J402</f>
        <v>227997</v>
      </c>
      <c r="K14" s="706">
        <f t="shared" si="21"/>
        <v>231167</v>
      </c>
      <c r="L14" s="706">
        <f t="shared" si="21"/>
        <v>233131</v>
      </c>
      <c r="M14" s="706">
        <f t="shared" si="21"/>
        <v>231953</v>
      </c>
      <c r="N14" s="706">
        <f t="shared" si="21"/>
        <v>238393</v>
      </c>
      <c r="O14" s="706">
        <f t="shared" si="21"/>
        <v>238385</v>
      </c>
      <c r="Q14" s="709"/>
    </row>
    <row r="16" spans="1:17">
      <c r="A16" s="695" t="s">
        <v>9507</v>
      </c>
      <c r="D16" s="706">
        <f t="shared" ref="D16:I16" si="22">D3/25</f>
        <v>77436.52</v>
      </c>
      <c r="E16" s="706">
        <f t="shared" si="22"/>
        <v>78319.600000000006</v>
      </c>
      <c r="F16" s="706">
        <f t="shared" si="22"/>
        <v>78414.44</v>
      </c>
      <c r="G16" s="706">
        <f t="shared" si="22"/>
        <v>78857.88</v>
      </c>
      <c r="H16" s="706">
        <f t="shared" si="22"/>
        <v>79122</v>
      </c>
      <c r="I16" s="706">
        <f t="shared" si="22"/>
        <v>77345.2</v>
      </c>
      <c r="J16" s="706">
        <f t="shared" ref="J16:O16" si="23">J3/25</f>
        <v>75889.16</v>
      </c>
      <c r="K16" s="706">
        <f t="shared" si="23"/>
        <v>76647.56</v>
      </c>
      <c r="L16" s="706">
        <f t="shared" si="23"/>
        <v>77615.520000000004</v>
      </c>
      <c r="M16" s="706">
        <f t="shared" si="23"/>
        <v>77137.52</v>
      </c>
      <c r="N16" s="706">
        <f t="shared" si="23"/>
        <v>80572.039999999994</v>
      </c>
      <c r="O16" s="706">
        <f t="shared" si="23"/>
        <v>80017.119999999995</v>
      </c>
    </row>
    <row r="17" spans="1:17">
      <c r="A17" s="695" t="s">
        <v>9506</v>
      </c>
      <c r="D17" s="706">
        <f t="shared" ref="D17:I17" si="24">D3/26</f>
        <v>74458.192307692312</v>
      </c>
      <c r="E17" s="706">
        <f t="shared" si="24"/>
        <v>75307.307692307688</v>
      </c>
      <c r="F17" s="706">
        <f t="shared" si="24"/>
        <v>75398.5</v>
      </c>
      <c r="G17" s="706">
        <f t="shared" si="24"/>
        <v>75824.88461538461</v>
      </c>
      <c r="H17" s="706">
        <f t="shared" si="24"/>
        <v>76078.846153846156</v>
      </c>
      <c r="I17" s="706">
        <f t="shared" si="24"/>
        <v>74370.38461538461</v>
      </c>
      <c r="J17" s="706">
        <f t="shared" ref="J17:O17" si="25">J3/26</f>
        <v>72970.346153846156</v>
      </c>
      <c r="K17" s="706">
        <f t="shared" si="25"/>
        <v>73699.576923076922</v>
      </c>
      <c r="L17" s="706">
        <f t="shared" si="25"/>
        <v>74630.307692307688</v>
      </c>
      <c r="M17" s="706">
        <f t="shared" si="25"/>
        <v>74170.692307692312</v>
      </c>
      <c r="N17" s="706">
        <f t="shared" si="25"/>
        <v>77473.11538461539</v>
      </c>
      <c r="O17" s="706">
        <f t="shared" si="25"/>
        <v>76939.538461538468</v>
      </c>
    </row>
    <row r="18" spans="1:17">
      <c r="D18" s="707"/>
      <c r="E18" s="707"/>
      <c r="F18" s="707"/>
      <c r="G18" s="707"/>
      <c r="H18" s="707"/>
      <c r="I18" s="707"/>
      <c r="J18" s="707"/>
      <c r="K18" s="707"/>
      <c r="L18" s="707"/>
      <c r="M18" s="707"/>
      <c r="N18" s="707"/>
      <c r="O18" s="707"/>
    </row>
    <row r="19" spans="1:17">
      <c r="A19" s="695" t="s">
        <v>1382</v>
      </c>
      <c r="D19" s="706">
        <f t="shared" ref="D19:I19" si="26">D393</f>
        <v>71192</v>
      </c>
      <c r="E19" s="706">
        <f t="shared" si="26"/>
        <v>72008</v>
      </c>
      <c r="F19" s="706">
        <f t="shared" si="26"/>
        <v>69755</v>
      </c>
      <c r="G19" s="706">
        <f t="shared" si="26"/>
        <v>69691</v>
      </c>
      <c r="H19" s="706">
        <f t="shared" si="26"/>
        <v>70359</v>
      </c>
      <c r="I19" s="706">
        <f t="shared" si="26"/>
        <v>69788</v>
      </c>
      <c r="J19" s="706">
        <f t="shared" ref="J19:O19" si="27">J393</f>
        <v>69719</v>
      </c>
      <c r="K19" s="706">
        <f t="shared" si="27"/>
        <v>71058</v>
      </c>
      <c r="L19" s="706">
        <f t="shared" si="27"/>
        <v>71993</v>
      </c>
      <c r="M19" s="706">
        <f t="shared" si="27"/>
        <v>71751</v>
      </c>
      <c r="N19" s="706">
        <f t="shared" si="27"/>
        <v>73900</v>
      </c>
      <c r="O19" s="706">
        <f t="shared" si="27"/>
        <v>73934</v>
      </c>
      <c r="Q19" s="695" t="s">
        <v>1383</v>
      </c>
    </row>
    <row r="20" spans="1:17">
      <c r="D20" s="707"/>
      <c r="E20" s="707"/>
      <c r="F20" s="707"/>
      <c r="G20" s="707"/>
      <c r="H20" s="707"/>
      <c r="I20" s="707"/>
      <c r="J20" s="707"/>
      <c r="K20" s="707"/>
      <c r="L20" s="707"/>
      <c r="M20" s="707"/>
      <c r="N20" s="707"/>
      <c r="O20" s="707"/>
    </row>
    <row r="21" spans="1:17">
      <c r="A21" s="695" t="s">
        <v>2749</v>
      </c>
      <c r="D21" s="706">
        <f t="shared" ref="D21:I21" si="28">D235</f>
        <v>15811</v>
      </c>
      <c r="E21" s="706">
        <f t="shared" si="28"/>
        <v>15718</v>
      </c>
      <c r="F21" s="706">
        <f t="shared" si="28"/>
        <v>15545</v>
      </c>
      <c r="G21" s="706">
        <f t="shared" si="28"/>
        <v>15682</v>
      </c>
      <c r="H21" s="706">
        <f t="shared" si="28"/>
        <v>15724</v>
      </c>
      <c r="I21" s="706">
        <f t="shared" si="28"/>
        <v>15313</v>
      </c>
      <c r="J21" s="706">
        <f t="shared" ref="J21:O21" si="29">J235</f>
        <v>15073</v>
      </c>
      <c r="K21" s="706">
        <f t="shared" si="29"/>
        <v>15234</v>
      </c>
      <c r="L21" s="706">
        <f t="shared" si="29"/>
        <v>15221</v>
      </c>
      <c r="M21" s="706">
        <f t="shared" si="29"/>
        <v>15170</v>
      </c>
      <c r="N21" s="706">
        <f t="shared" si="29"/>
        <v>15581</v>
      </c>
      <c r="O21" s="706">
        <f t="shared" si="29"/>
        <v>15650</v>
      </c>
      <c r="Q21" s="695" t="s">
        <v>2750</v>
      </c>
    </row>
    <row r="22" spans="1:17" ht="15.75" thickBot="1">
      <c r="D22" s="710">
        <f t="shared" ref="D22:I22" si="30">D361</f>
        <v>51846</v>
      </c>
      <c r="E22" s="710">
        <f t="shared" si="30"/>
        <v>52835</v>
      </c>
      <c r="F22" s="710">
        <f t="shared" si="30"/>
        <v>52203</v>
      </c>
      <c r="G22" s="710">
        <f t="shared" si="30"/>
        <v>51762</v>
      </c>
      <c r="H22" s="710">
        <f t="shared" si="30"/>
        <v>52924</v>
      </c>
      <c r="I22" s="710">
        <f t="shared" si="30"/>
        <v>52043</v>
      </c>
      <c r="J22" s="710">
        <f t="shared" ref="J22:O22" si="31">J361</f>
        <v>50868</v>
      </c>
      <c r="K22" s="710">
        <f t="shared" si="31"/>
        <v>51812</v>
      </c>
      <c r="L22" s="710">
        <f t="shared" si="31"/>
        <v>52143</v>
      </c>
      <c r="M22" s="710">
        <f t="shared" si="31"/>
        <v>52228</v>
      </c>
      <c r="N22" s="710">
        <f t="shared" si="31"/>
        <v>52941</v>
      </c>
      <c r="O22" s="710">
        <f t="shared" si="31"/>
        <v>52976</v>
      </c>
      <c r="Q22" s="695" t="s">
        <v>2751</v>
      </c>
    </row>
    <row r="23" spans="1:17" ht="15.75" thickBot="1">
      <c r="D23" s="710">
        <f t="shared" ref="D23:I23" si="32">D21+D22</f>
        <v>67657</v>
      </c>
      <c r="E23" s="710">
        <f t="shared" si="32"/>
        <v>68553</v>
      </c>
      <c r="F23" s="710">
        <f t="shared" si="32"/>
        <v>67748</v>
      </c>
      <c r="G23" s="710">
        <f t="shared" si="32"/>
        <v>67444</v>
      </c>
      <c r="H23" s="710">
        <f t="shared" si="32"/>
        <v>68648</v>
      </c>
      <c r="I23" s="710">
        <f t="shared" si="32"/>
        <v>67356</v>
      </c>
      <c r="J23" s="710">
        <f t="shared" ref="J23:O23" si="33">J21+J22</f>
        <v>65941</v>
      </c>
      <c r="K23" s="710">
        <f t="shared" si="33"/>
        <v>67046</v>
      </c>
      <c r="L23" s="710">
        <f t="shared" si="33"/>
        <v>67364</v>
      </c>
      <c r="M23" s="710">
        <f t="shared" si="33"/>
        <v>67398</v>
      </c>
      <c r="N23" s="710">
        <f t="shared" si="33"/>
        <v>68522</v>
      </c>
      <c r="O23" s="710">
        <f t="shared" si="33"/>
        <v>68626</v>
      </c>
    </row>
    <row r="24" spans="1:17">
      <c r="D24" s="707"/>
      <c r="E24" s="707"/>
      <c r="F24" s="707"/>
      <c r="G24" s="707"/>
      <c r="H24" s="707"/>
      <c r="I24" s="707"/>
      <c r="J24" s="707"/>
      <c r="K24" s="707"/>
      <c r="L24" s="707"/>
      <c r="M24" s="707"/>
      <c r="N24" s="707"/>
      <c r="O24" s="707"/>
    </row>
    <row r="25" spans="1:17">
      <c r="A25" s="695" t="s">
        <v>2752</v>
      </c>
      <c r="D25" s="706">
        <f t="shared" ref="D25:I25" si="34">D202</f>
        <v>53793</v>
      </c>
      <c r="E25" s="706">
        <f t="shared" si="34"/>
        <v>53589</v>
      </c>
      <c r="F25" s="706">
        <f t="shared" si="34"/>
        <v>55638</v>
      </c>
      <c r="G25" s="706">
        <f t="shared" si="34"/>
        <v>56447</v>
      </c>
      <c r="H25" s="706">
        <f t="shared" si="34"/>
        <v>56768</v>
      </c>
      <c r="I25" s="706">
        <f t="shared" si="34"/>
        <v>55958</v>
      </c>
      <c r="J25" s="706">
        <f t="shared" ref="J25:O25" si="35">J202</f>
        <v>55835</v>
      </c>
      <c r="K25" s="706">
        <f t="shared" si="35"/>
        <v>54241</v>
      </c>
      <c r="L25" s="706">
        <f t="shared" si="35"/>
        <v>54602</v>
      </c>
      <c r="M25" s="706">
        <f t="shared" si="35"/>
        <v>54309</v>
      </c>
      <c r="N25" s="706">
        <f t="shared" si="35"/>
        <v>56538</v>
      </c>
      <c r="O25" s="706">
        <f t="shared" si="35"/>
        <v>56505</v>
      </c>
      <c r="Q25" s="695" t="s">
        <v>2753</v>
      </c>
    </row>
    <row r="26" spans="1:17" ht="15.75" thickBot="1">
      <c r="D26" s="710">
        <f t="shared" ref="D26:I26" si="36">D298</f>
        <v>15032</v>
      </c>
      <c r="E26" s="710">
        <f t="shared" si="36"/>
        <v>15417</v>
      </c>
      <c r="F26" s="710">
        <f t="shared" si="36"/>
        <v>15891</v>
      </c>
      <c r="G26" s="710">
        <f t="shared" si="36"/>
        <v>16211</v>
      </c>
      <c r="H26" s="710">
        <f t="shared" si="36"/>
        <v>16315</v>
      </c>
      <c r="I26" s="710">
        <f t="shared" si="36"/>
        <v>15696</v>
      </c>
      <c r="J26" s="710">
        <f t="shared" ref="J26:O26" si="37">J298</f>
        <v>16168</v>
      </c>
      <c r="K26" s="710">
        <f t="shared" si="37"/>
        <v>16080</v>
      </c>
      <c r="L26" s="710">
        <f t="shared" si="37"/>
        <v>16457</v>
      </c>
      <c r="M26" s="710">
        <f t="shared" si="37"/>
        <v>16269</v>
      </c>
      <c r="N26" s="710">
        <f t="shared" si="37"/>
        <v>17675</v>
      </c>
      <c r="O26" s="710">
        <f t="shared" si="37"/>
        <v>16943</v>
      </c>
      <c r="Q26" s="695" t="s">
        <v>2754</v>
      </c>
    </row>
    <row r="27" spans="1:17" ht="15.75" thickBot="1">
      <c r="D27" s="711">
        <f t="shared" ref="D27:I27" si="38">D25+D26</f>
        <v>68825</v>
      </c>
      <c r="E27" s="711">
        <f t="shared" si="38"/>
        <v>69006</v>
      </c>
      <c r="F27" s="711">
        <f t="shared" si="38"/>
        <v>71529</v>
      </c>
      <c r="G27" s="711">
        <f t="shared" si="38"/>
        <v>72658</v>
      </c>
      <c r="H27" s="711">
        <f t="shared" si="38"/>
        <v>73083</v>
      </c>
      <c r="I27" s="711">
        <f t="shared" si="38"/>
        <v>71654</v>
      </c>
      <c r="J27" s="711">
        <f t="shared" ref="J27:O27" si="39">J25+J26</f>
        <v>72003</v>
      </c>
      <c r="K27" s="711">
        <f t="shared" si="39"/>
        <v>70321</v>
      </c>
      <c r="L27" s="711">
        <f t="shared" si="39"/>
        <v>71059</v>
      </c>
      <c r="M27" s="711">
        <f t="shared" si="39"/>
        <v>70578</v>
      </c>
      <c r="N27" s="711">
        <f t="shared" si="39"/>
        <v>74213</v>
      </c>
      <c r="O27" s="711">
        <f t="shared" si="39"/>
        <v>73448</v>
      </c>
    </row>
    <row r="28" spans="1:17">
      <c r="D28" s="707"/>
      <c r="E28" s="707"/>
      <c r="F28" s="707"/>
      <c r="G28" s="707"/>
      <c r="H28" s="707"/>
      <c r="I28" s="707"/>
      <c r="J28" s="707"/>
      <c r="K28" s="707"/>
      <c r="L28" s="707"/>
      <c r="M28" s="707"/>
      <c r="N28" s="707"/>
      <c r="O28" s="707"/>
    </row>
    <row r="29" spans="1:17">
      <c r="A29" s="695" t="s">
        <v>2740</v>
      </c>
      <c r="D29" s="706">
        <f t="shared" ref="D29:I29" si="40">D114</f>
        <v>66682</v>
      </c>
      <c r="E29" s="706">
        <f t="shared" si="40"/>
        <v>66600</v>
      </c>
      <c r="F29" s="706">
        <f t="shared" si="40"/>
        <v>66284</v>
      </c>
      <c r="G29" s="706">
        <f t="shared" si="40"/>
        <v>66895</v>
      </c>
      <c r="H29" s="706">
        <f t="shared" si="40"/>
        <v>66794</v>
      </c>
      <c r="I29" s="706">
        <f t="shared" si="40"/>
        <v>66597</v>
      </c>
      <c r="J29" s="706">
        <f t="shared" ref="J29:O29" si="41">J114</f>
        <v>63881</v>
      </c>
      <c r="K29" s="706">
        <f t="shared" si="41"/>
        <v>65375</v>
      </c>
      <c r="L29" s="706">
        <f t="shared" si="41"/>
        <v>65973</v>
      </c>
      <c r="M29" s="706">
        <f t="shared" si="41"/>
        <v>65094</v>
      </c>
      <c r="N29" s="706">
        <f t="shared" si="41"/>
        <v>67901</v>
      </c>
      <c r="O29" s="706">
        <f t="shared" si="41"/>
        <v>67353</v>
      </c>
      <c r="Q29" s="695" t="s">
        <v>2741</v>
      </c>
    </row>
    <row r="30" spans="1:17">
      <c r="D30" s="707"/>
      <c r="E30" s="707"/>
      <c r="F30" s="707"/>
      <c r="G30" s="707"/>
      <c r="H30" s="707"/>
      <c r="I30" s="707"/>
      <c r="J30" s="707"/>
      <c r="K30" s="707"/>
      <c r="L30" s="707"/>
      <c r="M30" s="707"/>
      <c r="N30" s="707"/>
      <c r="O30" s="707"/>
    </row>
    <row r="31" spans="1:17">
      <c r="A31" s="695" t="s">
        <v>2742</v>
      </c>
      <c r="D31" s="706">
        <f t="shared" ref="D31:I31" si="42">D115</f>
        <v>69077</v>
      </c>
      <c r="E31" s="706">
        <f t="shared" si="42"/>
        <v>69088</v>
      </c>
      <c r="F31" s="706">
        <f t="shared" si="42"/>
        <v>68743</v>
      </c>
      <c r="G31" s="706">
        <f t="shared" si="42"/>
        <v>68653</v>
      </c>
      <c r="H31" s="706">
        <f t="shared" si="42"/>
        <v>68719</v>
      </c>
      <c r="I31" s="706">
        <f t="shared" si="42"/>
        <v>68423</v>
      </c>
      <c r="J31" s="706">
        <f t="shared" ref="J31:O31" si="43">J115</f>
        <v>65610</v>
      </c>
      <c r="K31" s="706">
        <f t="shared" si="43"/>
        <v>67109</v>
      </c>
      <c r="L31" s="706">
        <f t="shared" si="43"/>
        <v>67682</v>
      </c>
      <c r="M31" s="706">
        <f t="shared" si="43"/>
        <v>66819</v>
      </c>
      <c r="N31" s="706">
        <f t="shared" si="43"/>
        <v>69585</v>
      </c>
      <c r="O31" s="706">
        <f t="shared" si="43"/>
        <v>69013</v>
      </c>
      <c r="Q31" s="695" t="s">
        <v>2741</v>
      </c>
    </row>
    <row r="32" spans="1:17">
      <c r="D32" s="707"/>
      <c r="E32" s="707"/>
      <c r="F32" s="707"/>
      <c r="G32" s="707"/>
      <c r="H32" s="707"/>
      <c r="I32" s="707"/>
      <c r="J32" s="707"/>
      <c r="K32" s="707"/>
      <c r="L32" s="707"/>
      <c r="M32" s="707"/>
      <c r="N32" s="707"/>
      <c r="O32" s="707"/>
    </row>
    <row r="33" spans="1:17">
      <c r="A33" s="695" t="s">
        <v>2743</v>
      </c>
      <c r="D33" s="706">
        <f t="shared" ref="D33:I33" si="44">D116</f>
        <v>60443</v>
      </c>
      <c r="E33" s="706">
        <f t="shared" si="44"/>
        <v>60492</v>
      </c>
      <c r="F33" s="706">
        <f t="shared" si="44"/>
        <v>60472</v>
      </c>
      <c r="G33" s="706">
        <f t="shared" si="44"/>
        <v>61072</v>
      </c>
      <c r="H33" s="706">
        <f t="shared" si="44"/>
        <v>61327</v>
      </c>
      <c r="I33" s="706">
        <f t="shared" si="44"/>
        <v>61300</v>
      </c>
      <c r="J33" s="706">
        <f t="shared" ref="J33:O33" si="45">J116</f>
        <v>59383</v>
      </c>
      <c r="K33" s="706">
        <f t="shared" si="45"/>
        <v>60813</v>
      </c>
      <c r="L33" s="706">
        <f t="shared" si="45"/>
        <v>61295</v>
      </c>
      <c r="M33" s="706">
        <f t="shared" si="45"/>
        <v>60506</v>
      </c>
      <c r="N33" s="706">
        <f t="shared" si="45"/>
        <v>62727</v>
      </c>
      <c r="O33" s="706">
        <f t="shared" si="45"/>
        <v>62187</v>
      </c>
      <c r="Q33" s="695" t="s">
        <v>2741</v>
      </c>
    </row>
    <row r="34" spans="1:17" ht="15.75" thickBot="1">
      <c r="A34" s="695"/>
      <c r="D34" s="710">
        <f t="shared" ref="D34:I34" si="46">D429</f>
        <v>10618</v>
      </c>
      <c r="E34" s="710">
        <f t="shared" si="46"/>
        <v>10962</v>
      </c>
      <c r="F34" s="710">
        <f t="shared" si="46"/>
        <v>11218</v>
      </c>
      <c r="G34" s="710">
        <f t="shared" si="46"/>
        <v>11252</v>
      </c>
      <c r="H34" s="710">
        <f t="shared" si="46"/>
        <v>11312</v>
      </c>
      <c r="I34" s="710">
        <f t="shared" si="46"/>
        <v>10158</v>
      </c>
      <c r="J34" s="710">
        <f t="shared" ref="J34:O34" si="47">J429</f>
        <v>10337</v>
      </c>
      <c r="K34" s="710">
        <f t="shared" si="47"/>
        <v>10427</v>
      </c>
      <c r="L34" s="710">
        <f t="shared" si="47"/>
        <v>10594</v>
      </c>
      <c r="M34" s="710">
        <f t="shared" si="47"/>
        <v>10533</v>
      </c>
      <c r="N34" s="710">
        <f t="shared" si="47"/>
        <v>10958</v>
      </c>
      <c r="O34" s="710">
        <f t="shared" si="47"/>
        <v>10962</v>
      </c>
      <c r="Q34" s="695" t="s">
        <v>2744</v>
      </c>
    </row>
    <row r="35" spans="1:17" ht="15.75" thickBot="1">
      <c r="A35" s="695"/>
      <c r="D35" s="711">
        <f t="shared" ref="D35:I35" si="48">D33+D34</f>
        <v>71061</v>
      </c>
      <c r="E35" s="711">
        <f t="shared" si="48"/>
        <v>71454</v>
      </c>
      <c r="F35" s="711">
        <f t="shared" si="48"/>
        <v>71690</v>
      </c>
      <c r="G35" s="711">
        <f t="shared" si="48"/>
        <v>72324</v>
      </c>
      <c r="H35" s="711">
        <f t="shared" si="48"/>
        <v>72639</v>
      </c>
      <c r="I35" s="711">
        <f t="shared" si="48"/>
        <v>71458</v>
      </c>
      <c r="J35" s="711">
        <f t="shared" ref="J35:O35" si="49">J33+J34</f>
        <v>69720</v>
      </c>
      <c r="K35" s="711">
        <f t="shared" si="49"/>
        <v>71240</v>
      </c>
      <c r="L35" s="711">
        <f t="shared" si="49"/>
        <v>71889</v>
      </c>
      <c r="M35" s="711">
        <f t="shared" si="49"/>
        <v>71039</v>
      </c>
      <c r="N35" s="711">
        <f t="shared" si="49"/>
        <v>73685</v>
      </c>
      <c r="O35" s="711">
        <f t="shared" si="49"/>
        <v>73149</v>
      </c>
      <c r="Q35" s="695"/>
    </row>
    <row r="36" spans="1:17">
      <c r="A36" s="695"/>
      <c r="D36" s="706"/>
      <c r="E36" s="706"/>
      <c r="F36" s="706"/>
      <c r="G36" s="706"/>
      <c r="H36" s="706"/>
      <c r="I36" s="706"/>
      <c r="J36" s="706"/>
      <c r="K36" s="706"/>
      <c r="L36" s="706"/>
      <c r="M36" s="706"/>
      <c r="N36" s="706"/>
      <c r="O36" s="706"/>
      <c r="Q36" s="695"/>
    </row>
    <row r="37" spans="1:17">
      <c r="A37" s="695" t="s">
        <v>2745</v>
      </c>
      <c r="D37" s="706">
        <f t="shared" ref="D37:I37" si="50">D142</f>
        <v>67421</v>
      </c>
      <c r="E37" s="706">
        <f t="shared" si="50"/>
        <v>67911</v>
      </c>
      <c r="F37" s="706">
        <f t="shared" si="50"/>
        <v>68025</v>
      </c>
      <c r="G37" s="706">
        <f t="shared" si="50"/>
        <v>68380</v>
      </c>
      <c r="H37" s="706">
        <f t="shared" si="50"/>
        <v>68520</v>
      </c>
      <c r="I37" s="706">
        <f t="shared" si="50"/>
        <v>67039</v>
      </c>
      <c r="J37" s="706">
        <f t="shared" ref="J37:O37" si="51">J142</f>
        <v>64564</v>
      </c>
      <c r="K37" s="706">
        <f t="shared" si="51"/>
        <v>66511</v>
      </c>
      <c r="L37" s="706">
        <f t="shared" si="51"/>
        <v>66842</v>
      </c>
      <c r="M37" s="706">
        <f t="shared" si="51"/>
        <v>66766</v>
      </c>
      <c r="N37" s="706">
        <f t="shared" si="51"/>
        <v>69332</v>
      </c>
      <c r="O37" s="706">
        <f t="shared" si="51"/>
        <v>68381</v>
      </c>
      <c r="Q37" s="695" t="s">
        <v>2746</v>
      </c>
    </row>
    <row r="38" spans="1:17">
      <c r="D38" s="707"/>
      <c r="E38" s="707"/>
      <c r="F38" s="707"/>
      <c r="G38" s="707"/>
      <c r="H38" s="707"/>
      <c r="I38" s="707"/>
      <c r="J38" s="707"/>
      <c r="K38" s="707"/>
      <c r="L38" s="707"/>
      <c r="M38" s="707"/>
      <c r="N38" s="707"/>
      <c r="O38" s="707"/>
    </row>
    <row r="39" spans="1:17">
      <c r="A39" s="695" t="s">
        <v>2747</v>
      </c>
      <c r="D39" s="706">
        <f t="shared" ref="D39:I39" si="52">D143</f>
        <v>74313</v>
      </c>
      <c r="E39" s="706">
        <f t="shared" si="52"/>
        <v>75140</v>
      </c>
      <c r="F39" s="706">
        <f t="shared" si="52"/>
        <v>75084</v>
      </c>
      <c r="G39" s="706">
        <f t="shared" si="52"/>
        <v>75070</v>
      </c>
      <c r="H39" s="706">
        <f t="shared" si="52"/>
        <v>74661</v>
      </c>
      <c r="I39" s="706">
        <f t="shared" si="52"/>
        <v>73378</v>
      </c>
      <c r="J39" s="706">
        <f t="shared" ref="J39:O39" si="53">J143</f>
        <v>70085</v>
      </c>
      <c r="K39" s="706">
        <f t="shared" si="53"/>
        <v>71954</v>
      </c>
      <c r="L39" s="706">
        <f t="shared" si="53"/>
        <v>72679</v>
      </c>
      <c r="M39" s="706">
        <f t="shared" si="53"/>
        <v>72498</v>
      </c>
      <c r="N39" s="706">
        <f t="shared" si="53"/>
        <v>75637</v>
      </c>
      <c r="O39" s="706">
        <f t="shared" si="53"/>
        <v>74539</v>
      </c>
      <c r="Q39" s="695" t="s">
        <v>2746</v>
      </c>
    </row>
    <row r="40" spans="1:17">
      <c r="D40" s="707"/>
      <c r="E40" s="707"/>
      <c r="F40" s="707"/>
      <c r="G40" s="707"/>
      <c r="H40" s="707"/>
      <c r="I40" s="707"/>
      <c r="J40" s="707"/>
      <c r="K40" s="707"/>
      <c r="L40" s="707"/>
      <c r="M40" s="707"/>
      <c r="N40" s="707"/>
      <c r="O40" s="707"/>
    </row>
    <row r="41" spans="1:17">
      <c r="A41" s="695" t="s">
        <v>2748</v>
      </c>
      <c r="D41" s="706">
        <f t="shared" ref="D41:I41" si="54">D330</f>
        <v>71927</v>
      </c>
      <c r="E41" s="706">
        <f t="shared" si="54"/>
        <v>71797</v>
      </c>
      <c r="F41" s="706">
        <f t="shared" si="54"/>
        <v>72422</v>
      </c>
      <c r="G41" s="706">
        <f t="shared" si="54"/>
        <v>72777</v>
      </c>
      <c r="H41" s="706">
        <f t="shared" si="54"/>
        <v>72368</v>
      </c>
      <c r="I41" s="706">
        <f t="shared" si="54"/>
        <v>72936</v>
      </c>
      <c r="J41" s="706">
        <f t="shared" ref="J41:O41" si="55">J330</f>
        <v>70529</v>
      </c>
      <c r="K41" s="706">
        <f t="shared" si="55"/>
        <v>72039</v>
      </c>
      <c r="L41" s="706">
        <f t="shared" si="55"/>
        <v>72568</v>
      </c>
      <c r="M41" s="706">
        <f t="shared" si="55"/>
        <v>72504</v>
      </c>
      <c r="N41" s="706">
        <f t="shared" si="55"/>
        <v>75099</v>
      </c>
      <c r="O41" s="706">
        <f t="shared" si="55"/>
        <v>73775</v>
      </c>
      <c r="Q41" s="695" t="s">
        <v>4172</v>
      </c>
    </row>
    <row r="42" spans="1:17">
      <c r="D42" s="707"/>
      <c r="E42" s="707"/>
      <c r="F42" s="707"/>
      <c r="G42" s="707"/>
      <c r="H42" s="707"/>
      <c r="I42" s="707"/>
      <c r="J42" s="707"/>
      <c r="K42" s="707"/>
      <c r="L42" s="707"/>
      <c r="M42" s="707"/>
      <c r="N42" s="707"/>
      <c r="O42" s="707"/>
    </row>
    <row r="43" spans="1:17">
      <c r="A43" s="695" t="s">
        <v>4173</v>
      </c>
      <c r="D43" s="707">
        <f t="shared" ref="D43:I43" si="56">D331</f>
        <v>20841</v>
      </c>
      <c r="E43" s="707">
        <f t="shared" si="56"/>
        <v>20889</v>
      </c>
      <c r="F43" s="707">
        <f t="shared" si="56"/>
        <v>21153</v>
      </c>
      <c r="G43" s="707">
        <f t="shared" si="56"/>
        <v>21280</v>
      </c>
      <c r="H43" s="707">
        <f t="shared" si="56"/>
        <v>20903</v>
      </c>
      <c r="I43" s="707">
        <f t="shared" si="56"/>
        <v>20987</v>
      </c>
      <c r="J43" s="707">
        <f t="shared" ref="J43:O43" si="57">J331</f>
        <v>19937</v>
      </c>
      <c r="K43" s="707">
        <f t="shared" si="57"/>
        <v>20434</v>
      </c>
      <c r="L43" s="707">
        <f t="shared" si="57"/>
        <v>20636</v>
      </c>
      <c r="M43" s="707">
        <f t="shared" si="57"/>
        <v>20524</v>
      </c>
      <c r="N43" s="707">
        <f t="shared" si="57"/>
        <v>21495</v>
      </c>
      <c r="O43" s="707">
        <f t="shared" si="57"/>
        <v>20967</v>
      </c>
      <c r="Q43" s="695" t="s">
        <v>4172</v>
      </c>
    </row>
    <row r="44" spans="1:17" ht="15.75" thickBot="1">
      <c r="A44" s="695"/>
      <c r="D44" s="710">
        <f t="shared" ref="D44:I44" si="58">D362</f>
        <v>43998</v>
      </c>
      <c r="E44" s="710">
        <f t="shared" si="58"/>
        <v>44795</v>
      </c>
      <c r="F44" s="710">
        <f t="shared" si="58"/>
        <v>44430</v>
      </c>
      <c r="G44" s="710">
        <f t="shared" si="58"/>
        <v>44165</v>
      </c>
      <c r="H44" s="710">
        <f t="shared" si="58"/>
        <v>45124</v>
      </c>
      <c r="I44" s="710">
        <f t="shared" si="58"/>
        <v>44537</v>
      </c>
      <c r="J44" s="710">
        <f t="shared" ref="J44:O44" si="59">J362</f>
        <v>43931</v>
      </c>
      <c r="K44" s="710">
        <f t="shared" si="59"/>
        <v>44933</v>
      </c>
      <c r="L44" s="710">
        <f t="shared" si="59"/>
        <v>44897</v>
      </c>
      <c r="M44" s="710">
        <f t="shared" si="59"/>
        <v>44969</v>
      </c>
      <c r="N44" s="710">
        <f t="shared" si="59"/>
        <v>45484</v>
      </c>
      <c r="O44" s="710">
        <f t="shared" si="59"/>
        <v>45503</v>
      </c>
      <c r="Q44" s="695" t="s">
        <v>2751</v>
      </c>
    </row>
    <row r="45" spans="1:17" ht="15.75" thickBot="1">
      <c r="A45" s="695"/>
      <c r="D45" s="711">
        <f t="shared" ref="D45:I45" si="60">D43+D44</f>
        <v>64839</v>
      </c>
      <c r="E45" s="711">
        <f t="shared" si="60"/>
        <v>65684</v>
      </c>
      <c r="F45" s="711">
        <f t="shared" si="60"/>
        <v>65583</v>
      </c>
      <c r="G45" s="711">
        <f t="shared" si="60"/>
        <v>65445</v>
      </c>
      <c r="H45" s="711">
        <f t="shared" si="60"/>
        <v>66027</v>
      </c>
      <c r="I45" s="711">
        <f t="shared" si="60"/>
        <v>65524</v>
      </c>
      <c r="J45" s="711">
        <f t="shared" ref="J45:O45" si="61">J43+J44</f>
        <v>63868</v>
      </c>
      <c r="K45" s="711">
        <f t="shared" si="61"/>
        <v>65367</v>
      </c>
      <c r="L45" s="711">
        <f t="shared" si="61"/>
        <v>65533</v>
      </c>
      <c r="M45" s="711">
        <f t="shared" si="61"/>
        <v>65493</v>
      </c>
      <c r="N45" s="711">
        <f t="shared" si="61"/>
        <v>66979</v>
      </c>
      <c r="O45" s="711">
        <f t="shared" si="61"/>
        <v>66470</v>
      </c>
      <c r="Q45" s="695"/>
    </row>
    <row r="46" spans="1:17">
      <c r="D46" s="707"/>
      <c r="E46" s="707"/>
      <c r="F46" s="707"/>
      <c r="G46" s="707"/>
      <c r="H46" s="707"/>
      <c r="I46" s="707"/>
      <c r="J46" s="707"/>
      <c r="K46" s="707"/>
      <c r="L46" s="707"/>
      <c r="M46" s="707"/>
      <c r="N46" s="707"/>
      <c r="O46" s="707"/>
    </row>
    <row r="47" spans="1:17">
      <c r="A47" s="695" t="s">
        <v>4174</v>
      </c>
      <c r="D47" s="706">
        <f t="shared" ref="D47:I47" si="62">D332</f>
        <v>62665</v>
      </c>
      <c r="E47" s="706">
        <f t="shared" si="62"/>
        <v>62422</v>
      </c>
      <c r="F47" s="706">
        <f t="shared" si="62"/>
        <v>62914</v>
      </c>
      <c r="G47" s="706">
        <f t="shared" si="62"/>
        <v>63213</v>
      </c>
      <c r="H47" s="706">
        <f t="shared" si="62"/>
        <v>62910</v>
      </c>
      <c r="I47" s="706">
        <f t="shared" si="62"/>
        <v>63175</v>
      </c>
      <c r="J47" s="706">
        <f t="shared" ref="J47:O47" si="63">J332</f>
        <v>60718</v>
      </c>
      <c r="K47" s="706">
        <f t="shared" si="63"/>
        <v>61959</v>
      </c>
      <c r="L47" s="706">
        <f t="shared" si="63"/>
        <v>62184</v>
      </c>
      <c r="M47" s="706">
        <f t="shared" si="63"/>
        <v>61903</v>
      </c>
      <c r="N47" s="706">
        <f t="shared" si="63"/>
        <v>63691</v>
      </c>
      <c r="O47" s="706">
        <f t="shared" si="63"/>
        <v>62504</v>
      </c>
      <c r="Q47" s="695" t="s">
        <v>4172</v>
      </c>
    </row>
    <row r="48" spans="1:17">
      <c r="D48" s="707"/>
      <c r="E48" s="707"/>
      <c r="F48" s="707"/>
      <c r="G48" s="707"/>
      <c r="H48" s="707"/>
      <c r="I48" s="707"/>
      <c r="J48" s="707"/>
      <c r="K48" s="707"/>
      <c r="L48" s="707"/>
      <c r="M48" s="707"/>
      <c r="N48" s="707"/>
      <c r="O48" s="707"/>
    </row>
    <row r="49" spans="1:17">
      <c r="A49" s="695" t="s">
        <v>4175</v>
      </c>
      <c r="D49" s="706">
        <f t="shared" ref="D49:I49" si="64">D266</f>
        <v>79031</v>
      </c>
      <c r="E49" s="706">
        <f t="shared" si="64"/>
        <v>79636</v>
      </c>
      <c r="F49" s="706">
        <f t="shared" si="64"/>
        <v>79020</v>
      </c>
      <c r="G49" s="706">
        <f t="shared" si="64"/>
        <v>80503</v>
      </c>
      <c r="H49" s="706">
        <f t="shared" si="64"/>
        <v>79885</v>
      </c>
      <c r="I49" s="706">
        <f t="shared" si="64"/>
        <v>80059</v>
      </c>
      <c r="J49" s="706">
        <f t="shared" ref="J49:O49" si="65">J266</f>
        <v>75880</v>
      </c>
      <c r="K49" s="706">
        <f t="shared" si="65"/>
        <v>78625</v>
      </c>
      <c r="L49" s="706">
        <f t="shared" si="65"/>
        <v>79317</v>
      </c>
      <c r="M49" s="706">
        <f t="shared" si="65"/>
        <v>78922</v>
      </c>
      <c r="N49" s="706">
        <f t="shared" si="65"/>
        <v>80822</v>
      </c>
      <c r="O49" s="706">
        <f t="shared" si="65"/>
        <v>80869</v>
      </c>
      <c r="Q49" s="695" t="s">
        <v>4176</v>
      </c>
    </row>
    <row r="50" spans="1:17">
      <c r="D50" s="707"/>
      <c r="E50" s="707"/>
      <c r="F50" s="707"/>
      <c r="G50" s="707"/>
      <c r="H50" s="707"/>
      <c r="I50" s="707"/>
      <c r="J50" s="707"/>
      <c r="K50" s="707"/>
      <c r="L50" s="707"/>
      <c r="M50" s="707"/>
      <c r="N50" s="707"/>
      <c r="O50" s="707"/>
    </row>
    <row r="51" spans="1:17">
      <c r="A51" s="695" t="s">
        <v>4177</v>
      </c>
      <c r="D51" s="706">
        <f t="shared" ref="D51:I51" si="66">D430</f>
        <v>75330</v>
      </c>
      <c r="E51" s="706">
        <f t="shared" si="66"/>
        <v>77001</v>
      </c>
      <c r="F51" s="706">
        <f t="shared" si="66"/>
        <v>77900</v>
      </c>
      <c r="G51" s="706">
        <f t="shared" si="66"/>
        <v>78529</v>
      </c>
      <c r="H51" s="706">
        <f t="shared" si="66"/>
        <v>78661</v>
      </c>
      <c r="I51" s="706">
        <f t="shared" si="66"/>
        <v>74008</v>
      </c>
      <c r="J51" s="706">
        <f t="shared" ref="J51:O51" si="67">J430</f>
        <v>73070</v>
      </c>
      <c r="K51" s="706">
        <f t="shared" si="67"/>
        <v>74448</v>
      </c>
      <c r="L51" s="706">
        <f t="shared" si="67"/>
        <v>74941</v>
      </c>
      <c r="M51" s="706">
        <f t="shared" si="67"/>
        <v>74672</v>
      </c>
      <c r="N51" s="706">
        <f t="shared" si="67"/>
        <v>77374</v>
      </c>
      <c r="O51" s="706">
        <f t="shared" si="67"/>
        <v>77416</v>
      </c>
      <c r="Q51" s="695" t="s">
        <v>2744</v>
      </c>
    </row>
    <row r="52" spans="1:17">
      <c r="D52" s="707"/>
      <c r="E52" s="707"/>
      <c r="F52" s="707"/>
      <c r="G52" s="707"/>
      <c r="H52" s="707"/>
      <c r="I52" s="707"/>
      <c r="J52" s="707"/>
      <c r="K52" s="707"/>
      <c r="L52" s="707"/>
      <c r="M52" s="707"/>
      <c r="N52" s="707"/>
      <c r="O52" s="707"/>
    </row>
    <row r="53" spans="1:17">
      <c r="A53" s="695" t="s">
        <v>4178</v>
      </c>
      <c r="D53" s="706">
        <f t="shared" ref="D53:I53" si="68">D431</f>
        <v>73447</v>
      </c>
      <c r="E53" s="706">
        <f t="shared" si="68"/>
        <v>74856</v>
      </c>
      <c r="F53" s="706">
        <f t="shared" si="68"/>
        <v>75307</v>
      </c>
      <c r="G53" s="706">
        <f t="shared" si="68"/>
        <v>75725</v>
      </c>
      <c r="H53" s="706">
        <f t="shared" si="68"/>
        <v>75758</v>
      </c>
      <c r="I53" s="706">
        <f t="shared" si="68"/>
        <v>72835</v>
      </c>
      <c r="J53" s="706">
        <f t="shared" ref="J53:O53" si="69">J431</f>
        <v>71857</v>
      </c>
      <c r="K53" s="706">
        <f t="shared" si="69"/>
        <v>72636</v>
      </c>
      <c r="L53" s="706">
        <f t="shared" si="69"/>
        <v>73355</v>
      </c>
      <c r="M53" s="706">
        <f t="shared" si="69"/>
        <v>72966</v>
      </c>
      <c r="N53" s="706">
        <f t="shared" si="69"/>
        <v>74400</v>
      </c>
      <c r="O53" s="706">
        <f t="shared" si="69"/>
        <v>74400</v>
      </c>
      <c r="Q53" s="695" t="s">
        <v>2744</v>
      </c>
    </row>
    <row r="54" spans="1:17">
      <c r="D54" s="707"/>
      <c r="E54" s="707"/>
      <c r="F54" s="707"/>
      <c r="G54" s="707"/>
      <c r="H54" s="707"/>
      <c r="I54" s="707"/>
      <c r="J54" s="707"/>
      <c r="K54" s="707"/>
      <c r="L54" s="707"/>
      <c r="M54" s="707"/>
      <c r="N54" s="707"/>
      <c r="O54" s="707"/>
    </row>
    <row r="55" spans="1:17">
      <c r="A55" s="695" t="s">
        <v>4179</v>
      </c>
      <c r="D55" s="706">
        <f t="shared" ref="D55:I55" si="70">D203</f>
        <v>85522</v>
      </c>
      <c r="E55" s="706">
        <f t="shared" si="70"/>
        <v>89519</v>
      </c>
      <c r="F55" s="706">
        <f t="shared" si="70"/>
        <v>91216</v>
      </c>
      <c r="G55" s="706">
        <f t="shared" si="70"/>
        <v>92334</v>
      </c>
      <c r="H55" s="706">
        <f t="shared" si="70"/>
        <v>95373</v>
      </c>
      <c r="I55" s="706">
        <f t="shared" si="70"/>
        <v>89845</v>
      </c>
      <c r="J55" s="706">
        <f t="shared" ref="J55:O55" si="71">J203</f>
        <v>87339</v>
      </c>
      <c r="K55" s="706">
        <f t="shared" si="71"/>
        <v>85370</v>
      </c>
      <c r="L55" s="706">
        <f t="shared" si="71"/>
        <v>88488</v>
      </c>
      <c r="M55" s="706">
        <f t="shared" si="71"/>
        <v>86233</v>
      </c>
      <c r="N55" s="706">
        <f t="shared" si="71"/>
        <v>94937</v>
      </c>
      <c r="O55" s="706">
        <f t="shared" si="71"/>
        <v>94952</v>
      </c>
      <c r="Q55" s="695" t="s">
        <v>2753</v>
      </c>
    </row>
    <row r="56" spans="1:17">
      <c r="D56" s="707"/>
      <c r="E56" s="707"/>
      <c r="F56" s="707"/>
      <c r="G56" s="707"/>
      <c r="H56" s="707"/>
      <c r="I56" s="707"/>
      <c r="J56" s="707"/>
      <c r="K56" s="707"/>
      <c r="L56" s="707"/>
      <c r="M56" s="707"/>
      <c r="N56" s="707"/>
      <c r="O56" s="707"/>
    </row>
    <row r="57" spans="1:17">
      <c r="A57" s="695" t="s">
        <v>4180</v>
      </c>
      <c r="D57" s="706">
        <f t="shared" ref="D57:I57" si="72">D204</f>
        <v>72535</v>
      </c>
      <c r="E57" s="706">
        <f t="shared" si="72"/>
        <v>74681</v>
      </c>
      <c r="F57" s="706">
        <f t="shared" si="72"/>
        <v>76497</v>
      </c>
      <c r="G57" s="706">
        <f t="shared" si="72"/>
        <v>76384</v>
      </c>
      <c r="H57" s="706">
        <f t="shared" si="72"/>
        <v>76807</v>
      </c>
      <c r="I57" s="706">
        <f t="shared" si="72"/>
        <v>72518</v>
      </c>
      <c r="J57" s="706">
        <f t="shared" ref="J57:O57" si="73">J204</f>
        <v>74227</v>
      </c>
      <c r="K57" s="706">
        <f t="shared" si="73"/>
        <v>70873</v>
      </c>
      <c r="L57" s="706">
        <f t="shared" si="73"/>
        <v>73951</v>
      </c>
      <c r="M57" s="706">
        <f t="shared" si="73"/>
        <v>72577</v>
      </c>
      <c r="N57" s="706">
        <f t="shared" si="73"/>
        <v>77248</v>
      </c>
      <c r="O57" s="706">
        <f t="shared" si="73"/>
        <v>77230</v>
      </c>
      <c r="Q57" s="695" t="s">
        <v>2753</v>
      </c>
    </row>
    <row r="58" spans="1:17">
      <c r="D58" s="707"/>
      <c r="E58" s="707"/>
      <c r="F58" s="707"/>
      <c r="G58" s="707"/>
      <c r="H58" s="707"/>
      <c r="I58" s="707"/>
      <c r="J58" s="707"/>
      <c r="K58" s="707"/>
      <c r="L58" s="707"/>
      <c r="M58" s="707"/>
      <c r="N58" s="707"/>
      <c r="O58" s="707"/>
    </row>
    <row r="59" spans="1:17">
      <c r="A59" s="695" t="s">
        <v>4181</v>
      </c>
      <c r="D59" s="706">
        <f t="shared" ref="D59:I59" si="74">D205</f>
        <v>72514</v>
      </c>
      <c r="E59" s="706">
        <f t="shared" si="74"/>
        <v>73656</v>
      </c>
      <c r="F59" s="706">
        <f t="shared" si="74"/>
        <v>74964</v>
      </c>
      <c r="G59" s="706">
        <f t="shared" si="74"/>
        <v>75170</v>
      </c>
      <c r="H59" s="706">
        <f t="shared" si="74"/>
        <v>75560</v>
      </c>
      <c r="I59" s="706">
        <f t="shared" si="74"/>
        <v>74396</v>
      </c>
      <c r="J59" s="706">
        <f t="shared" ref="J59:O59" si="75">J205</f>
        <v>74616</v>
      </c>
      <c r="K59" s="706">
        <f t="shared" si="75"/>
        <v>69707</v>
      </c>
      <c r="L59" s="706">
        <f t="shared" si="75"/>
        <v>71330</v>
      </c>
      <c r="M59" s="706">
        <f t="shared" si="75"/>
        <v>69948</v>
      </c>
      <c r="N59" s="706">
        <f t="shared" si="75"/>
        <v>77021</v>
      </c>
      <c r="O59" s="706">
        <f t="shared" si="75"/>
        <v>76993</v>
      </c>
      <c r="Q59" s="695" t="s">
        <v>2753</v>
      </c>
    </row>
    <row r="60" spans="1:17">
      <c r="D60" s="707"/>
      <c r="E60" s="707"/>
      <c r="F60" s="707"/>
      <c r="G60" s="707"/>
      <c r="H60" s="707"/>
      <c r="I60" s="707"/>
      <c r="J60" s="707"/>
      <c r="K60" s="707"/>
      <c r="L60" s="707"/>
      <c r="M60" s="707"/>
      <c r="N60" s="707"/>
      <c r="O60" s="707"/>
    </row>
    <row r="61" spans="1:17">
      <c r="A61" s="695" t="s">
        <v>5734</v>
      </c>
      <c r="D61" s="706">
        <f t="shared" ref="D61:I61" si="76">D236</f>
        <v>72307</v>
      </c>
      <c r="E61" s="706">
        <f t="shared" si="76"/>
        <v>72249</v>
      </c>
      <c r="F61" s="706">
        <f t="shared" si="76"/>
        <v>71211</v>
      </c>
      <c r="G61" s="706">
        <f t="shared" si="76"/>
        <v>72260</v>
      </c>
      <c r="H61" s="706">
        <f t="shared" si="76"/>
        <v>72168</v>
      </c>
      <c r="I61" s="706">
        <f t="shared" si="76"/>
        <v>70237</v>
      </c>
      <c r="J61" s="706">
        <f t="shared" ref="J61:O61" si="77">J236</f>
        <v>69222</v>
      </c>
      <c r="K61" s="706">
        <f t="shared" si="77"/>
        <v>70446</v>
      </c>
      <c r="L61" s="706">
        <f t="shared" si="77"/>
        <v>70897</v>
      </c>
      <c r="M61" s="706">
        <f t="shared" si="77"/>
        <v>70508</v>
      </c>
      <c r="N61" s="706">
        <f t="shared" si="77"/>
        <v>72731</v>
      </c>
      <c r="O61" s="706">
        <f t="shared" si="77"/>
        <v>72997</v>
      </c>
      <c r="Q61" s="695" t="s">
        <v>2750</v>
      </c>
    </row>
    <row r="62" spans="1:17">
      <c r="D62" s="707"/>
      <c r="E62" s="707"/>
      <c r="F62" s="707"/>
      <c r="G62" s="707"/>
      <c r="H62" s="707"/>
      <c r="I62" s="707"/>
      <c r="J62" s="707"/>
      <c r="K62" s="707"/>
      <c r="L62" s="707"/>
      <c r="M62" s="707"/>
      <c r="N62" s="707"/>
      <c r="O62" s="707"/>
    </row>
    <row r="63" spans="1:17">
      <c r="A63" s="695" t="s">
        <v>5735</v>
      </c>
      <c r="D63" s="706">
        <f t="shared" ref="D63:I63" si="78">D237</f>
        <v>72066</v>
      </c>
      <c r="E63" s="706">
        <f t="shared" si="78"/>
        <v>72402</v>
      </c>
      <c r="F63" s="706">
        <f t="shared" si="78"/>
        <v>71968</v>
      </c>
      <c r="G63" s="706">
        <f t="shared" si="78"/>
        <v>72544</v>
      </c>
      <c r="H63" s="706">
        <f t="shared" si="78"/>
        <v>72437</v>
      </c>
      <c r="I63" s="706">
        <f t="shared" si="78"/>
        <v>70440</v>
      </c>
      <c r="J63" s="706">
        <f t="shared" ref="J63:O63" si="79">J237</f>
        <v>69456</v>
      </c>
      <c r="K63" s="706">
        <f t="shared" si="79"/>
        <v>70917</v>
      </c>
      <c r="L63" s="706">
        <f t="shared" si="79"/>
        <v>70945</v>
      </c>
      <c r="M63" s="706">
        <f t="shared" si="79"/>
        <v>71072</v>
      </c>
      <c r="N63" s="706">
        <f t="shared" si="79"/>
        <v>73715</v>
      </c>
      <c r="O63" s="706">
        <f t="shared" si="79"/>
        <v>74183</v>
      </c>
      <c r="Q63" s="695" t="s">
        <v>2750</v>
      </c>
    </row>
    <row r="64" spans="1:17">
      <c r="D64" s="707"/>
      <c r="E64" s="707"/>
      <c r="F64" s="707"/>
      <c r="G64" s="707"/>
      <c r="H64" s="707"/>
      <c r="I64" s="707"/>
      <c r="J64" s="707"/>
      <c r="K64" s="707"/>
      <c r="L64" s="707"/>
      <c r="M64" s="707"/>
      <c r="N64" s="707"/>
      <c r="O64" s="707"/>
    </row>
    <row r="65" spans="1:17">
      <c r="A65" s="695" t="s">
        <v>5736</v>
      </c>
      <c r="D65" s="706">
        <f t="shared" ref="D65:I65" si="80">D267</f>
        <v>77471</v>
      </c>
      <c r="E65" s="706">
        <f t="shared" si="80"/>
        <v>77699</v>
      </c>
      <c r="F65" s="706">
        <f t="shared" si="80"/>
        <v>78035</v>
      </c>
      <c r="G65" s="706">
        <f t="shared" si="80"/>
        <v>78320</v>
      </c>
      <c r="H65" s="706">
        <f t="shared" si="80"/>
        <v>77397</v>
      </c>
      <c r="I65" s="706">
        <f t="shared" si="80"/>
        <v>77219</v>
      </c>
      <c r="J65" s="706">
        <f t="shared" ref="J65:O65" si="81">J267</f>
        <v>72530</v>
      </c>
      <c r="K65" s="706">
        <f t="shared" si="81"/>
        <v>76576</v>
      </c>
      <c r="L65" s="706">
        <f t="shared" si="81"/>
        <v>78002</v>
      </c>
      <c r="M65" s="706">
        <f t="shared" si="81"/>
        <v>77929</v>
      </c>
      <c r="N65" s="706">
        <f t="shared" si="81"/>
        <v>79735</v>
      </c>
      <c r="O65" s="706">
        <f t="shared" si="81"/>
        <v>79901</v>
      </c>
      <c r="Q65" s="695" t="s">
        <v>4176</v>
      </c>
    </row>
    <row r="66" spans="1:17">
      <c r="D66" s="707"/>
      <c r="E66" s="707"/>
      <c r="F66" s="707"/>
      <c r="G66" s="707"/>
      <c r="H66" s="707"/>
      <c r="I66" s="707"/>
      <c r="J66" s="707"/>
      <c r="K66" s="707"/>
      <c r="L66" s="707"/>
      <c r="M66" s="707"/>
      <c r="N66" s="707"/>
      <c r="O66" s="707"/>
    </row>
    <row r="67" spans="1:17">
      <c r="A67" s="695" t="s">
        <v>5737</v>
      </c>
      <c r="D67" s="706">
        <f t="shared" ref="D67:I67" si="82">D299</f>
        <v>74817</v>
      </c>
      <c r="E67" s="706">
        <f t="shared" si="82"/>
        <v>76863</v>
      </c>
      <c r="F67" s="706">
        <f t="shared" si="82"/>
        <v>78217</v>
      </c>
      <c r="G67" s="706">
        <f t="shared" si="82"/>
        <v>78545</v>
      </c>
      <c r="H67" s="706">
        <f t="shared" si="82"/>
        <v>78803</v>
      </c>
      <c r="I67" s="706">
        <f t="shared" si="82"/>
        <v>72464</v>
      </c>
      <c r="J67" s="706">
        <f t="shared" ref="J67:O67" si="83">J299</f>
        <v>74161</v>
      </c>
      <c r="K67" s="706">
        <f t="shared" si="83"/>
        <v>74300</v>
      </c>
      <c r="L67" s="706">
        <f t="shared" si="83"/>
        <v>75775</v>
      </c>
      <c r="M67" s="706">
        <f t="shared" si="83"/>
        <v>75255</v>
      </c>
      <c r="N67" s="706">
        <f t="shared" si="83"/>
        <v>86306</v>
      </c>
      <c r="O67" s="706">
        <f t="shared" si="83"/>
        <v>82834</v>
      </c>
      <c r="Q67" s="695" t="s">
        <v>2754</v>
      </c>
    </row>
    <row r="68" spans="1:17">
      <c r="D68" s="707"/>
      <c r="E68" s="707"/>
      <c r="F68" s="707"/>
      <c r="G68" s="707"/>
      <c r="H68" s="707"/>
      <c r="I68" s="707"/>
      <c r="J68" s="707"/>
      <c r="K68" s="707"/>
      <c r="L68" s="707"/>
      <c r="M68" s="707"/>
      <c r="N68" s="707"/>
      <c r="O68" s="707"/>
    </row>
    <row r="69" spans="1:17">
      <c r="A69" s="695" t="s">
        <v>5738</v>
      </c>
      <c r="D69" s="706">
        <f t="shared" ref="D69:I69" si="84">D363</f>
        <v>69058</v>
      </c>
      <c r="E69" s="706">
        <f t="shared" si="84"/>
        <v>70691</v>
      </c>
      <c r="F69" s="706">
        <f t="shared" si="84"/>
        <v>70003</v>
      </c>
      <c r="G69" s="706">
        <f t="shared" si="84"/>
        <v>70034</v>
      </c>
      <c r="H69" s="706">
        <f t="shared" si="84"/>
        <v>71513</v>
      </c>
      <c r="I69" s="706">
        <f t="shared" si="84"/>
        <v>70181</v>
      </c>
      <c r="J69" s="706">
        <f t="shared" ref="J69:O69" si="85">J363</f>
        <v>69177</v>
      </c>
      <c r="K69" s="706">
        <f t="shared" si="85"/>
        <v>70800</v>
      </c>
      <c r="L69" s="706">
        <f t="shared" si="85"/>
        <v>71432</v>
      </c>
      <c r="M69" s="706">
        <f t="shared" si="85"/>
        <v>71578</v>
      </c>
      <c r="N69" s="706">
        <f t="shared" si="85"/>
        <v>73129</v>
      </c>
      <c r="O69" s="706">
        <f t="shared" si="85"/>
        <v>73028</v>
      </c>
      <c r="Q69" s="695" t="s">
        <v>2751</v>
      </c>
    </row>
    <row r="70" spans="1:17">
      <c r="D70" s="707"/>
      <c r="E70" s="707"/>
      <c r="F70" s="707"/>
      <c r="G70" s="707"/>
      <c r="H70" s="707"/>
      <c r="I70" s="707"/>
      <c r="J70" s="707"/>
      <c r="K70" s="707"/>
      <c r="L70" s="707"/>
      <c r="M70" s="707"/>
      <c r="N70" s="707"/>
      <c r="O70" s="707"/>
    </row>
    <row r="71" spans="1:17">
      <c r="A71" s="695" t="s">
        <v>5739</v>
      </c>
      <c r="D71" s="706">
        <f t="shared" ref="D71:I71" si="86">D333</f>
        <v>62950</v>
      </c>
      <c r="E71" s="706">
        <f t="shared" si="86"/>
        <v>62764</v>
      </c>
      <c r="F71" s="706">
        <f t="shared" si="86"/>
        <v>63788</v>
      </c>
      <c r="G71" s="706">
        <f t="shared" si="86"/>
        <v>64310</v>
      </c>
      <c r="H71" s="706">
        <f t="shared" si="86"/>
        <v>63699</v>
      </c>
      <c r="I71" s="706">
        <f t="shared" si="86"/>
        <v>63648</v>
      </c>
      <c r="J71" s="706">
        <f t="shared" ref="J71:O71" si="87">J333</f>
        <v>60664</v>
      </c>
      <c r="K71" s="706">
        <f t="shared" si="87"/>
        <v>62255</v>
      </c>
      <c r="L71" s="706">
        <f t="shared" si="87"/>
        <v>62906</v>
      </c>
      <c r="M71" s="706">
        <f t="shared" si="87"/>
        <v>62688</v>
      </c>
      <c r="N71" s="706">
        <f t="shared" si="87"/>
        <v>65772</v>
      </c>
      <c r="O71" s="706">
        <f t="shared" si="87"/>
        <v>64239</v>
      </c>
      <c r="Q71" s="695" t="s">
        <v>4172</v>
      </c>
    </row>
    <row r="72" spans="1:17">
      <c r="D72" s="707"/>
      <c r="E72" s="707"/>
      <c r="F72" s="707"/>
      <c r="G72" s="707"/>
      <c r="H72" s="707"/>
      <c r="I72" s="707"/>
      <c r="J72" s="707"/>
      <c r="K72" s="707"/>
      <c r="L72" s="707"/>
      <c r="M72" s="707"/>
      <c r="N72" s="707"/>
      <c r="O72" s="707"/>
    </row>
    <row r="73" spans="1:17">
      <c r="A73" s="695" t="s">
        <v>5740</v>
      </c>
      <c r="D73" s="706">
        <f t="shared" ref="D73:I73" si="88">D394</f>
        <v>70056</v>
      </c>
      <c r="E73" s="706">
        <f t="shared" si="88"/>
        <v>70520</v>
      </c>
      <c r="F73" s="706">
        <f t="shared" si="88"/>
        <v>66507</v>
      </c>
      <c r="G73" s="706">
        <f t="shared" si="88"/>
        <v>66984</v>
      </c>
      <c r="H73" s="706">
        <f t="shared" si="88"/>
        <v>67417</v>
      </c>
      <c r="I73" s="706">
        <f t="shared" si="88"/>
        <v>66634</v>
      </c>
      <c r="J73" s="706">
        <f t="shared" ref="J73:O73" si="89">J394</f>
        <v>67424</v>
      </c>
      <c r="K73" s="706">
        <f t="shared" si="89"/>
        <v>69001</v>
      </c>
      <c r="L73" s="706">
        <f t="shared" si="89"/>
        <v>70615</v>
      </c>
      <c r="M73" s="706">
        <f t="shared" si="89"/>
        <v>70622</v>
      </c>
      <c r="N73" s="706">
        <f t="shared" si="89"/>
        <v>73086</v>
      </c>
      <c r="O73" s="706">
        <f t="shared" si="89"/>
        <v>73212</v>
      </c>
      <c r="Q73" s="695" t="s">
        <v>1383</v>
      </c>
    </row>
    <row r="74" spans="1:17">
      <c r="D74" s="707"/>
      <c r="E74" s="707"/>
      <c r="F74" s="707"/>
      <c r="G74" s="707"/>
      <c r="H74" s="707"/>
      <c r="I74" s="707"/>
      <c r="J74" s="707"/>
      <c r="K74" s="707"/>
      <c r="L74" s="707"/>
      <c r="M74" s="707"/>
      <c r="N74" s="707"/>
      <c r="O74" s="707"/>
    </row>
    <row r="75" spans="1:17">
      <c r="A75" s="695" t="s">
        <v>5741</v>
      </c>
      <c r="D75" s="706">
        <f t="shared" ref="D75:I75" si="90">D432</f>
        <v>75035</v>
      </c>
      <c r="E75" s="706">
        <f t="shared" si="90"/>
        <v>76779</v>
      </c>
      <c r="F75" s="706">
        <f t="shared" si="90"/>
        <v>77288</v>
      </c>
      <c r="G75" s="706">
        <f t="shared" si="90"/>
        <v>77675</v>
      </c>
      <c r="H75" s="706">
        <f t="shared" si="90"/>
        <v>77655</v>
      </c>
      <c r="I75" s="706">
        <f t="shared" si="90"/>
        <v>74621</v>
      </c>
      <c r="J75" s="706">
        <f t="shared" ref="J75:O75" si="91">J432</f>
        <v>72733</v>
      </c>
      <c r="K75" s="706">
        <f t="shared" si="91"/>
        <v>73656</v>
      </c>
      <c r="L75" s="706">
        <f t="shared" si="91"/>
        <v>74241</v>
      </c>
      <c r="M75" s="706">
        <f t="shared" si="91"/>
        <v>73782</v>
      </c>
      <c r="N75" s="706">
        <f t="shared" si="91"/>
        <v>75661</v>
      </c>
      <c r="O75" s="706">
        <f t="shared" si="91"/>
        <v>75607</v>
      </c>
      <c r="Q75" s="695" t="s">
        <v>2744</v>
      </c>
    </row>
    <row r="76" spans="1:17">
      <c r="D76" s="707"/>
      <c r="E76" s="707"/>
      <c r="F76" s="707"/>
      <c r="G76" s="707"/>
      <c r="H76" s="707"/>
      <c r="I76" s="707"/>
      <c r="J76" s="707"/>
      <c r="K76" s="707"/>
      <c r="L76" s="707"/>
      <c r="M76" s="707"/>
      <c r="N76" s="707"/>
      <c r="O76" s="707"/>
    </row>
    <row r="77" spans="1:17">
      <c r="A77" s="695" t="s">
        <v>5742</v>
      </c>
      <c r="D77" s="706">
        <f t="shared" ref="D77:I77" si="92">D300</f>
        <v>73019</v>
      </c>
      <c r="E77" s="706">
        <f t="shared" si="92"/>
        <v>73409</v>
      </c>
      <c r="F77" s="706">
        <f t="shared" si="92"/>
        <v>73458</v>
      </c>
      <c r="G77" s="706">
        <f t="shared" si="92"/>
        <v>73982</v>
      </c>
      <c r="H77" s="706">
        <f t="shared" si="92"/>
        <v>73975</v>
      </c>
      <c r="I77" s="706">
        <f t="shared" si="92"/>
        <v>71425</v>
      </c>
      <c r="J77" s="706">
        <f t="shared" ref="J77:O77" si="93">J300</f>
        <v>72316</v>
      </c>
      <c r="K77" s="706">
        <f t="shared" si="93"/>
        <v>71927</v>
      </c>
      <c r="L77" s="706">
        <f t="shared" si="93"/>
        <v>73054</v>
      </c>
      <c r="M77" s="706">
        <f t="shared" si="93"/>
        <v>72941</v>
      </c>
      <c r="N77" s="706">
        <f t="shared" si="93"/>
        <v>76767</v>
      </c>
      <c r="O77" s="706">
        <f t="shared" si="93"/>
        <v>74404</v>
      </c>
      <c r="Q77" s="695" t="s">
        <v>2754</v>
      </c>
    </row>
    <row r="78" spans="1:17">
      <c r="D78" s="707"/>
      <c r="E78" s="707"/>
      <c r="F78" s="707"/>
      <c r="G78" s="707"/>
      <c r="H78" s="707"/>
      <c r="I78" s="707"/>
      <c r="J78" s="707"/>
      <c r="K78" s="707"/>
      <c r="L78" s="707"/>
      <c r="M78" s="707"/>
      <c r="N78" s="707"/>
      <c r="O78" s="707"/>
    </row>
    <row r="79" spans="1:17">
      <c r="A79" s="695" t="s">
        <v>5743</v>
      </c>
      <c r="D79" s="706">
        <f t="shared" ref="D79:I79" si="94">D206</f>
        <v>52002</v>
      </c>
      <c r="E79" s="706">
        <f t="shared" si="94"/>
        <v>52444</v>
      </c>
      <c r="F79" s="706">
        <f t="shared" si="94"/>
        <v>53009</v>
      </c>
      <c r="G79" s="706">
        <f t="shared" si="94"/>
        <v>53349</v>
      </c>
      <c r="H79" s="706">
        <f t="shared" si="94"/>
        <v>53849</v>
      </c>
      <c r="I79" s="706">
        <f t="shared" si="94"/>
        <v>53363</v>
      </c>
      <c r="J79" s="706">
        <f t="shared" ref="J79:O79" si="95">J206</f>
        <v>53643</v>
      </c>
      <c r="K79" s="706">
        <f t="shared" si="95"/>
        <v>51880</v>
      </c>
      <c r="L79" s="706">
        <f t="shared" si="95"/>
        <v>52353</v>
      </c>
      <c r="M79" s="706">
        <f t="shared" si="95"/>
        <v>52134</v>
      </c>
      <c r="N79" s="706">
        <f t="shared" si="95"/>
        <v>53619</v>
      </c>
      <c r="O79" s="706">
        <f t="shared" si="95"/>
        <v>53505</v>
      </c>
      <c r="Q79" s="695" t="s">
        <v>2753</v>
      </c>
    </row>
    <row r="80" spans="1:17" ht="15.75" thickBot="1">
      <c r="A80" s="695" t="s">
        <v>5744</v>
      </c>
      <c r="D80" s="710">
        <f t="shared" ref="D80:I80" si="96">D395</f>
        <v>23094</v>
      </c>
      <c r="E80" s="710">
        <f t="shared" si="96"/>
        <v>23158</v>
      </c>
      <c r="F80" s="710">
        <f t="shared" si="96"/>
        <v>22196</v>
      </c>
      <c r="G80" s="710">
        <f t="shared" si="96"/>
        <v>22249</v>
      </c>
      <c r="H80" s="710">
        <f t="shared" si="96"/>
        <v>22365</v>
      </c>
      <c r="I80" s="710">
        <f t="shared" si="96"/>
        <v>22409</v>
      </c>
      <c r="J80" s="710">
        <f t="shared" ref="J80:O80" si="97">J395</f>
        <v>22276</v>
      </c>
      <c r="K80" s="710">
        <f t="shared" si="97"/>
        <v>22793</v>
      </c>
      <c r="L80" s="710">
        <f t="shared" si="97"/>
        <v>23020</v>
      </c>
      <c r="M80" s="710">
        <f t="shared" si="97"/>
        <v>22768</v>
      </c>
      <c r="N80" s="710">
        <f t="shared" si="97"/>
        <v>23434</v>
      </c>
      <c r="O80" s="710">
        <f t="shared" si="97"/>
        <v>23466</v>
      </c>
      <c r="Q80" s="695" t="s">
        <v>1383</v>
      </c>
    </row>
    <row r="81" spans="1:17" ht="15.75" thickBot="1">
      <c r="D81" s="710">
        <f t="shared" ref="D81:I81" si="98">D79+D80</f>
        <v>75096</v>
      </c>
      <c r="E81" s="710">
        <f t="shared" si="98"/>
        <v>75602</v>
      </c>
      <c r="F81" s="710">
        <f t="shared" si="98"/>
        <v>75205</v>
      </c>
      <c r="G81" s="710">
        <f t="shared" si="98"/>
        <v>75598</v>
      </c>
      <c r="H81" s="710">
        <f t="shared" si="98"/>
        <v>76214</v>
      </c>
      <c r="I81" s="710">
        <f t="shared" si="98"/>
        <v>75772</v>
      </c>
      <c r="J81" s="710">
        <f t="shared" ref="J81:O81" si="99">J79+J80</f>
        <v>75919</v>
      </c>
      <c r="K81" s="710">
        <f t="shared" si="99"/>
        <v>74673</v>
      </c>
      <c r="L81" s="710">
        <f t="shared" si="99"/>
        <v>75373</v>
      </c>
      <c r="M81" s="710">
        <f t="shared" si="99"/>
        <v>74902</v>
      </c>
      <c r="N81" s="710">
        <f t="shared" si="99"/>
        <v>77053</v>
      </c>
      <c r="O81" s="710">
        <f t="shared" si="99"/>
        <v>76971</v>
      </c>
    </row>
    <row r="82" spans="1:17">
      <c r="D82" s="707"/>
      <c r="E82" s="707"/>
      <c r="F82" s="707"/>
      <c r="G82" s="707"/>
      <c r="H82" s="707"/>
      <c r="I82" s="707"/>
      <c r="J82" s="707"/>
      <c r="K82" s="707"/>
      <c r="L82" s="707"/>
      <c r="M82" s="707"/>
      <c r="N82" s="707"/>
      <c r="O82" s="707"/>
    </row>
    <row r="83" spans="1:17">
      <c r="A83" s="695" t="s">
        <v>6796</v>
      </c>
      <c r="D83" s="706">
        <f t="shared" ref="D83:I83" si="100">D19+D23+D27+D29+D31+D35+D37+D39+D41+D45+D47+D49+D51+D53+D55+D57+D59+D61+D63+D65+D67+D69+D71+D73+D75+D77+D81</f>
        <v>1935913</v>
      </c>
      <c r="E83" s="706">
        <f t="shared" si="100"/>
        <v>1957990</v>
      </c>
      <c r="F83" s="706">
        <f t="shared" si="100"/>
        <v>1960361</v>
      </c>
      <c r="G83" s="706">
        <f t="shared" si="100"/>
        <v>1971447</v>
      </c>
      <c r="H83" s="706">
        <f t="shared" si="100"/>
        <v>1978050</v>
      </c>
      <c r="I83" s="706">
        <f t="shared" si="100"/>
        <v>1933630</v>
      </c>
      <c r="J83" s="706">
        <f t="shared" ref="J83:O83" si="101">J19+J23+J27+J29+J31+J35+J37+J39+J41+J45+J47+J49+J51+J53+J55+J57+J59+J61+J63+J65+J67+J69+J71+J73+J75+J77+J81</f>
        <v>1897229</v>
      </c>
      <c r="K83" s="706">
        <f t="shared" si="101"/>
        <v>1916189</v>
      </c>
      <c r="L83" s="706">
        <f t="shared" si="101"/>
        <v>1940388</v>
      </c>
      <c r="M83" s="706">
        <f t="shared" si="101"/>
        <v>1928438</v>
      </c>
      <c r="N83" s="706">
        <f t="shared" si="101"/>
        <v>2014301</v>
      </c>
      <c r="O83" s="706">
        <f t="shared" si="101"/>
        <v>2000428</v>
      </c>
    </row>
    <row r="84" spans="1:17">
      <c r="D84" s="707"/>
      <c r="E84" s="707"/>
      <c r="F84" s="707"/>
      <c r="G84" s="707"/>
      <c r="H84" s="707"/>
      <c r="I84" s="707"/>
      <c r="J84" s="707"/>
      <c r="K84" s="707"/>
      <c r="L84" s="707"/>
      <c r="M84" s="707"/>
      <c r="N84" s="707"/>
      <c r="O84" s="707"/>
    </row>
    <row r="85" spans="1:17">
      <c r="A85" s="695" t="s">
        <v>6797</v>
      </c>
      <c r="D85" s="706">
        <f t="shared" ref="D85:I85" si="102">MAX(D19:D81)-MIN(D19,D23,D27,D29,D35,D37,D39,D41,D45,D47,D49,D51,D53,D55,D57,D59,D61,D63,D65,D67,D69,D71,D73,D75,D77,D81)</f>
        <v>22857</v>
      </c>
      <c r="E85" s="706">
        <f t="shared" si="102"/>
        <v>27097</v>
      </c>
      <c r="F85" s="706">
        <f t="shared" si="102"/>
        <v>28302</v>
      </c>
      <c r="G85" s="706">
        <f t="shared" si="102"/>
        <v>29121</v>
      </c>
      <c r="H85" s="706">
        <f t="shared" si="102"/>
        <v>32463</v>
      </c>
      <c r="I85" s="706">
        <f t="shared" si="102"/>
        <v>26670</v>
      </c>
      <c r="J85" s="706">
        <f t="shared" ref="J85:O85" si="103">MAX(J19:J81)-MIN(J19,J23,J27,J29,J35,J37,J39,J41,J45,J47,J49,J51,J53,J55,J57,J59,J61,J63,J65,J67,J69,J71,J73,J75,J77,J81)</f>
        <v>26675</v>
      </c>
      <c r="K85" s="706">
        <f t="shared" si="103"/>
        <v>23411</v>
      </c>
      <c r="L85" s="706">
        <f t="shared" si="103"/>
        <v>26304</v>
      </c>
      <c r="M85" s="706">
        <f t="shared" si="103"/>
        <v>24330</v>
      </c>
      <c r="N85" s="706">
        <f t="shared" si="103"/>
        <v>31246</v>
      </c>
      <c r="O85" s="706">
        <f t="shared" si="103"/>
        <v>32448</v>
      </c>
    </row>
    <row r="86" spans="1:17">
      <c r="D86" s="707"/>
      <c r="E86" s="707"/>
      <c r="F86" s="707"/>
      <c r="G86" s="707"/>
      <c r="H86" s="707"/>
      <c r="I86" s="707"/>
      <c r="J86" s="707"/>
      <c r="K86" s="707"/>
      <c r="L86" s="707"/>
      <c r="M86" s="707"/>
      <c r="N86" s="707"/>
      <c r="O86" s="707"/>
    </row>
    <row r="87" spans="1:17">
      <c r="A87" s="712" t="s">
        <v>6800</v>
      </c>
      <c r="D87" s="706">
        <f t="shared" ref="D87:I87" si="104">STDEVP(D19,D23,D27,D29,D31,D35,D37,D39,D41,D45,D47,D49,D51,D53,D55,D57,D59,D61,D63,D65,D67,D69,D71,D73,D75,D77,D81)</f>
        <v>4821.9202519664022</v>
      </c>
      <c r="E87" s="706">
        <f t="shared" si="104"/>
        <v>5448.2865652029213</v>
      </c>
      <c r="F87" s="706">
        <f t="shared" si="104"/>
        <v>5827.6838324054706</v>
      </c>
      <c r="G87" s="706">
        <f t="shared" si="104"/>
        <v>5997.6212156915672</v>
      </c>
      <c r="H87" s="706">
        <f t="shared" si="104"/>
        <v>6295.8644176500566</v>
      </c>
      <c r="I87" s="706">
        <f t="shared" si="104"/>
        <v>5314.1850141751183</v>
      </c>
      <c r="J87" s="706">
        <f t="shared" ref="J87:O87" si="105">STDEVP(J19,J23,J27,J29,J31,J35,J37,J39,J41,J45,J47,J49,J51,J53,J55,J57,J59,J61,J63,J65,J67,J69,J71,J73,J75,J77,J81)</f>
        <v>5385.9870555371999</v>
      </c>
      <c r="K87" s="706">
        <f t="shared" si="105"/>
        <v>4805.9581037421203</v>
      </c>
      <c r="L87" s="706">
        <f t="shared" si="105"/>
        <v>5226.8221443239354</v>
      </c>
      <c r="M87" s="706">
        <f t="shared" si="105"/>
        <v>5000.5790268294459</v>
      </c>
      <c r="N87" s="706">
        <f t="shared" si="105"/>
        <v>6234.3914823346513</v>
      </c>
      <c r="O87" s="706">
        <f t="shared" si="105"/>
        <v>6263.434384649473</v>
      </c>
    </row>
    <row r="90" spans="1:17">
      <c r="E90" s="51" t="s">
        <v>1526</v>
      </c>
      <c r="F90" s="51"/>
      <c r="G90" s="51"/>
      <c r="H90" s="51"/>
      <c r="I90" s="51"/>
      <c r="J90" s="51"/>
      <c r="K90" s="51"/>
      <c r="L90" s="51"/>
      <c r="M90" s="51"/>
      <c r="N90" s="51"/>
      <c r="O90" s="51"/>
      <c r="P90" s="52"/>
      <c r="Q90" s="53" t="s">
        <v>9479</v>
      </c>
    </row>
    <row r="91" spans="1:17">
      <c r="D91" s="40">
        <v>2010</v>
      </c>
      <c r="E91" s="40">
        <v>2011</v>
      </c>
      <c r="F91" s="40">
        <v>2012</v>
      </c>
      <c r="G91" s="40">
        <v>2013</v>
      </c>
      <c r="H91" s="40">
        <v>2014</v>
      </c>
      <c r="I91" s="40">
        <v>2015</v>
      </c>
      <c r="J91" s="40">
        <v>2016</v>
      </c>
      <c r="K91" s="40">
        <v>2017</v>
      </c>
      <c r="L91" s="40">
        <v>2018</v>
      </c>
      <c r="M91" s="40">
        <v>2019</v>
      </c>
      <c r="N91" s="40">
        <v>2020</v>
      </c>
      <c r="O91" s="975" t="s">
        <v>14823</v>
      </c>
      <c r="Q91" s="54" t="s">
        <v>1527</v>
      </c>
    </row>
    <row r="92" spans="1:17">
      <c r="A92" s="695" t="s">
        <v>5745</v>
      </c>
      <c r="C92" s="695"/>
      <c r="D92" s="706">
        <f t="shared" ref="D92:I92" si="106">SUM(D93:D112)</f>
        <v>196202</v>
      </c>
      <c r="E92" s="706">
        <f t="shared" si="106"/>
        <v>196180</v>
      </c>
      <c r="F92" s="706">
        <f t="shared" si="106"/>
        <v>195499</v>
      </c>
      <c r="G92" s="706">
        <f t="shared" si="106"/>
        <v>196620</v>
      </c>
      <c r="H92" s="706">
        <f t="shared" si="106"/>
        <v>196840</v>
      </c>
      <c r="I92" s="706">
        <f t="shared" si="106"/>
        <v>196320</v>
      </c>
      <c r="J92" s="706">
        <f t="shared" ref="J92:O92" si="107">SUM(J93:J112)</f>
        <v>188874</v>
      </c>
      <c r="K92" s="706">
        <f t="shared" si="107"/>
        <v>193297</v>
      </c>
      <c r="L92" s="706">
        <f t="shared" si="107"/>
        <v>194950</v>
      </c>
      <c r="M92" s="706">
        <f t="shared" si="107"/>
        <v>192419</v>
      </c>
      <c r="N92" s="706">
        <f t="shared" si="107"/>
        <v>200213</v>
      </c>
      <c r="O92" s="706">
        <f t="shared" si="107"/>
        <v>198553</v>
      </c>
    </row>
    <row r="93" spans="1:17">
      <c r="A93" s="695" t="s">
        <v>5387</v>
      </c>
      <c r="B93" s="695" t="s">
        <v>5746</v>
      </c>
      <c r="C93" s="55" t="s">
        <v>6989</v>
      </c>
      <c r="D93" s="706">
        <v>10035</v>
      </c>
      <c r="E93" s="706">
        <v>10109</v>
      </c>
      <c r="F93" s="706">
        <v>10123</v>
      </c>
      <c r="G93" s="706">
        <v>10271</v>
      </c>
      <c r="H93" s="63">
        <v>10412</v>
      </c>
      <c r="I93" s="63">
        <v>10383</v>
      </c>
      <c r="J93" s="56">
        <v>9911</v>
      </c>
      <c r="K93" s="56">
        <v>10147</v>
      </c>
      <c r="L93" s="56">
        <v>10253</v>
      </c>
      <c r="M93" s="56">
        <v>10054</v>
      </c>
      <c r="N93" s="56">
        <v>10384</v>
      </c>
      <c r="O93" s="56">
        <v>10331</v>
      </c>
      <c r="Q93" s="695" t="s">
        <v>2740</v>
      </c>
    </row>
    <row r="94" spans="1:17">
      <c r="A94" s="695" t="s">
        <v>5389</v>
      </c>
      <c r="B94" s="695" t="s">
        <v>5747</v>
      </c>
      <c r="C94" s="55" t="s">
        <v>6990</v>
      </c>
      <c r="D94" s="706">
        <v>8974</v>
      </c>
      <c r="E94" s="706">
        <v>8853</v>
      </c>
      <c r="F94" s="706">
        <v>8806</v>
      </c>
      <c r="G94" s="706">
        <v>8881</v>
      </c>
      <c r="H94" s="63">
        <v>8805</v>
      </c>
      <c r="I94" s="63">
        <v>8820</v>
      </c>
      <c r="J94" s="56">
        <v>8589</v>
      </c>
      <c r="K94" s="56">
        <v>8785</v>
      </c>
      <c r="L94" s="56">
        <v>8863</v>
      </c>
      <c r="M94" s="56">
        <v>8789</v>
      </c>
      <c r="N94" s="56">
        <v>9076</v>
      </c>
      <c r="O94" s="56">
        <v>9007</v>
      </c>
      <c r="Q94" s="695" t="s">
        <v>2740</v>
      </c>
    </row>
    <row r="95" spans="1:17">
      <c r="A95" s="695" t="s">
        <v>5391</v>
      </c>
      <c r="B95" s="695" t="s">
        <v>5748</v>
      </c>
      <c r="C95" s="55" t="s">
        <v>6991</v>
      </c>
      <c r="D95" s="706">
        <v>9479</v>
      </c>
      <c r="E95" s="706">
        <v>9462</v>
      </c>
      <c r="F95" s="706">
        <v>9351</v>
      </c>
      <c r="G95" s="706">
        <v>9429</v>
      </c>
      <c r="H95" s="63">
        <v>9330</v>
      </c>
      <c r="I95" s="63">
        <v>9338</v>
      </c>
      <c r="J95" s="56">
        <v>9027</v>
      </c>
      <c r="K95" s="56">
        <v>9261</v>
      </c>
      <c r="L95" s="56">
        <v>9331</v>
      </c>
      <c r="M95" s="56">
        <v>9251</v>
      </c>
      <c r="N95" s="56">
        <v>9566</v>
      </c>
      <c r="O95" s="56">
        <v>9497</v>
      </c>
      <c r="Q95" s="695" t="s">
        <v>2740</v>
      </c>
    </row>
    <row r="96" spans="1:17">
      <c r="A96" s="695" t="s">
        <v>5393</v>
      </c>
      <c r="B96" s="695" t="s">
        <v>5749</v>
      </c>
      <c r="C96" s="55" t="s">
        <v>6992</v>
      </c>
      <c r="D96" s="706">
        <v>10484</v>
      </c>
      <c r="E96" s="706">
        <v>10587</v>
      </c>
      <c r="F96" s="706">
        <v>10592</v>
      </c>
      <c r="G96" s="706">
        <v>10579</v>
      </c>
      <c r="H96" s="63">
        <v>10559</v>
      </c>
      <c r="I96" s="63">
        <v>10519</v>
      </c>
      <c r="J96" s="56">
        <v>10217</v>
      </c>
      <c r="K96" s="56">
        <v>10500</v>
      </c>
      <c r="L96" s="56">
        <v>10463</v>
      </c>
      <c r="M96" s="56">
        <v>10243</v>
      </c>
      <c r="N96" s="56">
        <v>10576</v>
      </c>
      <c r="O96" s="56">
        <v>10505</v>
      </c>
      <c r="Q96" s="695" t="s">
        <v>2740</v>
      </c>
    </row>
    <row r="97" spans="1:17">
      <c r="A97" s="695" t="s">
        <v>5394</v>
      </c>
      <c r="B97" s="695" t="s">
        <v>5750</v>
      </c>
      <c r="C97" s="55" t="s">
        <v>6993</v>
      </c>
      <c r="D97" s="706">
        <v>9939</v>
      </c>
      <c r="E97" s="706">
        <v>9921</v>
      </c>
      <c r="F97" s="706">
        <v>9873</v>
      </c>
      <c r="G97" s="706">
        <v>9861</v>
      </c>
      <c r="H97" s="63">
        <v>9946</v>
      </c>
      <c r="I97" s="63">
        <v>9931</v>
      </c>
      <c r="J97" s="56">
        <v>9659</v>
      </c>
      <c r="K97" s="56">
        <v>9982</v>
      </c>
      <c r="L97" s="56">
        <v>10319</v>
      </c>
      <c r="M97" s="56">
        <v>10284</v>
      </c>
      <c r="N97" s="56">
        <v>10893</v>
      </c>
      <c r="O97" s="56">
        <v>10842</v>
      </c>
      <c r="Q97" s="695" t="s">
        <v>2740</v>
      </c>
    </row>
    <row r="98" spans="1:17">
      <c r="A98" s="695" t="s">
        <v>5416</v>
      </c>
      <c r="B98" s="695" t="s">
        <v>6687</v>
      </c>
      <c r="C98" s="55" t="s">
        <v>6994</v>
      </c>
      <c r="D98" s="706">
        <v>10708</v>
      </c>
      <c r="E98" s="706">
        <v>10657</v>
      </c>
      <c r="F98" s="706">
        <v>10498</v>
      </c>
      <c r="G98" s="706">
        <v>10582</v>
      </c>
      <c r="H98" s="63">
        <v>10710</v>
      </c>
      <c r="I98" s="63">
        <v>10625</v>
      </c>
      <c r="J98" s="56">
        <v>9838</v>
      </c>
      <c r="K98" s="56">
        <v>10074</v>
      </c>
      <c r="L98" s="56">
        <v>10153</v>
      </c>
      <c r="M98" s="56">
        <v>10021</v>
      </c>
      <c r="N98" s="56">
        <v>10523</v>
      </c>
      <c r="O98" s="56">
        <v>10411</v>
      </c>
      <c r="Q98" s="695" t="s">
        <v>2742</v>
      </c>
    </row>
    <row r="99" spans="1:17">
      <c r="A99" s="695" t="s">
        <v>5418</v>
      </c>
      <c r="B99" s="695" t="s">
        <v>5751</v>
      </c>
      <c r="C99" s="55" t="s">
        <v>6995</v>
      </c>
      <c r="D99" s="706">
        <v>9223</v>
      </c>
      <c r="E99" s="706">
        <v>9318</v>
      </c>
      <c r="F99" s="706">
        <v>9418</v>
      </c>
      <c r="G99" s="706">
        <v>9310</v>
      </c>
      <c r="H99" s="63">
        <v>9211</v>
      </c>
      <c r="I99" s="63">
        <v>9136</v>
      </c>
      <c r="J99" s="56">
        <v>8722</v>
      </c>
      <c r="K99" s="56">
        <v>8919</v>
      </c>
      <c r="L99" s="56">
        <v>9051</v>
      </c>
      <c r="M99" s="56">
        <v>8970</v>
      </c>
      <c r="N99" s="56">
        <v>9554</v>
      </c>
      <c r="O99" s="56">
        <v>9455</v>
      </c>
      <c r="Q99" s="695" t="s">
        <v>2742</v>
      </c>
    </row>
    <row r="100" spans="1:17">
      <c r="A100" s="695" t="s">
        <v>5420</v>
      </c>
      <c r="B100" s="695" t="s">
        <v>5752</v>
      </c>
      <c r="C100" s="55" t="s">
        <v>6996</v>
      </c>
      <c r="D100" s="706">
        <v>8827</v>
      </c>
      <c r="E100" s="706">
        <v>8811</v>
      </c>
      <c r="F100" s="706">
        <v>8687</v>
      </c>
      <c r="G100" s="706">
        <v>8691</v>
      </c>
      <c r="H100" s="63">
        <v>8566</v>
      </c>
      <c r="I100" s="63">
        <v>8506</v>
      </c>
      <c r="J100" s="56">
        <v>8078</v>
      </c>
      <c r="K100" s="56">
        <v>8170</v>
      </c>
      <c r="L100" s="56">
        <v>8265</v>
      </c>
      <c r="M100" s="56">
        <v>8047</v>
      </c>
      <c r="N100" s="56">
        <v>8572</v>
      </c>
      <c r="O100" s="56">
        <v>8382</v>
      </c>
      <c r="Q100" s="695" t="s">
        <v>2740</v>
      </c>
    </row>
    <row r="101" spans="1:17">
      <c r="A101" s="695" t="s">
        <v>5422</v>
      </c>
      <c r="B101" s="695" t="s">
        <v>5753</v>
      </c>
      <c r="C101" s="55" t="s">
        <v>6997</v>
      </c>
      <c r="D101" s="706">
        <v>9506</v>
      </c>
      <c r="E101" s="706">
        <v>9503</v>
      </c>
      <c r="F101" s="706">
        <v>9501</v>
      </c>
      <c r="G101" s="706">
        <v>9604</v>
      </c>
      <c r="H101" s="63">
        <v>9707</v>
      </c>
      <c r="I101" s="63">
        <v>9689</v>
      </c>
      <c r="J101" s="56">
        <v>9160</v>
      </c>
      <c r="K101" s="56">
        <v>9336</v>
      </c>
      <c r="L101" s="56">
        <v>9508</v>
      </c>
      <c r="M101" s="56">
        <v>9422</v>
      </c>
      <c r="N101" s="56">
        <v>9770</v>
      </c>
      <c r="O101" s="56">
        <v>9703</v>
      </c>
      <c r="Q101" s="695" t="s">
        <v>2742</v>
      </c>
    </row>
    <row r="102" spans="1:17">
      <c r="A102" s="695" t="s">
        <v>5424</v>
      </c>
      <c r="B102" s="695" t="s">
        <v>5754</v>
      </c>
      <c r="C102" s="55" t="s">
        <v>6998</v>
      </c>
      <c r="D102" s="706">
        <v>10639</v>
      </c>
      <c r="E102" s="706">
        <v>10683</v>
      </c>
      <c r="F102" s="706">
        <v>10610</v>
      </c>
      <c r="G102" s="706">
        <v>10660</v>
      </c>
      <c r="H102" s="63">
        <v>10670</v>
      </c>
      <c r="I102" s="63">
        <v>10622</v>
      </c>
      <c r="J102" s="56">
        <v>10303</v>
      </c>
      <c r="K102" s="56">
        <v>10503</v>
      </c>
      <c r="L102" s="56">
        <v>10630</v>
      </c>
      <c r="M102" s="56">
        <v>10471</v>
      </c>
      <c r="N102" s="56">
        <v>10816</v>
      </c>
      <c r="O102" s="56">
        <v>10721</v>
      </c>
      <c r="Q102" s="695" t="s">
        <v>2743</v>
      </c>
    </row>
    <row r="103" spans="1:17">
      <c r="A103" s="695" t="s">
        <v>5426</v>
      </c>
      <c r="B103" s="695" t="s">
        <v>5755</v>
      </c>
      <c r="C103" s="55" t="s">
        <v>6999</v>
      </c>
      <c r="D103" s="706">
        <v>9629</v>
      </c>
      <c r="E103" s="706">
        <v>9586</v>
      </c>
      <c r="F103" s="706">
        <v>9718</v>
      </c>
      <c r="G103" s="706">
        <v>9923</v>
      </c>
      <c r="H103" s="63">
        <v>10093</v>
      </c>
      <c r="I103" s="63">
        <v>10080</v>
      </c>
      <c r="J103" s="58">
        <v>9765</v>
      </c>
      <c r="K103" s="58">
        <v>10162</v>
      </c>
      <c r="L103" s="58">
        <v>10305</v>
      </c>
      <c r="M103" s="58">
        <v>10196</v>
      </c>
      <c r="N103" s="58">
        <v>10762</v>
      </c>
      <c r="O103" s="58">
        <v>10681</v>
      </c>
      <c r="Q103" s="695" t="s">
        <v>2743</v>
      </c>
    </row>
    <row r="104" spans="1:17">
      <c r="A104" s="695" t="s">
        <v>5428</v>
      </c>
      <c r="B104" s="695" t="s">
        <v>5756</v>
      </c>
      <c r="C104" s="55" t="s">
        <v>7000</v>
      </c>
      <c r="D104" s="706">
        <v>9760</v>
      </c>
      <c r="E104" s="706">
        <v>9772</v>
      </c>
      <c r="F104" s="706">
        <v>9820</v>
      </c>
      <c r="G104" s="706">
        <v>9964</v>
      </c>
      <c r="H104" s="63">
        <v>10040</v>
      </c>
      <c r="I104" s="63">
        <v>10010</v>
      </c>
      <c r="J104" s="58">
        <v>9590</v>
      </c>
      <c r="K104" s="58">
        <v>9737</v>
      </c>
      <c r="L104" s="58">
        <v>9738</v>
      </c>
      <c r="M104" s="58">
        <v>9614</v>
      </c>
      <c r="N104" s="58">
        <v>9983</v>
      </c>
      <c r="O104" s="58">
        <v>9894</v>
      </c>
      <c r="Q104" s="695" t="s">
        <v>2743</v>
      </c>
    </row>
    <row r="105" spans="1:17">
      <c r="A105" s="695" t="s">
        <v>5429</v>
      </c>
      <c r="B105" s="695" t="s">
        <v>5757</v>
      </c>
      <c r="C105" s="55" t="s">
        <v>7001</v>
      </c>
      <c r="D105" s="706">
        <v>9777</v>
      </c>
      <c r="E105" s="706">
        <v>9756</v>
      </c>
      <c r="F105" s="706">
        <v>9703</v>
      </c>
      <c r="G105" s="706">
        <v>9687</v>
      </c>
      <c r="H105" s="63">
        <v>9667</v>
      </c>
      <c r="I105" s="63">
        <v>9679</v>
      </c>
      <c r="J105" s="56">
        <v>9480</v>
      </c>
      <c r="K105" s="56">
        <v>9678</v>
      </c>
      <c r="L105" s="56">
        <v>9846</v>
      </c>
      <c r="M105" s="56">
        <v>9690</v>
      </c>
      <c r="N105" s="56">
        <v>9971</v>
      </c>
      <c r="O105" s="56">
        <v>9938</v>
      </c>
      <c r="Q105" s="695" t="s">
        <v>2742</v>
      </c>
    </row>
    <row r="106" spans="1:17">
      <c r="A106" s="695" t="s">
        <v>5431</v>
      </c>
      <c r="B106" s="695" t="s">
        <v>5758</v>
      </c>
      <c r="C106" s="55" t="s">
        <v>7002</v>
      </c>
      <c r="D106" s="706">
        <v>10345</v>
      </c>
      <c r="E106" s="706">
        <v>10398</v>
      </c>
      <c r="F106" s="706">
        <v>10349</v>
      </c>
      <c r="G106" s="706">
        <v>10286</v>
      </c>
      <c r="H106" s="63">
        <v>10319</v>
      </c>
      <c r="I106" s="63">
        <v>10229</v>
      </c>
      <c r="J106" s="56">
        <v>10005</v>
      </c>
      <c r="K106" s="56">
        <v>10232</v>
      </c>
      <c r="L106" s="56">
        <v>10256</v>
      </c>
      <c r="M106" s="56">
        <v>10135</v>
      </c>
      <c r="N106" s="56">
        <v>10502</v>
      </c>
      <c r="O106" s="56">
        <v>10419</v>
      </c>
      <c r="Q106" s="695" t="s">
        <v>2742</v>
      </c>
    </row>
    <row r="107" spans="1:17">
      <c r="A107" s="695" t="s">
        <v>5433</v>
      </c>
      <c r="B107" s="695" t="s">
        <v>5759</v>
      </c>
      <c r="C107" s="55" t="s">
        <v>7003</v>
      </c>
      <c r="D107" s="713">
        <v>9776</v>
      </c>
      <c r="E107" s="713">
        <v>9702</v>
      </c>
      <c r="F107" s="713">
        <v>9567</v>
      </c>
      <c r="G107" s="713">
        <v>9735</v>
      </c>
      <c r="H107" s="63">
        <v>9714</v>
      </c>
      <c r="I107" s="63">
        <v>9689</v>
      </c>
      <c r="J107" s="56">
        <v>9320</v>
      </c>
      <c r="K107" s="56">
        <v>9581</v>
      </c>
      <c r="L107" s="56">
        <v>9566</v>
      </c>
      <c r="M107" s="56">
        <v>9454</v>
      </c>
      <c r="N107" s="56">
        <v>9740</v>
      </c>
      <c r="O107" s="56">
        <v>9667</v>
      </c>
      <c r="Q107" s="695" t="s">
        <v>2742</v>
      </c>
    </row>
    <row r="108" spans="1:17">
      <c r="A108" s="695" t="s">
        <v>5435</v>
      </c>
      <c r="B108" s="695" t="s">
        <v>5760</v>
      </c>
      <c r="C108" s="55" t="s">
        <v>7004</v>
      </c>
      <c r="D108" s="706">
        <v>9742</v>
      </c>
      <c r="E108" s="706">
        <v>9754</v>
      </c>
      <c r="F108" s="706">
        <v>9707</v>
      </c>
      <c r="G108" s="706">
        <v>9449</v>
      </c>
      <c r="H108" s="63">
        <v>9391</v>
      </c>
      <c r="I108" s="63">
        <v>9376</v>
      </c>
      <c r="J108" s="56">
        <v>9085</v>
      </c>
      <c r="K108" s="56">
        <v>9289</v>
      </c>
      <c r="L108" s="56">
        <v>9302</v>
      </c>
      <c r="M108" s="56">
        <v>9127</v>
      </c>
      <c r="N108" s="56">
        <v>9525</v>
      </c>
      <c r="O108" s="56">
        <v>9420</v>
      </c>
      <c r="Q108" s="695" t="s">
        <v>2742</v>
      </c>
    </row>
    <row r="109" spans="1:17">
      <c r="A109" s="695" t="s">
        <v>5436</v>
      </c>
      <c r="B109" s="695" t="s">
        <v>5761</v>
      </c>
      <c r="C109" s="55" t="s">
        <v>7005</v>
      </c>
      <c r="D109" s="713">
        <v>9902</v>
      </c>
      <c r="E109" s="713">
        <v>9903</v>
      </c>
      <c r="F109" s="713">
        <v>9769</v>
      </c>
      <c r="G109" s="713">
        <v>9930</v>
      </c>
      <c r="H109" s="63">
        <v>9920</v>
      </c>
      <c r="I109" s="63">
        <v>9979</v>
      </c>
      <c r="J109" s="58">
        <v>9758</v>
      </c>
      <c r="K109" s="58">
        <v>10038</v>
      </c>
      <c r="L109" s="58">
        <v>10122</v>
      </c>
      <c r="M109" s="58">
        <v>10041</v>
      </c>
      <c r="N109" s="58">
        <v>10348</v>
      </c>
      <c r="O109" s="58">
        <v>10278</v>
      </c>
      <c r="Q109" s="695" t="s">
        <v>2743</v>
      </c>
    </row>
    <row r="110" spans="1:17">
      <c r="A110" s="695" t="s">
        <v>5437</v>
      </c>
      <c r="B110" s="695" t="s">
        <v>5762</v>
      </c>
      <c r="C110" s="55" t="s">
        <v>7006</v>
      </c>
      <c r="D110" s="706">
        <v>8944</v>
      </c>
      <c r="E110" s="706">
        <v>8857</v>
      </c>
      <c r="F110" s="706">
        <v>8852</v>
      </c>
      <c r="G110" s="706">
        <v>9183</v>
      </c>
      <c r="H110" s="63">
        <v>9176</v>
      </c>
      <c r="I110" s="63">
        <v>9100</v>
      </c>
      <c r="J110" s="56">
        <v>8400</v>
      </c>
      <c r="K110" s="56">
        <v>8530</v>
      </c>
      <c r="L110" s="56">
        <v>8479</v>
      </c>
      <c r="M110" s="56">
        <v>8426</v>
      </c>
      <c r="N110" s="56">
        <v>8834</v>
      </c>
      <c r="O110" s="56">
        <v>8789</v>
      </c>
      <c r="Q110" s="695" t="s">
        <v>2740</v>
      </c>
    </row>
    <row r="111" spans="1:17">
      <c r="A111" s="695" t="s">
        <v>5439</v>
      </c>
      <c r="B111" s="695" t="s">
        <v>5763</v>
      </c>
      <c r="C111" s="55" t="s">
        <v>7007</v>
      </c>
      <c r="D111" s="707">
        <v>10932</v>
      </c>
      <c r="E111" s="707">
        <v>10956</v>
      </c>
      <c r="F111" s="707">
        <v>10978</v>
      </c>
      <c r="G111" s="707">
        <v>10977</v>
      </c>
      <c r="H111" s="63">
        <v>10981</v>
      </c>
      <c r="I111" s="63">
        <v>10944</v>
      </c>
      <c r="J111" s="58">
        <v>10550</v>
      </c>
      <c r="K111" s="58">
        <v>10713</v>
      </c>
      <c r="L111" s="58">
        <v>10763</v>
      </c>
      <c r="M111" s="58">
        <v>10603</v>
      </c>
      <c r="N111" s="58">
        <v>10930</v>
      </c>
      <c r="O111" s="58">
        <v>10855</v>
      </c>
      <c r="Q111" s="695" t="s">
        <v>2743</v>
      </c>
    </row>
    <row r="112" spans="1:17">
      <c r="A112" s="695" t="s">
        <v>5441</v>
      </c>
      <c r="B112" s="695" t="s">
        <v>5764</v>
      </c>
      <c r="C112" s="55" t="s">
        <v>7008</v>
      </c>
      <c r="D112" s="707">
        <v>9581</v>
      </c>
      <c r="E112" s="707">
        <v>9592</v>
      </c>
      <c r="F112" s="707">
        <v>9577</v>
      </c>
      <c r="G112" s="707">
        <v>9618</v>
      </c>
      <c r="H112" s="63">
        <v>9623</v>
      </c>
      <c r="I112" s="63">
        <v>9665</v>
      </c>
      <c r="J112" s="58">
        <v>9417</v>
      </c>
      <c r="K112" s="58">
        <v>9660</v>
      </c>
      <c r="L112" s="58">
        <v>9737</v>
      </c>
      <c r="M112" s="58">
        <v>9581</v>
      </c>
      <c r="N112" s="58">
        <v>9888</v>
      </c>
      <c r="O112" s="58">
        <v>9758</v>
      </c>
      <c r="Q112" s="695" t="s">
        <v>2743</v>
      </c>
    </row>
    <row r="113" spans="1:17">
      <c r="D113" s="707"/>
      <c r="E113" s="707"/>
      <c r="F113" s="707"/>
      <c r="G113" s="707"/>
      <c r="H113" s="707"/>
      <c r="I113" s="707"/>
      <c r="J113" s="707"/>
      <c r="K113" s="707"/>
      <c r="L113" s="707"/>
      <c r="M113" s="707"/>
      <c r="N113" s="707"/>
      <c r="O113" s="707"/>
    </row>
    <row r="114" spans="1:17">
      <c r="A114" s="695" t="s">
        <v>2740</v>
      </c>
      <c r="D114" s="706">
        <f t="shared" ref="D114:I114" si="108">SUM(D93:D97)+D100+D110</f>
        <v>66682</v>
      </c>
      <c r="E114" s="706">
        <f t="shared" si="108"/>
        <v>66600</v>
      </c>
      <c r="F114" s="706">
        <f t="shared" si="108"/>
        <v>66284</v>
      </c>
      <c r="G114" s="706">
        <f t="shared" si="108"/>
        <v>66895</v>
      </c>
      <c r="H114" s="706">
        <f t="shared" si="108"/>
        <v>66794</v>
      </c>
      <c r="I114" s="706">
        <f t="shared" si="108"/>
        <v>66597</v>
      </c>
      <c r="J114" s="706">
        <f t="shared" ref="J114:O114" si="109">SUM(J93:J97)+J100+J110</f>
        <v>63881</v>
      </c>
      <c r="K114" s="706">
        <f t="shared" si="109"/>
        <v>65375</v>
      </c>
      <c r="L114" s="706">
        <f t="shared" si="109"/>
        <v>65973</v>
      </c>
      <c r="M114" s="706">
        <f t="shared" si="109"/>
        <v>65094</v>
      </c>
      <c r="N114" s="706">
        <f t="shared" si="109"/>
        <v>67901</v>
      </c>
      <c r="O114" s="706">
        <f t="shared" si="109"/>
        <v>67353</v>
      </c>
    </row>
    <row r="115" spans="1:17">
      <c r="A115" s="695" t="s">
        <v>2742</v>
      </c>
      <c r="D115" s="706">
        <f t="shared" ref="D115:I115" si="110">D98+D99+D101+SUM(D105:D108)</f>
        <v>69077</v>
      </c>
      <c r="E115" s="706">
        <f t="shared" si="110"/>
        <v>69088</v>
      </c>
      <c r="F115" s="706">
        <f t="shared" si="110"/>
        <v>68743</v>
      </c>
      <c r="G115" s="706">
        <f t="shared" si="110"/>
        <v>68653</v>
      </c>
      <c r="H115" s="706">
        <f t="shared" si="110"/>
        <v>68719</v>
      </c>
      <c r="I115" s="706">
        <f t="shared" si="110"/>
        <v>68423</v>
      </c>
      <c r="J115" s="706">
        <f t="shared" ref="J115:O115" si="111">J98+J99+J101+SUM(J105:J108)</f>
        <v>65610</v>
      </c>
      <c r="K115" s="706">
        <f t="shared" si="111"/>
        <v>67109</v>
      </c>
      <c r="L115" s="706">
        <f t="shared" si="111"/>
        <v>67682</v>
      </c>
      <c r="M115" s="706">
        <f t="shared" si="111"/>
        <v>66819</v>
      </c>
      <c r="N115" s="706">
        <f t="shared" si="111"/>
        <v>69585</v>
      </c>
      <c r="O115" s="706">
        <f t="shared" si="111"/>
        <v>69013</v>
      </c>
    </row>
    <row r="116" spans="1:17">
      <c r="A116" s="695" t="s">
        <v>5765</v>
      </c>
      <c r="D116" s="706">
        <f t="shared" ref="D116:I116" si="112">SUM(D102:D104)+D109+D111+D112</f>
        <v>60443</v>
      </c>
      <c r="E116" s="706">
        <f t="shared" si="112"/>
        <v>60492</v>
      </c>
      <c r="F116" s="706">
        <f t="shared" si="112"/>
        <v>60472</v>
      </c>
      <c r="G116" s="706">
        <f t="shared" si="112"/>
        <v>61072</v>
      </c>
      <c r="H116" s="706">
        <f t="shared" si="112"/>
        <v>61327</v>
      </c>
      <c r="I116" s="706">
        <f t="shared" si="112"/>
        <v>61300</v>
      </c>
      <c r="J116" s="706">
        <f t="shared" ref="J116:O116" si="113">SUM(J102:J104)+J109+J111+J112</f>
        <v>59383</v>
      </c>
      <c r="K116" s="706">
        <f t="shared" si="113"/>
        <v>60813</v>
      </c>
      <c r="L116" s="706">
        <f t="shared" si="113"/>
        <v>61295</v>
      </c>
      <c r="M116" s="706">
        <f t="shared" si="113"/>
        <v>60506</v>
      </c>
      <c r="N116" s="706">
        <f t="shared" si="113"/>
        <v>62727</v>
      </c>
      <c r="O116" s="706">
        <f t="shared" si="113"/>
        <v>62187</v>
      </c>
    </row>
    <row r="117" spans="1:17">
      <c r="A117" s="695"/>
      <c r="D117" s="706"/>
      <c r="E117" s="706"/>
      <c r="F117" s="706"/>
      <c r="G117" s="706"/>
      <c r="H117" s="706"/>
      <c r="I117" s="706"/>
      <c r="J117" s="706"/>
      <c r="K117" s="706"/>
      <c r="L117" s="706"/>
      <c r="M117" s="706"/>
      <c r="N117" s="706"/>
      <c r="O117" s="706"/>
    </row>
    <row r="118" spans="1:17">
      <c r="A118" s="156" t="s">
        <v>4204</v>
      </c>
    </row>
    <row r="121" spans="1:17">
      <c r="E121" s="51" t="s">
        <v>1526</v>
      </c>
      <c r="F121" s="51"/>
      <c r="G121" s="51"/>
      <c r="H121" s="51"/>
      <c r="I121" s="51"/>
      <c r="J121" s="51"/>
      <c r="K121" s="51"/>
      <c r="L121" s="51"/>
      <c r="M121" s="51"/>
      <c r="N121" s="51"/>
      <c r="O121" s="51"/>
      <c r="P121" s="52"/>
      <c r="Q121" s="53" t="s">
        <v>9479</v>
      </c>
    </row>
    <row r="122" spans="1:17">
      <c r="D122" s="40">
        <v>2010</v>
      </c>
      <c r="E122" s="40">
        <v>2011</v>
      </c>
      <c r="F122" s="40">
        <v>2012</v>
      </c>
      <c r="G122" s="40">
        <v>2013</v>
      </c>
      <c r="H122" s="40">
        <v>2014</v>
      </c>
      <c r="I122" s="40">
        <v>2015</v>
      </c>
      <c r="J122" s="40">
        <v>2016</v>
      </c>
      <c r="K122" s="40">
        <v>2017</v>
      </c>
      <c r="L122" s="40">
        <v>2018</v>
      </c>
      <c r="M122" s="40">
        <v>2019</v>
      </c>
      <c r="N122" s="40">
        <v>2020</v>
      </c>
      <c r="O122" s="975" t="s">
        <v>14823</v>
      </c>
      <c r="Q122" s="54" t="s">
        <v>1527</v>
      </c>
    </row>
    <row r="123" spans="1:17">
      <c r="A123" s="695" t="s">
        <v>4205</v>
      </c>
      <c r="D123" s="706">
        <f t="shared" ref="D123:I123" si="114">SUM(D124:D140)</f>
        <v>141734</v>
      </c>
      <c r="E123" s="706">
        <f t="shared" si="114"/>
        <v>143051</v>
      </c>
      <c r="F123" s="706">
        <f t="shared" si="114"/>
        <v>143109</v>
      </c>
      <c r="G123" s="706">
        <f t="shared" si="114"/>
        <v>143450</v>
      </c>
      <c r="H123" s="706">
        <f t="shared" si="114"/>
        <v>143181</v>
      </c>
      <c r="I123" s="706">
        <f t="shared" si="114"/>
        <v>140417</v>
      </c>
      <c r="J123" s="706">
        <f t="shared" ref="J123:O123" si="115">SUM(J124:J140)</f>
        <v>134649</v>
      </c>
      <c r="K123" s="706">
        <f t="shared" si="115"/>
        <v>138465</v>
      </c>
      <c r="L123" s="706">
        <f t="shared" si="115"/>
        <v>139521</v>
      </c>
      <c r="M123" s="706">
        <f t="shared" si="115"/>
        <v>139264</v>
      </c>
      <c r="N123" s="706">
        <f t="shared" si="115"/>
        <v>144969</v>
      </c>
      <c r="O123" s="706">
        <f t="shared" si="115"/>
        <v>142920</v>
      </c>
    </row>
    <row r="124" spans="1:17">
      <c r="A124" s="695" t="s">
        <v>5387</v>
      </c>
      <c r="B124" s="695" t="s">
        <v>6754</v>
      </c>
      <c r="C124" s="55" t="s">
        <v>7009</v>
      </c>
      <c r="D124" s="706">
        <v>8088</v>
      </c>
      <c r="E124" s="706">
        <v>8215</v>
      </c>
      <c r="F124" s="706">
        <v>8198</v>
      </c>
      <c r="G124" s="706">
        <v>8270</v>
      </c>
      <c r="H124" s="63">
        <v>8209</v>
      </c>
      <c r="I124" s="63">
        <v>8078</v>
      </c>
      <c r="J124" s="56">
        <v>7667</v>
      </c>
      <c r="K124" s="56">
        <v>7757</v>
      </c>
      <c r="L124" s="56">
        <v>7912</v>
      </c>
      <c r="M124" s="56">
        <v>7920</v>
      </c>
      <c r="N124" s="56">
        <v>8205</v>
      </c>
      <c r="O124" s="56">
        <v>8088</v>
      </c>
      <c r="Q124" s="695" t="s">
        <v>2747</v>
      </c>
    </row>
    <row r="125" spans="1:17">
      <c r="A125" s="695" t="s">
        <v>5389</v>
      </c>
      <c r="B125" s="695" t="s">
        <v>1631</v>
      </c>
      <c r="C125" s="55" t="s">
        <v>7010</v>
      </c>
      <c r="D125" s="706">
        <v>8535</v>
      </c>
      <c r="E125" s="706">
        <v>8504</v>
      </c>
      <c r="F125" s="706">
        <v>8500</v>
      </c>
      <c r="G125" s="706">
        <v>8521</v>
      </c>
      <c r="H125" s="63">
        <v>8541</v>
      </c>
      <c r="I125" s="63">
        <v>8491</v>
      </c>
      <c r="J125" s="56">
        <v>8163</v>
      </c>
      <c r="K125" s="56">
        <v>8384</v>
      </c>
      <c r="L125" s="56">
        <v>8368</v>
      </c>
      <c r="M125" s="56">
        <v>8381</v>
      </c>
      <c r="N125" s="56">
        <v>8563</v>
      </c>
      <c r="O125" s="56">
        <v>8465</v>
      </c>
      <c r="Q125" s="695" t="s">
        <v>2745</v>
      </c>
    </row>
    <row r="126" spans="1:17">
      <c r="A126" s="695" t="s">
        <v>5391</v>
      </c>
      <c r="B126" s="695" t="s">
        <v>1999</v>
      </c>
      <c r="C126" s="55" t="s">
        <v>7011</v>
      </c>
      <c r="D126" s="706">
        <v>7685</v>
      </c>
      <c r="E126" s="706">
        <v>7869</v>
      </c>
      <c r="F126" s="706">
        <v>7922</v>
      </c>
      <c r="G126" s="706">
        <v>7969</v>
      </c>
      <c r="H126" s="63">
        <v>8130</v>
      </c>
      <c r="I126" s="63">
        <v>7629</v>
      </c>
      <c r="J126" s="56">
        <v>7320</v>
      </c>
      <c r="K126" s="56">
        <v>7721</v>
      </c>
      <c r="L126" s="56">
        <v>7863</v>
      </c>
      <c r="M126" s="56">
        <v>7909</v>
      </c>
      <c r="N126" s="56">
        <v>8320</v>
      </c>
      <c r="O126" s="56">
        <v>8197</v>
      </c>
      <c r="Q126" s="695" t="s">
        <v>2745</v>
      </c>
    </row>
    <row r="127" spans="1:17">
      <c r="A127" s="695" t="s">
        <v>5393</v>
      </c>
      <c r="B127" s="695" t="s">
        <v>5256</v>
      </c>
      <c r="C127" s="55" t="s">
        <v>7012</v>
      </c>
      <c r="D127" s="706">
        <v>8408</v>
      </c>
      <c r="E127" s="706">
        <v>8513</v>
      </c>
      <c r="F127" s="706">
        <v>8594</v>
      </c>
      <c r="G127" s="706">
        <v>8678</v>
      </c>
      <c r="H127" s="63">
        <v>8677</v>
      </c>
      <c r="I127" s="63">
        <v>8707</v>
      </c>
      <c r="J127" s="56">
        <v>8420</v>
      </c>
      <c r="K127" s="56">
        <v>8502</v>
      </c>
      <c r="L127" s="56">
        <v>8525</v>
      </c>
      <c r="M127" s="56">
        <v>8460</v>
      </c>
      <c r="N127" s="56">
        <v>8796</v>
      </c>
      <c r="O127" s="56">
        <v>8675</v>
      </c>
      <c r="Q127" s="695" t="s">
        <v>2745</v>
      </c>
    </row>
    <row r="128" spans="1:17">
      <c r="A128" s="695" t="s">
        <v>5394</v>
      </c>
      <c r="B128" s="695" t="s">
        <v>5257</v>
      </c>
      <c r="C128" s="55" t="s">
        <v>7013</v>
      </c>
      <c r="D128" s="706">
        <v>8710</v>
      </c>
      <c r="E128" s="706">
        <v>8775</v>
      </c>
      <c r="F128" s="706">
        <v>8876</v>
      </c>
      <c r="G128" s="706">
        <v>8788</v>
      </c>
      <c r="H128" s="63">
        <v>8754</v>
      </c>
      <c r="I128" s="63">
        <v>8703</v>
      </c>
      <c r="J128" s="56">
        <v>8333</v>
      </c>
      <c r="K128" s="56">
        <v>8442</v>
      </c>
      <c r="L128" s="56">
        <v>8480</v>
      </c>
      <c r="M128" s="56">
        <v>8349</v>
      </c>
      <c r="N128" s="56">
        <v>8684</v>
      </c>
      <c r="O128" s="56">
        <v>8581</v>
      </c>
      <c r="Q128" s="695" t="s">
        <v>2747</v>
      </c>
    </row>
    <row r="129" spans="1:17">
      <c r="A129" s="695" t="s">
        <v>5416</v>
      </c>
      <c r="B129" s="695" t="s">
        <v>2882</v>
      </c>
      <c r="C129" s="55" t="s">
        <v>7014</v>
      </c>
      <c r="D129" s="706">
        <v>8962</v>
      </c>
      <c r="E129" s="706">
        <v>8955</v>
      </c>
      <c r="F129" s="706">
        <v>9001</v>
      </c>
      <c r="G129" s="706">
        <v>9031</v>
      </c>
      <c r="H129" s="63">
        <v>9060</v>
      </c>
      <c r="I129" s="63">
        <v>8521</v>
      </c>
      <c r="J129" s="56">
        <v>8196</v>
      </c>
      <c r="K129" s="56">
        <v>8525</v>
      </c>
      <c r="L129" s="56">
        <v>8523</v>
      </c>
      <c r="M129" s="56">
        <v>8540</v>
      </c>
      <c r="N129" s="56">
        <v>8870</v>
      </c>
      <c r="O129" s="56">
        <v>8753</v>
      </c>
      <c r="Q129" s="695" t="s">
        <v>2745</v>
      </c>
    </row>
    <row r="130" spans="1:17">
      <c r="A130" s="695" t="s">
        <v>5418</v>
      </c>
      <c r="B130" s="695" t="s">
        <v>5239</v>
      </c>
      <c r="C130" s="55" t="s">
        <v>7015</v>
      </c>
      <c r="D130" s="706">
        <v>8140</v>
      </c>
      <c r="E130" s="706">
        <v>8165</v>
      </c>
      <c r="F130" s="706">
        <v>8129</v>
      </c>
      <c r="G130" s="706">
        <v>8206</v>
      </c>
      <c r="H130" s="63">
        <v>8163</v>
      </c>
      <c r="I130" s="63">
        <v>8249</v>
      </c>
      <c r="J130" s="56">
        <v>7984</v>
      </c>
      <c r="K130" s="56">
        <v>8117</v>
      </c>
      <c r="L130" s="56">
        <v>8150</v>
      </c>
      <c r="M130" s="56">
        <v>8037</v>
      </c>
      <c r="N130" s="56">
        <v>8311</v>
      </c>
      <c r="O130" s="56">
        <v>8194</v>
      </c>
      <c r="Q130" s="695" t="s">
        <v>2745</v>
      </c>
    </row>
    <row r="131" spans="1:17">
      <c r="A131" s="695" t="s">
        <v>5420</v>
      </c>
      <c r="B131" s="695" t="s">
        <v>5240</v>
      </c>
      <c r="C131" s="55" t="s">
        <v>7016</v>
      </c>
      <c r="D131" s="706">
        <v>7777</v>
      </c>
      <c r="E131" s="706">
        <v>7854</v>
      </c>
      <c r="F131" s="706">
        <v>7802</v>
      </c>
      <c r="G131" s="706">
        <v>7767</v>
      </c>
      <c r="H131" s="63">
        <v>7631</v>
      </c>
      <c r="I131" s="63">
        <v>7590</v>
      </c>
      <c r="J131" s="56">
        <v>7328</v>
      </c>
      <c r="K131" s="56">
        <v>7348</v>
      </c>
      <c r="L131" s="56">
        <v>7378</v>
      </c>
      <c r="M131" s="56">
        <v>7339</v>
      </c>
      <c r="N131" s="56">
        <v>7701</v>
      </c>
      <c r="O131" s="56">
        <v>7599</v>
      </c>
      <c r="Q131" s="695" t="s">
        <v>2747</v>
      </c>
    </row>
    <row r="132" spans="1:17">
      <c r="A132" s="695" t="s">
        <v>5422</v>
      </c>
      <c r="B132" s="695" t="s">
        <v>5241</v>
      </c>
      <c r="C132" s="55" t="s">
        <v>7017</v>
      </c>
      <c r="D132" s="706">
        <v>8468</v>
      </c>
      <c r="E132" s="706">
        <v>8677</v>
      </c>
      <c r="F132" s="706">
        <v>8641</v>
      </c>
      <c r="G132" s="706">
        <v>8657</v>
      </c>
      <c r="H132" s="63">
        <v>8585</v>
      </c>
      <c r="I132" s="63">
        <v>8399</v>
      </c>
      <c r="J132" s="56">
        <v>8217</v>
      </c>
      <c r="K132" s="56">
        <v>8519</v>
      </c>
      <c r="L132" s="56">
        <v>8587</v>
      </c>
      <c r="M132" s="56">
        <v>8647</v>
      </c>
      <c r="N132" s="56">
        <v>9159</v>
      </c>
      <c r="O132" s="56">
        <v>9047</v>
      </c>
      <c r="Q132" s="695" t="s">
        <v>2747</v>
      </c>
    </row>
    <row r="133" spans="1:17">
      <c r="A133" s="695" t="s">
        <v>5424</v>
      </c>
      <c r="B133" s="695" t="s">
        <v>5242</v>
      </c>
      <c r="C133" s="55" t="s">
        <v>7018</v>
      </c>
      <c r="D133" s="706">
        <v>8839</v>
      </c>
      <c r="E133" s="706">
        <v>8810</v>
      </c>
      <c r="F133" s="706">
        <v>8838</v>
      </c>
      <c r="G133" s="706">
        <v>8897</v>
      </c>
      <c r="H133" s="63">
        <v>8872</v>
      </c>
      <c r="I133" s="63">
        <v>8570</v>
      </c>
      <c r="J133" s="56">
        <v>8207</v>
      </c>
      <c r="K133" s="56">
        <v>8476</v>
      </c>
      <c r="L133" s="56">
        <v>8578</v>
      </c>
      <c r="M133" s="56">
        <v>8597</v>
      </c>
      <c r="N133" s="56">
        <v>8797</v>
      </c>
      <c r="O133" s="56">
        <v>8628</v>
      </c>
      <c r="Q133" s="695" t="s">
        <v>2747</v>
      </c>
    </row>
    <row r="134" spans="1:17">
      <c r="A134" s="695" t="s">
        <v>5426</v>
      </c>
      <c r="B134" s="695" t="s">
        <v>5243</v>
      </c>
      <c r="C134" s="55" t="s">
        <v>7019</v>
      </c>
      <c r="D134" s="706">
        <v>8395</v>
      </c>
      <c r="E134" s="706">
        <v>8496</v>
      </c>
      <c r="F134" s="706">
        <v>8548</v>
      </c>
      <c r="G134" s="706">
        <v>8574</v>
      </c>
      <c r="H134" s="63">
        <v>8617</v>
      </c>
      <c r="I134" s="63">
        <v>8230</v>
      </c>
      <c r="J134" s="56">
        <v>7804</v>
      </c>
      <c r="K134" s="56">
        <v>8079</v>
      </c>
      <c r="L134" s="56">
        <v>8125</v>
      </c>
      <c r="M134" s="56">
        <v>8210</v>
      </c>
      <c r="N134" s="56">
        <v>8569</v>
      </c>
      <c r="O134" s="56">
        <v>8422</v>
      </c>
      <c r="Q134" s="695" t="s">
        <v>2747</v>
      </c>
    </row>
    <row r="135" spans="1:17">
      <c r="A135" s="695" t="s">
        <v>5428</v>
      </c>
      <c r="B135" s="695" t="s">
        <v>5244</v>
      </c>
      <c r="C135" s="55" t="s">
        <v>7020</v>
      </c>
      <c r="D135" s="706">
        <v>8984</v>
      </c>
      <c r="E135" s="706">
        <v>9010</v>
      </c>
      <c r="F135" s="706">
        <v>9031</v>
      </c>
      <c r="G135" s="706">
        <v>9058</v>
      </c>
      <c r="H135" s="63">
        <v>9092</v>
      </c>
      <c r="I135" s="63">
        <v>8992</v>
      </c>
      <c r="J135" s="56">
        <v>8669</v>
      </c>
      <c r="K135" s="56">
        <v>8968</v>
      </c>
      <c r="L135" s="56">
        <v>8934</v>
      </c>
      <c r="M135" s="56">
        <v>8994</v>
      </c>
      <c r="N135" s="56">
        <v>9298</v>
      </c>
      <c r="O135" s="56">
        <v>9149</v>
      </c>
      <c r="Q135" s="695" t="s">
        <v>2745</v>
      </c>
    </row>
    <row r="136" spans="1:17">
      <c r="A136" s="695" t="s">
        <v>5429</v>
      </c>
      <c r="B136" s="695" t="s">
        <v>5245</v>
      </c>
      <c r="C136" s="55" t="s">
        <v>7021</v>
      </c>
      <c r="D136" s="706">
        <v>8699</v>
      </c>
      <c r="E136" s="706">
        <v>8850</v>
      </c>
      <c r="F136" s="706">
        <v>8819</v>
      </c>
      <c r="G136" s="706">
        <v>8828</v>
      </c>
      <c r="H136" s="63">
        <v>8834</v>
      </c>
      <c r="I136" s="63">
        <v>8479</v>
      </c>
      <c r="J136" s="56">
        <v>8115</v>
      </c>
      <c r="K136" s="56">
        <v>8357</v>
      </c>
      <c r="L136" s="56">
        <v>8503</v>
      </c>
      <c r="M136" s="56">
        <v>8498</v>
      </c>
      <c r="N136" s="56">
        <v>9000</v>
      </c>
      <c r="O136" s="56">
        <v>8832</v>
      </c>
      <c r="Q136" s="695" t="s">
        <v>2745</v>
      </c>
    </row>
    <row r="137" spans="1:17">
      <c r="A137" s="695" t="s">
        <v>5431</v>
      </c>
      <c r="B137" s="695" t="s">
        <v>6912</v>
      </c>
      <c r="C137" s="55" t="s">
        <v>7022</v>
      </c>
      <c r="D137" s="706">
        <v>8002</v>
      </c>
      <c r="E137" s="706">
        <v>8080</v>
      </c>
      <c r="F137" s="706">
        <v>8002</v>
      </c>
      <c r="G137" s="706">
        <v>7927</v>
      </c>
      <c r="H137" s="63">
        <v>7917</v>
      </c>
      <c r="I137" s="63">
        <v>7811</v>
      </c>
      <c r="J137" s="58">
        <v>7371</v>
      </c>
      <c r="K137" s="58">
        <v>7757</v>
      </c>
      <c r="L137" s="58">
        <v>7879</v>
      </c>
      <c r="M137" s="58">
        <v>7775</v>
      </c>
      <c r="N137" s="58">
        <v>8232</v>
      </c>
      <c r="O137" s="58">
        <v>8079</v>
      </c>
      <c r="Q137" s="695" t="s">
        <v>2747</v>
      </c>
    </row>
    <row r="138" spans="1:17">
      <c r="A138" s="695" t="s">
        <v>5433</v>
      </c>
      <c r="B138" s="695" t="s">
        <v>5246</v>
      </c>
      <c r="C138" s="55" t="s">
        <v>7023</v>
      </c>
      <c r="D138" s="706">
        <v>8606</v>
      </c>
      <c r="E138" s="706">
        <v>8792</v>
      </c>
      <c r="F138" s="706">
        <v>8751</v>
      </c>
      <c r="G138" s="706">
        <v>8812</v>
      </c>
      <c r="H138" s="63">
        <v>8701</v>
      </c>
      <c r="I138" s="63">
        <v>8658</v>
      </c>
      <c r="J138" s="56">
        <v>8128</v>
      </c>
      <c r="K138" s="56">
        <v>8376</v>
      </c>
      <c r="L138" s="56">
        <v>8500</v>
      </c>
      <c r="M138" s="56">
        <v>8478</v>
      </c>
      <c r="N138" s="56">
        <v>8905</v>
      </c>
      <c r="O138" s="56">
        <v>8824</v>
      </c>
      <c r="Q138" s="695" t="s">
        <v>2747</v>
      </c>
    </row>
    <row r="139" spans="1:17">
      <c r="A139" s="695" t="s">
        <v>5435</v>
      </c>
      <c r="B139" s="695" t="s">
        <v>3761</v>
      </c>
      <c r="C139" s="55" t="s">
        <v>7024</v>
      </c>
      <c r="D139" s="706">
        <v>8008</v>
      </c>
      <c r="E139" s="706">
        <v>8045</v>
      </c>
      <c r="F139" s="706">
        <v>8029</v>
      </c>
      <c r="G139" s="706">
        <v>8089</v>
      </c>
      <c r="H139" s="63">
        <v>8023</v>
      </c>
      <c r="I139" s="63">
        <v>7971</v>
      </c>
      <c r="J139" s="56">
        <v>7697</v>
      </c>
      <c r="K139" s="56">
        <v>7937</v>
      </c>
      <c r="L139" s="56">
        <v>7976</v>
      </c>
      <c r="M139" s="56">
        <v>7947</v>
      </c>
      <c r="N139" s="56">
        <v>8174</v>
      </c>
      <c r="O139" s="56">
        <v>8116</v>
      </c>
      <c r="Q139" s="695" t="s">
        <v>2745</v>
      </c>
    </row>
    <row r="140" spans="1:17">
      <c r="A140" s="714">
        <v>17</v>
      </c>
      <c r="B140" s="695" t="s">
        <v>6672</v>
      </c>
      <c r="C140" s="55" t="s">
        <v>7025</v>
      </c>
      <c r="D140" s="713">
        <v>7428</v>
      </c>
      <c r="E140" s="713">
        <v>7441</v>
      </c>
      <c r="F140" s="713">
        <v>7428</v>
      </c>
      <c r="G140" s="713">
        <v>7378</v>
      </c>
      <c r="H140" s="63">
        <v>7375</v>
      </c>
      <c r="I140" s="63">
        <v>7339</v>
      </c>
      <c r="J140" s="58">
        <v>7030</v>
      </c>
      <c r="K140" s="58">
        <v>7200</v>
      </c>
      <c r="L140" s="58">
        <v>7240</v>
      </c>
      <c r="M140" s="58">
        <v>7183</v>
      </c>
      <c r="N140" s="58">
        <v>7385</v>
      </c>
      <c r="O140" s="58">
        <v>7271</v>
      </c>
      <c r="Q140" s="695" t="s">
        <v>2747</v>
      </c>
    </row>
    <row r="141" spans="1:17">
      <c r="D141" s="707"/>
      <c r="E141" s="707"/>
      <c r="F141" s="707"/>
      <c r="G141" s="707"/>
      <c r="H141" s="707"/>
      <c r="I141" s="707"/>
      <c r="J141" s="707"/>
      <c r="K141" s="707"/>
      <c r="L141" s="707"/>
      <c r="M141" s="707"/>
      <c r="N141" s="707"/>
      <c r="O141" s="707"/>
    </row>
    <row r="142" spans="1:17">
      <c r="A142" s="695" t="s">
        <v>2745</v>
      </c>
      <c r="D142" s="706">
        <f t="shared" ref="D142:I142" si="116">SUM(D125:D127)+D129+D130+D135+D136+D139</f>
        <v>67421</v>
      </c>
      <c r="E142" s="706">
        <f t="shared" si="116"/>
        <v>67911</v>
      </c>
      <c r="F142" s="706">
        <f t="shared" si="116"/>
        <v>68025</v>
      </c>
      <c r="G142" s="706">
        <f t="shared" si="116"/>
        <v>68380</v>
      </c>
      <c r="H142" s="706">
        <f t="shared" si="116"/>
        <v>68520</v>
      </c>
      <c r="I142" s="706">
        <f t="shared" si="116"/>
        <v>67039</v>
      </c>
      <c r="J142" s="706">
        <f t="shared" ref="J142:O142" si="117">SUM(J125:J127)+J129+J130+J135+J136+J139</f>
        <v>64564</v>
      </c>
      <c r="K142" s="706">
        <f t="shared" si="117"/>
        <v>66511</v>
      </c>
      <c r="L142" s="706">
        <f t="shared" si="117"/>
        <v>66842</v>
      </c>
      <c r="M142" s="706">
        <f t="shared" si="117"/>
        <v>66766</v>
      </c>
      <c r="N142" s="706">
        <f t="shared" si="117"/>
        <v>69332</v>
      </c>
      <c r="O142" s="706">
        <f t="shared" si="117"/>
        <v>68381</v>
      </c>
    </row>
    <row r="143" spans="1:17">
      <c r="A143" s="695" t="s">
        <v>2747</v>
      </c>
      <c r="D143" s="706">
        <f t="shared" ref="D143:I143" si="118">D124+D128+SUM(D131:D134)+D137+D138+D140</f>
        <v>74313</v>
      </c>
      <c r="E143" s="706">
        <f t="shared" si="118"/>
        <v>75140</v>
      </c>
      <c r="F143" s="706">
        <f t="shared" si="118"/>
        <v>75084</v>
      </c>
      <c r="G143" s="706">
        <f t="shared" si="118"/>
        <v>75070</v>
      </c>
      <c r="H143" s="706">
        <f t="shared" si="118"/>
        <v>74661</v>
      </c>
      <c r="I143" s="706">
        <f t="shared" si="118"/>
        <v>73378</v>
      </c>
      <c r="J143" s="706">
        <f t="shared" ref="J143:O143" si="119">J124+J128+SUM(J131:J134)+J137+J138+J140</f>
        <v>70085</v>
      </c>
      <c r="K143" s="706">
        <f t="shared" si="119"/>
        <v>71954</v>
      </c>
      <c r="L143" s="706">
        <f t="shared" si="119"/>
        <v>72679</v>
      </c>
      <c r="M143" s="706">
        <f t="shared" si="119"/>
        <v>72498</v>
      </c>
      <c r="N143" s="706">
        <f t="shared" si="119"/>
        <v>75637</v>
      </c>
      <c r="O143" s="706">
        <f t="shared" si="119"/>
        <v>74539</v>
      </c>
    </row>
    <row r="144" spans="1:17">
      <c r="A144" s="695"/>
      <c r="D144" s="706"/>
      <c r="E144" s="706"/>
      <c r="F144" s="706"/>
      <c r="G144" s="706"/>
      <c r="H144" s="706"/>
      <c r="I144" s="706"/>
      <c r="J144" s="706"/>
      <c r="K144" s="706"/>
      <c r="L144" s="706"/>
      <c r="M144" s="706"/>
      <c r="N144" s="706"/>
      <c r="O144" s="706"/>
    </row>
    <row r="145" spans="1:17">
      <c r="A145" s="156" t="s">
        <v>6673</v>
      </c>
    </row>
    <row r="148" spans="1:17">
      <c r="E148" s="51" t="s">
        <v>1526</v>
      </c>
      <c r="F148" s="51"/>
      <c r="G148" s="51"/>
      <c r="H148" s="51"/>
      <c r="I148" s="51"/>
      <c r="J148" s="51"/>
      <c r="K148" s="51"/>
      <c r="L148" s="51"/>
      <c r="M148" s="51"/>
      <c r="N148" s="51"/>
      <c r="O148" s="51"/>
      <c r="P148" s="52"/>
      <c r="Q148" s="53" t="s">
        <v>9479</v>
      </c>
    </row>
    <row r="149" spans="1:17">
      <c r="D149" s="40">
        <v>2010</v>
      </c>
      <c r="E149" s="40">
        <v>2011</v>
      </c>
      <c r="F149" s="40">
        <v>2012</v>
      </c>
      <c r="G149" s="40">
        <v>2013</v>
      </c>
      <c r="H149" s="40">
        <v>2014</v>
      </c>
      <c r="I149" s="40">
        <v>2015</v>
      </c>
      <c r="J149" s="40">
        <v>2016</v>
      </c>
      <c r="K149" s="40">
        <v>2017</v>
      </c>
      <c r="L149" s="40">
        <v>2018</v>
      </c>
      <c r="M149" s="40">
        <v>2019</v>
      </c>
      <c r="N149" s="40">
        <v>2020</v>
      </c>
      <c r="O149" s="975" t="s">
        <v>14823</v>
      </c>
      <c r="Q149" s="54" t="s">
        <v>1527</v>
      </c>
    </row>
    <row r="150" spans="1:17">
      <c r="A150" s="695" t="s">
        <v>6674</v>
      </c>
      <c r="D150" s="706">
        <f t="shared" ref="D150:L150" si="120">SUM(D151:D156,D158:D159,D161:D163,D165:D166,D168:D171,D173:D176,D178:D186,D188:D189,D191:D197,D199:D200)</f>
        <v>336366</v>
      </c>
      <c r="E150" s="706">
        <f t="shared" si="120"/>
        <v>343889</v>
      </c>
      <c r="F150" s="706">
        <f t="shared" si="120"/>
        <v>351324</v>
      </c>
      <c r="G150" s="706">
        <f t="shared" si="120"/>
        <v>353684</v>
      </c>
      <c r="H150" s="706">
        <f t="shared" si="120"/>
        <v>358357</v>
      </c>
      <c r="I150" s="706">
        <f t="shared" si="120"/>
        <v>346080</v>
      </c>
      <c r="J150" s="706">
        <f t="shared" si="120"/>
        <v>345660</v>
      </c>
      <c r="K150" s="706">
        <f t="shared" si="120"/>
        <v>332071</v>
      </c>
      <c r="L150" s="706">
        <f t="shared" si="120"/>
        <v>340724</v>
      </c>
      <c r="M150" s="706">
        <f>SUM(M151:M156,M158:M159,M161:M163,M165:M166,M168:M171,M173:M176,M178:M186,M188:M189,M191:M197,M199:M200)</f>
        <v>335201</v>
      </c>
      <c r="N150" s="706">
        <f>SUM(N151:N156,N158:N159,N161:N163,N165:N166,N168:N171,N173:N176,N178:N186,N188:N189,N191:N197,N199:N200)</f>
        <v>359363</v>
      </c>
      <c r="O150" s="706">
        <f>SUM(O151:O156,O158:O159,O161:O163,O165:O166,O168:O171,O173:O176,O178:O186,O188:O189,O191:O197,O199:O200)</f>
        <v>359185</v>
      </c>
    </row>
    <row r="151" spans="1:17">
      <c r="A151" s="695" t="s">
        <v>5387</v>
      </c>
      <c r="B151" s="695" t="s">
        <v>12587</v>
      </c>
      <c r="C151" s="55" t="s">
        <v>12592</v>
      </c>
      <c r="D151" s="706">
        <v>85522</v>
      </c>
      <c r="E151" s="706">
        <v>89519</v>
      </c>
      <c r="F151" s="706">
        <v>91216</v>
      </c>
      <c r="G151" s="706">
        <v>92334</v>
      </c>
      <c r="H151" s="706">
        <v>95373</v>
      </c>
      <c r="I151" s="706">
        <v>89845</v>
      </c>
      <c r="J151" s="706">
        <v>87339</v>
      </c>
      <c r="K151" s="706">
        <v>85370</v>
      </c>
      <c r="L151" s="706">
        <v>88488</v>
      </c>
      <c r="M151" s="56">
        <v>9027</v>
      </c>
      <c r="N151" s="56">
        <v>10691</v>
      </c>
      <c r="O151" s="56">
        <v>10697</v>
      </c>
      <c r="Q151" s="695" t="s">
        <v>4179</v>
      </c>
    </row>
    <row r="152" spans="1:17">
      <c r="A152" s="695" t="s">
        <v>5389</v>
      </c>
      <c r="B152" s="695" t="s">
        <v>5946</v>
      </c>
      <c r="C152" s="55" t="s">
        <v>12593</v>
      </c>
      <c r="D152" s="706">
        <v>0</v>
      </c>
      <c r="E152" s="706">
        <v>0</v>
      </c>
      <c r="F152" s="706">
        <v>0</v>
      </c>
      <c r="G152" s="706">
        <v>0</v>
      </c>
      <c r="H152" s="706">
        <v>0</v>
      </c>
      <c r="I152" s="706">
        <v>0</v>
      </c>
      <c r="J152" s="706">
        <v>0</v>
      </c>
      <c r="K152" s="706">
        <v>0</v>
      </c>
      <c r="L152" s="706">
        <v>0</v>
      </c>
      <c r="M152" s="56">
        <v>10920</v>
      </c>
      <c r="N152" s="56">
        <v>11741</v>
      </c>
      <c r="O152" s="56">
        <v>11766</v>
      </c>
      <c r="Q152" s="695" t="s">
        <v>4179</v>
      </c>
    </row>
    <row r="153" spans="1:17">
      <c r="A153" s="695" t="s">
        <v>5391</v>
      </c>
      <c r="B153" s="695" t="s">
        <v>5947</v>
      </c>
      <c r="C153" s="55" t="s">
        <v>12594</v>
      </c>
      <c r="D153" s="706">
        <v>52002</v>
      </c>
      <c r="E153" s="706">
        <v>52444</v>
      </c>
      <c r="F153" s="706">
        <v>53009</v>
      </c>
      <c r="G153" s="706">
        <v>53349</v>
      </c>
      <c r="H153" s="706">
        <v>53849</v>
      </c>
      <c r="I153" s="706">
        <v>53363</v>
      </c>
      <c r="J153" s="706">
        <v>53643</v>
      </c>
      <c r="K153" s="706">
        <v>51880</v>
      </c>
      <c r="L153" s="706">
        <v>52353</v>
      </c>
      <c r="M153" s="58">
        <v>10489</v>
      </c>
      <c r="N153" s="58">
        <v>10810</v>
      </c>
      <c r="O153" s="58">
        <v>10800</v>
      </c>
      <c r="Q153" s="695" t="s">
        <v>5743</v>
      </c>
    </row>
    <row r="154" spans="1:17">
      <c r="A154" s="695" t="s">
        <v>5393</v>
      </c>
      <c r="B154" s="695" t="s">
        <v>1604</v>
      </c>
      <c r="C154" s="55" t="s">
        <v>12595</v>
      </c>
      <c r="D154" s="706">
        <v>0</v>
      </c>
      <c r="E154" s="706">
        <v>0</v>
      </c>
      <c r="F154" s="706">
        <v>0</v>
      </c>
      <c r="G154" s="706">
        <v>0</v>
      </c>
      <c r="H154" s="706">
        <v>0</v>
      </c>
      <c r="I154" s="706">
        <v>0</v>
      </c>
      <c r="J154" s="706">
        <v>0</v>
      </c>
      <c r="K154" s="706">
        <v>0</v>
      </c>
      <c r="L154" s="706">
        <v>0</v>
      </c>
      <c r="M154" s="56">
        <v>10627</v>
      </c>
      <c r="N154" s="56">
        <v>10867</v>
      </c>
      <c r="O154" s="56">
        <v>10845</v>
      </c>
      <c r="Q154" s="695" t="s">
        <v>5743</v>
      </c>
    </row>
    <row r="155" spans="1:17">
      <c r="A155" s="695" t="s">
        <v>5394</v>
      </c>
      <c r="B155" s="695" t="s">
        <v>5948</v>
      </c>
      <c r="C155" s="55" t="s">
        <v>12596</v>
      </c>
      <c r="D155" s="706">
        <v>0</v>
      </c>
      <c r="E155" s="706">
        <v>0</v>
      </c>
      <c r="F155" s="706">
        <v>0</v>
      </c>
      <c r="G155" s="706">
        <v>0</v>
      </c>
      <c r="H155" s="706">
        <v>0</v>
      </c>
      <c r="I155" s="706">
        <v>0</v>
      </c>
      <c r="J155" s="706">
        <v>0</v>
      </c>
      <c r="K155" s="706">
        <v>0</v>
      </c>
      <c r="L155" s="706">
        <v>0</v>
      </c>
      <c r="M155" s="58">
        <v>3523</v>
      </c>
      <c r="N155" s="58">
        <v>3748</v>
      </c>
      <c r="O155" s="58">
        <v>3750</v>
      </c>
      <c r="Q155" s="695" t="s">
        <v>4180</v>
      </c>
    </row>
    <row r="156" spans="1:17" ht="15.75" thickBot="1">
      <c r="A156" s="695"/>
      <c r="B156" s="695"/>
      <c r="C156" s="55" t="s">
        <v>12596</v>
      </c>
      <c r="D156" s="710">
        <v>0</v>
      </c>
      <c r="E156" s="710">
        <v>0</v>
      </c>
      <c r="F156" s="710">
        <v>0</v>
      </c>
      <c r="G156" s="710">
        <v>0</v>
      </c>
      <c r="H156" s="710">
        <v>0</v>
      </c>
      <c r="I156" s="710">
        <v>0</v>
      </c>
      <c r="J156" s="710">
        <v>0</v>
      </c>
      <c r="K156" s="710">
        <v>0</v>
      </c>
      <c r="L156" s="710">
        <v>0</v>
      </c>
      <c r="M156" s="710">
        <v>8844</v>
      </c>
      <c r="N156" s="710">
        <v>9071</v>
      </c>
      <c r="O156" s="710">
        <v>9058</v>
      </c>
      <c r="Q156" s="695" t="s">
        <v>4181</v>
      </c>
    </row>
    <row r="157" spans="1:17" ht="15.75" thickBot="1">
      <c r="A157" s="695"/>
      <c r="B157" s="695"/>
      <c r="C157" s="55" t="s">
        <v>12596</v>
      </c>
      <c r="D157" s="710">
        <f t="shared" ref="D157:M157" si="121">D155+D156</f>
        <v>0</v>
      </c>
      <c r="E157" s="710">
        <f t="shared" si="121"/>
        <v>0</v>
      </c>
      <c r="F157" s="710">
        <f t="shared" si="121"/>
        <v>0</v>
      </c>
      <c r="G157" s="710">
        <f t="shared" si="121"/>
        <v>0</v>
      </c>
      <c r="H157" s="710">
        <f t="shared" si="121"/>
        <v>0</v>
      </c>
      <c r="I157" s="710">
        <f t="shared" si="121"/>
        <v>0</v>
      </c>
      <c r="J157" s="710">
        <f t="shared" si="121"/>
        <v>0</v>
      </c>
      <c r="K157" s="710">
        <f t="shared" si="121"/>
        <v>0</v>
      </c>
      <c r="L157" s="710">
        <f t="shared" si="121"/>
        <v>0</v>
      </c>
      <c r="M157" s="710">
        <f t="shared" si="121"/>
        <v>12367</v>
      </c>
      <c r="N157" s="710">
        <f>N155+N156</f>
        <v>12819</v>
      </c>
      <c r="O157" s="710">
        <f>O155+O156</f>
        <v>12808</v>
      </c>
      <c r="Q157" s="695"/>
    </row>
    <row r="158" spans="1:17">
      <c r="A158" s="695" t="s">
        <v>5416</v>
      </c>
      <c r="B158" s="695" t="s">
        <v>5949</v>
      </c>
      <c r="C158" s="55" t="s">
        <v>12597</v>
      </c>
      <c r="D158" s="706">
        <v>0</v>
      </c>
      <c r="E158" s="706">
        <v>0</v>
      </c>
      <c r="F158" s="706">
        <v>0</v>
      </c>
      <c r="G158" s="706">
        <v>0</v>
      </c>
      <c r="H158" s="706">
        <v>0</v>
      </c>
      <c r="I158" s="706">
        <v>0</v>
      </c>
      <c r="J158" s="706">
        <v>0</v>
      </c>
      <c r="K158" s="706">
        <v>0</v>
      </c>
      <c r="L158" s="706">
        <v>0</v>
      </c>
      <c r="M158" s="58">
        <v>9986</v>
      </c>
      <c r="N158" s="58">
        <v>10353</v>
      </c>
      <c r="O158" s="58">
        <v>10335</v>
      </c>
      <c r="Q158" s="695" t="s">
        <v>2752</v>
      </c>
    </row>
    <row r="159" spans="1:17" ht="15.75" thickBot="1">
      <c r="A159" s="695"/>
      <c r="B159" s="695"/>
      <c r="C159" s="55" t="s">
        <v>12597</v>
      </c>
      <c r="D159" s="710">
        <v>0</v>
      </c>
      <c r="E159" s="710">
        <v>0</v>
      </c>
      <c r="F159" s="710">
        <v>0</v>
      </c>
      <c r="G159" s="710">
        <v>0</v>
      </c>
      <c r="H159" s="710">
        <v>0</v>
      </c>
      <c r="I159" s="710">
        <v>0</v>
      </c>
      <c r="J159" s="710">
        <v>0</v>
      </c>
      <c r="K159" s="710">
        <v>0</v>
      </c>
      <c r="L159" s="710">
        <v>0</v>
      </c>
      <c r="M159" s="710">
        <v>1052</v>
      </c>
      <c r="N159" s="710">
        <v>1063</v>
      </c>
      <c r="O159" s="710">
        <v>1066</v>
      </c>
      <c r="Q159" s="695" t="s">
        <v>4179</v>
      </c>
    </row>
    <row r="160" spans="1:17" ht="15.75" thickBot="1">
      <c r="A160" s="695"/>
      <c r="B160" s="695"/>
      <c r="C160" s="55" t="s">
        <v>12597</v>
      </c>
      <c r="D160" s="710">
        <f t="shared" ref="D160:M160" si="122">D158+D159</f>
        <v>0</v>
      </c>
      <c r="E160" s="710">
        <f t="shared" si="122"/>
        <v>0</v>
      </c>
      <c r="F160" s="710">
        <f t="shared" si="122"/>
        <v>0</v>
      </c>
      <c r="G160" s="710">
        <f t="shared" si="122"/>
        <v>0</v>
      </c>
      <c r="H160" s="710">
        <f t="shared" si="122"/>
        <v>0</v>
      </c>
      <c r="I160" s="710">
        <f t="shared" si="122"/>
        <v>0</v>
      </c>
      <c r="J160" s="710">
        <f t="shared" si="122"/>
        <v>0</v>
      </c>
      <c r="K160" s="710">
        <f t="shared" si="122"/>
        <v>0</v>
      </c>
      <c r="L160" s="710">
        <f t="shared" si="122"/>
        <v>0</v>
      </c>
      <c r="M160" s="710">
        <f t="shared" si="122"/>
        <v>11038</v>
      </c>
      <c r="N160" s="710">
        <f>N158+N159</f>
        <v>11416</v>
      </c>
      <c r="O160" s="710">
        <f>O158+O159</f>
        <v>11401</v>
      </c>
      <c r="Q160" s="695"/>
    </row>
    <row r="161" spans="1:17">
      <c r="A161" s="695" t="s">
        <v>5418</v>
      </c>
      <c r="B161" s="695" t="s">
        <v>5950</v>
      </c>
      <c r="C161" s="55" t="s">
        <v>12598</v>
      </c>
      <c r="D161" s="706">
        <v>53793</v>
      </c>
      <c r="E161" s="706">
        <v>53589</v>
      </c>
      <c r="F161" s="706">
        <v>55638</v>
      </c>
      <c r="G161" s="706">
        <v>56447</v>
      </c>
      <c r="H161" s="706">
        <v>56768</v>
      </c>
      <c r="I161" s="706">
        <v>55958</v>
      </c>
      <c r="J161" s="706">
        <v>55835</v>
      </c>
      <c r="K161" s="706">
        <v>54241</v>
      </c>
      <c r="L161" s="706">
        <v>54602</v>
      </c>
      <c r="M161" s="56">
        <v>10719</v>
      </c>
      <c r="N161" s="56">
        <v>11492</v>
      </c>
      <c r="O161" s="56">
        <v>11490</v>
      </c>
      <c r="Q161" s="695" t="s">
        <v>2752</v>
      </c>
    </row>
    <row r="162" spans="1:17">
      <c r="A162" s="695" t="s">
        <v>5420</v>
      </c>
      <c r="B162" s="695" t="s">
        <v>6436</v>
      </c>
      <c r="C162" s="55" t="s">
        <v>12599</v>
      </c>
      <c r="D162" s="706">
        <v>0</v>
      </c>
      <c r="E162" s="706">
        <v>0</v>
      </c>
      <c r="F162" s="706">
        <v>0</v>
      </c>
      <c r="G162" s="706">
        <v>0</v>
      </c>
      <c r="H162" s="706">
        <v>0</v>
      </c>
      <c r="I162" s="706">
        <v>0</v>
      </c>
      <c r="J162" s="706">
        <v>0</v>
      </c>
      <c r="K162" s="706">
        <v>0</v>
      </c>
      <c r="L162" s="706">
        <v>0</v>
      </c>
      <c r="M162" s="56">
        <v>646</v>
      </c>
      <c r="N162" s="56">
        <v>669</v>
      </c>
      <c r="O162" s="56">
        <v>671</v>
      </c>
      <c r="Q162" s="695" t="s">
        <v>4180</v>
      </c>
    </row>
    <row r="163" spans="1:17" ht="15.75" thickBot="1">
      <c r="A163" s="695"/>
      <c r="B163" s="695"/>
      <c r="C163" s="55" t="s">
        <v>12599</v>
      </c>
      <c r="D163" s="710">
        <v>0</v>
      </c>
      <c r="E163" s="710">
        <v>0</v>
      </c>
      <c r="F163" s="710">
        <v>0</v>
      </c>
      <c r="G163" s="710">
        <v>0</v>
      </c>
      <c r="H163" s="710">
        <v>0</v>
      </c>
      <c r="I163" s="710">
        <v>0</v>
      </c>
      <c r="J163" s="710">
        <v>0</v>
      </c>
      <c r="K163" s="710">
        <v>0</v>
      </c>
      <c r="L163" s="710">
        <v>0</v>
      </c>
      <c r="M163" s="710">
        <v>9550</v>
      </c>
      <c r="N163" s="710">
        <v>10206</v>
      </c>
      <c r="O163" s="710">
        <v>10197</v>
      </c>
      <c r="Q163" s="695" t="s">
        <v>4181</v>
      </c>
    </row>
    <row r="164" spans="1:17" ht="15.75" thickBot="1">
      <c r="A164" s="695"/>
      <c r="B164" s="695"/>
      <c r="C164" s="55" t="s">
        <v>12599</v>
      </c>
      <c r="D164" s="710">
        <f t="shared" ref="D164:M164" si="123">D162+D163</f>
        <v>0</v>
      </c>
      <c r="E164" s="710">
        <f t="shared" si="123"/>
        <v>0</v>
      </c>
      <c r="F164" s="710">
        <f t="shared" si="123"/>
        <v>0</v>
      </c>
      <c r="G164" s="710">
        <f t="shared" si="123"/>
        <v>0</v>
      </c>
      <c r="H164" s="710">
        <f t="shared" si="123"/>
        <v>0</v>
      </c>
      <c r="I164" s="710">
        <f t="shared" si="123"/>
        <v>0</v>
      </c>
      <c r="J164" s="710">
        <f t="shared" si="123"/>
        <v>0</v>
      </c>
      <c r="K164" s="710">
        <f t="shared" si="123"/>
        <v>0</v>
      </c>
      <c r="L164" s="710">
        <f t="shared" si="123"/>
        <v>0</v>
      </c>
      <c r="M164" s="710">
        <f t="shared" si="123"/>
        <v>10196</v>
      </c>
      <c r="N164" s="710">
        <f>N162+N163</f>
        <v>10875</v>
      </c>
      <c r="O164" s="710">
        <f>O162+O163</f>
        <v>10868</v>
      </c>
      <c r="Q164" s="695"/>
    </row>
    <row r="165" spans="1:17">
      <c r="A165" s="695" t="s">
        <v>5422</v>
      </c>
      <c r="B165" s="695" t="s">
        <v>6437</v>
      </c>
      <c r="C165" s="55" t="s">
        <v>12600</v>
      </c>
      <c r="D165" s="706">
        <v>0</v>
      </c>
      <c r="E165" s="706">
        <v>0</v>
      </c>
      <c r="F165" s="706">
        <v>0</v>
      </c>
      <c r="G165" s="706">
        <v>0</v>
      </c>
      <c r="H165" s="706">
        <v>0</v>
      </c>
      <c r="I165" s="706">
        <v>0</v>
      </c>
      <c r="J165" s="706">
        <v>0</v>
      </c>
      <c r="K165" s="706">
        <v>0</v>
      </c>
      <c r="L165" s="706">
        <v>0</v>
      </c>
      <c r="M165" s="58">
        <v>2917</v>
      </c>
      <c r="N165" s="58">
        <v>3006</v>
      </c>
      <c r="O165" s="58">
        <v>3008</v>
      </c>
      <c r="Q165" s="695" t="s">
        <v>4180</v>
      </c>
    </row>
    <row r="166" spans="1:17" ht="15.75" thickBot="1">
      <c r="A166" s="695"/>
      <c r="B166" s="695"/>
      <c r="C166" s="55" t="s">
        <v>12600</v>
      </c>
      <c r="D166" s="710">
        <v>0</v>
      </c>
      <c r="E166" s="710">
        <v>0</v>
      </c>
      <c r="F166" s="710">
        <v>0</v>
      </c>
      <c r="G166" s="710">
        <v>0</v>
      </c>
      <c r="H166" s="710">
        <v>0</v>
      </c>
      <c r="I166" s="710">
        <v>0</v>
      </c>
      <c r="J166" s="710">
        <v>0</v>
      </c>
      <c r="K166" s="710">
        <v>0</v>
      </c>
      <c r="L166" s="710">
        <v>0</v>
      </c>
      <c r="M166" s="710">
        <v>9532</v>
      </c>
      <c r="N166" s="710">
        <v>10075</v>
      </c>
      <c r="O166" s="710">
        <v>10087</v>
      </c>
      <c r="Q166" s="695" t="s">
        <v>4181</v>
      </c>
    </row>
    <row r="167" spans="1:17" ht="15.75" thickBot="1">
      <c r="A167" s="695"/>
      <c r="B167" s="695"/>
      <c r="C167" s="55" t="s">
        <v>12600</v>
      </c>
      <c r="D167" s="710">
        <f t="shared" ref="D167:M167" si="124">D165+D166</f>
        <v>0</v>
      </c>
      <c r="E167" s="710">
        <f t="shared" si="124"/>
        <v>0</v>
      </c>
      <c r="F167" s="710">
        <f t="shared" si="124"/>
        <v>0</v>
      </c>
      <c r="G167" s="710">
        <f t="shared" si="124"/>
        <v>0</v>
      </c>
      <c r="H167" s="710">
        <f t="shared" si="124"/>
        <v>0</v>
      </c>
      <c r="I167" s="710">
        <f t="shared" si="124"/>
        <v>0</v>
      </c>
      <c r="J167" s="710">
        <f t="shared" si="124"/>
        <v>0</v>
      </c>
      <c r="K167" s="710">
        <f t="shared" si="124"/>
        <v>0</v>
      </c>
      <c r="L167" s="710">
        <f t="shared" si="124"/>
        <v>0</v>
      </c>
      <c r="M167" s="710">
        <f t="shared" si="124"/>
        <v>12449</v>
      </c>
      <c r="N167" s="710">
        <f>N165+N166</f>
        <v>13081</v>
      </c>
      <c r="O167" s="710">
        <f>O165+O166</f>
        <v>13095</v>
      </c>
      <c r="Q167" s="695"/>
    </row>
    <row r="168" spans="1:17">
      <c r="A168" s="695" t="s">
        <v>5424</v>
      </c>
      <c r="B168" s="695" t="s">
        <v>12588</v>
      </c>
      <c r="C168" s="55" t="s">
        <v>12601</v>
      </c>
      <c r="D168" s="706">
        <v>0</v>
      </c>
      <c r="E168" s="706">
        <v>0</v>
      </c>
      <c r="F168" s="706">
        <v>0</v>
      </c>
      <c r="G168" s="706">
        <v>0</v>
      </c>
      <c r="H168" s="706">
        <v>0</v>
      </c>
      <c r="I168" s="706">
        <v>0</v>
      </c>
      <c r="J168" s="706">
        <v>0</v>
      </c>
      <c r="K168" s="706">
        <v>0</v>
      </c>
      <c r="L168" s="706">
        <v>0</v>
      </c>
      <c r="M168" s="58">
        <v>10591</v>
      </c>
      <c r="N168" s="58">
        <v>11191</v>
      </c>
      <c r="O168" s="58">
        <v>11200</v>
      </c>
      <c r="Q168" s="695" t="s">
        <v>4179</v>
      </c>
    </row>
    <row r="169" spans="1:17">
      <c r="A169" s="695" t="s">
        <v>5426</v>
      </c>
      <c r="B169" s="695" t="s">
        <v>2725</v>
      </c>
      <c r="C169" s="55" t="s">
        <v>12602</v>
      </c>
      <c r="D169" s="706">
        <v>0</v>
      </c>
      <c r="E169" s="706">
        <v>0</v>
      </c>
      <c r="F169" s="706">
        <v>0</v>
      </c>
      <c r="G169" s="706">
        <v>0</v>
      </c>
      <c r="H169" s="706">
        <v>0</v>
      </c>
      <c r="I169" s="706">
        <v>0</v>
      </c>
      <c r="J169" s="706">
        <v>0</v>
      </c>
      <c r="K169" s="706">
        <v>0</v>
      </c>
      <c r="L169" s="706">
        <v>0</v>
      </c>
      <c r="M169" s="56">
        <v>9805</v>
      </c>
      <c r="N169" s="56">
        <v>10205</v>
      </c>
      <c r="O169" s="56">
        <v>10220</v>
      </c>
      <c r="Q169" s="695" t="s">
        <v>2752</v>
      </c>
    </row>
    <row r="170" spans="1:17">
      <c r="A170" s="695" t="s">
        <v>5428</v>
      </c>
      <c r="B170" s="695" t="s">
        <v>12586</v>
      </c>
      <c r="C170" s="55" t="s">
        <v>12603</v>
      </c>
      <c r="D170" s="706">
        <v>0</v>
      </c>
      <c r="E170" s="706">
        <v>0</v>
      </c>
      <c r="F170" s="706">
        <v>0</v>
      </c>
      <c r="G170" s="706">
        <v>0</v>
      </c>
      <c r="H170" s="706">
        <v>0</v>
      </c>
      <c r="I170" s="706">
        <v>0</v>
      </c>
      <c r="J170" s="706">
        <v>0</v>
      </c>
      <c r="K170" s="706">
        <v>0</v>
      </c>
      <c r="L170" s="706">
        <v>0</v>
      </c>
      <c r="M170" s="56">
        <v>381</v>
      </c>
      <c r="N170" s="56">
        <v>389</v>
      </c>
      <c r="O170" s="56">
        <v>387</v>
      </c>
      <c r="Q170" s="695" t="s">
        <v>2752</v>
      </c>
    </row>
    <row r="171" spans="1:17" ht="15.75" thickBot="1">
      <c r="A171" s="695"/>
      <c r="B171" s="695"/>
      <c r="C171" s="55" t="s">
        <v>12603</v>
      </c>
      <c r="D171" s="710">
        <v>0</v>
      </c>
      <c r="E171" s="710">
        <v>0</v>
      </c>
      <c r="F171" s="710">
        <v>0</v>
      </c>
      <c r="G171" s="710">
        <v>0</v>
      </c>
      <c r="H171" s="710">
        <v>0</v>
      </c>
      <c r="I171" s="710">
        <v>0</v>
      </c>
      <c r="J171" s="710">
        <v>0</v>
      </c>
      <c r="K171" s="710">
        <v>0</v>
      </c>
      <c r="L171" s="710">
        <v>0</v>
      </c>
      <c r="M171" s="710">
        <v>5960</v>
      </c>
      <c r="N171" s="710">
        <v>6711</v>
      </c>
      <c r="O171" s="710">
        <v>6724</v>
      </c>
      <c r="Q171" s="695" t="s">
        <v>4179</v>
      </c>
    </row>
    <row r="172" spans="1:17" ht="15.75" thickBot="1">
      <c r="A172" s="695"/>
      <c r="B172" s="695"/>
      <c r="C172" s="55" t="s">
        <v>12603</v>
      </c>
      <c r="D172" s="710">
        <f t="shared" ref="D172:M172" si="125">D170+D171</f>
        <v>0</v>
      </c>
      <c r="E172" s="710">
        <f t="shared" si="125"/>
        <v>0</v>
      </c>
      <c r="F172" s="710">
        <f t="shared" si="125"/>
        <v>0</v>
      </c>
      <c r="G172" s="710">
        <f t="shared" si="125"/>
        <v>0</v>
      </c>
      <c r="H172" s="710">
        <f t="shared" si="125"/>
        <v>0</v>
      </c>
      <c r="I172" s="710">
        <f t="shared" si="125"/>
        <v>0</v>
      </c>
      <c r="J172" s="710">
        <f t="shared" si="125"/>
        <v>0</v>
      </c>
      <c r="K172" s="710">
        <f t="shared" si="125"/>
        <v>0</v>
      </c>
      <c r="L172" s="710">
        <f t="shared" si="125"/>
        <v>0</v>
      </c>
      <c r="M172" s="710">
        <f t="shared" si="125"/>
        <v>6341</v>
      </c>
      <c r="N172" s="710">
        <f>N170+N171</f>
        <v>7100</v>
      </c>
      <c r="O172" s="710">
        <f>O170+O171</f>
        <v>7111</v>
      </c>
      <c r="Q172" s="695"/>
    </row>
    <row r="173" spans="1:17">
      <c r="A173" s="695" t="s">
        <v>5429</v>
      </c>
      <c r="B173" s="695" t="s">
        <v>2726</v>
      </c>
      <c r="C173" s="55" t="s">
        <v>12604</v>
      </c>
      <c r="D173" s="706">
        <v>72514</v>
      </c>
      <c r="E173" s="706">
        <v>73656</v>
      </c>
      <c r="F173" s="706">
        <v>74964</v>
      </c>
      <c r="G173" s="706">
        <v>75170</v>
      </c>
      <c r="H173" s="706">
        <v>75560</v>
      </c>
      <c r="I173" s="706">
        <v>74396</v>
      </c>
      <c r="J173" s="706">
        <v>74616</v>
      </c>
      <c r="K173" s="706">
        <v>69707</v>
      </c>
      <c r="L173" s="706">
        <v>71330</v>
      </c>
      <c r="M173" s="58">
        <v>10770</v>
      </c>
      <c r="N173" s="58">
        <v>11364</v>
      </c>
      <c r="O173" s="58">
        <v>11363</v>
      </c>
      <c r="Q173" s="695" t="s">
        <v>4181</v>
      </c>
    </row>
    <row r="174" spans="1:17">
      <c r="A174" s="695" t="s">
        <v>5431</v>
      </c>
      <c r="B174" s="695" t="s">
        <v>2727</v>
      </c>
      <c r="C174" s="55" t="s">
        <v>12605</v>
      </c>
      <c r="D174" s="706">
        <v>0</v>
      </c>
      <c r="E174" s="706">
        <v>0</v>
      </c>
      <c r="F174" s="706">
        <v>0</v>
      </c>
      <c r="G174" s="706">
        <v>0</v>
      </c>
      <c r="H174" s="706">
        <v>0</v>
      </c>
      <c r="I174" s="706">
        <v>0</v>
      </c>
      <c r="J174" s="706">
        <v>0</v>
      </c>
      <c r="K174" s="706">
        <v>0</v>
      </c>
      <c r="L174" s="706">
        <v>0</v>
      </c>
      <c r="M174" s="58">
        <v>11142</v>
      </c>
      <c r="N174" s="58">
        <v>12539</v>
      </c>
      <c r="O174" s="58">
        <v>12526</v>
      </c>
      <c r="Q174" s="695" t="s">
        <v>4181</v>
      </c>
    </row>
    <row r="175" spans="1:17">
      <c r="A175" s="695" t="s">
        <v>5433</v>
      </c>
      <c r="B175" s="695" t="s">
        <v>2728</v>
      </c>
      <c r="C175" s="55" t="s">
        <v>12606</v>
      </c>
      <c r="D175" s="706">
        <v>0</v>
      </c>
      <c r="E175" s="706">
        <v>0</v>
      </c>
      <c r="F175" s="706">
        <v>0</v>
      </c>
      <c r="G175" s="706">
        <v>0</v>
      </c>
      <c r="H175" s="706">
        <v>0</v>
      </c>
      <c r="I175" s="706">
        <v>0</v>
      </c>
      <c r="J175" s="706">
        <v>0</v>
      </c>
      <c r="K175" s="706">
        <v>0</v>
      </c>
      <c r="L175" s="706">
        <v>0</v>
      </c>
      <c r="M175" s="56">
        <v>299</v>
      </c>
      <c r="N175" s="56">
        <v>318</v>
      </c>
      <c r="O175" s="56">
        <v>318</v>
      </c>
      <c r="Q175" s="695" t="s">
        <v>4179</v>
      </c>
    </row>
    <row r="176" spans="1:17" ht="15.75" thickBot="1">
      <c r="A176" s="695"/>
      <c r="B176" s="695"/>
      <c r="C176" s="55" t="s">
        <v>12606</v>
      </c>
      <c r="D176" s="710">
        <v>0</v>
      </c>
      <c r="E176" s="710">
        <v>0</v>
      </c>
      <c r="F176" s="710">
        <v>0</v>
      </c>
      <c r="G176" s="710">
        <v>0</v>
      </c>
      <c r="H176" s="710">
        <v>0</v>
      </c>
      <c r="I176" s="710">
        <v>0</v>
      </c>
      <c r="J176" s="710">
        <v>0</v>
      </c>
      <c r="K176" s="710">
        <v>0</v>
      </c>
      <c r="L176" s="710">
        <v>0</v>
      </c>
      <c r="M176" s="710">
        <v>10860</v>
      </c>
      <c r="N176" s="710">
        <v>11245</v>
      </c>
      <c r="O176" s="710">
        <v>11238</v>
      </c>
      <c r="Q176" s="695" t="s">
        <v>4180</v>
      </c>
    </row>
    <row r="177" spans="1:17" ht="15.75" thickBot="1">
      <c r="A177" s="695"/>
      <c r="B177" s="695"/>
      <c r="C177" s="55" t="s">
        <v>12606</v>
      </c>
      <c r="D177" s="710">
        <f t="shared" ref="D177:M177" si="126">D175+D176</f>
        <v>0</v>
      </c>
      <c r="E177" s="710">
        <f t="shared" si="126"/>
        <v>0</v>
      </c>
      <c r="F177" s="710">
        <f t="shared" si="126"/>
        <v>0</v>
      </c>
      <c r="G177" s="710">
        <f t="shared" si="126"/>
        <v>0</v>
      </c>
      <c r="H177" s="710">
        <f t="shared" si="126"/>
        <v>0</v>
      </c>
      <c r="I177" s="710">
        <f t="shared" si="126"/>
        <v>0</v>
      </c>
      <c r="J177" s="710">
        <f t="shared" si="126"/>
        <v>0</v>
      </c>
      <c r="K177" s="710">
        <f t="shared" si="126"/>
        <v>0</v>
      </c>
      <c r="L177" s="710">
        <f t="shared" si="126"/>
        <v>0</v>
      </c>
      <c r="M177" s="710">
        <f t="shared" si="126"/>
        <v>11159</v>
      </c>
      <c r="N177" s="710">
        <f>N175+N176</f>
        <v>11563</v>
      </c>
      <c r="O177" s="710">
        <f>O175+O176</f>
        <v>11556</v>
      </c>
      <c r="Q177" s="695"/>
    </row>
    <row r="178" spans="1:17">
      <c r="A178" s="695" t="s">
        <v>5435</v>
      </c>
      <c r="B178" s="695" t="s">
        <v>12591</v>
      </c>
      <c r="C178" s="55" t="s">
        <v>12607</v>
      </c>
      <c r="D178" s="706">
        <v>72535</v>
      </c>
      <c r="E178" s="706">
        <v>74681</v>
      </c>
      <c r="F178" s="706">
        <v>76497</v>
      </c>
      <c r="G178" s="706">
        <v>76384</v>
      </c>
      <c r="H178" s="706">
        <v>76807</v>
      </c>
      <c r="I178" s="706">
        <v>72518</v>
      </c>
      <c r="J178" s="706">
        <v>74227</v>
      </c>
      <c r="K178" s="706">
        <v>70873</v>
      </c>
      <c r="L178" s="706">
        <v>73951</v>
      </c>
      <c r="M178" s="56">
        <v>11413</v>
      </c>
      <c r="N178" s="56">
        <v>11898</v>
      </c>
      <c r="O178" s="56">
        <v>11902</v>
      </c>
      <c r="Q178" s="695" t="s">
        <v>4180</v>
      </c>
    </row>
    <row r="179" spans="1:17">
      <c r="A179" s="695" t="s">
        <v>5436</v>
      </c>
      <c r="B179" s="695" t="s">
        <v>2729</v>
      </c>
      <c r="C179" s="55" t="s">
        <v>12608</v>
      </c>
      <c r="D179" s="706">
        <v>0</v>
      </c>
      <c r="E179" s="706">
        <v>0</v>
      </c>
      <c r="F179" s="706">
        <v>0</v>
      </c>
      <c r="G179" s="706">
        <v>0</v>
      </c>
      <c r="H179" s="706">
        <v>0</v>
      </c>
      <c r="I179" s="706">
        <v>0</v>
      </c>
      <c r="J179" s="706">
        <v>0</v>
      </c>
      <c r="K179" s="706">
        <v>0</v>
      </c>
      <c r="L179" s="706">
        <v>0</v>
      </c>
      <c r="M179" s="58">
        <v>10752</v>
      </c>
      <c r="N179" s="58">
        <v>11133</v>
      </c>
      <c r="O179" s="58">
        <v>11125</v>
      </c>
      <c r="Q179" s="695" t="s">
        <v>2752</v>
      </c>
    </row>
    <row r="180" spans="1:17">
      <c r="A180" s="695" t="s">
        <v>5437</v>
      </c>
      <c r="B180" s="695" t="s">
        <v>2730</v>
      </c>
      <c r="C180" s="55" t="s">
        <v>12609</v>
      </c>
      <c r="D180" s="706">
        <v>0</v>
      </c>
      <c r="E180" s="706">
        <v>0</v>
      </c>
      <c r="F180" s="706">
        <v>0</v>
      </c>
      <c r="G180" s="706">
        <v>0</v>
      </c>
      <c r="H180" s="706">
        <v>0</v>
      </c>
      <c r="I180" s="706">
        <v>0</v>
      </c>
      <c r="J180" s="706">
        <v>0</v>
      </c>
      <c r="K180" s="706">
        <v>0</v>
      </c>
      <c r="L180" s="706">
        <v>0</v>
      </c>
      <c r="M180" s="56">
        <v>10433</v>
      </c>
      <c r="N180" s="56">
        <v>10611</v>
      </c>
      <c r="O180" s="56">
        <v>10600</v>
      </c>
      <c r="Q180" s="695" t="s">
        <v>2752</v>
      </c>
    </row>
    <row r="181" spans="1:17">
      <c r="A181" s="695" t="s">
        <v>5439</v>
      </c>
      <c r="B181" s="695" t="s">
        <v>2731</v>
      </c>
      <c r="C181" s="55" t="s">
        <v>12610</v>
      </c>
      <c r="D181" s="706">
        <v>0</v>
      </c>
      <c r="E181" s="706">
        <v>0</v>
      </c>
      <c r="F181" s="706">
        <v>0</v>
      </c>
      <c r="G181" s="706">
        <v>0</v>
      </c>
      <c r="H181" s="706">
        <v>0</v>
      </c>
      <c r="I181" s="706">
        <v>0</v>
      </c>
      <c r="J181" s="706">
        <v>0</v>
      </c>
      <c r="K181" s="706">
        <v>0</v>
      </c>
      <c r="L181" s="706">
        <v>0</v>
      </c>
      <c r="M181" s="56">
        <v>10023</v>
      </c>
      <c r="N181" s="56">
        <v>11962</v>
      </c>
      <c r="O181" s="56">
        <v>11949</v>
      </c>
      <c r="Q181" s="695" t="s">
        <v>4179</v>
      </c>
    </row>
    <row r="182" spans="1:17">
      <c r="A182" s="695" t="s">
        <v>5441</v>
      </c>
      <c r="B182" s="695" t="s">
        <v>2732</v>
      </c>
      <c r="C182" s="55" t="s">
        <v>12611</v>
      </c>
      <c r="D182" s="706">
        <v>0</v>
      </c>
      <c r="E182" s="706">
        <v>0</v>
      </c>
      <c r="F182" s="706">
        <v>0</v>
      </c>
      <c r="G182" s="706">
        <v>0</v>
      </c>
      <c r="H182" s="706">
        <v>0</v>
      </c>
      <c r="I182" s="706">
        <v>0</v>
      </c>
      <c r="J182" s="706">
        <v>0</v>
      </c>
      <c r="K182" s="706">
        <v>0</v>
      </c>
      <c r="L182" s="706">
        <v>0</v>
      </c>
      <c r="M182" s="56">
        <v>11091</v>
      </c>
      <c r="N182" s="56">
        <v>11791</v>
      </c>
      <c r="O182" s="56">
        <v>11795</v>
      </c>
      <c r="Q182" s="695" t="s">
        <v>4180</v>
      </c>
    </row>
    <row r="183" spans="1:17">
      <c r="A183" s="695" t="s">
        <v>5886</v>
      </c>
      <c r="B183" s="695" t="s">
        <v>2733</v>
      </c>
      <c r="C183" s="55" t="s">
        <v>12612</v>
      </c>
      <c r="D183" s="706">
        <v>0</v>
      </c>
      <c r="E183" s="706">
        <v>0</v>
      </c>
      <c r="F183" s="706">
        <v>0</v>
      </c>
      <c r="G183" s="706">
        <v>0</v>
      </c>
      <c r="H183" s="706">
        <v>0</v>
      </c>
      <c r="I183" s="706">
        <v>0</v>
      </c>
      <c r="J183" s="706">
        <v>0</v>
      </c>
      <c r="K183" s="706">
        <v>0</v>
      </c>
      <c r="L183" s="706">
        <v>0</v>
      </c>
      <c r="M183" s="58">
        <v>11021</v>
      </c>
      <c r="N183" s="58">
        <v>11614</v>
      </c>
      <c r="O183" s="58">
        <v>11600</v>
      </c>
      <c r="Q183" s="695" t="s">
        <v>4180</v>
      </c>
    </row>
    <row r="184" spans="1:17">
      <c r="A184" s="695" t="s">
        <v>5888</v>
      </c>
      <c r="B184" s="695" t="s">
        <v>12589</v>
      </c>
      <c r="C184" s="55" t="s">
        <v>12613</v>
      </c>
      <c r="D184" s="706">
        <v>0</v>
      </c>
      <c r="E184" s="706">
        <v>0</v>
      </c>
      <c r="F184" s="706">
        <v>0</v>
      </c>
      <c r="G184" s="706">
        <v>0</v>
      </c>
      <c r="H184" s="706">
        <v>0</v>
      </c>
      <c r="I184" s="706">
        <v>0</v>
      </c>
      <c r="J184" s="706">
        <v>0</v>
      </c>
      <c r="K184" s="706">
        <v>0</v>
      </c>
      <c r="L184" s="706">
        <v>0</v>
      </c>
      <c r="M184" s="58">
        <v>11652</v>
      </c>
      <c r="N184" s="58">
        <v>12144</v>
      </c>
      <c r="O184" s="58">
        <v>12140</v>
      </c>
      <c r="Q184" s="695" t="s">
        <v>4179</v>
      </c>
    </row>
    <row r="185" spans="1:17">
      <c r="A185" s="695" t="s">
        <v>5889</v>
      </c>
      <c r="B185" s="695" t="s">
        <v>814</v>
      </c>
      <c r="C185" s="55" t="s">
        <v>12614</v>
      </c>
      <c r="D185" s="706">
        <v>0</v>
      </c>
      <c r="E185" s="706">
        <v>0</v>
      </c>
      <c r="F185" s="706">
        <v>0</v>
      </c>
      <c r="G185" s="706">
        <v>0</v>
      </c>
      <c r="H185" s="706">
        <v>0</v>
      </c>
      <c r="I185" s="706">
        <v>0</v>
      </c>
      <c r="J185" s="706">
        <v>0</v>
      </c>
      <c r="K185" s="706">
        <v>0</v>
      </c>
      <c r="L185" s="706">
        <v>0</v>
      </c>
      <c r="M185" s="56">
        <v>9588</v>
      </c>
      <c r="N185" s="56">
        <v>10704</v>
      </c>
      <c r="O185" s="56">
        <v>10706</v>
      </c>
      <c r="Q185" s="695" t="s">
        <v>4179</v>
      </c>
    </row>
    <row r="186" spans="1:17" ht="15.75" thickBot="1">
      <c r="A186" s="695"/>
      <c r="B186" s="695"/>
      <c r="C186" s="55" t="s">
        <v>12614</v>
      </c>
      <c r="D186" s="710">
        <v>0</v>
      </c>
      <c r="E186" s="710">
        <v>0</v>
      </c>
      <c r="F186" s="710">
        <v>0</v>
      </c>
      <c r="G186" s="710">
        <v>0</v>
      </c>
      <c r="H186" s="710">
        <v>0</v>
      </c>
      <c r="I186" s="710">
        <v>0</v>
      </c>
      <c r="J186" s="710">
        <v>0</v>
      </c>
      <c r="K186" s="710">
        <v>0</v>
      </c>
      <c r="L186" s="710">
        <v>0</v>
      </c>
      <c r="M186" s="710">
        <v>1748</v>
      </c>
      <c r="N186" s="710">
        <v>2084</v>
      </c>
      <c r="O186" s="710">
        <v>2077</v>
      </c>
      <c r="Q186" s="695" t="s">
        <v>4180</v>
      </c>
    </row>
    <row r="187" spans="1:17" ht="15.75" thickBot="1">
      <c r="A187" s="695"/>
      <c r="B187" s="695"/>
      <c r="C187" s="55" t="s">
        <v>12614</v>
      </c>
      <c r="D187" s="710">
        <f t="shared" ref="D187:M187" si="127">D185+D186</f>
        <v>0</v>
      </c>
      <c r="E187" s="710">
        <f t="shared" si="127"/>
        <v>0</v>
      </c>
      <c r="F187" s="710">
        <f t="shared" si="127"/>
        <v>0</v>
      </c>
      <c r="G187" s="710">
        <f t="shared" si="127"/>
        <v>0</v>
      </c>
      <c r="H187" s="710">
        <f t="shared" si="127"/>
        <v>0</v>
      </c>
      <c r="I187" s="710">
        <f t="shared" si="127"/>
        <v>0</v>
      </c>
      <c r="J187" s="710">
        <f t="shared" si="127"/>
        <v>0</v>
      </c>
      <c r="K187" s="710">
        <f t="shared" si="127"/>
        <v>0</v>
      </c>
      <c r="L187" s="710">
        <f t="shared" si="127"/>
        <v>0</v>
      </c>
      <c r="M187" s="710">
        <f t="shared" si="127"/>
        <v>11336</v>
      </c>
      <c r="N187" s="710">
        <f>N185+N186</f>
        <v>12788</v>
      </c>
      <c r="O187" s="710">
        <f>O185+O186</f>
        <v>12783</v>
      </c>
      <c r="Q187" s="695"/>
    </row>
    <row r="188" spans="1:17">
      <c r="A188" s="695" t="s">
        <v>4431</v>
      </c>
      <c r="B188" s="695" t="s">
        <v>2734</v>
      </c>
      <c r="C188" s="55" t="s">
        <v>12615</v>
      </c>
      <c r="D188" s="706">
        <v>0</v>
      </c>
      <c r="E188" s="706">
        <v>0</v>
      </c>
      <c r="F188" s="706">
        <v>0</v>
      </c>
      <c r="G188" s="706">
        <v>0</v>
      </c>
      <c r="H188" s="706">
        <v>0</v>
      </c>
      <c r="I188" s="706">
        <v>0</v>
      </c>
      <c r="J188" s="706">
        <v>0</v>
      </c>
      <c r="K188" s="706">
        <v>0</v>
      </c>
      <c r="L188" s="706">
        <v>0</v>
      </c>
      <c r="M188" s="56">
        <v>2233</v>
      </c>
      <c r="N188" s="56">
        <v>2355</v>
      </c>
      <c r="O188" s="56">
        <v>2348</v>
      </c>
      <c r="Q188" s="695" t="s">
        <v>2752</v>
      </c>
    </row>
    <row r="189" spans="1:17" ht="15.75" thickBot="1">
      <c r="A189" s="695"/>
      <c r="B189" s="695"/>
      <c r="C189" s="55" t="s">
        <v>12615</v>
      </c>
      <c r="D189" s="710">
        <v>0</v>
      </c>
      <c r="E189" s="710">
        <v>0</v>
      </c>
      <c r="F189" s="710">
        <v>0</v>
      </c>
      <c r="G189" s="710">
        <v>0</v>
      </c>
      <c r="H189" s="710">
        <v>0</v>
      </c>
      <c r="I189" s="710">
        <v>0</v>
      </c>
      <c r="J189" s="710">
        <v>0</v>
      </c>
      <c r="K189" s="710">
        <v>0</v>
      </c>
      <c r="L189" s="710">
        <v>0</v>
      </c>
      <c r="M189" s="710">
        <v>9707</v>
      </c>
      <c r="N189" s="710">
        <v>9939</v>
      </c>
      <c r="O189" s="710">
        <v>9914</v>
      </c>
      <c r="Q189" s="695" t="s">
        <v>4179</v>
      </c>
    </row>
    <row r="190" spans="1:17" ht="15.75" thickBot="1">
      <c r="A190" s="695"/>
      <c r="B190" s="695"/>
      <c r="C190" s="55" t="s">
        <v>12615</v>
      </c>
      <c r="D190" s="710">
        <f t="shared" ref="D190:M190" si="128">D188+D189</f>
        <v>0</v>
      </c>
      <c r="E190" s="710">
        <f t="shared" si="128"/>
        <v>0</v>
      </c>
      <c r="F190" s="710">
        <f t="shared" si="128"/>
        <v>0</v>
      </c>
      <c r="G190" s="710">
        <f t="shared" si="128"/>
        <v>0</v>
      </c>
      <c r="H190" s="710">
        <f t="shared" si="128"/>
        <v>0</v>
      </c>
      <c r="I190" s="710">
        <f t="shared" si="128"/>
        <v>0</v>
      </c>
      <c r="J190" s="710">
        <f t="shared" si="128"/>
        <v>0</v>
      </c>
      <c r="K190" s="710">
        <f t="shared" si="128"/>
        <v>0</v>
      </c>
      <c r="L190" s="710">
        <f t="shared" si="128"/>
        <v>0</v>
      </c>
      <c r="M190" s="710">
        <f t="shared" si="128"/>
        <v>11940</v>
      </c>
      <c r="N190" s="710">
        <f>N188+N189</f>
        <v>12294</v>
      </c>
      <c r="O190" s="710">
        <f>O188+O189</f>
        <v>12262</v>
      </c>
      <c r="Q190" s="695"/>
    </row>
    <row r="191" spans="1:17">
      <c r="A191" s="695" t="s">
        <v>4432</v>
      </c>
      <c r="B191" s="695" t="s">
        <v>6440</v>
      </c>
      <c r="C191" s="55" t="s">
        <v>12616</v>
      </c>
      <c r="D191" s="706">
        <v>0</v>
      </c>
      <c r="E191" s="706">
        <v>0</v>
      </c>
      <c r="F191" s="706">
        <v>0</v>
      </c>
      <c r="G191" s="706">
        <v>0</v>
      </c>
      <c r="H191" s="706">
        <v>0</v>
      </c>
      <c r="I191" s="706">
        <v>0</v>
      </c>
      <c r="J191" s="706">
        <v>0</v>
      </c>
      <c r="K191" s="706">
        <v>0</v>
      </c>
      <c r="L191" s="706">
        <v>0</v>
      </c>
      <c r="M191" s="56">
        <v>10186</v>
      </c>
      <c r="N191" s="56">
        <v>10572</v>
      </c>
      <c r="O191" s="56">
        <v>10550</v>
      </c>
      <c r="Q191" s="695" t="s">
        <v>5743</v>
      </c>
    </row>
    <row r="192" spans="1:17">
      <c r="A192" s="695" t="s">
        <v>4434</v>
      </c>
      <c r="B192" s="695" t="s">
        <v>6441</v>
      </c>
      <c r="C192" s="55" t="s">
        <v>12617</v>
      </c>
      <c r="D192" s="706">
        <v>0</v>
      </c>
      <c r="E192" s="706">
        <v>0</v>
      </c>
      <c r="F192" s="706">
        <v>0</v>
      </c>
      <c r="G192" s="706">
        <v>0</v>
      </c>
      <c r="H192" s="706">
        <v>0</v>
      </c>
      <c r="I192" s="706">
        <v>0</v>
      </c>
      <c r="J192" s="706">
        <v>0</v>
      </c>
      <c r="K192" s="706">
        <v>0</v>
      </c>
      <c r="L192" s="706">
        <v>0</v>
      </c>
      <c r="M192" s="58">
        <v>10217</v>
      </c>
      <c r="N192" s="58">
        <v>11941</v>
      </c>
      <c r="O192" s="58">
        <v>11950</v>
      </c>
      <c r="Q192" s="695" t="s">
        <v>4181</v>
      </c>
    </row>
    <row r="193" spans="1:17">
      <c r="A193" s="695" t="s">
        <v>4533</v>
      </c>
      <c r="B193" s="695" t="s">
        <v>12590</v>
      </c>
      <c r="C193" s="55" t="s">
        <v>12618</v>
      </c>
      <c r="D193" s="706">
        <v>0</v>
      </c>
      <c r="E193" s="706">
        <v>0</v>
      </c>
      <c r="F193" s="706">
        <v>0</v>
      </c>
      <c r="G193" s="706">
        <v>0</v>
      </c>
      <c r="H193" s="706">
        <v>0</v>
      </c>
      <c r="I193" s="706">
        <v>0</v>
      </c>
      <c r="J193" s="706">
        <v>0</v>
      </c>
      <c r="K193" s="706">
        <v>0</v>
      </c>
      <c r="L193" s="706">
        <v>0</v>
      </c>
      <c r="M193" s="58">
        <v>6065</v>
      </c>
      <c r="N193" s="58">
        <v>7021</v>
      </c>
      <c r="O193" s="58">
        <v>7023</v>
      </c>
      <c r="Q193" s="695" t="s">
        <v>4179</v>
      </c>
    </row>
    <row r="194" spans="1:17">
      <c r="A194" s="695" t="s">
        <v>4535</v>
      </c>
      <c r="B194" s="695" t="s">
        <v>6442</v>
      </c>
      <c r="C194" s="55" t="s">
        <v>12619</v>
      </c>
      <c r="D194" s="706">
        <v>0</v>
      </c>
      <c r="E194" s="706">
        <v>0</v>
      </c>
      <c r="F194" s="706">
        <v>0</v>
      </c>
      <c r="G194" s="706">
        <v>0</v>
      </c>
      <c r="H194" s="706">
        <v>0</v>
      </c>
      <c r="I194" s="706">
        <v>0</v>
      </c>
      <c r="J194" s="706">
        <v>0</v>
      </c>
      <c r="K194" s="706">
        <v>0</v>
      </c>
      <c r="L194" s="706">
        <v>0</v>
      </c>
      <c r="M194" s="58">
        <v>10685</v>
      </c>
      <c r="N194" s="58">
        <v>11778</v>
      </c>
      <c r="O194" s="58">
        <v>11789</v>
      </c>
      <c r="Q194" s="695" t="s">
        <v>4180</v>
      </c>
    </row>
    <row r="195" spans="1:17">
      <c r="A195" s="695" t="s">
        <v>4537</v>
      </c>
      <c r="B195" s="695" t="s">
        <v>6443</v>
      </c>
      <c r="C195" s="55" t="s">
        <v>12620</v>
      </c>
      <c r="D195" s="706">
        <v>0</v>
      </c>
      <c r="E195" s="706">
        <v>0</v>
      </c>
      <c r="F195" s="706">
        <v>0</v>
      </c>
      <c r="G195" s="706">
        <v>0</v>
      </c>
      <c r="H195" s="706">
        <v>0</v>
      </c>
      <c r="I195" s="706">
        <v>0</v>
      </c>
      <c r="J195" s="706">
        <v>0</v>
      </c>
      <c r="K195" s="706">
        <v>0</v>
      </c>
      <c r="L195" s="706">
        <v>0</v>
      </c>
      <c r="M195" s="58">
        <v>10792</v>
      </c>
      <c r="N195" s="58">
        <v>11036</v>
      </c>
      <c r="O195" s="58">
        <v>10996</v>
      </c>
      <c r="Q195" s="695" t="s">
        <v>5743</v>
      </c>
    </row>
    <row r="196" spans="1:17">
      <c r="A196" s="695" t="s">
        <v>4539</v>
      </c>
      <c r="B196" s="695" t="s">
        <v>6444</v>
      </c>
      <c r="C196" s="55" t="s">
        <v>12621</v>
      </c>
      <c r="D196" s="706">
        <v>0</v>
      </c>
      <c r="E196" s="706">
        <v>0</v>
      </c>
      <c r="F196" s="706">
        <v>0</v>
      </c>
      <c r="G196" s="706">
        <v>0</v>
      </c>
      <c r="H196" s="706">
        <v>0</v>
      </c>
      <c r="I196" s="706">
        <v>0</v>
      </c>
      <c r="J196" s="706">
        <v>0</v>
      </c>
      <c r="K196" s="706">
        <v>0</v>
      </c>
      <c r="L196" s="706">
        <v>0</v>
      </c>
      <c r="M196" s="58">
        <v>1349</v>
      </c>
      <c r="N196" s="58">
        <v>1452</v>
      </c>
      <c r="O196" s="58">
        <v>1449</v>
      </c>
      <c r="Q196" s="695" t="s">
        <v>4179</v>
      </c>
    </row>
    <row r="197" spans="1:17" ht="15.75" thickBot="1">
      <c r="A197" s="695"/>
      <c r="B197" s="695"/>
      <c r="C197" s="55" t="s">
        <v>12621</v>
      </c>
      <c r="D197" s="710">
        <v>0</v>
      </c>
      <c r="E197" s="710">
        <v>0</v>
      </c>
      <c r="F197" s="710">
        <v>0</v>
      </c>
      <c r="G197" s="710">
        <v>0</v>
      </c>
      <c r="H197" s="710">
        <v>0</v>
      </c>
      <c r="I197" s="710">
        <v>0</v>
      </c>
      <c r="J197" s="710">
        <v>0</v>
      </c>
      <c r="K197" s="710">
        <v>0</v>
      </c>
      <c r="L197" s="710">
        <v>0</v>
      </c>
      <c r="M197" s="710">
        <v>8673</v>
      </c>
      <c r="N197" s="710">
        <v>9415</v>
      </c>
      <c r="O197" s="710">
        <v>9400</v>
      </c>
      <c r="Q197" s="695" t="s">
        <v>4180</v>
      </c>
    </row>
    <row r="198" spans="1:17" ht="15.75" thickBot="1">
      <c r="A198" s="695"/>
      <c r="B198" s="695"/>
      <c r="C198" s="55" t="s">
        <v>12621</v>
      </c>
      <c r="D198" s="710">
        <f t="shared" ref="D198:M198" si="129">D196+D197</f>
        <v>0</v>
      </c>
      <c r="E198" s="710">
        <f t="shared" si="129"/>
        <v>0</v>
      </c>
      <c r="F198" s="710">
        <f t="shared" si="129"/>
        <v>0</v>
      </c>
      <c r="G198" s="710">
        <f t="shared" si="129"/>
        <v>0</v>
      </c>
      <c r="H198" s="710">
        <f t="shared" si="129"/>
        <v>0</v>
      </c>
      <c r="I198" s="710">
        <f t="shared" si="129"/>
        <v>0</v>
      </c>
      <c r="J198" s="710">
        <f t="shared" si="129"/>
        <v>0</v>
      </c>
      <c r="K198" s="710">
        <f t="shared" si="129"/>
        <v>0</v>
      </c>
      <c r="L198" s="710">
        <f t="shared" si="129"/>
        <v>0</v>
      </c>
      <c r="M198" s="710">
        <f t="shared" si="129"/>
        <v>10022</v>
      </c>
      <c r="N198" s="710">
        <f>N196+N197</f>
        <v>10867</v>
      </c>
      <c r="O198" s="710">
        <f>O196+O197</f>
        <v>10849</v>
      </c>
      <c r="Q198" s="695"/>
    </row>
    <row r="199" spans="1:17">
      <c r="A199" s="695" t="s">
        <v>6158</v>
      </c>
      <c r="B199" s="695" t="s">
        <v>6445</v>
      </c>
      <c r="C199" s="55" t="s">
        <v>12622</v>
      </c>
      <c r="D199" s="706">
        <v>0</v>
      </c>
      <c r="E199" s="706">
        <v>0</v>
      </c>
      <c r="F199" s="706">
        <v>0</v>
      </c>
      <c r="G199" s="706">
        <v>0</v>
      </c>
      <c r="H199" s="706">
        <v>0</v>
      </c>
      <c r="I199" s="706">
        <v>0</v>
      </c>
      <c r="J199" s="706">
        <v>0</v>
      </c>
      <c r="K199" s="706">
        <v>0</v>
      </c>
      <c r="L199" s="706">
        <v>0</v>
      </c>
      <c r="M199" s="58">
        <v>9893</v>
      </c>
      <c r="N199" s="58">
        <v>11825</v>
      </c>
      <c r="O199" s="58">
        <v>11812</v>
      </c>
      <c r="Q199" s="695" t="s">
        <v>4181</v>
      </c>
    </row>
    <row r="200" spans="1:17">
      <c r="A200" s="695" t="s">
        <v>6159</v>
      </c>
      <c r="B200" s="695" t="s">
        <v>5766</v>
      </c>
      <c r="C200" s="55" t="s">
        <v>12623</v>
      </c>
      <c r="D200" s="706">
        <v>0</v>
      </c>
      <c r="E200" s="706">
        <v>0</v>
      </c>
      <c r="F200" s="706">
        <v>0</v>
      </c>
      <c r="G200" s="706">
        <v>0</v>
      </c>
      <c r="H200" s="706">
        <v>0</v>
      </c>
      <c r="I200" s="706">
        <v>0</v>
      </c>
      <c r="J200" s="706">
        <v>0</v>
      </c>
      <c r="K200" s="706">
        <v>0</v>
      </c>
      <c r="L200" s="706">
        <v>0</v>
      </c>
      <c r="M200" s="58">
        <v>10040</v>
      </c>
      <c r="N200" s="58">
        <v>10334</v>
      </c>
      <c r="O200" s="58">
        <v>10314</v>
      </c>
      <c r="Q200" s="695" t="s">
        <v>5743</v>
      </c>
    </row>
    <row r="201" spans="1:17">
      <c r="D201" s="707"/>
      <c r="E201" s="707"/>
      <c r="F201" s="707"/>
      <c r="G201" s="707"/>
      <c r="H201" s="707"/>
      <c r="I201" s="707"/>
      <c r="J201" s="707"/>
      <c r="K201" s="707"/>
      <c r="L201" s="707"/>
      <c r="M201" s="707"/>
      <c r="N201" s="707"/>
      <c r="O201" s="707"/>
    </row>
    <row r="202" spans="1:17">
      <c r="A202" s="695" t="s">
        <v>5767</v>
      </c>
      <c r="D202" s="706">
        <f t="shared" ref="D202:L202" si="130">SUM(D158,D161,D169:D170,D179:D180,D188)</f>
        <v>53793</v>
      </c>
      <c r="E202" s="706">
        <f t="shared" si="130"/>
        <v>53589</v>
      </c>
      <c r="F202" s="706">
        <f t="shared" si="130"/>
        <v>55638</v>
      </c>
      <c r="G202" s="706">
        <f t="shared" si="130"/>
        <v>56447</v>
      </c>
      <c r="H202" s="706">
        <f t="shared" si="130"/>
        <v>56768</v>
      </c>
      <c r="I202" s="706">
        <f t="shared" si="130"/>
        <v>55958</v>
      </c>
      <c r="J202" s="706">
        <f t="shared" si="130"/>
        <v>55835</v>
      </c>
      <c r="K202" s="706">
        <f t="shared" si="130"/>
        <v>54241</v>
      </c>
      <c r="L202" s="706">
        <f t="shared" si="130"/>
        <v>54602</v>
      </c>
      <c r="M202" s="706">
        <f>SUM(M158,M161,M169:M170,M179:M180,M188)</f>
        <v>54309</v>
      </c>
      <c r="N202" s="706">
        <f>SUM(N158,N161,N169:N170,N179:N180,N188)</f>
        <v>56538</v>
      </c>
      <c r="O202" s="706">
        <f>SUM(O158,O161,O169:O170,O179:O180,O188)</f>
        <v>56505</v>
      </c>
    </row>
    <row r="203" spans="1:17">
      <c r="A203" s="695" t="s">
        <v>4179</v>
      </c>
      <c r="D203" s="706">
        <f t="shared" ref="D203:L203" si="131">SUM(D151:D152,D159,D168,D171,D175,D181,D184:D185,D189,D193,D196)</f>
        <v>85522</v>
      </c>
      <c r="E203" s="706">
        <f t="shared" si="131"/>
        <v>89519</v>
      </c>
      <c r="F203" s="706">
        <f t="shared" si="131"/>
        <v>91216</v>
      </c>
      <c r="G203" s="706">
        <f t="shared" si="131"/>
        <v>92334</v>
      </c>
      <c r="H203" s="706">
        <f t="shared" si="131"/>
        <v>95373</v>
      </c>
      <c r="I203" s="706">
        <f t="shared" si="131"/>
        <v>89845</v>
      </c>
      <c r="J203" s="706">
        <f t="shared" si="131"/>
        <v>87339</v>
      </c>
      <c r="K203" s="706">
        <f t="shared" si="131"/>
        <v>85370</v>
      </c>
      <c r="L203" s="706">
        <f t="shared" si="131"/>
        <v>88488</v>
      </c>
      <c r="M203" s="706">
        <f>SUM(M151:M152,M159,M168,M171,M175,M181,M184:M185,M189,M193,M196)</f>
        <v>86233</v>
      </c>
      <c r="N203" s="706">
        <f>SUM(N151:N152,N159,N168,N171,N175,N181,N184:N185,N189,N193,N196)</f>
        <v>94937</v>
      </c>
      <c r="O203" s="706">
        <f>SUM(O151:O152,O159,O168,O171,O175,O181,O184:O185,O189,O193,O196)</f>
        <v>94952</v>
      </c>
    </row>
    <row r="204" spans="1:17">
      <c r="A204" s="695" t="s">
        <v>4180</v>
      </c>
      <c r="D204" s="706">
        <f t="shared" ref="D204:L204" si="132">SUM(D155,D162,D165,D176,D178,D182:D183,D186,D194,D197)</f>
        <v>72535</v>
      </c>
      <c r="E204" s="706">
        <f t="shared" si="132"/>
        <v>74681</v>
      </c>
      <c r="F204" s="706">
        <f t="shared" si="132"/>
        <v>76497</v>
      </c>
      <c r="G204" s="706">
        <f t="shared" si="132"/>
        <v>76384</v>
      </c>
      <c r="H204" s="706">
        <f t="shared" si="132"/>
        <v>76807</v>
      </c>
      <c r="I204" s="706">
        <f t="shared" si="132"/>
        <v>72518</v>
      </c>
      <c r="J204" s="706">
        <f t="shared" si="132"/>
        <v>74227</v>
      </c>
      <c r="K204" s="706">
        <f t="shared" si="132"/>
        <v>70873</v>
      </c>
      <c r="L204" s="706">
        <f t="shared" si="132"/>
        <v>73951</v>
      </c>
      <c r="M204" s="706">
        <f>SUM(M155,M162,M165,M176,M178,M182:M183,M186,M194,M197)</f>
        <v>72577</v>
      </c>
      <c r="N204" s="706">
        <f>SUM(N155,N162,N165,N176,N178,N182:N183,N186,N194,N197)</f>
        <v>77248</v>
      </c>
      <c r="O204" s="706">
        <f>SUM(O155,O162,O165,O176,O178,O182:O183,O186,O194,O197)</f>
        <v>77230</v>
      </c>
    </row>
    <row r="205" spans="1:17">
      <c r="A205" s="695" t="s">
        <v>4181</v>
      </c>
      <c r="D205" s="706">
        <f t="shared" ref="D205:L205" si="133">SUM(D156,D163,D166,D173:D174,D192,D199)</f>
        <v>72514</v>
      </c>
      <c r="E205" s="706">
        <f t="shared" si="133"/>
        <v>73656</v>
      </c>
      <c r="F205" s="706">
        <f t="shared" si="133"/>
        <v>74964</v>
      </c>
      <c r="G205" s="706">
        <f t="shared" si="133"/>
        <v>75170</v>
      </c>
      <c r="H205" s="706">
        <f t="shared" si="133"/>
        <v>75560</v>
      </c>
      <c r="I205" s="706">
        <f t="shared" si="133"/>
        <v>74396</v>
      </c>
      <c r="J205" s="706">
        <f t="shared" si="133"/>
        <v>74616</v>
      </c>
      <c r="K205" s="706">
        <f t="shared" si="133"/>
        <v>69707</v>
      </c>
      <c r="L205" s="706">
        <f t="shared" si="133"/>
        <v>71330</v>
      </c>
      <c r="M205" s="706">
        <f>SUM(M156,M163,M166,M173:M174,M192,M199)</f>
        <v>69948</v>
      </c>
      <c r="N205" s="706">
        <f>SUM(N156,N163,N166,N173:N174,N192,N199)</f>
        <v>77021</v>
      </c>
      <c r="O205" s="706">
        <f>SUM(O156,O163,O166,O173:O174,O192,O199)</f>
        <v>76993</v>
      </c>
    </row>
    <row r="206" spans="1:17">
      <c r="A206" s="695" t="s">
        <v>5768</v>
      </c>
      <c r="D206" s="706">
        <f t="shared" ref="D206:L206" si="134">SUM(D153:D154,D191,D195,D200)</f>
        <v>52002</v>
      </c>
      <c r="E206" s="706">
        <f t="shared" si="134"/>
        <v>52444</v>
      </c>
      <c r="F206" s="706">
        <f t="shared" si="134"/>
        <v>53009</v>
      </c>
      <c r="G206" s="706">
        <f t="shared" si="134"/>
        <v>53349</v>
      </c>
      <c r="H206" s="706">
        <f t="shared" si="134"/>
        <v>53849</v>
      </c>
      <c r="I206" s="706">
        <f t="shared" si="134"/>
        <v>53363</v>
      </c>
      <c r="J206" s="706">
        <f t="shared" si="134"/>
        <v>53643</v>
      </c>
      <c r="K206" s="706">
        <f t="shared" si="134"/>
        <v>51880</v>
      </c>
      <c r="L206" s="706">
        <f t="shared" si="134"/>
        <v>52353</v>
      </c>
      <c r="M206" s="706">
        <f>SUM(M153:M154,M191,M195,M200)</f>
        <v>52134</v>
      </c>
      <c r="N206" s="706">
        <f>SUM(N153:N154,N191,N195,N200)</f>
        <v>53619</v>
      </c>
      <c r="O206" s="706">
        <f>SUM(O153:O154,O191,O195,O200)</f>
        <v>53505</v>
      </c>
    </row>
    <row r="207" spans="1:17">
      <c r="A207" s="695"/>
      <c r="D207" s="706"/>
      <c r="E207" s="706"/>
      <c r="F207" s="706"/>
      <c r="G207" s="706"/>
      <c r="H207" s="706"/>
      <c r="I207" s="706"/>
      <c r="J207" s="706"/>
      <c r="K207" s="706"/>
      <c r="L207" s="706"/>
      <c r="M207" s="706"/>
      <c r="N207" s="706"/>
      <c r="O207" s="706"/>
    </row>
    <row r="208" spans="1:17">
      <c r="A208" s="156" t="s">
        <v>5769</v>
      </c>
    </row>
    <row r="211" spans="1:17">
      <c r="E211" s="51" t="s">
        <v>1526</v>
      </c>
      <c r="F211" s="51"/>
      <c r="G211" s="51"/>
      <c r="H211" s="51"/>
      <c r="I211" s="51"/>
      <c r="J211" s="51"/>
      <c r="K211" s="51"/>
      <c r="L211" s="51"/>
      <c r="M211" s="51"/>
      <c r="N211" s="51"/>
      <c r="O211" s="51"/>
      <c r="P211" s="52"/>
      <c r="Q211" s="53" t="s">
        <v>9479</v>
      </c>
    </row>
    <row r="212" spans="1:17">
      <c r="D212" s="40">
        <v>2010</v>
      </c>
      <c r="E212" s="40">
        <v>2011</v>
      </c>
      <c r="F212" s="40">
        <v>2012</v>
      </c>
      <c r="G212" s="40">
        <v>2013</v>
      </c>
      <c r="H212" s="40">
        <v>2014</v>
      </c>
      <c r="I212" s="40">
        <v>2015</v>
      </c>
      <c r="J212" s="40">
        <v>2016</v>
      </c>
      <c r="K212" s="40">
        <v>2017</v>
      </c>
      <c r="L212" s="40">
        <v>2018</v>
      </c>
      <c r="M212" s="40">
        <v>2019</v>
      </c>
      <c r="N212" s="40">
        <v>2020</v>
      </c>
      <c r="O212" s="975" t="s">
        <v>14823</v>
      </c>
      <c r="Q212" s="54" t="s">
        <v>1527</v>
      </c>
    </row>
    <row r="213" spans="1:17">
      <c r="A213" s="695" t="s">
        <v>5770</v>
      </c>
      <c r="D213" s="706">
        <f t="shared" ref="D213:I213" si="135">SUM(D214:D233)</f>
        <v>160184</v>
      </c>
      <c r="E213" s="706">
        <f t="shared" si="135"/>
        <v>160369</v>
      </c>
      <c r="F213" s="706">
        <f t="shared" si="135"/>
        <v>158724</v>
      </c>
      <c r="G213" s="706">
        <f t="shared" si="135"/>
        <v>160486</v>
      </c>
      <c r="H213" s="706">
        <f t="shared" si="135"/>
        <v>160329</v>
      </c>
      <c r="I213" s="706">
        <f t="shared" si="135"/>
        <v>155990</v>
      </c>
      <c r="J213" s="706">
        <f t="shared" ref="J213:O213" si="136">SUM(J214:J233)</f>
        <v>153751</v>
      </c>
      <c r="K213" s="706">
        <f t="shared" si="136"/>
        <v>156597</v>
      </c>
      <c r="L213" s="706">
        <f t="shared" si="136"/>
        <v>157063</v>
      </c>
      <c r="M213" s="706">
        <f t="shared" si="136"/>
        <v>156750</v>
      </c>
      <c r="N213" s="706">
        <f t="shared" si="136"/>
        <v>162027</v>
      </c>
      <c r="O213" s="706">
        <f t="shared" si="136"/>
        <v>162830</v>
      </c>
    </row>
    <row r="214" spans="1:17">
      <c r="A214" s="695" t="s">
        <v>5387</v>
      </c>
      <c r="B214" s="695" t="s">
        <v>5771</v>
      </c>
      <c r="C214" s="55" t="s">
        <v>7026</v>
      </c>
      <c r="D214" s="706">
        <v>7475</v>
      </c>
      <c r="E214" s="706">
        <v>7434</v>
      </c>
      <c r="F214" s="706">
        <v>7168</v>
      </c>
      <c r="G214" s="706">
        <v>7351</v>
      </c>
      <c r="H214" s="63">
        <v>7116</v>
      </c>
      <c r="I214" s="63">
        <v>6237</v>
      </c>
      <c r="J214" s="56">
        <v>6212</v>
      </c>
      <c r="K214" s="56">
        <v>6504</v>
      </c>
      <c r="L214" s="56">
        <v>6540</v>
      </c>
      <c r="M214" s="56">
        <v>6670</v>
      </c>
      <c r="N214" s="56">
        <v>6906</v>
      </c>
      <c r="O214" s="56">
        <v>6952</v>
      </c>
      <c r="Q214" s="695" t="s">
        <v>5734</v>
      </c>
    </row>
    <row r="215" spans="1:17">
      <c r="A215" s="695" t="s">
        <v>5389</v>
      </c>
      <c r="B215" s="695" t="s">
        <v>5772</v>
      </c>
      <c r="C215" s="55" t="s">
        <v>7027</v>
      </c>
      <c r="D215" s="706">
        <v>7841</v>
      </c>
      <c r="E215" s="706">
        <v>7921</v>
      </c>
      <c r="F215" s="706">
        <v>7841</v>
      </c>
      <c r="G215" s="706">
        <v>7868</v>
      </c>
      <c r="H215" s="63">
        <v>7867</v>
      </c>
      <c r="I215" s="63">
        <v>7874</v>
      </c>
      <c r="J215" s="56">
        <v>7782</v>
      </c>
      <c r="K215" s="56">
        <v>7838</v>
      </c>
      <c r="L215" s="56">
        <v>7830</v>
      </c>
      <c r="M215" s="56">
        <v>7750</v>
      </c>
      <c r="N215" s="56">
        <v>8089</v>
      </c>
      <c r="O215" s="56">
        <v>8133</v>
      </c>
      <c r="Q215" s="695" t="s">
        <v>5735</v>
      </c>
    </row>
    <row r="216" spans="1:17">
      <c r="A216" s="695" t="s">
        <v>5391</v>
      </c>
      <c r="B216" s="695" t="s">
        <v>5773</v>
      </c>
      <c r="C216" s="55" t="s">
        <v>7028</v>
      </c>
      <c r="D216" s="706">
        <v>8216</v>
      </c>
      <c r="E216" s="706">
        <v>8213</v>
      </c>
      <c r="F216" s="706">
        <v>8230</v>
      </c>
      <c r="G216" s="706">
        <v>8357</v>
      </c>
      <c r="H216" s="63">
        <v>8308</v>
      </c>
      <c r="I216" s="63">
        <v>8308</v>
      </c>
      <c r="J216" s="56">
        <v>8114</v>
      </c>
      <c r="K216" s="56">
        <v>8290</v>
      </c>
      <c r="L216" s="56">
        <v>8311</v>
      </c>
      <c r="M216" s="56">
        <v>8243</v>
      </c>
      <c r="N216" s="56">
        <v>8453</v>
      </c>
      <c r="O216" s="56">
        <v>8495</v>
      </c>
      <c r="Q216" s="695" t="s">
        <v>5735</v>
      </c>
    </row>
    <row r="217" spans="1:17">
      <c r="A217" s="695" t="s">
        <v>5393</v>
      </c>
      <c r="B217" s="695" t="s">
        <v>5774</v>
      </c>
      <c r="C217" s="55" t="s">
        <v>7029</v>
      </c>
      <c r="D217" s="706">
        <v>8060</v>
      </c>
      <c r="E217" s="706">
        <v>8073</v>
      </c>
      <c r="F217" s="706">
        <v>8063</v>
      </c>
      <c r="G217" s="706">
        <v>8093</v>
      </c>
      <c r="H217" s="63">
        <v>8046</v>
      </c>
      <c r="I217" s="63">
        <v>7661</v>
      </c>
      <c r="J217" s="56">
        <v>7509</v>
      </c>
      <c r="K217" s="56">
        <v>7626</v>
      </c>
      <c r="L217" s="56">
        <v>7596</v>
      </c>
      <c r="M217" s="56">
        <v>7616</v>
      </c>
      <c r="N217" s="56">
        <v>7980</v>
      </c>
      <c r="O217" s="56">
        <v>8036</v>
      </c>
      <c r="Q217" s="695" t="s">
        <v>5735</v>
      </c>
    </row>
    <row r="218" spans="1:17">
      <c r="A218" s="695" t="s">
        <v>5394</v>
      </c>
      <c r="B218" s="695" t="s">
        <v>5775</v>
      </c>
      <c r="C218" s="55" t="s">
        <v>7030</v>
      </c>
      <c r="D218" s="706">
        <v>8335</v>
      </c>
      <c r="E218" s="706">
        <v>8514</v>
      </c>
      <c r="F218" s="706">
        <v>8489</v>
      </c>
      <c r="G218" s="706">
        <v>8500</v>
      </c>
      <c r="H218" s="63">
        <v>8426</v>
      </c>
      <c r="I218" s="63">
        <v>8107</v>
      </c>
      <c r="J218" s="56">
        <v>7933</v>
      </c>
      <c r="K218" s="56">
        <v>8211</v>
      </c>
      <c r="L218" s="56">
        <v>8100</v>
      </c>
      <c r="M218" s="56">
        <v>8025</v>
      </c>
      <c r="N218" s="56">
        <v>8519</v>
      </c>
      <c r="O218" s="56">
        <v>8605</v>
      </c>
      <c r="Q218" s="695" t="s">
        <v>5735</v>
      </c>
    </row>
    <row r="219" spans="1:17">
      <c r="A219" s="695" t="s">
        <v>5416</v>
      </c>
      <c r="B219" s="695" t="s">
        <v>5750</v>
      </c>
      <c r="C219" s="55" t="s">
        <v>7031</v>
      </c>
      <c r="D219" s="706">
        <v>8423</v>
      </c>
      <c r="E219" s="706">
        <v>8397</v>
      </c>
      <c r="F219" s="706">
        <v>8329</v>
      </c>
      <c r="G219" s="706">
        <v>8394</v>
      </c>
      <c r="H219" s="63">
        <v>8382</v>
      </c>
      <c r="I219" s="63">
        <v>8200</v>
      </c>
      <c r="J219" s="56">
        <v>8064</v>
      </c>
      <c r="K219" s="56">
        <v>8127</v>
      </c>
      <c r="L219" s="56">
        <v>8090</v>
      </c>
      <c r="M219" s="56">
        <v>8031</v>
      </c>
      <c r="N219" s="56">
        <v>8203</v>
      </c>
      <c r="O219" s="56">
        <v>8227</v>
      </c>
      <c r="Q219" s="695" t="s">
        <v>5734</v>
      </c>
    </row>
    <row r="220" spans="1:17">
      <c r="A220" s="695" t="s">
        <v>5418</v>
      </c>
      <c r="B220" s="695" t="s">
        <v>5776</v>
      </c>
      <c r="C220" s="55" t="s">
        <v>7032</v>
      </c>
      <c r="D220" s="706">
        <v>7940</v>
      </c>
      <c r="E220" s="706">
        <v>7941</v>
      </c>
      <c r="F220" s="706">
        <v>7896</v>
      </c>
      <c r="G220" s="706">
        <v>7921</v>
      </c>
      <c r="H220" s="63">
        <v>7942</v>
      </c>
      <c r="I220" s="63">
        <v>7800</v>
      </c>
      <c r="J220" s="56">
        <v>7687</v>
      </c>
      <c r="K220" s="56">
        <v>7729</v>
      </c>
      <c r="L220" s="56">
        <v>7760</v>
      </c>
      <c r="M220" s="56">
        <v>7723</v>
      </c>
      <c r="N220" s="56">
        <v>7850</v>
      </c>
      <c r="O220" s="56">
        <v>7875</v>
      </c>
      <c r="Q220" s="695" t="s">
        <v>2749</v>
      </c>
    </row>
    <row r="221" spans="1:17">
      <c r="A221" s="695" t="s">
        <v>5420</v>
      </c>
      <c r="B221" s="695" t="s">
        <v>4226</v>
      </c>
      <c r="C221" s="55" t="s">
        <v>7033</v>
      </c>
      <c r="D221" s="706">
        <v>7871</v>
      </c>
      <c r="E221" s="706">
        <v>7777</v>
      </c>
      <c r="F221" s="706">
        <v>7649</v>
      </c>
      <c r="G221" s="706">
        <v>7761</v>
      </c>
      <c r="H221" s="63">
        <v>7782</v>
      </c>
      <c r="I221" s="63">
        <v>7513</v>
      </c>
      <c r="J221" s="56">
        <v>7386</v>
      </c>
      <c r="K221" s="56">
        <v>7505</v>
      </c>
      <c r="L221" s="56">
        <v>7461</v>
      </c>
      <c r="M221" s="56">
        <v>7447</v>
      </c>
      <c r="N221" s="56">
        <v>7731</v>
      </c>
      <c r="O221" s="56">
        <v>7775</v>
      </c>
      <c r="Q221" s="695" t="s">
        <v>2749</v>
      </c>
    </row>
    <row r="222" spans="1:17">
      <c r="A222" s="695" t="s">
        <v>5422</v>
      </c>
      <c r="B222" s="695" t="s">
        <v>4227</v>
      </c>
      <c r="C222" s="55" t="s">
        <v>7034</v>
      </c>
      <c r="D222" s="706">
        <v>7487</v>
      </c>
      <c r="E222" s="706">
        <v>7503</v>
      </c>
      <c r="F222" s="706">
        <v>7524</v>
      </c>
      <c r="G222" s="706">
        <v>7596</v>
      </c>
      <c r="H222" s="63">
        <v>7589</v>
      </c>
      <c r="I222" s="63">
        <v>7211</v>
      </c>
      <c r="J222" s="58">
        <v>7171</v>
      </c>
      <c r="K222" s="58">
        <v>7407</v>
      </c>
      <c r="L222" s="58">
        <v>7360</v>
      </c>
      <c r="M222" s="58">
        <v>7502</v>
      </c>
      <c r="N222" s="58">
        <v>7724</v>
      </c>
      <c r="O222" s="58">
        <v>7760</v>
      </c>
      <c r="Q222" s="695" t="s">
        <v>5735</v>
      </c>
    </row>
    <row r="223" spans="1:17">
      <c r="A223" s="695" t="s">
        <v>5424</v>
      </c>
      <c r="B223" s="695" t="s">
        <v>4228</v>
      </c>
      <c r="C223" s="55" t="s">
        <v>7035</v>
      </c>
      <c r="D223" s="706">
        <v>8054</v>
      </c>
      <c r="E223" s="706">
        <v>8110</v>
      </c>
      <c r="F223" s="706">
        <v>7984</v>
      </c>
      <c r="G223" s="706">
        <v>8057</v>
      </c>
      <c r="H223" s="63">
        <v>8236</v>
      </c>
      <c r="I223" s="63">
        <v>7830</v>
      </c>
      <c r="J223" s="58">
        <v>7845</v>
      </c>
      <c r="K223" s="58">
        <v>8014</v>
      </c>
      <c r="L223" s="58">
        <v>8106</v>
      </c>
      <c r="M223" s="58">
        <v>8247</v>
      </c>
      <c r="N223" s="58">
        <v>8651</v>
      </c>
      <c r="O223" s="58">
        <v>8694</v>
      </c>
      <c r="Q223" s="695" t="s">
        <v>5735</v>
      </c>
    </row>
    <row r="224" spans="1:17">
      <c r="A224" s="695" t="s">
        <v>5426</v>
      </c>
      <c r="B224" s="695" t="s">
        <v>4229</v>
      </c>
      <c r="C224" s="55" t="s">
        <v>7036</v>
      </c>
      <c r="D224" s="706">
        <v>8094</v>
      </c>
      <c r="E224" s="706">
        <v>8135</v>
      </c>
      <c r="F224" s="706">
        <v>8015</v>
      </c>
      <c r="G224" s="706">
        <v>8043</v>
      </c>
      <c r="H224" s="63">
        <v>8021</v>
      </c>
      <c r="I224" s="63">
        <v>7824</v>
      </c>
      <c r="J224" s="58">
        <v>7736</v>
      </c>
      <c r="K224" s="58">
        <v>7686</v>
      </c>
      <c r="L224" s="58">
        <v>7650</v>
      </c>
      <c r="M224" s="58">
        <v>7648</v>
      </c>
      <c r="N224" s="58">
        <v>7749</v>
      </c>
      <c r="O224" s="58">
        <v>7780</v>
      </c>
      <c r="Q224" s="695" t="s">
        <v>5735</v>
      </c>
    </row>
    <row r="225" spans="1:17">
      <c r="A225" s="695" t="s">
        <v>5428</v>
      </c>
      <c r="B225" s="695" t="s">
        <v>4230</v>
      </c>
      <c r="C225" s="55" t="s">
        <v>7037</v>
      </c>
      <c r="D225" s="706">
        <v>8384</v>
      </c>
      <c r="E225" s="706">
        <v>8406</v>
      </c>
      <c r="F225" s="706">
        <v>8271</v>
      </c>
      <c r="G225" s="706">
        <v>8419</v>
      </c>
      <c r="H225" s="63">
        <v>8443</v>
      </c>
      <c r="I225" s="63">
        <v>8290</v>
      </c>
      <c r="J225" s="58">
        <v>8105</v>
      </c>
      <c r="K225" s="58">
        <v>8285</v>
      </c>
      <c r="L225" s="58">
        <v>8239</v>
      </c>
      <c r="M225" s="58">
        <v>8238</v>
      </c>
      <c r="N225" s="58">
        <v>8253</v>
      </c>
      <c r="O225" s="58">
        <v>8307</v>
      </c>
      <c r="Q225" s="695" t="s">
        <v>5735</v>
      </c>
    </row>
    <row r="226" spans="1:17">
      <c r="A226" s="695" t="s">
        <v>5429</v>
      </c>
      <c r="B226" s="695" t="s">
        <v>4231</v>
      </c>
      <c r="C226" s="55" t="s">
        <v>7038</v>
      </c>
      <c r="D226" s="706">
        <v>7646</v>
      </c>
      <c r="E226" s="706">
        <v>7638</v>
      </c>
      <c r="F226" s="706">
        <v>7599</v>
      </c>
      <c r="G226" s="706">
        <v>7652</v>
      </c>
      <c r="H226" s="63">
        <v>7713</v>
      </c>
      <c r="I226" s="63">
        <v>7740</v>
      </c>
      <c r="J226" s="56">
        <v>7651</v>
      </c>
      <c r="K226" s="56">
        <v>7741</v>
      </c>
      <c r="L226" s="56">
        <v>7870</v>
      </c>
      <c r="M226" s="56">
        <v>7783</v>
      </c>
      <c r="N226" s="56">
        <v>7944</v>
      </c>
      <c r="O226" s="56">
        <v>7943</v>
      </c>
      <c r="Q226" s="695" t="s">
        <v>5734</v>
      </c>
    </row>
    <row r="227" spans="1:17">
      <c r="A227" s="695" t="s">
        <v>5431</v>
      </c>
      <c r="B227" s="695" t="s">
        <v>4232</v>
      </c>
      <c r="C227" s="55" t="s">
        <v>7039</v>
      </c>
      <c r="D227" s="706">
        <v>7860</v>
      </c>
      <c r="E227" s="706">
        <v>7900</v>
      </c>
      <c r="F227" s="706">
        <v>7933</v>
      </c>
      <c r="G227" s="706">
        <v>7962</v>
      </c>
      <c r="H227" s="63">
        <v>8034</v>
      </c>
      <c r="I227" s="63">
        <v>8110</v>
      </c>
      <c r="J227" s="56">
        <v>8030</v>
      </c>
      <c r="K227" s="56">
        <v>8166</v>
      </c>
      <c r="L227" s="56">
        <v>8242</v>
      </c>
      <c r="M227" s="56">
        <v>8137</v>
      </c>
      <c r="N227" s="56">
        <v>8447</v>
      </c>
      <c r="O227" s="56">
        <v>8453</v>
      </c>
      <c r="Q227" s="695" t="s">
        <v>5734</v>
      </c>
    </row>
    <row r="228" spans="1:17">
      <c r="A228" s="695" t="s">
        <v>5433</v>
      </c>
      <c r="B228" s="695" t="s">
        <v>4233</v>
      </c>
      <c r="C228" s="55" t="s">
        <v>7040</v>
      </c>
      <c r="D228" s="706">
        <v>8429</v>
      </c>
      <c r="E228" s="706">
        <v>8385</v>
      </c>
      <c r="F228" s="706">
        <v>8366</v>
      </c>
      <c r="G228" s="706">
        <v>8453</v>
      </c>
      <c r="H228" s="63">
        <v>8450</v>
      </c>
      <c r="I228" s="63">
        <v>8370</v>
      </c>
      <c r="J228" s="56">
        <v>8246</v>
      </c>
      <c r="K228" s="56">
        <v>8332</v>
      </c>
      <c r="L228" s="56">
        <v>8372</v>
      </c>
      <c r="M228" s="56">
        <v>8271</v>
      </c>
      <c r="N228" s="56">
        <v>8540</v>
      </c>
      <c r="O228" s="56">
        <v>8554</v>
      </c>
      <c r="Q228" s="695" t="s">
        <v>5734</v>
      </c>
    </row>
    <row r="229" spans="1:17">
      <c r="A229" s="695" t="s">
        <v>5435</v>
      </c>
      <c r="B229" s="695" t="s">
        <v>4234</v>
      </c>
      <c r="C229" s="55" t="s">
        <v>7041</v>
      </c>
      <c r="D229" s="706">
        <v>7777</v>
      </c>
      <c r="E229" s="706">
        <v>7775</v>
      </c>
      <c r="F229" s="706">
        <v>7597</v>
      </c>
      <c r="G229" s="706">
        <v>7764</v>
      </c>
      <c r="H229" s="63">
        <v>7730</v>
      </c>
      <c r="I229" s="63">
        <v>7633</v>
      </c>
      <c r="J229" s="56">
        <v>7556</v>
      </c>
      <c r="K229" s="56">
        <v>7654</v>
      </c>
      <c r="L229" s="56">
        <v>7674</v>
      </c>
      <c r="M229" s="56">
        <v>7618</v>
      </c>
      <c r="N229" s="56">
        <v>7913</v>
      </c>
      <c r="O229" s="56">
        <v>7928</v>
      </c>
      <c r="Q229" s="695" t="s">
        <v>5734</v>
      </c>
    </row>
    <row r="230" spans="1:17">
      <c r="A230" s="695" t="s">
        <v>5436</v>
      </c>
      <c r="B230" s="695" t="s">
        <v>6912</v>
      </c>
      <c r="C230" s="55" t="s">
        <v>7042</v>
      </c>
      <c r="D230" s="713">
        <v>8505</v>
      </c>
      <c r="E230" s="713">
        <v>8544</v>
      </c>
      <c r="F230" s="713">
        <v>8372</v>
      </c>
      <c r="G230" s="713">
        <v>8527</v>
      </c>
      <c r="H230" s="63">
        <v>8706</v>
      </c>
      <c r="I230" s="63">
        <v>8193</v>
      </c>
      <c r="J230" s="56">
        <v>8151</v>
      </c>
      <c r="K230" s="56">
        <v>8464</v>
      </c>
      <c r="L230" s="56">
        <v>8478</v>
      </c>
      <c r="M230" s="56">
        <v>8546</v>
      </c>
      <c r="N230" s="56">
        <v>8913</v>
      </c>
      <c r="O230" s="56">
        <v>8986</v>
      </c>
      <c r="Q230" s="695" t="s">
        <v>5734</v>
      </c>
    </row>
    <row r="231" spans="1:17">
      <c r="A231" s="695" t="s">
        <v>5437</v>
      </c>
      <c r="B231" s="695" t="s">
        <v>4235</v>
      </c>
      <c r="C231" s="55" t="s">
        <v>7043</v>
      </c>
      <c r="D231" s="706">
        <v>7876</v>
      </c>
      <c r="E231" s="706">
        <v>7962</v>
      </c>
      <c r="F231" s="706">
        <v>7794</v>
      </c>
      <c r="G231" s="706">
        <v>7786</v>
      </c>
      <c r="H231" s="63">
        <v>7727</v>
      </c>
      <c r="I231" s="63">
        <v>7623</v>
      </c>
      <c r="J231" s="56">
        <v>7388</v>
      </c>
      <c r="K231" s="56">
        <v>7459</v>
      </c>
      <c r="L231" s="56">
        <v>7577</v>
      </c>
      <c r="M231" s="56">
        <v>7405</v>
      </c>
      <c r="N231" s="56">
        <v>7567</v>
      </c>
      <c r="O231" s="56">
        <v>7604</v>
      </c>
      <c r="Q231" s="695" t="s">
        <v>5734</v>
      </c>
    </row>
    <row r="232" spans="1:17">
      <c r="A232" s="695" t="s">
        <v>5439</v>
      </c>
      <c r="B232" s="695" t="s">
        <v>4236</v>
      </c>
      <c r="C232" s="55" t="s">
        <v>7044</v>
      </c>
      <c r="D232" s="706">
        <v>8316</v>
      </c>
      <c r="E232" s="706">
        <v>8214</v>
      </c>
      <c r="F232" s="706">
        <v>8053</v>
      </c>
      <c r="G232" s="706">
        <v>8371</v>
      </c>
      <c r="H232" s="63">
        <v>8310</v>
      </c>
      <c r="I232" s="63">
        <v>8131</v>
      </c>
      <c r="J232" s="56">
        <v>7924</v>
      </c>
      <c r="K232" s="56">
        <v>7999</v>
      </c>
      <c r="L232" s="56">
        <v>8054</v>
      </c>
      <c r="M232" s="56">
        <v>8047</v>
      </c>
      <c r="N232" s="56">
        <v>8298</v>
      </c>
      <c r="O232" s="56">
        <v>8350</v>
      </c>
      <c r="Q232" s="695" t="s">
        <v>5734</v>
      </c>
    </row>
    <row r="233" spans="1:17">
      <c r="A233" s="695" t="s">
        <v>5441</v>
      </c>
      <c r="B233" s="695" t="s">
        <v>4237</v>
      </c>
      <c r="C233" s="55" t="s">
        <v>7045</v>
      </c>
      <c r="D233" s="706">
        <v>7595</v>
      </c>
      <c r="E233" s="706">
        <v>7527</v>
      </c>
      <c r="F233" s="706">
        <v>7551</v>
      </c>
      <c r="G233" s="706">
        <v>7611</v>
      </c>
      <c r="H233" s="63">
        <v>7501</v>
      </c>
      <c r="I233" s="63">
        <v>7335</v>
      </c>
      <c r="J233" s="58">
        <v>7261</v>
      </c>
      <c r="K233" s="58">
        <v>7560</v>
      </c>
      <c r="L233" s="58">
        <v>7753</v>
      </c>
      <c r="M233" s="58">
        <v>7803</v>
      </c>
      <c r="N233" s="58">
        <v>8297</v>
      </c>
      <c r="O233" s="58">
        <v>8373</v>
      </c>
      <c r="Q233" s="695" t="s">
        <v>5735</v>
      </c>
    </row>
    <row r="234" spans="1:17">
      <c r="D234" s="707"/>
      <c r="E234" s="707"/>
      <c r="F234" s="707"/>
      <c r="G234" s="707"/>
      <c r="H234" s="707"/>
      <c r="I234" s="707"/>
      <c r="J234" s="707"/>
      <c r="K234" s="707"/>
      <c r="L234" s="707"/>
      <c r="M234" s="707"/>
      <c r="N234" s="707"/>
      <c r="O234" s="707"/>
    </row>
    <row r="235" spans="1:17">
      <c r="A235" s="695" t="s">
        <v>4238</v>
      </c>
      <c r="D235" s="706">
        <f t="shared" ref="D235:I235" si="137">D220+D221</f>
        <v>15811</v>
      </c>
      <c r="E235" s="706">
        <f t="shared" si="137"/>
        <v>15718</v>
      </c>
      <c r="F235" s="706">
        <f t="shared" si="137"/>
        <v>15545</v>
      </c>
      <c r="G235" s="706">
        <f t="shared" si="137"/>
        <v>15682</v>
      </c>
      <c r="H235" s="706">
        <f t="shared" si="137"/>
        <v>15724</v>
      </c>
      <c r="I235" s="706">
        <f t="shared" si="137"/>
        <v>15313</v>
      </c>
      <c r="J235" s="706">
        <f t="shared" ref="J235:O235" si="138">J220+J221</f>
        <v>15073</v>
      </c>
      <c r="K235" s="706">
        <f t="shared" si="138"/>
        <v>15234</v>
      </c>
      <c r="L235" s="706">
        <f t="shared" si="138"/>
        <v>15221</v>
      </c>
      <c r="M235" s="706">
        <f t="shared" si="138"/>
        <v>15170</v>
      </c>
      <c r="N235" s="706">
        <f t="shared" si="138"/>
        <v>15581</v>
      </c>
      <c r="O235" s="706">
        <f t="shared" si="138"/>
        <v>15650</v>
      </c>
    </row>
    <row r="236" spans="1:17">
      <c r="A236" s="695" t="s">
        <v>4239</v>
      </c>
      <c r="D236" s="706">
        <f t="shared" ref="D236:I236" si="139">D214+D219+SUM(D226:D232)</f>
        <v>72307</v>
      </c>
      <c r="E236" s="706">
        <f t="shared" si="139"/>
        <v>72249</v>
      </c>
      <c r="F236" s="706">
        <f t="shared" si="139"/>
        <v>71211</v>
      </c>
      <c r="G236" s="706">
        <f t="shared" si="139"/>
        <v>72260</v>
      </c>
      <c r="H236" s="706">
        <f t="shared" si="139"/>
        <v>72168</v>
      </c>
      <c r="I236" s="706">
        <f t="shared" si="139"/>
        <v>70237</v>
      </c>
      <c r="J236" s="706">
        <f t="shared" ref="J236:O236" si="140">J214+J219+SUM(J226:J232)</f>
        <v>69222</v>
      </c>
      <c r="K236" s="706">
        <f t="shared" si="140"/>
        <v>70446</v>
      </c>
      <c r="L236" s="706">
        <f t="shared" si="140"/>
        <v>70897</v>
      </c>
      <c r="M236" s="706">
        <f t="shared" si="140"/>
        <v>70508</v>
      </c>
      <c r="N236" s="706">
        <f t="shared" si="140"/>
        <v>72731</v>
      </c>
      <c r="O236" s="706">
        <f t="shared" si="140"/>
        <v>72997</v>
      </c>
    </row>
    <row r="237" spans="1:17">
      <c r="A237" s="695" t="s">
        <v>5735</v>
      </c>
      <c r="D237" s="706">
        <f t="shared" ref="D237:I237" si="141">SUM(D215:D218)+SUM(D222:D225)+D233</f>
        <v>72066</v>
      </c>
      <c r="E237" s="706">
        <f t="shared" si="141"/>
        <v>72402</v>
      </c>
      <c r="F237" s="706">
        <f t="shared" si="141"/>
        <v>71968</v>
      </c>
      <c r="G237" s="706">
        <f t="shared" si="141"/>
        <v>72544</v>
      </c>
      <c r="H237" s="706">
        <f t="shared" si="141"/>
        <v>72437</v>
      </c>
      <c r="I237" s="706">
        <f t="shared" si="141"/>
        <v>70440</v>
      </c>
      <c r="J237" s="706">
        <f t="shared" ref="J237:O237" si="142">SUM(J215:J218)+SUM(J222:J225)+J233</f>
        <v>69456</v>
      </c>
      <c r="K237" s="706">
        <f t="shared" si="142"/>
        <v>70917</v>
      </c>
      <c r="L237" s="706">
        <f t="shared" si="142"/>
        <v>70945</v>
      </c>
      <c r="M237" s="706">
        <f t="shared" si="142"/>
        <v>71072</v>
      </c>
      <c r="N237" s="706">
        <f t="shared" si="142"/>
        <v>73715</v>
      </c>
      <c r="O237" s="706">
        <f t="shared" si="142"/>
        <v>74183</v>
      </c>
    </row>
    <row r="238" spans="1:17">
      <c r="A238" s="695"/>
      <c r="D238" s="706"/>
      <c r="E238" s="706"/>
      <c r="F238" s="706"/>
      <c r="G238" s="706"/>
      <c r="H238" s="706"/>
      <c r="I238" s="706"/>
      <c r="J238" s="706"/>
      <c r="K238" s="706"/>
      <c r="L238" s="706"/>
      <c r="M238" s="706"/>
      <c r="N238" s="706"/>
      <c r="O238" s="706"/>
    </row>
    <row r="239" spans="1:17">
      <c r="A239" s="156" t="s">
        <v>6417</v>
      </c>
    </row>
    <row r="240" spans="1:17">
      <c r="A240" s="695"/>
      <c r="B240" s="695"/>
      <c r="D240" s="715"/>
      <c r="E240" s="715"/>
      <c r="F240" s="715"/>
      <c r="G240" s="715"/>
      <c r="H240" s="715"/>
      <c r="I240" s="715"/>
      <c r="J240" s="715"/>
      <c r="K240" s="715"/>
      <c r="L240" s="715"/>
      <c r="M240" s="715"/>
      <c r="N240" s="715"/>
      <c r="O240" s="715"/>
    </row>
    <row r="241" spans="1:17">
      <c r="A241" s="695"/>
      <c r="B241" s="695"/>
      <c r="D241" s="715"/>
      <c r="E241" s="715"/>
      <c r="F241" s="715"/>
      <c r="G241" s="715"/>
      <c r="H241" s="715"/>
      <c r="I241" s="715"/>
      <c r="J241" s="715"/>
      <c r="K241" s="715"/>
      <c r="L241" s="715"/>
      <c r="M241" s="715"/>
      <c r="N241" s="715"/>
      <c r="O241" s="715"/>
    </row>
    <row r="242" spans="1:17">
      <c r="E242" s="51" t="s">
        <v>1526</v>
      </c>
      <c r="F242" s="51"/>
      <c r="G242" s="51"/>
      <c r="H242" s="51"/>
      <c r="I242" s="51"/>
      <c r="J242" s="51"/>
      <c r="K242" s="51"/>
      <c r="L242" s="51"/>
      <c r="M242" s="51"/>
      <c r="N242" s="51"/>
      <c r="O242" s="51"/>
      <c r="P242" s="52"/>
      <c r="Q242" s="53" t="s">
        <v>9479</v>
      </c>
    </row>
    <row r="243" spans="1:17">
      <c r="D243" s="40">
        <v>2010</v>
      </c>
      <c r="E243" s="40">
        <v>2011</v>
      </c>
      <c r="F243" s="40">
        <v>2012</v>
      </c>
      <c r="G243" s="40">
        <v>2013</v>
      </c>
      <c r="H243" s="40">
        <v>2014</v>
      </c>
      <c r="I243" s="40">
        <v>2015</v>
      </c>
      <c r="J243" s="40">
        <v>2016</v>
      </c>
      <c r="K243" s="40">
        <v>2017</v>
      </c>
      <c r="L243" s="40">
        <v>2018</v>
      </c>
      <c r="M243" s="40">
        <v>2019</v>
      </c>
      <c r="N243" s="40">
        <v>2020</v>
      </c>
      <c r="O243" s="975" t="s">
        <v>14823</v>
      </c>
      <c r="Q243" s="54" t="s">
        <v>1527</v>
      </c>
    </row>
    <row r="244" spans="1:17">
      <c r="A244" s="695" t="s">
        <v>6418</v>
      </c>
      <c r="D244" s="706">
        <f t="shared" ref="D244:I244" si="143">SUM(D245:D264)</f>
        <v>156502</v>
      </c>
      <c r="E244" s="706">
        <f t="shared" si="143"/>
        <v>157335</v>
      </c>
      <c r="F244" s="706">
        <f t="shared" si="143"/>
        <v>157055</v>
      </c>
      <c r="G244" s="706">
        <f t="shared" si="143"/>
        <v>158823</v>
      </c>
      <c r="H244" s="706">
        <f t="shared" si="143"/>
        <v>157282</v>
      </c>
      <c r="I244" s="706">
        <f t="shared" si="143"/>
        <v>157278</v>
      </c>
      <c r="J244" s="706">
        <f t="shared" ref="J244:O244" si="144">SUM(J245:J264)</f>
        <v>148410</v>
      </c>
      <c r="K244" s="706">
        <f t="shared" si="144"/>
        <v>155201</v>
      </c>
      <c r="L244" s="706">
        <f t="shared" si="144"/>
        <v>157319</v>
      </c>
      <c r="M244" s="706">
        <f t="shared" si="144"/>
        <v>156851</v>
      </c>
      <c r="N244" s="706">
        <f t="shared" si="144"/>
        <v>160557</v>
      </c>
      <c r="O244" s="706">
        <f t="shared" si="144"/>
        <v>160770</v>
      </c>
    </row>
    <row r="245" spans="1:17">
      <c r="A245" s="695" t="s">
        <v>5387</v>
      </c>
      <c r="B245" s="695" t="s">
        <v>6419</v>
      </c>
      <c r="C245" s="55" t="s">
        <v>7046</v>
      </c>
      <c r="D245" s="706">
        <v>7306</v>
      </c>
      <c r="E245" s="706">
        <v>7234</v>
      </c>
      <c r="F245" s="706">
        <v>7228</v>
      </c>
      <c r="G245" s="706">
        <v>7243</v>
      </c>
      <c r="H245" s="63">
        <v>7203</v>
      </c>
      <c r="I245" s="63">
        <v>7057</v>
      </c>
      <c r="J245" s="56">
        <v>6636</v>
      </c>
      <c r="K245" s="56">
        <v>6964</v>
      </c>
      <c r="L245" s="56">
        <v>7204</v>
      </c>
      <c r="M245" s="56">
        <v>7282</v>
      </c>
      <c r="N245" s="56">
        <v>7581</v>
      </c>
      <c r="O245" s="56">
        <v>7611</v>
      </c>
      <c r="Q245" s="695" t="s">
        <v>5736</v>
      </c>
    </row>
    <row r="246" spans="1:17">
      <c r="A246" s="695" t="s">
        <v>5389</v>
      </c>
      <c r="B246" s="695" t="s">
        <v>6420</v>
      </c>
      <c r="C246" s="55" t="s">
        <v>7047</v>
      </c>
      <c r="D246" s="706">
        <v>7679</v>
      </c>
      <c r="E246" s="706">
        <v>7805</v>
      </c>
      <c r="F246" s="706">
        <v>7820</v>
      </c>
      <c r="G246" s="706">
        <v>7826</v>
      </c>
      <c r="H246" s="63">
        <v>7712</v>
      </c>
      <c r="I246" s="63">
        <v>7860</v>
      </c>
      <c r="J246" s="56">
        <v>7377</v>
      </c>
      <c r="K246" s="56">
        <v>7598</v>
      </c>
      <c r="L246" s="56">
        <v>7690</v>
      </c>
      <c r="M246" s="56">
        <v>7636</v>
      </c>
      <c r="N246" s="56">
        <v>7820</v>
      </c>
      <c r="O246" s="56">
        <v>7832</v>
      </c>
      <c r="Q246" s="695" t="s">
        <v>4175</v>
      </c>
    </row>
    <row r="247" spans="1:17">
      <c r="A247" s="695" t="s">
        <v>5391</v>
      </c>
      <c r="B247" s="695" t="s">
        <v>6421</v>
      </c>
      <c r="C247" s="55" t="s">
        <v>7048</v>
      </c>
      <c r="D247" s="706">
        <v>7663</v>
      </c>
      <c r="E247" s="706">
        <v>7668</v>
      </c>
      <c r="F247" s="706">
        <v>7770</v>
      </c>
      <c r="G247" s="706">
        <v>7772</v>
      </c>
      <c r="H247" s="63">
        <v>7807</v>
      </c>
      <c r="I247" s="63">
        <v>7885</v>
      </c>
      <c r="J247" s="56">
        <v>7400</v>
      </c>
      <c r="K247" s="56">
        <v>7682</v>
      </c>
      <c r="L247" s="56">
        <v>7766</v>
      </c>
      <c r="M247" s="56">
        <v>7723</v>
      </c>
      <c r="N247" s="56">
        <v>7883</v>
      </c>
      <c r="O247" s="56">
        <v>7900</v>
      </c>
      <c r="Q247" s="695" t="s">
        <v>4175</v>
      </c>
    </row>
    <row r="248" spans="1:17">
      <c r="A248" s="695" t="s">
        <v>5393</v>
      </c>
      <c r="B248" s="695" t="s">
        <v>6422</v>
      </c>
      <c r="C248" s="55" t="s">
        <v>7049</v>
      </c>
      <c r="D248" s="706">
        <v>7598</v>
      </c>
      <c r="E248" s="706">
        <v>7571</v>
      </c>
      <c r="F248" s="706">
        <v>7474</v>
      </c>
      <c r="G248" s="706">
        <v>7391</v>
      </c>
      <c r="H248" s="63">
        <v>7158</v>
      </c>
      <c r="I248" s="63">
        <v>7126</v>
      </c>
      <c r="J248" s="56">
        <v>6509</v>
      </c>
      <c r="K248" s="56">
        <v>7058</v>
      </c>
      <c r="L248" s="56">
        <v>7194</v>
      </c>
      <c r="M248" s="56">
        <v>7166</v>
      </c>
      <c r="N248" s="56">
        <v>7261</v>
      </c>
      <c r="O248" s="56">
        <v>7284</v>
      </c>
      <c r="Q248" s="695" t="s">
        <v>5736</v>
      </c>
    </row>
    <row r="249" spans="1:17">
      <c r="A249" s="695" t="s">
        <v>5394</v>
      </c>
      <c r="B249" s="695" t="s">
        <v>6423</v>
      </c>
      <c r="C249" s="55" t="s">
        <v>7050</v>
      </c>
      <c r="D249" s="706">
        <v>7928</v>
      </c>
      <c r="E249" s="706">
        <v>7975</v>
      </c>
      <c r="F249" s="706">
        <v>8027</v>
      </c>
      <c r="G249" s="706">
        <v>8050</v>
      </c>
      <c r="H249" s="63">
        <v>7897</v>
      </c>
      <c r="I249" s="63">
        <v>7852</v>
      </c>
      <c r="J249" s="56">
        <v>7371</v>
      </c>
      <c r="K249" s="56">
        <v>7679</v>
      </c>
      <c r="L249" s="56">
        <v>7667</v>
      </c>
      <c r="M249" s="56">
        <v>7672</v>
      </c>
      <c r="N249" s="56">
        <v>7938</v>
      </c>
      <c r="O249" s="56">
        <v>7967</v>
      </c>
      <c r="Q249" s="695" t="s">
        <v>4175</v>
      </c>
    </row>
    <row r="250" spans="1:17">
      <c r="A250" s="695" t="s">
        <v>5416</v>
      </c>
      <c r="B250" s="695" t="s">
        <v>6424</v>
      </c>
      <c r="C250" s="55" t="s">
        <v>7051</v>
      </c>
      <c r="D250" s="706">
        <v>7944</v>
      </c>
      <c r="E250" s="706">
        <v>8006</v>
      </c>
      <c r="F250" s="706">
        <v>8001</v>
      </c>
      <c r="G250" s="706">
        <v>8079</v>
      </c>
      <c r="H250" s="63">
        <v>8003</v>
      </c>
      <c r="I250" s="63">
        <v>7975</v>
      </c>
      <c r="J250" s="56">
        <v>7674</v>
      </c>
      <c r="K250" s="56">
        <v>7897</v>
      </c>
      <c r="L250" s="56">
        <v>8016</v>
      </c>
      <c r="M250" s="56">
        <v>7906</v>
      </c>
      <c r="N250" s="56">
        <v>8033</v>
      </c>
      <c r="O250" s="56">
        <v>8052</v>
      </c>
      <c r="Q250" s="695" t="s">
        <v>5736</v>
      </c>
    </row>
    <row r="251" spans="1:17">
      <c r="A251" s="695" t="s">
        <v>5418</v>
      </c>
      <c r="B251" s="695" t="s">
        <v>6425</v>
      </c>
      <c r="C251" s="55" t="s">
        <v>7052</v>
      </c>
      <c r="D251" s="706">
        <v>8295</v>
      </c>
      <c r="E251" s="706">
        <v>8314</v>
      </c>
      <c r="F251" s="706">
        <v>8346</v>
      </c>
      <c r="G251" s="706">
        <v>8434</v>
      </c>
      <c r="H251" s="63">
        <v>8316</v>
      </c>
      <c r="I251" s="63">
        <v>8297</v>
      </c>
      <c r="J251" s="56">
        <v>7798</v>
      </c>
      <c r="K251" s="56">
        <v>8148</v>
      </c>
      <c r="L251" s="56">
        <v>8192</v>
      </c>
      <c r="M251" s="56">
        <v>8156</v>
      </c>
      <c r="N251" s="56">
        <v>8337</v>
      </c>
      <c r="O251" s="56">
        <v>8347</v>
      </c>
      <c r="Q251" s="695" t="s">
        <v>4175</v>
      </c>
    </row>
    <row r="252" spans="1:17">
      <c r="A252" s="695" t="s">
        <v>5420</v>
      </c>
      <c r="B252" s="695" t="s">
        <v>6692</v>
      </c>
      <c r="C252" s="55" t="s">
        <v>7053</v>
      </c>
      <c r="D252" s="706">
        <v>8051</v>
      </c>
      <c r="E252" s="706">
        <v>8161</v>
      </c>
      <c r="F252" s="706">
        <v>8269</v>
      </c>
      <c r="G252" s="706">
        <v>8419</v>
      </c>
      <c r="H252" s="63">
        <v>8363</v>
      </c>
      <c r="I252" s="63">
        <v>8314</v>
      </c>
      <c r="J252" s="56">
        <v>7819</v>
      </c>
      <c r="K252" s="56">
        <v>8306</v>
      </c>
      <c r="L252" s="56">
        <v>8524</v>
      </c>
      <c r="M252" s="56">
        <v>8643</v>
      </c>
      <c r="N252" s="56">
        <v>8933</v>
      </c>
      <c r="O252" s="56">
        <v>8958</v>
      </c>
      <c r="Q252" s="695" t="s">
        <v>5736</v>
      </c>
    </row>
    <row r="253" spans="1:17">
      <c r="A253" s="695" t="s">
        <v>5422</v>
      </c>
      <c r="B253" s="695" t="s">
        <v>6426</v>
      </c>
      <c r="C253" s="55" t="s">
        <v>7054</v>
      </c>
      <c r="D253" s="706">
        <v>7800</v>
      </c>
      <c r="E253" s="706">
        <v>7795</v>
      </c>
      <c r="F253" s="706">
        <v>7804</v>
      </c>
      <c r="G253" s="706">
        <v>7864</v>
      </c>
      <c r="H253" s="63">
        <v>7763</v>
      </c>
      <c r="I253" s="63">
        <v>7775</v>
      </c>
      <c r="J253" s="56">
        <v>7410</v>
      </c>
      <c r="K253" s="56">
        <v>7735</v>
      </c>
      <c r="L253" s="56">
        <v>7908</v>
      </c>
      <c r="M253" s="56">
        <v>7834</v>
      </c>
      <c r="N253" s="56">
        <v>7985</v>
      </c>
      <c r="O253" s="56">
        <v>7996</v>
      </c>
      <c r="Q253" s="695" t="s">
        <v>5736</v>
      </c>
    </row>
    <row r="254" spans="1:17">
      <c r="A254" s="695" t="s">
        <v>5424</v>
      </c>
      <c r="B254" s="695" t="s">
        <v>6427</v>
      </c>
      <c r="C254" s="55" t="s">
        <v>7055</v>
      </c>
      <c r="D254" s="706">
        <v>7605</v>
      </c>
      <c r="E254" s="706">
        <v>7594</v>
      </c>
      <c r="F254" s="706">
        <v>7665</v>
      </c>
      <c r="G254" s="706">
        <v>7594</v>
      </c>
      <c r="H254" s="63">
        <v>7487</v>
      </c>
      <c r="I254" s="63">
        <v>7563</v>
      </c>
      <c r="J254" s="58">
        <v>6804</v>
      </c>
      <c r="K254" s="58">
        <v>7082</v>
      </c>
      <c r="L254" s="58">
        <v>7325</v>
      </c>
      <c r="M254" s="58">
        <v>7389</v>
      </c>
      <c r="N254" s="58">
        <v>7633</v>
      </c>
      <c r="O254" s="58">
        <v>7670</v>
      </c>
      <c r="Q254" s="695" t="s">
        <v>5736</v>
      </c>
    </row>
    <row r="255" spans="1:17">
      <c r="A255" s="695" t="s">
        <v>5426</v>
      </c>
      <c r="B255" s="695" t="s">
        <v>6428</v>
      </c>
      <c r="C255" s="55" t="s">
        <v>7056</v>
      </c>
      <c r="D255" s="706">
        <v>7948</v>
      </c>
      <c r="E255" s="706">
        <v>7981</v>
      </c>
      <c r="F255" s="706">
        <v>7999</v>
      </c>
      <c r="G255" s="706">
        <v>7989</v>
      </c>
      <c r="H255" s="63">
        <v>7945</v>
      </c>
      <c r="I255" s="63">
        <v>7940</v>
      </c>
      <c r="J255" s="58">
        <v>7582</v>
      </c>
      <c r="K255" s="58">
        <v>7916</v>
      </c>
      <c r="L255" s="58">
        <v>7949</v>
      </c>
      <c r="M255" s="58">
        <v>7920</v>
      </c>
      <c r="N255" s="58">
        <v>8070</v>
      </c>
      <c r="O255" s="58">
        <v>8058</v>
      </c>
      <c r="Q255" s="695" t="s">
        <v>5736</v>
      </c>
    </row>
    <row r="256" spans="1:17">
      <c r="A256" s="695" t="s">
        <v>5428</v>
      </c>
      <c r="B256" s="695" t="s">
        <v>6429</v>
      </c>
      <c r="C256" s="55" t="s">
        <v>7057</v>
      </c>
      <c r="D256" s="706">
        <v>7661</v>
      </c>
      <c r="E256" s="706">
        <v>7794</v>
      </c>
      <c r="F256" s="706">
        <v>7794</v>
      </c>
      <c r="G256" s="706">
        <v>7825</v>
      </c>
      <c r="H256" s="63">
        <v>7796</v>
      </c>
      <c r="I256" s="63">
        <v>7866</v>
      </c>
      <c r="J256" s="56">
        <v>7505</v>
      </c>
      <c r="K256" s="56">
        <v>7690</v>
      </c>
      <c r="L256" s="56">
        <v>7782</v>
      </c>
      <c r="M256" s="56">
        <v>7761</v>
      </c>
      <c r="N256" s="56">
        <v>7904</v>
      </c>
      <c r="O256" s="56">
        <v>7902</v>
      </c>
      <c r="Q256" s="695" t="s">
        <v>4175</v>
      </c>
    </row>
    <row r="257" spans="1:17">
      <c r="A257" s="695" t="s">
        <v>5429</v>
      </c>
      <c r="B257" s="695" t="s">
        <v>6430</v>
      </c>
      <c r="C257" s="55" t="s">
        <v>7058</v>
      </c>
      <c r="D257" s="706">
        <v>7280</v>
      </c>
      <c r="E257" s="706">
        <v>7410</v>
      </c>
      <c r="F257" s="706">
        <v>7499</v>
      </c>
      <c r="G257" s="706">
        <v>7504</v>
      </c>
      <c r="H257" s="63">
        <v>7470</v>
      </c>
      <c r="I257" s="63">
        <v>7519</v>
      </c>
      <c r="J257" s="56">
        <v>7164</v>
      </c>
      <c r="K257" s="56">
        <v>7527</v>
      </c>
      <c r="L257" s="56">
        <v>7587</v>
      </c>
      <c r="M257" s="56">
        <v>7589</v>
      </c>
      <c r="N257" s="56">
        <v>7843</v>
      </c>
      <c r="O257" s="56">
        <v>7834</v>
      </c>
      <c r="Q257" s="695" t="s">
        <v>4175</v>
      </c>
    </row>
    <row r="258" spans="1:17">
      <c r="A258" s="695" t="s">
        <v>5431</v>
      </c>
      <c r="B258" s="695" t="s">
        <v>6431</v>
      </c>
      <c r="C258" s="55" t="s">
        <v>7059</v>
      </c>
      <c r="D258" s="706">
        <v>7961</v>
      </c>
      <c r="E258" s="706">
        <v>7949</v>
      </c>
      <c r="F258" s="706">
        <v>7980</v>
      </c>
      <c r="G258" s="706">
        <v>7946</v>
      </c>
      <c r="H258" s="63">
        <v>7810</v>
      </c>
      <c r="I258" s="63">
        <v>7845</v>
      </c>
      <c r="J258" s="56">
        <v>7462</v>
      </c>
      <c r="K258" s="56">
        <v>7693</v>
      </c>
      <c r="L258" s="56">
        <v>7723</v>
      </c>
      <c r="M258" s="56">
        <v>7607</v>
      </c>
      <c r="N258" s="56">
        <v>7652</v>
      </c>
      <c r="O258" s="56">
        <v>7652</v>
      </c>
      <c r="Q258" s="695" t="s">
        <v>4175</v>
      </c>
    </row>
    <row r="259" spans="1:17">
      <c r="A259" s="695" t="s">
        <v>5433</v>
      </c>
      <c r="B259" s="695" t="s">
        <v>6432</v>
      </c>
      <c r="C259" s="55" t="s">
        <v>7060</v>
      </c>
      <c r="D259" s="713">
        <v>7816</v>
      </c>
      <c r="E259" s="713">
        <v>7892</v>
      </c>
      <c r="F259" s="713">
        <v>8075</v>
      </c>
      <c r="G259" s="713">
        <v>8106</v>
      </c>
      <c r="H259" s="63">
        <v>7976</v>
      </c>
      <c r="I259" s="63">
        <v>7902</v>
      </c>
      <c r="J259" s="58">
        <v>7344</v>
      </c>
      <c r="K259" s="58">
        <v>7771</v>
      </c>
      <c r="L259" s="58">
        <v>7806</v>
      </c>
      <c r="M259" s="58">
        <v>7787</v>
      </c>
      <c r="N259" s="58">
        <v>7911</v>
      </c>
      <c r="O259" s="58">
        <v>7931</v>
      </c>
      <c r="Q259" s="695" t="s">
        <v>5736</v>
      </c>
    </row>
    <row r="260" spans="1:17">
      <c r="A260" s="695" t="s">
        <v>5435</v>
      </c>
      <c r="B260" s="695" t="s">
        <v>6433</v>
      </c>
      <c r="C260" s="55" t="s">
        <v>7061</v>
      </c>
      <c r="D260" s="706">
        <v>7738</v>
      </c>
      <c r="E260" s="706">
        <v>7771</v>
      </c>
      <c r="F260" s="706">
        <v>7825</v>
      </c>
      <c r="G260" s="706">
        <v>7893</v>
      </c>
      <c r="H260" s="63">
        <v>7985</v>
      </c>
      <c r="I260" s="63">
        <v>7926</v>
      </c>
      <c r="J260" s="56">
        <v>7631</v>
      </c>
      <c r="K260" s="56">
        <v>7783</v>
      </c>
      <c r="L260" s="56">
        <v>7784</v>
      </c>
      <c r="M260" s="56">
        <v>7634</v>
      </c>
      <c r="N260" s="56">
        <v>7803</v>
      </c>
      <c r="O260" s="56">
        <v>7800</v>
      </c>
      <c r="Q260" s="695" t="s">
        <v>4175</v>
      </c>
    </row>
    <row r="261" spans="1:17">
      <c r="A261" s="695" t="s">
        <v>5436</v>
      </c>
      <c r="B261" s="695" t="s">
        <v>4995</v>
      </c>
      <c r="C261" s="55" t="s">
        <v>7062</v>
      </c>
      <c r="D261" s="706">
        <v>8007</v>
      </c>
      <c r="E261" s="706">
        <v>8042</v>
      </c>
      <c r="F261" s="706">
        <v>8088</v>
      </c>
      <c r="G261" s="706">
        <v>8140</v>
      </c>
      <c r="H261" s="63">
        <v>7969</v>
      </c>
      <c r="I261" s="63">
        <v>7978</v>
      </c>
      <c r="J261" s="58">
        <v>7390</v>
      </c>
      <c r="K261" s="58">
        <v>8033</v>
      </c>
      <c r="L261" s="58">
        <v>8140</v>
      </c>
      <c r="M261" s="58">
        <v>8063</v>
      </c>
      <c r="N261" s="58">
        <v>8206</v>
      </c>
      <c r="O261" s="58">
        <v>8204</v>
      </c>
      <c r="Q261" s="695" t="s">
        <v>5736</v>
      </c>
    </row>
    <row r="262" spans="1:17">
      <c r="A262" s="695" t="s">
        <v>5437</v>
      </c>
      <c r="B262" s="695" t="s">
        <v>4996</v>
      </c>
      <c r="C262" s="55" t="s">
        <v>7063</v>
      </c>
      <c r="D262" s="706">
        <v>7396</v>
      </c>
      <c r="E262" s="706">
        <v>7423</v>
      </c>
      <c r="F262" s="706">
        <v>7432</v>
      </c>
      <c r="G262" s="706">
        <v>7495</v>
      </c>
      <c r="H262" s="63">
        <v>7530</v>
      </c>
      <c r="I262" s="63">
        <v>7589</v>
      </c>
      <c r="J262" s="58">
        <v>7362</v>
      </c>
      <c r="K262" s="58">
        <v>7814</v>
      </c>
      <c r="L262" s="58">
        <v>7936</v>
      </c>
      <c r="M262" s="58">
        <v>7939</v>
      </c>
      <c r="N262" s="58">
        <v>8122</v>
      </c>
      <c r="O262" s="58">
        <v>8137</v>
      </c>
      <c r="Q262" s="695" t="s">
        <v>5736</v>
      </c>
    </row>
    <row r="263" spans="1:17">
      <c r="A263" s="695" t="s">
        <v>5439</v>
      </c>
      <c r="B263" s="695" t="s">
        <v>4997</v>
      </c>
      <c r="C263" s="55" t="s">
        <v>7064</v>
      </c>
      <c r="D263" s="706">
        <v>8537</v>
      </c>
      <c r="E263" s="706">
        <v>8559</v>
      </c>
      <c r="F263" s="706">
        <v>8660</v>
      </c>
      <c r="G263" s="706">
        <v>8712</v>
      </c>
      <c r="H263" s="63">
        <v>8652</v>
      </c>
      <c r="I263" s="63">
        <v>8537</v>
      </c>
      <c r="J263" s="56">
        <v>8139</v>
      </c>
      <c r="K263" s="56">
        <v>8448</v>
      </c>
      <c r="L263" s="56">
        <v>8596</v>
      </c>
      <c r="M263" s="56">
        <v>8606</v>
      </c>
      <c r="N263" s="56">
        <v>8754</v>
      </c>
      <c r="O263" s="56">
        <v>8747</v>
      </c>
      <c r="Q263" s="695" t="s">
        <v>4175</v>
      </c>
    </row>
    <row r="264" spans="1:17">
      <c r="A264" s="695" t="s">
        <v>5441</v>
      </c>
      <c r="B264" s="695" t="s">
        <v>4998</v>
      </c>
      <c r="C264" s="55" t="s">
        <v>7065</v>
      </c>
      <c r="D264" s="706">
        <v>8289</v>
      </c>
      <c r="E264" s="706">
        <v>8391</v>
      </c>
      <c r="F264" s="706">
        <v>7299</v>
      </c>
      <c r="G264" s="706">
        <v>8541</v>
      </c>
      <c r="H264" s="63">
        <v>8440</v>
      </c>
      <c r="I264" s="63">
        <v>8472</v>
      </c>
      <c r="J264" s="56">
        <v>8033</v>
      </c>
      <c r="K264" s="56">
        <v>8377</v>
      </c>
      <c r="L264" s="56">
        <v>8530</v>
      </c>
      <c r="M264" s="56">
        <v>8538</v>
      </c>
      <c r="N264" s="56">
        <v>8888</v>
      </c>
      <c r="O264" s="56">
        <v>8888</v>
      </c>
      <c r="Q264" s="695" t="s">
        <v>4175</v>
      </c>
    </row>
    <row r="265" spans="1:17">
      <c r="D265" s="707"/>
      <c r="E265" s="707"/>
      <c r="F265" s="707"/>
      <c r="G265" s="707"/>
      <c r="H265" s="707"/>
      <c r="I265" s="707"/>
      <c r="J265" s="707"/>
      <c r="K265" s="707"/>
      <c r="L265" s="707"/>
      <c r="M265" s="707"/>
      <c r="N265" s="707"/>
      <c r="O265" s="707"/>
    </row>
    <row r="266" spans="1:17">
      <c r="A266" s="695" t="s">
        <v>4175</v>
      </c>
      <c r="D266" s="706">
        <f t="shared" ref="D266:I266" si="145">D246+D247+D249+D251+SUM(D256:D258)+D260+D263+D264</f>
        <v>79031</v>
      </c>
      <c r="E266" s="706">
        <f t="shared" si="145"/>
        <v>79636</v>
      </c>
      <c r="F266" s="706">
        <f t="shared" si="145"/>
        <v>79020</v>
      </c>
      <c r="G266" s="706">
        <f t="shared" si="145"/>
        <v>80503</v>
      </c>
      <c r="H266" s="706">
        <f t="shared" si="145"/>
        <v>79885</v>
      </c>
      <c r="I266" s="706">
        <f t="shared" si="145"/>
        <v>80059</v>
      </c>
      <c r="J266" s="706">
        <f t="shared" ref="J266:O266" si="146">J246+J247+J249+J251+SUM(J256:J258)+J260+J263+J264</f>
        <v>75880</v>
      </c>
      <c r="K266" s="706">
        <f t="shared" si="146"/>
        <v>78625</v>
      </c>
      <c r="L266" s="706">
        <f t="shared" si="146"/>
        <v>79317</v>
      </c>
      <c r="M266" s="706">
        <f t="shared" si="146"/>
        <v>78922</v>
      </c>
      <c r="N266" s="706">
        <f t="shared" si="146"/>
        <v>80822</v>
      </c>
      <c r="O266" s="706">
        <f t="shared" si="146"/>
        <v>80869</v>
      </c>
    </row>
    <row r="267" spans="1:17">
      <c r="A267" s="695" t="s">
        <v>5736</v>
      </c>
      <c r="D267" s="706">
        <f t="shared" ref="D267:I267" si="147">D245+D248+D250+SUM(D252:D255)+D259+D261+D262</f>
        <v>77471</v>
      </c>
      <c r="E267" s="706">
        <f t="shared" si="147"/>
        <v>77699</v>
      </c>
      <c r="F267" s="706">
        <f t="shared" si="147"/>
        <v>78035</v>
      </c>
      <c r="G267" s="706">
        <f t="shared" si="147"/>
        <v>78320</v>
      </c>
      <c r="H267" s="706">
        <f t="shared" si="147"/>
        <v>77397</v>
      </c>
      <c r="I267" s="706">
        <f t="shared" si="147"/>
        <v>77219</v>
      </c>
      <c r="J267" s="706">
        <f t="shared" ref="J267:O267" si="148">J245+J248+J250+SUM(J252:J255)+J259+J261+J262</f>
        <v>72530</v>
      </c>
      <c r="K267" s="706">
        <f t="shared" si="148"/>
        <v>76576</v>
      </c>
      <c r="L267" s="706">
        <f t="shared" si="148"/>
        <v>78002</v>
      </c>
      <c r="M267" s="706">
        <f t="shared" si="148"/>
        <v>77929</v>
      </c>
      <c r="N267" s="706">
        <f t="shared" si="148"/>
        <v>79735</v>
      </c>
      <c r="O267" s="706">
        <f t="shared" si="148"/>
        <v>79901</v>
      </c>
    </row>
    <row r="268" spans="1:17">
      <c r="A268" s="695"/>
      <c r="D268" s="706"/>
      <c r="E268" s="706"/>
      <c r="F268" s="706"/>
      <c r="G268" s="706"/>
      <c r="H268" s="706"/>
      <c r="I268" s="706"/>
      <c r="J268" s="706"/>
      <c r="K268" s="706"/>
      <c r="L268" s="706"/>
      <c r="M268" s="706"/>
      <c r="N268" s="706"/>
      <c r="O268" s="706"/>
    </row>
    <row r="269" spans="1:17">
      <c r="A269" s="156" t="s">
        <v>4999</v>
      </c>
    </row>
    <row r="272" spans="1:17">
      <c r="E272" s="51" t="s">
        <v>1526</v>
      </c>
      <c r="F272" s="51"/>
      <c r="G272" s="51"/>
      <c r="H272" s="51"/>
      <c r="I272" s="51"/>
      <c r="J272" s="51"/>
      <c r="K272" s="51"/>
      <c r="L272" s="51"/>
      <c r="M272" s="51"/>
      <c r="N272" s="51"/>
      <c r="O272" s="51"/>
      <c r="P272" s="52"/>
      <c r="Q272" s="53" t="s">
        <v>9479</v>
      </c>
    </row>
    <row r="273" spans="1:17">
      <c r="D273" s="40">
        <v>2010</v>
      </c>
      <c r="E273" s="40">
        <v>2011</v>
      </c>
      <c r="F273" s="40">
        <v>2012</v>
      </c>
      <c r="G273" s="40">
        <v>2013</v>
      </c>
      <c r="H273" s="40">
        <v>2014</v>
      </c>
      <c r="I273" s="40">
        <v>2015</v>
      </c>
      <c r="J273" s="40">
        <v>2016</v>
      </c>
      <c r="K273" s="40">
        <v>2017</v>
      </c>
      <c r="L273" s="40">
        <v>2018</v>
      </c>
      <c r="M273" s="40">
        <v>2019</v>
      </c>
      <c r="N273" s="40">
        <v>2020</v>
      </c>
      <c r="O273" s="975" t="s">
        <v>14823</v>
      </c>
      <c r="Q273" s="54" t="s">
        <v>1527</v>
      </c>
    </row>
    <row r="274" spans="1:17">
      <c r="A274" s="695" t="s">
        <v>5000</v>
      </c>
      <c r="D274" s="706">
        <f t="shared" ref="D274:M274" si="149">SUM(D275:D282,D284:D296)</f>
        <v>162868</v>
      </c>
      <c r="E274" s="706">
        <f t="shared" si="149"/>
        <v>165689</v>
      </c>
      <c r="F274" s="706">
        <f t="shared" si="149"/>
        <v>167566</v>
      </c>
      <c r="G274" s="706">
        <f t="shared" si="149"/>
        <v>168738</v>
      </c>
      <c r="H274" s="706">
        <f t="shared" si="149"/>
        <v>169093</v>
      </c>
      <c r="I274" s="706">
        <f t="shared" si="149"/>
        <v>159585</v>
      </c>
      <c r="J274" s="706">
        <f t="shared" si="149"/>
        <v>162645</v>
      </c>
      <c r="K274" s="706">
        <f t="shared" si="149"/>
        <v>162307</v>
      </c>
      <c r="L274" s="706">
        <f t="shared" si="149"/>
        <v>165286</v>
      </c>
      <c r="M274" s="706">
        <f t="shared" si="149"/>
        <v>164465</v>
      </c>
      <c r="N274" s="706">
        <f>SUM(N275:N282,N284:N296)</f>
        <v>180748</v>
      </c>
      <c r="O274" s="706">
        <f>SUM(O275:O282,O284:O296)</f>
        <v>174181</v>
      </c>
    </row>
    <row r="275" spans="1:17">
      <c r="A275" s="695" t="s">
        <v>5387</v>
      </c>
      <c r="B275" s="695" t="s">
        <v>12744</v>
      </c>
      <c r="C275" s="55" t="s">
        <v>14550</v>
      </c>
      <c r="D275" s="706">
        <v>73019</v>
      </c>
      <c r="E275" s="706">
        <v>73409</v>
      </c>
      <c r="F275" s="706">
        <v>73458</v>
      </c>
      <c r="G275" s="706">
        <v>73982</v>
      </c>
      <c r="H275" s="706">
        <v>73975</v>
      </c>
      <c r="I275" s="706">
        <v>71425</v>
      </c>
      <c r="J275" s="706">
        <v>72316</v>
      </c>
      <c r="K275" s="706">
        <v>71927</v>
      </c>
      <c r="L275" s="706">
        <v>73054</v>
      </c>
      <c r="M275" s="706">
        <v>72941</v>
      </c>
      <c r="N275" s="56">
        <v>10226</v>
      </c>
      <c r="O275" s="56">
        <v>9896</v>
      </c>
      <c r="Q275" s="695" t="s">
        <v>5742</v>
      </c>
    </row>
    <row r="276" spans="1:17">
      <c r="A276" s="695" t="s">
        <v>5389</v>
      </c>
      <c r="B276" s="695" t="s">
        <v>12732</v>
      </c>
      <c r="C276" s="55" t="s">
        <v>14551</v>
      </c>
      <c r="D276" s="706">
        <v>74817</v>
      </c>
      <c r="E276" s="706">
        <v>76863</v>
      </c>
      <c r="F276" s="706">
        <v>78217</v>
      </c>
      <c r="G276" s="706">
        <v>78545</v>
      </c>
      <c r="H276" s="706">
        <v>78803</v>
      </c>
      <c r="I276" s="706">
        <v>72464</v>
      </c>
      <c r="J276" s="706">
        <v>74161</v>
      </c>
      <c r="K276" s="706">
        <v>74300</v>
      </c>
      <c r="L276" s="706">
        <v>75775</v>
      </c>
      <c r="M276" s="706">
        <v>75255</v>
      </c>
      <c r="N276" s="56">
        <v>6536</v>
      </c>
      <c r="O276" s="56">
        <v>6131</v>
      </c>
      <c r="Q276" s="695" t="s">
        <v>5737</v>
      </c>
    </row>
    <row r="277" spans="1:17">
      <c r="A277" s="695" t="s">
        <v>5391</v>
      </c>
      <c r="B277" s="695" t="s">
        <v>12733</v>
      </c>
      <c r="C277" s="55" t="s">
        <v>14552</v>
      </c>
      <c r="D277" s="706">
        <v>0</v>
      </c>
      <c r="E277" s="706">
        <v>0</v>
      </c>
      <c r="F277" s="706">
        <v>0</v>
      </c>
      <c r="G277" s="706">
        <v>0</v>
      </c>
      <c r="H277" s="706">
        <v>0</v>
      </c>
      <c r="I277" s="706">
        <v>0</v>
      </c>
      <c r="J277" s="706">
        <v>0</v>
      </c>
      <c r="K277" s="706">
        <v>0</v>
      </c>
      <c r="L277" s="706">
        <v>0</v>
      </c>
      <c r="M277" s="706">
        <v>0</v>
      </c>
      <c r="N277" s="56">
        <v>9987</v>
      </c>
      <c r="O277" s="56">
        <v>9744</v>
      </c>
      <c r="Q277" s="695" t="s">
        <v>5742</v>
      </c>
    </row>
    <row r="278" spans="1:17">
      <c r="A278" s="695" t="s">
        <v>5393</v>
      </c>
      <c r="B278" s="695" t="s">
        <v>4967</v>
      </c>
      <c r="C278" s="55" t="s">
        <v>14553</v>
      </c>
      <c r="D278" s="706">
        <v>15032</v>
      </c>
      <c r="E278" s="706">
        <v>15417</v>
      </c>
      <c r="F278" s="706">
        <v>15891</v>
      </c>
      <c r="G278" s="706">
        <v>16211</v>
      </c>
      <c r="H278" s="706">
        <v>16315</v>
      </c>
      <c r="I278" s="706">
        <v>15696</v>
      </c>
      <c r="J278" s="706">
        <v>16168</v>
      </c>
      <c r="K278" s="706">
        <v>16080</v>
      </c>
      <c r="L278" s="706">
        <v>16457</v>
      </c>
      <c r="M278" s="706">
        <v>16269</v>
      </c>
      <c r="N278" s="56">
        <v>8663</v>
      </c>
      <c r="O278" s="56">
        <v>8256</v>
      </c>
      <c r="Q278" s="695" t="s">
        <v>2752</v>
      </c>
    </row>
    <row r="279" spans="1:17">
      <c r="A279" s="695" t="s">
        <v>5394</v>
      </c>
      <c r="B279" s="695" t="s">
        <v>12734</v>
      </c>
      <c r="C279" s="55" t="s">
        <v>14554</v>
      </c>
      <c r="D279" s="706">
        <v>0</v>
      </c>
      <c r="E279" s="706">
        <v>0</v>
      </c>
      <c r="F279" s="706">
        <v>0</v>
      </c>
      <c r="G279" s="706">
        <v>0</v>
      </c>
      <c r="H279" s="706">
        <v>0</v>
      </c>
      <c r="I279" s="706">
        <v>0</v>
      </c>
      <c r="J279" s="706">
        <v>0</v>
      </c>
      <c r="K279" s="706">
        <v>0</v>
      </c>
      <c r="L279" s="706">
        <v>0</v>
      </c>
      <c r="M279" s="706">
        <v>0</v>
      </c>
      <c r="N279" s="56">
        <v>9696</v>
      </c>
      <c r="O279" s="56">
        <v>9378</v>
      </c>
      <c r="Q279" s="695" t="s">
        <v>5742</v>
      </c>
    </row>
    <row r="280" spans="1:17">
      <c r="A280" s="695" t="s">
        <v>5416</v>
      </c>
      <c r="B280" s="695" t="s">
        <v>732</v>
      </c>
      <c r="C280" s="55" t="s">
        <v>14555</v>
      </c>
      <c r="D280" s="706">
        <v>0</v>
      </c>
      <c r="E280" s="706">
        <v>0</v>
      </c>
      <c r="F280" s="706">
        <v>0</v>
      </c>
      <c r="G280" s="706">
        <v>0</v>
      </c>
      <c r="H280" s="706">
        <v>0</v>
      </c>
      <c r="I280" s="706">
        <v>0</v>
      </c>
      <c r="J280" s="706">
        <v>0</v>
      </c>
      <c r="K280" s="706">
        <v>0</v>
      </c>
      <c r="L280" s="706">
        <v>0</v>
      </c>
      <c r="M280" s="706">
        <v>0</v>
      </c>
      <c r="N280" s="56">
        <v>10003</v>
      </c>
      <c r="O280" s="56">
        <v>9725</v>
      </c>
      <c r="Q280" s="695" t="s">
        <v>5737</v>
      </c>
    </row>
    <row r="281" spans="1:17">
      <c r="A281" s="695" t="s">
        <v>5418</v>
      </c>
      <c r="B281" s="695" t="s">
        <v>3483</v>
      </c>
      <c r="C281" s="55" t="s">
        <v>14556</v>
      </c>
      <c r="D281" s="706">
        <v>0</v>
      </c>
      <c r="E281" s="706">
        <v>0</v>
      </c>
      <c r="F281" s="706">
        <v>0</v>
      </c>
      <c r="G281" s="706">
        <v>0</v>
      </c>
      <c r="H281" s="706">
        <v>0</v>
      </c>
      <c r="I281" s="706">
        <v>0</v>
      </c>
      <c r="J281" s="706">
        <v>0</v>
      </c>
      <c r="K281" s="706">
        <v>0</v>
      </c>
      <c r="L281" s="706">
        <v>0</v>
      </c>
      <c r="M281" s="706">
        <v>0</v>
      </c>
      <c r="N281" s="56">
        <v>10181</v>
      </c>
      <c r="O281" s="56">
        <v>9828</v>
      </c>
      <c r="Q281" s="695" t="s">
        <v>5737</v>
      </c>
    </row>
    <row r="282" spans="1:17" ht="15.75" thickBot="1">
      <c r="A282" s="695"/>
      <c r="B282" s="695"/>
      <c r="C282" s="55" t="s">
        <v>14556</v>
      </c>
      <c r="D282" s="710">
        <v>0</v>
      </c>
      <c r="E282" s="710">
        <v>0</v>
      </c>
      <c r="F282" s="710">
        <v>0</v>
      </c>
      <c r="G282" s="710">
        <v>0</v>
      </c>
      <c r="H282" s="710">
        <v>0</v>
      </c>
      <c r="I282" s="710">
        <v>0</v>
      </c>
      <c r="J282" s="710">
        <v>0</v>
      </c>
      <c r="K282" s="710">
        <v>0</v>
      </c>
      <c r="L282" s="710">
        <v>0</v>
      </c>
      <c r="M282" s="710">
        <v>0</v>
      </c>
      <c r="N282" s="710">
        <v>832</v>
      </c>
      <c r="O282" s="710">
        <v>791</v>
      </c>
      <c r="Q282" s="695" t="s">
        <v>5742</v>
      </c>
    </row>
    <row r="283" spans="1:17" ht="15.75" thickBot="1">
      <c r="A283" s="695"/>
      <c r="B283" s="695"/>
      <c r="C283" s="55" t="s">
        <v>14556</v>
      </c>
      <c r="D283" s="710">
        <f t="shared" ref="D283:N283" si="150">D281+D282</f>
        <v>0</v>
      </c>
      <c r="E283" s="710">
        <f t="shared" si="150"/>
        <v>0</v>
      </c>
      <c r="F283" s="710">
        <f t="shared" si="150"/>
        <v>0</v>
      </c>
      <c r="G283" s="710">
        <f t="shared" si="150"/>
        <v>0</v>
      </c>
      <c r="H283" s="710">
        <f t="shared" si="150"/>
        <v>0</v>
      </c>
      <c r="I283" s="710">
        <f t="shared" si="150"/>
        <v>0</v>
      </c>
      <c r="J283" s="710">
        <f t="shared" si="150"/>
        <v>0</v>
      </c>
      <c r="K283" s="710">
        <f t="shared" si="150"/>
        <v>0</v>
      </c>
      <c r="L283" s="710">
        <f t="shared" si="150"/>
        <v>0</v>
      </c>
      <c r="M283" s="710">
        <f t="shared" si="150"/>
        <v>0</v>
      </c>
      <c r="N283" s="710">
        <f t="shared" si="150"/>
        <v>11013</v>
      </c>
      <c r="O283" s="710">
        <f>O281+O282</f>
        <v>10619</v>
      </c>
      <c r="Q283" s="695"/>
    </row>
    <row r="284" spans="1:17">
      <c r="A284" s="695" t="s">
        <v>5420</v>
      </c>
      <c r="B284" s="695" t="s">
        <v>12735</v>
      </c>
      <c r="C284" s="55" t="s">
        <v>14557</v>
      </c>
      <c r="D284" s="706">
        <v>0</v>
      </c>
      <c r="E284" s="706">
        <v>0</v>
      </c>
      <c r="F284" s="706">
        <v>0</v>
      </c>
      <c r="G284" s="706">
        <v>0</v>
      </c>
      <c r="H284" s="706">
        <v>0</v>
      </c>
      <c r="I284" s="706">
        <v>0</v>
      </c>
      <c r="J284" s="706">
        <v>0</v>
      </c>
      <c r="K284" s="706">
        <v>0</v>
      </c>
      <c r="L284" s="706">
        <v>0</v>
      </c>
      <c r="M284" s="706">
        <v>0</v>
      </c>
      <c r="N284" s="56">
        <v>9665</v>
      </c>
      <c r="O284" s="56">
        <v>9369</v>
      </c>
      <c r="Q284" s="695" t="s">
        <v>5742</v>
      </c>
    </row>
    <row r="285" spans="1:17">
      <c r="A285" s="695" t="s">
        <v>5422</v>
      </c>
      <c r="B285" s="695" t="s">
        <v>12736</v>
      </c>
      <c r="C285" s="55" t="s">
        <v>14558</v>
      </c>
      <c r="D285" s="706">
        <v>0</v>
      </c>
      <c r="E285" s="706">
        <v>0</v>
      </c>
      <c r="F285" s="706">
        <v>0</v>
      </c>
      <c r="G285" s="706">
        <v>0</v>
      </c>
      <c r="H285" s="706">
        <v>0</v>
      </c>
      <c r="I285" s="706">
        <v>0</v>
      </c>
      <c r="J285" s="706">
        <v>0</v>
      </c>
      <c r="K285" s="706">
        <v>0</v>
      </c>
      <c r="L285" s="706">
        <v>0</v>
      </c>
      <c r="M285" s="706">
        <v>0</v>
      </c>
      <c r="N285" s="56">
        <v>9012</v>
      </c>
      <c r="O285" s="56">
        <v>8687</v>
      </c>
      <c r="Q285" s="695" t="s">
        <v>2752</v>
      </c>
    </row>
    <row r="286" spans="1:17">
      <c r="A286" s="695" t="s">
        <v>5424</v>
      </c>
      <c r="B286" s="695" t="s">
        <v>6925</v>
      </c>
      <c r="C286" s="55" t="s">
        <v>14559</v>
      </c>
      <c r="D286" s="706">
        <v>0</v>
      </c>
      <c r="E286" s="706">
        <v>0</v>
      </c>
      <c r="F286" s="706">
        <v>0</v>
      </c>
      <c r="G286" s="706">
        <v>0</v>
      </c>
      <c r="H286" s="706">
        <v>0</v>
      </c>
      <c r="I286" s="706">
        <v>0</v>
      </c>
      <c r="J286" s="706">
        <v>0</v>
      </c>
      <c r="K286" s="706">
        <v>0</v>
      </c>
      <c r="L286" s="706">
        <v>0</v>
      </c>
      <c r="M286" s="706">
        <v>0</v>
      </c>
      <c r="N286" s="56">
        <v>8880</v>
      </c>
      <c r="O286" s="56">
        <v>8587</v>
      </c>
      <c r="Q286" s="695" t="s">
        <v>5742</v>
      </c>
    </row>
    <row r="287" spans="1:17">
      <c r="A287" s="695" t="s">
        <v>5426</v>
      </c>
      <c r="B287" s="695" t="s">
        <v>3880</v>
      </c>
      <c r="C287" s="55" t="s">
        <v>14560</v>
      </c>
      <c r="D287" s="706">
        <v>0</v>
      </c>
      <c r="E287" s="706">
        <v>0</v>
      </c>
      <c r="F287" s="706">
        <v>0</v>
      </c>
      <c r="G287" s="706">
        <v>0</v>
      </c>
      <c r="H287" s="706">
        <v>0</v>
      </c>
      <c r="I287" s="706">
        <v>0</v>
      </c>
      <c r="J287" s="706">
        <v>0</v>
      </c>
      <c r="K287" s="706">
        <v>0</v>
      </c>
      <c r="L287" s="706">
        <v>0</v>
      </c>
      <c r="M287" s="706">
        <v>0</v>
      </c>
      <c r="N287" s="58">
        <v>6478</v>
      </c>
      <c r="O287" s="58">
        <v>6137</v>
      </c>
      <c r="Q287" s="695" t="s">
        <v>5737</v>
      </c>
    </row>
    <row r="288" spans="1:17">
      <c r="A288" s="695" t="s">
        <v>5428</v>
      </c>
      <c r="B288" s="695" t="s">
        <v>12737</v>
      </c>
      <c r="C288" s="55" t="s">
        <v>14561</v>
      </c>
      <c r="D288" s="706">
        <v>0</v>
      </c>
      <c r="E288" s="706">
        <v>0</v>
      </c>
      <c r="F288" s="706">
        <v>0</v>
      </c>
      <c r="G288" s="706">
        <v>0</v>
      </c>
      <c r="H288" s="706">
        <v>0</v>
      </c>
      <c r="I288" s="706">
        <v>0</v>
      </c>
      <c r="J288" s="706">
        <v>0</v>
      </c>
      <c r="K288" s="706">
        <v>0</v>
      </c>
      <c r="L288" s="706">
        <v>0</v>
      </c>
      <c r="M288" s="706">
        <v>0</v>
      </c>
      <c r="N288" s="56">
        <v>9034</v>
      </c>
      <c r="O288" s="56">
        <v>8809</v>
      </c>
      <c r="Q288" s="695" t="s">
        <v>5737</v>
      </c>
    </row>
    <row r="289" spans="1:17">
      <c r="A289" s="695" t="s">
        <v>5429</v>
      </c>
      <c r="B289" s="695" t="s">
        <v>12738</v>
      </c>
      <c r="C289" s="55" t="s">
        <v>14562</v>
      </c>
      <c r="D289" s="706">
        <v>0</v>
      </c>
      <c r="E289" s="706">
        <v>0</v>
      </c>
      <c r="F289" s="706">
        <v>0</v>
      </c>
      <c r="G289" s="706">
        <v>0</v>
      </c>
      <c r="H289" s="706">
        <v>0</v>
      </c>
      <c r="I289" s="706">
        <v>0</v>
      </c>
      <c r="J289" s="706">
        <v>0</v>
      </c>
      <c r="K289" s="706">
        <v>0</v>
      </c>
      <c r="L289" s="706">
        <v>0</v>
      </c>
      <c r="M289" s="706">
        <v>0</v>
      </c>
      <c r="N289" s="56">
        <v>8981</v>
      </c>
      <c r="O289" s="56">
        <v>8604</v>
      </c>
      <c r="Q289" s="695" t="s">
        <v>5737</v>
      </c>
    </row>
    <row r="290" spans="1:17">
      <c r="A290" s="695" t="s">
        <v>5431</v>
      </c>
      <c r="B290" s="695" t="s">
        <v>12739</v>
      </c>
      <c r="C290" s="55" t="s">
        <v>14563</v>
      </c>
      <c r="D290" s="706">
        <v>0</v>
      </c>
      <c r="E290" s="706">
        <v>0</v>
      </c>
      <c r="F290" s="706">
        <v>0</v>
      </c>
      <c r="G290" s="706">
        <v>0</v>
      </c>
      <c r="H290" s="706">
        <v>0</v>
      </c>
      <c r="I290" s="706">
        <v>0</v>
      </c>
      <c r="J290" s="706">
        <v>0</v>
      </c>
      <c r="K290" s="706">
        <v>0</v>
      </c>
      <c r="L290" s="706">
        <v>0</v>
      </c>
      <c r="M290" s="706">
        <v>0</v>
      </c>
      <c r="N290" s="56">
        <v>5484</v>
      </c>
      <c r="O290" s="56">
        <v>5090</v>
      </c>
      <c r="Q290" s="695" t="s">
        <v>5737</v>
      </c>
    </row>
    <row r="291" spans="1:17">
      <c r="A291" s="695" t="s">
        <v>5433</v>
      </c>
      <c r="B291" s="695" t="s">
        <v>12740</v>
      </c>
      <c r="C291" s="55" t="s">
        <v>14564</v>
      </c>
      <c r="D291" s="706">
        <v>0</v>
      </c>
      <c r="E291" s="706">
        <v>0</v>
      </c>
      <c r="F291" s="706">
        <v>0</v>
      </c>
      <c r="G291" s="706">
        <v>0</v>
      </c>
      <c r="H291" s="706">
        <v>0</v>
      </c>
      <c r="I291" s="706">
        <v>0</v>
      </c>
      <c r="J291" s="706">
        <v>0</v>
      </c>
      <c r="K291" s="706">
        <v>0</v>
      </c>
      <c r="L291" s="706">
        <v>0</v>
      </c>
      <c r="M291" s="706">
        <v>0</v>
      </c>
      <c r="N291" s="56">
        <v>9395</v>
      </c>
      <c r="O291" s="56">
        <v>9093</v>
      </c>
      <c r="Q291" s="695" t="s">
        <v>5737</v>
      </c>
    </row>
    <row r="292" spans="1:17">
      <c r="A292" s="695" t="s">
        <v>5435</v>
      </c>
      <c r="B292" s="695" t="s">
        <v>12741</v>
      </c>
      <c r="C292" s="55" t="s">
        <v>14565</v>
      </c>
      <c r="D292" s="706">
        <v>0</v>
      </c>
      <c r="E292" s="706">
        <v>0</v>
      </c>
      <c r="F292" s="706">
        <v>0</v>
      </c>
      <c r="G292" s="706">
        <v>0</v>
      </c>
      <c r="H292" s="706">
        <v>0</v>
      </c>
      <c r="I292" s="706">
        <v>0</v>
      </c>
      <c r="J292" s="706">
        <v>0</v>
      </c>
      <c r="K292" s="706">
        <v>0</v>
      </c>
      <c r="L292" s="706">
        <v>0</v>
      </c>
      <c r="M292" s="706">
        <v>0</v>
      </c>
      <c r="N292" s="58">
        <v>9584</v>
      </c>
      <c r="O292" s="58">
        <v>9289</v>
      </c>
      <c r="Q292" s="695" t="s">
        <v>5737</v>
      </c>
    </row>
    <row r="293" spans="1:17">
      <c r="A293" s="695" t="s">
        <v>5436</v>
      </c>
      <c r="B293" s="695" t="s">
        <v>2463</v>
      </c>
      <c r="C293" s="55" t="s">
        <v>14566</v>
      </c>
      <c r="D293" s="706">
        <v>0</v>
      </c>
      <c r="E293" s="706">
        <v>0</v>
      </c>
      <c r="F293" s="706">
        <v>0</v>
      </c>
      <c r="G293" s="706">
        <v>0</v>
      </c>
      <c r="H293" s="706">
        <v>0</v>
      </c>
      <c r="I293" s="706">
        <v>0</v>
      </c>
      <c r="J293" s="706">
        <v>0</v>
      </c>
      <c r="K293" s="706">
        <v>0</v>
      </c>
      <c r="L293" s="706">
        <v>0</v>
      </c>
      <c r="M293" s="706">
        <v>0</v>
      </c>
      <c r="N293" s="58">
        <v>9235</v>
      </c>
      <c r="O293" s="58">
        <v>8928</v>
      </c>
      <c r="Q293" s="695" t="s">
        <v>5742</v>
      </c>
    </row>
    <row r="294" spans="1:17">
      <c r="A294" s="695" t="s">
        <v>5437</v>
      </c>
      <c r="B294" s="695" t="s">
        <v>2464</v>
      </c>
      <c r="C294" s="55" t="s">
        <v>14567</v>
      </c>
      <c r="D294" s="706">
        <v>0</v>
      </c>
      <c r="E294" s="706">
        <v>0</v>
      </c>
      <c r="F294" s="706">
        <v>0</v>
      </c>
      <c r="G294" s="706">
        <v>0</v>
      </c>
      <c r="H294" s="706">
        <v>0</v>
      </c>
      <c r="I294" s="706">
        <v>0</v>
      </c>
      <c r="J294" s="706">
        <v>0</v>
      </c>
      <c r="K294" s="706">
        <v>0</v>
      </c>
      <c r="L294" s="706">
        <v>0</v>
      </c>
      <c r="M294" s="706">
        <v>0</v>
      </c>
      <c r="N294" s="56">
        <v>9037</v>
      </c>
      <c r="O294" s="56">
        <v>8793</v>
      </c>
      <c r="Q294" s="695" t="s">
        <v>5742</v>
      </c>
    </row>
    <row r="295" spans="1:17">
      <c r="A295" s="695" t="s">
        <v>5439</v>
      </c>
      <c r="B295" s="695" t="s">
        <v>12742</v>
      </c>
      <c r="C295" s="55" t="s">
        <v>14568</v>
      </c>
      <c r="D295" s="706">
        <v>0</v>
      </c>
      <c r="E295" s="706">
        <v>0</v>
      </c>
      <c r="F295" s="706">
        <v>0</v>
      </c>
      <c r="G295" s="706">
        <v>0</v>
      </c>
      <c r="H295" s="706">
        <v>0</v>
      </c>
      <c r="I295" s="706">
        <v>0</v>
      </c>
      <c r="J295" s="706">
        <v>0</v>
      </c>
      <c r="K295" s="706">
        <v>0</v>
      </c>
      <c r="L295" s="706">
        <v>0</v>
      </c>
      <c r="M295" s="706">
        <v>0</v>
      </c>
      <c r="N295" s="58">
        <v>10630</v>
      </c>
      <c r="O295" s="58">
        <v>10128</v>
      </c>
      <c r="Q295" s="695" t="s">
        <v>5737</v>
      </c>
    </row>
    <row r="296" spans="1:17">
      <c r="A296" s="695" t="s">
        <v>5441</v>
      </c>
      <c r="B296" s="695" t="s">
        <v>12743</v>
      </c>
      <c r="C296" s="55" t="s">
        <v>14569</v>
      </c>
      <c r="D296" s="706">
        <v>0</v>
      </c>
      <c r="E296" s="706">
        <v>0</v>
      </c>
      <c r="F296" s="706">
        <v>0</v>
      </c>
      <c r="G296" s="706">
        <v>0</v>
      </c>
      <c r="H296" s="706">
        <v>0</v>
      </c>
      <c r="I296" s="706">
        <v>0</v>
      </c>
      <c r="J296" s="706">
        <v>0</v>
      </c>
      <c r="K296" s="706">
        <v>0</v>
      </c>
      <c r="L296" s="706">
        <v>0</v>
      </c>
      <c r="M296" s="706">
        <v>0</v>
      </c>
      <c r="N296" s="58">
        <v>9209</v>
      </c>
      <c r="O296" s="58">
        <v>8918</v>
      </c>
      <c r="Q296" s="695" t="s">
        <v>5742</v>
      </c>
    </row>
    <row r="297" spans="1:17">
      <c r="D297" s="707"/>
      <c r="E297" s="707"/>
      <c r="F297" s="707"/>
      <c r="G297" s="707"/>
      <c r="H297" s="707"/>
      <c r="I297" s="707"/>
      <c r="J297" s="707"/>
      <c r="K297" s="707"/>
      <c r="L297" s="707"/>
      <c r="M297" s="707"/>
      <c r="N297" s="707"/>
      <c r="O297" s="707"/>
    </row>
    <row r="298" spans="1:17">
      <c r="A298" s="695" t="s">
        <v>5767</v>
      </c>
      <c r="C298" s="715"/>
      <c r="D298" s="706">
        <f t="shared" ref="D298:M298" si="151">SUM(D278,D285)</f>
        <v>15032</v>
      </c>
      <c r="E298" s="706">
        <f t="shared" si="151"/>
        <v>15417</v>
      </c>
      <c r="F298" s="706">
        <f t="shared" si="151"/>
        <v>15891</v>
      </c>
      <c r="G298" s="706">
        <f t="shared" si="151"/>
        <v>16211</v>
      </c>
      <c r="H298" s="706">
        <f t="shared" si="151"/>
        <v>16315</v>
      </c>
      <c r="I298" s="706">
        <f t="shared" si="151"/>
        <v>15696</v>
      </c>
      <c r="J298" s="706">
        <f t="shared" si="151"/>
        <v>16168</v>
      </c>
      <c r="K298" s="706">
        <f t="shared" si="151"/>
        <v>16080</v>
      </c>
      <c r="L298" s="706">
        <f t="shared" si="151"/>
        <v>16457</v>
      </c>
      <c r="M298" s="706">
        <f t="shared" si="151"/>
        <v>16269</v>
      </c>
      <c r="N298" s="706">
        <f>SUM(N278,N285)</f>
        <v>17675</v>
      </c>
      <c r="O298" s="706">
        <f>SUM(O278,O285)</f>
        <v>16943</v>
      </c>
      <c r="P298" s="715"/>
      <c r="Q298" s="715"/>
    </row>
    <row r="299" spans="1:17">
      <c r="A299" s="695" t="s">
        <v>5737</v>
      </c>
      <c r="C299" s="715"/>
      <c r="D299" s="706">
        <f t="shared" ref="D299:M299" si="152">SUM(D276,D280:D281,D287:D292,D295)</f>
        <v>74817</v>
      </c>
      <c r="E299" s="706">
        <f t="shared" si="152"/>
        <v>76863</v>
      </c>
      <c r="F299" s="706">
        <f t="shared" si="152"/>
        <v>78217</v>
      </c>
      <c r="G299" s="706">
        <f t="shared" si="152"/>
        <v>78545</v>
      </c>
      <c r="H299" s="706">
        <f t="shared" si="152"/>
        <v>78803</v>
      </c>
      <c r="I299" s="706">
        <f t="shared" si="152"/>
        <v>72464</v>
      </c>
      <c r="J299" s="706">
        <f t="shared" si="152"/>
        <v>74161</v>
      </c>
      <c r="K299" s="706">
        <f t="shared" si="152"/>
        <v>74300</v>
      </c>
      <c r="L299" s="706">
        <f t="shared" si="152"/>
        <v>75775</v>
      </c>
      <c r="M299" s="706">
        <f t="shared" si="152"/>
        <v>75255</v>
      </c>
      <c r="N299" s="706">
        <f>SUM(N276,N280:N281,N287:N292,N295)</f>
        <v>86306</v>
      </c>
      <c r="O299" s="706">
        <f>SUM(O276,O280:O281,O287:O292,O295)</f>
        <v>82834</v>
      </c>
      <c r="P299" s="715"/>
      <c r="Q299" s="715"/>
    </row>
    <row r="300" spans="1:17">
      <c r="A300" s="695" t="s">
        <v>5742</v>
      </c>
      <c r="C300" s="715"/>
      <c r="D300" s="706">
        <f t="shared" ref="D300:M300" si="153">SUM(D275,D277,D279,D282,D284,D286,D293:D294,D296)</f>
        <v>73019</v>
      </c>
      <c r="E300" s="706">
        <f t="shared" si="153"/>
        <v>73409</v>
      </c>
      <c r="F300" s="706">
        <f t="shared" si="153"/>
        <v>73458</v>
      </c>
      <c r="G300" s="706">
        <f t="shared" si="153"/>
        <v>73982</v>
      </c>
      <c r="H300" s="706">
        <f t="shared" si="153"/>
        <v>73975</v>
      </c>
      <c r="I300" s="706">
        <f t="shared" si="153"/>
        <v>71425</v>
      </c>
      <c r="J300" s="706">
        <f t="shared" si="153"/>
        <v>72316</v>
      </c>
      <c r="K300" s="706">
        <f t="shared" si="153"/>
        <v>71927</v>
      </c>
      <c r="L300" s="706">
        <f t="shared" si="153"/>
        <v>73054</v>
      </c>
      <c r="M300" s="706">
        <f t="shared" si="153"/>
        <v>72941</v>
      </c>
      <c r="N300" s="706">
        <f>SUM(N275,N277,N279,N282,N284,N286,N293:N294,N296)</f>
        <v>76767</v>
      </c>
      <c r="O300" s="706">
        <f>SUM(O275,O277,O279,O282,O284,O286,O293:O294,O296)</f>
        <v>74404</v>
      </c>
      <c r="P300" s="715"/>
      <c r="Q300" s="715"/>
    </row>
    <row r="301" spans="1:17">
      <c r="A301" s="695"/>
      <c r="C301" s="715"/>
      <c r="D301" s="706"/>
      <c r="E301" s="706"/>
      <c r="F301" s="706"/>
      <c r="G301" s="706"/>
      <c r="H301" s="706"/>
      <c r="I301" s="706"/>
      <c r="J301" s="706"/>
      <c r="K301" s="706"/>
      <c r="L301" s="706"/>
      <c r="M301" s="706"/>
      <c r="N301" s="706"/>
      <c r="O301" s="706"/>
      <c r="P301" s="715"/>
      <c r="Q301" s="715"/>
    </row>
    <row r="302" spans="1:17">
      <c r="A302" s="156" t="s">
        <v>12745</v>
      </c>
      <c r="C302" s="715"/>
      <c r="P302" s="715"/>
      <c r="Q302" s="715"/>
    </row>
    <row r="305" spans="1:17">
      <c r="E305" s="51" t="s">
        <v>1526</v>
      </c>
      <c r="F305" s="51"/>
      <c r="G305" s="51"/>
      <c r="H305" s="51"/>
      <c r="I305" s="51"/>
      <c r="J305" s="51"/>
      <c r="K305" s="51"/>
      <c r="L305" s="51"/>
      <c r="M305" s="51"/>
      <c r="N305" s="51"/>
      <c r="O305" s="51"/>
      <c r="P305" s="52"/>
      <c r="Q305" s="53" t="s">
        <v>9479</v>
      </c>
    </row>
    <row r="306" spans="1:17">
      <c r="D306" s="40">
        <v>2010</v>
      </c>
      <c r="E306" s="40">
        <v>2011</v>
      </c>
      <c r="F306" s="40">
        <v>2012</v>
      </c>
      <c r="G306" s="40">
        <v>2013</v>
      </c>
      <c r="H306" s="40">
        <v>2014</v>
      </c>
      <c r="I306" s="40">
        <v>2015</v>
      </c>
      <c r="J306" s="40">
        <v>2016</v>
      </c>
      <c r="K306" s="40">
        <v>2017</v>
      </c>
      <c r="L306" s="40">
        <v>2018</v>
      </c>
      <c r="M306" s="40">
        <v>2019</v>
      </c>
      <c r="N306" s="40">
        <v>2020</v>
      </c>
      <c r="O306" s="975" t="s">
        <v>14823</v>
      </c>
      <c r="Q306" s="54" t="s">
        <v>1527</v>
      </c>
    </row>
    <row r="307" spans="1:17">
      <c r="A307" s="695" t="s">
        <v>3873</v>
      </c>
      <c r="C307" s="715"/>
      <c r="D307" s="706">
        <f t="shared" ref="D307:I307" si="154">SUM(D308:D328)</f>
        <v>218383</v>
      </c>
      <c r="E307" s="706">
        <f t="shared" si="154"/>
        <v>217872</v>
      </c>
      <c r="F307" s="706">
        <f t="shared" si="154"/>
        <v>220277</v>
      </c>
      <c r="G307" s="706">
        <f t="shared" si="154"/>
        <v>221580</v>
      </c>
      <c r="H307" s="706">
        <f t="shared" si="154"/>
        <v>219880</v>
      </c>
      <c r="I307" s="706">
        <f t="shared" si="154"/>
        <v>220746</v>
      </c>
      <c r="J307" s="706">
        <f t="shared" ref="J307:O307" si="155">SUM(J308:J328)</f>
        <v>211848</v>
      </c>
      <c r="K307" s="706">
        <f t="shared" si="155"/>
        <v>216687</v>
      </c>
      <c r="L307" s="706">
        <f t="shared" si="155"/>
        <v>218294</v>
      </c>
      <c r="M307" s="706">
        <f t="shared" si="155"/>
        <v>217619</v>
      </c>
      <c r="N307" s="706">
        <f t="shared" si="155"/>
        <v>226057</v>
      </c>
      <c r="O307" s="706">
        <f t="shared" si="155"/>
        <v>221485</v>
      </c>
      <c r="P307" s="715"/>
      <c r="Q307" s="715"/>
    </row>
    <row r="308" spans="1:17">
      <c r="A308" s="695" t="s">
        <v>5387</v>
      </c>
      <c r="B308" s="695" t="s">
        <v>3874</v>
      </c>
      <c r="C308" s="55" t="s">
        <v>7066</v>
      </c>
      <c r="D308" s="706">
        <v>10599</v>
      </c>
      <c r="E308" s="706">
        <v>10542</v>
      </c>
      <c r="F308" s="706">
        <v>10665</v>
      </c>
      <c r="G308" s="706">
        <v>10685</v>
      </c>
      <c r="H308" s="63">
        <v>10593</v>
      </c>
      <c r="I308" s="63">
        <v>10701</v>
      </c>
      <c r="J308" s="56">
        <v>10263</v>
      </c>
      <c r="K308" s="56">
        <v>10442</v>
      </c>
      <c r="L308" s="56">
        <v>10491</v>
      </c>
      <c r="M308" s="56">
        <v>10368</v>
      </c>
      <c r="N308" s="56">
        <v>10579</v>
      </c>
      <c r="O308" s="56">
        <v>10400</v>
      </c>
      <c r="Q308" s="695" t="s">
        <v>2748</v>
      </c>
    </row>
    <row r="309" spans="1:17">
      <c r="A309" s="695" t="s">
        <v>5389</v>
      </c>
      <c r="B309" s="695" t="s">
        <v>3875</v>
      </c>
      <c r="C309" s="55" t="s">
        <v>7067</v>
      </c>
      <c r="D309" s="706">
        <v>9848</v>
      </c>
      <c r="E309" s="706">
        <v>9831</v>
      </c>
      <c r="F309" s="706">
        <v>9834</v>
      </c>
      <c r="G309" s="706">
        <v>9895</v>
      </c>
      <c r="H309" s="63">
        <v>9770</v>
      </c>
      <c r="I309" s="63">
        <v>9827</v>
      </c>
      <c r="J309" s="56">
        <v>9589</v>
      </c>
      <c r="K309" s="56">
        <v>9755</v>
      </c>
      <c r="L309" s="56">
        <v>9777</v>
      </c>
      <c r="M309" s="56">
        <v>9800</v>
      </c>
      <c r="N309" s="56">
        <v>10243</v>
      </c>
      <c r="O309" s="56">
        <v>10095</v>
      </c>
      <c r="Q309" s="695" t="s">
        <v>2748</v>
      </c>
    </row>
    <row r="310" spans="1:17">
      <c r="A310" s="695" t="s">
        <v>5391</v>
      </c>
      <c r="B310" s="695" t="s">
        <v>3876</v>
      </c>
      <c r="C310" s="55" t="s">
        <v>7068</v>
      </c>
      <c r="D310" s="706">
        <v>10898</v>
      </c>
      <c r="E310" s="706">
        <v>10843</v>
      </c>
      <c r="F310" s="706">
        <v>10922</v>
      </c>
      <c r="G310" s="706">
        <v>10931</v>
      </c>
      <c r="H310" s="63">
        <v>10824</v>
      </c>
      <c r="I310" s="63">
        <v>10864</v>
      </c>
      <c r="J310" s="56">
        <v>10358</v>
      </c>
      <c r="K310" s="56">
        <v>10584</v>
      </c>
      <c r="L310" s="56">
        <v>10590</v>
      </c>
      <c r="M310" s="56">
        <v>10534</v>
      </c>
      <c r="N310" s="56">
        <v>10825</v>
      </c>
      <c r="O310" s="56">
        <v>10582</v>
      </c>
      <c r="Q310" s="695" t="s">
        <v>4174</v>
      </c>
    </row>
    <row r="311" spans="1:17">
      <c r="A311" s="695" t="s">
        <v>5393</v>
      </c>
      <c r="B311" s="695" t="s">
        <v>3877</v>
      </c>
      <c r="C311" s="55" t="s">
        <v>7069</v>
      </c>
      <c r="D311" s="706">
        <v>10855</v>
      </c>
      <c r="E311" s="706">
        <v>10891</v>
      </c>
      <c r="F311" s="706">
        <v>10938</v>
      </c>
      <c r="G311" s="706">
        <v>11008</v>
      </c>
      <c r="H311" s="63">
        <v>11015</v>
      </c>
      <c r="I311" s="63">
        <v>11068</v>
      </c>
      <c r="J311" s="56">
        <v>10615</v>
      </c>
      <c r="K311" s="56">
        <v>10879</v>
      </c>
      <c r="L311" s="56">
        <v>10958</v>
      </c>
      <c r="M311" s="56">
        <v>10923</v>
      </c>
      <c r="N311" s="56">
        <v>11236</v>
      </c>
      <c r="O311" s="56">
        <v>11009</v>
      </c>
      <c r="Q311" s="695" t="s">
        <v>4174</v>
      </c>
    </row>
    <row r="312" spans="1:17">
      <c r="A312" s="695" t="s">
        <v>5394</v>
      </c>
      <c r="B312" s="695" t="s">
        <v>3878</v>
      </c>
      <c r="C312" s="55" t="s">
        <v>7070</v>
      </c>
      <c r="D312" s="713">
        <v>9877</v>
      </c>
      <c r="E312" s="713">
        <v>9934</v>
      </c>
      <c r="F312" s="713">
        <v>10235</v>
      </c>
      <c r="G312" s="713">
        <v>10360</v>
      </c>
      <c r="H312" s="63">
        <v>10422</v>
      </c>
      <c r="I312" s="63">
        <v>10209</v>
      </c>
      <c r="J312" s="58">
        <v>9611</v>
      </c>
      <c r="K312" s="58">
        <v>9994</v>
      </c>
      <c r="L312" s="58">
        <v>10077</v>
      </c>
      <c r="M312" s="58">
        <v>10059</v>
      </c>
      <c r="N312" s="58">
        <v>10824</v>
      </c>
      <c r="O312" s="58">
        <v>10630</v>
      </c>
      <c r="Q312" s="695" t="s">
        <v>5739</v>
      </c>
    </row>
    <row r="313" spans="1:17">
      <c r="A313" s="695" t="s">
        <v>5416</v>
      </c>
      <c r="B313" s="695" t="s">
        <v>3879</v>
      </c>
      <c r="C313" s="55" t="s">
        <v>7071</v>
      </c>
      <c r="D313" s="706">
        <v>11331</v>
      </c>
      <c r="E313" s="706">
        <v>11402</v>
      </c>
      <c r="F313" s="706">
        <v>11544</v>
      </c>
      <c r="G313" s="706">
        <v>11665</v>
      </c>
      <c r="H313" s="63">
        <v>11663</v>
      </c>
      <c r="I313" s="63">
        <v>11847</v>
      </c>
      <c r="J313" s="56">
        <v>11434</v>
      </c>
      <c r="K313" s="56">
        <v>11642</v>
      </c>
      <c r="L313" s="56">
        <v>11761</v>
      </c>
      <c r="M313" s="56">
        <v>11815</v>
      </c>
      <c r="N313" s="56">
        <v>12370</v>
      </c>
      <c r="O313" s="56">
        <v>12084</v>
      </c>
      <c r="Q313" s="695" t="s">
        <v>2748</v>
      </c>
    </row>
    <row r="314" spans="1:17">
      <c r="A314" s="695" t="s">
        <v>5418</v>
      </c>
      <c r="B314" s="695" t="s">
        <v>2467</v>
      </c>
      <c r="C314" s="55" t="s">
        <v>7072</v>
      </c>
      <c r="D314" s="706">
        <v>10047</v>
      </c>
      <c r="E314" s="706">
        <v>10013</v>
      </c>
      <c r="F314" s="706">
        <v>10124</v>
      </c>
      <c r="G314" s="706">
        <v>10202</v>
      </c>
      <c r="H314" s="63">
        <v>10098</v>
      </c>
      <c r="I314" s="63">
        <v>10106</v>
      </c>
      <c r="J314" s="56">
        <v>9682</v>
      </c>
      <c r="K314" s="56">
        <v>9947</v>
      </c>
      <c r="L314" s="56">
        <v>9986</v>
      </c>
      <c r="M314" s="56">
        <v>9955</v>
      </c>
      <c r="N314" s="56">
        <v>10227</v>
      </c>
      <c r="O314" s="56">
        <v>10108</v>
      </c>
      <c r="Q314" s="695" t="s">
        <v>2748</v>
      </c>
    </row>
    <row r="315" spans="1:17">
      <c r="A315" s="695" t="s">
        <v>5420</v>
      </c>
      <c r="B315" s="695" t="s">
        <v>2468</v>
      </c>
      <c r="C315" s="55" t="s">
        <v>7073</v>
      </c>
      <c r="D315" s="706">
        <v>10389</v>
      </c>
      <c r="E315" s="706">
        <v>10469</v>
      </c>
      <c r="F315" s="706">
        <v>10607</v>
      </c>
      <c r="G315" s="706">
        <v>10648</v>
      </c>
      <c r="H315" s="63">
        <v>10599</v>
      </c>
      <c r="I315" s="63">
        <v>10656</v>
      </c>
      <c r="J315" s="56">
        <v>10256</v>
      </c>
      <c r="K315" s="56">
        <v>10522</v>
      </c>
      <c r="L315" s="56">
        <v>10616</v>
      </c>
      <c r="M315" s="56">
        <v>10567</v>
      </c>
      <c r="N315" s="56">
        <v>10978</v>
      </c>
      <c r="O315" s="56">
        <v>10815</v>
      </c>
      <c r="Q315" s="695" t="s">
        <v>2748</v>
      </c>
    </row>
    <row r="316" spans="1:17">
      <c r="A316" s="695" t="s">
        <v>5422</v>
      </c>
      <c r="B316" s="695" t="s">
        <v>2469</v>
      </c>
      <c r="C316" s="55" t="s">
        <v>7074</v>
      </c>
      <c r="D316" s="706">
        <v>10813</v>
      </c>
      <c r="E316" s="706">
        <v>10736</v>
      </c>
      <c r="F316" s="706">
        <v>10948</v>
      </c>
      <c r="G316" s="706">
        <v>11050</v>
      </c>
      <c r="H316" s="63">
        <v>10887</v>
      </c>
      <c r="I316" s="63">
        <v>10855</v>
      </c>
      <c r="J316" s="58">
        <v>10249</v>
      </c>
      <c r="K316" s="58">
        <v>10514</v>
      </c>
      <c r="L316" s="58">
        <v>10711</v>
      </c>
      <c r="M316" s="58">
        <v>10705</v>
      </c>
      <c r="N316" s="58">
        <v>11253</v>
      </c>
      <c r="O316" s="58">
        <v>10915</v>
      </c>
      <c r="Q316" s="695" t="s">
        <v>5739</v>
      </c>
    </row>
    <row r="317" spans="1:17">
      <c r="A317" s="695" t="s">
        <v>5424</v>
      </c>
      <c r="B317" s="695" t="s">
        <v>2470</v>
      </c>
      <c r="C317" s="55" t="s">
        <v>7075</v>
      </c>
      <c r="D317" s="706">
        <v>10565</v>
      </c>
      <c r="E317" s="706">
        <v>10478</v>
      </c>
      <c r="F317" s="706">
        <v>10625</v>
      </c>
      <c r="G317" s="706">
        <v>10709</v>
      </c>
      <c r="H317" s="63">
        <v>10599</v>
      </c>
      <c r="I317" s="63">
        <v>10559</v>
      </c>
      <c r="J317" s="58">
        <v>10005</v>
      </c>
      <c r="K317" s="58">
        <v>10129</v>
      </c>
      <c r="L317" s="58">
        <v>10302</v>
      </c>
      <c r="M317" s="58">
        <v>10207</v>
      </c>
      <c r="N317" s="58">
        <v>10632</v>
      </c>
      <c r="O317" s="58">
        <v>10385</v>
      </c>
      <c r="Q317" s="695" t="s">
        <v>5739</v>
      </c>
    </row>
    <row r="318" spans="1:17">
      <c r="A318" s="695" t="s">
        <v>5426</v>
      </c>
      <c r="B318" s="695" t="s">
        <v>3906</v>
      </c>
      <c r="C318" s="55" t="s">
        <v>7076</v>
      </c>
      <c r="D318" s="713">
        <v>10958</v>
      </c>
      <c r="E318" s="713">
        <v>10921</v>
      </c>
      <c r="F318" s="713">
        <v>11024</v>
      </c>
      <c r="G318" s="713">
        <v>11015</v>
      </c>
      <c r="H318" s="63">
        <v>10935</v>
      </c>
      <c r="I318" s="63">
        <v>10987</v>
      </c>
      <c r="J318" s="56">
        <v>10488</v>
      </c>
      <c r="K318" s="56">
        <v>10679</v>
      </c>
      <c r="L318" s="56">
        <v>10785</v>
      </c>
      <c r="M318" s="56">
        <v>10779</v>
      </c>
      <c r="N318" s="56">
        <v>11064</v>
      </c>
      <c r="O318" s="56">
        <v>10872</v>
      </c>
      <c r="Q318" s="695" t="s">
        <v>4174</v>
      </c>
    </row>
    <row r="319" spans="1:17">
      <c r="A319" s="695" t="s">
        <v>5428</v>
      </c>
      <c r="B319" s="695" t="s">
        <v>3907</v>
      </c>
      <c r="C319" s="55" t="s">
        <v>7077</v>
      </c>
      <c r="D319" s="706">
        <v>9933</v>
      </c>
      <c r="E319" s="706">
        <v>9833</v>
      </c>
      <c r="F319" s="706">
        <v>9905</v>
      </c>
      <c r="G319" s="706">
        <v>9943</v>
      </c>
      <c r="H319" s="63">
        <v>9932</v>
      </c>
      <c r="I319" s="63">
        <v>9982</v>
      </c>
      <c r="J319" s="56">
        <v>9664</v>
      </c>
      <c r="K319" s="56">
        <v>9822</v>
      </c>
      <c r="L319" s="56">
        <v>9871</v>
      </c>
      <c r="M319" s="56">
        <v>9844</v>
      </c>
      <c r="N319" s="56">
        <v>10113</v>
      </c>
      <c r="O319" s="56">
        <v>9919</v>
      </c>
      <c r="Q319" s="695" t="s">
        <v>2748</v>
      </c>
    </row>
    <row r="320" spans="1:17">
      <c r="A320" s="695" t="s">
        <v>5429</v>
      </c>
      <c r="B320" s="695" t="s">
        <v>3908</v>
      </c>
      <c r="C320" s="55" t="s">
        <v>7078</v>
      </c>
      <c r="D320" s="713">
        <v>10414</v>
      </c>
      <c r="E320" s="713">
        <v>10401</v>
      </c>
      <c r="F320" s="713">
        <v>10468</v>
      </c>
      <c r="G320" s="713">
        <v>10523</v>
      </c>
      <c r="H320" s="63">
        <v>10446</v>
      </c>
      <c r="I320" s="63">
        <v>10575</v>
      </c>
      <c r="J320" s="58">
        <v>10269</v>
      </c>
      <c r="K320" s="58">
        <v>10656</v>
      </c>
      <c r="L320" s="58">
        <v>10793</v>
      </c>
      <c r="M320" s="58">
        <v>10779</v>
      </c>
      <c r="N320" s="58">
        <v>11313</v>
      </c>
      <c r="O320" s="58">
        <v>11028</v>
      </c>
      <c r="Q320" s="695" t="s">
        <v>5739</v>
      </c>
    </row>
    <row r="321" spans="1:17">
      <c r="A321" s="695" t="s">
        <v>5431</v>
      </c>
      <c r="B321" s="695" t="s">
        <v>3909</v>
      </c>
      <c r="C321" s="55" t="s">
        <v>7079</v>
      </c>
      <c r="D321" s="713">
        <v>10796</v>
      </c>
      <c r="E321" s="713">
        <v>10755</v>
      </c>
      <c r="F321" s="713">
        <v>10924</v>
      </c>
      <c r="G321" s="713">
        <v>11004</v>
      </c>
      <c r="H321" s="63">
        <v>10810</v>
      </c>
      <c r="I321" s="63">
        <v>10930</v>
      </c>
      <c r="J321" s="58">
        <v>10551</v>
      </c>
      <c r="K321" s="58">
        <v>10766</v>
      </c>
      <c r="L321" s="58">
        <v>10774</v>
      </c>
      <c r="M321" s="58">
        <v>10640</v>
      </c>
      <c r="N321" s="58">
        <v>11097</v>
      </c>
      <c r="O321" s="58">
        <v>10844</v>
      </c>
      <c r="Q321" s="695" t="s">
        <v>5739</v>
      </c>
    </row>
    <row r="322" spans="1:17">
      <c r="A322" s="695" t="s">
        <v>5433</v>
      </c>
      <c r="B322" s="695" t="s">
        <v>5920</v>
      </c>
      <c r="C322" s="55" t="s">
        <v>7080</v>
      </c>
      <c r="D322" s="713">
        <v>10485</v>
      </c>
      <c r="E322" s="713">
        <v>10460</v>
      </c>
      <c r="F322" s="713">
        <v>10588</v>
      </c>
      <c r="G322" s="713">
        <v>10664</v>
      </c>
      <c r="H322" s="63">
        <v>10535</v>
      </c>
      <c r="I322" s="63">
        <v>10520</v>
      </c>
      <c r="J322" s="58">
        <v>9979</v>
      </c>
      <c r="K322" s="58">
        <v>10196</v>
      </c>
      <c r="L322" s="58">
        <v>10249</v>
      </c>
      <c r="M322" s="58">
        <v>10298</v>
      </c>
      <c r="N322" s="58">
        <v>10653</v>
      </c>
      <c r="O322" s="58">
        <v>10437</v>
      </c>
      <c r="Q322" s="695" t="s">
        <v>5739</v>
      </c>
    </row>
    <row r="323" spans="1:17">
      <c r="A323" s="695" t="s">
        <v>5435</v>
      </c>
      <c r="B323" s="695" t="s">
        <v>3910</v>
      </c>
      <c r="C323" s="55" t="s">
        <v>7081</v>
      </c>
      <c r="D323" s="706">
        <v>9815</v>
      </c>
      <c r="E323" s="706">
        <v>9818</v>
      </c>
      <c r="F323" s="706">
        <v>9856</v>
      </c>
      <c r="G323" s="706">
        <v>9917</v>
      </c>
      <c r="H323" s="63">
        <v>9897</v>
      </c>
      <c r="I323" s="63">
        <v>9866</v>
      </c>
      <c r="J323" s="56">
        <v>9622</v>
      </c>
      <c r="K323" s="56">
        <v>9763</v>
      </c>
      <c r="L323" s="56">
        <v>9766</v>
      </c>
      <c r="M323" s="56">
        <v>9664</v>
      </c>
      <c r="N323" s="56">
        <v>9917</v>
      </c>
      <c r="O323" s="56">
        <v>9770</v>
      </c>
      <c r="Q323" s="695" t="s">
        <v>4174</v>
      </c>
    </row>
    <row r="324" spans="1:17">
      <c r="A324" s="695" t="s">
        <v>5436</v>
      </c>
      <c r="B324" s="695" t="s">
        <v>3911</v>
      </c>
      <c r="C324" s="55" t="s">
        <v>7082</v>
      </c>
      <c r="D324" s="706">
        <v>9678</v>
      </c>
      <c r="E324" s="706">
        <v>9584</v>
      </c>
      <c r="F324" s="706">
        <v>9675</v>
      </c>
      <c r="G324" s="706">
        <v>9736</v>
      </c>
      <c r="H324" s="63">
        <v>9773</v>
      </c>
      <c r="I324" s="63">
        <v>9837</v>
      </c>
      <c r="J324" s="56">
        <v>9619</v>
      </c>
      <c r="K324" s="56">
        <v>9838</v>
      </c>
      <c r="L324" s="56">
        <v>9825</v>
      </c>
      <c r="M324" s="56">
        <v>9822</v>
      </c>
      <c r="N324" s="56">
        <v>10165</v>
      </c>
      <c r="O324" s="56">
        <v>9976</v>
      </c>
      <c r="Q324" s="695" t="s">
        <v>4174</v>
      </c>
    </row>
    <row r="325" spans="1:17">
      <c r="A325" s="695" t="s">
        <v>5437</v>
      </c>
      <c r="B325" s="695" t="s">
        <v>3912</v>
      </c>
      <c r="C325" s="55" t="s">
        <v>7083</v>
      </c>
      <c r="D325" s="706">
        <v>10461</v>
      </c>
      <c r="E325" s="706">
        <v>10365</v>
      </c>
      <c r="F325" s="706">
        <v>10499</v>
      </c>
      <c r="G325" s="706">
        <v>10606</v>
      </c>
      <c r="H325" s="63">
        <v>10466</v>
      </c>
      <c r="I325" s="63">
        <v>10553</v>
      </c>
      <c r="J325" s="56">
        <v>10016</v>
      </c>
      <c r="K325" s="56">
        <v>10216</v>
      </c>
      <c r="L325" s="56">
        <v>10260</v>
      </c>
      <c r="M325" s="56">
        <v>10181</v>
      </c>
      <c r="N325" s="56">
        <v>10484</v>
      </c>
      <c r="O325" s="56">
        <v>10295</v>
      </c>
      <c r="Q325" s="695" t="s">
        <v>4174</v>
      </c>
    </row>
    <row r="326" spans="1:17">
      <c r="A326" s="695" t="s">
        <v>5439</v>
      </c>
      <c r="B326" s="695" t="s">
        <v>3913</v>
      </c>
      <c r="C326" s="55" t="s">
        <v>7084</v>
      </c>
      <c r="D326" s="706">
        <v>10614</v>
      </c>
      <c r="E326" s="706">
        <v>10555</v>
      </c>
      <c r="F326" s="706">
        <v>10761</v>
      </c>
      <c r="G326" s="706">
        <v>10784</v>
      </c>
      <c r="H326" s="63">
        <v>10551</v>
      </c>
      <c r="I326" s="63">
        <v>10548</v>
      </c>
      <c r="J326" s="56">
        <v>10018</v>
      </c>
      <c r="K326" s="56">
        <v>10279</v>
      </c>
      <c r="L326" s="56">
        <v>10401</v>
      </c>
      <c r="M326" s="56">
        <v>10343</v>
      </c>
      <c r="N326" s="56">
        <v>10903</v>
      </c>
      <c r="O326" s="56">
        <v>10591</v>
      </c>
      <c r="Q326" s="695" t="s">
        <v>4173</v>
      </c>
    </row>
    <row r="327" spans="1:17">
      <c r="A327" s="695" t="s">
        <v>5441</v>
      </c>
      <c r="B327" s="695" t="s">
        <v>3914</v>
      </c>
      <c r="C327" s="55" t="s">
        <v>7085</v>
      </c>
      <c r="D327" s="713">
        <v>10227</v>
      </c>
      <c r="E327" s="713">
        <v>10334</v>
      </c>
      <c r="F327" s="713">
        <v>10392</v>
      </c>
      <c r="G327" s="713">
        <v>10496</v>
      </c>
      <c r="H327" s="63">
        <v>10352</v>
      </c>
      <c r="I327" s="63">
        <v>10439</v>
      </c>
      <c r="J327" s="56">
        <v>9919</v>
      </c>
      <c r="K327" s="56">
        <v>10155</v>
      </c>
      <c r="L327" s="56">
        <v>10235</v>
      </c>
      <c r="M327" s="56">
        <v>10181</v>
      </c>
      <c r="N327" s="56">
        <v>10592</v>
      </c>
      <c r="O327" s="56">
        <v>10376</v>
      </c>
      <c r="Q327" s="695" t="s">
        <v>4173</v>
      </c>
    </row>
    <row r="328" spans="1:17">
      <c r="A328" s="695" t="s">
        <v>5886</v>
      </c>
      <c r="B328" s="695" t="s">
        <v>3915</v>
      </c>
      <c r="C328" s="55" t="s">
        <v>7086</v>
      </c>
      <c r="D328" s="706">
        <v>9780</v>
      </c>
      <c r="E328" s="706">
        <v>9707</v>
      </c>
      <c r="F328" s="706">
        <v>9743</v>
      </c>
      <c r="G328" s="706">
        <v>9739</v>
      </c>
      <c r="H328" s="63">
        <v>9713</v>
      </c>
      <c r="I328" s="63">
        <v>9817</v>
      </c>
      <c r="J328" s="56">
        <v>9641</v>
      </c>
      <c r="K328" s="56">
        <v>9909</v>
      </c>
      <c r="L328" s="56">
        <v>10066</v>
      </c>
      <c r="M328" s="56">
        <v>10155</v>
      </c>
      <c r="N328" s="56">
        <v>10589</v>
      </c>
      <c r="O328" s="56">
        <v>10354</v>
      </c>
      <c r="Q328" s="695" t="s">
        <v>2748</v>
      </c>
    </row>
    <row r="329" spans="1:17">
      <c r="D329" s="707"/>
      <c r="E329" s="707"/>
      <c r="F329" s="707"/>
      <c r="G329" s="707"/>
      <c r="H329" s="707"/>
      <c r="I329" s="707"/>
      <c r="J329" s="707"/>
      <c r="K329" s="707"/>
      <c r="L329" s="707"/>
      <c r="M329" s="707"/>
      <c r="N329" s="707"/>
      <c r="O329" s="707"/>
    </row>
    <row r="330" spans="1:17">
      <c r="A330" s="695" t="s">
        <v>2748</v>
      </c>
      <c r="D330" s="706">
        <f t="shared" ref="D330:I330" si="156">D308+D309+SUM(D313:D315)+D319+D328</f>
        <v>71927</v>
      </c>
      <c r="E330" s="706">
        <f t="shared" si="156"/>
        <v>71797</v>
      </c>
      <c r="F330" s="706">
        <f t="shared" si="156"/>
        <v>72422</v>
      </c>
      <c r="G330" s="706">
        <f t="shared" si="156"/>
        <v>72777</v>
      </c>
      <c r="H330" s="706">
        <f t="shared" si="156"/>
        <v>72368</v>
      </c>
      <c r="I330" s="706">
        <f t="shared" si="156"/>
        <v>72936</v>
      </c>
      <c r="J330" s="706">
        <f t="shared" ref="J330:O330" si="157">J308+J309+SUM(J313:J315)+J319+J328</f>
        <v>70529</v>
      </c>
      <c r="K330" s="706">
        <f t="shared" si="157"/>
        <v>72039</v>
      </c>
      <c r="L330" s="706">
        <f t="shared" si="157"/>
        <v>72568</v>
      </c>
      <c r="M330" s="706">
        <f t="shared" si="157"/>
        <v>72504</v>
      </c>
      <c r="N330" s="706">
        <f t="shared" si="157"/>
        <v>75099</v>
      </c>
      <c r="O330" s="706">
        <f t="shared" si="157"/>
        <v>73775</v>
      </c>
    </row>
    <row r="331" spans="1:17">
      <c r="A331" s="695" t="s">
        <v>3916</v>
      </c>
      <c r="D331" s="706">
        <f t="shared" ref="D331:I331" si="158">D326+D327</f>
        <v>20841</v>
      </c>
      <c r="E331" s="706">
        <f t="shared" si="158"/>
        <v>20889</v>
      </c>
      <c r="F331" s="706">
        <f t="shared" si="158"/>
        <v>21153</v>
      </c>
      <c r="G331" s="706">
        <f t="shared" si="158"/>
        <v>21280</v>
      </c>
      <c r="H331" s="706">
        <f t="shared" si="158"/>
        <v>20903</v>
      </c>
      <c r="I331" s="706">
        <f t="shared" si="158"/>
        <v>20987</v>
      </c>
      <c r="J331" s="706">
        <f t="shared" ref="J331:O331" si="159">J326+J327</f>
        <v>19937</v>
      </c>
      <c r="K331" s="706">
        <f t="shared" si="159"/>
        <v>20434</v>
      </c>
      <c r="L331" s="706">
        <f t="shared" si="159"/>
        <v>20636</v>
      </c>
      <c r="M331" s="706">
        <f t="shared" si="159"/>
        <v>20524</v>
      </c>
      <c r="N331" s="706">
        <f t="shared" si="159"/>
        <v>21495</v>
      </c>
      <c r="O331" s="706">
        <f t="shared" si="159"/>
        <v>20967</v>
      </c>
    </row>
    <row r="332" spans="1:17">
      <c r="A332" s="695" t="s">
        <v>4174</v>
      </c>
      <c r="D332" s="706">
        <f t="shared" ref="D332:I332" si="160">D310+D311+D318+SUM(D323:D325)</f>
        <v>62665</v>
      </c>
      <c r="E332" s="706">
        <f t="shared" si="160"/>
        <v>62422</v>
      </c>
      <c r="F332" s="706">
        <f t="shared" si="160"/>
        <v>62914</v>
      </c>
      <c r="G332" s="706">
        <f t="shared" si="160"/>
        <v>63213</v>
      </c>
      <c r="H332" s="706">
        <f t="shared" si="160"/>
        <v>62910</v>
      </c>
      <c r="I332" s="706">
        <f t="shared" si="160"/>
        <v>63175</v>
      </c>
      <c r="J332" s="706">
        <f t="shared" ref="J332:O332" si="161">J310+J311+J318+SUM(J323:J325)</f>
        <v>60718</v>
      </c>
      <c r="K332" s="706">
        <f t="shared" si="161"/>
        <v>61959</v>
      </c>
      <c r="L332" s="706">
        <f t="shared" si="161"/>
        <v>62184</v>
      </c>
      <c r="M332" s="706">
        <f t="shared" si="161"/>
        <v>61903</v>
      </c>
      <c r="N332" s="706">
        <f t="shared" si="161"/>
        <v>63691</v>
      </c>
      <c r="O332" s="706">
        <f t="shared" si="161"/>
        <v>62504</v>
      </c>
      <c r="P332" s="706"/>
    </row>
    <row r="333" spans="1:17">
      <c r="A333" s="695" t="s">
        <v>5739</v>
      </c>
      <c r="D333" s="706">
        <f t="shared" ref="D333:I333" si="162">D312+D316+D317+SUM(D320:D322)</f>
        <v>62950</v>
      </c>
      <c r="E333" s="706">
        <f t="shared" si="162"/>
        <v>62764</v>
      </c>
      <c r="F333" s="706">
        <f t="shared" si="162"/>
        <v>63788</v>
      </c>
      <c r="G333" s="706">
        <f t="shared" si="162"/>
        <v>64310</v>
      </c>
      <c r="H333" s="706">
        <f t="shared" si="162"/>
        <v>63699</v>
      </c>
      <c r="I333" s="706">
        <f t="shared" si="162"/>
        <v>63648</v>
      </c>
      <c r="J333" s="706">
        <f t="shared" ref="J333:O333" si="163">J312+J316+J317+SUM(J320:J322)</f>
        <v>60664</v>
      </c>
      <c r="K333" s="706">
        <f t="shared" si="163"/>
        <v>62255</v>
      </c>
      <c r="L333" s="706">
        <f t="shared" si="163"/>
        <v>62906</v>
      </c>
      <c r="M333" s="706">
        <f t="shared" si="163"/>
        <v>62688</v>
      </c>
      <c r="N333" s="706">
        <f t="shared" si="163"/>
        <v>65772</v>
      </c>
      <c r="O333" s="706">
        <f t="shared" si="163"/>
        <v>64239</v>
      </c>
      <c r="P333" s="706"/>
    </row>
    <row r="334" spans="1:17">
      <c r="A334" s="695"/>
      <c r="D334" s="706"/>
      <c r="E334" s="706"/>
      <c r="F334" s="706"/>
      <c r="G334" s="706"/>
      <c r="H334" s="706"/>
      <c r="I334" s="706"/>
      <c r="J334" s="706"/>
      <c r="K334" s="706"/>
      <c r="L334" s="706"/>
      <c r="M334" s="706"/>
      <c r="N334" s="706"/>
      <c r="O334" s="706"/>
    </row>
    <row r="335" spans="1:17">
      <c r="A335" s="156" t="s">
        <v>5455</v>
      </c>
    </row>
    <row r="336" spans="1:17">
      <c r="A336" s="695"/>
      <c r="B336" s="695"/>
      <c r="D336" s="715"/>
      <c r="E336" s="715"/>
      <c r="F336" s="715"/>
      <c r="G336" s="715"/>
      <c r="H336" s="715"/>
      <c r="I336" s="715"/>
      <c r="J336" s="715"/>
      <c r="K336" s="715"/>
      <c r="L336" s="715"/>
      <c r="M336" s="715"/>
      <c r="N336" s="715"/>
      <c r="O336" s="715"/>
    </row>
    <row r="337" spans="1:17">
      <c r="A337" s="695"/>
      <c r="B337" s="695"/>
      <c r="D337" s="715"/>
      <c r="E337" s="715"/>
      <c r="F337" s="715"/>
      <c r="G337" s="715"/>
      <c r="H337" s="715"/>
      <c r="I337" s="715"/>
      <c r="J337" s="715"/>
      <c r="K337" s="715"/>
      <c r="L337" s="715"/>
      <c r="M337" s="715"/>
      <c r="N337" s="715"/>
      <c r="O337" s="715"/>
    </row>
    <row r="338" spans="1:17">
      <c r="E338" s="51" t="s">
        <v>1526</v>
      </c>
      <c r="F338" s="51"/>
      <c r="G338" s="51"/>
      <c r="H338" s="51"/>
      <c r="I338" s="51"/>
      <c r="J338" s="51"/>
      <c r="K338" s="51"/>
      <c r="L338" s="51"/>
      <c r="M338" s="51"/>
      <c r="N338" s="51"/>
      <c r="O338" s="51"/>
      <c r="P338" s="52"/>
      <c r="Q338" s="53" t="s">
        <v>9479</v>
      </c>
    </row>
    <row r="339" spans="1:17">
      <c r="D339" s="40">
        <v>2010</v>
      </c>
      <c r="E339" s="40">
        <v>2011</v>
      </c>
      <c r="F339" s="40">
        <v>2012</v>
      </c>
      <c r="G339" s="40">
        <v>2013</v>
      </c>
      <c r="H339" s="40">
        <v>2014</v>
      </c>
      <c r="I339" s="40">
        <v>2015</v>
      </c>
      <c r="J339" s="40">
        <v>2016</v>
      </c>
      <c r="K339" s="40">
        <v>2017</v>
      </c>
      <c r="L339" s="40">
        <v>2018</v>
      </c>
      <c r="M339" s="40">
        <v>2019</v>
      </c>
      <c r="N339" s="40">
        <v>2020</v>
      </c>
      <c r="O339" s="975" t="s">
        <v>14823</v>
      </c>
      <c r="Q339" s="54" t="s">
        <v>1527</v>
      </c>
    </row>
    <row r="340" spans="1:17">
      <c r="A340" s="695" t="s">
        <v>5456</v>
      </c>
      <c r="D340" s="706">
        <f t="shared" ref="D340:I340" si="164">SUM(D341:D359)</f>
        <v>164902</v>
      </c>
      <c r="E340" s="706">
        <f t="shared" si="164"/>
        <v>168321</v>
      </c>
      <c r="F340" s="706">
        <f t="shared" si="164"/>
        <v>166636</v>
      </c>
      <c r="G340" s="706">
        <f t="shared" si="164"/>
        <v>165961</v>
      </c>
      <c r="H340" s="706">
        <f t="shared" si="164"/>
        <v>169561</v>
      </c>
      <c r="I340" s="706">
        <f t="shared" si="164"/>
        <v>166761</v>
      </c>
      <c r="J340" s="706">
        <f t="shared" ref="J340:O340" si="165">SUM(J341:J359)</f>
        <v>163976</v>
      </c>
      <c r="K340" s="706">
        <f t="shared" si="165"/>
        <v>167545</v>
      </c>
      <c r="L340" s="706">
        <f t="shared" si="165"/>
        <v>168472</v>
      </c>
      <c r="M340" s="706">
        <f t="shared" si="165"/>
        <v>168775</v>
      </c>
      <c r="N340" s="706">
        <f t="shared" si="165"/>
        <v>171554</v>
      </c>
      <c r="O340" s="706">
        <f t="shared" si="165"/>
        <v>171507</v>
      </c>
    </row>
    <row r="341" spans="1:17">
      <c r="A341" s="695" t="s">
        <v>5387</v>
      </c>
      <c r="B341" s="695" t="s">
        <v>5457</v>
      </c>
      <c r="C341" s="55" t="s">
        <v>7087</v>
      </c>
      <c r="D341" s="706">
        <v>8824</v>
      </c>
      <c r="E341" s="706">
        <v>8853</v>
      </c>
      <c r="F341" s="706">
        <v>8730</v>
      </c>
      <c r="G341" s="56">
        <v>8701</v>
      </c>
      <c r="H341" s="56">
        <v>8868</v>
      </c>
      <c r="I341" s="56">
        <v>8736</v>
      </c>
      <c r="J341" s="56">
        <v>8561</v>
      </c>
      <c r="K341" s="56">
        <v>8687</v>
      </c>
      <c r="L341" s="56">
        <v>8708</v>
      </c>
      <c r="M341" s="56">
        <v>8672</v>
      </c>
      <c r="N341" s="56">
        <v>8726</v>
      </c>
      <c r="O341" s="56">
        <v>8808</v>
      </c>
      <c r="Q341" s="695" t="s">
        <v>2749</v>
      </c>
    </row>
    <row r="342" spans="1:17">
      <c r="A342" s="695" t="s">
        <v>5389</v>
      </c>
      <c r="B342" s="695" t="s">
        <v>3917</v>
      </c>
      <c r="C342" s="55" t="s">
        <v>7088</v>
      </c>
      <c r="D342" s="706">
        <v>8284</v>
      </c>
      <c r="E342" s="706">
        <v>8566</v>
      </c>
      <c r="F342" s="706">
        <v>8497</v>
      </c>
      <c r="G342" s="56">
        <v>8316</v>
      </c>
      <c r="H342" s="56">
        <v>8585</v>
      </c>
      <c r="I342" s="56">
        <v>8444</v>
      </c>
      <c r="J342" s="56">
        <v>8157</v>
      </c>
      <c r="K342" s="56">
        <v>8328</v>
      </c>
      <c r="L342" s="56">
        <v>8438</v>
      </c>
      <c r="M342" s="56">
        <v>8507</v>
      </c>
      <c r="N342" s="56">
        <v>8634</v>
      </c>
      <c r="O342" s="56">
        <v>8809</v>
      </c>
      <c r="Q342" s="695" t="s">
        <v>2749</v>
      </c>
    </row>
    <row r="343" spans="1:17">
      <c r="A343" s="695" t="s">
        <v>5391</v>
      </c>
      <c r="B343" s="695" t="s">
        <v>3918</v>
      </c>
      <c r="C343" s="55" t="s">
        <v>7089</v>
      </c>
      <c r="D343" s="706">
        <v>8507</v>
      </c>
      <c r="E343" s="706">
        <v>8604</v>
      </c>
      <c r="F343" s="706">
        <v>8619</v>
      </c>
      <c r="G343" s="56">
        <v>8497</v>
      </c>
      <c r="H343" s="56">
        <v>8652</v>
      </c>
      <c r="I343" s="56">
        <v>8510</v>
      </c>
      <c r="J343" s="56">
        <v>8338</v>
      </c>
      <c r="K343" s="56">
        <v>8508</v>
      </c>
      <c r="L343" s="56">
        <v>8580</v>
      </c>
      <c r="M343" s="56">
        <v>8545</v>
      </c>
      <c r="N343" s="56">
        <v>8574</v>
      </c>
      <c r="O343" s="56">
        <v>8541</v>
      </c>
      <c r="Q343" s="695" t="s">
        <v>2749</v>
      </c>
    </row>
    <row r="344" spans="1:17">
      <c r="A344" s="695" t="s">
        <v>5393</v>
      </c>
      <c r="B344" s="695" t="s">
        <v>3919</v>
      </c>
      <c r="C344" s="55" t="s">
        <v>7090</v>
      </c>
      <c r="D344" s="706">
        <v>8623</v>
      </c>
      <c r="E344" s="706">
        <v>8794</v>
      </c>
      <c r="F344" s="706">
        <v>8836</v>
      </c>
      <c r="G344" s="56">
        <v>8885</v>
      </c>
      <c r="H344" s="56">
        <v>9165</v>
      </c>
      <c r="I344" s="56">
        <v>9121</v>
      </c>
      <c r="J344" s="56">
        <v>9165</v>
      </c>
      <c r="K344" s="56">
        <v>9441</v>
      </c>
      <c r="L344" s="56">
        <v>9439</v>
      </c>
      <c r="M344" s="56">
        <v>9503</v>
      </c>
      <c r="N344" s="56">
        <v>9646</v>
      </c>
      <c r="O344" s="56">
        <v>9802</v>
      </c>
      <c r="Q344" s="695" t="s">
        <v>4173</v>
      </c>
    </row>
    <row r="345" spans="1:17" ht="15" customHeight="1">
      <c r="A345" s="695" t="s">
        <v>5394</v>
      </c>
      <c r="B345" s="695" t="s">
        <v>3920</v>
      </c>
      <c r="C345" s="55" t="s">
        <v>7091</v>
      </c>
      <c r="D345" s="706">
        <v>8446</v>
      </c>
      <c r="E345" s="706">
        <v>8604</v>
      </c>
      <c r="F345" s="706">
        <v>8539</v>
      </c>
      <c r="G345" s="56">
        <v>8531</v>
      </c>
      <c r="H345" s="56">
        <v>8672</v>
      </c>
      <c r="I345" s="56">
        <v>8561</v>
      </c>
      <c r="J345" s="56">
        <v>8325</v>
      </c>
      <c r="K345" s="56">
        <v>8537</v>
      </c>
      <c r="L345" s="56">
        <v>8470</v>
      </c>
      <c r="M345" s="56">
        <v>8471</v>
      </c>
      <c r="N345" s="56">
        <v>8624</v>
      </c>
      <c r="O345" s="56">
        <v>8438</v>
      </c>
      <c r="Q345" s="695" t="s">
        <v>4173</v>
      </c>
    </row>
    <row r="346" spans="1:17">
      <c r="A346" s="695" t="s">
        <v>5416</v>
      </c>
      <c r="B346" s="695" t="s">
        <v>3921</v>
      </c>
      <c r="C346" s="55" t="s">
        <v>7092</v>
      </c>
      <c r="D346" s="706">
        <v>8423</v>
      </c>
      <c r="E346" s="706">
        <v>8582</v>
      </c>
      <c r="F346" s="706">
        <v>8420</v>
      </c>
      <c r="G346" s="56">
        <v>8334</v>
      </c>
      <c r="H346" s="56">
        <v>8461</v>
      </c>
      <c r="I346" s="56">
        <v>8325</v>
      </c>
      <c r="J346" s="56">
        <v>8156</v>
      </c>
      <c r="K346" s="56">
        <v>8277</v>
      </c>
      <c r="L346" s="56">
        <v>8236</v>
      </c>
      <c r="M346" s="56">
        <v>8291</v>
      </c>
      <c r="N346" s="56">
        <v>8356</v>
      </c>
      <c r="O346" s="56">
        <v>8451</v>
      </c>
      <c r="Q346" s="695" t="s">
        <v>4173</v>
      </c>
    </row>
    <row r="347" spans="1:17">
      <c r="A347" s="695" t="s">
        <v>5418</v>
      </c>
      <c r="B347" s="695" t="s">
        <v>3922</v>
      </c>
      <c r="C347" s="55" t="s">
        <v>7093</v>
      </c>
      <c r="D347" s="706">
        <v>9227</v>
      </c>
      <c r="E347" s="706">
        <v>9329</v>
      </c>
      <c r="F347" s="706">
        <v>9273</v>
      </c>
      <c r="G347" s="56">
        <v>9166</v>
      </c>
      <c r="H347" s="56">
        <v>9383</v>
      </c>
      <c r="I347" s="56">
        <v>9281</v>
      </c>
      <c r="J347" s="56">
        <v>9239</v>
      </c>
      <c r="K347" s="56">
        <v>9396</v>
      </c>
      <c r="L347" s="56">
        <v>9402</v>
      </c>
      <c r="M347" s="56">
        <v>9407</v>
      </c>
      <c r="N347" s="56">
        <v>9454</v>
      </c>
      <c r="O347" s="56">
        <v>9312</v>
      </c>
      <c r="Q347" s="695" t="s">
        <v>4173</v>
      </c>
    </row>
    <row r="348" spans="1:17">
      <c r="A348" s="695" t="s">
        <v>5420</v>
      </c>
      <c r="B348" s="695" t="s">
        <v>3923</v>
      </c>
      <c r="C348" s="55" t="s">
        <v>7094</v>
      </c>
      <c r="D348" s="706">
        <v>8765</v>
      </c>
      <c r="E348" s="706">
        <v>8962</v>
      </c>
      <c r="F348" s="706">
        <v>8820</v>
      </c>
      <c r="G348" s="56">
        <v>8826</v>
      </c>
      <c r="H348" s="56">
        <v>8961</v>
      </c>
      <c r="I348" s="56">
        <v>8854</v>
      </c>
      <c r="J348" s="56">
        <v>8705</v>
      </c>
      <c r="K348" s="56">
        <v>8874</v>
      </c>
      <c r="L348" s="56">
        <v>8860</v>
      </c>
      <c r="M348" s="56">
        <v>8926</v>
      </c>
      <c r="N348" s="56">
        <v>9112</v>
      </c>
      <c r="O348" s="56">
        <v>8896</v>
      </c>
      <c r="Q348" s="695" t="s">
        <v>2749</v>
      </c>
    </row>
    <row r="349" spans="1:17">
      <c r="A349" s="695" t="s">
        <v>5422</v>
      </c>
      <c r="B349" s="695" t="s">
        <v>3924</v>
      </c>
      <c r="C349" s="55" t="s">
        <v>7095</v>
      </c>
      <c r="D349" s="706">
        <v>8935</v>
      </c>
      <c r="E349" s="706">
        <v>9063</v>
      </c>
      <c r="F349" s="706">
        <v>8949</v>
      </c>
      <c r="G349" s="56">
        <v>8916</v>
      </c>
      <c r="H349" s="56">
        <v>9024</v>
      </c>
      <c r="I349" s="56">
        <v>8914</v>
      </c>
      <c r="J349" s="56">
        <v>8824</v>
      </c>
      <c r="K349" s="56">
        <v>8896</v>
      </c>
      <c r="L349" s="56">
        <v>8956</v>
      </c>
      <c r="M349" s="56">
        <v>8924</v>
      </c>
      <c r="N349" s="56">
        <v>8911</v>
      </c>
      <c r="O349" s="56">
        <v>9018</v>
      </c>
      <c r="Q349" s="695" t="s">
        <v>2749</v>
      </c>
    </row>
    <row r="350" spans="1:17">
      <c r="A350" s="695" t="s">
        <v>5424</v>
      </c>
      <c r="B350" s="695" t="s">
        <v>3925</v>
      </c>
      <c r="C350" s="55" t="s">
        <v>7096</v>
      </c>
      <c r="D350" s="706">
        <v>9279</v>
      </c>
      <c r="E350" s="706">
        <v>9486</v>
      </c>
      <c r="F350" s="706">
        <v>9362</v>
      </c>
      <c r="G350" s="56">
        <v>9249</v>
      </c>
      <c r="H350" s="56">
        <v>9443</v>
      </c>
      <c r="I350" s="56">
        <v>9249</v>
      </c>
      <c r="J350" s="56">
        <v>9046</v>
      </c>
      <c r="K350" s="56">
        <v>9282</v>
      </c>
      <c r="L350" s="56">
        <v>9350</v>
      </c>
      <c r="M350" s="56">
        <v>9297</v>
      </c>
      <c r="N350" s="56">
        <v>9404</v>
      </c>
      <c r="O350" s="56">
        <v>9500</v>
      </c>
      <c r="Q350" s="695" t="s">
        <v>4173</v>
      </c>
    </row>
    <row r="351" spans="1:17">
      <c r="A351" s="695" t="s">
        <v>5426</v>
      </c>
      <c r="B351" s="695" t="s">
        <v>3926</v>
      </c>
      <c r="C351" s="55" t="s">
        <v>7097</v>
      </c>
      <c r="D351" s="713">
        <v>8602</v>
      </c>
      <c r="E351" s="713">
        <v>8737</v>
      </c>
      <c r="F351" s="713">
        <v>8730</v>
      </c>
      <c r="G351" s="56">
        <v>8692</v>
      </c>
      <c r="H351" s="56">
        <v>8894</v>
      </c>
      <c r="I351" s="56">
        <v>8736</v>
      </c>
      <c r="J351" s="56">
        <v>8596</v>
      </c>
      <c r="K351" s="56">
        <v>8753</v>
      </c>
      <c r="L351" s="56">
        <v>8791</v>
      </c>
      <c r="M351" s="56">
        <v>8732</v>
      </c>
      <c r="N351" s="56">
        <v>8870</v>
      </c>
      <c r="O351" s="56">
        <v>8639</v>
      </c>
      <c r="Q351" s="695" t="s">
        <v>5738</v>
      </c>
    </row>
    <row r="352" spans="1:17">
      <c r="A352" s="695" t="s">
        <v>5428</v>
      </c>
      <c r="B352" s="695" t="s">
        <v>3927</v>
      </c>
      <c r="C352" s="55" t="s">
        <v>7098</v>
      </c>
      <c r="D352" s="706">
        <v>8181</v>
      </c>
      <c r="E352" s="706">
        <v>8485</v>
      </c>
      <c r="F352" s="706">
        <v>8380</v>
      </c>
      <c r="G352" s="56">
        <v>8483</v>
      </c>
      <c r="H352" s="56">
        <v>8684</v>
      </c>
      <c r="I352" s="56">
        <v>8551</v>
      </c>
      <c r="J352" s="56">
        <v>8436</v>
      </c>
      <c r="K352" s="56">
        <v>8766</v>
      </c>
      <c r="L352" s="56">
        <v>8952</v>
      </c>
      <c r="M352" s="56">
        <v>9009</v>
      </c>
      <c r="N352" s="56">
        <v>9308</v>
      </c>
      <c r="O352" s="56">
        <v>9064</v>
      </c>
      <c r="Q352" s="695" t="s">
        <v>5738</v>
      </c>
    </row>
    <row r="353" spans="1:17">
      <c r="A353" s="695" t="s">
        <v>5429</v>
      </c>
      <c r="B353" s="695" t="s">
        <v>3928</v>
      </c>
      <c r="C353" s="55" t="s">
        <v>7099</v>
      </c>
      <c r="D353" s="707">
        <v>9582</v>
      </c>
      <c r="E353" s="707">
        <v>9974</v>
      </c>
      <c r="F353" s="707">
        <v>9886</v>
      </c>
      <c r="G353" s="56">
        <v>9887</v>
      </c>
      <c r="H353" s="56">
        <v>10180</v>
      </c>
      <c r="I353" s="56">
        <v>9984</v>
      </c>
      <c r="J353" s="56">
        <v>9989</v>
      </c>
      <c r="K353" s="56">
        <v>10165</v>
      </c>
      <c r="L353" s="56">
        <v>10321</v>
      </c>
      <c r="M353" s="56">
        <v>10407</v>
      </c>
      <c r="N353" s="56">
        <v>10720</v>
      </c>
      <c r="O353" s="56">
        <v>10655</v>
      </c>
      <c r="Q353" s="695" t="s">
        <v>5738</v>
      </c>
    </row>
    <row r="354" spans="1:17">
      <c r="A354" s="695" t="s">
        <v>5431</v>
      </c>
      <c r="B354" s="695" t="s">
        <v>3929</v>
      </c>
      <c r="C354" s="55" t="s">
        <v>7100</v>
      </c>
      <c r="D354" s="707">
        <v>8657</v>
      </c>
      <c r="E354" s="707">
        <v>8850</v>
      </c>
      <c r="F354" s="707">
        <v>8777</v>
      </c>
      <c r="G354" s="56">
        <v>8791</v>
      </c>
      <c r="H354" s="56">
        <v>8883</v>
      </c>
      <c r="I354" s="56">
        <v>8681</v>
      </c>
      <c r="J354" s="56">
        <v>8514</v>
      </c>
      <c r="K354" s="56">
        <v>8815</v>
      </c>
      <c r="L354" s="56">
        <v>8942</v>
      </c>
      <c r="M354" s="56">
        <v>8949</v>
      </c>
      <c r="N354" s="56">
        <v>9090</v>
      </c>
      <c r="O354" s="56">
        <v>9215</v>
      </c>
      <c r="Q354" s="695" t="s">
        <v>5738</v>
      </c>
    </row>
    <row r="355" spans="1:17">
      <c r="A355" s="695" t="s">
        <v>5433</v>
      </c>
      <c r="B355" s="695" t="s">
        <v>3930</v>
      </c>
      <c r="C355" s="55" t="s">
        <v>7101</v>
      </c>
      <c r="D355" s="707">
        <v>7766</v>
      </c>
      <c r="E355" s="707">
        <v>7864</v>
      </c>
      <c r="F355" s="707">
        <v>7812</v>
      </c>
      <c r="G355" s="58">
        <v>7733</v>
      </c>
      <c r="H355" s="58">
        <v>7907</v>
      </c>
      <c r="I355" s="58">
        <v>7773</v>
      </c>
      <c r="J355" s="58">
        <v>7754</v>
      </c>
      <c r="K355" s="58">
        <v>7770</v>
      </c>
      <c r="L355" s="58">
        <v>7847</v>
      </c>
      <c r="M355" s="58">
        <v>7801</v>
      </c>
      <c r="N355" s="58">
        <v>7923</v>
      </c>
      <c r="O355" s="58">
        <v>8022</v>
      </c>
      <c r="Q355" s="695" t="s">
        <v>5738</v>
      </c>
    </row>
    <row r="356" spans="1:17">
      <c r="A356" s="695" t="s">
        <v>5435</v>
      </c>
      <c r="B356" s="695" t="s">
        <v>3931</v>
      </c>
      <c r="C356" s="55" t="s">
        <v>7102</v>
      </c>
      <c r="D356" s="713">
        <v>8399</v>
      </c>
      <c r="E356" s="713">
        <v>8665</v>
      </c>
      <c r="F356" s="713">
        <v>8576</v>
      </c>
      <c r="G356" s="58">
        <v>8580</v>
      </c>
      <c r="H356" s="58">
        <v>8774</v>
      </c>
      <c r="I356" s="58">
        <v>8533</v>
      </c>
      <c r="J356" s="58">
        <v>8485</v>
      </c>
      <c r="K356" s="58">
        <v>8720</v>
      </c>
      <c r="L356" s="58">
        <v>8787</v>
      </c>
      <c r="M356" s="58">
        <v>8792</v>
      </c>
      <c r="N356" s="58">
        <v>8993</v>
      </c>
      <c r="O356" s="58">
        <v>9093</v>
      </c>
      <c r="Q356" s="695" t="s">
        <v>5738</v>
      </c>
    </row>
    <row r="357" spans="1:17">
      <c r="A357" s="695" t="s">
        <v>5436</v>
      </c>
      <c r="B357" s="695" t="s">
        <v>6728</v>
      </c>
      <c r="C357" s="55" t="s">
        <v>7103</v>
      </c>
      <c r="D357" s="713">
        <v>8531</v>
      </c>
      <c r="E357" s="713">
        <v>8787</v>
      </c>
      <c r="F357" s="713">
        <v>8588</v>
      </c>
      <c r="G357" s="56">
        <v>8506</v>
      </c>
      <c r="H357" s="56">
        <v>8834</v>
      </c>
      <c r="I357" s="56">
        <v>8585</v>
      </c>
      <c r="J357" s="56">
        <v>8283</v>
      </c>
      <c r="K357" s="56">
        <v>8519</v>
      </c>
      <c r="L357" s="56">
        <v>8601</v>
      </c>
      <c r="M357" s="56">
        <v>8654</v>
      </c>
      <c r="N357" s="56">
        <v>8984</v>
      </c>
      <c r="O357" s="56">
        <v>8904</v>
      </c>
      <c r="Q357" s="695" t="s">
        <v>2749</v>
      </c>
    </row>
    <row r="358" spans="1:17">
      <c r="A358" s="695" t="s">
        <v>5437</v>
      </c>
      <c r="B358" s="695" t="s">
        <v>3932</v>
      </c>
      <c r="C358" s="55" t="s">
        <v>7104</v>
      </c>
      <c r="D358" s="707">
        <v>9399</v>
      </c>
      <c r="E358" s="707">
        <v>9565</v>
      </c>
      <c r="F358" s="707">
        <v>9313</v>
      </c>
      <c r="G358" s="58">
        <v>9330</v>
      </c>
      <c r="H358" s="58">
        <v>9555</v>
      </c>
      <c r="I358" s="58">
        <v>9417</v>
      </c>
      <c r="J358" s="58">
        <v>9086</v>
      </c>
      <c r="K358" s="58">
        <v>9260</v>
      </c>
      <c r="L358" s="58">
        <v>9245</v>
      </c>
      <c r="M358" s="58">
        <v>9277</v>
      </c>
      <c r="N358" s="58">
        <v>9504</v>
      </c>
      <c r="O358" s="58">
        <v>9546</v>
      </c>
      <c r="Q358" s="695" t="s">
        <v>5738</v>
      </c>
    </row>
    <row r="359" spans="1:17">
      <c r="A359" s="695" t="s">
        <v>5439</v>
      </c>
      <c r="B359" s="695" t="s">
        <v>3933</v>
      </c>
      <c r="C359" s="55" t="s">
        <v>7105</v>
      </c>
      <c r="D359" s="707">
        <v>8472</v>
      </c>
      <c r="E359" s="707">
        <v>8551</v>
      </c>
      <c r="F359" s="707">
        <v>8529</v>
      </c>
      <c r="G359" s="58">
        <v>8538</v>
      </c>
      <c r="H359" s="58">
        <v>8636</v>
      </c>
      <c r="I359" s="58">
        <v>8506</v>
      </c>
      <c r="J359" s="58">
        <v>8317</v>
      </c>
      <c r="K359" s="58">
        <v>8551</v>
      </c>
      <c r="L359" s="58">
        <v>8547</v>
      </c>
      <c r="M359" s="58">
        <v>8611</v>
      </c>
      <c r="N359" s="58">
        <v>8721</v>
      </c>
      <c r="O359" s="58">
        <v>8794</v>
      </c>
      <c r="Q359" s="695" t="s">
        <v>5738</v>
      </c>
    </row>
    <row r="360" spans="1:17">
      <c r="D360" s="707"/>
      <c r="E360" s="707"/>
      <c r="F360" s="707"/>
      <c r="G360" s="707"/>
      <c r="H360" s="707"/>
      <c r="I360" s="707"/>
      <c r="J360" s="707"/>
      <c r="K360" s="707"/>
      <c r="L360" s="707"/>
      <c r="M360" s="707"/>
      <c r="N360" s="707"/>
      <c r="O360" s="707"/>
    </row>
    <row r="361" spans="1:17">
      <c r="A361" s="695" t="s">
        <v>4238</v>
      </c>
      <c r="D361" s="706">
        <f t="shared" ref="D361:I361" si="166">SUM(D341:D343)+D348+D349+D357</f>
        <v>51846</v>
      </c>
      <c r="E361" s="706">
        <f t="shared" si="166"/>
        <v>52835</v>
      </c>
      <c r="F361" s="706">
        <f t="shared" si="166"/>
        <v>52203</v>
      </c>
      <c r="G361" s="706">
        <f t="shared" si="166"/>
        <v>51762</v>
      </c>
      <c r="H361" s="706">
        <f t="shared" si="166"/>
        <v>52924</v>
      </c>
      <c r="I361" s="706">
        <f t="shared" si="166"/>
        <v>52043</v>
      </c>
      <c r="J361" s="706">
        <f t="shared" ref="J361:O361" si="167">SUM(J341:J343)+J348+J349+J357</f>
        <v>50868</v>
      </c>
      <c r="K361" s="706">
        <f t="shared" si="167"/>
        <v>51812</v>
      </c>
      <c r="L361" s="706">
        <f t="shared" si="167"/>
        <v>52143</v>
      </c>
      <c r="M361" s="706">
        <f t="shared" si="167"/>
        <v>52228</v>
      </c>
      <c r="N361" s="706">
        <f t="shared" si="167"/>
        <v>52941</v>
      </c>
      <c r="O361" s="706">
        <f t="shared" si="167"/>
        <v>52976</v>
      </c>
    </row>
    <row r="362" spans="1:17">
      <c r="A362" s="695" t="s">
        <v>3916</v>
      </c>
      <c r="D362" s="706">
        <f t="shared" ref="D362:I362" si="168">SUM(D344:D347)+D350</f>
        <v>43998</v>
      </c>
      <c r="E362" s="706">
        <f t="shared" si="168"/>
        <v>44795</v>
      </c>
      <c r="F362" s="706">
        <f t="shared" si="168"/>
        <v>44430</v>
      </c>
      <c r="G362" s="706">
        <f t="shared" si="168"/>
        <v>44165</v>
      </c>
      <c r="H362" s="706">
        <f t="shared" si="168"/>
        <v>45124</v>
      </c>
      <c r="I362" s="706">
        <f t="shared" si="168"/>
        <v>44537</v>
      </c>
      <c r="J362" s="706">
        <f t="shared" ref="J362:O362" si="169">SUM(J344:J347)+J350</f>
        <v>43931</v>
      </c>
      <c r="K362" s="706">
        <f t="shared" si="169"/>
        <v>44933</v>
      </c>
      <c r="L362" s="706">
        <f t="shared" si="169"/>
        <v>44897</v>
      </c>
      <c r="M362" s="706">
        <f t="shared" si="169"/>
        <v>44969</v>
      </c>
      <c r="N362" s="706">
        <f t="shared" si="169"/>
        <v>45484</v>
      </c>
      <c r="O362" s="706">
        <f t="shared" si="169"/>
        <v>45503</v>
      </c>
    </row>
    <row r="363" spans="1:17">
      <c r="A363" s="695" t="s">
        <v>5738</v>
      </c>
      <c r="D363" s="706">
        <f t="shared" ref="D363:I363" si="170">D351+D352+D353+D354+D355+D356+D358+D359</f>
        <v>69058</v>
      </c>
      <c r="E363" s="706">
        <f t="shared" si="170"/>
        <v>70691</v>
      </c>
      <c r="F363" s="706">
        <f t="shared" si="170"/>
        <v>70003</v>
      </c>
      <c r="G363" s="706">
        <f t="shared" si="170"/>
        <v>70034</v>
      </c>
      <c r="H363" s="706">
        <f t="shared" si="170"/>
        <v>71513</v>
      </c>
      <c r="I363" s="706">
        <f t="shared" si="170"/>
        <v>70181</v>
      </c>
      <c r="J363" s="706">
        <f t="shared" ref="J363:O363" si="171">J351+J352+J353+J354+J355+J356+J358+J359</f>
        <v>69177</v>
      </c>
      <c r="K363" s="706">
        <f t="shared" si="171"/>
        <v>70800</v>
      </c>
      <c r="L363" s="706">
        <f t="shared" si="171"/>
        <v>71432</v>
      </c>
      <c r="M363" s="706">
        <f t="shared" si="171"/>
        <v>71578</v>
      </c>
      <c r="N363" s="706">
        <f t="shared" si="171"/>
        <v>73129</v>
      </c>
      <c r="O363" s="706">
        <f t="shared" si="171"/>
        <v>73028</v>
      </c>
    </row>
    <row r="364" spans="1:17">
      <c r="A364" s="695"/>
      <c r="B364" s="695"/>
      <c r="D364" s="706"/>
      <c r="E364" s="706"/>
      <c r="F364" s="706"/>
      <c r="G364" s="706"/>
      <c r="H364" s="706"/>
      <c r="I364" s="706"/>
      <c r="J364" s="706"/>
      <c r="K364" s="706"/>
      <c r="L364" s="706"/>
      <c r="M364" s="706"/>
      <c r="N364" s="706"/>
      <c r="O364" s="706"/>
    </row>
    <row r="365" spans="1:17">
      <c r="A365" s="156" t="s">
        <v>5475</v>
      </c>
    </row>
    <row r="368" spans="1:17">
      <c r="E368" s="51" t="s">
        <v>1526</v>
      </c>
      <c r="F368" s="51"/>
      <c r="G368" s="51"/>
      <c r="H368" s="51"/>
      <c r="I368" s="51"/>
      <c r="J368" s="51"/>
      <c r="K368" s="51"/>
      <c r="L368" s="51"/>
      <c r="M368" s="51"/>
      <c r="N368" s="51"/>
      <c r="O368" s="51"/>
      <c r="P368" s="52"/>
      <c r="Q368" s="53" t="s">
        <v>9479</v>
      </c>
    </row>
    <row r="369" spans="1:17">
      <c r="D369" s="40">
        <v>2010</v>
      </c>
      <c r="E369" s="40">
        <v>2011</v>
      </c>
      <c r="F369" s="40">
        <v>2012</v>
      </c>
      <c r="G369" s="40">
        <v>2013</v>
      </c>
      <c r="H369" s="40">
        <v>2014</v>
      </c>
      <c r="I369" s="40">
        <v>2015</v>
      </c>
      <c r="J369" s="40">
        <v>2016</v>
      </c>
      <c r="K369" s="40">
        <v>2017</v>
      </c>
      <c r="L369" s="40">
        <v>2018</v>
      </c>
      <c r="M369" s="40">
        <v>2019</v>
      </c>
      <c r="N369" s="40">
        <v>2020</v>
      </c>
      <c r="O369" s="975" t="s">
        <v>14823</v>
      </c>
      <c r="Q369" s="54" t="s">
        <v>1527</v>
      </c>
    </row>
    <row r="370" spans="1:17">
      <c r="A370" s="695" t="s">
        <v>5476</v>
      </c>
      <c r="D370" s="706">
        <f t="shared" ref="D370:I370" si="172">SUM(D371:D391)</f>
        <v>164342</v>
      </c>
      <c r="E370" s="706">
        <f t="shared" si="172"/>
        <v>165686</v>
      </c>
      <c r="F370" s="706">
        <f t="shared" si="172"/>
        <v>158458</v>
      </c>
      <c r="G370" s="706">
        <f t="shared" si="172"/>
        <v>158924</v>
      </c>
      <c r="H370" s="706">
        <f t="shared" si="172"/>
        <v>160141</v>
      </c>
      <c r="I370" s="706">
        <f t="shared" si="172"/>
        <v>158831</v>
      </c>
      <c r="J370" s="706">
        <f t="shared" ref="J370:O370" si="173">SUM(J371:J391)</f>
        <v>159419</v>
      </c>
      <c r="K370" s="706">
        <f t="shared" si="173"/>
        <v>162852</v>
      </c>
      <c r="L370" s="706">
        <f t="shared" si="173"/>
        <v>165628</v>
      </c>
      <c r="M370" s="706">
        <f t="shared" si="173"/>
        <v>165141</v>
      </c>
      <c r="N370" s="706">
        <f t="shared" si="173"/>
        <v>170420</v>
      </c>
      <c r="O370" s="706">
        <f t="shared" si="173"/>
        <v>170612</v>
      </c>
    </row>
    <row r="371" spans="1:17">
      <c r="A371" s="695" t="s">
        <v>5387</v>
      </c>
      <c r="B371" s="695" t="s">
        <v>5477</v>
      </c>
      <c r="C371" s="55" t="s">
        <v>7106</v>
      </c>
      <c r="D371" s="706">
        <v>8091</v>
      </c>
      <c r="E371" s="706">
        <v>8242</v>
      </c>
      <c r="F371" s="706">
        <v>7853</v>
      </c>
      <c r="G371" s="63">
        <v>7844</v>
      </c>
      <c r="H371" s="63">
        <v>8022</v>
      </c>
      <c r="I371" s="63">
        <v>8214</v>
      </c>
      <c r="J371" s="56">
        <v>8160</v>
      </c>
      <c r="K371" s="56">
        <v>8355</v>
      </c>
      <c r="L371" s="56">
        <v>8484</v>
      </c>
      <c r="M371" s="56">
        <v>8482</v>
      </c>
      <c r="N371" s="56">
        <v>8946</v>
      </c>
      <c r="O371" s="56">
        <v>8954</v>
      </c>
      <c r="Q371" s="695" t="s">
        <v>1382</v>
      </c>
    </row>
    <row r="372" spans="1:17">
      <c r="A372" s="695" t="s">
        <v>5389</v>
      </c>
      <c r="B372" s="695" t="s">
        <v>3936</v>
      </c>
      <c r="C372" s="55" t="s">
        <v>7107</v>
      </c>
      <c r="D372" s="706">
        <v>7239</v>
      </c>
      <c r="E372" s="706">
        <v>7293</v>
      </c>
      <c r="F372" s="706">
        <v>7093</v>
      </c>
      <c r="G372" s="63">
        <v>7070</v>
      </c>
      <c r="H372" s="63">
        <v>7158</v>
      </c>
      <c r="I372" s="63">
        <v>7135</v>
      </c>
      <c r="J372" s="56">
        <v>7140</v>
      </c>
      <c r="K372" s="56">
        <v>7292</v>
      </c>
      <c r="L372" s="56">
        <v>7428</v>
      </c>
      <c r="M372" s="56">
        <v>7403</v>
      </c>
      <c r="N372" s="56">
        <v>7608</v>
      </c>
      <c r="O372" s="56">
        <v>7611</v>
      </c>
      <c r="Q372" s="695" t="s">
        <v>1382</v>
      </c>
    </row>
    <row r="373" spans="1:17">
      <c r="A373" s="695" t="s">
        <v>5391</v>
      </c>
      <c r="B373" s="695" t="s">
        <v>3937</v>
      </c>
      <c r="C373" s="55" t="s">
        <v>7108</v>
      </c>
      <c r="D373" s="706">
        <v>7174</v>
      </c>
      <c r="E373" s="706">
        <v>7244</v>
      </c>
      <c r="F373" s="706">
        <v>7088</v>
      </c>
      <c r="G373" s="63">
        <v>7075</v>
      </c>
      <c r="H373" s="63">
        <v>7178</v>
      </c>
      <c r="I373" s="63">
        <v>7133</v>
      </c>
      <c r="J373" s="56">
        <v>7073</v>
      </c>
      <c r="K373" s="56">
        <v>7121</v>
      </c>
      <c r="L373" s="56">
        <v>7278</v>
      </c>
      <c r="M373" s="56">
        <v>7175</v>
      </c>
      <c r="N373" s="56">
        <v>7316</v>
      </c>
      <c r="O373" s="56">
        <v>7299</v>
      </c>
      <c r="Q373" s="695" t="s">
        <v>1382</v>
      </c>
    </row>
    <row r="374" spans="1:17">
      <c r="A374" s="695" t="s">
        <v>5393</v>
      </c>
      <c r="B374" s="695" t="s">
        <v>6684</v>
      </c>
      <c r="C374" s="55" t="s">
        <v>7109</v>
      </c>
      <c r="D374" s="706">
        <v>9060</v>
      </c>
      <c r="E374" s="706">
        <v>9313</v>
      </c>
      <c r="F374" s="706">
        <v>9086</v>
      </c>
      <c r="G374" s="63">
        <v>9081</v>
      </c>
      <c r="H374" s="63">
        <v>9374</v>
      </c>
      <c r="I374" s="63">
        <v>9298</v>
      </c>
      <c r="J374" s="56">
        <v>9336</v>
      </c>
      <c r="K374" s="56">
        <v>9451</v>
      </c>
      <c r="L374" s="56">
        <v>9590</v>
      </c>
      <c r="M374" s="56">
        <v>9683</v>
      </c>
      <c r="N374" s="56">
        <v>10011</v>
      </c>
      <c r="O374" s="56">
        <v>10024</v>
      </c>
      <c r="Q374" s="695" t="s">
        <v>1382</v>
      </c>
    </row>
    <row r="375" spans="1:17">
      <c r="A375" s="695" t="s">
        <v>5394</v>
      </c>
      <c r="B375" s="695" t="s">
        <v>1604</v>
      </c>
      <c r="C375" s="55" t="s">
        <v>7110</v>
      </c>
      <c r="D375" s="706">
        <v>7892</v>
      </c>
      <c r="E375" s="706">
        <v>7908</v>
      </c>
      <c r="F375" s="706">
        <v>7610</v>
      </c>
      <c r="G375" s="63">
        <v>7616</v>
      </c>
      <c r="H375" s="63">
        <v>7638</v>
      </c>
      <c r="I375" s="63">
        <v>7646</v>
      </c>
      <c r="J375" s="58">
        <v>7672</v>
      </c>
      <c r="K375" s="58">
        <v>7712</v>
      </c>
      <c r="L375" s="58">
        <v>7743</v>
      </c>
      <c r="M375" s="58">
        <v>7612</v>
      </c>
      <c r="N375" s="58">
        <v>7868</v>
      </c>
      <c r="O375" s="58">
        <v>7881</v>
      </c>
      <c r="Q375" s="695" t="s">
        <v>5743</v>
      </c>
    </row>
    <row r="376" spans="1:17">
      <c r="A376" s="695" t="s">
        <v>5416</v>
      </c>
      <c r="B376" s="695" t="s">
        <v>2484</v>
      </c>
      <c r="C376" s="55" t="s">
        <v>7111</v>
      </c>
      <c r="D376" s="713">
        <v>7206</v>
      </c>
      <c r="E376" s="713">
        <v>7182</v>
      </c>
      <c r="F376" s="713">
        <v>6549</v>
      </c>
      <c r="G376" s="63">
        <v>6666</v>
      </c>
      <c r="H376" s="63">
        <v>6669</v>
      </c>
      <c r="I376" s="63">
        <v>6488</v>
      </c>
      <c r="J376" s="56">
        <v>6520</v>
      </c>
      <c r="K376" s="56">
        <v>6651</v>
      </c>
      <c r="L376" s="56">
        <v>6858</v>
      </c>
      <c r="M376" s="56">
        <v>6842</v>
      </c>
      <c r="N376" s="56">
        <v>7006</v>
      </c>
      <c r="O376" s="56">
        <v>7032</v>
      </c>
      <c r="Q376" s="695" t="s">
        <v>5740</v>
      </c>
    </row>
    <row r="377" spans="1:17">
      <c r="A377" s="695" t="s">
        <v>5418</v>
      </c>
      <c r="B377" s="695" t="s">
        <v>2485</v>
      </c>
      <c r="C377" s="55" t="s">
        <v>7112</v>
      </c>
      <c r="D377" s="706">
        <v>7213</v>
      </c>
      <c r="E377" s="706">
        <v>7324</v>
      </c>
      <c r="F377" s="706">
        <v>6794</v>
      </c>
      <c r="G377" s="63">
        <v>6877</v>
      </c>
      <c r="H377" s="63">
        <v>6914</v>
      </c>
      <c r="I377" s="63">
        <v>6741</v>
      </c>
      <c r="J377" s="56">
        <v>7004</v>
      </c>
      <c r="K377" s="56">
        <v>7236</v>
      </c>
      <c r="L377" s="56">
        <v>7501</v>
      </c>
      <c r="M377" s="56">
        <v>7690</v>
      </c>
      <c r="N377" s="56">
        <v>8404</v>
      </c>
      <c r="O377" s="56">
        <v>8411</v>
      </c>
      <c r="Q377" s="695" t="s">
        <v>5740</v>
      </c>
    </row>
    <row r="378" spans="1:17">
      <c r="A378" s="695" t="s">
        <v>5420</v>
      </c>
      <c r="B378" s="695" t="s">
        <v>2486</v>
      </c>
      <c r="C378" s="55" t="s">
        <v>7113</v>
      </c>
      <c r="D378" s="706">
        <v>7766</v>
      </c>
      <c r="E378" s="706">
        <v>7737</v>
      </c>
      <c r="F378" s="706">
        <v>7405</v>
      </c>
      <c r="G378" s="63">
        <v>7438</v>
      </c>
      <c r="H378" s="63">
        <v>7475</v>
      </c>
      <c r="I378" s="63">
        <v>7411</v>
      </c>
      <c r="J378" s="56">
        <v>7358</v>
      </c>
      <c r="K378" s="56">
        <v>7550</v>
      </c>
      <c r="L378" s="56">
        <v>7688</v>
      </c>
      <c r="M378" s="56">
        <v>7604</v>
      </c>
      <c r="N378" s="56">
        <v>7745</v>
      </c>
      <c r="O378" s="56">
        <v>7756</v>
      </c>
      <c r="Q378" s="695" t="s">
        <v>5740</v>
      </c>
    </row>
    <row r="379" spans="1:17">
      <c r="A379" s="695" t="s">
        <v>5422</v>
      </c>
      <c r="B379" s="695" t="s">
        <v>2487</v>
      </c>
      <c r="C379" s="55" t="s">
        <v>7114</v>
      </c>
      <c r="D379" s="706">
        <v>7531</v>
      </c>
      <c r="E379" s="706">
        <v>7574</v>
      </c>
      <c r="F379" s="706">
        <v>7300</v>
      </c>
      <c r="G379" s="63">
        <v>7339</v>
      </c>
      <c r="H379" s="63">
        <v>7435</v>
      </c>
      <c r="I379" s="63">
        <v>7435</v>
      </c>
      <c r="J379" s="56">
        <v>7413</v>
      </c>
      <c r="K379" s="56">
        <v>7556</v>
      </c>
      <c r="L379" s="56">
        <v>7634</v>
      </c>
      <c r="M379" s="56">
        <v>7643</v>
      </c>
      <c r="N379" s="56">
        <v>7770</v>
      </c>
      <c r="O379" s="56">
        <v>7779</v>
      </c>
      <c r="Q379" s="695" t="s">
        <v>5740</v>
      </c>
    </row>
    <row r="380" spans="1:17">
      <c r="A380" s="695" t="s">
        <v>5424</v>
      </c>
      <c r="B380" s="695" t="s">
        <v>2488</v>
      </c>
      <c r="C380" s="55" t="s">
        <v>7115</v>
      </c>
      <c r="D380" s="706">
        <v>8349</v>
      </c>
      <c r="E380" s="706">
        <v>8410</v>
      </c>
      <c r="F380" s="706">
        <v>8094</v>
      </c>
      <c r="G380" s="63">
        <v>8139</v>
      </c>
      <c r="H380" s="63">
        <v>8096</v>
      </c>
      <c r="I380" s="63">
        <v>8061</v>
      </c>
      <c r="J380" s="56">
        <v>8051</v>
      </c>
      <c r="K380" s="56">
        <v>8148</v>
      </c>
      <c r="L380" s="56">
        <v>8242</v>
      </c>
      <c r="M380" s="56">
        <v>8234</v>
      </c>
      <c r="N380" s="56">
        <v>8395</v>
      </c>
      <c r="O380" s="56">
        <v>8422</v>
      </c>
      <c r="Q380" s="695" t="s">
        <v>5740</v>
      </c>
    </row>
    <row r="381" spans="1:17">
      <c r="A381" s="695" t="s">
        <v>5426</v>
      </c>
      <c r="B381" s="695" t="s">
        <v>3945</v>
      </c>
      <c r="C381" s="55" t="s">
        <v>7116</v>
      </c>
      <c r="D381" s="706">
        <v>7822</v>
      </c>
      <c r="E381" s="706">
        <v>7921</v>
      </c>
      <c r="F381" s="706">
        <v>7160</v>
      </c>
      <c r="G381" s="63">
        <v>7200</v>
      </c>
      <c r="H381" s="63">
        <v>7326</v>
      </c>
      <c r="I381" s="63">
        <v>7128</v>
      </c>
      <c r="J381" s="56">
        <v>7454</v>
      </c>
      <c r="K381" s="56">
        <v>7730</v>
      </c>
      <c r="L381" s="56">
        <v>7904</v>
      </c>
      <c r="M381" s="56">
        <v>7968</v>
      </c>
      <c r="N381" s="56">
        <v>8263</v>
      </c>
      <c r="O381" s="56">
        <v>8267</v>
      </c>
      <c r="Q381" s="695" t="s">
        <v>5740</v>
      </c>
    </row>
    <row r="382" spans="1:17">
      <c r="A382" s="695" t="s">
        <v>5428</v>
      </c>
      <c r="B382" s="695" t="s">
        <v>3946</v>
      </c>
      <c r="C382" s="55" t="s">
        <v>7117</v>
      </c>
      <c r="D382" s="706">
        <v>7487</v>
      </c>
      <c r="E382" s="706">
        <v>7582</v>
      </c>
      <c r="F382" s="706">
        <v>7248</v>
      </c>
      <c r="G382" s="63">
        <v>7230</v>
      </c>
      <c r="H382" s="63">
        <v>7163</v>
      </c>
      <c r="I382" s="63">
        <v>6978</v>
      </c>
      <c r="J382" s="56">
        <v>7132</v>
      </c>
      <c r="K382" s="56">
        <v>7277</v>
      </c>
      <c r="L382" s="56">
        <v>7343</v>
      </c>
      <c r="M382" s="56">
        <v>7300</v>
      </c>
      <c r="N382" s="56">
        <v>7487</v>
      </c>
      <c r="O382" s="56">
        <v>7507</v>
      </c>
      <c r="Q382" s="695" t="s">
        <v>1382</v>
      </c>
    </row>
    <row r="383" spans="1:17">
      <c r="A383" s="695" t="s">
        <v>5429</v>
      </c>
      <c r="B383" s="695" t="s">
        <v>3947</v>
      </c>
      <c r="C383" s="55" t="s">
        <v>7118</v>
      </c>
      <c r="D383" s="706">
        <v>7231</v>
      </c>
      <c r="E383" s="706">
        <v>7373</v>
      </c>
      <c r="F383" s="706">
        <v>7145</v>
      </c>
      <c r="G383" s="63">
        <v>7102</v>
      </c>
      <c r="H383" s="63">
        <v>7125</v>
      </c>
      <c r="I383" s="63">
        <v>7215</v>
      </c>
      <c r="J383" s="56">
        <v>7084</v>
      </c>
      <c r="K383" s="56">
        <v>7252</v>
      </c>
      <c r="L383" s="56">
        <v>7314</v>
      </c>
      <c r="M383" s="56">
        <v>7199</v>
      </c>
      <c r="N383" s="56">
        <v>7523</v>
      </c>
      <c r="O383" s="56">
        <v>7526</v>
      </c>
      <c r="Q383" s="695" t="s">
        <v>1382</v>
      </c>
    </row>
    <row r="384" spans="1:17">
      <c r="A384" s="695" t="s">
        <v>5431</v>
      </c>
      <c r="B384" s="695" t="s">
        <v>3948</v>
      </c>
      <c r="C384" s="55" t="s">
        <v>7119</v>
      </c>
      <c r="D384" s="706">
        <v>8481</v>
      </c>
      <c r="E384" s="706">
        <v>8551</v>
      </c>
      <c r="F384" s="706">
        <v>8024</v>
      </c>
      <c r="G384" s="63">
        <v>8075</v>
      </c>
      <c r="H384" s="63">
        <v>8183</v>
      </c>
      <c r="I384" s="63">
        <v>8161</v>
      </c>
      <c r="J384" s="58">
        <v>8217</v>
      </c>
      <c r="K384" s="58">
        <v>8397</v>
      </c>
      <c r="L384" s="58">
        <v>8708</v>
      </c>
      <c r="M384" s="58">
        <v>8695</v>
      </c>
      <c r="N384" s="58">
        <v>9110</v>
      </c>
      <c r="O384" s="58">
        <v>9120</v>
      </c>
      <c r="Q384" s="695" t="s">
        <v>5740</v>
      </c>
    </row>
    <row r="385" spans="1:17">
      <c r="A385" s="695" t="s">
        <v>5433</v>
      </c>
      <c r="B385" s="695" t="s">
        <v>2989</v>
      </c>
      <c r="C385" s="55" t="s">
        <v>7120</v>
      </c>
      <c r="D385" s="706">
        <v>7698</v>
      </c>
      <c r="E385" s="706">
        <v>7762</v>
      </c>
      <c r="F385" s="706">
        <v>7376</v>
      </c>
      <c r="G385" s="63">
        <v>7417</v>
      </c>
      <c r="H385" s="63">
        <v>7573</v>
      </c>
      <c r="I385" s="63">
        <v>7501</v>
      </c>
      <c r="J385" s="58">
        <v>7454</v>
      </c>
      <c r="K385" s="58">
        <v>7778</v>
      </c>
      <c r="L385" s="58">
        <v>7882</v>
      </c>
      <c r="M385" s="58">
        <v>7778</v>
      </c>
      <c r="N385" s="58">
        <v>8053</v>
      </c>
      <c r="O385" s="58">
        <v>8072</v>
      </c>
      <c r="Q385" s="695" t="s">
        <v>5743</v>
      </c>
    </row>
    <row r="386" spans="1:17">
      <c r="A386" s="695" t="s">
        <v>5435</v>
      </c>
      <c r="B386" s="695" t="s">
        <v>6912</v>
      </c>
      <c r="C386" s="55" t="s">
        <v>7121</v>
      </c>
      <c r="D386" s="706">
        <v>8681</v>
      </c>
      <c r="E386" s="706">
        <v>8732</v>
      </c>
      <c r="F386" s="706">
        <v>8454</v>
      </c>
      <c r="G386" s="63">
        <v>8483</v>
      </c>
      <c r="H386" s="63">
        <v>8388</v>
      </c>
      <c r="I386" s="63">
        <v>7970</v>
      </c>
      <c r="J386" s="58">
        <v>8060</v>
      </c>
      <c r="K386" s="56">
        <v>8270</v>
      </c>
      <c r="L386" s="56">
        <v>8415</v>
      </c>
      <c r="M386" s="56">
        <v>8440</v>
      </c>
      <c r="N386" s="56">
        <v>8647</v>
      </c>
      <c r="O386" s="56">
        <v>8656</v>
      </c>
      <c r="Q386" s="695" t="s">
        <v>1382</v>
      </c>
    </row>
    <row r="387" spans="1:17">
      <c r="A387" s="695" t="s">
        <v>5436</v>
      </c>
      <c r="B387" s="695" t="s">
        <v>3949</v>
      </c>
      <c r="C387" s="55" t="s">
        <v>7122</v>
      </c>
      <c r="D387" s="706">
        <v>7504</v>
      </c>
      <c r="E387" s="706">
        <v>7488</v>
      </c>
      <c r="F387" s="706">
        <v>7210</v>
      </c>
      <c r="G387" s="63">
        <v>7216</v>
      </c>
      <c r="H387" s="63">
        <v>7154</v>
      </c>
      <c r="I387" s="63">
        <v>7262</v>
      </c>
      <c r="J387" s="56">
        <v>7150</v>
      </c>
      <c r="K387" s="58">
        <v>7303</v>
      </c>
      <c r="L387" s="58">
        <v>7395</v>
      </c>
      <c r="M387" s="58">
        <v>7378</v>
      </c>
      <c r="N387" s="58">
        <v>7513</v>
      </c>
      <c r="O387" s="58">
        <v>7513</v>
      </c>
      <c r="Q387" s="695" t="s">
        <v>5743</v>
      </c>
    </row>
    <row r="388" spans="1:17">
      <c r="A388" s="695" t="s">
        <v>5437</v>
      </c>
      <c r="B388" s="695" t="s">
        <v>3950</v>
      </c>
      <c r="C388" s="55" t="s">
        <v>7123</v>
      </c>
      <c r="D388" s="706">
        <v>7746</v>
      </c>
      <c r="E388" s="706">
        <v>7758</v>
      </c>
      <c r="F388" s="706">
        <v>7351</v>
      </c>
      <c r="G388" s="63">
        <v>7337</v>
      </c>
      <c r="H388" s="63">
        <v>7393</v>
      </c>
      <c r="I388" s="63">
        <v>7331</v>
      </c>
      <c r="J388" s="58">
        <v>7300</v>
      </c>
      <c r="K388" s="58">
        <v>7490</v>
      </c>
      <c r="L388" s="58">
        <v>7643</v>
      </c>
      <c r="M388" s="58">
        <v>7612</v>
      </c>
      <c r="N388" s="58">
        <v>7840</v>
      </c>
      <c r="O388" s="58">
        <v>7854</v>
      </c>
      <c r="Q388" s="695" t="s">
        <v>5740</v>
      </c>
    </row>
    <row r="389" spans="1:17">
      <c r="A389" s="695" t="s">
        <v>5439</v>
      </c>
      <c r="B389" s="695" t="s">
        <v>3951</v>
      </c>
      <c r="C389" s="55" t="s">
        <v>7124</v>
      </c>
      <c r="D389" s="706">
        <v>8365</v>
      </c>
      <c r="E389" s="706">
        <v>8392</v>
      </c>
      <c r="F389" s="706">
        <v>8300</v>
      </c>
      <c r="G389" s="63">
        <v>8328</v>
      </c>
      <c r="H389" s="63">
        <v>8356</v>
      </c>
      <c r="I389" s="63">
        <v>8314</v>
      </c>
      <c r="J389" s="56">
        <v>8267</v>
      </c>
      <c r="K389" s="56">
        <v>8415</v>
      </c>
      <c r="L389" s="56">
        <v>8409</v>
      </c>
      <c r="M389" s="56">
        <v>8314</v>
      </c>
      <c r="N389" s="56">
        <v>8469</v>
      </c>
      <c r="O389" s="56">
        <v>8458</v>
      </c>
      <c r="Q389" s="695" t="s">
        <v>1382</v>
      </c>
    </row>
    <row r="390" spans="1:17">
      <c r="A390" s="695" t="s">
        <v>5441</v>
      </c>
      <c r="B390" s="695" t="s">
        <v>3952</v>
      </c>
      <c r="C390" s="55" t="s">
        <v>7125</v>
      </c>
      <c r="D390" s="706">
        <v>7942</v>
      </c>
      <c r="E390" s="706">
        <v>8063</v>
      </c>
      <c r="F390" s="706">
        <v>7830</v>
      </c>
      <c r="G390" s="63">
        <v>7913</v>
      </c>
      <c r="H390" s="63">
        <v>7926</v>
      </c>
      <c r="I390" s="63">
        <v>7878</v>
      </c>
      <c r="J390" s="58">
        <v>8107</v>
      </c>
      <c r="K390" s="58">
        <v>8243</v>
      </c>
      <c r="L390" s="58">
        <v>8437</v>
      </c>
      <c r="M390" s="58">
        <v>8334</v>
      </c>
      <c r="N390" s="58">
        <v>8553</v>
      </c>
      <c r="O390" s="58">
        <v>8571</v>
      </c>
      <c r="Q390" s="695" t="s">
        <v>5740</v>
      </c>
    </row>
    <row r="391" spans="1:17">
      <c r="A391" s="695" t="s">
        <v>5886</v>
      </c>
      <c r="B391" s="695" t="s">
        <v>3863</v>
      </c>
      <c r="C391" s="55" t="s">
        <v>7126</v>
      </c>
      <c r="D391" s="706">
        <v>7864</v>
      </c>
      <c r="E391" s="706">
        <v>7837</v>
      </c>
      <c r="F391" s="706">
        <v>7488</v>
      </c>
      <c r="G391" s="63">
        <v>7478</v>
      </c>
      <c r="H391" s="63">
        <v>7595</v>
      </c>
      <c r="I391" s="63">
        <v>7531</v>
      </c>
      <c r="J391" s="56">
        <v>7467</v>
      </c>
      <c r="K391" s="56">
        <v>7625</v>
      </c>
      <c r="L391" s="56">
        <v>7732</v>
      </c>
      <c r="M391" s="56">
        <v>7755</v>
      </c>
      <c r="N391" s="56">
        <v>7893</v>
      </c>
      <c r="O391" s="56">
        <v>7899</v>
      </c>
      <c r="Q391" s="695" t="s">
        <v>1382</v>
      </c>
    </row>
    <row r="392" spans="1:17">
      <c r="D392" s="707"/>
      <c r="E392" s="707"/>
      <c r="F392" s="707"/>
      <c r="G392" s="707"/>
      <c r="H392" s="707"/>
      <c r="I392" s="707"/>
      <c r="J392" s="707"/>
      <c r="K392" s="707"/>
      <c r="L392" s="707"/>
      <c r="M392" s="707"/>
      <c r="N392" s="707"/>
      <c r="O392" s="707"/>
    </row>
    <row r="393" spans="1:17">
      <c r="A393" s="695" t="s">
        <v>1382</v>
      </c>
      <c r="D393" s="706">
        <f t="shared" ref="D393:I393" si="174">SUM(D371:D374)+D382+D383+D386+D389+D391</f>
        <v>71192</v>
      </c>
      <c r="E393" s="706">
        <f t="shared" si="174"/>
        <v>72008</v>
      </c>
      <c r="F393" s="706">
        <f t="shared" si="174"/>
        <v>69755</v>
      </c>
      <c r="G393" s="706">
        <f t="shared" si="174"/>
        <v>69691</v>
      </c>
      <c r="H393" s="706">
        <f t="shared" si="174"/>
        <v>70359</v>
      </c>
      <c r="I393" s="706">
        <f t="shared" si="174"/>
        <v>69788</v>
      </c>
      <c r="J393" s="706">
        <f t="shared" ref="J393:O393" si="175">SUM(J371:J374)+J382+J383+J386+J389+J391</f>
        <v>69719</v>
      </c>
      <c r="K393" s="706">
        <f t="shared" si="175"/>
        <v>71058</v>
      </c>
      <c r="L393" s="706">
        <f t="shared" si="175"/>
        <v>71993</v>
      </c>
      <c r="M393" s="706">
        <f t="shared" si="175"/>
        <v>71751</v>
      </c>
      <c r="N393" s="706">
        <f t="shared" si="175"/>
        <v>73900</v>
      </c>
      <c r="O393" s="706">
        <f t="shared" si="175"/>
        <v>73934</v>
      </c>
      <c r="P393" s="715"/>
    </row>
    <row r="394" spans="1:17">
      <c r="A394" s="695" t="s">
        <v>5740</v>
      </c>
      <c r="D394" s="706">
        <f>SUM(D376:D381)+D384+D388+D390</f>
        <v>70056</v>
      </c>
      <c r="E394" s="706">
        <f>SUM(E376:E381)+E384+E388+E390</f>
        <v>70520</v>
      </c>
      <c r="F394" s="706">
        <f>SUM(F376:F381)+F384+F388+F390</f>
        <v>66507</v>
      </c>
      <c r="G394" s="706">
        <f>SUM(G376:G381)+G384+G388+G390</f>
        <v>66984</v>
      </c>
      <c r="H394" s="706">
        <f t="shared" ref="H394:M394" si="176">SUM(H376:H381)+H384+H388+H390</f>
        <v>67417</v>
      </c>
      <c r="I394" s="706">
        <f t="shared" si="176"/>
        <v>66634</v>
      </c>
      <c r="J394" s="706">
        <f t="shared" si="176"/>
        <v>67424</v>
      </c>
      <c r="K394" s="706">
        <f t="shared" si="176"/>
        <v>69001</v>
      </c>
      <c r="L394" s="706">
        <f t="shared" si="176"/>
        <v>70615</v>
      </c>
      <c r="M394" s="706">
        <f t="shared" si="176"/>
        <v>70622</v>
      </c>
      <c r="N394" s="706">
        <f>SUM(N376:N381)+N384+N388+N390</f>
        <v>73086</v>
      </c>
      <c r="O394" s="706">
        <f>SUM(O376:O381)+O384+O388+O390</f>
        <v>73212</v>
      </c>
      <c r="P394" s="715"/>
    </row>
    <row r="395" spans="1:17">
      <c r="A395" s="695" t="s">
        <v>5768</v>
      </c>
      <c r="D395" s="706">
        <f t="shared" ref="D395:I395" si="177">D375+D385+D387</f>
        <v>23094</v>
      </c>
      <c r="E395" s="706">
        <f t="shared" si="177"/>
        <v>23158</v>
      </c>
      <c r="F395" s="706">
        <f t="shared" si="177"/>
        <v>22196</v>
      </c>
      <c r="G395" s="706">
        <f t="shared" si="177"/>
        <v>22249</v>
      </c>
      <c r="H395" s="706">
        <f t="shared" si="177"/>
        <v>22365</v>
      </c>
      <c r="I395" s="706">
        <f t="shared" si="177"/>
        <v>22409</v>
      </c>
      <c r="J395" s="706">
        <f t="shared" ref="J395:O395" si="178">J375+J385+J387</f>
        <v>22276</v>
      </c>
      <c r="K395" s="706">
        <f t="shared" si="178"/>
        <v>22793</v>
      </c>
      <c r="L395" s="706">
        <f t="shared" si="178"/>
        <v>23020</v>
      </c>
      <c r="M395" s="706">
        <f t="shared" si="178"/>
        <v>22768</v>
      </c>
      <c r="N395" s="706">
        <f t="shared" si="178"/>
        <v>23434</v>
      </c>
      <c r="O395" s="706">
        <f t="shared" si="178"/>
        <v>23466</v>
      </c>
      <c r="P395" s="715"/>
    </row>
    <row r="396" spans="1:17">
      <c r="A396" s="695"/>
      <c r="D396" s="706"/>
      <c r="E396" s="706"/>
      <c r="F396" s="706"/>
      <c r="G396" s="706"/>
      <c r="H396" s="706"/>
      <c r="I396" s="706"/>
      <c r="J396" s="706"/>
      <c r="K396" s="706"/>
      <c r="L396" s="706"/>
      <c r="M396" s="706"/>
      <c r="N396" s="706"/>
      <c r="O396" s="706"/>
      <c r="P396" s="715"/>
    </row>
    <row r="397" spans="1:17">
      <c r="A397" s="156" t="s">
        <v>3953</v>
      </c>
      <c r="P397" s="715"/>
    </row>
    <row r="398" spans="1:17">
      <c r="A398" s="695"/>
      <c r="B398" s="695"/>
      <c r="D398" s="715"/>
      <c r="E398" s="715"/>
      <c r="F398" s="715"/>
      <c r="G398" s="715"/>
      <c r="H398" s="715"/>
      <c r="I398" s="715"/>
      <c r="J398" s="715"/>
      <c r="K398" s="715"/>
      <c r="L398" s="715"/>
      <c r="M398" s="715"/>
      <c r="N398" s="715"/>
      <c r="O398" s="715"/>
      <c r="P398" s="715"/>
    </row>
    <row r="399" spans="1:17">
      <c r="A399" s="695"/>
      <c r="B399" s="695"/>
      <c r="D399" s="715"/>
      <c r="E399" s="715"/>
      <c r="F399" s="715"/>
      <c r="G399" s="715"/>
      <c r="H399" s="715"/>
      <c r="I399" s="715"/>
      <c r="J399" s="715"/>
      <c r="K399" s="715"/>
      <c r="L399" s="715"/>
      <c r="M399" s="715"/>
      <c r="N399" s="715"/>
      <c r="O399" s="715"/>
      <c r="P399" s="715"/>
    </row>
    <row r="400" spans="1:17">
      <c r="E400" s="51" t="s">
        <v>1526</v>
      </c>
      <c r="F400" s="51"/>
      <c r="G400" s="51"/>
      <c r="H400" s="51"/>
      <c r="I400" s="51"/>
      <c r="J400" s="51"/>
      <c r="K400" s="51"/>
      <c r="L400" s="51"/>
      <c r="M400" s="51"/>
      <c r="N400" s="51"/>
      <c r="O400" s="51"/>
      <c r="P400" s="52"/>
      <c r="Q400" s="53" t="s">
        <v>9479</v>
      </c>
    </row>
    <row r="401" spans="1:17">
      <c r="D401" s="40">
        <v>2010</v>
      </c>
      <c r="E401" s="40">
        <v>2011</v>
      </c>
      <c r="F401" s="40">
        <v>2012</v>
      </c>
      <c r="G401" s="40">
        <v>2013</v>
      </c>
      <c r="H401" s="40">
        <v>2014</v>
      </c>
      <c r="I401" s="40">
        <v>2015</v>
      </c>
      <c r="J401" s="40">
        <v>2016</v>
      </c>
      <c r="K401" s="40">
        <v>2017</v>
      </c>
      <c r="L401" s="40">
        <v>2018</v>
      </c>
      <c r="M401" s="40">
        <v>2019</v>
      </c>
      <c r="N401" s="40">
        <v>2020</v>
      </c>
      <c r="O401" s="975" t="s">
        <v>14823</v>
      </c>
      <c r="Q401" s="54" t="s">
        <v>1527</v>
      </c>
    </row>
    <row r="402" spans="1:17">
      <c r="A402" s="695" t="s">
        <v>3954</v>
      </c>
      <c r="D402" s="706">
        <f t="shared" ref="D402:I402" si="179">SUM(D403:D427)</f>
        <v>234430</v>
      </c>
      <c r="E402" s="706">
        <f t="shared" si="179"/>
        <v>239598</v>
      </c>
      <c r="F402" s="706">
        <f t="shared" si="179"/>
        <v>241713</v>
      </c>
      <c r="G402" s="706">
        <f t="shared" si="179"/>
        <v>243181</v>
      </c>
      <c r="H402" s="706">
        <f t="shared" si="179"/>
        <v>243386</v>
      </c>
      <c r="I402" s="706">
        <f t="shared" si="179"/>
        <v>231622</v>
      </c>
      <c r="J402" s="706">
        <f t="shared" ref="J402:O402" si="180">SUM(J403:J427)</f>
        <v>227997</v>
      </c>
      <c r="K402" s="706">
        <f t="shared" si="180"/>
        <v>231167</v>
      </c>
      <c r="L402" s="706">
        <f t="shared" si="180"/>
        <v>233131</v>
      </c>
      <c r="M402" s="706">
        <f t="shared" si="180"/>
        <v>231953</v>
      </c>
      <c r="N402" s="706">
        <f t="shared" si="180"/>
        <v>238393</v>
      </c>
      <c r="O402" s="706">
        <f t="shared" si="180"/>
        <v>238385</v>
      </c>
      <c r="P402" s="715"/>
    </row>
    <row r="403" spans="1:17">
      <c r="A403" s="695" t="s">
        <v>5387</v>
      </c>
      <c r="B403" s="695" t="s">
        <v>3955</v>
      </c>
      <c r="C403" s="55" t="s">
        <v>7127</v>
      </c>
      <c r="D403" s="713">
        <v>10330</v>
      </c>
      <c r="E403" s="713">
        <v>10587</v>
      </c>
      <c r="F403" s="713">
        <v>10815</v>
      </c>
      <c r="G403" s="713">
        <v>10912</v>
      </c>
      <c r="H403" s="63">
        <v>10937</v>
      </c>
      <c r="I403" s="63">
        <v>10073</v>
      </c>
      <c r="J403" s="56">
        <v>9935</v>
      </c>
      <c r="K403" s="56">
        <v>9964</v>
      </c>
      <c r="L403" s="56">
        <v>10111</v>
      </c>
      <c r="M403" s="56">
        <v>10057</v>
      </c>
      <c r="N403" s="56">
        <v>10380</v>
      </c>
      <c r="O403" s="56">
        <v>10375</v>
      </c>
      <c r="Q403" s="695" t="s">
        <v>4178</v>
      </c>
    </row>
    <row r="404" spans="1:17">
      <c r="A404" s="695" t="s">
        <v>5389</v>
      </c>
      <c r="B404" s="695" t="s">
        <v>2590</v>
      </c>
      <c r="C404" s="55" t="s">
        <v>7128</v>
      </c>
      <c r="D404" s="706">
        <v>8992</v>
      </c>
      <c r="E404" s="706">
        <v>9144</v>
      </c>
      <c r="F404" s="706">
        <v>9204</v>
      </c>
      <c r="G404" s="706">
        <v>9171</v>
      </c>
      <c r="H404" s="63">
        <v>9116</v>
      </c>
      <c r="I404" s="63">
        <v>8867</v>
      </c>
      <c r="J404" s="56">
        <v>8709</v>
      </c>
      <c r="K404" s="56">
        <v>8771</v>
      </c>
      <c r="L404" s="56">
        <v>8830</v>
      </c>
      <c r="M404" s="56">
        <v>8720</v>
      </c>
      <c r="N404" s="56">
        <v>8895</v>
      </c>
      <c r="O404" s="56">
        <v>8902</v>
      </c>
      <c r="Q404" s="695" t="s">
        <v>4178</v>
      </c>
    </row>
    <row r="405" spans="1:17">
      <c r="A405" s="695" t="s">
        <v>5391</v>
      </c>
      <c r="B405" s="695" t="s">
        <v>4283</v>
      </c>
      <c r="C405" s="55" t="s">
        <v>7129</v>
      </c>
      <c r="D405" s="713">
        <v>9831</v>
      </c>
      <c r="E405" s="713">
        <v>10161</v>
      </c>
      <c r="F405" s="713">
        <v>10279</v>
      </c>
      <c r="G405" s="713">
        <v>10307</v>
      </c>
      <c r="H405" s="63">
        <v>10277</v>
      </c>
      <c r="I405" s="63">
        <v>9834</v>
      </c>
      <c r="J405" s="58">
        <v>9681</v>
      </c>
      <c r="K405" s="58">
        <v>9782</v>
      </c>
      <c r="L405" s="58">
        <v>9819</v>
      </c>
      <c r="M405" s="58">
        <v>9757</v>
      </c>
      <c r="N405" s="58">
        <v>9983</v>
      </c>
      <c r="O405" s="58">
        <v>9980</v>
      </c>
      <c r="Q405" s="695" t="s">
        <v>5741</v>
      </c>
    </row>
    <row r="406" spans="1:17">
      <c r="A406" s="695" t="s">
        <v>5393</v>
      </c>
      <c r="B406" s="695" t="s">
        <v>4284</v>
      </c>
      <c r="C406" s="55" t="s">
        <v>7130</v>
      </c>
      <c r="D406" s="706">
        <v>9286</v>
      </c>
      <c r="E406" s="706">
        <v>9357</v>
      </c>
      <c r="F406" s="706">
        <v>9440</v>
      </c>
      <c r="G406" s="706">
        <v>9478</v>
      </c>
      <c r="H406" s="63">
        <v>9437</v>
      </c>
      <c r="I406" s="63">
        <v>8886</v>
      </c>
      <c r="J406" s="56">
        <v>9026</v>
      </c>
      <c r="K406" s="56">
        <v>9216</v>
      </c>
      <c r="L406" s="56">
        <v>9326</v>
      </c>
      <c r="M406" s="56">
        <v>9331</v>
      </c>
      <c r="N406" s="56">
        <v>9871</v>
      </c>
      <c r="O406" s="56">
        <v>9898</v>
      </c>
      <c r="Q406" s="695" t="s">
        <v>4177</v>
      </c>
    </row>
    <row r="407" spans="1:17">
      <c r="A407" s="695" t="s">
        <v>5394</v>
      </c>
      <c r="B407" s="695" t="s">
        <v>4285</v>
      </c>
      <c r="C407" s="55" t="s">
        <v>7131</v>
      </c>
      <c r="D407" s="706">
        <v>8299</v>
      </c>
      <c r="E407" s="706">
        <v>8535</v>
      </c>
      <c r="F407" s="706">
        <v>8633</v>
      </c>
      <c r="G407" s="706">
        <v>8697</v>
      </c>
      <c r="H407" s="63">
        <v>8679</v>
      </c>
      <c r="I407" s="63">
        <v>8346</v>
      </c>
      <c r="J407" s="56">
        <v>8007</v>
      </c>
      <c r="K407" s="56">
        <v>8161</v>
      </c>
      <c r="L407" s="56">
        <v>8152</v>
      </c>
      <c r="M407" s="56">
        <v>8093</v>
      </c>
      <c r="N407" s="56">
        <v>8376</v>
      </c>
      <c r="O407" s="56">
        <v>8376</v>
      </c>
      <c r="Q407" s="695" t="s">
        <v>4177</v>
      </c>
    </row>
    <row r="408" spans="1:17">
      <c r="A408" s="695" t="s">
        <v>5416</v>
      </c>
      <c r="B408" s="695" t="s">
        <v>4286</v>
      </c>
      <c r="C408" s="55" t="s">
        <v>7132</v>
      </c>
      <c r="D408" s="706">
        <v>10618</v>
      </c>
      <c r="E408" s="706">
        <v>10962</v>
      </c>
      <c r="F408" s="706">
        <v>11218</v>
      </c>
      <c r="G408" s="706">
        <v>11252</v>
      </c>
      <c r="H408" s="63">
        <v>11312</v>
      </c>
      <c r="I408" s="63">
        <v>10158</v>
      </c>
      <c r="J408" s="56">
        <v>10337</v>
      </c>
      <c r="K408" s="56">
        <v>10427</v>
      </c>
      <c r="L408" s="56">
        <v>10594</v>
      </c>
      <c r="M408" s="56">
        <v>10533</v>
      </c>
      <c r="N408" s="56">
        <v>10958</v>
      </c>
      <c r="O408" s="56">
        <v>10962</v>
      </c>
      <c r="Q408" s="695" t="s">
        <v>2743</v>
      </c>
    </row>
    <row r="409" spans="1:17">
      <c r="A409" s="695" t="s">
        <v>5418</v>
      </c>
      <c r="B409" s="695" t="s">
        <v>4287</v>
      </c>
      <c r="C409" s="55" t="s">
        <v>7133</v>
      </c>
      <c r="D409" s="706">
        <v>9023</v>
      </c>
      <c r="E409" s="706">
        <v>9236</v>
      </c>
      <c r="F409" s="706">
        <v>9282</v>
      </c>
      <c r="G409" s="706">
        <v>9270</v>
      </c>
      <c r="H409" s="63">
        <v>9229</v>
      </c>
      <c r="I409" s="63">
        <v>8902</v>
      </c>
      <c r="J409" s="56">
        <v>8746</v>
      </c>
      <c r="K409" s="56">
        <v>8725</v>
      </c>
      <c r="L409" s="56">
        <v>8756</v>
      </c>
      <c r="M409" s="56">
        <v>8706</v>
      </c>
      <c r="N409" s="56">
        <v>8856</v>
      </c>
      <c r="O409" s="56">
        <v>8858</v>
      </c>
      <c r="Q409" s="695" t="s">
        <v>4178</v>
      </c>
    </row>
    <row r="410" spans="1:17">
      <c r="A410" s="695" t="s">
        <v>5420</v>
      </c>
      <c r="B410" s="695" t="s">
        <v>4288</v>
      </c>
      <c r="C410" s="55" t="s">
        <v>7134</v>
      </c>
      <c r="D410" s="713">
        <v>9414</v>
      </c>
      <c r="E410" s="713">
        <v>9694</v>
      </c>
      <c r="F410" s="713">
        <v>9776</v>
      </c>
      <c r="G410" s="713">
        <v>9797</v>
      </c>
      <c r="H410" s="63">
        <v>9793</v>
      </c>
      <c r="I410" s="63">
        <v>9429</v>
      </c>
      <c r="J410" s="58">
        <v>9013</v>
      </c>
      <c r="K410" s="58">
        <v>9114</v>
      </c>
      <c r="L410" s="58">
        <v>9231</v>
      </c>
      <c r="M410" s="58">
        <v>9099</v>
      </c>
      <c r="N410" s="58">
        <v>9340</v>
      </c>
      <c r="O410" s="58">
        <v>9330</v>
      </c>
      <c r="Q410" s="695" t="s">
        <v>5741</v>
      </c>
    </row>
    <row r="411" spans="1:17">
      <c r="A411" s="695" t="s">
        <v>5422</v>
      </c>
      <c r="B411" s="695" t="s">
        <v>4289</v>
      </c>
      <c r="C411" s="55" t="s">
        <v>7135</v>
      </c>
      <c r="D411" s="713">
        <v>8804</v>
      </c>
      <c r="E411" s="713">
        <v>8990</v>
      </c>
      <c r="F411" s="713">
        <v>9037</v>
      </c>
      <c r="G411" s="713">
        <v>9152</v>
      </c>
      <c r="H411" s="63">
        <v>9103</v>
      </c>
      <c r="I411" s="63">
        <v>8707</v>
      </c>
      <c r="J411" s="56">
        <v>8458</v>
      </c>
      <c r="K411" s="56">
        <v>8678</v>
      </c>
      <c r="L411" s="56">
        <v>8754</v>
      </c>
      <c r="M411" s="56">
        <v>8700</v>
      </c>
      <c r="N411" s="56">
        <v>8965</v>
      </c>
      <c r="O411" s="56">
        <v>8962</v>
      </c>
      <c r="Q411" s="695" t="s">
        <v>4177</v>
      </c>
    </row>
    <row r="412" spans="1:17">
      <c r="A412" s="695" t="s">
        <v>5424</v>
      </c>
      <c r="B412" s="695" t="s">
        <v>4290</v>
      </c>
      <c r="C412" s="55" t="s">
        <v>7136</v>
      </c>
      <c r="D412" s="706">
        <v>9876</v>
      </c>
      <c r="E412" s="706">
        <v>10059</v>
      </c>
      <c r="F412" s="706">
        <v>10096</v>
      </c>
      <c r="G412" s="706">
        <v>10094</v>
      </c>
      <c r="H412" s="63">
        <v>10131</v>
      </c>
      <c r="I412" s="63">
        <v>9481</v>
      </c>
      <c r="J412" s="56">
        <v>9264</v>
      </c>
      <c r="K412" s="56">
        <v>9421</v>
      </c>
      <c r="L412" s="56">
        <v>9545</v>
      </c>
      <c r="M412" s="56">
        <v>9481</v>
      </c>
      <c r="N412" s="56">
        <v>9621</v>
      </c>
      <c r="O412" s="56">
        <v>9615</v>
      </c>
      <c r="Q412" s="695" t="s">
        <v>4178</v>
      </c>
    </row>
    <row r="413" spans="1:17">
      <c r="A413" s="695" t="s">
        <v>5426</v>
      </c>
      <c r="B413" s="695" t="s">
        <v>5852</v>
      </c>
      <c r="C413" s="55" t="s">
        <v>7137</v>
      </c>
      <c r="D413" s="706">
        <v>8487</v>
      </c>
      <c r="E413" s="706">
        <v>8619</v>
      </c>
      <c r="F413" s="706">
        <v>8534</v>
      </c>
      <c r="G413" s="706">
        <v>8721</v>
      </c>
      <c r="H413" s="63">
        <v>8756</v>
      </c>
      <c r="I413" s="63">
        <v>8354</v>
      </c>
      <c r="J413" s="56">
        <v>8268</v>
      </c>
      <c r="K413" s="56">
        <v>8497</v>
      </c>
      <c r="L413" s="56">
        <v>8556</v>
      </c>
      <c r="M413" s="56">
        <v>8528</v>
      </c>
      <c r="N413" s="56">
        <v>8806</v>
      </c>
      <c r="O413" s="56">
        <v>8807</v>
      </c>
      <c r="Q413" s="695" t="s">
        <v>4178</v>
      </c>
    </row>
    <row r="414" spans="1:17">
      <c r="A414" s="695" t="s">
        <v>5428</v>
      </c>
      <c r="B414" s="695" t="s">
        <v>5853</v>
      </c>
      <c r="C414" s="55" t="s">
        <v>7138</v>
      </c>
      <c r="D414" s="706">
        <v>8608</v>
      </c>
      <c r="E414" s="706">
        <v>8806</v>
      </c>
      <c r="F414" s="706">
        <v>8979</v>
      </c>
      <c r="G414" s="706">
        <v>9076</v>
      </c>
      <c r="H414" s="63">
        <v>9092</v>
      </c>
      <c r="I414" s="63">
        <v>8675</v>
      </c>
      <c r="J414" s="58">
        <v>8270</v>
      </c>
      <c r="K414" s="58">
        <v>8324</v>
      </c>
      <c r="L414" s="58">
        <v>8367</v>
      </c>
      <c r="M414" s="58">
        <v>8230</v>
      </c>
      <c r="N414" s="58">
        <v>8298</v>
      </c>
      <c r="O414" s="58">
        <v>8287</v>
      </c>
      <c r="Q414" s="695" t="s">
        <v>5741</v>
      </c>
    </row>
    <row r="415" spans="1:17">
      <c r="A415" s="695" t="s">
        <v>5429</v>
      </c>
      <c r="B415" s="695" t="s">
        <v>5854</v>
      </c>
      <c r="C415" s="55" t="s">
        <v>7139</v>
      </c>
      <c r="D415" s="706">
        <v>8885</v>
      </c>
      <c r="E415" s="706">
        <v>9184</v>
      </c>
      <c r="F415" s="706">
        <v>9334</v>
      </c>
      <c r="G415" s="706">
        <v>9392</v>
      </c>
      <c r="H415" s="63">
        <v>9407</v>
      </c>
      <c r="I415" s="63">
        <v>8594</v>
      </c>
      <c r="J415" s="56">
        <v>8588</v>
      </c>
      <c r="K415" s="56">
        <v>8713</v>
      </c>
      <c r="L415" s="56">
        <v>8777</v>
      </c>
      <c r="M415" s="56">
        <v>8768</v>
      </c>
      <c r="N415" s="56">
        <v>9031</v>
      </c>
      <c r="O415" s="56">
        <v>9039</v>
      </c>
      <c r="Q415" s="695" t="s">
        <v>4177</v>
      </c>
    </row>
    <row r="416" spans="1:17">
      <c r="A416" s="695" t="s">
        <v>5431</v>
      </c>
      <c r="B416" s="695" t="s">
        <v>5837</v>
      </c>
      <c r="C416" s="55" t="s">
        <v>7140</v>
      </c>
      <c r="D416" s="706">
        <v>10107</v>
      </c>
      <c r="E416" s="706">
        <v>10298</v>
      </c>
      <c r="F416" s="706">
        <v>10373</v>
      </c>
      <c r="G416" s="706">
        <v>10573</v>
      </c>
      <c r="H416" s="63">
        <v>10549</v>
      </c>
      <c r="I416" s="63">
        <v>10051</v>
      </c>
      <c r="J416" s="56">
        <v>9848</v>
      </c>
      <c r="K416" s="56">
        <v>10133</v>
      </c>
      <c r="L416" s="56">
        <v>10153</v>
      </c>
      <c r="M416" s="56">
        <v>10093</v>
      </c>
      <c r="N416" s="56">
        <v>10311</v>
      </c>
      <c r="O416" s="56">
        <v>10324</v>
      </c>
      <c r="Q416" s="695" t="s">
        <v>4177</v>
      </c>
    </row>
    <row r="417" spans="1:17">
      <c r="A417" s="695" t="s">
        <v>5433</v>
      </c>
      <c r="B417" s="695" t="s">
        <v>5838</v>
      </c>
      <c r="C417" s="55" t="s">
        <v>7141</v>
      </c>
      <c r="D417" s="707">
        <v>10403</v>
      </c>
      <c r="E417" s="707">
        <v>10771</v>
      </c>
      <c r="F417" s="707">
        <v>10949</v>
      </c>
      <c r="G417" s="707">
        <v>10935</v>
      </c>
      <c r="H417" s="63">
        <v>11004</v>
      </c>
      <c r="I417" s="63">
        <v>9684</v>
      </c>
      <c r="J417" s="56">
        <v>9681</v>
      </c>
      <c r="K417" s="56">
        <v>9899</v>
      </c>
      <c r="L417" s="56">
        <v>10081</v>
      </c>
      <c r="M417" s="56">
        <v>10089</v>
      </c>
      <c r="N417" s="56">
        <v>10458</v>
      </c>
      <c r="O417" s="56">
        <v>10454</v>
      </c>
      <c r="Q417" s="695" t="s">
        <v>4177</v>
      </c>
    </row>
    <row r="418" spans="1:17">
      <c r="A418" s="695" t="s">
        <v>5435</v>
      </c>
      <c r="B418" s="695" t="s">
        <v>4301</v>
      </c>
      <c r="C418" s="55" t="s">
        <v>7142</v>
      </c>
      <c r="D418" s="707">
        <v>9597</v>
      </c>
      <c r="E418" s="707">
        <v>9705</v>
      </c>
      <c r="F418" s="707">
        <v>9761</v>
      </c>
      <c r="G418" s="707">
        <v>9843</v>
      </c>
      <c r="H418" s="63">
        <v>9869</v>
      </c>
      <c r="I418" s="63">
        <v>9646</v>
      </c>
      <c r="J418" s="56">
        <v>9452</v>
      </c>
      <c r="K418" s="56">
        <v>9518</v>
      </c>
      <c r="L418" s="56">
        <v>9562</v>
      </c>
      <c r="M418" s="56">
        <v>9567</v>
      </c>
      <c r="N418" s="56">
        <v>10122</v>
      </c>
      <c r="O418" s="56">
        <v>10129</v>
      </c>
      <c r="Q418" s="695" t="s">
        <v>4177</v>
      </c>
    </row>
    <row r="419" spans="1:17">
      <c r="A419" s="695" t="s">
        <v>5436</v>
      </c>
      <c r="B419" s="695" t="s">
        <v>4302</v>
      </c>
      <c r="C419" s="55" t="s">
        <v>7143</v>
      </c>
      <c r="D419" s="707">
        <v>9202</v>
      </c>
      <c r="E419" s="707">
        <v>9305</v>
      </c>
      <c r="F419" s="707">
        <v>9337</v>
      </c>
      <c r="G419" s="707">
        <v>9435</v>
      </c>
      <c r="H419" s="63">
        <v>9515</v>
      </c>
      <c r="I419" s="63">
        <v>9440</v>
      </c>
      <c r="J419" s="56">
        <v>9320</v>
      </c>
      <c r="K419" s="56">
        <v>9437</v>
      </c>
      <c r="L419" s="56">
        <v>9533</v>
      </c>
      <c r="M419" s="56">
        <v>9486</v>
      </c>
      <c r="N419" s="56">
        <v>9616</v>
      </c>
      <c r="O419" s="56">
        <v>9620</v>
      </c>
      <c r="Q419" s="695" t="s">
        <v>4178</v>
      </c>
    </row>
    <row r="420" spans="1:17">
      <c r="A420" s="695" t="s">
        <v>5437</v>
      </c>
      <c r="B420" s="695" t="s">
        <v>4303</v>
      </c>
      <c r="C420" s="55" t="s">
        <v>7144</v>
      </c>
      <c r="D420" s="713">
        <v>9722</v>
      </c>
      <c r="E420" s="713">
        <v>9789</v>
      </c>
      <c r="F420" s="713">
        <v>9876</v>
      </c>
      <c r="G420" s="713">
        <v>10001</v>
      </c>
      <c r="H420" s="63">
        <v>10072</v>
      </c>
      <c r="I420" s="63">
        <v>9293</v>
      </c>
      <c r="J420" s="58">
        <v>9120</v>
      </c>
      <c r="K420" s="58">
        <v>9388</v>
      </c>
      <c r="L420" s="58">
        <v>9350</v>
      </c>
      <c r="M420" s="58">
        <v>9242</v>
      </c>
      <c r="N420" s="58">
        <v>9408</v>
      </c>
      <c r="O420" s="58">
        <v>9391</v>
      </c>
      <c r="Q420" s="695" t="s">
        <v>5741</v>
      </c>
    </row>
    <row r="421" spans="1:17">
      <c r="A421" s="695" t="s">
        <v>5439</v>
      </c>
      <c r="B421" s="695" t="s">
        <v>4304</v>
      </c>
      <c r="C421" s="55" t="s">
        <v>7145</v>
      </c>
      <c r="D421" s="713">
        <v>9279</v>
      </c>
      <c r="E421" s="713">
        <v>9349</v>
      </c>
      <c r="F421" s="713">
        <v>9326</v>
      </c>
      <c r="G421" s="713">
        <v>9326</v>
      </c>
      <c r="H421" s="63">
        <v>9360</v>
      </c>
      <c r="I421" s="63">
        <v>9201</v>
      </c>
      <c r="J421" s="58">
        <v>8984</v>
      </c>
      <c r="K421" s="58">
        <v>9150</v>
      </c>
      <c r="L421" s="58">
        <v>9304</v>
      </c>
      <c r="M421" s="58">
        <v>9277</v>
      </c>
      <c r="N421" s="58">
        <v>9374</v>
      </c>
      <c r="O421" s="58">
        <v>9374</v>
      </c>
      <c r="Q421" s="695" t="s">
        <v>5741</v>
      </c>
    </row>
    <row r="422" spans="1:17">
      <c r="A422" s="695" t="s">
        <v>5441</v>
      </c>
      <c r="B422" s="695" t="s">
        <v>4305</v>
      </c>
      <c r="C422" s="55" t="s">
        <v>7146</v>
      </c>
      <c r="D422" s="707">
        <v>9557</v>
      </c>
      <c r="E422" s="707">
        <v>9745</v>
      </c>
      <c r="F422" s="707">
        <v>9743</v>
      </c>
      <c r="G422" s="707">
        <v>9797</v>
      </c>
      <c r="H422" s="63">
        <v>9830</v>
      </c>
      <c r="I422" s="63">
        <v>9730</v>
      </c>
      <c r="J422" s="58">
        <v>9510</v>
      </c>
      <c r="K422" s="58">
        <v>9610</v>
      </c>
      <c r="L422" s="58">
        <v>9698</v>
      </c>
      <c r="M422" s="58">
        <v>9896</v>
      </c>
      <c r="N422" s="58">
        <v>10512</v>
      </c>
      <c r="O422" s="58">
        <v>10515</v>
      </c>
      <c r="Q422" s="695" t="s">
        <v>5741</v>
      </c>
    </row>
    <row r="423" spans="1:17">
      <c r="A423" s="695" t="s">
        <v>5886</v>
      </c>
      <c r="B423" s="695" t="s">
        <v>742</v>
      </c>
      <c r="C423" s="55" t="s">
        <v>7147</v>
      </c>
      <c r="D423" s="707">
        <v>9949</v>
      </c>
      <c r="E423" s="707">
        <v>10161</v>
      </c>
      <c r="F423" s="707">
        <v>10373</v>
      </c>
      <c r="G423" s="707">
        <v>10459</v>
      </c>
      <c r="H423" s="63">
        <v>10613</v>
      </c>
      <c r="I423" s="63">
        <v>10094</v>
      </c>
      <c r="J423" s="56">
        <v>10010</v>
      </c>
      <c r="K423" s="56">
        <v>10130</v>
      </c>
      <c r="L423" s="56">
        <v>10136</v>
      </c>
      <c r="M423" s="56">
        <v>10031</v>
      </c>
      <c r="N423" s="56">
        <v>10240</v>
      </c>
      <c r="O423" s="56">
        <v>10234</v>
      </c>
      <c r="Q423" s="695" t="s">
        <v>4177</v>
      </c>
    </row>
    <row r="424" spans="1:17">
      <c r="A424" s="695" t="s">
        <v>5888</v>
      </c>
      <c r="B424" s="695" t="s">
        <v>4306</v>
      </c>
      <c r="C424" s="55" t="s">
        <v>7148</v>
      </c>
      <c r="D424" s="713">
        <v>9007</v>
      </c>
      <c r="E424" s="713">
        <v>9276</v>
      </c>
      <c r="F424" s="713">
        <v>9332</v>
      </c>
      <c r="G424" s="713">
        <v>9313</v>
      </c>
      <c r="H424" s="63">
        <v>9276</v>
      </c>
      <c r="I424" s="63">
        <v>8952</v>
      </c>
      <c r="J424" s="58">
        <v>8839</v>
      </c>
      <c r="K424" s="58">
        <v>8968</v>
      </c>
      <c r="L424" s="58">
        <v>9084</v>
      </c>
      <c r="M424" s="58">
        <v>8987</v>
      </c>
      <c r="N424" s="58">
        <v>9221</v>
      </c>
      <c r="O424" s="58">
        <v>9214</v>
      </c>
      <c r="Q424" s="695" t="s">
        <v>5741</v>
      </c>
    </row>
    <row r="425" spans="1:17">
      <c r="A425" s="695" t="s">
        <v>5889</v>
      </c>
      <c r="B425" s="695" t="s">
        <v>4307</v>
      </c>
      <c r="C425" s="55" t="s">
        <v>7149</v>
      </c>
      <c r="D425" s="707">
        <v>9617</v>
      </c>
      <c r="E425" s="707">
        <v>9959</v>
      </c>
      <c r="F425" s="707">
        <v>9977</v>
      </c>
      <c r="G425" s="707">
        <v>10058</v>
      </c>
      <c r="H425" s="63">
        <v>9955</v>
      </c>
      <c r="I425" s="63">
        <v>9507</v>
      </c>
      <c r="J425" s="58">
        <v>9316</v>
      </c>
      <c r="K425" s="58">
        <v>9320</v>
      </c>
      <c r="L425" s="58">
        <v>9388</v>
      </c>
      <c r="M425" s="58">
        <v>9294</v>
      </c>
      <c r="N425" s="58">
        <v>9525</v>
      </c>
      <c r="O425" s="58">
        <v>9516</v>
      </c>
      <c r="Q425" s="695" t="s">
        <v>5741</v>
      </c>
    </row>
    <row r="426" spans="1:17">
      <c r="A426" s="695" t="s">
        <v>4431</v>
      </c>
      <c r="B426" s="695" t="s">
        <v>4308</v>
      </c>
      <c r="C426" s="55" t="s">
        <v>7150</v>
      </c>
      <c r="D426" s="707">
        <v>8757</v>
      </c>
      <c r="E426" s="707">
        <v>8871</v>
      </c>
      <c r="F426" s="707">
        <v>8937</v>
      </c>
      <c r="G426" s="707">
        <v>8959</v>
      </c>
      <c r="H426" s="63">
        <v>9007</v>
      </c>
      <c r="I426" s="63">
        <v>8917</v>
      </c>
      <c r="J426" s="58">
        <v>8917</v>
      </c>
      <c r="K426" s="58">
        <v>9005</v>
      </c>
      <c r="L426" s="58">
        <v>9095</v>
      </c>
      <c r="M426" s="58">
        <v>9056</v>
      </c>
      <c r="N426" s="58">
        <v>9230</v>
      </c>
      <c r="O426" s="58">
        <v>9227</v>
      </c>
      <c r="Q426" s="695" t="s">
        <v>4178</v>
      </c>
    </row>
    <row r="427" spans="1:17">
      <c r="A427" s="716">
        <v>25</v>
      </c>
      <c r="B427" s="695" t="s">
        <v>4309</v>
      </c>
      <c r="C427" s="55" t="s">
        <v>7151</v>
      </c>
      <c r="D427" s="707">
        <v>8780</v>
      </c>
      <c r="E427" s="707">
        <v>9035</v>
      </c>
      <c r="F427" s="707">
        <v>9102</v>
      </c>
      <c r="G427" s="707">
        <v>9163</v>
      </c>
      <c r="H427" s="63">
        <v>9067</v>
      </c>
      <c r="I427" s="63">
        <v>8801</v>
      </c>
      <c r="J427" s="58">
        <v>8698</v>
      </c>
      <c r="K427" s="58">
        <v>8816</v>
      </c>
      <c r="L427" s="58">
        <v>8929</v>
      </c>
      <c r="M427" s="58">
        <v>8932</v>
      </c>
      <c r="N427" s="58">
        <v>8996</v>
      </c>
      <c r="O427" s="58">
        <v>8996</v>
      </c>
      <c r="Q427" s="695" t="s">
        <v>4178</v>
      </c>
    </row>
    <row r="428" spans="1:17">
      <c r="D428" s="707"/>
      <c r="E428" s="707"/>
      <c r="F428" s="707"/>
      <c r="G428" s="707"/>
      <c r="H428" s="707"/>
      <c r="I428" s="707"/>
      <c r="J428" s="707"/>
      <c r="K428" s="707"/>
      <c r="L428" s="707"/>
      <c r="M428" s="707"/>
      <c r="N428" s="707"/>
      <c r="O428" s="707"/>
    </row>
    <row r="429" spans="1:17">
      <c r="A429" s="695" t="s">
        <v>2743</v>
      </c>
      <c r="D429" s="706">
        <f t="shared" ref="D429:I429" si="181">D408</f>
        <v>10618</v>
      </c>
      <c r="E429" s="706">
        <f t="shared" si="181"/>
        <v>10962</v>
      </c>
      <c r="F429" s="706">
        <f t="shared" si="181"/>
        <v>11218</v>
      </c>
      <c r="G429" s="706">
        <f t="shared" si="181"/>
        <v>11252</v>
      </c>
      <c r="H429" s="706">
        <f t="shared" si="181"/>
        <v>11312</v>
      </c>
      <c r="I429" s="706">
        <f t="shared" si="181"/>
        <v>10158</v>
      </c>
      <c r="J429" s="706">
        <f t="shared" ref="J429:O429" si="182">J408</f>
        <v>10337</v>
      </c>
      <c r="K429" s="706">
        <f t="shared" si="182"/>
        <v>10427</v>
      </c>
      <c r="L429" s="706">
        <f t="shared" si="182"/>
        <v>10594</v>
      </c>
      <c r="M429" s="706">
        <f t="shared" si="182"/>
        <v>10533</v>
      </c>
      <c r="N429" s="706">
        <f t="shared" si="182"/>
        <v>10958</v>
      </c>
      <c r="O429" s="706">
        <f t="shared" si="182"/>
        <v>10962</v>
      </c>
    </row>
    <row r="430" spans="1:17">
      <c r="A430" s="695" t="s">
        <v>4177</v>
      </c>
      <c r="D430" s="706">
        <f t="shared" ref="D430:I430" si="183">D406+D407+D411+SUM(D415:D418)+D423</f>
        <v>75330</v>
      </c>
      <c r="E430" s="706">
        <f t="shared" si="183"/>
        <v>77001</v>
      </c>
      <c r="F430" s="706">
        <f t="shared" si="183"/>
        <v>77900</v>
      </c>
      <c r="G430" s="706">
        <f t="shared" si="183"/>
        <v>78529</v>
      </c>
      <c r="H430" s="706">
        <f t="shared" si="183"/>
        <v>78661</v>
      </c>
      <c r="I430" s="706">
        <f t="shared" si="183"/>
        <v>74008</v>
      </c>
      <c r="J430" s="706">
        <f t="shared" ref="J430:O430" si="184">J406+J407+J411+SUM(J415:J418)+J423</f>
        <v>73070</v>
      </c>
      <c r="K430" s="706">
        <f t="shared" si="184"/>
        <v>74448</v>
      </c>
      <c r="L430" s="706">
        <f t="shared" si="184"/>
        <v>74941</v>
      </c>
      <c r="M430" s="706">
        <f t="shared" si="184"/>
        <v>74672</v>
      </c>
      <c r="N430" s="706">
        <f t="shared" si="184"/>
        <v>77374</v>
      </c>
      <c r="O430" s="706">
        <f t="shared" si="184"/>
        <v>77416</v>
      </c>
    </row>
    <row r="431" spans="1:17">
      <c r="A431" s="695" t="s">
        <v>4178</v>
      </c>
      <c r="D431" s="706">
        <f t="shared" ref="D431:I431" si="185">D403+D404+D409+D412+D413+D419+D426+D427</f>
        <v>73447</v>
      </c>
      <c r="E431" s="706">
        <f t="shared" si="185"/>
        <v>74856</v>
      </c>
      <c r="F431" s="706">
        <f t="shared" si="185"/>
        <v>75307</v>
      </c>
      <c r="G431" s="706">
        <f t="shared" si="185"/>
        <v>75725</v>
      </c>
      <c r="H431" s="706">
        <f t="shared" si="185"/>
        <v>75758</v>
      </c>
      <c r="I431" s="706">
        <f t="shared" si="185"/>
        <v>72835</v>
      </c>
      <c r="J431" s="706">
        <f t="shared" ref="J431:O431" si="186">J403+J404+J409+J412+J413+J419+J426+J427</f>
        <v>71857</v>
      </c>
      <c r="K431" s="706">
        <f t="shared" si="186"/>
        <v>72636</v>
      </c>
      <c r="L431" s="706">
        <f t="shared" si="186"/>
        <v>73355</v>
      </c>
      <c r="M431" s="706">
        <f t="shared" si="186"/>
        <v>72966</v>
      </c>
      <c r="N431" s="706">
        <f t="shared" si="186"/>
        <v>74400</v>
      </c>
      <c r="O431" s="706">
        <f t="shared" si="186"/>
        <v>74400</v>
      </c>
    </row>
    <row r="432" spans="1:17">
      <c r="A432" s="695" t="s">
        <v>5741</v>
      </c>
      <c r="D432" s="706">
        <f t="shared" ref="D432:I432" si="187">D405+D410+D414+SUM(D420:D422)+D424+D425</f>
        <v>75035</v>
      </c>
      <c r="E432" s="706">
        <f t="shared" si="187"/>
        <v>76779</v>
      </c>
      <c r="F432" s="706">
        <f t="shared" si="187"/>
        <v>77288</v>
      </c>
      <c r="G432" s="706">
        <f t="shared" si="187"/>
        <v>77675</v>
      </c>
      <c r="H432" s="706">
        <f t="shared" si="187"/>
        <v>77655</v>
      </c>
      <c r="I432" s="706">
        <f t="shared" si="187"/>
        <v>74621</v>
      </c>
      <c r="J432" s="706">
        <f t="shared" ref="J432:O432" si="188">J405+J410+J414+SUM(J420:J422)+J424+J425</f>
        <v>72733</v>
      </c>
      <c r="K432" s="706">
        <f t="shared" si="188"/>
        <v>73656</v>
      </c>
      <c r="L432" s="706">
        <f t="shared" si="188"/>
        <v>74241</v>
      </c>
      <c r="M432" s="706">
        <f t="shared" si="188"/>
        <v>73782</v>
      </c>
      <c r="N432" s="706">
        <f t="shared" si="188"/>
        <v>75661</v>
      </c>
      <c r="O432" s="706">
        <f t="shared" si="188"/>
        <v>75607</v>
      </c>
    </row>
    <row r="433" spans="1:12">
      <c r="A433" s="695"/>
      <c r="D433" s="706"/>
      <c r="E433" s="706"/>
      <c r="F433" s="706"/>
      <c r="G433" s="706"/>
      <c r="H433" s="706"/>
      <c r="I433" s="706"/>
      <c r="J433" s="706"/>
      <c r="K433" s="706"/>
      <c r="L433" s="706"/>
    </row>
    <row r="434" spans="1:12">
      <c r="A434" s="156" t="s">
        <v>4310</v>
      </c>
    </row>
  </sheetData>
  <phoneticPr fontId="6" type="noConversion"/>
  <printOptions gridLinesSet="0"/>
  <pageMargins left="0.78740157480314965" right="0" top="0.51181102362204722" bottom="0.51181102362204722" header="0.51181102362204722" footer="0.51181102362204722"/>
  <pageSetup paperSize="9" scale="75" orientation="portrait" horizontalDpi="300" verticalDpi="300" r:id="rId1"/>
  <headerFooter alignWithMargins="0">
    <oddFooter>&amp;C&amp;"Times New Roman,Regular"&amp;8&amp;P of &amp;N</oddFooter>
  </headerFooter>
  <ignoredErrors>
    <ignoredError sqref="D213:K213 D92:K92 D402:K402 D123:K123 D370:K370 D307:K307 D340:K340 D244:K244 D3:K87 D393:K395 D114:K116 D361:K363 D142:K143 D235:K237 D266:K267 D330:K333 D429:K432 L201 L3:L146 L148:L149 L297 L305:L432 L208:L273 L30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dimension ref="A1:Q42"/>
  <sheetViews>
    <sheetView showGridLines="0" topLeftCell="A13" zoomScale="90" zoomScaleNormal="90" workbookViewId="0">
      <selection activeCell="A41" sqref="A41"/>
    </sheetView>
  </sheetViews>
  <sheetFormatPr defaultColWidth="12.5703125" defaultRowHeight="15"/>
  <cols>
    <col min="1" max="1" width="4.85546875" style="175" customWidth="1"/>
    <col min="2" max="2" width="40.7109375" style="175" customWidth="1"/>
    <col min="3" max="3" width="11.5703125" style="175" customWidth="1"/>
    <col min="4" max="15" width="10" style="175" customWidth="1"/>
    <col min="16" max="16" width="2.28515625" style="175" customWidth="1"/>
    <col min="17" max="17" width="25.5703125" style="175" customWidth="1"/>
    <col min="18" max="16384" width="12.5703125" style="175"/>
  </cols>
  <sheetData>
    <row r="1" spans="1:17">
      <c r="A1" s="909" t="s">
        <v>5719</v>
      </c>
      <c r="D1" s="910">
        <v>2010</v>
      </c>
      <c r="E1" s="910">
        <v>2011</v>
      </c>
      <c r="F1" s="910">
        <v>2012</v>
      </c>
      <c r="G1" s="910">
        <v>2013</v>
      </c>
      <c r="H1" s="910">
        <v>2014</v>
      </c>
      <c r="I1" s="910">
        <v>2015</v>
      </c>
      <c r="J1" s="910">
        <v>2016</v>
      </c>
      <c r="K1" s="910">
        <v>2017</v>
      </c>
      <c r="L1" s="910">
        <v>2018</v>
      </c>
      <c r="M1" s="910">
        <v>2019</v>
      </c>
      <c r="N1" s="910">
        <v>2020</v>
      </c>
      <c r="O1" s="922" t="s">
        <v>14823</v>
      </c>
    </row>
    <row r="3" spans="1:17">
      <c r="A3" s="909" t="s">
        <v>9988</v>
      </c>
      <c r="D3" s="911">
        <f t="shared" ref="D3:I3" si="0">SUM(D23:D39)</f>
        <v>114061</v>
      </c>
      <c r="E3" s="911">
        <f t="shared" si="0"/>
        <v>115215</v>
      </c>
      <c r="F3" s="911">
        <f t="shared" si="0"/>
        <v>116319</v>
      </c>
      <c r="G3" s="911">
        <f t="shared" si="0"/>
        <v>116582</v>
      </c>
      <c r="H3" s="911">
        <f t="shared" si="0"/>
        <v>116700</v>
      </c>
      <c r="I3" s="911">
        <f t="shared" si="0"/>
        <v>111352</v>
      </c>
      <c r="J3" s="911">
        <f t="shared" ref="J3:O3" si="1">SUM(J23:J39)</f>
        <v>111486</v>
      </c>
      <c r="K3" s="911">
        <f t="shared" si="1"/>
        <v>114577</v>
      </c>
      <c r="L3" s="911">
        <f t="shared" si="1"/>
        <v>115885</v>
      </c>
      <c r="M3" s="911">
        <f t="shared" si="1"/>
        <v>118998</v>
      </c>
      <c r="N3" s="911">
        <f t="shared" si="1"/>
        <v>118466</v>
      </c>
      <c r="O3" s="911">
        <f t="shared" si="1"/>
        <v>121115</v>
      </c>
    </row>
    <row r="4" spans="1:17">
      <c r="A4" s="909"/>
      <c r="D4" s="911"/>
      <c r="E4" s="911"/>
      <c r="F4" s="911"/>
      <c r="G4" s="911"/>
      <c r="H4" s="911"/>
      <c r="I4" s="911"/>
      <c r="J4" s="911"/>
      <c r="K4" s="911"/>
      <c r="L4" s="911"/>
      <c r="M4" s="911"/>
      <c r="N4" s="911"/>
      <c r="O4" s="911"/>
      <c r="Q4" s="912"/>
    </row>
    <row r="5" spans="1:17">
      <c r="A5" s="909" t="s">
        <v>5720</v>
      </c>
      <c r="D5" s="911">
        <f t="shared" ref="D5:I5" si="2">D3/2</f>
        <v>57030.5</v>
      </c>
      <c r="E5" s="911">
        <f t="shared" si="2"/>
        <v>57607.5</v>
      </c>
      <c r="F5" s="911">
        <f t="shared" si="2"/>
        <v>58159.5</v>
      </c>
      <c r="G5" s="911">
        <f t="shared" si="2"/>
        <v>58291</v>
      </c>
      <c r="H5" s="911">
        <f t="shared" si="2"/>
        <v>58350</v>
      </c>
      <c r="I5" s="911">
        <f t="shared" si="2"/>
        <v>55676</v>
      </c>
      <c r="J5" s="911">
        <f t="shared" ref="J5:O5" si="3">J3/2</f>
        <v>55743</v>
      </c>
      <c r="K5" s="911">
        <f t="shared" si="3"/>
        <v>57288.5</v>
      </c>
      <c r="L5" s="911">
        <f t="shared" si="3"/>
        <v>57942.5</v>
      </c>
      <c r="M5" s="911">
        <f t="shared" si="3"/>
        <v>59499</v>
      </c>
      <c r="N5" s="911">
        <f t="shared" si="3"/>
        <v>59233</v>
      </c>
      <c r="O5" s="911">
        <f t="shared" si="3"/>
        <v>60557.5</v>
      </c>
    </row>
    <row r="6" spans="1:17">
      <c r="D6" s="913"/>
      <c r="E6" s="913"/>
      <c r="F6" s="913"/>
      <c r="G6" s="913"/>
      <c r="H6" s="913"/>
      <c r="I6" s="913"/>
      <c r="J6" s="913"/>
      <c r="K6" s="913"/>
      <c r="L6" s="913"/>
      <c r="M6" s="913"/>
      <c r="N6" s="913"/>
      <c r="O6" s="913"/>
    </row>
    <row r="7" spans="1:17">
      <c r="A7" s="909" t="s">
        <v>5721</v>
      </c>
      <c r="D7" s="911">
        <f t="shared" ref="D7:I7" si="4">SUM(D23:D25)+SUM(D28:D30)+SUM(D32:D34)+D36+D37</f>
        <v>73303</v>
      </c>
      <c r="E7" s="911">
        <f t="shared" si="4"/>
        <v>74027</v>
      </c>
      <c r="F7" s="911">
        <f t="shared" si="4"/>
        <v>74824</v>
      </c>
      <c r="G7" s="911">
        <f t="shared" si="4"/>
        <v>75037</v>
      </c>
      <c r="H7" s="911">
        <f t="shared" si="4"/>
        <v>75468</v>
      </c>
      <c r="I7" s="911">
        <f t="shared" si="4"/>
        <v>72011</v>
      </c>
      <c r="J7" s="911">
        <f t="shared" ref="J7:O7" si="5">SUM(J23:J25)+SUM(J28:J30)+SUM(J32:J34)+J36+J37</f>
        <v>72314</v>
      </c>
      <c r="K7" s="911">
        <f t="shared" si="5"/>
        <v>74447</v>
      </c>
      <c r="L7" s="911">
        <f t="shared" si="5"/>
        <v>75267</v>
      </c>
      <c r="M7" s="911">
        <f t="shared" si="5"/>
        <v>77181</v>
      </c>
      <c r="N7" s="911">
        <f t="shared" si="5"/>
        <v>76861</v>
      </c>
      <c r="O7" s="911">
        <f t="shared" si="5"/>
        <v>78688</v>
      </c>
      <c r="Q7" s="909" t="s">
        <v>5722</v>
      </c>
    </row>
    <row r="8" spans="1:17">
      <c r="D8" s="913"/>
      <c r="E8" s="913"/>
      <c r="F8" s="913"/>
      <c r="G8" s="913"/>
      <c r="H8" s="913"/>
      <c r="I8" s="913"/>
      <c r="J8" s="913"/>
      <c r="K8" s="913"/>
      <c r="L8" s="913"/>
      <c r="M8" s="913"/>
      <c r="N8" s="913"/>
      <c r="O8" s="913"/>
    </row>
    <row r="9" spans="1:17">
      <c r="A9" s="909" t="s">
        <v>5723</v>
      </c>
      <c r="D9" s="911">
        <f t="shared" ref="D9:I9" si="6">D26+D27+D31+D35+D38+D39</f>
        <v>40758</v>
      </c>
      <c r="E9" s="911">
        <f t="shared" si="6"/>
        <v>41188</v>
      </c>
      <c r="F9" s="911">
        <f t="shared" si="6"/>
        <v>41495</v>
      </c>
      <c r="G9" s="911">
        <f t="shared" si="6"/>
        <v>41545</v>
      </c>
      <c r="H9" s="911">
        <f t="shared" si="6"/>
        <v>41232</v>
      </c>
      <c r="I9" s="911">
        <f t="shared" si="6"/>
        <v>39341</v>
      </c>
      <c r="J9" s="911">
        <f t="shared" ref="J9:O9" si="7">J26+J27+J31+J35+J38+J39</f>
        <v>39172</v>
      </c>
      <c r="K9" s="911">
        <f t="shared" si="7"/>
        <v>40130</v>
      </c>
      <c r="L9" s="911">
        <f t="shared" si="7"/>
        <v>40618</v>
      </c>
      <c r="M9" s="911">
        <f t="shared" si="7"/>
        <v>41817</v>
      </c>
      <c r="N9" s="911">
        <f t="shared" si="7"/>
        <v>41605</v>
      </c>
      <c r="O9" s="911">
        <f t="shared" si="7"/>
        <v>42427</v>
      </c>
      <c r="Q9" s="909" t="s">
        <v>5722</v>
      </c>
    </row>
    <row r="10" spans="1:17" ht="15.75" thickBot="1">
      <c r="D10" s="914">
        <f>HAVERING!D12</f>
        <v>28841</v>
      </c>
      <c r="E10" s="914">
        <f>HAVERING!E12</f>
        <v>28999</v>
      </c>
      <c r="F10" s="914">
        <f>HAVERING!F12</f>
        <v>29252</v>
      </c>
      <c r="G10" s="914">
        <f>HAVERING!G12</f>
        <v>29232</v>
      </c>
      <c r="H10" s="914">
        <f>HAVERING!H12</f>
        <v>29191</v>
      </c>
      <c r="I10" s="914">
        <f>HAVERING!I12</f>
        <v>28826</v>
      </c>
      <c r="J10" s="914">
        <f>HAVERING!J12</f>
        <v>28383</v>
      </c>
      <c r="K10" s="914">
        <f>HAVERING!K12</f>
        <v>28711</v>
      </c>
      <c r="L10" s="914">
        <f>HAVERING!L12</f>
        <v>29140</v>
      </c>
      <c r="M10" s="914">
        <f>HAVERING!M12</f>
        <v>28763</v>
      </c>
      <c r="N10" s="914">
        <f>HAVERING!N12</f>
        <v>28416</v>
      </c>
      <c r="O10" s="914">
        <f>HAVERING!O12</f>
        <v>28982</v>
      </c>
      <c r="Q10" s="175" t="s">
        <v>5724</v>
      </c>
    </row>
    <row r="11" spans="1:17" ht="15.75" thickBot="1">
      <c r="D11" s="915">
        <f t="shared" ref="D11:I11" si="8">D9+D10</f>
        <v>69599</v>
      </c>
      <c r="E11" s="915">
        <f t="shared" si="8"/>
        <v>70187</v>
      </c>
      <c r="F11" s="915">
        <f t="shared" si="8"/>
        <v>70747</v>
      </c>
      <c r="G11" s="915">
        <f t="shared" si="8"/>
        <v>70777</v>
      </c>
      <c r="H11" s="915">
        <f t="shared" si="8"/>
        <v>70423</v>
      </c>
      <c r="I11" s="915">
        <f t="shared" si="8"/>
        <v>68167</v>
      </c>
      <c r="J11" s="915">
        <f t="shared" ref="J11:O11" si="9">J9+J10</f>
        <v>67555</v>
      </c>
      <c r="K11" s="915">
        <f t="shared" si="9"/>
        <v>68841</v>
      </c>
      <c r="L11" s="915">
        <f t="shared" si="9"/>
        <v>69758</v>
      </c>
      <c r="M11" s="915">
        <f t="shared" si="9"/>
        <v>70580</v>
      </c>
      <c r="N11" s="915">
        <f t="shared" si="9"/>
        <v>70021</v>
      </c>
      <c r="O11" s="915">
        <f t="shared" si="9"/>
        <v>71409</v>
      </c>
    </row>
    <row r="12" spans="1:17">
      <c r="D12" s="913"/>
      <c r="E12" s="913"/>
      <c r="F12" s="913"/>
      <c r="G12" s="913"/>
      <c r="H12" s="913"/>
      <c r="I12" s="913"/>
      <c r="J12" s="913"/>
      <c r="K12" s="913"/>
      <c r="L12" s="913"/>
      <c r="M12" s="913"/>
      <c r="N12" s="913"/>
      <c r="O12" s="913"/>
    </row>
    <row r="13" spans="1:17">
      <c r="A13" s="658" t="s">
        <v>6400</v>
      </c>
      <c r="D13" s="913">
        <f>HAVERING!D7</f>
        <v>78913</v>
      </c>
      <c r="E13" s="913">
        <f>HAVERING!E7</f>
        <v>79568</v>
      </c>
      <c r="F13" s="913">
        <f>HAVERING!F7</f>
        <v>80364</v>
      </c>
      <c r="G13" s="913">
        <f>HAVERING!G7</f>
        <v>80415</v>
      </c>
      <c r="H13" s="913">
        <f>HAVERING!H7</f>
        <v>80252</v>
      </c>
      <c r="I13" s="913">
        <f>HAVERING!I7</f>
        <v>78714</v>
      </c>
      <c r="J13" s="913">
        <f>HAVERING!J7</f>
        <v>78064</v>
      </c>
      <c r="K13" s="913">
        <f>HAVERING!K7</f>
        <v>79806</v>
      </c>
      <c r="L13" s="913">
        <f>HAVERING!L7</f>
        <v>81200</v>
      </c>
      <c r="M13" s="913">
        <f>HAVERING!M7</f>
        <v>80377</v>
      </c>
      <c r="N13" s="913">
        <f>HAVERING!N7</f>
        <v>79631</v>
      </c>
      <c r="O13" s="913">
        <f>HAVERING!O7</f>
        <v>80862</v>
      </c>
      <c r="Q13" s="175" t="s">
        <v>5724</v>
      </c>
    </row>
    <row r="14" spans="1:17">
      <c r="D14" s="913"/>
      <c r="E14" s="913"/>
      <c r="F14" s="913"/>
      <c r="G14" s="913"/>
      <c r="H14" s="913"/>
      <c r="I14" s="913"/>
      <c r="J14" s="913"/>
      <c r="K14" s="913"/>
      <c r="L14" s="913"/>
      <c r="M14" s="913"/>
      <c r="N14" s="913"/>
      <c r="O14" s="913"/>
    </row>
    <row r="15" spans="1:17">
      <c r="A15" s="658" t="s">
        <v>6401</v>
      </c>
      <c r="D15" s="913">
        <f>HAVERING!D9</f>
        <v>71306</v>
      </c>
      <c r="E15" s="913">
        <f>HAVERING!E9</f>
        <v>71978</v>
      </c>
      <c r="F15" s="913">
        <f>HAVERING!F9</f>
        <v>72608</v>
      </c>
      <c r="G15" s="913">
        <f>HAVERING!G9</f>
        <v>73129</v>
      </c>
      <c r="H15" s="913">
        <f>HAVERING!H9</f>
        <v>73574</v>
      </c>
      <c r="I15" s="913">
        <f>HAVERING!I9</f>
        <v>71790</v>
      </c>
      <c r="J15" s="913">
        <f>HAVERING!J9</f>
        <v>70953</v>
      </c>
      <c r="K15" s="913">
        <f>HAVERING!K9</f>
        <v>72309</v>
      </c>
      <c r="L15" s="913">
        <f>HAVERING!L9</f>
        <v>73415</v>
      </c>
      <c r="M15" s="913">
        <f>HAVERING!M9</f>
        <v>72046</v>
      </c>
      <c r="N15" s="913">
        <f>HAVERING!N9</f>
        <v>71247</v>
      </c>
      <c r="O15" s="913">
        <f>HAVERING!O9</f>
        <v>72267</v>
      </c>
      <c r="Q15" s="175" t="s">
        <v>5724</v>
      </c>
    </row>
    <row r="16" spans="1:17">
      <c r="D16" s="913"/>
      <c r="E16" s="913"/>
      <c r="F16" s="913"/>
      <c r="G16" s="913"/>
      <c r="H16" s="913"/>
      <c r="I16" s="913"/>
      <c r="J16" s="913"/>
      <c r="K16" s="913"/>
      <c r="L16" s="913"/>
      <c r="M16" s="913"/>
      <c r="N16" s="913"/>
      <c r="O16" s="913"/>
    </row>
    <row r="17" spans="1:17">
      <c r="A17" s="909" t="s">
        <v>6796</v>
      </c>
      <c r="D17" s="911">
        <f t="shared" ref="D17:I17" si="10">D7+D9</f>
        <v>114061</v>
      </c>
      <c r="E17" s="911">
        <f t="shared" si="10"/>
        <v>115215</v>
      </c>
      <c r="F17" s="911">
        <f t="shared" si="10"/>
        <v>116319</v>
      </c>
      <c r="G17" s="911">
        <f t="shared" si="10"/>
        <v>116582</v>
      </c>
      <c r="H17" s="911">
        <f t="shared" si="10"/>
        <v>116700</v>
      </c>
      <c r="I17" s="911">
        <f t="shared" si="10"/>
        <v>111352</v>
      </c>
      <c r="J17" s="911">
        <f t="shared" ref="J17:O17" si="11">J7+J9</f>
        <v>111486</v>
      </c>
      <c r="K17" s="911">
        <f t="shared" si="11"/>
        <v>114577</v>
      </c>
      <c r="L17" s="911">
        <f t="shared" si="11"/>
        <v>115885</v>
      </c>
      <c r="M17" s="911">
        <f t="shared" si="11"/>
        <v>118998</v>
      </c>
      <c r="N17" s="911">
        <f t="shared" si="11"/>
        <v>118466</v>
      </c>
      <c r="O17" s="911">
        <f t="shared" si="11"/>
        <v>121115</v>
      </c>
    </row>
    <row r="18" spans="1:17">
      <c r="D18" s="913"/>
      <c r="E18" s="913"/>
      <c r="F18" s="913"/>
      <c r="G18" s="913"/>
      <c r="H18" s="913"/>
      <c r="I18" s="913"/>
      <c r="J18" s="913"/>
      <c r="K18" s="913"/>
      <c r="L18" s="913"/>
      <c r="M18" s="913"/>
      <c r="N18" s="913"/>
      <c r="O18" s="913"/>
    </row>
    <row r="19" spans="1:17">
      <c r="A19" s="909" t="s">
        <v>6797</v>
      </c>
      <c r="D19" s="911">
        <f t="shared" ref="D19:I19" si="12">MAX(D7,D11,D13,D15)-MIN(D7,D11,D13,D15)</f>
        <v>9314</v>
      </c>
      <c r="E19" s="911">
        <f t="shared" si="12"/>
        <v>9381</v>
      </c>
      <c r="F19" s="911">
        <f t="shared" si="12"/>
        <v>9617</v>
      </c>
      <c r="G19" s="911">
        <f t="shared" si="12"/>
        <v>9638</v>
      </c>
      <c r="H19" s="911">
        <f t="shared" si="12"/>
        <v>9829</v>
      </c>
      <c r="I19" s="911">
        <f t="shared" si="12"/>
        <v>10547</v>
      </c>
      <c r="J19" s="911">
        <f t="shared" ref="J19:O19" si="13">MAX(J7,J11,J13,J15)-MIN(J7,J11,J13,J15)</f>
        <v>10509</v>
      </c>
      <c r="K19" s="911">
        <f t="shared" si="13"/>
        <v>10965</v>
      </c>
      <c r="L19" s="911">
        <f t="shared" si="13"/>
        <v>11442</v>
      </c>
      <c r="M19" s="911">
        <f t="shared" si="13"/>
        <v>9797</v>
      </c>
      <c r="N19" s="911">
        <f t="shared" si="13"/>
        <v>9610</v>
      </c>
      <c r="O19" s="911">
        <f t="shared" si="13"/>
        <v>9453</v>
      </c>
    </row>
    <row r="20" spans="1:17">
      <c r="D20" s="913"/>
      <c r="E20" s="913"/>
      <c r="F20" s="913"/>
      <c r="G20" s="913"/>
      <c r="H20" s="913"/>
      <c r="I20" s="913"/>
      <c r="J20" s="913"/>
      <c r="K20" s="913"/>
      <c r="L20" s="913"/>
      <c r="M20" s="913"/>
      <c r="N20" s="913"/>
      <c r="O20" s="913"/>
    </row>
    <row r="21" spans="1:17">
      <c r="A21" s="909" t="s">
        <v>6800</v>
      </c>
      <c r="D21" s="911">
        <f t="shared" ref="D21:I21" si="14">STDEVP(D7,D11,D13,D15)</f>
        <v>3506.3390719523973</v>
      </c>
      <c r="E21" s="911">
        <f t="shared" si="14"/>
        <v>3521.9456980481682</v>
      </c>
      <c r="F21" s="911">
        <f t="shared" si="14"/>
        <v>3608.4079851785054</v>
      </c>
      <c r="G21" s="911">
        <f t="shared" si="14"/>
        <v>3555.0992602176384</v>
      </c>
      <c r="H21" s="911">
        <f t="shared" si="14"/>
        <v>3562.4749385083401</v>
      </c>
      <c r="I21" s="911">
        <f t="shared" si="14"/>
        <v>3808.3994341455309</v>
      </c>
      <c r="J21" s="911">
        <f t="shared" ref="J21:O21" si="15">STDEVP(J7,J11,J13,J15)</f>
        <v>3792.3830568654321</v>
      </c>
      <c r="K21" s="911">
        <f t="shared" si="15"/>
        <v>3977.9110331303286</v>
      </c>
      <c r="L21" s="911">
        <f t="shared" si="15"/>
        <v>4137.3203284251513</v>
      </c>
      <c r="M21" s="911">
        <f t="shared" si="15"/>
        <v>3934.5565823863813</v>
      </c>
      <c r="N21" s="911">
        <f t="shared" si="15"/>
        <v>3953.8124639390776</v>
      </c>
      <c r="O21" s="911">
        <f t="shared" si="15"/>
        <v>4053.6153307880609</v>
      </c>
    </row>
    <row r="22" spans="1:17">
      <c r="D22" s="913"/>
      <c r="E22" s="913"/>
      <c r="F22" s="913"/>
      <c r="G22" s="913"/>
      <c r="H22" s="913"/>
      <c r="I22" s="913"/>
      <c r="J22" s="913"/>
      <c r="K22" s="913"/>
      <c r="L22" s="913"/>
    </row>
    <row r="23" spans="1:17">
      <c r="A23" s="916">
        <v>1</v>
      </c>
      <c r="B23" s="909" t="s">
        <v>6402</v>
      </c>
      <c r="C23" s="55" t="s">
        <v>393</v>
      </c>
      <c r="D23" s="917">
        <v>6967</v>
      </c>
      <c r="E23" s="917">
        <v>7203</v>
      </c>
      <c r="F23" s="917">
        <v>7415</v>
      </c>
      <c r="G23" s="917">
        <v>7295</v>
      </c>
      <c r="H23" s="56">
        <v>7320</v>
      </c>
      <c r="I23" s="56">
        <v>6915</v>
      </c>
      <c r="J23" s="56">
        <v>7039</v>
      </c>
      <c r="K23" s="56">
        <v>7585</v>
      </c>
      <c r="L23" s="56">
        <v>7649</v>
      </c>
      <c r="M23" s="56">
        <v>7569</v>
      </c>
      <c r="N23" s="56">
        <v>7482</v>
      </c>
      <c r="O23" s="56">
        <v>7721</v>
      </c>
      <c r="Q23" s="909" t="s">
        <v>5721</v>
      </c>
    </row>
    <row r="24" spans="1:17">
      <c r="A24" s="916">
        <v>2</v>
      </c>
      <c r="B24" s="909" t="s">
        <v>6403</v>
      </c>
      <c r="C24" s="55" t="s">
        <v>394</v>
      </c>
      <c r="D24" s="917">
        <v>6560</v>
      </c>
      <c r="E24" s="917">
        <v>6538</v>
      </c>
      <c r="F24" s="917">
        <v>6534</v>
      </c>
      <c r="G24" s="917">
        <v>6523</v>
      </c>
      <c r="H24" s="56">
        <v>6519</v>
      </c>
      <c r="I24" s="56">
        <v>6174</v>
      </c>
      <c r="J24" s="56">
        <v>6150</v>
      </c>
      <c r="K24" s="56">
        <v>6201</v>
      </c>
      <c r="L24" s="56">
        <v>6252</v>
      </c>
      <c r="M24" s="56">
        <v>6293</v>
      </c>
      <c r="N24" s="56">
        <v>6264</v>
      </c>
      <c r="O24" s="56">
        <v>6371</v>
      </c>
      <c r="Q24" s="909" t="s">
        <v>5721</v>
      </c>
    </row>
    <row r="25" spans="1:17">
      <c r="A25" s="916">
        <v>3</v>
      </c>
      <c r="B25" s="909" t="s">
        <v>6404</v>
      </c>
      <c r="C25" s="55" t="s">
        <v>395</v>
      </c>
      <c r="D25" s="917">
        <v>7144</v>
      </c>
      <c r="E25" s="917">
        <v>7142</v>
      </c>
      <c r="F25" s="917">
        <v>7476</v>
      </c>
      <c r="G25" s="917">
        <v>7694</v>
      </c>
      <c r="H25" s="56">
        <v>7808</v>
      </c>
      <c r="I25" s="56">
        <v>7358</v>
      </c>
      <c r="J25" s="56">
        <v>7631</v>
      </c>
      <c r="K25" s="56">
        <v>8005</v>
      </c>
      <c r="L25" s="56">
        <v>8190</v>
      </c>
      <c r="M25" s="56">
        <v>8437</v>
      </c>
      <c r="N25" s="56">
        <v>8379</v>
      </c>
      <c r="O25" s="56">
        <v>8561</v>
      </c>
      <c r="Q25" s="909" t="s">
        <v>5721</v>
      </c>
    </row>
    <row r="26" spans="1:17">
      <c r="A26" s="916">
        <v>4</v>
      </c>
      <c r="B26" s="909" t="s">
        <v>6405</v>
      </c>
      <c r="C26" s="55" t="s">
        <v>396</v>
      </c>
      <c r="D26" s="917">
        <v>6641</v>
      </c>
      <c r="E26" s="917">
        <v>6717</v>
      </c>
      <c r="F26" s="917">
        <v>6747</v>
      </c>
      <c r="G26" s="917">
        <v>6825</v>
      </c>
      <c r="H26" s="56">
        <v>6759</v>
      </c>
      <c r="I26" s="56">
        <v>6334</v>
      </c>
      <c r="J26" s="56">
        <v>6376</v>
      </c>
      <c r="K26" s="56">
        <v>6686</v>
      </c>
      <c r="L26" s="56">
        <v>6768</v>
      </c>
      <c r="M26" s="56">
        <v>6918</v>
      </c>
      <c r="N26" s="56">
        <v>6927</v>
      </c>
      <c r="O26" s="56">
        <v>7109</v>
      </c>
      <c r="Q26" s="909" t="s">
        <v>5723</v>
      </c>
    </row>
    <row r="27" spans="1:17">
      <c r="A27" s="916">
        <v>5</v>
      </c>
      <c r="B27" s="909" t="s">
        <v>6406</v>
      </c>
      <c r="C27" s="55" t="s">
        <v>397</v>
      </c>
      <c r="D27" s="917">
        <v>7269</v>
      </c>
      <c r="E27" s="917">
        <v>7293</v>
      </c>
      <c r="F27" s="917">
        <v>7316</v>
      </c>
      <c r="G27" s="917">
        <v>7298</v>
      </c>
      <c r="H27" s="56">
        <v>7330</v>
      </c>
      <c r="I27" s="56">
        <v>7153</v>
      </c>
      <c r="J27" s="56">
        <v>7226</v>
      </c>
      <c r="K27" s="56">
        <v>7176</v>
      </c>
      <c r="L27" s="56">
        <v>7286</v>
      </c>
      <c r="M27" s="56">
        <v>7411</v>
      </c>
      <c r="N27" s="56">
        <v>7267</v>
      </c>
      <c r="O27" s="56">
        <v>7357</v>
      </c>
      <c r="Q27" s="909" t="s">
        <v>5723</v>
      </c>
    </row>
    <row r="28" spans="1:17">
      <c r="A28" s="916">
        <v>6</v>
      </c>
      <c r="B28" s="909" t="s">
        <v>6407</v>
      </c>
      <c r="C28" s="55" t="s">
        <v>398</v>
      </c>
      <c r="D28" s="917">
        <v>6817</v>
      </c>
      <c r="E28" s="917">
        <v>6895</v>
      </c>
      <c r="F28" s="917">
        <v>6995</v>
      </c>
      <c r="G28" s="917">
        <v>6973</v>
      </c>
      <c r="H28" s="56">
        <v>7026</v>
      </c>
      <c r="I28" s="56">
        <v>6735</v>
      </c>
      <c r="J28" s="56">
        <v>6652</v>
      </c>
      <c r="K28" s="56">
        <v>6733</v>
      </c>
      <c r="L28" s="56">
        <v>6761</v>
      </c>
      <c r="M28" s="56">
        <v>6873</v>
      </c>
      <c r="N28" s="56">
        <v>6755</v>
      </c>
      <c r="O28" s="56">
        <v>6913</v>
      </c>
      <c r="Q28" s="909" t="s">
        <v>5721</v>
      </c>
    </row>
    <row r="29" spans="1:17">
      <c r="A29" s="916">
        <v>7</v>
      </c>
      <c r="B29" s="909" t="s">
        <v>6408</v>
      </c>
      <c r="C29" s="55" t="s">
        <v>399</v>
      </c>
      <c r="D29" s="917">
        <v>6439</v>
      </c>
      <c r="E29" s="917">
        <v>6593</v>
      </c>
      <c r="F29" s="917">
        <v>6578</v>
      </c>
      <c r="G29" s="917">
        <v>6516</v>
      </c>
      <c r="H29" s="56">
        <v>6313</v>
      </c>
      <c r="I29" s="56">
        <v>5678</v>
      </c>
      <c r="J29" s="56">
        <v>5598</v>
      </c>
      <c r="K29" s="56">
        <v>5462</v>
      </c>
      <c r="L29" s="56">
        <v>5424</v>
      </c>
      <c r="M29" s="56">
        <v>5872</v>
      </c>
      <c r="N29" s="56">
        <v>5958</v>
      </c>
      <c r="O29" s="56">
        <v>6097</v>
      </c>
      <c r="Q29" s="909" t="s">
        <v>5721</v>
      </c>
    </row>
    <row r="30" spans="1:17">
      <c r="A30" s="916">
        <v>8</v>
      </c>
      <c r="B30" s="909" t="s">
        <v>6409</v>
      </c>
      <c r="C30" s="55" t="s">
        <v>400</v>
      </c>
      <c r="D30" s="917">
        <v>6991</v>
      </c>
      <c r="E30" s="917">
        <v>6972</v>
      </c>
      <c r="F30" s="917">
        <v>6996</v>
      </c>
      <c r="G30" s="917">
        <v>7044</v>
      </c>
      <c r="H30" s="56">
        <v>7039</v>
      </c>
      <c r="I30" s="56">
        <v>6648</v>
      </c>
      <c r="J30" s="56">
        <v>6637</v>
      </c>
      <c r="K30" s="56">
        <v>6724</v>
      </c>
      <c r="L30" s="56">
        <v>6816</v>
      </c>
      <c r="M30" s="56">
        <v>6956</v>
      </c>
      <c r="N30" s="56">
        <v>6809</v>
      </c>
      <c r="O30" s="56">
        <v>6975</v>
      </c>
      <c r="Q30" s="909" t="s">
        <v>5721</v>
      </c>
    </row>
    <row r="31" spans="1:17">
      <c r="A31" s="916">
        <v>9</v>
      </c>
      <c r="B31" s="909" t="s">
        <v>6410</v>
      </c>
      <c r="C31" s="55" t="s">
        <v>401</v>
      </c>
      <c r="D31" s="917">
        <v>6823</v>
      </c>
      <c r="E31" s="917">
        <v>6822</v>
      </c>
      <c r="F31" s="917">
        <v>6920</v>
      </c>
      <c r="G31" s="917">
        <v>7000</v>
      </c>
      <c r="H31" s="56">
        <v>6945</v>
      </c>
      <c r="I31" s="56">
        <v>6689</v>
      </c>
      <c r="J31" s="56">
        <v>6530</v>
      </c>
      <c r="K31" s="56">
        <v>6738</v>
      </c>
      <c r="L31" s="56">
        <v>6781</v>
      </c>
      <c r="M31" s="56">
        <v>6963</v>
      </c>
      <c r="N31" s="56">
        <v>7046</v>
      </c>
      <c r="O31" s="56">
        <v>7155</v>
      </c>
      <c r="Q31" s="909" t="s">
        <v>5723</v>
      </c>
    </row>
    <row r="32" spans="1:17">
      <c r="A32" s="916">
        <v>10</v>
      </c>
      <c r="B32" s="909" t="s">
        <v>6411</v>
      </c>
      <c r="C32" s="55" t="s">
        <v>402</v>
      </c>
      <c r="D32" s="917">
        <v>7604</v>
      </c>
      <c r="E32" s="917">
        <v>7689</v>
      </c>
      <c r="F32" s="917">
        <v>7750</v>
      </c>
      <c r="G32" s="917">
        <v>7761</v>
      </c>
      <c r="H32" s="56">
        <v>7820</v>
      </c>
      <c r="I32" s="56">
        <v>7663</v>
      </c>
      <c r="J32" s="56">
        <v>7599</v>
      </c>
      <c r="K32" s="56">
        <v>7858</v>
      </c>
      <c r="L32" s="56">
        <v>7962</v>
      </c>
      <c r="M32" s="56">
        <v>8146</v>
      </c>
      <c r="N32" s="56">
        <v>8094</v>
      </c>
      <c r="O32" s="56">
        <v>8273</v>
      </c>
      <c r="Q32" s="909" t="s">
        <v>5721</v>
      </c>
    </row>
    <row r="33" spans="1:17">
      <c r="A33" s="916">
        <v>11</v>
      </c>
      <c r="B33" s="909" t="s">
        <v>6412</v>
      </c>
      <c r="C33" s="55" t="s">
        <v>403</v>
      </c>
      <c r="D33" s="917">
        <v>6339</v>
      </c>
      <c r="E33" s="917">
        <v>6328</v>
      </c>
      <c r="F33" s="917">
        <v>6355</v>
      </c>
      <c r="G33" s="917">
        <v>6298</v>
      </c>
      <c r="H33" s="56">
        <v>6407</v>
      </c>
      <c r="I33" s="56">
        <v>6218</v>
      </c>
      <c r="J33" s="56">
        <v>6013</v>
      </c>
      <c r="K33" s="56">
        <v>6052</v>
      </c>
      <c r="L33" s="56">
        <v>6164</v>
      </c>
      <c r="M33" s="56">
        <v>6302</v>
      </c>
      <c r="N33" s="56">
        <v>6296</v>
      </c>
      <c r="O33" s="56">
        <v>6407</v>
      </c>
      <c r="Q33" s="909" t="s">
        <v>5721</v>
      </c>
    </row>
    <row r="34" spans="1:17">
      <c r="A34" s="916">
        <v>12</v>
      </c>
      <c r="B34" s="909" t="s">
        <v>6413</v>
      </c>
      <c r="C34" s="55" t="s">
        <v>404</v>
      </c>
      <c r="D34" s="911">
        <v>6351</v>
      </c>
      <c r="E34" s="911">
        <v>6361</v>
      </c>
      <c r="F34" s="911">
        <v>6301</v>
      </c>
      <c r="G34" s="911">
        <v>6279</v>
      </c>
      <c r="H34" s="56">
        <v>6245</v>
      </c>
      <c r="I34" s="56">
        <v>5819</v>
      </c>
      <c r="J34" s="56">
        <v>5836</v>
      </c>
      <c r="K34" s="56">
        <v>6094</v>
      </c>
      <c r="L34" s="56">
        <v>6036</v>
      </c>
      <c r="M34" s="56">
        <v>6127</v>
      </c>
      <c r="N34" s="56">
        <v>6112</v>
      </c>
      <c r="O34" s="56">
        <v>6248</v>
      </c>
      <c r="Q34" s="909" t="s">
        <v>5721</v>
      </c>
    </row>
    <row r="35" spans="1:17">
      <c r="A35" s="916">
        <v>13</v>
      </c>
      <c r="B35" s="909" t="s">
        <v>6414</v>
      </c>
      <c r="C35" s="55" t="s">
        <v>405</v>
      </c>
      <c r="D35" s="918">
        <v>6523</v>
      </c>
      <c r="E35" s="918">
        <v>6592</v>
      </c>
      <c r="F35" s="918">
        <v>6630</v>
      </c>
      <c r="G35" s="918">
        <v>6622</v>
      </c>
      <c r="H35" s="56">
        <v>6576</v>
      </c>
      <c r="I35" s="56">
        <v>6231</v>
      </c>
      <c r="J35" s="56">
        <v>6100</v>
      </c>
      <c r="K35" s="56">
        <v>6157</v>
      </c>
      <c r="L35" s="56">
        <v>6180</v>
      </c>
      <c r="M35" s="56">
        <v>6437</v>
      </c>
      <c r="N35" s="56">
        <v>6332</v>
      </c>
      <c r="O35" s="56">
        <v>6462</v>
      </c>
      <c r="Q35" s="909" t="s">
        <v>5723</v>
      </c>
    </row>
    <row r="36" spans="1:17" ht="14.25" customHeight="1">
      <c r="A36" s="916">
        <v>14</v>
      </c>
      <c r="B36" s="909" t="s">
        <v>6415</v>
      </c>
      <c r="C36" s="55" t="s">
        <v>406</v>
      </c>
      <c r="D36" s="917">
        <v>5730</v>
      </c>
      <c r="E36" s="917">
        <v>5858</v>
      </c>
      <c r="F36" s="917">
        <v>5853</v>
      </c>
      <c r="G36" s="917">
        <v>5912</v>
      </c>
      <c r="H36" s="56">
        <v>6204</v>
      </c>
      <c r="I36" s="56">
        <v>6208</v>
      </c>
      <c r="J36" s="56">
        <v>6625</v>
      </c>
      <c r="K36" s="56">
        <v>7053</v>
      </c>
      <c r="L36" s="56">
        <v>7342</v>
      </c>
      <c r="M36" s="56">
        <v>7842</v>
      </c>
      <c r="N36" s="56">
        <v>7975</v>
      </c>
      <c r="O36" s="56">
        <v>8256</v>
      </c>
      <c r="Q36" s="909" t="s">
        <v>5721</v>
      </c>
    </row>
    <row r="37" spans="1:17">
      <c r="A37" s="916">
        <v>15</v>
      </c>
      <c r="B37" s="909" t="s">
        <v>6416</v>
      </c>
      <c r="C37" s="55" t="s">
        <v>407</v>
      </c>
      <c r="D37" s="917">
        <v>6361</v>
      </c>
      <c r="E37" s="917">
        <v>6448</v>
      </c>
      <c r="F37" s="917">
        <v>6571</v>
      </c>
      <c r="G37" s="917">
        <v>6742</v>
      </c>
      <c r="H37" s="56">
        <v>6767</v>
      </c>
      <c r="I37" s="56">
        <v>6595</v>
      </c>
      <c r="J37" s="56">
        <v>6534</v>
      </c>
      <c r="K37" s="56">
        <v>6680</v>
      </c>
      <c r="L37" s="56">
        <v>6671</v>
      </c>
      <c r="M37" s="56">
        <v>6764</v>
      </c>
      <c r="N37" s="56">
        <v>6737</v>
      </c>
      <c r="O37" s="56">
        <v>6866</v>
      </c>
      <c r="Q37" s="909" t="s">
        <v>5721</v>
      </c>
    </row>
    <row r="38" spans="1:17">
      <c r="A38" s="916">
        <v>16</v>
      </c>
      <c r="B38" s="909" t="s">
        <v>3863</v>
      </c>
      <c r="C38" s="55" t="s">
        <v>408</v>
      </c>
      <c r="D38" s="917">
        <v>6777</v>
      </c>
      <c r="E38" s="917">
        <v>6891</v>
      </c>
      <c r="F38" s="917">
        <v>6954</v>
      </c>
      <c r="G38" s="917">
        <v>6894</v>
      </c>
      <c r="H38" s="58">
        <v>6776</v>
      </c>
      <c r="I38" s="58">
        <v>6523</v>
      </c>
      <c r="J38" s="58">
        <v>6453</v>
      </c>
      <c r="K38" s="58">
        <v>6590</v>
      </c>
      <c r="L38" s="58">
        <v>6610</v>
      </c>
      <c r="M38" s="56">
        <v>6823</v>
      </c>
      <c r="N38" s="56">
        <v>6865</v>
      </c>
      <c r="O38" s="56">
        <v>7016</v>
      </c>
      <c r="Q38" s="909" t="s">
        <v>5723</v>
      </c>
    </row>
    <row r="39" spans="1:17">
      <c r="A39" s="916">
        <v>17</v>
      </c>
      <c r="B39" s="909" t="s">
        <v>3864</v>
      </c>
      <c r="C39" s="55" t="s">
        <v>409</v>
      </c>
      <c r="D39" s="917">
        <v>6725</v>
      </c>
      <c r="E39" s="917">
        <v>6873</v>
      </c>
      <c r="F39" s="917">
        <v>6928</v>
      </c>
      <c r="G39" s="917">
        <v>6906</v>
      </c>
      <c r="H39" s="58">
        <v>6846</v>
      </c>
      <c r="I39" s="58">
        <v>6411</v>
      </c>
      <c r="J39" s="58">
        <v>6487</v>
      </c>
      <c r="K39" s="58">
        <v>6783</v>
      </c>
      <c r="L39" s="58">
        <v>6993</v>
      </c>
      <c r="M39" s="56">
        <v>7265</v>
      </c>
      <c r="N39" s="56">
        <v>7168</v>
      </c>
      <c r="O39" s="56">
        <v>7328</v>
      </c>
      <c r="Q39" s="909" t="s">
        <v>5723</v>
      </c>
    </row>
    <row r="41" spans="1:17">
      <c r="A41" s="175" t="s">
        <v>5379</v>
      </c>
    </row>
    <row r="42" spans="1:17">
      <c r="A42" s="175" t="s">
        <v>5380</v>
      </c>
    </row>
  </sheetData>
  <sortState ref="R23:U39">
    <sortCondition ref="S23:S39"/>
    <sortCondition ref="R23:R39"/>
  </sortState>
  <phoneticPr fontId="6" type="noConversion"/>
  <printOptions gridLinesSet="0"/>
  <pageMargins left="0.78740157480314965" right="0" top="0.51181102362204722" bottom="0.51181102362204722" header="0.51181102362204722" footer="0.51181102362204722"/>
  <pageSetup paperSize="9" scale="77" orientation="portrait" horizontalDpi="300" verticalDpi="300" r:id="rId1"/>
  <headerFooter alignWithMargins="0">
    <oddFooter>&amp;C&amp;"Times New Roman,Regular"&amp;8&amp;P of &amp;N</oddFooter>
  </headerFooter>
  <ignoredErrors>
    <ignoredError sqref="D3:D4 E3:E4 F3:F4 G3:G4 D5:D21 E5:E21 F5:F21 G5:G21 H3:H4 H5:H21 I3:I21 J3:J21 K3:K21 L3:L21"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dimension ref="A1:Q44"/>
  <sheetViews>
    <sheetView showGridLines="0" topLeftCell="A19" zoomScale="90" zoomScaleNormal="90" workbookViewId="0">
      <selection activeCell="O3" sqref="O3"/>
    </sheetView>
  </sheetViews>
  <sheetFormatPr defaultColWidth="10" defaultRowHeight="15"/>
  <cols>
    <col min="1" max="1" width="4.85546875" style="155" customWidth="1"/>
    <col min="2" max="2" width="35.85546875" style="155" customWidth="1"/>
    <col min="3" max="3" width="11.5703125" style="155" customWidth="1"/>
    <col min="4" max="15" width="10" style="155" customWidth="1"/>
    <col min="16" max="16" width="2.28515625" style="155" customWidth="1"/>
    <col min="17" max="17" width="26.85546875" style="155" bestFit="1" customWidth="1"/>
    <col min="18" max="16384" width="10" style="155"/>
  </cols>
  <sheetData>
    <row r="1" spans="1:17">
      <c r="A1" s="696" t="s">
        <v>5719</v>
      </c>
      <c r="D1" s="697">
        <v>2010</v>
      </c>
      <c r="E1" s="697">
        <v>2011</v>
      </c>
      <c r="F1" s="697">
        <v>2012</v>
      </c>
      <c r="G1" s="697">
        <v>2013</v>
      </c>
      <c r="H1" s="697">
        <v>2014</v>
      </c>
      <c r="I1" s="697">
        <v>2015</v>
      </c>
      <c r="J1" s="697">
        <v>2016</v>
      </c>
      <c r="K1" s="697">
        <v>2017</v>
      </c>
      <c r="L1" s="697">
        <v>2018</v>
      </c>
      <c r="M1" s="697">
        <v>2019</v>
      </c>
      <c r="N1" s="697">
        <v>2020</v>
      </c>
      <c r="O1" s="974" t="s">
        <v>14823</v>
      </c>
    </row>
    <row r="3" spans="1:17">
      <c r="A3" s="696" t="s">
        <v>6917</v>
      </c>
      <c r="D3" s="698">
        <f t="shared" ref="D3:I3" si="0">SUM(D25:D41)</f>
        <v>153230</v>
      </c>
      <c r="E3" s="698">
        <f t="shared" si="0"/>
        <v>159670</v>
      </c>
      <c r="F3" s="698">
        <f t="shared" si="0"/>
        <v>158771</v>
      </c>
      <c r="G3" s="698">
        <f t="shared" si="0"/>
        <v>159869</v>
      </c>
      <c r="H3" s="698">
        <f t="shared" si="0"/>
        <v>159889</v>
      </c>
      <c r="I3" s="698">
        <f t="shared" si="0"/>
        <v>161168</v>
      </c>
      <c r="J3" s="698">
        <f t="shared" ref="J3:O3" si="1">SUM(J25:J41)</f>
        <v>160503</v>
      </c>
      <c r="K3" s="698">
        <f t="shared" si="1"/>
        <v>164342</v>
      </c>
      <c r="L3" s="698">
        <f t="shared" si="1"/>
        <v>165690</v>
      </c>
      <c r="M3" s="698">
        <f t="shared" si="1"/>
        <v>164551</v>
      </c>
      <c r="N3" s="698">
        <f t="shared" si="1"/>
        <v>165779</v>
      </c>
      <c r="O3" s="698">
        <f t="shared" si="1"/>
        <v>174323</v>
      </c>
    </row>
    <row r="4" spans="1:17">
      <c r="A4" s="696"/>
      <c r="D4" s="698"/>
      <c r="E4" s="698"/>
      <c r="F4" s="698"/>
      <c r="G4" s="698"/>
      <c r="H4" s="698"/>
      <c r="I4" s="698"/>
      <c r="J4" s="698"/>
      <c r="K4" s="698"/>
      <c r="L4" s="698"/>
      <c r="M4" s="698"/>
      <c r="N4" s="698"/>
      <c r="O4" s="698"/>
      <c r="Q4" s="699"/>
    </row>
    <row r="5" spans="1:17">
      <c r="A5" s="696" t="s">
        <v>5720</v>
      </c>
      <c r="D5" s="698">
        <f t="shared" ref="D5:I5" si="2">D3/2</f>
        <v>76615</v>
      </c>
      <c r="E5" s="698">
        <f t="shared" si="2"/>
        <v>79835</v>
      </c>
      <c r="F5" s="698">
        <f t="shared" si="2"/>
        <v>79385.5</v>
      </c>
      <c r="G5" s="698">
        <f t="shared" si="2"/>
        <v>79934.5</v>
      </c>
      <c r="H5" s="698">
        <f t="shared" si="2"/>
        <v>79944.5</v>
      </c>
      <c r="I5" s="698">
        <f t="shared" si="2"/>
        <v>80584</v>
      </c>
      <c r="J5" s="698">
        <f t="shared" ref="J5:O5" si="3">J3/2</f>
        <v>80251.5</v>
      </c>
      <c r="K5" s="698">
        <f t="shared" si="3"/>
        <v>82171</v>
      </c>
      <c r="L5" s="698">
        <f t="shared" si="3"/>
        <v>82845</v>
      </c>
      <c r="M5" s="698">
        <f t="shared" si="3"/>
        <v>82275.5</v>
      </c>
      <c r="N5" s="698">
        <f t="shared" si="3"/>
        <v>82889.5</v>
      </c>
      <c r="O5" s="698">
        <f t="shared" si="3"/>
        <v>87161.5</v>
      </c>
    </row>
    <row r="6" spans="1:17">
      <c r="D6" s="700"/>
      <c r="E6" s="700"/>
      <c r="F6" s="700"/>
      <c r="G6" s="700"/>
      <c r="H6" s="700"/>
      <c r="I6" s="700"/>
      <c r="J6" s="700"/>
      <c r="K6" s="700"/>
      <c r="L6" s="700"/>
      <c r="M6" s="700"/>
      <c r="N6" s="700"/>
      <c r="O6" s="700"/>
    </row>
    <row r="7" spans="1:17">
      <c r="A7" s="696" t="s">
        <v>5405</v>
      </c>
      <c r="D7" s="698">
        <f t="shared" ref="D7:I7" si="4">SUM(D28:D31)+D34+D35+D38</f>
        <v>62005</v>
      </c>
      <c r="E7" s="698">
        <f t="shared" si="4"/>
        <v>63059</v>
      </c>
      <c r="F7" s="698">
        <f t="shared" si="4"/>
        <v>61991</v>
      </c>
      <c r="G7" s="698">
        <f t="shared" si="4"/>
        <v>62204</v>
      </c>
      <c r="H7" s="698">
        <f t="shared" si="4"/>
        <v>61972</v>
      </c>
      <c r="I7" s="698">
        <f t="shared" si="4"/>
        <v>62156</v>
      </c>
      <c r="J7" s="698">
        <f t="shared" ref="J7:O7" si="5">SUM(J28:J31)+J34+J35+J38</f>
        <v>61794</v>
      </c>
      <c r="K7" s="698">
        <f t="shared" si="5"/>
        <v>62575</v>
      </c>
      <c r="L7" s="698">
        <f t="shared" si="5"/>
        <v>62325</v>
      </c>
      <c r="M7" s="698">
        <f t="shared" si="5"/>
        <v>61794</v>
      </c>
      <c r="N7" s="698">
        <f t="shared" si="5"/>
        <v>61876</v>
      </c>
      <c r="O7" s="698">
        <f t="shared" si="5"/>
        <v>64213</v>
      </c>
      <c r="Q7" s="696" t="s">
        <v>5403</v>
      </c>
    </row>
    <row r="8" spans="1:17">
      <c r="D8" s="700"/>
      <c r="E8" s="700"/>
      <c r="F8" s="700"/>
      <c r="G8" s="700"/>
      <c r="H8" s="700"/>
      <c r="I8" s="700"/>
      <c r="J8" s="700"/>
      <c r="K8" s="700"/>
      <c r="L8" s="700"/>
      <c r="M8" s="700"/>
      <c r="N8" s="700"/>
      <c r="O8" s="700"/>
    </row>
    <row r="9" spans="1:17">
      <c r="A9" s="696" t="s">
        <v>5402</v>
      </c>
      <c r="D9" s="698">
        <f>BEXLEY!D9</f>
        <v>40735</v>
      </c>
      <c r="E9" s="698">
        <f>BEXLEY!E9</f>
        <v>40089</v>
      </c>
      <c r="F9" s="698">
        <f>BEXLEY!F9</f>
        <v>40875</v>
      </c>
      <c r="G9" s="698">
        <f>BEXLEY!G9</f>
        <v>40846</v>
      </c>
      <c r="H9" s="698">
        <f>BEXLEY!H9</f>
        <v>40891</v>
      </c>
      <c r="I9" s="698">
        <f>BEXLEY!I9</f>
        <v>39908</v>
      </c>
      <c r="J9" s="698">
        <f>BEXLEY!J9</f>
        <v>37799</v>
      </c>
      <c r="K9" s="698">
        <f>BEXLEY!K9</f>
        <v>38622</v>
      </c>
      <c r="L9" s="698">
        <f>BEXLEY!L9</f>
        <v>38687</v>
      </c>
      <c r="M9" s="698">
        <f>BEXLEY!M9</f>
        <v>37883</v>
      </c>
      <c r="N9" s="698">
        <f>BEXLEY!N9</f>
        <v>38447</v>
      </c>
      <c r="O9" s="698">
        <f>BEXLEY!O9</f>
        <v>39328</v>
      </c>
      <c r="Q9" s="696" t="s">
        <v>5401</v>
      </c>
    </row>
    <row r="10" spans="1:17" ht="15.75" thickBot="1">
      <c r="D10" s="701">
        <f t="shared" ref="D10:I10" si="6">D25+D37+D39</f>
        <v>28275</v>
      </c>
      <c r="E10" s="701">
        <f t="shared" si="6"/>
        <v>29629</v>
      </c>
      <c r="F10" s="701">
        <f t="shared" si="6"/>
        <v>29446</v>
      </c>
      <c r="G10" s="701">
        <f t="shared" si="6"/>
        <v>29462</v>
      </c>
      <c r="H10" s="701">
        <f t="shared" si="6"/>
        <v>29722</v>
      </c>
      <c r="I10" s="701">
        <f t="shared" si="6"/>
        <v>29892</v>
      </c>
      <c r="J10" s="701">
        <f t="shared" ref="J10:O10" si="7">J25+J37+J39</f>
        <v>28956</v>
      </c>
      <c r="K10" s="701">
        <f t="shared" si="7"/>
        <v>29355</v>
      </c>
      <c r="L10" s="701">
        <f t="shared" si="7"/>
        <v>29694</v>
      </c>
      <c r="M10" s="701">
        <f t="shared" si="7"/>
        <v>29243</v>
      </c>
      <c r="N10" s="701">
        <f t="shared" si="7"/>
        <v>29119</v>
      </c>
      <c r="O10" s="701">
        <f t="shared" si="7"/>
        <v>30201</v>
      </c>
      <c r="Q10" s="696" t="s">
        <v>5403</v>
      </c>
    </row>
    <row r="11" spans="1:17" ht="15.75" thickBot="1">
      <c r="D11" s="701">
        <f t="shared" ref="D11:I11" si="8">D9+D10</f>
        <v>69010</v>
      </c>
      <c r="E11" s="701">
        <f t="shared" si="8"/>
        <v>69718</v>
      </c>
      <c r="F11" s="701">
        <f t="shared" si="8"/>
        <v>70321</v>
      </c>
      <c r="G11" s="701">
        <f t="shared" si="8"/>
        <v>70308</v>
      </c>
      <c r="H11" s="701">
        <f t="shared" si="8"/>
        <v>70613</v>
      </c>
      <c r="I11" s="701">
        <f t="shared" si="8"/>
        <v>69800</v>
      </c>
      <c r="J11" s="701">
        <f t="shared" ref="J11:O11" si="9">J9+J10</f>
        <v>66755</v>
      </c>
      <c r="K11" s="701">
        <f t="shared" si="9"/>
        <v>67977</v>
      </c>
      <c r="L11" s="701">
        <f t="shared" si="9"/>
        <v>68381</v>
      </c>
      <c r="M11" s="701">
        <f t="shared" si="9"/>
        <v>67126</v>
      </c>
      <c r="N11" s="701">
        <f t="shared" si="9"/>
        <v>67566</v>
      </c>
      <c r="O11" s="701">
        <f t="shared" si="9"/>
        <v>69529</v>
      </c>
    </row>
    <row r="12" spans="1:17">
      <c r="D12" s="700"/>
      <c r="E12" s="700"/>
      <c r="F12" s="700"/>
      <c r="G12" s="700"/>
      <c r="H12" s="700"/>
      <c r="I12" s="700"/>
      <c r="J12" s="700"/>
      <c r="K12" s="700"/>
      <c r="L12" s="700"/>
      <c r="M12" s="700"/>
      <c r="N12" s="700"/>
      <c r="O12" s="700"/>
    </row>
    <row r="13" spans="1:17">
      <c r="A13" s="696" t="s">
        <v>5406</v>
      </c>
      <c r="D13" s="698">
        <f t="shared" ref="D13:I13" si="10">D26+D27+D32+D33+D36+D40+D41</f>
        <v>62950</v>
      </c>
      <c r="E13" s="698">
        <f t="shared" si="10"/>
        <v>66982</v>
      </c>
      <c r="F13" s="698">
        <f t="shared" si="10"/>
        <v>67334</v>
      </c>
      <c r="G13" s="698">
        <f t="shared" si="10"/>
        <v>68203</v>
      </c>
      <c r="H13" s="698">
        <f t="shared" si="10"/>
        <v>68195</v>
      </c>
      <c r="I13" s="698">
        <f t="shared" si="10"/>
        <v>69120</v>
      </c>
      <c r="J13" s="698">
        <f t="shared" ref="J13:O13" si="11">J26+J27+J32+J33+J36+J40+J41</f>
        <v>69753</v>
      </c>
      <c r="K13" s="698">
        <f t="shared" si="11"/>
        <v>72412</v>
      </c>
      <c r="L13" s="698">
        <f t="shared" si="11"/>
        <v>73671</v>
      </c>
      <c r="M13" s="698">
        <f t="shared" si="11"/>
        <v>73514</v>
      </c>
      <c r="N13" s="698">
        <f t="shared" si="11"/>
        <v>74784</v>
      </c>
      <c r="O13" s="698">
        <f t="shared" si="11"/>
        <v>79909</v>
      </c>
      <c r="Q13" s="696" t="s">
        <v>5403</v>
      </c>
    </row>
    <row r="14" spans="1:17">
      <c r="A14" s="696"/>
      <c r="D14" s="698"/>
      <c r="E14" s="698"/>
      <c r="F14" s="698"/>
      <c r="G14" s="698"/>
      <c r="H14" s="698"/>
      <c r="I14" s="698"/>
      <c r="J14" s="698"/>
      <c r="K14" s="698"/>
      <c r="L14" s="698"/>
      <c r="M14" s="698"/>
      <c r="N14" s="698"/>
      <c r="O14" s="698"/>
      <c r="Q14" s="696"/>
    </row>
    <row r="15" spans="1:17">
      <c r="A15" s="696" t="s">
        <v>4830</v>
      </c>
      <c r="D15" s="698">
        <f>BEXLEY!D7</f>
        <v>64791</v>
      </c>
      <c r="E15" s="698">
        <f>BEXLEY!E7</f>
        <v>64144</v>
      </c>
      <c r="F15" s="698">
        <f>BEXLEY!F7</f>
        <v>65252</v>
      </c>
      <c r="G15" s="698">
        <f>BEXLEY!G7</f>
        <v>65515</v>
      </c>
      <c r="H15" s="698">
        <f>BEXLEY!H7</f>
        <v>65942</v>
      </c>
      <c r="I15" s="698">
        <f>BEXLEY!I7</f>
        <v>65029</v>
      </c>
      <c r="J15" s="698">
        <f>BEXLEY!J7</f>
        <v>63243</v>
      </c>
      <c r="K15" s="698">
        <f>BEXLEY!K7</f>
        <v>64731</v>
      </c>
      <c r="L15" s="698">
        <f>BEXLEY!L7</f>
        <v>65015</v>
      </c>
      <c r="M15" s="698">
        <f>BEXLEY!M7</f>
        <v>64112</v>
      </c>
      <c r="N15" s="698">
        <f>BEXLEY!N7</f>
        <v>64753</v>
      </c>
      <c r="O15" s="698">
        <f>BEXLEY!O7</f>
        <v>65875</v>
      </c>
      <c r="Q15" s="696" t="s">
        <v>5401</v>
      </c>
    </row>
    <row r="16" spans="1:17">
      <c r="D16" s="700"/>
      <c r="E16" s="700"/>
      <c r="F16" s="700"/>
      <c r="G16" s="700"/>
      <c r="H16" s="700"/>
      <c r="I16" s="700"/>
      <c r="J16" s="700"/>
      <c r="K16" s="700"/>
      <c r="L16" s="700"/>
      <c r="M16" s="700"/>
      <c r="N16" s="700"/>
      <c r="O16" s="700"/>
    </row>
    <row r="17" spans="1:17">
      <c r="A17" s="696" t="s">
        <v>5404</v>
      </c>
      <c r="D17" s="698">
        <f>BEXLEY!D13</f>
        <v>65379</v>
      </c>
      <c r="E17" s="698">
        <f>BEXLEY!E13</f>
        <v>65161</v>
      </c>
      <c r="F17" s="698">
        <f>BEXLEY!F13</f>
        <v>66371</v>
      </c>
      <c r="G17" s="698">
        <f>BEXLEY!G13</f>
        <v>66801</v>
      </c>
      <c r="H17" s="698">
        <f>BEXLEY!H13</f>
        <v>67254</v>
      </c>
      <c r="I17" s="698">
        <f>BEXLEY!I13</f>
        <v>66142</v>
      </c>
      <c r="J17" s="698">
        <f>BEXLEY!J13</f>
        <v>64196</v>
      </c>
      <c r="K17" s="698">
        <f>BEXLEY!K13</f>
        <v>65285</v>
      </c>
      <c r="L17" s="698">
        <f>BEXLEY!L13</f>
        <v>65559</v>
      </c>
      <c r="M17" s="698">
        <f>BEXLEY!M13</f>
        <v>64598</v>
      </c>
      <c r="N17" s="698">
        <f>BEXLEY!N13</f>
        <v>65103</v>
      </c>
      <c r="O17" s="698">
        <f>BEXLEY!O13</f>
        <v>66407</v>
      </c>
      <c r="Q17" s="696" t="s">
        <v>5401</v>
      </c>
    </row>
    <row r="18" spans="1:17">
      <c r="D18" s="700"/>
      <c r="E18" s="700"/>
      <c r="F18" s="700"/>
      <c r="G18" s="700"/>
      <c r="H18" s="700"/>
      <c r="I18" s="700"/>
      <c r="J18" s="700"/>
      <c r="K18" s="700"/>
      <c r="L18" s="700"/>
      <c r="M18" s="700"/>
      <c r="N18" s="700"/>
      <c r="O18" s="700"/>
    </row>
    <row r="19" spans="1:17">
      <c r="A19" s="696" t="s">
        <v>6796</v>
      </c>
      <c r="D19" s="698">
        <f t="shared" ref="D19:I19" si="12">D7+D10+D13</f>
        <v>153230</v>
      </c>
      <c r="E19" s="698">
        <f t="shared" si="12"/>
        <v>159670</v>
      </c>
      <c r="F19" s="698">
        <f t="shared" si="12"/>
        <v>158771</v>
      </c>
      <c r="G19" s="698">
        <f t="shared" si="12"/>
        <v>159869</v>
      </c>
      <c r="H19" s="698">
        <f t="shared" si="12"/>
        <v>159889</v>
      </c>
      <c r="I19" s="698">
        <f t="shared" si="12"/>
        <v>161168</v>
      </c>
      <c r="J19" s="698">
        <f t="shared" ref="J19:O19" si="13">J7+J10+J13</f>
        <v>160503</v>
      </c>
      <c r="K19" s="698">
        <f t="shared" si="13"/>
        <v>164342</v>
      </c>
      <c r="L19" s="698">
        <f t="shared" si="13"/>
        <v>165690</v>
      </c>
      <c r="M19" s="698">
        <f t="shared" si="13"/>
        <v>164551</v>
      </c>
      <c r="N19" s="698">
        <f t="shared" si="13"/>
        <v>165779</v>
      </c>
      <c r="O19" s="698">
        <f t="shared" si="13"/>
        <v>174323</v>
      </c>
    </row>
    <row r="20" spans="1:17">
      <c r="D20" s="700"/>
      <c r="E20" s="700"/>
      <c r="F20" s="700"/>
      <c r="G20" s="700"/>
      <c r="H20" s="700"/>
      <c r="I20" s="700"/>
      <c r="J20" s="700"/>
      <c r="K20" s="700"/>
      <c r="L20" s="700"/>
      <c r="M20" s="700"/>
      <c r="N20" s="700"/>
      <c r="O20" s="700"/>
    </row>
    <row r="21" spans="1:17">
      <c r="A21" s="696" t="s">
        <v>6797</v>
      </c>
      <c r="D21" s="698">
        <f t="shared" ref="D21:I21" si="14">MAX(D7,D11,D13,D15,D17)-MIN(D7,D11,D13,D15,D17)</f>
        <v>7005</v>
      </c>
      <c r="E21" s="698">
        <f t="shared" si="14"/>
        <v>6659</v>
      </c>
      <c r="F21" s="698">
        <f t="shared" si="14"/>
        <v>8330</v>
      </c>
      <c r="G21" s="698">
        <f t="shared" si="14"/>
        <v>8104</v>
      </c>
      <c r="H21" s="698">
        <f t="shared" si="14"/>
        <v>8641</v>
      </c>
      <c r="I21" s="698">
        <f t="shared" si="14"/>
        <v>7644</v>
      </c>
      <c r="J21" s="698">
        <f t="shared" ref="J21:O21" si="15">MAX(J7,J11,J13,J15,J17)-MIN(J7,J11,J13,J15,J17)</f>
        <v>7959</v>
      </c>
      <c r="K21" s="698">
        <f t="shared" si="15"/>
        <v>9837</v>
      </c>
      <c r="L21" s="698">
        <f t="shared" si="15"/>
        <v>11346</v>
      </c>
      <c r="M21" s="698">
        <f t="shared" si="15"/>
        <v>11720</v>
      </c>
      <c r="N21" s="698">
        <f t="shared" si="15"/>
        <v>12908</v>
      </c>
      <c r="O21" s="698">
        <f t="shared" si="15"/>
        <v>15696</v>
      </c>
    </row>
    <row r="22" spans="1:17">
      <c r="D22" s="700"/>
      <c r="E22" s="700"/>
      <c r="F22" s="700"/>
      <c r="G22" s="700"/>
      <c r="H22" s="700"/>
      <c r="I22" s="700"/>
      <c r="J22" s="700"/>
      <c r="K22" s="700"/>
      <c r="L22" s="700"/>
      <c r="M22" s="700"/>
      <c r="N22" s="700"/>
      <c r="O22" s="700"/>
    </row>
    <row r="23" spans="1:17">
      <c r="A23" s="696" t="s">
        <v>6800</v>
      </c>
      <c r="D23" s="698">
        <f t="shared" ref="D23:I23" si="16">STDEVP(D7,D11,D13,D15,D17)</f>
        <v>2420.3430335388412</v>
      </c>
      <c r="E23" s="698">
        <f t="shared" si="16"/>
        <v>2341.3998718715261</v>
      </c>
      <c r="F23" s="698">
        <f t="shared" si="16"/>
        <v>2716.5327459833793</v>
      </c>
      <c r="G23" s="698">
        <f t="shared" si="16"/>
        <v>2715.1840747912465</v>
      </c>
      <c r="H23" s="698">
        <f t="shared" si="16"/>
        <v>2854.3560674870259</v>
      </c>
      <c r="I23" s="698">
        <f t="shared" si="16"/>
        <v>2789.4063597833856</v>
      </c>
      <c r="J23" s="698">
        <f t="shared" ref="J23:O23" si="17">STDEVP(J7,J11,J13,J15,J17)</f>
        <v>2813.2941118908989</v>
      </c>
      <c r="K23" s="698">
        <f t="shared" si="17"/>
        <v>3379.3018213826358</v>
      </c>
      <c r="L23" s="698">
        <f t="shared" si="17"/>
        <v>3854.380697336474</v>
      </c>
      <c r="M23" s="698">
        <f t="shared" si="17"/>
        <v>4017.1360146253451</v>
      </c>
      <c r="N23" s="698">
        <f t="shared" si="17"/>
        <v>4373.6817716884707</v>
      </c>
      <c r="O23" s="698">
        <f t="shared" si="17"/>
        <v>5630.5713244749859</v>
      </c>
    </row>
    <row r="24" spans="1:17">
      <c r="D24" s="700"/>
      <c r="E24" s="700"/>
      <c r="F24" s="700"/>
      <c r="G24" s="700"/>
      <c r="H24" s="700"/>
      <c r="I24" s="700"/>
      <c r="J24" s="700"/>
      <c r="K24" s="700"/>
      <c r="L24" s="700"/>
      <c r="M24" s="700"/>
      <c r="N24" s="700"/>
      <c r="O24" s="700"/>
    </row>
    <row r="25" spans="1:17">
      <c r="A25" s="696" t="s">
        <v>5387</v>
      </c>
      <c r="B25" s="696" t="s">
        <v>6918</v>
      </c>
      <c r="C25" s="55" t="s">
        <v>432</v>
      </c>
      <c r="D25" s="702">
        <v>9299</v>
      </c>
      <c r="E25" s="702">
        <v>9763</v>
      </c>
      <c r="F25" s="702">
        <v>9775</v>
      </c>
      <c r="G25" s="702">
        <v>9771</v>
      </c>
      <c r="H25" s="63">
        <v>9764</v>
      </c>
      <c r="I25" s="703">
        <v>9789</v>
      </c>
      <c r="J25" s="63">
        <v>9505</v>
      </c>
      <c r="K25" s="63">
        <v>9547</v>
      </c>
      <c r="L25" s="63">
        <v>9605</v>
      </c>
      <c r="M25" s="63">
        <v>9470</v>
      </c>
      <c r="N25" s="63">
        <v>9468</v>
      </c>
      <c r="O25" s="63">
        <v>9813</v>
      </c>
      <c r="Q25" s="696" t="s">
        <v>5402</v>
      </c>
    </row>
    <row r="26" spans="1:17">
      <c r="A26" s="696" t="s">
        <v>5389</v>
      </c>
      <c r="B26" s="696" t="s">
        <v>6919</v>
      </c>
      <c r="C26" s="55" t="s">
        <v>433</v>
      </c>
      <c r="D26" s="702">
        <v>8522</v>
      </c>
      <c r="E26" s="702">
        <v>9135</v>
      </c>
      <c r="F26" s="702">
        <v>9111</v>
      </c>
      <c r="G26" s="702">
        <v>9118</v>
      </c>
      <c r="H26" s="63">
        <v>9096</v>
      </c>
      <c r="I26" s="703">
        <v>9101</v>
      </c>
      <c r="J26" s="63">
        <v>9103</v>
      </c>
      <c r="K26" s="63">
        <v>9152</v>
      </c>
      <c r="L26" s="63">
        <v>9072</v>
      </c>
      <c r="M26" s="63">
        <v>8900</v>
      </c>
      <c r="N26" s="63">
        <v>8956</v>
      </c>
      <c r="O26" s="63">
        <v>9391</v>
      </c>
      <c r="Q26" s="696" t="s">
        <v>5406</v>
      </c>
    </row>
    <row r="27" spans="1:17">
      <c r="A27" s="696" t="s">
        <v>5391</v>
      </c>
      <c r="B27" s="696" t="s">
        <v>6920</v>
      </c>
      <c r="C27" s="55" t="s">
        <v>434</v>
      </c>
      <c r="D27" s="702">
        <v>8918</v>
      </c>
      <c r="E27" s="702">
        <v>9194</v>
      </c>
      <c r="F27" s="702">
        <v>9105</v>
      </c>
      <c r="G27" s="702">
        <v>9177</v>
      </c>
      <c r="H27" s="63">
        <v>9262</v>
      </c>
      <c r="I27" s="703">
        <v>9330</v>
      </c>
      <c r="J27" s="63">
        <v>9235</v>
      </c>
      <c r="K27" s="63">
        <v>9313</v>
      </c>
      <c r="L27" s="63">
        <v>9361</v>
      </c>
      <c r="M27" s="63">
        <v>9212</v>
      </c>
      <c r="N27" s="63">
        <v>9188</v>
      </c>
      <c r="O27" s="63">
        <v>9562</v>
      </c>
      <c r="Q27" s="696" t="s">
        <v>5406</v>
      </c>
    </row>
    <row r="28" spans="1:17">
      <c r="A28" s="696" t="s">
        <v>5393</v>
      </c>
      <c r="B28" s="696" t="s">
        <v>6921</v>
      </c>
      <c r="C28" s="55" t="s">
        <v>435</v>
      </c>
      <c r="D28" s="702">
        <v>9423</v>
      </c>
      <c r="E28" s="702">
        <v>9595</v>
      </c>
      <c r="F28" s="702">
        <v>9478</v>
      </c>
      <c r="G28" s="702">
        <v>9396</v>
      </c>
      <c r="H28" s="63">
        <v>9388</v>
      </c>
      <c r="I28" s="703">
        <v>9416</v>
      </c>
      <c r="J28" s="63">
        <v>9407</v>
      </c>
      <c r="K28" s="63">
        <v>9354</v>
      </c>
      <c r="L28" s="63">
        <v>9336</v>
      </c>
      <c r="M28" s="63">
        <v>9208</v>
      </c>
      <c r="N28" s="63">
        <v>9067</v>
      </c>
      <c r="O28" s="63">
        <v>9334</v>
      </c>
      <c r="Q28" s="696" t="s">
        <v>5405</v>
      </c>
    </row>
    <row r="29" spans="1:17">
      <c r="A29" s="696" t="s">
        <v>5394</v>
      </c>
      <c r="B29" s="696" t="s">
        <v>6922</v>
      </c>
      <c r="C29" s="55" t="s">
        <v>436</v>
      </c>
      <c r="D29" s="702">
        <v>9208</v>
      </c>
      <c r="E29" s="702">
        <v>9330</v>
      </c>
      <c r="F29" s="702">
        <v>9267</v>
      </c>
      <c r="G29" s="702">
        <v>9386</v>
      </c>
      <c r="H29" s="63">
        <v>9349</v>
      </c>
      <c r="I29" s="703">
        <v>9340</v>
      </c>
      <c r="J29" s="63">
        <v>9306</v>
      </c>
      <c r="K29" s="63">
        <v>9402</v>
      </c>
      <c r="L29" s="63">
        <v>9294</v>
      </c>
      <c r="M29" s="63">
        <v>9177</v>
      </c>
      <c r="N29" s="63">
        <v>9146</v>
      </c>
      <c r="O29" s="63">
        <v>9405</v>
      </c>
      <c r="Q29" s="696" t="s">
        <v>5405</v>
      </c>
    </row>
    <row r="30" spans="1:17">
      <c r="A30" s="696" t="s">
        <v>5416</v>
      </c>
      <c r="B30" s="696" t="s">
        <v>4733</v>
      </c>
      <c r="C30" s="55" t="s">
        <v>437</v>
      </c>
      <c r="D30" s="702">
        <v>8849</v>
      </c>
      <c r="E30" s="702">
        <v>9191</v>
      </c>
      <c r="F30" s="702">
        <v>9062</v>
      </c>
      <c r="G30" s="702">
        <v>8927</v>
      </c>
      <c r="H30" s="63">
        <v>8327</v>
      </c>
      <c r="I30" s="703">
        <v>8251</v>
      </c>
      <c r="J30" s="63">
        <v>8252</v>
      </c>
      <c r="K30" s="63">
        <v>8415</v>
      </c>
      <c r="L30" s="63">
        <v>8141</v>
      </c>
      <c r="M30" s="63">
        <v>8145</v>
      </c>
      <c r="N30" s="63">
        <v>8254</v>
      </c>
      <c r="O30" s="63">
        <v>8812</v>
      </c>
      <c r="Q30" s="696" t="s">
        <v>5405</v>
      </c>
    </row>
    <row r="31" spans="1:17">
      <c r="A31" s="696" t="s">
        <v>5418</v>
      </c>
      <c r="B31" s="696" t="s">
        <v>4734</v>
      </c>
      <c r="C31" s="55" t="s">
        <v>438</v>
      </c>
      <c r="D31" s="698">
        <v>7304</v>
      </c>
      <c r="E31" s="698">
        <v>7082</v>
      </c>
      <c r="F31" s="698">
        <v>6754</v>
      </c>
      <c r="G31" s="698">
        <v>7037</v>
      </c>
      <c r="H31" s="63">
        <v>7408</v>
      </c>
      <c r="I31" s="703">
        <v>7550</v>
      </c>
      <c r="J31" s="63">
        <v>7750</v>
      </c>
      <c r="K31" s="63">
        <v>8009</v>
      </c>
      <c r="L31" s="63">
        <v>8161</v>
      </c>
      <c r="M31" s="63">
        <v>8135</v>
      </c>
      <c r="N31" s="63">
        <v>8330</v>
      </c>
      <c r="O31" s="63">
        <v>8648</v>
      </c>
      <c r="Q31" s="696" t="s">
        <v>5405</v>
      </c>
    </row>
    <row r="32" spans="1:17">
      <c r="A32" s="696" t="s">
        <v>5420</v>
      </c>
      <c r="B32" s="696" t="s">
        <v>4735</v>
      </c>
      <c r="C32" s="55" t="s">
        <v>439</v>
      </c>
      <c r="D32" s="704">
        <v>9600</v>
      </c>
      <c r="E32" s="704">
        <v>10054</v>
      </c>
      <c r="F32" s="704">
        <v>9947</v>
      </c>
      <c r="G32" s="704">
        <v>9956</v>
      </c>
      <c r="H32" s="63">
        <v>9937</v>
      </c>
      <c r="I32" s="703">
        <v>10023</v>
      </c>
      <c r="J32" s="63">
        <v>9788</v>
      </c>
      <c r="K32" s="63">
        <v>9787</v>
      </c>
      <c r="L32" s="63">
        <v>9805</v>
      </c>
      <c r="M32" s="63">
        <v>9755</v>
      </c>
      <c r="N32" s="63">
        <v>9720</v>
      </c>
      <c r="O32" s="63">
        <v>10085</v>
      </c>
      <c r="Q32" s="696" t="s">
        <v>5406</v>
      </c>
    </row>
    <row r="33" spans="1:17">
      <c r="A33" s="696" t="s">
        <v>5422</v>
      </c>
      <c r="B33" s="696" t="s">
        <v>4736</v>
      </c>
      <c r="C33" s="55" t="s">
        <v>440</v>
      </c>
      <c r="D33" s="702">
        <v>9316</v>
      </c>
      <c r="E33" s="702">
        <v>9992</v>
      </c>
      <c r="F33" s="702">
        <v>9936</v>
      </c>
      <c r="G33" s="702">
        <v>10494</v>
      </c>
      <c r="H33" s="63">
        <v>10530</v>
      </c>
      <c r="I33" s="703">
        <v>11017</v>
      </c>
      <c r="J33" s="63">
        <v>11499</v>
      </c>
      <c r="K33" s="63">
        <v>12111</v>
      </c>
      <c r="L33" s="63">
        <v>12004</v>
      </c>
      <c r="M33" s="63">
        <v>11919</v>
      </c>
      <c r="N33" s="63">
        <v>12272</v>
      </c>
      <c r="O33" s="63">
        <v>13645</v>
      </c>
      <c r="Q33" s="696" t="s">
        <v>5406</v>
      </c>
    </row>
    <row r="34" spans="1:17">
      <c r="A34" s="696" t="s">
        <v>5424</v>
      </c>
      <c r="B34" s="696" t="s">
        <v>4737</v>
      </c>
      <c r="C34" s="55" t="s">
        <v>441</v>
      </c>
      <c r="D34" s="698">
        <v>9137</v>
      </c>
      <c r="E34" s="698">
        <v>9408</v>
      </c>
      <c r="F34" s="698">
        <v>9263</v>
      </c>
      <c r="G34" s="698">
        <v>9301</v>
      </c>
      <c r="H34" s="63">
        <v>9273</v>
      </c>
      <c r="I34" s="703">
        <v>9348</v>
      </c>
      <c r="J34" s="63">
        <v>9180</v>
      </c>
      <c r="K34" s="63">
        <v>9277</v>
      </c>
      <c r="L34" s="63">
        <v>9300</v>
      </c>
      <c r="M34" s="63">
        <v>9212</v>
      </c>
      <c r="N34" s="63">
        <v>9247</v>
      </c>
      <c r="O34" s="63">
        <v>9625</v>
      </c>
      <c r="Q34" s="696" t="s">
        <v>5405</v>
      </c>
    </row>
    <row r="35" spans="1:17">
      <c r="A35" s="696" t="s">
        <v>5426</v>
      </c>
      <c r="B35" s="696" t="s">
        <v>4738</v>
      </c>
      <c r="C35" s="55" t="s">
        <v>442</v>
      </c>
      <c r="D35" s="698">
        <v>8943</v>
      </c>
      <c r="E35" s="698">
        <v>9219</v>
      </c>
      <c r="F35" s="698">
        <v>9068</v>
      </c>
      <c r="G35" s="698">
        <v>9082</v>
      </c>
      <c r="H35" s="63">
        <v>9088</v>
      </c>
      <c r="I35" s="703">
        <v>9080</v>
      </c>
      <c r="J35" s="63">
        <v>8920</v>
      </c>
      <c r="K35" s="63">
        <v>9037</v>
      </c>
      <c r="L35" s="63">
        <v>9056</v>
      </c>
      <c r="M35" s="63">
        <v>9048</v>
      </c>
      <c r="N35" s="63">
        <v>8993</v>
      </c>
      <c r="O35" s="63">
        <v>9292</v>
      </c>
      <c r="Q35" s="696" t="s">
        <v>5405</v>
      </c>
    </row>
    <row r="36" spans="1:17">
      <c r="A36" s="696" t="s">
        <v>5428</v>
      </c>
      <c r="B36" s="696" t="s">
        <v>4739</v>
      </c>
      <c r="C36" s="55" t="s">
        <v>443</v>
      </c>
      <c r="D36" s="702">
        <v>8334</v>
      </c>
      <c r="E36" s="702">
        <v>8837</v>
      </c>
      <c r="F36" s="702">
        <v>9149</v>
      </c>
      <c r="G36" s="702">
        <v>9186</v>
      </c>
      <c r="H36" s="63">
        <v>9219</v>
      </c>
      <c r="I36" s="703">
        <v>9397</v>
      </c>
      <c r="J36" s="63">
        <v>10036</v>
      </c>
      <c r="K36" s="63">
        <v>11354</v>
      </c>
      <c r="L36" s="63">
        <v>12266</v>
      </c>
      <c r="M36" s="63">
        <v>12631</v>
      </c>
      <c r="N36" s="63">
        <v>13317</v>
      </c>
      <c r="O36" s="63">
        <v>14596</v>
      </c>
      <c r="Q36" s="696" t="s">
        <v>5406</v>
      </c>
    </row>
    <row r="37" spans="1:17">
      <c r="A37" s="696" t="s">
        <v>5429</v>
      </c>
      <c r="B37" s="696" t="s">
        <v>4740</v>
      </c>
      <c r="C37" s="55" t="s">
        <v>444</v>
      </c>
      <c r="D37" s="704">
        <v>9219</v>
      </c>
      <c r="E37" s="704">
        <v>9467</v>
      </c>
      <c r="F37" s="704">
        <v>9422</v>
      </c>
      <c r="G37" s="704">
        <v>9419</v>
      </c>
      <c r="H37" s="63">
        <v>9570</v>
      </c>
      <c r="I37" s="703">
        <v>9677</v>
      </c>
      <c r="J37" s="63">
        <v>9485</v>
      </c>
      <c r="K37" s="63">
        <v>9700</v>
      </c>
      <c r="L37" s="63">
        <v>9806</v>
      </c>
      <c r="M37" s="63">
        <v>9558</v>
      </c>
      <c r="N37" s="63">
        <v>9494</v>
      </c>
      <c r="O37" s="63">
        <v>9809</v>
      </c>
      <c r="Q37" s="696" t="s">
        <v>5402</v>
      </c>
    </row>
    <row r="38" spans="1:17">
      <c r="A38" s="696" t="s">
        <v>5431</v>
      </c>
      <c r="B38" s="696" t="s">
        <v>4741</v>
      </c>
      <c r="C38" s="55" t="s">
        <v>445</v>
      </c>
      <c r="D38" s="704">
        <v>9141</v>
      </c>
      <c r="E38" s="704">
        <v>9234</v>
      </c>
      <c r="F38" s="704">
        <v>9099</v>
      </c>
      <c r="G38" s="704">
        <v>9075</v>
      </c>
      <c r="H38" s="63">
        <v>9139</v>
      </c>
      <c r="I38" s="703">
        <v>9171</v>
      </c>
      <c r="J38" s="63">
        <v>8979</v>
      </c>
      <c r="K38" s="63">
        <v>9081</v>
      </c>
      <c r="L38" s="63">
        <v>9037</v>
      </c>
      <c r="M38" s="63">
        <v>8869</v>
      </c>
      <c r="N38" s="63">
        <v>8839</v>
      </c>
      <c r="O38" s="63">
        <v>9097</v>
      </c>
      <c r="Q38" s="696" t="s">
        <v>5405</v>
      </c>
    </row>
    <row r="39" spans="1:17">
      <c r="A39" s="696" t="s">
        <v>5433</v>
      </c>
      <c r="B39" s="696" t="s">
        <v>4742</v>
      </c>
      <c r="C39" s="55" t="s">
        <v>446</v>
      </c>
      <c r="D39" s="702">
        <v>9757</v>
      </c>
      <c r="E39" s="702">
        <v>10399</v>
      </c>
      <c r="F39" s="702">
        <v>10249</v>
      </c>
      <c r="G39" s="702">
        <v>10272</v>
      </c>
      <c r="H39" s="63">
        <v>10388</v>
      </c>
      <c r="I39" s="703">
        <v>10426</v>
      </c>
      <c r="J39" s="63">
        <v>9966</v>
      </c>
      <c r="K39" s="63">
        <v>10108</v>
      </c>
      <c r="L39" s="63">
        <v>10283</v>
      </c>
      <c r="M39" s="63">
        <v>10215</v>
      </c>
      <c r="N39" s="63">
        <v>10157</v>
      </c>
      <c r="O39" s="63">
        <v>10579</v>
      </c>
      <c r="Q39" s="696" t="s">
        <v>5402</v>
      </c>
    </row>
    <row r="40" spans="1:17">
      <c r="A40" s="696" t="s">
        <v>5435</v>
      </c>
      <c r="B40" s="696" t="s">
        <v>4743</v>
      </c>
      <c r="C40" s="55" t="s">
        <v>447</v>
      </c>
      <c r="D40" s="704">
        <v>8749</v>
      </c>
      <c r="E40" s="704">
        <v>9248</v>
      </c>
      <c r="F40" s="704">
        <v>9431</v>
      </c>
      <c r="G40" s="704">
        <v>9371</v>
      </c>
      <c r="H40" s="63">
        <v>9238</v>
      </c>
      <c r="I40" s="703">
        <v>9341</v>
      </c>
      <c r="J40" s="63">
        <v>9328</v>
      </c>
      <c r="K40" s="63">
        <v>9510</v>
      </c>
      <c r="L40" s="63">
        <v>9709</v>
      </c>
      <c r="M40" s="63">
        <v>9772</v>
      </c>
      <c r="N40" s="63">
        <v>9863</v>
      </c>
      <c r="O40" s="63">
        <v>10376</v>
      </c>
      <c r="Q40" s="696" t="s">
        <v>5406</v>
      </c>
    </row>
    <row r="41" spans="1:17">
      <c r="A41" s="696" t="s">
        <v>5436</v>
      </c>
      <c r="B41" s="696" t="s">
        <v>4744</v>
      </c>
      <c r="C41" s="55" t="s">
        <v>448</v>
      </c>
      <c r="D41" s="702">
        <v>9511</v>
      </c>
      <c r="E41" s="702">
        <v>10522</v>
      </c>
      <c r="F41" s="702">
        <v>10655</v>
      </c>
      <c r="G41" s="702">
        <v>10901</v>
      </c>
      <c r="H41" s="63">
        <v>10913</v>
      </c>
      <c r="I41" s="703">
        <v>10911</v>
      </c>
      <c r="J41" s="63">
        <v>10764</v>
      </c>
      <c r="K41" s="63">
        <v>11185</v>
      </c>
      <c r="L41" s="63">
        <v>11454</v>
      </c>
      <c r="M41" s="63">
        <v>11325</v>
      </c>
      <c r="N41" s="63">
        <v>11468</v>
      </c>
      <c r="O41" s="63">
        <v>12254</v>
      </c>
      <c r="Q41" s="696" t="s">
        <v>5406</v>
      </c>
    </row>
    <row r="42" spans="1:17">
      <c r="A42" s="696"/>
      <c r="B42" s="696"/>
      <c r="C42" s="696"/>
      <c r="D42" s="698"/>
      <c r="E42" s="698"/>
      <c r="F42" s="698"/>
      <c r="G42" s="698"/>
      <c r="H42" s="62"/>
      <c r="I42" s="62"/>
      <c r="J42" s="62"/>
      <c r="K42" s="62"/>
      <c r="L42" s="62"/>
      <c r="Q42" s="696"/>
    </row>
    <row r="43" spans="1:17">
      <c r="A43" s="155" t="s">
        <v>4745</v>
      </c>
    </row>
    <row r="44" spans="1:17">
      <c r="A44" s="155" t="s">
        <v>4746</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&amp;C&amp;8&amp;P of &amp;N</oddFooter>
  </headerFooter>
  <ignoredErrors>
    <ignoredError sqref="D3:D4 D5:D23 E3:E4 F3:F4 G3:G4 E5:E23 F5:F23 G5:G23 H3:H4 H5:H23 I3:I23 J3:J23 K3:K23 L3:L23"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dimension ref="A1:Q43"/>
  <sheetViews>
    <sheetView showGridLines="0" topLeftCell="A19" zoomScale="90" zoomScaleNormal="90" workbookViewId="0">
      <selection activeCell="Q32" sqref="Q32"/>
    </sheetView>
  </sheetViews>
  <sheetFormatPr defaultColWidth="12.5703125" defaultRowHeight="15"/>
  <cols>
    <col min="1" max="1" width="4.85546875" style="154" customWidth="1"/>
    <col min="2" max="2" width="35.140625" style="154" customWidth="1"/>
    <col min="3" max="3" width="11.5703125" style="154" customWidth="1"/>
    <col min="4" max="15" width="10" style="154" customWidth="1"/>
    <col min="16" max="16" width="2.28515625" style="154" customWidth="1"/>
    <col min="17" max="17" width="38.140625" style="154" customWidth="1"/>
    <col min="18" max="16384" width="12.5703125" style="154"/>
  </cols>
  <sheetData>
    <row r="1" spans="1:17">
      <c r="A1" s="686" t="s">
        <v>5719</v>
      </c>
      <c r="D1" s="687">
        <v>2010</v>
      </c>
      <c r="E1" s="687">
        <v>2011</v>
      </c>
      <c r="F1" s="687">
        <v>2012</v>
      </c>
      <c r="G1" s="687">
        <v>2013</v>
      </c>
      <c r="H1" s="687">
        <v>2014</v>
      </c>
      <c r="I1" s="687">
        <v>2015</v>
      </c>
      <c r="J1" s="687">
        <v>2016</v>
      </c>
      <c r="K1" s="687">
        <v>2017</v>
      </c>
      <c r="L1" s="687">
        <v>2018</v>
      </c>
      <c r="M1" s="687">
        <v>2019</v>
      </c>
      <c r="N1" s="687">
        <v>2020</v>
      </c>
      <c r="O1" s="973" t="s">
        <v>14823</v>
      </c>
    </row>
    <row r="3" spans="1:17">
      <c r="A3" s="686" t="s">
        <v>4311</v>
      </c>
      <c r="D3" s="688">
        <f t="shared" ref="D3:M3" si="0">SUM(D17:D22)+SUM(D23:D31)+D33+D34+SUM(D36:D41)</f>
        <v>143600</v>
      </c>
      <c r="E3" s="688">
        <f t="shared" si="0"/>
        <v>148558</v>
      </c>
      <c r="F3" s="688">
        <f t="shared" si="0"/>
        <v>150032</v>
      </c>
      <c r="G3" s="688">
        <f t="shared" si="0"/>
        <v>153853</v>
      </c>
      <c r="H3" s="688">
        <f t="shared" si="0"/>
        <v>155431</v>
      </c>
      <c r="I3" s="688">
        <f t="shared" si="0"/>
        <v>156155</v>
      </c>
      <c r="J3" s="688">
        <f t="shared" si="0"/>
        <v>148344</v>
      </c>
      <c r="K3" s="688">
        <f t="shared" si="0"/>
        <v>153283</v>
      </c>
      <c r="L3" s="688">
        <f t="shared" si="0"/>
        <v>158451</v>
      </c>
      <c r="M3" s="688">
        <f t="shared" si="0"/>
        <v>154993</v>
      </c>
      <c r="N3" s="688">
        <f>SUM(N17:N22)+SUM(N23:N31)+N33+N34+SUM(N36:N41)</f>
        <v>167211</v>
      </c>
      <c r="O3" s="688">
        <f>SUM(O17:O22)+SUM(O23:O31)+O33+O34+SUM(O36:O41)</f>
        <v>169958</v>
      </c>
    </row>
    <row r="4" spans="1:17">
      <c r="A4" s="686"/>
      <c r="D4" s="688"/>
      <c r="E4" s="688"/>
      <c r="F4" s="688"/>
      <c r="G4" s="688"/>
      <c r="H4" s="688"/>
      <c r="I4" s="688"/>
      <c r="J4" s="688"/>
      <c r="K4" s="688"/>
      <c r="L4" s="688"/>
      <c r="M4" s="688"/>
      <c r="N4" s="688"/>
      <c r="O4" s="688"/>
      <c r="Q4" s="689"/>
    </row>
    <row r="5" spans="1:17">
      <c r="A5" s="686" t="s">
        <v>5720</v>
      </c>
      <c r="D5" s="688">
        <f t="shared" ref="D5:I5" si="1">D3/2</f>
        <v>71800</v>
      </c>
      <c r="E5" s="688">
        <f t="shared" si="1"/>
        <v>74279</v>
      </c>
      <c r="F5" s="688">
        <f t="shared" si="1"/>
        <v>75016</v>
      </c>
      <c r="G5" s="688">
        <f t="shared" si="1"/>
        <v>76926.5</v>
      </c>
      <c r="H5" s="688">
        <f t="shared" si="1"/>
        <v>77715.5</v>
      </c>
      <c r="I5" s="688">
        <f t="shared" si="1"/>
        <v>78077.5</v>
      </c>
      <c r="J5" s="688">
        <f t="shared" ref="J5:O5" si="2">J3/2</f>
        <v>74172</v>
      </c>
      <c r="K5" s="688">
        <f t="shared" si="2"/>
        <v>76641.5</v>
      </c>
      <c r="L5" s="688">
        <f t="shared" si="2"/>
        <v>79225.5</v>
      </c>
      <c r="M5" s="688">
        <f t="shared" si="2"/>
        <v>77496.5</v>
      </c>
      <c r="N5" s="688">
        <f t="shared" si="2"/>
        <v>83605.5</v>
      </c>
      <c r="O5" s="688">
        <f t="shared" si="2"/>
        <v>84979</v>
      </c>
    </row>
    <row r="6" spans="1:17">
      <c r="D6" s="690"/>
      <c r="E6" s="690"/>
      <c r="F6" s="690"/>
      <c r="G6" s="690"/>
      <c r="H6" s="690"/>
      <c r="I6" s="690"/>
      <c r="J6" s="690"/>
      <c r="K6" s="690"/>
      <c r="L6" s="690"/>
      <c r="M6" s="690"/>
      <c r="N6" s="690"/>
      <c r="O6" s="690"/>
    </row>
    <row r="7" spans="1:17">
      <c r="A7" s="686" t="s">
        <v>4312</v>
      </c>
      <c r="D7" s="688">
        <f t="shared" ref="D7:L7" si="3">SUM(D17:D20)+D23+D30+D33+SUM(D36:D39)+D41</f>
        <v>72355</v>
      </c>
      <c r="E7" s="688">
        <f t="shared" si="3"/>
        <v>74780</v>
      </c>
      <c r="F7" s="688">
        <f t="shared" si="3"/>
        <v>76077</v>
      </c>
      <c r="G7" s="688">
        <f t="shared" si="3"/>
        <v>77972</v>
      </c>
      <c r="H7" s="688">
        <f t="shared" si="3"/>
        <v>78823</v>
      </c>
      <c r="I7" s="688">
        <f t="shared" si="3"/>
        <v>79334</v>
      </c>
      <c r="J7" s="688">
        <f t="shared" si="3"/>
        <v>75758</v>
      </c>
      <c r="K7" s="688">
        <f t="shared" si="3"/>
        <v>77806</v>
      </c>
      <c r="L7" s="688">
        <f t="shared" si="3"/>
        <v>80424</v>
      </c>
      <c r="M7" s="688">
        <f>SUM(M17:M20)+M23+M30+M33+SUM(M36:M39)+M41</f>
        <v>79002</v>
      </c>
      <c r="N7" s="688">
        <f>SUM(N17:N20)+N23+N30+N33+SUM(N36:N39)+N41</f>
        <v>85300</v>
      </c>
      <c r="O7" s="688">
        <f>SUM(O17:O20)+O23+O30+O33+SUM(O36:O39)+O41</f>
        <v>86274</v>
      </c>
      <c r="Q7" s="686" t="s">
        <v>4313</v>
      </c>
    </row>
    <row r="8" spans="1:17">
      <c r="D8" s="690"/>
      <c r="E8" s="690"/>
      <c r="F8" s="690"/>
      <c r="G8" s="690"/>
      <c r="H8" s="690"/>
      <c r="I8" s="690"/>
      <c r="J8" s="690"/>
      <c r="K8" s="690"/>
      <c r="L8" s="690"/>
      <c r="M8" s="690"/>
      <c r="N8" s="690"/>
      <c r="O8" s="690"/>
    </row>
    <row r="9" spans="1:17">
      <c r="A9" s="686" t="s">
        <v>4314</v>
      </c>
      <c r="D9" s="688">
        <f t="shared" ref="D9:M9" si="4">D21+D22+SUM(D24:D29)+D31+D34+D40</f>
        <v>71245</v>
      </c>
      <c r="E9" s="688">
        <f t="shared" si="4"/>
        <v>73778</v>
      </c>
      <c r="F9" s="688">
        <f t="shared" si="4"/>
        <v>73955</v>
      </c>
      <c r="G9" s="688">
        <f t="shared" si="4"/>
        <v>75881</v>
      </c>
      <c r="H9" s="688">
        <f t="shared" si="4"/>
        <v>76608</v>
      </c>
      <c r="I9" s="688">
        <f t="shared" si="4"/>
        <v>76821</v>
      </c>
      <c r="J9" s="688">
        <f t="shared" si="4"/>
        <v>72586</v>
      </c>
      <c r="K9" s="688">
        <f t="shared" si="4"/>
        <v>75477</v>
      </c>
      <c r="L9" s="688">
        <f t="shared" si="4"/>
        <v>78027</v>
      </c>
      <c r="M9" s="688">
        <f t="shared" si="4"/>
        <v>75991</v>
      </c>
      <c r="N9" s="688">
        <f>N21+N22+SUM(N24:N29)+N31+N34+N40</f>
        <v>81911</v>
      </c>
      <c r="O9" s="688">
        <f>O21+O22+SUM(O24:O29)+O31+O34+O40</f>
        <v>83684</v>
      </c>
      <c r="Q9" s="686" t="s">
        <v>4313</v>
      </c>
    </row>
    <row r="10" spans="1:17">
      <c r="D10" s="690"/>
      <c r="E10" s="690"/>
      <c r="F10" s="690"/>
      <c r="G10" s="690"/>
      <c r="H10" s="690"/>
      <c r="I10" s="690"/>
      <c r="J10" s="690"/>
      <c r="K10" s="690"/>
      <c r="L10" s="690"/>
      <c r="M10" s="690"/>
      <c r="N10" s="690"/>
      <c r="O10" s="690"/>
    </row>
    <row r="11" spans="1:17">
      <c r="A11" s="686" t="s">
        <v>6796</v>
      </c>
      <c r="D11" s="688">
        <f t="shared" ref="D11:O11" si="5">D7+D9</f>
        <v>143600</v>
      </c>
      <c r="E11" s="688">
        <f t="shared" si="5"/>
        <v>148558</v>
      </c>
      <c r="F11" s="688">
        <f t="shared" si="5"/>
        <v>150032</v>
      </c>
      <c r="G11" s="688">
        <f t="shared" si="5"/>
        <v>153853</v>
      </c>
      <c r="H11" s="688">
        <f t="shared" si="5"/>
        <v>155431</v>
      </c>
      <c r="I11" s="688">
        <f t="shared" si="5"/>
        <v>156155</v>
      </c>
      <c r="J11" s="688">
        <f t="shared" si="5"/>
        <v>148344</v>
      </c>
      <c r="K11" s="688">
        <f t="shared" si="5"/>
        <v>153283</v>
      </c>
      <c r="L11" s="688">
        <f t="shared" si="5"/>
        <v>158451</v>
      </c>
      <c r="M11" s="688">
        <f t="shared" si="5"/>
        <v>154993</v>
      </c>
      <c r="N11" s="688">
        <f t="shared" si="5"/>
        <v>167211</v>
      </c>
      <c r="O11" s="688">
        <f t="shared" si="5"/>
        <v>169958</v>
      </c>
    </row>
    <row r="12" spans="1:17">
      <c r="D12" s="690"/>
      <c r="E12" s="690"/>
      <c r="F12" s="690"/>
      <c r="G12" s="690"/>
      <c r="H12" s="690"/>
      <c r="I12" s="690"/>
      <c r="J12" s="690"/>
      <c r="K12" s="690"/>
      <c r="L12" s="690"/>
      <c r="M12" s="690"/>
      <c r="N12" s="690"/>
      <c r="O12" s="690"/>
    </row>
    <row r="13" spans="1:17">
      <c r="A13" s="686" t="s">
        <v>6797</v>
      </c>
      <c r="D13" s="688">
        <f t="shared" ref="D13:O13" si="6">MAXA(D7,D9)-MINA(D7,D9)</f>
        <v>1110</v>
      </c>
      <c r="E13" s="688">
        <f t="shared" si="6"/>
        <v>1002</v>
      </c>
      <c r="F13" s="688">
        <f t="shared" si="6"/>
        <v>2122</v>
      </c>
      <c r="G13" s="688">
        <f t="shared" si="6"/>
        <v>2091</v>
      </c>
      <c r="H13" s="688">
        <f t="shared" si="6"/>
        <v>2215</v>
      </c>
      <c r="I13" s="688">
        <f t="shared" si="6"/>
        <v>2513</v>
      </c>
      <c r="J13" s="688">
        <f t="shared" si="6"/>
        <v>3172</v>
      </c>
      <c r="K13" s="688">
        <f t="shared" si="6"/>
        <v>2329</v>
      </c>
      <c r="L13" s="688">
        <f t="shared" si="6"/>
        <v>2397</v>
      </c>
      <c r="M13" s="688">
        <f t="shared" si="6"/>
        <v>3011</v>
      </c>
      <c r="N13" s="688">
        <f t="shared" si="6"/>
        <v>3389</v>
      </c>
      <c r="O13" s="688">
        <f t="shared" si="6"/>
        <v>2590</v>
      </c>
    </row>
    <row r="14" spans="1:17">
      <c r="D14" s="690"/>
      <c r="E14" s="690"/>
      <c r="F14" s="690"/>
      <c r="G14" s="690"/>
      <c r="H14" s="690"/>
      <c r="I14" s="690"/>
      <c r="J14" s="690"/>
      <c r="K14" s="690"/>
      <c r="L14" s="690"/>
      <c r="M14" s="690"/>
      <c r="N14" s="690"/>
      <c r="O14" s="690"/>
    </row>
    <row r="15" spans="1:17">
      <c r="A15" s="686" t="s">
        <v>6800</v>
      </c>
      <c r="D15" s="688">
        <f t="shared" ref="D15:O15" si="7">STDEVPA(D7,D9)</f>
        <v>555</v>
      </c>
      <c r="E15" s="688">
        <f t="shared" si="7"/>
        <v>501</v>
      </c>
      <c r="F15" s="688">
        <f t="shared" si="7"/>
        <v>1061</v>
      </c>
      <c r="G15" s="688">
        <f t="shared" si="7"/>
        <v>1045.5</v>
      </c>
      <c r="H15" s="688">
        <f t="shared" si="7"/>
        <v>1107.5</v>
      </c>
      <c r="I15" s="688">
        <f t="shared" si="7"/>
        <v>1256.5</v>
      </c>
      <c r="J15" s="688">
        <f t="shared" si="7"/>
        <v>1586</v>
      </c>
      <c r="K15" s="688">
        <f t="shared" si="7"/>
        <v>1164.5</v>
      </c>
      <c r="L15" s="688">
        <f t="shared" si="7"/>
        <v>1198.5</v>
      </c>
      <c r="M15" s="688">
        <f t="shared" si="7"/>
        <v>1505.5</v>
      </c>
      <c r="N15" s="688">
        <f t="shared" si="7"/>
        <v>1694.5</v>
      </c>
      <c r="O15" s="688">
        <f t="shared" si="7"/>
        <v>1295</v>
      </c>
    </row>
    <row r="16" spans="1:17">
      <c r="D16" s="690"/>
      <c r="E16" s="690"/>
      <c r="F16" s="690"/>
      <c r="G16" s="690"/>
      <c r="H16" s="690"/>
      <c r="I16" s="690"/>
      <c r="J16" s="690"/>
      <c r="K16" s="690"/>
      <c r="L16" s="690"/>
      <c r="M16" s="690"/>
      <c r="N16" s="690"/>
      <c r="O16" s="690"/>
    </row>
    <row r="17" spans="1:17">
      <c r="A17" s="686" t="s">
        <v>5387</v>
      </c>
      <c r="B17" s="686" t="s">
        <v>4315</v>
      </c>
      <c r="C17" s="62" t="s">
        <v>9638</v>
      </c>
      <c r="D17" s="691">
        <v>72355</v>
      </c>
      <c r="E17" s="691">
        <v>74780</v>
      </c>
      <c r="F17" s="691">
        <v>76077</v>
      </c>
      <c r="G17" s="691">
        <v>77972</v>
      </c>
      <c r="H17" s="63">
        <v>78823</v>
      </c>
      <c r="I17" s="63">
        <v>5339</v>
      </c>
      <c r="J17" s="56">
        <v>5233</v>
      </c>
      <c r="K17" s="56">
        <v>5428</v>
      </c>
      <c r="L17" s="56">
        <v>5531</v>
      </c>
      <c r="M17" s="56">
        <v>5572</v>
      </c>
      <c r="N17" s="56">
        <v>6309</v>
      </c>
      <c r="O17" s="56">
        <v>6348</v>
      </c>
      <c r="Q17" s="686" t="s">
        <v>4312</v>
      </c>
    </row>
    <row r="18" spans="1:17">
      <c r="A18" s="686" t="s">
        <v>5389</v>
      </c>
      <c r="B18" s="686" t="s">
        <v>4316</v>
      </c>
      <c r="C18" s="62" t="s">
        <v>9639</v>
      </c>
      <c r="D18" s="691">
        <v>0</v>
      </c>
      <c r="E18" s="691">
        <v>0</v>
      </c>
      <c r="F18" s="691">
        <v>0</v>
      </c>
      <c r="G18" s="691">
        <v>0</v>
      </c>
      <c r="H18" s="63">
        <v>0</v>
      </c>
      <c r="I18" s="63">
        <v>8245</v>
      </c>
      <c r="J18" s="56">
        <v>7737</v>
      </c>
      <c r="K18" s="56">
        <v>7954</v>
      </c>
      <c r="L18" s="56">
        <v>8218</v>
      </c>
      <c r="M18" s="56">
        <v>8154</v>
      </c>
      <c r="N18" s="56">
        <v>8694</v>
      </c>
      <c r="O18" s="56">
        <v>8612</v>
      </c>
      <c r="Q18" s="686" t="s">
        <v>4312</v>
      </c>
    </row>
    <row r="19" spans="1:17">
      <c r="A19" s="686" t="s">
        <v>5391</v>
      </c>
      <c r="B19" s="686" t="s">
        <v>4317</v>
      </c>
      <c r="C19" s="62" t="s">
        <v>9640</v>
      </c>
      <c r="D19" s="691">
        <v>0</v>
      </c>
      <c r="E19" s="691">
        <v>0</v>
      </c>
      <c r="F19" s="691">
        <v>0</v>
      </c>
      <c r="G19" s="691">
        <v>0</v>
      </c>
      <c r="H19" s="63">
        <v>0</v>
      </c>
      <c r="I19" s="63">
        <v>8611</v>
      </c>
      <c r="J19" s="56">
        <v>8255</v>
      </c>
      <c r="K19" s="56">
        <v>8601</v>
      </c>
      <c r="L19" s="56">
        <v>8707</v>
      </c>
      <c r="M19" s="56">
        <v>8304</v>
      </c>
      <c r="N19" s="56">
        <v>9014</v>
      </c>
      <c r="O19" s="56">
        <v>9079</v>
      </c>
      <c r="Q19" s="686" t="s">
        <v>4312</v>
      </c>
    </row>
    <row r="20" spans="1:17">
      <c r="A20" s="686" t="s">
        <v>5393</v>
      </c>
      <c r="B20" s="686" t="s">
        <v>2106</v>
      </c>
      <c r="C20" s="62" t="s">
        <v>9641</v>
      </c>
      <c r="D20" s="691">
        <v>0</v>
      </c>
      <c r="E20" s="691">
        <v>0</v>
      </c>
      <c r="F20" s="691">
        <v>0</v>
      </c>
      <c r="G20" s="691">
        <v>0</v>
      </c>
      <c r="H20" s="63">
        <v>0</v>
      </c>
      <c r="I20" s="63">
        <v>5424</v>
      </c>
      <c r="J20" s="56">
        <v>5215</v>
      </c>
      <c r="K20" s="56">
        <v>5329</v>
      </c>
      <c r="L20" s="56">
        <v>5675</v>
      </c>
      <c r="M20" s="56">
        <v>5632</v>
      </c>
      <c r="N20" s="56">
        <v>6330</v>
      </c>
      <c r="O20" s="56">
        <v>6460</v>
      </c>
      <c r="Q20" s="686" t="s">
        <v>4312</v>
      </c>
    </row>
    <row r="21" spans="1:17">
      <c r="A21" s="686" t="s">
        <v>5394</v>
      </c>
      <c r="B21" s="686" t="s">
        <v>4318</v>
      </c>
      <c r="C21" s="62" t="s">
        <v>9642</v>
      </c>
      <c r="D21" s="692">
        <v>71245</v>
      </c>
      <c r="E21" s="692">
        <v>73778</v>
      </c>
      <c r="F21" s="692">
        <v>73955</v>
      </c>
      <c r="G21" s="692">
        <v>75881</v>
      </c>
      <c r="H21" s="63">
        <v>76608</v>
      </c>
      <c r="I21" s="63">
        <v>5779</v>
      </c>
      <c r="J21" s="56">
        <v>5668</v>
      </c>
      <c r="K21" s="56">
        <v>5894</v>
      </c>
      <c r="L21" s="56">
        <v>6005</v>
      </c>
      <c r="M21" s="56">
        <v>5750</v>
      </c>
      <c r="N21" s="56">
        <v>6294</v>
      </c>
      <c r="O21" s="56">
        <v>6449</v>
      </c>
      <c r="Q21" s="686" t="s">
        <v>4314</v>
      </c>
    </row>
    <row r="22" spans="1:17">
      <c r="A22" s="686" t="s">
        <v>5416</v>
      </c>
      <c r="B22" s="686" t="s">
        <v>4319</v>
      </c>
      <c r="C22" s="62" t="s">
        <v>9643</v>
      </c>
      <c r="D22" s="692">
        <v>0</v>
      </c>
      <c r="E22" s="692">
        <v>0</v>
      </c>
      <c r="F22" s="692">
        <v>0</v>
      </c>
      <c r="G22" s="692">
        <v>0</v>
      </c>
      <c r="H22" s="63">
        <v>0</v>
      </c>
      <c r="I22" s="692">
        <v>8392</v>
      </c>
      <c r="J22" s="692">
        <v>8046</v>
      </c>
      <c r="K22" s="692">
        <v>8427</v>
      </c>
      <c r="L22" s="692">
        <v>8525</v>
      </c>
      <c r="M22" s="692">
        <v>8223</v>
      </c>
      <c r="N22" s="692">
        <v>8869</v>
      </c>
      <c r="O22" s="692">
        <v>9115</v>
      </c>
      <c r="Q22" s="686" t="s">
        <v>4314</v>
      </c>
    </row>
    <row r="23" spans="1:17">
      <c r="A23" s="686" t="s">
        <v>5418</v>
      </c>
      <c r="B23" s="686" t="s">
        <v>4320</v>
      </c>
      <c r="C23" s="62" t="s">
        <v>9644</v>
      </c>
      <c r="D23" s="691">
        <v>0</v>
      </c>
      <c r="E23" s="691">
        <v>0</v>
      </c>
      <c r="F23" s="691">
        <v>0</v>
      </c>
      <c r="G23" s="691">
        <v>0</v>
      </c>
      <c r="H23" s="63">
        <v>0</v>
      </c>
      <c r="I23" s="63">
        <v>8639</v>
      </c>
      <c r="J23" s="56">
        <v>8078</v>
      </c>
      <c r="K23" s="56">
        <v>8056</v>
      </c>
      <c r="L23" s="56">
        <v>8400</v>
      </c>
      <c r="M23" s="56">
        <v>8158</v>
      </c>
      <c r="N23" s="56">
        <v>8792</v>
      </c>
      <c r="O23" s="56">
        <v>9010</v>
      </c>
      <c r="Q23" s="686" t="s">
        <v>4312</v>
      </c>
    </row>
    <row r="24" spans="1:17">
      <c r="A24" s="686" t="s">
        <v>5420</v>
      </c>
      <c r="B24" s="686" t="s">
        <v>9628</v>
      </c>
      <c r="C24" s="62" t="s">
        <v>9645</v>
      </c>
      <c r="D24" s="691">
        <v>0</v>
      </c>
      <c r="E24" s="691">
        <v>0</v>
      </c>
      <c r="F24" s="691">
        <v>0</v>
      </c>
      <c r="G24" s="691">
        <v>0</v>
      </c>
      <c r="H24" s="63">
        <v>0</v>
      </c>
      <c r="I24" s="63">
        <v>7739</v>
      </c>
      <c r="J24" s="56">
        <v>7443</v>
      </c>
      <c r="K24" s="56">
        <v>7604</v>
      </c>
      <c r="L24" s="56">
        <v>7988</v>
      </c>
      <c r="M24" s="56">
        <v>7807</v>
      </c>
      <c r="N24" s="56">
        <v>8329</v>
      </c>
      <c r="O24" s="56">
        <v>8489</v>
      </c>
      <c r="Q24" s="686" t="s">
        <v>4314</v>
      </c>
    </row>
    <row r="25" spans="1:17">
      <c r="A25" s="686" t="s">
        <v>5422</v>
      </c>
      <c r="B25" s="686" t="s">
        <v>4321</v>
      </c>
      <c r="C25" s="62" t="s">
        <v>9646</v>
      </c>
      <c r="D25" s="691">
        <v>0</v>
      </c>
      <c r="E25" s="691">
        <v>0</v>
      </c>
      <c r="F25" s="691">
        <v>0</v>
      </c>
      <c r="G25" s="691">
        <v>0</v>
      </c>
      <c r="H25" s="63">
        <v>0</v>
      </c>
      <c r="I25" s="63">
        <v>8311</v>
      </c>
      <c r="J25" s="58">
        <v>7821</v>
      </c>
      <c r="K25" s="58">
        <v>8108</v>
      </c>
      <c r="L25" s="58">
        <v>8551</v>
      </c>
      <c r="M25" s="58">
        <v>8369</v>
      </c>
      <c r="N25" s="58">
        <v>9148</v>
      </c>
      <c r="O25" s="58">
        <v>9280</v>
      </c>
      <c r="Q25" s="686" t="s">
        <v>4314</v>
      </c>
    </row>
    <row r="26" spans="1:17">
      <c r="A26" s="686" t="s">
        <v>5424</v>
      </c>
      <c r="B26" s="686" t="s">
        <v>9629</v>
      </c>
      <c r="C26" s="62" t="s">
        <v>9647</v>
      </c>
      <c r="D26" s="688">
        <v>0</v>
      </c>
      <c r="E26" s="688">
        <v>0</v>
      </c>
      <c r="F26" s="688">
        <v>0</v>
      </c>
      <c r="G26" s="688">
        <v>0</v>
      </c>
      <c r="H26" s="63">
        <v>0</v>
      </c>
      <c r="I26" s="63">
        <v>7680</v>
      </c>
      <c r="J26" s="58">
        <v>7498</v>
      </c>
      <c r="K26" s="58">
        <v>7787</v>
      </c>
      <c r="L26" s="58">
        <v>8046</v>
      </c>
      <c r="M26" s="58">
        <v>7734</v>
      </c>
      <c r="N26" s="58">
        <v>8247</v>
      </c>
      <c r="O26" s="58">
        <v>8457</v>
      </c>
      <c r="Q26" s="686" t="s">
        <v>4314</v>
      </c>
    </row>
    <row r="27" spans="1:17">
      <c r="A27" s="686" t="s">
        <v>5426</v>
      </c>
      <c r="B27" s="686" t="s">
        <v>9630</v>
      </c>
      <c r="C27" s="62" t="s">
        <v>9648</v>
      </c>
      <c r="D27" s="691">
        <v>0</v>
      </c>
      <c r="E27" s="691">
        <v>0</v>
      </c>
      <c r="F27" s="691">
        <v>0</v>
      </c>
      <c r="G27" s="691">
        <v>0</v>
      </c>
      <c r="H27" s="63">
        <v>0</v>
      </c>
      <c r="I27" s="63">
        <v>6952</v>
      </c>
      <c r="J27" s="58">
        <v>6205</v>
      </c>
      <c r="K27" s="58">
        <v>6413</v>
      </c>
      <c r="L27" s="58">
        <v>6752</v>
      </c>
      <c r="M27" s="58">
        <v>6574</v>
      </c>
      <c r="N27" s="58">
        <v>7163</v>
      </c>
      <c r="O27" s="58">
        <v>7422</v>
      </c>
      <c r="Q27" s="686" t="s">
        <v>4314</v>
      </c>
    </row>
    <row r="28" spans="1:17">
      <c r="A28" s="686" t="s">
        <v>5428</v>
      </c>
      <c r="B28" s="686" t="s">
        <v>9631</v>
      </c>
      <c r="C28" s="62" t="s">
        <v>9649</v>
      </c>
      <c r="D28" s="691">
        <v>0</v>
      </c>
      <c r="E28" s="691">
        <v>0</v>
      </c>
      <c r="F28" s="691">
        <v>0</v>
      </c>
      <c r="G28" s="691">
        <v>0</v>
      </c>
      <c r="H28" s="63">
        <v>0</v>
      </c>
      <c r="I28" s="63">
        <v>7634</v>
      </c>
      <c r="J28" s="58">
        <v>6951</v>
      </c>
      <c r="K28" s="58">
        <v>7460</v>
      </c>
      <c r="L28" s="58">
        <v>7856</v>
      </c>
      <c r="M28" s="58">
        <v>7772</v>
      </c>
      <c r="N28" s="58">
        <v>8294</v>
      </c>
      <c r="O28" s="58">
        <v>8538</v>
      </c>
      <c r="Q28" s="686" t="s">
        <v>4314</v>
      </c>
    </row>
    <row r="29" spans="1:17">
      <c r="A29" s="686" t="s">
        <v>5429</v>
      </c>
      <c r="B29" s="686" t="s">
        <v>4322</v>
      </c>
      <c r="C29" s="62" t="s">
        <v>9650</v>
      </c>
      <c r="D29" s="691">
        <v>0</v>
      </c>
      <c r="E29" s="691">
        <v>0</v>
      </c>
      <c r="F29" s="691">
        <v>0</v>
      </c>
      <c r="G29" s="691">
        <v>0</v>
      </c>
      <c r="H29" s="63">
        <v>0</v>
      </c>
      <c r="I29" s="63">
        <v>8251</v>
      </c>
      <c r="J29" s="58">
        <v>7906</v>
      </c>
      <c r="K29" s="58">
        <v>8033</v>
      </c>
      <c r="L29" s="58">
        <v>8382</v>
      </c>
      <c r="M29" s="58">
        <v>8279</v>
      </c>
      <c r="N29" s="58">
        <v>8869</v>
      </c>
      <c r="O29" s="58">
        <v>8936</v>
      </c>
      <c r="Q29" s="686" t="s">
        <v>4314</v>
      </c>
    </row>
    <row r="30" spans="1:17">
      <c r="A30" s="686" t="s">
        <v>5431</v>
      </c>
      <c r="B30" s="686" t="s">
        <v>1658</v>
      </c>
      <c r="C30" s="62" t="s">
        <v>9651</v>
      </c>
      <c r="D30" s="691">
        <v>0</v>
      </c>
      <c r="E30" s="691">
        <v>0</v>
      </c>
      <c r="F30" s="691">
        <v>0</v>
      </c>
      <c r="G30" s="691">
        <v>0</v>
      </c>
      <c r="H30" s="63">
        <v>0</v>
      </c>
      <c r="I30" s="688">
        <v>8725</v>
      </c>
      <c r="J30" s="56">
        <v>7964</v>
      </c>
      <c r="K30" s="56">
        <v>8305</v>
      </c>
      <c r="L30" s="56">
        <v>8555</v>
      </c>
      <c r="M30" s="56">
        <v>8288</v>
      </c>
      <c r="N30" s="56">
        <v>8983</v>
      </c>
      <c r="O30" s="56">
        <v>9157</v>
      </c>
      <c r="Q30" s="686" t="s">
        <v>4312</v>
      </c>
    </row>
    <row r="31" spans="1:17" ht="15.75" thickBot="1">
      <c r="A31" s="686"/>
      <c r="B31" s="686"/>
      <c r="C31" s="62" t="s">
        <v>9651</v>
      </c>
      <c r="D31" s="691">
        <v>0</v>
      </c>
      <c r="E31" s="691">
        <v>0</v>
      </c>
      <c r="F31" s="691">
        <v>0</v>
      </c>
      <c r="G31" s="691">
        <v>0</v>
      </c>
      <c r="H31" s="63">
        <v>0</v>
      </c>
      <c r="I31" s="688">
        <v>0</v>
      </c>
      <c r="J31" s="58">
        <v>401</v>
      </c>
      <c r="K31" s="58">
        <v>429</v>
      </c>
      <c r="L31" s="58">
        <v>451</v>
      </c>
      <c r="M31" s="58">
        <v>421</v>
      </c>
      <c r="N31" s="58">
        <v>445</v>
      </c>
      <c r="O31" s="58">
        <v>494</v>
      </c>
      <c r="Q31" s="686" t="s">
        <v>4314</v>
      </c>
    </row>
    <row r="32" spans="1:17" ht="15.75" thickBot="1">
      <c r="A32" s="686"/>
      <c r="B32" s="686"/>
      <c r="C32" s="62" t="s">
        <v>9651</v>
      </c>
      <c r="D32" s="693">
        <f>D30+D31</f>
        <v>0</v>
      </c>
      <c r="E32" s="693">
        <f>E30+E31</f>
        <v>0</v>
      </c>
      <c r="F32" s="693">
        <f>F30+F31</f>
        <v>0</v>
      </c>
      <c r="G32" s="693">
        <f>G30+G31</f>
        <v>0</v>
      </c>
      <c r="H32" s="693">
        <f>H30+H31</f>
        <v>0</v>
      </c>
      <c r="I32" s="693">
        <f t="shared" ref="I32:N32" si="8">I30+I31</f>
        <v>8725</v>
      </c>
      <c r="J32" s="693">
        <f t="shared" si="8"/>
        <v>8365</v>
      </c>
      <c r="K32" s="693">
        <f t="shared" si="8"/>
        <v>8734</v>
      </c>
      <c r="L32" s="693">
        <f t="shared" si="8"/>
        <v>9006</v>
      </c>
      <c r="M32" s="693">
        <f t="shared" si="8"/>
        <v>8709</v>
      </c>
      <c r="N32" s="693">
        <f t="shared" si="8"/>
        <v>9428</v>
      </c>
      <c r="O32" s="693">
        <f>O30+O31</f>
        <v>9651</v>
      </c>
      <c r="Q32" s="686"/>
    </row>
    <row r="33" spans="1:17">
      <c r="A33" s="686" t="s">
        <v>5433</v>
      </c>
      <c r="B33" s="686" t="s">
        <v>9632</v>
      </c>
      <c r="C33" s="62" t="s">
        <v>9652</v>
      </c>
      <c r="D33" s="691">
        <v>0</v>
      </c>
      <c r="E33" s="691">
        <v>0</v>
      </c>
      <c r="F33" s="691">
        <v>0</v>
      </c>
      <c r="G33" s="691">
        <v>0</v>
      </c>
      <c r="H33" s="63">
        <v>0</v>
      </c>
      <c r="I33" s="688">
        <v>0</v>
      </c>
      <c r="J33" s="56">
        <v>841</v>
      </c>
      <c r="K33" s="56">
        <v>860</v>
      </c>
      <c r="L33" s="56">
        <v>914</v>
      </c>
      <c r="M33" s="56">
        <v>869</v>
      </c>
      <c r="N33" s="56">
        <v>927</v>
      </c>
      <c r="O33" s="56">
        <v>932</v>
      </c>
      <c r="Q33" s="686" t="s">
        <v>4312</v>
      </c>
    </row>
    <row r="34" spans="1:17" ht="15.75" thickBot="1">
      <c r="A34" s="686"/>
      <c r="B34" s="686"/>
      <c r="C34" s="62" t="s">
        <v>9652</v>
      </c>
      <c r="D34" s="694">
        <v>0</v>
      </c>
      <c r="E34" s="694">
        <v>0</v>
      </c>
      <c r="F34" s="694">
        <v>0</v>
      </c>
      <c r="G34" s="694">
        <v>0</v>
      </c>
      <c r="H34" s="692">
        <v>0</v>
      </c>
      <c r="I34" s="688">
        <v>7864</v>
      </c>
      <c r="J34" s="58">
        <v>6872</v>
      </c>
      <c r="K34" s="58">
        <v>7294</v>
      </c>
      <c r="L34" s="58">
        <v>7327</v>
      </c>
      <c r="M34" s="58">
        <v>7119</v>
      </c>
      <c r="N34" s="58">
        <v>7742</v>
      </c>
      <c r="O34" s="58">
        <v>7946</v>
      </c>
      <c r="Q34" s="686" t="s">
        <v>4314</v>
      </c>
    </row>
    <row r="35" spans="1:17" ht="15.75" thickBot="1">
      <c r="A35" s="686"/>
      <c r="B35" s="686"/>
      <c r="C35" s="62" t="s">
        <v>9652</v>
      </c>
      <c r="D35" s="693">
        <f>D33+D34</f>
        <v>0</v>
      </c>
      <c r="E35" s="693">
        <f>E33+E34</f>
        <v>0</v>
      </c>
      <c r="F35" s="693">
        <f>F33+F34</f>
        <v>0</v>
      </c>
      <c r="G35" s="693">
        <f>G33+G34</f>
        <v>0</v>
      </c>
      <c r="H35" s="693">
        <f>H33+H34</f>
        <v>0</v>
      </c>
      <c r="I35" s="693">
        <f t="shared" ref="I35:N35" si="9">I33+I34</f>
        <v>7864</v>
      </c>
      <c r="J35" s="693">
        <f t="shared" si="9"/>
        <v>7713</v>
      </c>
      <c r="K35" s="693">
        <f t="shared" si="9"/>
        <v>8154</v>
      </c>
      <c r="L35" s="693">
        <f t="shared" si="9"/>
        <v>8241</v>
      </c>
      <c r="M35" s="693">
        <f t="shared" si="9"/>
        <v>7988</v>
      </c>
      <c r="N35" s="693">
        <f t="shared" si="9"/>
        <v>8669</v>
      </c>
      <c r="O35" s="693">
        <f>O33+O34</f>
        <v>8878</v>
      </c>
      <c r="Q35" s="686"/>
    </row>
    <row r="36" spans="1:17">
      <c r="A36" s="686" t="s">
        <v>5435</v>
      </c>
      <c r="B36" s="686" t="s">
        <v>9633</v>
      </c>
      <c r="C36" s="62" t="s">
        <v>9653</v>
      </c>
      <c r="D36" s="690">
        <v>0</v>
      </c>
      <c r="E36" s="690">
        <v>0</v>
      </c>
      <c r="F36" s="690">
        <v>0</v>
      </c>
      <c r="G36" s="690">
        <v>0</v>
      </c>
      <c r="H36" s="688">
        <v>0</v>
      </c>
      <c r="I36" s="63">
        <v>5582</v>
      </c>
      <c r="J36" s="56">
        <v>5290</v>
      </c>
      <c r="K36" s="56">
        <v>5436</v>
      </c>
      <c r="L36" s="56">
        <v>5634</v>
      </c>
      <c r="M36" s="56">
        <v>5397</v>
      </c>
      <c r="N36" s="56">
        <v>5816</v>
      </c>
      <c r="O36" s="56">
        <v>6039</v>
      </c>
      <c r="Q36" s="686" t="s">
        <v>4312</v>
      </c>
    </row>
    <row r="37" spans="1:17">
      <c r="A37" s="686" t="s">
        <v>5436</v>
      </c>
      <c r="B37" s="686" t="s">
        <v>4323</v>
      </c>
      <c r="C37" s="62" t="s">
        <v>9654</v>
      </c>
      <c r="D37" s="690">
        <v>0</v>
      </c>
      <c r="E37" s="690">
        <v>0</v>
      </c>
      <c r="F37" s="690">
        <v>0</v>
      </c>
      <c r="G37" s="690">
        <v>0</v>
      </c>
      <c r="H37" s="688">
        <v>0</v>
      </c>
      <c r="I37" s="63">
        <v>8457</v>
      </c>
      <c r="J37" s="56">
        <v>7686</v>
      </c>
      <c r="K37" s="56">
        <v>7855</v>
      </c>
      <c r="L37" s="56">
        <v>8098</v>
      </c>
      <c r="M37" s="56">
        <v>8246</v>
      </c>
      <c r="N37" s="56">
        <v>8588</v>
      </c>
      <c r="O37" s="56">
        <v>8587</v>
      </c>
      <c r="Q37" s="686" t="s">
        <v>4312</v>
      </c>
    </row>
    <row r="38" spans="1:17">
      <c r="A38" s="686" t="s">
        <v>5437</v>
      </c>
      <c r="B38" s="686" t="s">
        <v>9634</v>
      </c>
      <c r="C38" s="62" t="s">
        <v>9655</v>
      </c>
      <c r="D38" s="690">
        <v>0</v>
      </c>
      <c r="E38" s="690">
        <v>0</v>
      </c>
      <c r="F38" s="690">
        <v>0</v>
      </c>
      <c r="G38" s="690">
        <v>0</v>
      </c>
      <c r="H38" s="688">
        <v>0</v>
      </c>
      <c r="I38" s="63">
        <v>5469</v>
      </c>
      <c r="J38" s="56">
        <v>5114</v>
      </c>
      <c r="K38" s="56">
        <v>5173</v>
      </c>
      <c r="L38" s="56">
        <v>5284</v>
      </c>
      <c r="M38" s="56">
        <v>5383</v>
      </c>
      <c r="N38" s="56">
        <v>5722</v>
      </c>
      <c r="O38" s="56">
        <v>5670</v>
      </c>
      <c r="Q38" s="686" t="s">
        <v>4312</v>
      </c>
    </row>
    <row r="39" spans="1:17">
      <c r="A39" s="686" t="s">
        <v>5439</v>
      </c>
      <c r="B39" s="686" t="s">
        <v>9635</v>
      </c>
      <c r="C39" s="62" t="s">
        <v>9656</v>
      </c>
      <c r="D39" s="690">
        <v>0</v>
      </c>
      <c r="E39" s="690">
        <v>0</v>
      </c>
      <c r="F39" s="690">
        <v>0</v>
      </c>
      <c r="G39" s="690">
        <v>0</v>
      </c>
      <c r="H39" s="688">
        <v>0</v>
      </c>
      <c r="I39" s="63">
        <v>9187</v>
      </c>
      <c r="J39" s="56">
        <v>8967</v>
      </c>
      <c r="K39" s="56">
        <v>9204</v>
      </c>
      <c r="L39" s="56">
        <v>9405</v>
      </c>
      <c r="M39" s="56">
        <v>9062</v>
      </c>
      <c r="N39" s="56">
        <v>9655</v>
      </c>
      <c r="O39" s="56">
        <v>9817</v>
      </c>
      <c r="Q39" s="686" t="s">
        <v>4312</v>
      </c>
    </row>
    <row r="40" spans="1:17">
      <c r="A40" s="695" t="s">
        <v>5441</v>
      </c>
      <c r="B40" s="686" t="s">
        <v>4538</v>
      </c>
      <c r="C40" s="62" t="s">
        <v>9657</v>
      </c>
      <c r="D40" s="690">
        <v>0</v>
      </c>
      <c r="E40" s="690">
        <v>0</v>
      </c>
      <c r="F40" s="690">
        <v>0</v>
      </c>
      <c r="G40" s="690">
        <v>0</v>
      </c>
      <c r="H40" s="688">
        <v>0</v>
      </c>
      <c r="I40" s="63">
        <v>8219</v>
      </c>
      <c r="J40" s="58">
        <v>7775</v>
      </c>
      <c r="K40" s="58">
        <v>8028</v>
      </c>
      <c r="L40" s="58">
        <v>8144</v>
      </c>
      <c r="M40" s="58">
        <v>7943</v>
      </c>
      <c r="N40" s="58">
        <v>8511</v>
      </c>
      <c r="O40" s="58">
        <v>8558</v>
      </c>
      <c r="Q40" s="686" t="s">
        <v>4314</v>
      </c>
    </row>
    <row r="41" spans="1:17">
      <c r="A41" s="695" t="s">
        <v>5886</v>
      </c>
      <c r="B41" s="686" t="s">
        <v>9636</v>
      </c>
      <c r="C41" s="62" t="s">
        <v>9658</v>
      </c>
      <c r="D41" s="690">
        <v>0</v>
      </c>
      <c r="E41" s="690">
        <v>0</v>
      </c>
      <c r="F41" s="690">
        <v>0</v>
      </c>
      <c r="G41" s="690">
        <v>0</v>
      </c>
      <c r="H41" s="688">
        <v>0</v>
      </c>
      <c r="I41" s="63">
        <v>5656</v>
      </c>
      <c r="J41" s="56">
        <v>5378</v>
      </c>
      <c r="K41" s="56">
        <v>5605</v>
      </c>
      <c r="L41" s="56">
        <v>6003</v>
      </c>
      <c r="M41" s="56">
        <v>5937</v>
      </c>
      <c r="N41" s="56">
        <v>6470</v>
      </c>
      <c r="O41" s="56">
        <v>6563</v>
      </c>
      <c r="Q41" s="686" t="s">
        <v>4312</v>
      </c>
    </row>
    <row r="43" spans="1:17">
      <c r="A43" s="154" t="s">
        <v>9637</v>
      </c>
    </row>
  </sheetData>
  <phoneticPr fontId="6" type="noConversion"/>
  <printOptions gridLinesSet="0"/>
  <pageMargins left="0.78740157480314965" right="0" top="0.51181102362204722" bottom="0.51181102362204722" header="0.51181102362204722" footer="0.51181102362204722"/>
  <pageSetup paperSize="9" scale="74" orientation="portrait" horizontalDpi="300" verticalDpi="300" r:id="rId1"/>
  <headerFooter alignWithMargins="0">
    <oddFooter>&amp;C&amp;"Times New Roman,Regular"&amp;8&amp;P of &amp;N</oddFooter>
  </headerFooter>
  <ignoredErrors>
    <ignoredError sqref="F16 G4 F4 E4 D4 D5:G6 D10:G15 H4 H10:H15 D32:H35 D8:H9 D3:H3 H5:H6 I32 I35 I3:I6 J32:J35 J3:J6 K32 K35 K3:K6 L4:L6 L23:L35 I8:I15 J8:J15 K8:K15 L8:L15"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dimension ref="A1:Q56"/>
  <sheetViews>
    <sheetView showGridLines="0" zoomScale="90" zoomScaleNormal="90" workbookViewId="0">
      <selection activeCell="A56" sqref="A56"/>
    </sheetView>
  </sheetViews>
  <sheetFormatPr defaultColWidth="12.5703125" defaultRowHeight="15"/>
  <cols>
    <col min="1" max="1" width="4.85546875" style="153" customWidth="1"/>
    <col min="2" max="2" width="40.5703125" style="153" customWidth="1"/>
    <col min="3" max="3" width="11.5703125" style="153" customWidth="1"/>
    <col min="4" max="15" width="10" style="153" customWidth="1"/>
    <col min="16" max="16" width="2.28515625" style="153" customWidth="1"/>
    <col min="17" max="17" width="35.85546875" style="153" customWidth="1"/>
    <col min="18" max="16384" width="12.5703125" style="153"/>
  </cols>
  <sheetData>
    <row r="1" spans="1:17">
      <c r="A1" s="679" t="s">
        <v>5719</v>
      </c>
      <c r="D1" s="680">
        <v>2010</v>
      </c>
      <c r="E1" s="680">
        <v>2011</v>
      </c>
      <c r="F1" s="680">
        <v>2012</v>
      </c>
      <c r="G1" s="680">
        <v>2013</v>
      </c>
      <c r="H1" s="680">
        <v>2014</v>
      </c>
      <c r="I1" s="680">
        <v>2015</v>
      </c>
      <c r="J1" s="680">
        <v>2016</v>
      </c>
      <c r="K1" s="680">
        <v>2017</v>
      </c>
      <c r="L1" s="680">
        <v>2018</v>
      </c>
      <c r="M1" s="680">
        <v>2019</v>
      </c>
      <c r="N1" s="680">
        <v>2020</v>
      </c>
      <c r="O1" s="972" t="s">
        <v>14823</v>
      </c>
    </row>
    <row r="3" spans="1:17">
      <c r="A3" s="679" t="s">
        <v>4324</v>
      </c>
      <c r="D3" s="681">
        <f t="shared" ref="D3:N3" si="0">SUM(D21:D27,D29:D34,D36:D37,D39:D47)</f>
        <v>109316</v>
      </c>
      <c r="E3" s="681">
        <f t="shared" si="0"/>
        <v>109338</v>
      </c>
      <c r="F3" s="681">
        <f t="shared" si="0"/>
        <v>110271</v>
      </c>
      <c r="G3" s="681">
        <f t="shared" si="0"/>
        <v>110308</v>
      </c>
      <c r="H3" s="681">
        <f t="shared" si="0"/>
        <v>110756</v>
      </c>
      <c r="I3" s="681">
        <f t="shared" si="0"/>
        <v>108186</v>
      </c>
      <c r="J3" s="681">
        <f t="shared" si="0"/>
        <v>105431</v>
      </c>
      <c r="K3" s="681">
        <f t="shared" si="0"/>
        <v>109806</v>
      </c>
      <c r="L3" s="681">
        <f t="shared" si="0"/>
        <v>109945</v>
      </c>
      <c r="M3" s="681">
        <f t="shared" si="0"/>
        <v>107400</v>
      </c>
      <c r="N3" s="681">
        <f t="shared" si="0"/>
        <v>116630</v>
      </c>
      <c r="O3" s="681">
        <f>SUM(O21:O27,O29:O34,O36:O37,O39:O47)</f>
        <v>115750</v>
      </c>
    </row>
    <row r="5" spans="1:17">
      <c r="A5" s="679" t="s">
        <v>5720</v>
      </c>
      <c r="D5" s="681">
        <f t="shared" ref="D5:I5" si="1">D3/2</f>
        <v>54658</v>
      </c>
      <c r="E5" s="681">
        <f t="shared" si="1"/>
        <v>54669</v>
      </c>
      <c r="F5" s="681">
        <f t="shared" si="1"/>
        <v>55135.5</v>
      </c>
      <c r="G5" s="681">
        <f t="shared" si="1"/>
        <v>55154</v>
      </c>
      <c r="H5" s="681">
        <f t="shared" si="1"/>
        <v>55378</v>
      </c>
      <c r="I5" s="681">
        <f t="shared" si="1"/>
        <v>54093</v>
      </c>
      <c r="J5" s="681">
        <f t="shared" ref="J5:O5" si="2">J3/2</f>
        <v>52715.5</v>
      </c>
      <c r="K5" s="681">
        <f t="shared" si="2"/>
        <v>54903</v>
      </c>
      <c r="L5" s="681">
        <f t="shared" si="2"/>
        <v>54972.5</v>
      </c>
      <c r="M5" s="681">
        <f t="shared" si="2"/>
        <v>53700</v>
      </c>
      <c r="N5" s="681">
        <f t="shared" si="2"/>
        <v>58315</v>
      </c>
      <c r="O5" s="681">
        <f t="shared" si="2"/>
        <v>57875</v>
      </c>
    </row>
    <row r="6" spans="1:17">
      <c r="D6" s="682"/>
      <c r="E6" s="682"/>
      <c r="F6" s="682"/>
      <c r="G6" s="682"/>
      <c r="H6" s="682"/>
      <c r="I6" s="682"/>
      <c r="J6" s="682"/>
      <c r="K6" s="682"/>
      <c r="L6" s="682"/>
      <c r="M6" s="682"/>
      <c r="N6" s="682"/>
      <c r="O6" s="682"/>
    </row>
    <row r="7" spans="1:17">
      <c r="A7" s="679" t="s">
        <v>4325</v>
      </c>
      <c r="D7" s="681">
        <f t="shared" ref="D7:N7" si="3">SUM(D26,D29,D32:D33,D36,D39,D41,D43)</f>
        <v>39542</v>
      </c>
      <c r="E7" s="681">
        <f t="shared" si="3"/>
        <v>39330</v>
      </c>
      <c r="F7" s="681">
        <f t="shared" si="3"/>
        <v>39502</v>
      </c>
      <c r="G7" s="681">
        <f t="shared" si="3"/>
        <v>39494</v>
      </c>
      <c r="H7" s="681">
        <f t="shared" si="3"/>
        <v>39896</v>
      </c>
      <c r="I7" s="681">
        <f t="shared" si="3"/>
        <v>38737</v>
      </c>
      <c r="J7" s="681">
        <f t="shared" si="3"/>
        <v>37905</v>
      </c>
      <c r="K7" s="681">
        <f t="shared" si="3"/>
        <v>39529</v>
      </c>
      <c r="L7" s="681">
        <f t="shared" si="3"/>
        <v>39712</v>
      </c>
      <c r="M7" s="681">
        <f t="shared" si="3"/>
        <v>38554</v>
      </c>
      <c r="N7" s="681">
        <f t="shared" si="3"/>
        <v>42525</v>
      </c>
      <c r="O7" s="681">
        <v>42168</v>
      </c>
      <c r="Q7" s="679" t="s">
        <v>4326</v>
      </c>
    </row>
    <row r="8" spans="1:17" ht="15.75" thickBot="1">
      <c r="D8" s="683">
        <f>KENSINGTON!D8</f>
        <v>24165</v>
      </c>
      <c r="E8" s="683">
        <f>KENSINGTON!E8</f>
        <v>23628</v>
      </c>
      <c r="F8" s="683">
        <f>KENSINGTON!F8</f>
        <v>23327</v>
      </c>
      <c r="G8" s="683">
        <f>KENSINGTON!G8</f>
        <v>23260</v>
      </c>
      <c r="H8" s="683">
        <f>KENSINGTON!H8</f>
        <v>23167</v>
      </c>
      <c r="I8" s="683">
        <f>KENSINGTON!I8</f>
        <v>21866</v>
      </c>
      <c r="J8" s="683">
        <f>KENSINGTON!J8</f>
        <v>21022</v>
      </c>
      <c r="K8" s="683">
        <f>KENSINGTON!K8</f>
        <v>21608</v>
      </c>
      <c r="L8" s="683">
        <f>KENSINGTON!L8</f>
        <v>22736</v>
      </c>
      <c r="M8" s="683">
        <f>KENSINGTON!M8</f>
        <v>21487</v>
      </c>
      <c r="N8" s="683">
        <f>KENSINGTON!N8</f>
        <v>23281</v>
      </c>
      <c r="O8" s="683">
        <f>KENSINGTON!O8</f>
        <v>22845</v>
      </c>
      <c r="Q8" s="679" t="s">
        <v>4327</v>
      </c>
    </row>
    <row r="9" spans="1:17" ht="15.75" thickBot="1">
      <c r="D9" s="683">
        <f t="shared" ref="D9:I9" si="4">SUM(D7:D8)</f>
        <v>63707</v>
      </c>
      <c r="E9" s="683">
        <f t="shared" si="4"/>
        <v>62958</v>
      </c>
      <c r="F9" s="683">
        <f t="shared" si="4"/>
        <v>62829</v>
      </c>
      <c r="G9" s="683">
        <f t="shared" si="4"/>
        <v>62754</v>
      </c>
      <c r="H9" s="683">
        <f t="shared" si="4"/>
        <v>63063</v>
      </c>
      <c r="I9" s="683">
        <f t="shared" si="4"/>
        <v>60603</v>
      </c>
      <c r="J9" s="683">
        <f t="shared" ref="J9:O9" si="5">SUM(J7:J8)</f>
        <v>58927</v>
      </c>
      <c r="K9" s="683">
        <f t="shared" si="5"/>
        <v>61137</v>
      </c>
      <c r="L9" s="683">
        <f t="shared" si="5"/>
        <v>62448</v>
      </c>
      <c r="M9" s="683">
        <f t="shared" si="5"/>
        <v>60041</v>
      </c>
      <c r="N9" s="683">
        <f t="shared" si="5"/>
        <v>65806</v>
      </c>
      <c r="O9" s="683">
        <f t="shared" si="5"/>
        <v>65013</v>
      </c>
    </row>
    <row r="10" spans="1:17">
      <c r="D10" s="682"/>
      <c r="E10" s="682"/>
      <c r="F10" s="682"/>
      <c r="G10" s="682"/>
      <c r="H10" s="682"/>
      <c r="I10" s="682"/>
      <c r="J10" s="682"/>
      <c r="K10" s="682"/>
      <c r="L10" s="682"/>
      <c r="M10" s="682"/>
      <c r="N10" s="682"/>
      <c r="O10" s="682"/>
    </row>
    <row r="11" spans="1:17">
      <c r="A11" s="679" t="s">
        <v>4328</v>
      </c>
      <c r="D11" s="681">
        <f t="shared" ref="D11:N11" si="6">SUM(D21:D25,D27,D30:D31,D34,D37,D40,D42,D44:D47)</f>
        <v>69774</v>
      </c>
      <c r="E11" s="681">
        <f t="shared" si="6"/>
        <v>70008</v>
      </c>
      <c r="F11" s="681">
        <f t="shared" si="6"/>
        <v>70769</v>
      </c>
      <c r="G11" s="681">
        <f t="shared" si="6"/>
        <v>70814</v>
      </c>
      <c r="H11" s="681">
        <f t="shared" si="6"/>
        <v>70860</v>
      </c>
      <c r="I11" s="681">
        <f t="shared" si="6"/>
        <v>69449</v>
      </c>
      <c r="J11" s="681">
        <f t="shared" si="6"/>
        <v>67526</v>
      </c>
      <c r="K11" s="681">
        <f t="shared" si="6"/>
        <v>70277</v>
      </c>
      <c r="L11" s="681">
        <f t="shared" si="6"/>
        <v>70233</v>
      </c>
      <c r="M11" s="681">
        <f t="shared" si="6"/>
        <v>68846</v>
      </c>
      <c r="N11" s="681">
        <f t="shared" si="6"/>
        <v>74105</v>
      </c>
      <c r="O11" s="681">
        <v>73582</v>
      </c>
      <c r="Q11" s="679" t="s">
        <v>4326</v>
      </c>
    </row>
    <row r="12" spans="1:17" s="76" customFormat="1">
      <c r="D12" s="199"/>
      <c r="E12" s="199"/>
      <c r="F12" s="199"/>
      <c r="G12" s="199"/>
      <c r="H12" s="199"/>
      <c r="I12" s="199"/>
      <c r="J12" s="199"/>
      <c r="K12" s="199"/>
      <c r="L12" s="199"/>
      <c r="M12" s="199"/>
      <c r="N12" s="199"/>
      <c r="O12" s="199"/>
    </row>
    <row r="13" spans="1:17">
      <c r="A13" s="679" t="s">
        <v>4329</v>
      </c>
      <c r="D13" s="681">
        <f>KENSINGTON!D11</f>
        <v>63134</v>
      </c>
      <c r="E13" s="681">
        <f>KENSINGTON!E11</f>
        <v>62784</v>
      </c>
      <c r="F13" s="681">
        <f>KENSINGTON!F11</f>
        <v>62346</v>
      </c>
      <c r="G13" s="681">
        <f>KENSINGTON!G11</f>
        <v>61803</v>
      </c>
      <c r="H13" s="681">
        <f>KENSINGTON!H11</f>
        <v>61507</v>
      </c>
      <c r="I13" s="681">
        <f>KENSINGTON!I11</f>
        <v>58316</v>
      </c>
      <c r="J13" s="681">
        <f>KENSINGTON!J11</f>
        <v>55432</v>
      </c>
      <c r="K13" s="681">
        <f>KENSINGTON!K11</f>
        <v>57221</v>
      </c>
      <c r="L13" s="681">
        <f>KENSINGTON!L11</f>
        <v>60674</v>
      </c>
      <c r="M13" s="681">
        <f>KENSINGTON!M11</f>
        <v>57627</v>
      </c>
      <c r="N13" s="681">
        <f>KENSINGTON!N11</f>
        <v>62686</v>
      </c>
      <c r="O13" s="681">
        <f>KENSINGTON!O11</f>
        <v>61761</v>
      </c>
      <c r="Q13" s="679" t="s">
        <v>4327</v>
      </c>
    </row>
    <row r="14" spans="1:17">
      <c r="D14" s="682"/>
      <c r="E14" s="682"/>
      <c r="F14" s="682"/>
      <c r="G14" s="682"/>
      <c r="H14" s="682"/>
      <c r="I14" s="682"/>
      <c r="J14" s="682"/>
      <c r="K14" s="682"/>
      <c r="L14" s="682"/>
      <c r="M14" s="682"/>
      <c r="N14" s="682"/>
      <c r="O14" s="682"/>
    </row>
    <row r="15" spans="1:17">
      <c r="A15" s="679" t="s">
        <v>6796</v>
      </c>
      <c r="D15" s="681">
        <f t="shared" ref="D15:I15" si="7">D7+D11</f>
        <v>109316</v>
      </c>
      <c r="E15" s="681">
        <f t="shared" si="7"/>
        <v>109338</v>
      </c>
      <c r="F15" s="681">
        <f t="shared" si="7"/>
        <v>110271</v>
      </c>
      <c r="G15" s="681">
        <f t="shared" si="7"/>
        <v>110308</v>
      </c>
      <c r="H15" s="681">
        <f t="shared" si="7"/>
        <v>110756</v>
      </c>
      <c r="I15" s="681">
        <f t="shared" si="7"/>
        <v>108186</v>
      </c>
      <c r="J15" s="681">
        <f t="shared" ref="J15:O15" si="8">J7+J11</f>
        <v>105431</v>
      </c>
      <c r="K15" s="681">
        <f t="shared" si="8"/>
        <v>109806</v>
      </c>
      <c r="L15" s="681">
        <f t="shared" si="8"/>
        <v>109945</v>
      </c>
      <c r="M15" s="681">
        <f t="shared" si="8"/>
        <v>107400</v>
      </c>
      <c r="N15" s="681">
        <f t="shared" si="8"/>
        <v>116630</v>
      </c>
      <c r="O15" s="681">
        <f t="shared" si="8"/>
        <v>115750</v>
      </c>
    </row>
    <row r="16" spans="1:17">
      <c r="D16" s="682"/>
      <c r="E16" s="682"/>
      <c r="F16" s="682"/>
      <c r="G16" s="682"/>
      <c r="H16" s="682"/>
      <c r="I16" s="682"/>
      <c r="J16" s="682"/>
      <c r="K16" s="682"/>
      <c r="L16" s="682"/>
      <c r="M16" s="682"/>
      <c r="N16" s="682"/>
      <c r="O16" s="682"/>
    </row>
    <row r="17" spans="1:17">
      <c r="A17" s="679" t="s">
        <v>6797</v>
      </c>
      <c r="D17" s="681">
        <f t="shared" ref="D17:I17" si="9">MAX(D9,D11,D13)-MIN(D9,D11,D13)</f>
        <v>6640</v>
      </c>
      <c r="E17" s="681">
        <f t="shared" si="9"/>
        <v>7224</v>
      </c>
      <c r="F17" s="681">
        <f t="shared" si="9"/>
        <v>8423</v>
      </c>
      <c r="G17" s="681">
        <f t="shared" si="9"/>
        <v>9011</v>
      </c>
      <c r="H17" s="681">
        <f t="shared" si="9"/>
        <v>9353</v>
      </c>
      <c r="I17" s="681">
        <f t="shared" si="9"/>
        <v>11133</v>
      </c>
      <c r="J17" s="681">
        <f t="shared" ref="J17:O17" si="10">MAX(J9,J11,J13)-MIN(J9,J11,J13)</f>
        <v>12094</v>
      </c>
      <c r="K17" s="681">
        <f t="shared" si="10"/>
        <v>13056</v>
      </c>
      <c r="L17" s="681">
        <f t="shared" si="10"/>
        <v>9559</v>
      </c>
      <c r="M17" s="681">
        <f t="shared" si="10"/>
        <v>11219</v>
      </c>
      <c r="N17" s="681">
        <f t="shared" si="10"/>
        <v>11419</v>
      </c>
      <c r="O17" s="681">
        <f t="shared" si="10"/>
        <v>11821</v>
      </c>
    </row>
    <row r="18" spans="1:17">
      <c r="D18" s="682"/>
      <c r="E18" s="682"/>
      <c r="F18" s="682"/>
      <c r="G18" s="682"/>
      <c r="H18" s="682"/>
      <c r="I18" s="682"/>
      <c r="J18" s="682"/>
      <c r="K18" s="682"/>
      <c r="L18" s="682"/>
      <c r="M18" s="682"/>
      <c r="N18" s="682"/>
      <c r="O18" s="682"/>
    </row>
    <row r="19" spans="1:17">
      <c r="A19" s="684" t="s">
        <v>6800</v>
      </c>
      <c r="D19" s="681">
        <f t="shared" ref="D19:I19" si="11">STDEVP(D9,D11,D13)</f>
        <v>3004.1899999093857</v>
      </c>
      <c r="E19" s="681">
        <f t="shared" si="11"/>
        <v>3365.1638890253175</v>
      </c>
      <c r="F19" s="681">
        <f t="shared" si="11"/>
        <v>3861.8334448232686</v>
      </c>
      <c r="G19" s="681">
        <f t="shared" si="11"/>
        <v>4042.3607239114899</v>
      </c>
      <c r="H19" s="681">
        <f t="shared" si="11"/>
        <v>4091.9019484288178</v>
      </c>
      <c r="I19" s="681">
        <f t="shared" si="11"/>
        <v>4800.7612127893035</v>
      </c>
      <c r="J19" s="681">
        <f t="shared" ref="J19:O19" si="12">STDEVP(J9,J11,J13)</f>
        <v>5081.8048193749264</v>
      </c>
      <c r="K19" s="681">
        <f t="shared" si="12"/>
        <v>5470.4640469423512</v>
      </c>
      <c r="L19" s="681">
        <f t="shared" si="12"/>
        <v>4151.6767964549235</v>
      </c>
      <c r="M19" s="681">
        <f t="shared" si="12"/>
        <v>4821.4956416263849</v>
      </c>
      <c r="N19" s="681">
        <f t="shared" si="12"/>
        <v>4818.9598001597351</v>
      </c>
      <c r="O19" s="681">
        <f t="shared" si="12"/>
        <v>4985.9726121278372</v>
      </c>
    </row>
    <row r="20" spans="1:17">
      <c r="D20" s="682"/>
      <c r="E20" s="682"/>
      <c r="F20" s="682"/>
      <c r="G20" s="682"/>
      <c r="H20" s="682"/>
      <c r="I20" s="682"/>
      <c r="J20" s="682"/>
      <c r="K20" s="682"/>
      <c r="L20" s="682"/>
      <c r="M20" s="682"/>
      <c r="N20" s="682"/>
      <c r="O20" s="682"/>
    </row>
    <row r="21" spans="1:17">
      <c r="A21" s="679" t="s">
        <v>5387</v>
      </c>
      <c r="B21" s="679" t="s">
        <v>6552</v>
      </c>
      <c r="C21" s="55" t="s">
        <v>15889</v>
      </c>
      <c r="D21" s="685">
        <v>69774</v>
      </c>
      <c r="E21" s="685">
        <v>70008</v>
      </c>
      <c r="F21" s="685">
        <v>70769</v>
      </c>
      <c r="G21" s="685">
        <v>70814</v>
      </c>
      <c r="H21" s="685">
        <v>70860</v>
      </c>
      <c r="I21" s="685">
        <v>69449</v>
      </c>
      <c r="J21" s="685">
        <v>67526</v>
      </c>
      <c r="K21" s="685">
        <v>70277</v>
      </c>
      <c r="L21" s="685">
        <v>70233</v>
      </c>
      <c r="M21" s="685">
        <v>68846</v>
      </c>
      <c r="N21" s="685">
        <v>74105</v>
      </c>
      <c r="O21" s="63">
        <v>4982</v>
      </c>
      <c r="Q21" s="679" t="s">
        <v>4328</v>
      </c>
    </row>
    <row r="22" spans="1:17">
      <c r="A22" s="679" t="s">
        <v>5389</v>
      </c>
      <c r="B22" s="679" t="s">
        <v>15890</v>
      </c>
      <c r="C22" s="55" t="s">
        <v>15891</v>
      </c>
      <c r="D22" s="685">
        <v>0</v>
      </c>
      <c r="E22" s="685">
        <v>0</v>
      </c>
      <c r="F22" s="685">
        <v>0</v>
      </c>
      <c r="G22" s="685">
        <v>0</v>
      </c>
      <c r="H22" s="685">
        <v>0</v>
      </c>
      <c r="I22" s="685">
        <v>0</v>
      </c>
      <c r="J22" s="685">
        <v>0</v>
      </c>
      <c r="K22" s="685">
        <v>0</v>
      </c>
      <c r="L22" s="685">
        <v>0</v>
      </c>
      <c r="M22" s="685">
        <v>0</v>
      </c>
      <c r="N22" s="685">
        <v>0</v>
      </c>
      <c r="O22" s="63">
        <v>4585</v>
      </c>
      <c r="Q22" s="679" t="s">
        <v>4328</v>
      </c>
    </row>
    <row r="23" spans="1:17">
      <c r="A23" s="679" t="s">
        <v>5391</v>
      </c>
      <c r="B23" s="679" t="s">
        <v>15892</v>
      </c>
      <c r="C23" s="55" t="s">
        <v>15893</v>
      </c>
      <c r="D23" s="685">
        <v>0</v>
      </c>
      <c r="E23" s="685">
        <v>0</v>
      </c>
      <c r="F23" s="685">
        <v>0</v>
      </c>
      <c r="G23" s="685">
        <v>0</v>
      </c>
      <c r="H23" s="685">
        <v>0</v>
      </c>
      <c r="I23" s="685">
        <v>0</v>
      </c>
      <c r="J23" s="685">
        <v>0</v>
      </c>
      <c r="K23" s="685">
        <v>0</v>
      </c>
      <c r="L23" s="685">
        <v>0</v>
      </c>
      <c r="M23" s="685">
        <v>0</v>
      </c>
      <c r="N23" s="685">
        <v>0</v>
      </c>
      <c r="O23" s="63">
        <v>5165</v>
      </c>
      <c r="Q23" s="679" t="s">
        <v>4328</v>
      </c>
    </row>
    <row r="24" spans="1:17">
      <c r="A24" s="679" t="s">
        <v>5393</v>
      </c>
      <c r="B24" s="679" t="s">
        <v>15894</v>
      </c>
      <c r="C24" s="55" t="s">
        <v>15895</v>
      </c>
      <c r="D24" s="685">
        <v>0</v>
      </c>
      <c r="E24" s="685">
        <v>0</v>
      </c>
      <c r="F24" s="685">
        <v>0</v>
      </c>
      <c r="G24" s="685">
        <v>0</v>
      </c>
      <c r="H24" s="685">
        <v>0</v>
      </c>
      <c r="I24" s="685">
        <v>0</v>
      </c>
      <c r="J24" s="685">
        <v>0</v>
      </c>
      <c r="K24" s="685">
        <v>0</v>
      </c>
      <c r="L24" s="685">
        <v>0</v>
      </c>
      <c r="M24" s="685">
        <v>0</v>
      </c>
      <c r="N24" s="685">
        <v>0</v>
      </c>
      <c r="O24" s="63">
        <v>5238</v>
      </c>
      <c r="Q24" s="679" t="s">
        <v>4328</v>
      </c>
    </row>
    <row r="25" spans="1:17">
      <c r="A25" s="679" t="s">
        <v>5394</v>
      </c>
      <c r="B25" s="679" t="s">
        <v>15896</v>
      </c>
      <c r="C25" s="55" t="s">
        <v>15897</v>
      </c>
      <c r="D25" s="685">
        <v>0</v>
      </c>
      <c r="E25" s="685">
        <v>0</v>
      </c>
      <c r="F25" s="685">
        <v>0</v>
      </c>
      <c r="G25" s="685">
        <v>0</v>
      </c>
      <c r="H25" s="685">
        <v>0</v>
      </c>
      <c r="I25" s="685">
        <v>0</v>
      </c>
      <c r="J25" s="685">
        <v>0</v>
      </c>
      <c r="K25" s="685">
        <v>0</v>
      </c>
      <c r="L25" s="685">
        <v>0</v>
      </c>
      <c r="M25" s="685">
        <v>0</v>
      </c>
      <c r="N25" s="685">
        <v>0</v>
      </c>
      <c r="O25" s="63">
        <v>7059</v>
      </c>
      <c r="Q25" s="679" t="s">
        <v>4328</v>
      </c>
    </row>
    <row r="26" spans="1:17">
      <c r="A26" s="679" t="s">
        <v>5416</v>
      </c>
      <c r="B26" s="153" t="s">
        <v>5515</v>
      </c>
      <c r="C26" s="55" t="s">
        <v>15898</v>
      </c>
      <c r="D26" s="685">
        <v>0</v>
      </c>
      <c r="E26" s="685">
        <v>0</v>
      </c>
      <c r="F26" s="685">
        <v>0</v>
      </c>
      <c r="G26" s="685">
        <v>0</v>
      </c>
      <c r="H26" s="685">
        <v>0</v>
      </c>
      <c r="I26" s="685">
        <v>0</v>
      </c>
      <c r="J26" s="685">
        <v>0</v>
      </c>
      <c r="K26" s="685">
        <v>0</v>
      </c>
      <c r="L26" s="685">
        <v>0</v>
      </c>
      <c r="M26" s="685">
        <v>0</v>
      </c>
      <c r="N26" s="685">
        <v>0</v>
      </c>
      <c r="O26" s="63">
        <v>0</v>
      </c>
      <c r="Q26" s="679" t="s">
        <v>4325</v>
      </c>
    </row>
    <row r="27" spans="1:17" ht="15.75" thickBot="1">
      <c r="B27" s="679"/>
      <c r="C27" s="55" t="s">
        <v>15898</v>
      </c>
      <c r="D27" s="685">
        <v>0</v>
      </c>
      <c r="E27" s="685">
        <v>0</v>
      </c>
      <c r="F27" s="685">
        <v>0</v>
      </c>
      <c r="G27" s="685">
        <v>0</v>
      </c>
      <c r="H27" s="685">
        <v>0</v>
      </c>
      <c r="I27" s="685">
        <v>0</v>
      </c>
      <c r="J27" s="685">
        <v>0</v>
      </c>
      <c r="K27" s="685">
        <v>0</v>
      </c>
      <c r="L27" s="685">
        <v>0</v>
      </c>
      <c r="M27" s="685">
        <v>0</v>
      </c>
      <c r="N27" s="685">
        <v>0</v>
      </c>
      <c r="O27" s="63">
        <v>7768</v>
      </c>
      <c r="Q27" s="679" t="s">
        <v>4328</v>
      </c>
    </row>
    <row r="28" spans="1:17" ht="15.75" thickBot="1">
      <c r="B28" s="679"/>
      <c r="C28" s="55" t="s">
        <v>15898</v>
      </c>
      <c r="D28" s="693">
        <f>D26+D27</f>
        <v>0</v>
      </c>
      <c r="E28" s="693">
        <f>E26+E27</f>
        <v>0</v>
      </c>
      <c r="F28" s="693">
        <f>F26+F27</f>
        <v>0</v>
      </c>
      <c r="G28" s="693">
        <f>G26+G27</f>
        <v>0</v>
      </c>
      <c r="H28" s="693">
        <f>H26+H27</f>
        <v>0</v>
      </c>
      <c r="I28" s="693">
        <f t="shared" ref="I28:N28" si="13">I26+I27</f>
        <v>0</v>
      </c>
      <c r="J28" s="693">
        <f t="shared" si="13"/>
        <v>0</v>
      </c>
      <c r="K28" s="693">
        <f t="shared" si="13"/>
        <v>0</v>
      </c>
      <c r="L28" s="693">
        <f t="shared" si="13"/>
        <v>0</v>
      </c>
      <c r="M28" s="693">
        <f t="shared" si="13"/>
        <v>0</v>
      </c>
      <c r="N28" s="693">
        <f t="shared" si="13"/>
        <v>0</v>
      </c>
      <c r="O28" s="693">
        <f>O26+O27</f>
        <v>7768</v>
      </c>
      <c r="Q28" s="679"/>
    </row>
    <row r="29" spans="1:17">
      <c r="A29" s="679" t="s">
        <v>5418</v>
      </c>
      <c r="B29" s="679" t="s">
        <v>15899</v>
      </c>
      <c r="C29" s="55" t="s">
        <v>15900</v>
      </c>
      <c r="D29" s="685">
        <v>39542</v>
      </c>
      <c r="E29" s="685">
        <v>39330</v>
      </c>
      <c r="F29" s="685">
        <v>39502</v>
      </c>
      <c r="G29" s="685">
        <v>39494</v>
      </c>
      <c r="H29" s="685">
        <v>39896</v>
      </c>
      <c r="I29" s="685">
        <v>38737</v>
      </c>
      <c r="J29" s="685">
        <v>37905</v>
      </c>
      <c r="K29" s="685">
        <v>39529</v>
      </c>
      <c r="L29" s="685">
        <v>39712</v>
      </c>
      <c r="M29" s="685">
        <v>38554</v>
      </c>
      <c r="N29" s="685">
        <v>42525</v>
      </c>
      <c r="O29" s="63">
        <v>5030</v>
      </c>
      <c r="Q29" s="679" t="s">
        <v>4325</v>
      </c>
    </row>
    <row r="30" spans="1:17">
      <c r="A30" s="679" t="s">
        <v>5420</v>
      </c>
      <c r="B30" s="679" t="s">
        <v>5043</v>
      </c>
      <c r="C30" s="55" t="s">
        <v>15901</v>
      </c>
      <c r="D30" s="685">
        <v>0</v>
      </c>
      <c r="E30" s="685">
        <v>0</v>
      </c>
      <c r="F30" s="685">
        <v>0</v>
      </c>
      <c r="G30" s="685">
        <v>0</v>
      </c>
      <c r="H30" s="685">
        <v>0</v>
      </c>
      <c r="I30" s="685">
        <v>0</v>
      </c>
      <c r="J30" s="685">
        <v>0</v>
      </c>
      <c r="K30" s="685">
        <v>0</v>
      </c>
      <c r="L30" s="685">
        <v>0</v>
      </c>
      <c r="M30" s="685">
        <v>0</v>
      </c>
      <c r="N30" s="685">
        <v>0</v>
      </c>
      <c r="O30" s="63">
        <v>4879</v>
      </c>
      <c r="Q30" s="679" t="s">
        <v>4328</v>
      </c>
    </row>
    <row r="31" spans="1:17">
      <c r="A31" s="679" t="s">
        <v>5422</v>
      </c>
      <c r="B31" s="679" t="s">
        <v>5516</v>
      </c>
      <c r="C31" s="55" t="s">
        <v>15902</v>
      </c>
      <c r="D31" s="685">
        <v>0</v>
      </c>
      <c r="E31" s="685">
        <v>0</v>
      </c>
      <c r="F31" s="685">
        <v>0</v>
      </c>
      <c r="G31" s="685">
        <v>0</v>
      </c>
      <c r="H31" s="685">
        <v>0</v>
      </c>
      <c r="I31" s="685">
        <v>0</v>
      </c>
      <c r="J31" s="685">
        <v>0</v>
      </c>
      <c r="K31" s="685">
        <v>0</v>
      </c>
      <c r="L31" s="685">
        <v>0</v>
      </c>
      <c r="M31" s="685">
        <v>0</v>
      </c>
      <c r="N31" s="685">
        <v>0</v>
      </c>
      <c r="O31" s="63">
        <v>4535</v>
      </c>
      <c r="Q31" s="679" t="s">
        <v>4328</v>
      </c>
    </row>
    <row r="32" spans="1:17">
      <c r="A32" s="679" t="s">
        <v>5424</v>
      </c>
      <c r="B32" s="679" t="s">
        <v>15903</v>
      </c>
      <c r="C32" s="55" t="s">
        <v>15904</v>
      </c>
      <c r="D32" s="685">
        <v>0</v>
      </c>
      <c r="E32" s="685">
        <v>0</v>
      </c>
      <c r="F32" s="685">
        <v>0</v>
      </c>
      <c r="G32" s="685">
        <v>0</v>
      </c>
      <c r="H32" s="685">
        <v>0</v>
      </c>
      <c r="I32" s="685">
        <v>0</v>
      </c>
      <c r="J32" s="685">
        <v>0</v>
      </c>
      <c r="K32" s="685">
        <v>0</v>
      </c>
      <c r="L32" s="685">
        <v>0</v>
      </c>
      <c r="M32" s="685">
        <v>0</v>
      </c>
      <c r="N32" s="685">
        <v>0</v>
      </c>
      <c r="O32" s="63">
        <v>4161</v>
      </c>
      <c r="Q32" s="679" t="s">
        <v>4325</v>
      </c>
    </row>
    <row r="33" spans="1:17">
      <c r="A33" s="679" t="s">
        <v>5426</v>
      </c>
      <c r="B33" s="679" t="s">
        <v>5517</v>
      </c>
      <c r="C33" s="55" t="s">
        <v>15905</v>
      </c>
      <c r="D33" s="685">
        <v>0</v>
      </c>
      <c r="E33" s="685">
        <v>0</v>
      </c>
      <c r="F33" s="685">
        <v>0</v>
      </c>
      <c r="G33" s="685">
        <v>0</v>
      </c>
      <c r="H33" s="685">
        <v>0</v>
      </c>
      <c r="I33" s="685">
        <v>0</v>
      </c>
      <c r="J33" s="685">
        <v>0</v>
      </c>
      <c r="K33" s="685">
        <v>0</v>
      </c>
      <c r="L33" s="685">
        <v>0</v>
      </c>
      <c r="M33" s="685">
        <v>0</v>
      </c>
      <c r="N33" s="685">
        <v>0</v>
      </c>
      <c r="O33" s="63">
        <v>8027</v>
      </c>
      <c r="Q33" s="679" t="s">
        <v>4325</v>
      </c>
    </row>
    <row r="34" spans="1:17" ht="15.75" thickBot="1">
      <c r="B34" s="679"/>
      <c r="C34" s="55" t="s">
        <v>15905</v>
      </c>
      <c r="D34" s="685">
        <v>0</v>
      </c>
      <c r="E34" s="685">
        <v>0</v>
      </c>
      <c r="F34" s="685">
        <v>0</v>
      </c>
      <c r="G34" s="685">
        <v>0</v>
      </c>
      <c r="H34" s="685">
        <v>0</v>
      </c>
      <c r="I34" s="685">
        <v>0</v>
      </c>
      <c r="J34" s="685">
        <v>0</v>
      </c>
      <c r="K34" s="685">
        <v>0</v>
      </c>
      <c r="L34" s="685">
        <v>0</v>
      </c>
      <c r="M34" s="685">
        <v>0</v>
      </c>
      <c r="N34" s="685">
        <v>0</v>
      </c>
      <c r="O34" s="63">
        <v>0</v>
      </c>
      <c r="Q34" s="679" t="s">
        <v>4328</v>
      </c>
    </row>
    <row r="35" spans="1:17" ht="15.75" thickBot="1">
      <c r="B35" s="679"/>
      <c r="C35" s="55" t="s">
        <v>15905</v>
      </c>
      <c r="D35" s="693">
        <f>D33+D34</f>
        <v>0</v>
      </c>
      <c r="E35" s="693">
        <f>E33+E34</f>
        <v>0</v>
      </c>
      <c r="F35" s="693">
        <f>F33+F34</f>
        <v>0</v>
      </c>
      <c r="G35" s="693">
        <f>G33+G34</f>
        <v>0</v>
      </c>
      <c r="H35" s="693">
        <f>H33+H34</f>
        <v>0</v>
      </c>
      <c r="I35" s="693">
        <f t="shared" ref="I35:N35" si="14">I33+I34</f>
        <v>0</v>
      </c>
      <c r="J35" s="693">
        <f t="shared" si="14"/>
        <v>0</v>
      </c>
      <c r="K35" s="693">
        <f t="shared" si="14"/>
        <v>0</v>
      </c>
      <c r="L35" s="693">
        <f t="shared" si="14"/>
        <v>0</v>
      </c>
      <c r="M35" s="693">
        <f t="shared" si="14"/>
        <v>0</v>
      </c>
      <c r="N35" s="693">
        <f t="shared" si="14"/>
        <v>0</v>
      </c>
      <c r="O35" s="693">
        <f>O33+O34</f>
        <v>8027</v>
      </c>
      <c r="Q35" s="679"/>
    </row>
    <row r="36" spans="1:17">
      <c r="A36" s="679" t="s">
        <v>5428</v>
      </c>
      <c r="B36" s="679" t="s">
        <v>15906</v>
      </c>
      <c r="C36" s="55" t="s">
        <v>15907</v>
      </c>
      <c r="D36" s="685">
        <v>0</v>
      </c>
      <c r="E36" s="685">
        <v>0</v>
      </c>
      <c r="F36" s="685">
        <v>0</v>
      </c>
      <c r="G36" s="685">
        <v>0</v>
      </c>
      <c r="H36" s="685">
        <v>0</v>
      </c>
      <c r="I36" s="685">
        <v>0</v>
      </c>
      <c r="J36" s="685">
        <v>0</v>
      </c>
      <c r="K36" s="685">
        <v>0</v>
      </c>
      <c r="L36" s="685">
        <v>0</v>
      </c>
      <c r="M36" s="685">
        <v>0</v>
      </c>
      <c r="N36" s="685">
        <v>0</v>
      </c>
      <c r="O36" s="63">
        <v>7820</v>
      </c>
      <c r="Q36" s="679" t="s">
        <v>4325</v>
      </c>
    </row>
    <row r="37" spans="1:17" ht="15.75" thickBot="1">
      <c r="B37" s="679"/>
      <c r="C37" s="55" t="s">
        <v>15907</v>
      </c>
      <c r="D37" s="685">
        <v>0</v>
      </c>
      <c r="E37" s="685">
        <v>0</v>
      </c>
      <c r="F37" s="685">
        <v>0</v>
      </c>
      <c r="G37" s="685">
        <v>0</v>
      </c>
      <c r="H37" s="685">
        <v>0</v>
      </c>
      <c r="I37" s="685">
        <v>0</v>
      </c>
      <c r="J37" s="685">
        <v>0</v>
      </c>
      <c r="K37" s="685">
        <v>0</v>
      </c>
      <c r="L37" s="685">
        <v>0</v>
      </c>
      <c r="M37" s="685">
        <v>0</v>
      </c>
      <c r="N37" s="685">
        <v>0</v>
      </c>
      <c r="O37" s="63">
        <v>0</v>
      </c>
      <c r="Q37" s="679" t="s">
        <v>4328</v>
      </c>
    </row>
    <row r="38" spans="1:17" ht="15.75" thickBot="1">
      <c r="B38" s="679"/>
      <c r="C38" s="55" t="s">
        <v>15907</v>
      </c>
      <c r="D38" s="693">
        <f>D36+D37</f>
        <v>0</v>
      </c>
      <c r="E38" s="693">
        <f>E36+E37</f>
        <v>0</v>
      </c>
      <c r="F38" s="693">
        <f>F36+F37</f>
        <v>0</v>
      </c>
      <c r="G38" s="693">
        <f>G36+G37</f>
        <v>0</v>
      </c>
      <c r="H38" s="693">
        <f>H36+H37</f>
        <v>0</v>
      </c>
      <c r="I38" s="693">
        <f t="shared" ref="I38:N38" si="15">I36+I37</f>
        <v>0</v>
      </c>
      <c r="J38" s="693">
        <f t="shared" si="15"/>
        <v>0</v>
      </c>
      <c r="K38" s="693">
        <f t="shared" si="15"/>
        <v>0</v>
      </c>
      <c r="L38" s="693">
        <f t="shared" si="15"/>
        <v>0</v>
      </c>
      <c r="M38" s="693">
        <f t="shared" si="15"/>
        <v>0</v>
      </c>
      <c r="N38" s="693">
        <f t="shared" si="15"/>
        <v>0</v>
      </c>
      <c r="O38" s="693">
        <f>O36+O37</f>
        <v>7820</v>
      </c>
      <c r="Q38" s="679"/>
    </row>
    <row r="39" spans="1:17">
      <c r="A39" s="679" t="s">
        <v>5429</v>
      </c>
      <c r="B39" s="679" t="s">
        <v>15908</v>
      </c>
      <c r="C39" s="55" t="s">
        <v>15909</v>
      </c>
      <c r="D39" s="685">
        <v>0</v>
      </c>
      <c r="E39" s="685">
        <v>0</v>
      </c>
      <c r="F39" s="685">
        <v>0</v>
      </c>
      <c r="G39" s="685">
        <v>0</v>
      </c>
      <c r="H39" s="685">
        <v>0</v>
      </c>
      <c r="I39" s="685">
        <v>0</v>
      </c>
      <c r="J39" s="685">
        <v>0</v>
      </c>
      <c r="K39" s="685">
        <v>0</v>
      </c>
      <c r="L39" s="685">
        <v>0</v>
      </c>
      <c r="M39" s="685">
        <v>0</v>
      </c>
      <c r="N39" s="685">
        <v>0</v>
      </c>
      <c r="O39" s="63">
        <v>5027</v>
      </c>
      <c r="Q39" s="679" t="s">
        <v>4325</v>
      </c>
    </row>
    <row r="40" spans="1:17">
      <c r="A40" s="679" t="s">
        <v>5431</v>
      </c>
      <c r="B40" s="679" t="s">
        <v>15910</v>
      </c>
      <c r="C40" s="55" t="s">
        <v>15911</v>
      </c>
      <c r="D40" s="685">
        <v>0</v>
      </c>
      <c r="E40" s="685">
        <v>0</v>
      </c>
      <c r="F40" s="685">
        <v>0</v>
      </c>
      <c r="G40" s="685">
        <v>0</v>
      </c>
      <c r="H40" s="685">
        <v>0</v>
      </c>
      <c r="I40" s="685">
        <v>0</v>
      </c>
      <c r="J40" s="685">
        <v>0</v>
      </c>
      <c r="K40" s="685">
        <v>0</v>
      </c>
      <c r="L40" s="685">
        <v>0</v>
      </c>
      <c r="M40" s="685">
        <v>0</v>
      </c>
      <c r="N40" s="685">
        <v>0</v>
      </c>
      <c r="O40" s="63">
        <v>4649</v>
      </c>
      <c r="Q40" s="679" t="s">
        <v>4328</v>
      </c>
    </row>
    <row r="41" spans="1:17">
      <c r="A41" s="679" t="s">
        <v>5433</v>
      </c>
      <c r="B41" s="679" t="s">
        <v>5518</v>
      </c>
      <c r="C41" s="55" t="s">
        <v>15912</v>
      </c>
      <c r="D41" s="685">
        <v>0</v>
      </c>
      <c r="E41" s="685">
        <v>0</v>
      </c>
      <c r="F41" s="685">
        <v>0</v>
      </c>
      <c r="G41" s="685">
        <v>0</v>
      </c>
      <c r="H41" s="685">
        <v>0</v>
      </c>
      <c r="I41" s="685">
        <v>0</v>
      </c>
      <c r="J41" s="685">
        <v>0</v>
      </c>
      <c r="K41" s="685">
        <v>0</v>
      </c>
      <c r="L41" s="685">
        <v>0</v>
      </c>
      <c r="M41" s="685">
        <v>0</v>
      </c>
      <c r="N41" s="685">
        <v>0</v>
      </c>
      <c r="O41" s="63">
        <v>6657</v>
      </c>
      <c r="Q41" s="679" t="s">
        <v>4325</v>
      </c>
    </row>
    <row r="42" spans="1:17">
      <c r="A42" s="679" t="s">
        <v>5435</v>
      </c>
      <c r="B42" s="679" t="s">
        <v>5519</v>
      </c>
      <c r="C42" s="55" t="s">
        <v>15913</v>
      </c>
      <c r="D42" s="685">
        <v>0</v>
      </c>
      <c r="E42" s="685">
        <v>0</v>
      </c>
      <c r="F42" s="685">
        <v>0</v>
      </c>
      <c r="G42" s="685">
        <v>0</v>
      </c>
      <c r="H42" s="685">
        <v>0</v>
      </c>
      <c r="I42" s="685">
        <v>0</v>
      </c>
      <c r="J42" s="685">
        <v>0</v>
      </c>
      <c r="K42" s="685">
        <v>0</v>
      </c>
      <c r="L42" s="685">
        <v>0</v>
      </c>
      <c r="M42" s="685">
        <v>0</v>
      </c>
      <c r="N42" s="685">
        <v>0</v>
      </c>
      <c r="O42" s="63">
        <v>3335</v>
      </c>
      <c r="Q42" s="679" t="s">
        <v>4328</v>
      </c>
    </row>
    <row r="43" spans="1:17">
      <c r="A43" s="679">
        <v>17</v>
      </c>
      <c r="B43" s="679" t="s">
        <v>15914</v>
      </c>
      <c r="C43" s="55" t="s">
        <v>15915</v>
      </c>
      <c r="D43" s="685">
        <v>0</v>
      </c>
      <c r="E43" s="685">
        <v>0</v>
      </c>
      <c r="F43" s="685">
        <v>0</v>
      </c>
      <c r="G43" s="685">
        <v>0</v>
      </c>
      <c r="H43" s="685">
        <v>0</v>
      </c>
      <c r="I43" s="685">
        <v>0</v>
      </c>
      <c r="J43" s="685">
        <v>0</v>
      </c>
      <c r="K43" s="685">
        <v>0</v>
      </c>
      <c r="L43" s="685">
        <v>0</v>
      </c>
      <c r="M43" s="685">
        <v>0</v>
      </c>
      <c r="N43" s="685">
        <v>0</v>
      </c>
      <c r="O43" s="63">
        <v>4869</v>
      </c>
      <c r="Q43" s="679" t="s">
        <v>4325</v>
      </c>
    </row>
    <row r="44" spans="1:17">
      <c r="A44" s="679">
        <v>18</v>
      </c>
      <c r="B44" s="679" t="s">
        <v>15916</v>
      </c>
      <c r="C44" s="55" t="s">
        <v>15917</v>
      </c>
      <c r="D44" s="685">
        <v>0</v>
      </c>
      <c r="E44" s="685">
        <v>0</v>
      </c>
      <c r="F44" s="685">
        <v>0</v>
      </c>
      <c r="G44" s="685">
        <v>0</v>
      </c>
      <c r="H44" s="685">
        <v>0</v>
      </c>
      <c r="I44" s="685">
        <v>0</v>
      </c>
      <c r="J44" s="685">
        <v>0</v>
      </c>
      <c r="K44" s="685">
        <v>0</v>
      </c>
      <c r="L44" s="685">
        <v>0</v>
      </c>
      <c r="M44" s="685">
        <v>0</v>
      </c>
      <c r="N44" s="685">
        <v>0</v>
      </c>
      <c r="O44" s="63">
        <v>4884</v>
      </c>
      <c r="Q44" s="679" t="s">
        <v>4328</v>
      </c>
    </row>
    <row r="45" spans="1:17">
      <c r="A45" s="679" t="s">
        <v>5433</v>
      </c>
      <c r="B45" s="679" t="s">
        <v>15918</v>
      </c>
      <c r="C45" s="55" t="s">
        <v>15919</v>
      </c>
      <c r="D45" s="685">
        <v>0</v>
      </c>
      <c r="E45" s="685">
        <v>0</v>
      </c>
      <c r="F45" s="685">
        <v>0</v>
      </c>
      <c r="G45" s="685">
        <v>0</v>
      </c>
      <c r="H45" s="685">
        <v>0</v>
      </c>
      <c r="I45" s="685">
        <v>0</v>
      </c>
      <c r="J45" s="685">
        <v>0</v>
      </c>
      <c r="K45" s="685">
        <v>0</v>
      </c>
      <c r="L45" s="685">
        <v>0</v>
      </c>
      <c r="M45" s="685">
        <v>0</v>
      </c>
      <c r="N45" s="685">
        <v>0</v>
      </c>
      <c r="O45" s="63">
        <v>5990</v>
      </c>
      <c r="Q45" s="679" t="s">
        <v>4328</v>
      </c>
    </row>
    <row r="46" spans="1:17">
      <c r="A46" s="679" t="s">
        <v>5435</v>
      </c>
      <c r="B46" s="679" t="s">
        <v>15920</v>
      </c>
      <c r="C46" s="55" t="s">
        <v>15921</v>
      </c>
      <c r="D46" s="685">
        <v>0</v>
      </c>
      <c r="E46" s="685">
        <v>0</v>
      </c>
      <c r="F46" s="685">
        <v>0</v>
      </c>
      <c r="G46" s="685">
        <v>0</v>
      </c>
      <c r="H46" s="685">
        <v>0</v>
      </c>
      <c r="I46" s="685">
        <v>0</v>
      </c>
      <c r="J46" s="685">
        <v>0</v>
      </c>
      <c r="K46" s="685">
        <v>0</v>
      </c>
      <c r="L46" s="685">
        <v>0</v>
      </c>
      <c r="M46" s="685">
        <v>0</v>
      </c>
      <c r="N46" s="685">
        <v>0</v>
      </c>
      <c r="O46" s="63">
        <v>6152</v>
      </c>
      <c r="Q46" s="679" t="s">
        <v>4328</v>
      </c>
    </row>
    <row r="47" spans="1:17">
      <c r="A47" s="679" t="s">
        <v>5429</v>
      </c>
      <c r="B47" s="679" t="s">
        <v>15922</v>
      </c>
      <c r="C47" s="55" t="s">
        <v>15923</v>
      </c>
      <c r="D47" s="685">
        <v>0</v>
      </c>
      <c r="E47" s="685">
        <v>0</v>
      </c>
      <c r="F47" s="685">
        <v>0</v>
      </c>
      <c r="G47" s="685">
        <v>0</v>
      </c>
      <c r="H47" s="685">
        <v>0</v>
      </c>
      <c r="I47" s="685">
        <v>0</v>
      </c>
      <c r="J47" s="685">
        <v>0</v>
      </c>
      <c r="K47" s="685">
        <v>0</v>
      </c>
      <c r="L47" s="685">
        <v>0</v>
      </c>
      <c r="M47" s="685">
        <v>0</v>
      </c>
      <c r="N47" s="685">
        <v>0</v>
      </c>
      <c r="O47" s="63">
        <v>4938</v>
      </c>
      <c r="Q47" s="679" t="s">
        <v>4328</v>
      </c>
    </row>
    <row r="48" spans="1:17">
      <c r="A48" s="679"/>
      <c r="B48" s="679"/>
      <c r="C48" s="679"/>
      <c r="D48" s="681"/>
      <c r="E48" s="681"/>
      <c r="F48" s="681"/>
      <c r="G48" s="681"/>
      <c r="H48" s="681"/>
      <c r="I48" s="681"/>
      <c r="J48" s="681"/>
      <c r="K48" s="681"/>
      <c r="L48" s="681"/>
      <c r="Q48" s="679"/>
    </row>
    <row r="49" spans="1:1">
      <c r="A49" s="679" t="s">
        <v>1177</v>
      </c>
    </row>
    <row r="50" spans="1:1">
      <c r="A50" s="153" t="s">
        <v>15924</v>
      </c>
    </row>
    <row r="51" spans="1:1">
      <c r="A51" s="153" t="s">
        <v>1178</v>
      </c>
    </row>
    <row r="53" spans="1:1">
      <c r="A53" s="1008" t="s">
        <v>16023</v>
      </c>
    </row>
    <row r="54" spans="1:1">
      <c r="A54" s="167" t="s">
        <v>16085</v>
      </c>
    </row>
    <row r="55" spans="1:1">
      <c r="A55" s="167" t="s">
        <v>16025</v>
      </c>
    </row>
    <row r="56" spans="1:1">
      <c r="A56" s="167" t="s">
        <v>16099</v>
      </c>
    </row>
  </sheetData>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ignoredErrors>
    <ignoredError sqref="D4 E4 F4 G4 D5:D6 E5:E6 F5:F6 G5:G6 H4 H5:H6 I4:I6 J4:J6 K4:K6 L4:L6 D8:D10 E8:E10 F8:F10 G8:G10 H8:H10 I8:I10 J8:J10 K8:K10 L8:L10 D12:D19 E12:E19 F12:F19 G12:G19 H12:H19 I12:I19 J12:J19 K12:K19 L12:L19"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Q436"/>
  <sheetViews>
    <sheetView showGridLines="0" topLeftCell="A120" zoomScale="90" zoomScaleNormal="90" workbookViewId="0">
      <selection activeCell="A144" sqref="A144:A145"/>
    </sheetView>
  </sheetViews>
  <sheetFormatPr defaultColWidth="12.5703125" defaultRowHeight="15"/>
  <cols>
    <col min="1" max="1" width="5" style="65" customWidth="1"/>
    <col min="2" max="2" width="43.5703125" style="65" customWidth="1"/>
    <col min="3" max="3" width="11.28515625" style="65" customWidth="1"/>
    <col min="4" max="15" width="10" style="65" customWidth="1"/>
    <col min="16" max="16" width="2.28515625" style="65" customWidth="1"/>
    <col min="17" max="17" width="33.140625" style="65" bestFit="1" customWidth="1"/>
    <col min="18" max="16384" width="12.5703125" style="65"/>
  </cols>
  <sheetData>
    <row r="1" spans="1:17" s="39" customFormat="1">
      <c r="A1" s="38" t="s">
        <v>6924</v>
      </c>
      <c r="D1" s="40">
        <v>2010</v>
      </c>
      <c r="E1" s="40">
        <v>2011</v>
      </c>
      <c r="F1" s="40">
        <v>2012</v>
      </c>
      <c r="G1" s="40">
        <v>2013</v>
      </c>
      <c r="H1" s="40">
        <v>2014</v>
      </c>
      <c r="I1" s="40">
        <v>2015</v>
      </c>
      <c r="J1" s="40">
        <v>2016</v>
      </c>
      <c r="K1" s="40">
        <v>2017</v>
      </c>
      <c r="L1" s="40">
        <v>2018</v>
      </c>
      <c r="M1" s="40">
        <v>2019</v>
      </c>
      <c r="N1" s="40">
        <v>2020</v>
      </c>
      <c r="O1" s="971" t="s">
        <v>14823</v>
      </c>
    </row>
    <row r="2" spans="1:17" s="39" customFormat="1"/>
    <row r="3" spans="1:17" s="39" customFormat="1">
      <c r="A3" s="41" t="s">
        <v>1192</v>
      </c>
      <c r="C3" s="41"/>
      <c r="D3" s="42">
        <f t="shared" ref="D3:I3" si="0">SUM(D7:D17)</f>
        <v>994119</v>
      </c>
      <c r="E3" s="42">
        <f t="shared" si="0"/>
        <v>1003482</v>
      </c>
      <c r="F3" s="42">
        <f t="shared" si="0"/>
        <v>1009878</v>
      </c>
      <c r="G3" s="42">
        <f t="shared" si="0"/>
        <v>1017084</v>
      </c>
      <c r="H3" s="42">
        <f t="shared" si="0"/>
        <v>1022701</v>
      </c>
      <c r="I3" s="42">
        <f t="shared" si="0"/>
        <v>1008191</v>
      </c>
      <c r="J3" s="42">
        <f t="shared" ref="J3:O3" si="1">SUM(J7:J17)</f>
        <v>990435</v>
      </c>
      <c r="K3" s="42">
        <f t="shared" si="1"/>
        <v>1015196</v>
      </c>
      <c r="L3" s="42">
        <f t="shared" si="1"/>
        <v>1021243</v>
      </c>
      <c r="M3" s="42">
        <f t="shared" si="1"/>
        <v>1015951</v>
      </c>
      <c r="N3" s="42">
        <f t="shared" si="1"/>
        <v>1034776</v>
      </c>
      <c r="O3" s="42">
        <f t="shared" si="1"/>
        <v>1046297</v>
      </c>
    </row>
    <row r="4" spans="1:17" s="39" customFormat="1" ht="15.75" thickBot="1">
      <c r="A4" s="41" t="s">
        <v>1193</v>
      </c>
      <c r="C4" s="41"/>
      <c r="D4" s="43">
        <f t="shared" ref="D4:I4" si="2">D81</f>
        <v>166253</v>
      </c>
      <c r="E4" s="43">
        <f t="shared" si="2"/>
        <v>165725</v>
      </c>
      <c r="F4" s="43">
        <f t="shared" si="2"/>
        <v>164387</v>
      </c>
      <c r="G4" s="43">
        <f t="shared" si="2"/>
        <v>162415</v>
      </c>
      <c r="H4" s="43">
        <f t="shared" si="2"/>
        <v>164847</v>
      </c>
      <c r="I4" s="43">
        <f t="shared" si="2"/>
        <v>153712</v>
      </c>
      <c r="J4" s="43">
        <f t="shared" ref="J4:O4" si="3">J81</f>
        <v>148179</v>
      </c>
      <c r="K4" s="43">
        <f t="shared" si="3"/>
        <v>150842</v>
      </c>
      <c r="L4" s="43">
        <f t="shared" si="3"/>
        <v>152503</v>
      </c>
      <c r="M4" s="43">
        <f t="shared" si="3"/>
        <v>150628</v>
      </c>
      <c r="N4" s="43">
        <f t="shared" si="3"/>
        <v>160807</v>
      </c>
      <c r="O4" s="43">
        <f t="shared" si="3"/>
        <v>160727</v>
      </c>
    </row>
    <row r="5" spans="1:17" s="39" customFormat="1" ht="15.75" thickBot="1">
      <c r="D5" s="43">
        <f t="shared" ref="D5:I5" si="4">SUM(D3:D4)</f>
        <v>1160372</v>
      </c>
      <c r="E5" s="43">
        <f t="shared" si="4"/>
        <v>1169207</v>
      </c>
      <c r="F5" s="43">
        <f t="shared" si="4"/>
        <v>1174265</v>
      </c>
      <c r="G5" s="43">
        <f t="shared" si="4"/>
        <v>1179499</v>
      </c>
      <c r="H5" s="43">
        <f t="shared" si="4"/>
        <v>1187548</v>
      </c>
      <c r="I5" s="43">
        <f t="shared" si="4"/>
        <v>1161903</v>
      </c>
      <c r="J5" s="43">
        <f t="shared" ref="J5:O5" si="5">SUM(J3:J4)</f>
        <v>1138614</v>
      </c>
      <c r="K5" s="43">
        <f t="shared" si="5"/>
        <v>1166038</v>
      </c>
      <c r="L5" s="43">
        <f t="shared" si="5"/>
        <v>1173746</v>
      </c>
      <c r="M5" s="43">
        <f t="shared" si="5"/>
        <v>1166579</v>
      </c>
      <c r="N5" s="43">
        <f t="shared" si="5"/>
        <v>1195583</v>
      </c>
      <c r="O5" s="43">
        <f t="shared" si="5"/>
        <v>1207024</v>
      </c>
    </row>
    <row r="6" spans="1:17" s="39" customFormat="1">
      <c r="D6" s="44"/>
      <c r="E6" s="44"/>
      <c r="F6" s="44"/>
      <c r="G6" s="44"/>
      <c r="H6" s="44"/>
      <c r="I6" s="44"/>
      <c r="J6" s="44"/>
      <c r="K6" s="44"/>
      <c r="L6" s="44"/>
      <c r="M6" s="44"/>
      <c r="N6" s="44"/>
      <c r="O6" s="44"/>
    </row>
    <row r="7" spans="1:17" s="39" customFormat="1">
      <c r="A7" s="41" t="s">
        <v>1194</v>
      </c>
      <c r="C7" s="41"/>
      <c r="D7" s="42">
        <f t="shared" ref="D7:I7" si="6">D108</f>
        <v>121140</v>
      </c>
      <c r="E7" s="42">
        <f t="shared" si="6"/>
        <v>122037</v>
      </c>
      <c r="F7" s="42">
        <f t="shared" si="6"/>
        <v>122819</v>
      </c>
      <c r="G7" s="42">
        <f t="shared" si="6"/>
        <v>125592</v>
      </c>
      <c r="H7" s="42">
        <f t="shared" si="6"/>
        <v>129203</v>
      </c>
      <c r="I7" s="42">
        <f t="shared" si="6"/>
        <v>127353</v>
      </c>
      <c r="J7" s="42">
        <f t="shared" ref="J7:O7" si="7">J108</f>
        <v>124473</v>
      </c>
      <c r="K7" s="42">
        <f t="shared" si="7"/>
        <v>128131</v>
      </c>
      <c r="L7" s="42">
        <f t="shared" si="7"/>
        <v>129390</v>
      </c>
      <c r="M7" s="42">
        <f t="shared" si="7"/>
        <v>128236</v>
      </c>
      <c r="N7" s="42">
        <f t="shared" si="7"/>
        <v>132361</v>
      </c>
      <c r="O7" s="42">
        <f t="shared" si="7"/>
        <v>132372</v>
      </c>
      <c r="Q7" s="45"/>
    </row>
    <row r="8" spans="1:17" s="39" customFormat="1">
      <c r="A8" s="41" t="s">
        <v>2574</v>
      </c>
      <c r="C8" s="41"/>
      <c r="D8" s="42">
        <f t="shared" ref="D8:I8" si="8">D149</f>
        <v>88153</v>
      </c>
      <c r="E8" s="42">
        <f t="shared" si="8"/>
        <v>89153</v>
      </c>
      <c r="F8" s="42">
        <f t="shared" si="8"/>
        <v>89448</v>
      </c>
      <c r="G8" s="42">
        <f t="shared" si="8"/>
        <v>89482</v>
      </c>
      <c r="H8" s="42">
        <f t="shared" si="8"/>
        <v>87332</v>
      </c>
      <c r="I8" s="42">
        <f t="shared" si="8"/>
        <v>87590</v>
      </c>
      <c r="J8" s="42">
        <f t="shared" ref="J8:O8" si="9">J149</f>
        <v>86488</v>
      </c>
      <c r="K8" s="42">
        <f t="shared" si="9"/>
        <v>89919</v>
      </c>
      <c r="L8" s="42">
        <f t="shared" si="9"/>
        <v>90765</v>
      </c>
      <c r="M8" s="42">
        <f t="shared" si="9"/>
        <v>90743</v>
      </c>
      <c r="N8" s="42">
        <f t="shared" si="9"/>
        <v>91795</v>
      </c>
      <c r="O8" s="42">
        <f t="shared" si="9"/>
        <v>94768</v>
      </c>
      <c r="Q8" s="45"/>
    </row>
    <row r="9" spans="1:17" s="39" customFormat="1">
      <c r="A9" s="41" t="s">
        <v>2575</v>
      </c>
      <c r="C9" s="41"/>
      <c r="D9" s="42">
        <f t="shared" ref="D9:I9" si="10">D190</f>
        <v>93921</v>
      </c>
      <c r="E9" s="42">
        <f t="shared" si="10"/>
        <v>94971</v>
      </c>
      <c r="F9" s="42">
        <f t="shared" si="10"/>
        <v>96084</v>
      </c>
      <c r="G9" s="42">
        <f t="shared" si="10"/>
        <v>96605</v>
      </c>
      <c r="H9" s="42">
        <f t="shared" si="10"/>
        <v>97603</v>
      </c>
      <c r="I9" s="42">
        <f t="shared" si="10"/>
        <v>95729</v>
      </c>
      <c r="J9" s="42">
        <f t="shared" ref="J9:O9" si="11">J190</f>
        <v>94165</v>
      </c>
      <c r="K9" s="42">
        <f t="shared" si="11"/>
        <v>95523</v>
      </c>
      <c r="L9" s="42">
        <f t="shared" si="11"/>
        <v>97119</v>
      </c>
      <c r="M9" s="42">
        <f t="shared" si="11"/>
        <v>96808</v>
      </c>
      <c r="N9" s="42">
        <f t="shared" si="11"/>
        <v>98502</v>
      </c>
      <c r="O9" s="42">
        <f t="shared" si="11"/>
        <v>101204</v>
      </c>
      <c r="Q9" s="45"/>
    </row>
    <row r="10" spans="1:17" s="39" customFormat="1">
      <c r="A10" s="41" t="s">
        <v>2576</v>
      </c>
      <c r="C10" s="41"/>
      <c r="D10" s="42">
        <f t="shared" ref="D10:I10" si="12">D214</f>
        <v>87507</v>
      </c>
      <c r="E10" s="42">
        <f t="shared" si="12"/>
        <v>88149</v>
      </c>
      <c r="F10" s="42">
        <f t="shared" si="12"/>
        <v>88814</v>
      </c>
      <c r="G10" s="42">
        <f t="shared" si="12"/>
        <v>89310</v>
      </c>
      <c r="H10" s="42">
        <f t="shared" si="12"/>
        <v>89834</v>
      </c>
      <c r="I10" s="42">
        <f t="shared" si="12"/>
        <v>88502</v>
      </c>
      <c r="J10" s="42">
        <f t="shared" ref="J10:O10" si="13">J214</f>
        <v>87138</v>
      </c>
      <c r="K10" s="42">
        <f t="shared" si="13"/>
        <v>88532</v>
      </c>
      <c r="L10" s="42">
        <f t="shared" si="13"/>
        <v>89417</v>
      </c>
      <c r="M10" s="42">
        <f t="shared" si="13"/>
        <v>89310</v>
      </c>
      <c r="N10" s="42">
        <f t="shared" si="13"/>
        <v>90426</v>
      </c>
      <c r="O10" s="42">
        <f t="shared" si="13"/>
        <v>90347</v>
      </c>
      <c r="Q10" s="45"/>
    </row>
    <row r="11" spans="1:17" s="39" customFormat="1">
      <c r="A11" s="41" t="s">
        <v>2577</v>
      </c>
      <c r="C11" s="41"/>
      <c r="D11" s="42">
        <f t="shared" ref="D11:I11" si="14">D239</f>
        <v>61202</v>
      </c>
      <c r="E11" s="42">
        <f t="shared" si="14"/>
        <v>61153</v>
      </c>
      <c r="F11" s="42">
        <f t="shared" si="14"/>
        <v>61856</v>
      </c>
      <c r="G11" s="42">
        <f t="shared" si="14"/>
        <v>62526</v>
      </c>
      <c r="H11" s="42">
        <f t="shared" si="14"/>
        <v>62965</v>
      </c>
      <c r="I11" s="42">
        <f t="shared" si="14"/>
        <v>61777</v>
      </c>
      <c r="J11" s="42">
        <f t="shared" ref="J11:O11" si="15">J239</f>
        <v>60943</v>
      </c>
      <c r="K11" s="42">
        <f t="shared" si="15"/>
        <v>62217</v>
      </c>
      <c r="L11" s="42">
        <f t="shared" si="15"/>
        <v>62155</v>
      </c>
      <c r="M11" s="42">
        <f t="shared" si="15"/>
        <v>61140</v>
      </c>
      <c r="N11" s="42">
        <f t="shared" si="15"/>
        <v>62564</v>
      </c>
      <c r="O11" s="42">
        <f t="shared" si="15"/>
        <v>62231</v>
      </c>
      <c r="Q11" s="45"/>
    </row>
    <row r="12" spans="1:17" s="39" customFormat="1">
      <c r="A12" s="41" t="s">
        <v>2578</v>
      </c>
      <c r="C12" s="41"/>
      <c r="D12" s="42">
        <f t="shared" ref="D12:I12" si="16">D265</f>
        <v>67750</v>
      </c>
      <c r="E12" s="42">
        <f t="shared" si="16"/>
        <v>68308</v>
      </c>
      <c r="F12" s="42">
        <f t="shared" si="16"/>
        <v>69160</v>
      </c>
      <c r="G12" s="42">
        <f t="shared" si="16"/>
        <v>69781</v>
      </c>
      <c r="H12" s="42">
        <f t="shared" si="16"/>
        <v>69049</v>
      </c>
      <c r="I12" s="42">
        <f t="shared" si="16"/>
        <v>69113</v>
      </c>
      <c r="J12" s="42">
        <f t="shared" ref="J12:O12" si="17">J265</f>
        <v>67763</v>
      </c>
      <c r="K12" s="42">
        <f t="shared" si="17"/>
        <v>69456</v>
      </c>
      <c r="L12" s="42">
        <f t="shared" si="17"/>
        <v>70392</v>
      </c>
      <c r="M12" s="42">
        <f t="shared" si="17"/>
        <v>71733</v>
      </c>
      <c r="N12" s="42">
        <f t="shared" si="17"/>
        <v>73425</v>
      </c>
      <c r="O12" s="42">
        <f t="shared" si="17"/>
        <v>71294</v>
      </c>
      <c r="Q12" s="45"/>
    </row>
    <row r="13" spans="1:17" s="39" customFormat="1">
      <c r="A13" s="41" t="s">
        <v>2579</v>
      </c>
      <c r="C13" s="41"/>
      <c r="D13" s="42">
        <f t="shared" ref="D13:I13" si="18">D288</f>
        <v>92494</v>
      </c>
      <c r="E13" s="42">
        <f t="shared" si="18"/>
        <v>93260</v>
      </c>
      <c r="F13" s="42">
        <f t="shared" si="18"/>
        <v>93423</v>
      </c>
      <c r="G13" s="42">
        <f t="shared" si="18"/>
        <v>94029</v>
      </c>
      <c r="H13" s="42">
        <f t="shared" si="18"/>
        <v>94362</v>
      </c>
      <c r="I13" s="42">
        <f t="shared" si="18"/>
        <v>93180</v>
      </c>
      <c r="J13" s="42">
        <f t="shared" ref="J13:O13" si="19">J288</f>
        <v>92313</v>
      </c>
      <c r="K13" s="42">
        <f t="shared" si="19"/>
        <v>94390</v>
      </c>
      <c r="L13" s="42">
        <f t="shared" si="19"/>
        <v>95026</v>
      </c>
      <c r="M13" s="42">
        <f t="shared" si="19"/>
        <v>93775</v>
      </c>
      <c r="N13" s="42">
        <f t="shared" si="19"/>
        <v>94409</v>
      </c>
      <c r="O13" s="42">
        <f t="shared" si="19"/>
        <v>96020</v>
      </c>
      <c r="Q13" s="45"/>
    </row>
    <row r="14" spans="1:17" s="39" customFormat="1">
      <c r="A14" s="41" t="s">
        <v>2570</v>
      </c>
      <c r="C14" s="41"/>
      <c r="D14" s="42">
        <f t="shared" ref="D14:I14" si="20">D312</f>
        <v>141194</v>
      </c>
      <c r="E14" s="42">
        <f t="shared" si="20"/>
        <v>142529</v>
      </c>
      <c r="F14" s="42">
        <f t="shared" si="20"/>
        <v>142229</v>
      </c>
      <c r="G14" s="42">
        <f t="shared" si="20"/>
        <v>142509</v>
      </c>
      <c r="H14" s="42">
        <f t="shared" si="20"/>
        <v>142854</v>
      </c>
      <c r="I14" s="42">
        <f t="shared" si="20"/>
        <v>140768</v>
      </c>
      <c r="J14" s="42">
        <f t="shared" ref="J14:O14" si="21">J312</f>
        <v>137973</v>
      </c>
      <c r="K14" s="42">
        <f t="shared" si="21"/>
        <v>140440</v>
      </c>
      <c r="L14" s="42">
        <f t="shared" si="21"/>
        <v>140815</v>
      </c>
      <c r="M14" s="42">
        <f t="shared" si="21"/>
        <v>140932</v>
      </c>
      <c r="N14" s="42">
        <f t="shared" si="21"/>
        <v>143821</v>
      </c>
      <c r="O14" s="42">
        <f t="shared" si="21"/>
        <v>144832</v>
      </c>
      <c r="Q14" s="45"/>
    </row>
    <row r="15" spans="1:17" s="39" customFormat="1">
      <c r="A15" s="41" t="s">
        <v>2571</v>
      </c>
      <c r="C15" s="41"/>
      <c r="D15" s="42">
        <f t="shared" ref="D15:I15" si="22">D357</f>
        <v>63054</v>
      </c>
      <c r="E15" s="42">
        <f t="shared" si="22"/>
        <v>64410</v>
      </c>
      <c r="F15" s="42">
        <f t="shared" si="22"/>
        <v>64751</v>
      </c>
      <c r="G15" s="42">
        <f t="shared" si="22"/>
        <v>64847</v>
      </c>
      <c r="H15" s="42">
        <f t="shared" si="22"/>
        <v>65082</v>
      </c>
      <c r="I15" s="42">
        <f t="shared" si="22"/>
        <v>63659</v>
      </c>
      <c r="J15" s="42">
        <f t="shared" ref="J15:O15" si="23">J357</f>
        <v>62487</v>
      </c>
      <c r="K15" s="42">
        <f t="shared" si="23"/>
        <v>65196</v>
      </c>
      <c r="L15" s="42">
        <f t="shared" si="23"/>
        <v>64491</v>
      </c>
      <c r="M15" s="42">
        <f t="shared" si="23"/>
        <v>62833</v>
      </c>
      <c r="N15" s="42">
        <f t="shared" si="23"/>
        <v>62433</v>
      </c>
      <c r="O15" s="42">
        <f t="shared" si="23"/>
        <v>64309</v>
      </c>
      <c r="Q15" s="45"/>
    </row>
    <row r="16" spans="1:17" s="39" customFormat="1">
      <c r="A16" s="41" t="s">
        <v>2572</v>
      </c>
      <c r="C16" s="41"/>
      <c r="D16" s="42">
        <f t="shared" ref="D16:I16" si="24">D379</f>
        <v>89524</v>
      </c>
      <c r="E16" s="42">
        <f t="shared" si="24"/>
        <v>89938</v>
      </c>
      <c r="F16" s="42">
        <f t="shared" si="24"/>
        <v>90838</v>
      </c>
      <c r="G16" s="42">
        <f t="shared" si="24"/>
        <v>91291</v>
      </c>
      <c r="H16" s="42">
        <f t="shared" si="24"/>
        <v>92465</v>
      </c>
      <c r="I16" s="42">
        <f t="shared" si="24"/>
        <v>91017</v>
      </c>
      <c r="J16" s="42">
        <f t="shared" ref="J16:O16" si="25">J379</f>
        <v>90897</v>
      </c>
      <c r="K16" s="42">
        <f t="shared" si="25"/>
        <v>93863</v>
      </c>
      <c r="L16" s="42">
        <f t="shared" si="25"/>
        <v>93794</v>
      </c>
      <c r="M16" s="42">
        <f t="shared" si="25"/>
        <v>92832</v>
      </c>
      <c r="N16" s="42">
        <f t="shared" si="25"/>
        <v>96419</v>
      </c>
      <c r="O16" s="42">
        <f t="shared" si="25"/>
        <v>96425</v>
      </c>
      <c r="Q16" s="45"/>
    </row>
    <row r="17" spans="1:17" s="39" customFormat="1">
      <c r="A17" s="41" t="s">
        <v>2573</v>
      </c>
      <c r="C17" s="41"/>
      <c r="D17" s="42">
        <f t="shared" ref="D17:I17" si="26">D411</f>
        <v>88180</v>
      </c>
      <c r="E17" s="42">
        <f t="shared" si="26"/>
        <v>89574</v>
      </c>
      <c r="F17" s="42">
        <f t="shared" si="26"/>
        <v>90456</v>
      </c>
      <c r="G17" s="42">
        <f t="shared" si="26"/>
        <v>91112</v>
      </c>
      <c r="H17" s="42">
        <f t="shared" si="26"/>
        <v>91952</v>
      </c>
      <c r="I17" s="42">
        <f t="shared" si="26"/>
        <v>89503</v>
      </c>
      <c r="J17" s="42">
        <f t="shared" ref="J17:O17" si="27">J411</f>
        <v>85795</v>
      </c>
      <c r="K17" s="42">
        <f t="shared" si="27"/>
        <v>87529</v>
      </c>
      <c r="L17" s="42">
        <f t="shared" si="27"/>
        <v>87879</v>
      </c>
      <c r="M17" s="42">
        <f t="shared" si="27"/>
        <v>87609</v>
      </c>
      <c r="N17" s="42">
        <f t="shared" si="27"/>
        <v>88621</v>
      </c>
      <c r="O17" s="42">
        <f t="shared" si="27"/>
        <v>92495</v>
      </c>
      <c r="Q17" s="45"/>
    </row>
    <row r="18" spans="1:17" s="39" customFormat="1"/>
    <row r="19" spans="1:17" s="39" customFormat="1">
      <c r="A19" s="39" t="s">
        <v>9508</v>
      </c>
      <c r="D19" s="44">
        <f t="shared" ref="D19:I19" si="28">D3/13</f>
        <v>76470.692307692312</v>
      </c>
      <c r="E19" s="44">
        <f t="shared" si="28"/>
        <v>77190.923076923078</v>
      </c>
      <c r="F19" s="44">
        <f t="shared" si="28"/>
        <v>77682.923076923078</v>
      </c>
      <c r="G19" s="44">
        <f t="shared" si="28"/>
        <v>78237.230769230766</v>
      </c>
      <c r="H19" s="44">
        <f t="shared" si="28"/>
        <v>78669.307692307688</v>
      </c>
      <c r="I19" s="44">
        <f t="shared" si="28"/>
        <v>77553.153846153844</v>
      </c>
      <c r="J19" s="44">
        <f t="shared" ref="J19:O19" si="29">J3/13</f>
        <v>76187.307692307688</v>
      </c>
      <c r="K19" s="44">
        <f t="shared" si="29"/>
        <v>78092</v>
      </c>
      <c r="L19" s="44">
        <f t="shared" si="29"/>
        <v>78557.153846153844</v>
      </c>
      <c r="M19" s="44">
        <f t="shared" si="29"/>
        <v>78150.076923076922</v>
      </c>
      <c r="N19" s="44">
        <f t="shared" si="29"/>
        <v>79598.153846153844</v>
      </c>
      <c r="O19" s="44">
        <f t="shared" si="29"/>
        <v>80484.38461538461</v>
      </c>
    </row>
    <row r="20" spans="1:17" s="39" customFormat="1">
      <c r="A20" s="41" t="s">
        <v>4011</v>
      </c>
      <c r="D20" s="42">
        <f t="shared" ref="D20:I20" si="30">D4/2</f>
        <v>83126.5</v>
      </c>
      <c r="E20" s="42">
        <f t="shared" si="30"/>
        <v>82862.5</v>
      </c>
      <c r="F20" s="42">
        <f t="shared" si="30"/>
        <v>82193.5</v>
      </c>
      <c r="G20" s="42">
        <f t="shared" si="30"/>
        <v>81207.5</v>
      </c>
      <c r="H20" s="42">
        <f t="shared" si="30"/>
        <v>82423.5</v>
      </c>
      <c r="I20" s="42">
        <f t="shared" si="30"/>
        <v>76856</v>
      </c>
      <c r="J20" s="42">
        <f t="shared" ref="J20:O20" si="31">J4/2</f>
        <v>74089.5</v>
      </c>
      <c r="K20" s="42">
        <f t="shared" si="31"/>
        <v>75421</v>
      </c>
      <c r="L20" s="42">
        <f t="shared" si="31"/>
        <v>76251.5</v>
      </c>
      <c r="M20" s="42">
        <f t="shared" si="31"/>
        <v>75314</v>
      </c>
      <c r="N20" s="42">
        <f t="shared" si="31"/>
        <v>80403.5</v>
      </c>
      <c r="O20" s="42">
        <f t="shared" si="31"/>
        <v>80363.5</v>
      </c>
    </row>
    <row r="21" spans="1:17" s="39" customFormat="1">
      <c r="A21" s="41" t="s">
        <v>9509</v>
      </c>
      <c r="D21" s="42">
        <f t="shared" ref="D21:I21" si="32">D5/15</f>
        <v>77358.133333333331</v>
      </c>
      <c r="E21" s="42">
        <f t="shared" si="32"/>
        <v>77947.133333333331</v>
      </c>
      <c r="F21" s="42">
        <f t="shared" si="32"/>
        <v>78284.333333333328</v>
      </c>
      <c r="G21" s="42">
        <f t="shared" si="32"/>
        <v>78633.266666666663</v>
      </c>
      <c r="H21" s="42">
        <f t="shared" si="32"/>
        <v>79169.866666666669</v>
      </c>
      <c r="I21" s="42">
        <f t="shared" si="32"/>
        <v>77460.2</v>
      </c>
      <c r="J21" s="42">
        <f t="shared" ref="J21:O21" si="33">J5/15</f>
        <v>75907.600000000006</v>
      </c>
      <c r="K21" s="42">
        <f t="shared" si="33"/>
        <v>77735.866666666669</v>
      </c>
      <c r="L21" s="42">
        <f t="shared" si="33"/>
        <v>78249.733333333337</v>
      </c>
      <c r="M21" s="42">
        <f t="shared" si="33"/>
        <v>77771.933333333334</v>
      </c>
      <c r="N21" s="42">
        <f t="shared" si="33"/>
        <v>79705.53333333334</v>
      </c>
      <c r="O21" s="42">
        <f t="shared" si="33"/>
        <v>80468.266666666663</v>
      </c>
    </row>
    <row r="22" spans="1:17" s="39" customFormat="1">
      <c r="A22" s="41"/>
      <c r="D22" s="46"/>
      <c r="E22" s="46"/>
      <c r="F22" s="46"/>
      <c r="G22" s="46"/>
      <c r="H22" s="46"/>
      <c r="I22" s="46"/>
      <c r="J22" s="46"/>
      <c r="K22" s="46"/>
      <c r="L22" s="46"/>
      <c r="M22" s="46"/>
      <c r="N22" s="46"/>
      <c r="O22" s="46"/>
    </row>
    <row r="23" spans="1:17" s="39" customFormat="1">
      <c r="A23" s="41" t="s">
        <v>5553</v>
      </c>
      <c r="D23" s="42">
        <f t="shared" ref="D23:I23" si="34">D280</f>
        <v>7542</v>
      </c>
      <c r="E23" s="42">
        <f t="shared" si="34"/>
        <v>7498</v>
      </c>
      <c r="F23" s="42">
        <f t="shared" si="34"/>
        <v>7574</v>
      </c>
      <c r="G23" s="42">
        <f t="shared" si="34"/>
        <v>7556</v>
      </c>
      <c r="H23" s="42">
        <f t="shared" si="34"/>
        <v>7558</v>
      </c>
      <c r="I23" s="42">
        <f t="shared" si="34"/>
        <v>7633</v>
      </c>
      <c r="J23" s="42">
        <f t="shared" ref="J23:O23" si="35">J280</f>
        <v>7416</v>
      </c>
      <c r="K23" s="42">
        <f t="shared" si="35"/>
        <v>7573</v>
      </c>
      <c r="L23" s="42">
        <f t="shared" si="35"/>
        <v>7647</v>
      </c>
      <c r="M23" s="42">
        <f t="shared" si="35"/>
        <v>7734</v>
      </c>
      <c r="N23" s="42">
        <f t="shared" si="35"/>
        <v>7965</v>
      </c>
      <c r="O23" s="42">
        <f t="shared" si="35"/>
        <v>7688</v>
      </c>
      <c r="Q23" s="41" t="s">
        <v>5554</v>
      </c>
    </row>
    <row r="24" spans="1:17" s="39" customFormat="1" ht="15.75" thickBot="1">
      <c r="D24" s="43">
        <f t="shared" ref="D24:I24" si="36">D372</f>
        <v>63054</v>
      </c>
      <c r="E24" s="43">
        <f t="shared" si="36"/>
        <v>64410</v>
      </c>
      <c r="F24" s="43">
        <f t="shared" si="36"/>
        <v>64751</v>
      </c>
      <c r="G24" s="43">
        <f t="shared" si="36"/>
        <v>64847</v>
      </c>
      <c r="H24" s="43">
        <f t="shared" si="36"/>
        <v>65082</v>
      </c>
      <c r="I24" s="43">
        <f t="shared" si="36"/>
        <v>63659</v>
      </c>
      <c r="J24" s="43">
        <f t="shared" ref="J24:O24" si="37">J372</f>
        <v>62487</v>
      </c>
      <c r="K24" s="43">
        <f t="shared" si="37"/>
        <v>65196</v>
      </c>
      <c r="L24" s="43">
        <f t="shared" si="37"/>
        <v>64491</v>
      </c>
      <c r="M24" s="43">
        <f t="shared" si="37"/>
        <v>62833</v>
      </c>
      <c r="N24" s="43">
        <f t="shared" si="37"/>
        <v>62433</v>
      </c>
      <c r="O24" s="43">
        <f t="shared" si="37"/>
        <v>64309</v>
      </c>
      <c r="Q24" s="41" t="s">
        <v>2367</v>
      </c>
    </row>
    <row r="25" spans="1:17" s="39" customFormat="1" ht="15.75" thickBot="1">
      <c r="D25" s="43">
        <f t="shared" ref="D25:I25" si="38">D23+D24</f>
        <v>70596</v>
      </c>
      <c r="E25" s="43">
        <f t="shared" si="38"/>
        <v>71908</v>
      </c>
      <c r="F25" s="43">
        <f t="shared" si="38"/>
        <v>72325</v>
      </c>
      <c r="G25" s="43">
        <f t="shared" si="38"/>
        <v>72403</v>
      </c>
      <c r="H25" s="43">
        <f t="shared" si="38"/>
        <v>72640</v>
      </c>
      <c r="I25" s="43">
        <f t="shared" si="38"/>
        <v>71292</v>
      </c>
      <c r="J25" s="43">
        <f t="shared" ref="J25:O25" si="39">J23+J24</f>
        <v>69903</v>
      </c>
      <c r="K25" s="43">
        <f t="shared" si="39"/>
        <v>72769</v>
      </c>
      <c r="L25" s="43">
        <f t="shared" si="39"/>
        <v>72138</v>
      </c>
      <c r="M25" s="43">
        <f t="shared" si="39"/>
        <v>70567</v>
      </c>
      <c r="N25" s="43">
        <f t="shared" si="39"/>
        <v>70398</v>
      </c>
      <c r="O25" s="43">
        <f t="shared" si="39"/>
        <v>71997</v>
      </c>
    </row>
    <row r="26" spans="1:17" s="39" customFormat="1">
      <c r="D26" s="44"/>
      <c r="E26" s="44"/>
      <c r="F26" s="44"/>
      <c r="G26" s="44"/>
      <c r="H26" s="44"/>
      <c r="I26" s="44"/>
      <c r="J26" s="44"/>
      <c r="K26" s="44"/>
      <c r="L26" s="44"/>
      <c r="M26" s="44"/>
      <c r="N26" s="44"/>
      <c r="O26" s="44"/>
    </row>
    <row r="27" spans="1:17" s="39" customFormat="1">
      <c r="A27" s="41" t="s">
        <v>5555</v>
      </c>
      <c r="D27" s="42">
        <f t="shared" ref="D27:I27" si="40">D138</f>
        <v>75108</v>
      </c>
      <c r="E27" s="42">
        <f t="shared" si="40"/>
        <v>75470</v>
      </c>
      <c r="F27" s="42">
        <f t="shared" si="40"/>
        <v>76355</v>
      </c>
      <c r="G27" s="42">
        <f t="shared" si="40"/>
        <v>78429</v>
      </c>
      <c r="H27" s="42">
        <f t="shared" si="40"/>
        <v>81277</v>
      </c>
      <c r="I27" s="42">
        <f t="shared" si="40"/>
        <v>79893</v>
      </c>
      <c r="J27" s="42">
        <f t="shared" ref="J27:O27" si="41">J138</f>
        <v>78026</v>
      </c>
      <c r="K27" s="42">
        <f t="shared" si="41"/>
        <v>80559</v>
      </c>
      <c r="L27" s="42">
        <f t="shared" si="41"/>
        <v>81401</v>
      </c>
      <c r="M27" s="42">
        <f t="shared" si="41"/>
        <v>80504</v>
      </c>
      <c r="N27" s="42">
        <f t="shared" si="41"/>
        <v>82664</v>
      </c>
      <c r="O27" s="42">
        <f t="shared" si="41"/>
        <v>82672</v>
      </c>
      <c r="Q27" s="41" t="s">
        <v>5556</v>
      </c>
    </row>
    <row r="28" spans="1:17" s="39" customFormat="1">
      <c r="D28" s="44"/>
      <c r="E28" s="44"/>
      <c r="F28" s="44"/>
      <c r="G28" s="44"/>
      <c r="H28" s="44"/>
      <c r="I28" s="44"/>
      <c r="J28" s="44"/>
      <c r="K28" s="44"/>
      <c r="L28" s="44"/>
      <c r="M28" s="44"/>
      <c r="N28" s="44"/>
      <c r="O28" s="44"/>
    </row>
    <row r="29" spans="1:17" s="39" customFormat="1">
      <c r="A29" s="41" t="s">
        <v>5557</v>
      </c>
      <c r="D29" s="42">
        <f t="shared" ref="D29:I29" si="42">D182</f>
        <v>71779</v>
      </c>
      <c r="E29" s="42">
        <f t="shared" si="42"/>
        <v>72648</v>
      </c>
      <c r="F29" s="42">
        <f t="shared" si="42"/>
        <v>72833</v>
      </c>
      <c r="G29" s="42">
        <f t="shared" si="42"/>
        <v>72951</v>
      </c>
      <c r="H29" s="42">
        <f t="shared" si="42"/>
        <v>71145</v>
      </c>
      <c r="I29" s="42">
        <f t="shared" si="42"/>
        <v>71316</v>
      </c>
      <c r="J29" s="42">
        <f t="shared" ref="J29:O29" si="43">J182</f>
        <v>70063</v>
      </c>
      <c r="K29" s="42">
        <f t="shared" si="43"/>
        <v>72808</v>
      </c>
      <c r="L29" s="42">
        <f t="shared" si="43"/>
        <v>73450</v>
      </c>
      <c r="M29" s="42">
        <f t="shared" si="43"/>
        <v>73496</v>
      </c>
      <c r="N29" s="42">
        <f t="shared" si="43"/>
        <v>74478</v>
      </c>
      <c r="O29" s="42">
        <f t="shared" si="43"/>
        <v>76943</v>
      </c>
      <c r="Q29" s="41" t="s">
        <v>5558</v>
      </c>
    </row>
    <row r="30" spans="1:17" s="39" customFormat="1">
      <c r="D30" s="44"/>
      <c r="E30" s="44"/>
      <c r="F30" s="44"/>
      <c r="G30" s="44"/>
      <c r="H30" s="44"/>
      <c r="I30" s="44"/>
      <c r="J30" s="44"/>
      <c r="K30" s="44"/>
      <c r="L30" s="44"/>
      <c r="M30" s="44"/>
      <c r="N30" s="44"/>
      <c r="O30" s="44"/>
    </row>
    <row r="31" spans="1:17" s="39" customFormat="1">
      <c r="A31" s="41" t="s">
        <v>5559</v>
      </c>
      <c r="D31" s="42">
        <f t="shared" ref="D31:I31" si="44">D206</f>
        <v>77320</v>
      </c>
      <c r="E31" s="42">
        <f t="shared" si="44"/>
        <v>78313</v>
      </c>
      <c r="F31" s="42">
        <f t="shared" si="44"/>
        <v>79272</v>
      </c>
      <c r="G31" s="42">
        <f t="shared" si="44"/>
        <v>79719</v>
      </c>
      <c r="H31" s="42">
        <f t="shared" si="44"/>
        <v>80686</v>
      </c>
      <c r="I31" s="42">
        <f t="shared" si="44"/>
        <v>79100</v>
      </c>
      <c r="J31" s="42">
        <f t="shared" ref="J31:O31" si="45">J206</f>
        <v>77814</v>
      </c>
      <c r="K31" s="42">
        <f t="shared" si="45"/>
        <v>78989</v>
      </c>
      <c r="L31" s="42">
        <f t="shared" si="45"/>
        <v>80559</v>
      </c>
      <c r="M31" s="42">
        <f t="shared" si="45"/>
        <v>80493</v>
      </c>
      <c r="N31" s="42">
        <f t="shared" si="45"/>
        <v>82080</v>
      </c>
      <c r="O31" s="42">
        <f t="shared" si="45"/>
        <v>84499</v>
      </c>
      <c r="Q31" s="41" t="s">
        <v>5560</v>
      </c>
    </row>
    <row r="32" spans="1:17" s="39" customFormat="1">
      <c r="D32" s="44"/>
      <c r="E32" s="44"/>
      <c r="F32" s="44"/>
      <c r="G32" s="44"/>
      <c r="H32" s="44"/>
      <c r="I32" s="44"/>
      <c r="J32" s="44"/>
      <c r="K32" s="44"/>
      <c r="L32" s="44"/>
      <c r="M32" s="44"/>
      <c r="N32" s="44"/>
      <c r="O32" s="44"/>
    </row>
    <row r="33" spans="1:17" s="39" customFormat="1">
      <c r="A33" s="41" t="s">
        <v>5561</v>
      </c>
      <c r="D33" s="42">
        <f t="shared" ref="D33:I33" si="46">D231</f>
        <v>75829</v>
      </c>
      <c r="E33" s="42">
        <f t="shared" si="46"/>
        <v>76457</v>
      </c>
      <c r="F33" s="42">
        <f t="shared" si="46"/>
        <v>77029</v>
      </c>
      <c r="G33" s="42">
        <f t="shared" si="46"/>
        <v>77463</v>
      </c>
      <c r="H33" s="42">
        <f t="shared" si="46"/>
        <v>78036</v>
      </c>
      <c r="I33" s="42">
        <f t="shared" si="46"/>
        <v>76831</v>
      </c>
      <c r="J33" s="42">
        <f t="shared" ref="J33:O33" si="47">J231</f>
        <v>75724</v>
      </c>
      <c r="K33" s="42">
        <f t="shared" si="47"/>
        <v>77012</v>
      </c>
      <c r="L33" s="42">
        <f t="shared" si="47"/>
        <v>77881</v>
      </c>
      <c r="M33" s="42">
        <f t="shared" si="47"/>
        <v>77843</v>
      </c>
      <c r="N33" s="42">
        <f t="shared" si="47"/>
        <v>78886</v>
      </c>
      <c r="O33" s="42">
        <f t="shared" si="47"/>
        <v>78815</v>
      </c>
      <c r="Q33" s="41" t="s">
        <v>5562</v>
      </c>
    </row>
    <row r="34" spans="1:17" s="39" customFormat="1" ht="15" customHeight="1">
      <c r="D34" s="44"/>
      <c r="E34" s="44"/>
      <c r="F34" s="44"/>
      <c r="G34" s="44"/>
      <c r="H34" s="44"/>
      <c r="I34" s="44"/>
      <c r="J34" s="44"/>
      <c r="K34" s="44"/>
      <c r="L34" s="44"/>
      <c r="M34" s="44"/>
      <c r="N34" s="44"/>
      <c r="O34" s="44"/>
    </row>
    <row r="35" spans="1:17" s="39" customFormat="1" ht="15" customHeight="1">
      <c r="A35" s="41" t="s">
        <v>5563</v>
      </c>
      <c r="D35" s="42">
        <f t="shared" ref="D35:I35" si="48">D232</f>
        <v>11678</v>
      </c>
      <c r="E35" s="42">
        <f t="shared" si="48"/>
        <v>11692</v>
      </c>
      <c r="F35" s="42">
        <f t="shared" si="48"/>
        <v>11785</v>
      </c>
      <c r="G35" s="42">
        <f t="shared" si="48"/>
        <v>11847</v>
      </c>
      <c r="H35" s="42">
        <f t="shared" si="48"/>
        <v>11798</v>
      </c>
      <c r="I35" s="42">
        <f t="shared" si="48"/>
        <v>11671</v>
      </c>
      <c r="J35" s="42">
        <f t="shared" ref="J35:O35" si="49">J232</f>
        <v>11414</v>
      </c>
      <c r="K35" s="42">
        <f t="shared" si="49"/>
        <v>11520</v>
      </c>
      <c r="L35" s="42">
        <f t="shared" si="49"/>
        <v>11536</v>
      </c>
      <c r="M35" s="42">
        <f t="shared" si="49"/>
        <v>11467</v>
      </c>
      <c r="N35" s="42">
        <f t="shared" si="49"/>
        <v>11540</v>
      </c>
      <c r="O35" s="42">
        <f t="shared" si="49"/>
        <v>11532</v>
      </c>
      <c r="Q35" s="41" t="s">
        <v>5562</v>
      </c>
    </row>
    <row r="36" spans="1:17" s="39" customFormat="1" ht="15.75" thickBot="1">
      <c r="D36" s="43">
        <f t="shared" ref="D36:I36" si="50">D258</f>
        <v>61202</v>
      </c>
      <c r="E36" s="43">
        <f t="shared" si="50"/>
        <v>61153</v>
      </c>
      <c r="F36" s="43">
        <f t="shared" si="50"/>
        <v>61856</v>
      </c>
      <c r="G36" s="43">
        <f t="shared" si="50"/>
        <v>62526</v>
      </c>
      <c r="H36" s="43">
        <f t="shared" si="50"/>
        <v>62965</v>
      </c>
      <c r="I36" s="43">
        <f t="shared" si="50"/>
        <v>61777</v>
      </c>
      <c r="J36" s="43">
        <f t="shared" ref="J36:O36" si="51">J258</f>
        <v>60943</v>
      </c>
      <c r="K36" s="43">
        <f t="shared" si="51"/>
        <v>62217</v>
      </c>
      <c r="L36" s="43">
        <f t="shared" si="51"/>
        <v>62155</v>
      </c>
      <c r="M36" s="43">
        <f t="shared" si="51"/>
        <v>61140</v>
      </c>
      <c r="N36" s="43">
        <f t="shared" si="51"/>
        <v>62564</v>
      </c>
      <c r="O36" s="43">
        <f t="shared" si="51"/>
        <v>62231</v>
      </c>
      <c r="Q36" s="41" t="s">
        <v>3755</v>
      </c>
    </row>
    <row r="37" spans="1:17" s="39" customFormat="1" ht="15.75" thickBot="1">
      <c r="D37" s="43">
        <f t="shared" ref="D37:I37" si="52">D35+D36</f>
        <v>72880</v>
      </c>
      <c r="E37" s="43">
        <f t="shared" si="52"/>
        <v>72845</v>
      </c>
      <c r="F37" s="43">
        <f t="shared" si="52"/>
        <v>73641</v>
      </c>
      <c r="G37" s="43">
        <f t="shared" si="52"/>
        <v>74373</v>
      </c>
      <c r="H37" s="43">
        <f t="shared" si="52"/>
        <v>74763</v>
      </c>
      <c r="I37" s="43">
        <f t="shared" si="52"/>
        <v>73448</v>
      </c>
      <c r="J37" s="43">
        <f t="shared" ref="J37:O37" si="53">J35+J36</f>
        <v>72357</v>
      </c>
      <c r="K37" s="43">
        <f t="shared" si="53"/>
        <v>73737</v>
      </c>
      <c r="L37" s="43">
        <f t="shared" si="53"/>
        <v>73691</v>
      </c>
      <c r="M37" s="43">
        <f t="shared" si="53"/>
        <v>72607</v>
      </c>
      <c r="N37" s="43">
        <f t="shared" si="53"/>
        <v>74104</v>
      </c>
      <c r="O37" s="43">
        <f t="shared" si="53"/>
        <v>73763</v>
      </c>
    </row>
    <row r="38" spans="1:17" s="39" customFormat="1">
      <c r="D38" s="44"/>
      <c r="E38" s="44"/>
      <c r="F38" s="44"/>
      <c r="G38" s="44"/>
      <c r="H38" s="44"/>
      <c r="I38" s="44"/>
      <c r="J38" s="44"/>
      <c r="K38" s="44"/>
      <c r="L38" s="44"/>
      <c r="M38" s="44"/>
      <c r="N38" s="44"/>
      <c r="O38" s="44"/>
    </row>
    <row r="39" spans="1:17" s="39" customFormat="1">
      <c r="A39" s="41" t="s">
        <v>5564</v>
      </c>
      <c r="D39" s="42">
        <f t="shared" ref="D39:I39" si="54">D304</f>
        <v>70004</v>
      </c>
      <c r="E39" s="42">
        <f t="shared" si="54"/>
        <v>70568</v>
      </c>
      <c r="F39" s="42">
        <f t="shared" si="54"/>
        <v>70748</v>
      </c>
      <c r="G39" s="42">
        <f t="shared" si="54"/>
        <v>71137</v>
      </c>
      <c r="H39" s="42">
        <f t="shared" si="54"/>
        <v>71276</v>
      </c>
      <c r="I39" s="42">
        <f t="shared" si="54"/>
        <v>70371</v>
      </c>
      <c r="J39" s="42">
        <f t="shared" ref="J39:O39" si="55">J304</f>
        <v>69712</v>
      </c>
      <c r="K39" s="42">
        <f t="shared" si="55"/>
        <v>71493</v>
      </c>
      <c r="L39" s="42">
        <f t="shared" si="55"/>
        <v>71961</v>
      </c>
      <c r="M39" s="42">
        <f t="shared" si="55"/>
        <v>71061</v>
      </c>
      <c r="N39" s="42">
        <f t="shared" si="55"/>
        <v>71486</v>
      </c>
      <c r="O39" s="42">
        <f t="shared" si="55"/>
        <v>72766</v>
      </c>
      <c r="Q39" s="41" t="s">
        <v>5565</v>
      </c>
    </row>
    <row r="40" spans="1:17" s="39" customFormat="1">
      <c r="D40" s="44"/>
      <c r="E40" s="44"/>
      <c r="F40" s="44"/>
      <c r="G40" s="44"/>
      <c r="H40" s="44"/>
      <c r="I40" s="44"/>
      <c r="J40" s="44"/>
      <c r="K40" s="44"/>
      <c r="L40" s="44"/>
      <c r="M40" s="44"/>
      <c r="N40" s="44"/>
      <c r="O40" s="44"/>
    </row>
    <row r="41" spans="1:17" s="39" customFormat="1">
      <c r="A41" s="39" t="s">
        <v>5566</v>
      </c>
      <c r="D41" s="44">
        <f t="shared" ref="D41:I41" si="56">D183</f>
        <v>16374</v>
      </c>
      <c r="E41" s="44">
        <f t="shared" si="56"/>
        <v>16505</v>
      </c>
      <c r="F41" s="44">
        <f t="shared" si="56"/>
        <v>16615</v>
      </c>
      <c r="G41" s="44">
        <f t="shared" si="56"/>
        <v>16531</v>
      </c>
      <c r="H41" s="44">
        <f t="shared" si="56"/>
        <v>16187</v>
      </c>
      <c r="I41" s="44">
        <f t="shared" si="56"/>
        <v>16274</v>
      </c>
      <c r="J41" s="44">
        <f t="shared" ref="J41:O41" si="57">J183</f>
        <v>16425</v>
      </c>
      <c r="K41" s="44">
        <f t="shared" si="57"/>
        <v>17111</v>
      </c>
      <c r="L41" s="44">
        <f t="shared" si="57"/>
        <v>17315</v>
      </c>
      <c r="M41" s="44">
        <f t="shared" si="57"/>
        <v>17247</v>
      </c>
      <c r="N41" s="44">
        <f t="shared" si="57"/>
        <v>17317</v>
      </c>
      <c r="O41" s="44">
        <f t="shared" si="57"/>
        <v>17825</v>
      </c>
      <c r="Q41" s="41" t="s">
        <v>5558</v>
      </c>
    </row>
    <row r="42" spans="1:17" s="39" customFormat="1">
      <c r="D42" s="42">
        <f t="shared" ref="D42:I42" si="58">D305</f>
        <v>22490</v>
      </c>
      <c r="E42" s="42">
        <f t="shared" si="58"/>
        <v>22692</v>
      </c>
      <c r="F42" s="42">
        <f t="shared" si="58"/>
        <v>22675</v>
      </c>
      <c r="G42" s="42">
        <f t="shared" si="58"/>
        <v>22892</v>
      </c>
      <c r="H42" s="42">
        <f t="shared" si="58"/>
        <v>23086</v>
      </c>
      <c r="I42" s="42">
        <f t="shared" si="58"/>
        <v>22809</v>
      </c>
      <c r="J42" s="42">
        <f t="shared" ref="J42:O42" si="59">J305</f>
        <v>22601</v>
      </c>
      <c r="K42" s="42">
        <f t="shared" si="59"/>
        <v>22897</v>
      </c>
      <c r="L42" s="42">
        <f t="shared" si="59"/>
        <v>23065</v>
      </c>
      <c r="M42" s="42">
        <f t="shared" si="59"/>
        <v>22714</v>
      </c>
      <c r="N42" s="42">
        <f t="shared" si="59"/>
        <v>22923</v>
      </c>
      <c r="O42" s="42">
        <f t="shared" si="59"/>
        <v>23254</v>
      </c>
      <c r="Q42" s="41" t="s">
        <v>5565</v>
      </c>
    </row>
    <row r="43" spans="1:17" s="39" customFormat="1" ht="15.75" thickBot="1">
      <c r="D43" s="47">
        <f t="shared" ref="D43:I43" si="60">D433</f>
        <v>31442</v>
      </c>
      <c r="E43" s="47">
        <f t="shared" si="60"/>
        <v>32094</v>
      </c>
      <c r="F43" s="47">
        <f t="shared" si="60"/>
        <v>32269</v>
      </c>
      <c r="G43" s="47">
        <f t="shared" si="60"/>
        <v>32554</v>
      </c>
      <c r="H43" s="47">
        <f t="shared" si="60"/>
        <v>32963</v>
      </c>
      <c r="I43" s="47">
        <f t="shared" si="60"/>
        <v>32635</v>
      </c>
      <c r="J43" s="47">
        <f t="shared" ref="J43:O43" si="61">J433</f>
        <v>32105</v>
      </c>
      <c r="K43" s="47">
        <f t="shared" si="61"/>
        <v>32927</v>
      </c>
      <c r="L43" s="47">
        <f t="shared" si="61"/>
        <v>33111</v>
      </c>
      <c r="M43" s="47">
        <f t="shared" si="61"/>
        <v>33445</v>
      </c>
      <c r="N43" s="47">
        <f t="shared" si="61"/>
        <v>33816</v>
      </c>
      <c r="O43" s="47">
        <f t="shared" si="61"/>
        <v>34512</v>
      </c>
      <c r="Q43" s="39" t="s">
        <v>5567</v>
      </c>
    </row>
    <row r="44" spans="1:17" s="39" customFormat="1" ht="15.75" thickBot="1">
      <c r="D44" s="48">
        <f t="shared" ref="D44:I44" si="62">SUM(D41:D43)</f>
        <v>70306</v>
      </c>
      <c r="E44" s="48">
        <f t="shared" si="62"/>
        <v>71291</v>
      </c>
      <c r="F44" s="48">
        <f t="shared" si="62"/>
        <v>71559</v>
      </c>
      <c r="G44" s="48">
        <f t="shared" si="62"/>
        <v>71977</v>
      </c>
      <c r="H44" s="48">
        <f t="shared" si="62"/>
        <v>72236</v>
      </c>
      <c r="I44" s="48">
        <f t="shared" si="62"/>
        <v>71718</v>
      </c>
      <c r="J44" s="48">
        <f t="shared" ref="J44:O44" si="63">SUM(J41:J43)</f>
        <v>71131</v>
      </c>
      <c r="K44" s="48">
        <f t="shared" si="63"/>
        <v>72935</v>
      </c>
      <c r="L44" s="48">
        <f t="shared" si="63"/>
        <v>73491</v>
      </c>
      <c r="M44" s="48">
        <f t="shared" si="63"/>
        <v>73406</v>
      </c>
      <c r="N44" s="48">
        <f t="shared" si="63"/>
        <v>74056</v>
      </c>
      <c r="O44" s="48">
        <f t="shared" si="63"/>
        <v>75591</v>
      </c>
    </row>
    <row r="45" spans="1:17" s="39" customFormat="1">
      <c r="D45" s="44"/>
      <c r="E45" s="44"/>
      <c r="F45" s="44"/>
      <c r="G45" s="44"/>
      <c r="H45" s="44"/>
      <c r="I45" s="44"/>
      <c r="J45" s="44"/>
      <c r="K45" s="44"/>
      <c r="L45" s="44"/>
      <c r="M45" s="44"/>
      <c r="N45" s="44"/>
      <c r="O45" s="44"/>
    </row>
    <row r="46" spans="1:17" s="39" customFormat="1">
      <c r="A46" s="41" t="s">
        <v>5568</v>
      </c>
      <c r="D46" s="42">
        <f t="shared" ref="D46:I46" si="64">D348</f>
        <v>72955</v>
      </c>
      <c r="E46" s="42">
        <f t="shared" si="64"/>
        <v>73542</v>
      </c>
      <c r="F46" s="42">
        <f t="shared" si="64"/>
        <v>73362</v>
      </c>
      <c r="G46" s="42">
        <f t="shared" si="64"/>
        <v>73437</v>
      </c>
      <c r="H46" s="42">
        <f t="shared" si="64"/>
        <v>73690</v>
      </c>
      <c r="I46" s="42">
        <f t="shared" si="64"/>
        <v>72552</v>
      </c>
      <c r="J46" s="42">
        <f t="shared" ref="J46:O46" si="65">J348</f>
        <v>71102</v>
      </c>
      <c r="K46" s="42">
        <f t="shared" si="65"/>
        <v>72274</v>
      </c>
      <c r="L46" s="42">
        <f t="shared" si="65"/>
        <v>72256</v>
      </c>
      <c r="M46" s="42">
        <f t="shared" si="65"/>
        <v>72167</v>
      </c>
      <c r="N46" s="42">
        <f t="shared" si="65"/>
        <v>73334</v>
      </c>
      <c r="O46" s="42">
        <f t="shared" si="65"/>
        <v>73823</v>
      </c>
      <c r="Q46" s="41" t="s">
        <v>5569</v>
      </c>
    </row>
    <row r="47" spans="1:17" s="39" customFormat="1">
      <c r="D47" s="44"/>
      <c r="E47" s="44"/>
      <c r="F47" s="44"/>
      <c r="G47" s="44"/>
      <c r="H47" s="44"/>
      <c r="I47" s="44"/>
      <c r="J47" s="44"/>
      <c r="K47" s="44"/>
      <c r="L47" s="44"/>
      <c r="M47" s="44"/>
      <c r="N47" s="44"/>
      <c r="O47" s="44"/>
    </row>
    <row r="48" spans="1:17" s="39" customFormat="1">
      <c r="A48" s="41" t="s">
        <v>5570</v>
      </c>
      <c r="D48" s="42">
        <f t="shared" ref="D48:I48" si="66">D349</f>
        <v>68239</v>
      </c>
      <c r="E48" s="42">
        <f t="shared" si="66"/>
        <v>68987</v>
      </c>
      <c r="F48" s="42">
        <f t="shared" si="66"/>
        <v>68867</v>
      </c>
      <c r="G48" s="42">
        <f t="shared" si="66"/>
        <v>69072</v>
      </c>
      <c r="H48" s="42">
        <f t="shared" si="66"/>
        <v>69164</v>
      </c>
      <c r="I48" s="42">
        <f t="shared" si="66"/>
        <v>68216</v>
      </c>
      <c r="J48" s="42">
        <f t="shared" ref="J48:O48" si="67">J349</f>
        <v>66871</v>
      </c>
      <c r="K48" s="42">
        <f t="shared" si="67"/>
        <v>68166</v>
      </c>
      <c r="L48" s="42">
        <f t="shared" si="67"/>
        <v>68559</v>
      </c>
      <c r="M48" s="42">
        <f t="shared" si="67"/>
        <v>68765</v>
      </c>
      <c r="N48" s="42">
        <f t="shared" si="67"/>
        <v>70487</v>
      </c>
      <c r="O48" s="42">
        <f t="shared" si="67"/>
        <v>71009</v>
      </c>
      <c r="Q48" s="41" t="s">
        <v>5569</v>
      </c>
    </row>
    <row r="49" spans="1:17" s="39" customFormat="1">
      <c r="D49" s="44"/>
      <c r="E49" s="44"/>
      <c r="F49" s="44"/>
      <c r="G49" s="44"/>
      <c r="H49" s="44"/>
      <c r="I49" s="44"/>
      <c r="J49" s="44"/>
      <c r="K49" s="44"/>
      <c r="L49" s="44"/>
      <c r="M49" s="44"/>
      <c r="N49" s="44"/>
      <c r="O49" s="44"/>
    </row>
    <row r="50" spans="1:17" s="39" customFormat="1">
      <c r="A50" s="41" t="s">
        <v>5571</v>
      </c>
      <c r="D50" s="42">
        <f t="shared" ref="D50:I50" si="68">D139</f>
        <v>11372</v>
      </c>
      <c r="E50" s="42">
        <f t="shared" si="68"/>
        <v>11738</v>
      </c>
      <c r="F50" s="42">
        <f t="shared" si="68"/>
        <v>11863</v>
      </c>
      <c r="G50" s="42">
        <f t="shared" si="68"/>
        <v>11966</v>
      </c>
      <c r="H50" s="42">
        <f t="shared" si="68"/>
        <v>12052</v>
      </c>
      <c r="I50" s="42">
        <f t="shared" si="68"/>
        <v>11882</v>
      </c>
      <c r="J50" s="42">
        <f t="shared" ref="J50:O50" si="69">J139</f>
        <v>11699</v>
      </c>
      <c r="K50" s="42">
        <f t="shared" si="69"/>
        <v>12082</v>
      </c>
      <c r="L50" s="42">
        <f t="shared" si="69"/>
        <v>12167</v>
      </c>
      <c r="M50" s="42">
        <f t="shared" si="69"/>
        <v>12153</v>
      </c>
      <c r="N50" s="42">
        <f t="shared" si="69"/>
        <v>13004</v>
      </c>
      <c r="O50" s="42">
        <f t="shared" si="69"/>
        <v>13009</v>
      </c>
      <c r="Q50" s="41" t="s">
        <v>5556</v>
      </c>
    </row>
    <row r="51" spans="1:17" s="39" customFormat="1" ht="15.75" thickBot="1">
      <c r="D51" s="43">
        <f t="shared" ref="D51:I51" si="70">D281</f>
        <v>60208</v>
      </c>
      <c r="E51" s="43">
        <f t="shared" si="70"/>
        <v>60810</v>
      </c>
      <c r="F51" s="43">
        <f t="shared" si="70"/>
        <v>61586</v>
      </c>
      <c r="G51" s="43">
        <f t="shared" si="70"/>
        <v>62225</v>
      </c>
      <c r="H51" s="43">
        <f t="shared" si="70"/>
        <v>61491</v>
      </c>
      <c r="I51" s="43">
        <f t="shared" si="70"/>
        <v>61480</v>
      </c>
      <c r="J51" s="43">
        <f t="shared" ref="J51:O51" si="71">J281</f>
        <v>60347</v>
      </c>
      <c r="K51" s="43">
        <f t="shared" si="71"/>
        <v>61883</v>
      </c>
      <c r="L51" s="43">
        <f t="shared" si="71"/>
        <v>62745</v>
      </c>
      <c r="M51" s="43">
        <f t="shared" si="71"/>
        <v>63999</v>
      </c>
      <c r="N51" s="43">
        <f t="shared" si="71"/>
        <v>65460</v>
      </c>
      <c r="O51" s="43">
        <f t="shared" si="71"/>
        <v>63606</v>
      </c>
      <c r="Q51" s="41" t="s">
        <v>5554</v>
      </c>
    </row>
    <row r="52" spans="1:17" s="39" customFormat="1" ht="15.75" thickBot="1">
      <c r="D52" s="43">
        <f t="shared" ref="D52:I52" si="72">D50+D51</f>
        <v>71580</v>
      </c>
      <c r="E52" s="43">
        <f t="shared" si="72"/>
        <v>72548</v>
      </c>
      <c r="F52" s="43">
        <f t="shared" si="72"/>
        <v>73449</v>
      </c>
      <c r="G52" s="43">
        <f t="shared" si="72"/>
        <v>74191</v>
      </c>
      <c r="H52" s="43">
        <f t="shared" si="72"/>
        <v>73543</v>
      </c>
      <c r="I52" s="43">
        <f t="shared" si="72"/>
        <v>73362</v>
      </c>
      <c r="J52" s="43">
        <f t="shared" ref="J52:O52" si="73">J50+J51</f>
        <v>72046</v>
      </c>
      <c r="K52" s="43">
        <f t="shared" si="73"/>
        <v>73965</v>
      </c>
      <c r="L52" s="43">
        <f t="shared" si="73"/>
        <v>74912</v>
      </c>
      <c r="M52" s="43">
        <f t="shared" si="73"/>
        <v>76152</v>
      </c>
      <c r="N52" s="43">
        <f t="shared" si="73"/>
        <v>78464</v>
      </c>
      <c r="O52" s="43">
        <f t="shared" si="73"/>
        <v>76615</v>
      </c>
    </row>
    <row r="53" spans="1:17" s="39" customFormat="1">
      <c r="D53" s="44"/>
      <c r="E53" s="44"/>
      <c r="F53" s="44"/>
      <c r="G53" s="44"/>
      <c r="H53" s="44"/>
      <c r="I53" s="44"/>
      <c r="J53" s="44"/>
      <c r="K53" s="44"/>
      <c r="L53" s="44"/>
      <c r="M53" s="44"/>
      <c r="N53" s="44"/>
      <c r="O53" s="44"/>
    </row>
    <row r="54" spans="1:17" s="39" customFormat="1">
      <c r="A54" s="41" t="s">
        <v>5572</v>
      </c>
      <c r="D54" s="42">
        <f t="shared" ref="D54:I54" si="74">D140</f>
        <v>34660</v>
      </c>
      <c r="E54" s="42">
        <f t="shared" si="74"/>
        <v>34829</v>
      </c>
      <c r="F54" s="42">
        <f t="shared" si="74"/>
        <v>34601</v>
      </c>
      <c r="G54" s="42">
        <f t="shared" si="74"/>
        <v>35197</v>
      </c>
      <c r="H54" s="42">
        <f t="shared" si="74"/>
        <v>35874</v>
      </c>
      <c r="I54" s="42">
        <f t="shared" si="74"/>
        <v>35578</v>
      </c>
      <c r="J54" s="42">
        <f t="shared" ref="J54:O54" si="75">J140</f>
        <v>34748</v>
      </c>
      <c r="K54" s="42">
        <f t="shared" si="75"/>
        <v>35490</v>
      </c>
      <c r="L54" s="42">
        <f t="shared" si="75"/>
        <v>35822</v>
      </c>
      <c r="M54" s="42">
        <f t="shared" si="75"/>
        <v>35579</v>
      </c>
      <c r="N54" s="42">
        <f t="shared" si="75"/>
        <v>36693</v>
      </c>
      <c r="O54" s="42">
        <f t="shared" si="75"/>
        <v>36691</v>
      </c>
      <c r="Q54" s="41" t="s">
        <v>5556</v>
      </c>
    </row>
    <row r="55" spans="1:17" s="39" customFormat="1" ht="15.75" thickBot="1">
      <c r="D55" s="43">
        <f t="shared" ref="D55:I55" si="76">D403</f>
        <v>41948</v>
      </c>
      <c r="E55" s="43">
        <f t="shared" si="76"/>
        <v>42191</v>
      </c>
      <c r="F55" s="43">
        <f t="shared" si="76"/>
        <v>42834</v>
      </c>
      <c r="G55" s="43">
        <f t="shared" si="76"/>
        <v>43190</v>
      </c>
      <c r="H55" s="43">
        <f t="shared" si="76"/>
        <v>43895</v>
      </c>
      <c r="I55" s="43">
        <f t="shared" si="76"/>
        <v>42997</v>
      </c>
      <c r="J55" s="43">
        <f t="shared" ref="J55:O55" si="77">J403</f>
        <v>43271</v>
      </c>
      <c r="K55" s="43">
        <f t="shared" si="77"/>
        <v>44957</v>
      </c>
      <c r="L55" s="43">
        <f t="shared" si="77"/>
        <v>45080</v>
      </c>
      <c r="M55" s="43">
        <f t="shared" si="77"/>
        <v>44586</v>
      </c>
      <c r="N55" s="43">
        <f t="shared" si="77"/>
        <v>46604</v>
      </c>
      <c r="O55" s="43">
        <f t="shared" si="77"/>
        <v>46612</v>
      </c>
      <c r="Q55" s="41" t="s">
        <v>5573</v>
      </c>
    </row>
    <row r="56" spans="1:17" s="39" customFormat="1" ht="15.75" thickBot="1">
      <c r="D56" s="43">
        <f t="shared" ref="D56:I56" si="78">D54+D55</f>
        <v>76608</v>
      </c>
      <c r="E56" s="43">
        <f t="shared" si="78"/>
        <v>77020</v>
      </c>
      <c r="F56" s="43">
        <f t="shared" si="78"/>
        <v>77435</v>
      </c>
      <c r="G56" s="43">
        <f t="shared" si="78"/>
        <v>78387</v>
      </c>
      <c r="H56" s="43">
        <f t="shared" si="78"/>
        <v>79769</v>
      </c>
      <c r="I56" s="43">
        <f t="shared" si="78"/>
        <v>78575</v>
      </c>
      <c r="J56" s="43">
        <f t="shared" ref="J56:O56" si="79">J54+J55</f>
        <v>78019</v>
      </c>
      <c r="K56" s="43">
        <f t="shared" si="79"/>
        <v>80447</v>
      </c>
      <c r="L56" s="43">
        <f t="shared" si="79"/>
        <v>80902</v>
      </c>
      <c r="M56" s="43">
        <f t="shared" si="79"/>
        <v>80165</v>
      </c>
      <c r="N56" s="43">
        <f t="shared" si="79"/>
        <v>83297</v>
      </c>
      <c r="O56" s="43">
        <f t="shared" si="79"/>
        <v>83303</v>
      </c>
    </row>
    <row r="57" spans="1:17" s="39" customFormat="1">
      <c r="D57" s="44"/>
      <c r="E57" s="44"/>
      <c r="F57" s="44"/>
      <c r="G57" s="44"/>
      <c r="H57" s="44"/>
      <c r="I57" s="44"/>
      <c r="J57" s="44"/>
      <c r="K57" s="44"/>
      <c r="L57" s="44"/>
      <c r="M57" s="44"/>
      <c r="N57" s="44"/>
      <c r="O57" s="44"/>
    </row>
    <row r="58" spans="1:17" s="39" customFormat="1">
      <c r="A58" s="41" t="s">
        <v>5574</v>
      </c>
      <c r="D58" s="42">
        <f t="shared" ref="D58:I58" si="80">D99</f>
        <v>19821</v>
      </c>
      <c r="E58" s="42">
        <f t="shared" si="80"/>
        <v>19949</v>
      </c>
      <c r="F58" s="42">
        <f t="shared" si="80"/>
        <v>19720</v>
      </c>
      <c r="G58" s="42">
        <f t="shared" si="80"/>
        <v>19318</v>
      </c>
      <c r="H58" s="42">
        <f t="shared" si="80"/>
        <v>19748</v>
      </c>
      <c r="I58" s="42">
        <f t="shared" si="80"/>
        <v>16560</v>
      </c>
      <c r="J58" s="42">
        <f t="shared" ref="J58:O58" si="81">J99</f>
        <v>16275</v>
      </c>
      <c r="K58" s="42">
        <f t="shared" si="81"/>
        <v>16210</v>
      </c>
      <c r="L58" s="42">
        <f t="shared" si="81"/>
        <v>16575</v>
      </c>
      <c r="M58" s="42">
        <f t="shared" si="81"/>
        <v>16049</v>
      </c>
      <c r="N58" s="42">
        <f t="shared" si="81"/>
        <v>18632</v>
      </c>
      <c r="O58" s="42">
        <f t="shared" si="81"/>
        <v>18617</v>
      </c>
      <c r="Q58" s="41" t="s">
        <v>5575</v>
      </c>
    </row>
    <row r="59" spans="1:17" s="39" customFormat="1" ht="15.75" thickBot="1">
      <c r="D59" s="43">
        <f t="shared" ref="D59:I59" si="82">D404</f>
        <v>47576</v>
      </c>
      <c r="E59" s="43">
        <f t="shared" si="82"/>
        <v>47747</v>
      </c>
      <c r="F59" s="43">
        <f t="shared" si="82"/>
        <v>48004</v>
      </c>
      <c r="G59" s="43">
        <f t="shared" si="82"/>
        <v>48101</v>
      </c>
      <c r="H59" s="43">
        <f t="shared" si="82"/>
        <v>48570</v>
      </c>
      <c r="I59" s="43">
        <f t="shared" si="82"/>
        <v>48020</v>
      </c>
      <c r="J59" s="43">
        <f t="shared" ref="J59:O59" si="83">J404</f>
        <v>47626</v>
      </c>
      <c r="K59" s="43">
        <f t="shared" si="83"/>
        <v>48906</v>
      </c>
      <c r="L59" s="43">
        <f t="shared" si="83"/>
        <v>48714</v>
      </c>
      <c r="M59" s="43">
        <f t="shared" si="83"/>
        <v>48246</v>
      </c>
      <c r="N59" s="43">
        <f t="shared" si="83"/>
        <v>49815</v>
      </c>
      <c r="O59" s="43">
        <f t="shared" si="83"/>
        <v>49813</v>
      </c>
      <c r="Q59" s="41" t="s">
        <v>5573</v>
      </c>
    </row>
    <row r="60" spans="1:17" s="39" customFormat="1" ht="15.75" thickBot="1">
      <c r="D60" s="43">
        <f t="shared" ref="D60:I60" si="84">D58+D59</f>
        <v>67397</v>
      </c>
      <c r="E60" s="43">
        <f t="shared" si="84"/>
        <v>67696</v>
      </c>
      <c r="F60" s="43">
        <f t="shared" si="84"/>
        <v>67724</v>
      </c>
      <c r="G60" s="43">
        <f t="shared" si="84"/>
        <v>67419</v>
      </c>
      <c r="H60" s="43">
        <f t="shared" si="84"/>
        <v>68318</v>
      </c>
      <c r="I60" s="43">
        <f t="shared" si="84"/>
        <v>64580</v>
      </c>
      <c r="J60" s="43">
        <f t="shared" ref="J60:O60" si="85">J58+J59</f>
        <v>63901</v>
      </c>
      <c r="K60" s="43">
        <f t="shared" si="85"/>
        <v>65116</v>
      </c>
      <c r="L60" s="43">
        <f t="shared" si="85"/>
        <v>65289</v>
      </c>
      <c r="M60" s="43">
        <f t="shared" si="85"/>
        <v>64295</v>
      </c>
      <c r="N60" s="43">
        <f t="shared" si="85"/>
        <v>68447</v>
      </c>
      <c r="O60" s="43">
        <f t="shared" si="85"/>
        <v>68430</v>
      </c>
    </row>
    <row r="61" spans="1:17" s="39" customFormat="1">
      <c r="D61" s="44"/>
      <c r="E61" s="44"/>
      <c r="F61" s="44"/>
      <c r="G61" s="44"/>
      <c r="H61" s="44"/>
      <c r="I61" s="44"/>
      <c r="J61" s="44"/>
      <c r="K61" s="44"/>
      <c r="L61" s="44"/>
      <c r="M61" s="44"/>
      <c r="N61" s="44"/>
      <c r="O61" s="44"/>
    </row>
    <row r="62" spans="1:17" s="39" customFormat="1">
      <c r="A62" s="41" t="s">
        <v>5576</v>
      </c>
      <c r="D62" s="42">
        <f t="shared" ref="D62:I62" si="86">D100</f>
        <v>74720</v>
      </c>
      <c r="E62" s="42">
        <f t="shared" si="86"/>
        <v>74513</v>
      </c>
      <c r="F62" s="42">
        <f t="shared" si="86"/>
        <v>73911</v>
      </c>
      <c r="G62" s="42">
        <f t="shared" si="86"/>
        <v>73405</v>
      </c>
      <c r="H62" s="42">
        <f t="shared" si="86"/>
        <v>74712</v>
      </c>
      <c r="I62" s="42">
        <f t="shared" si="86"/>
        <v>70173</v>
      </c>
      <c r="J62" s="42">
        <f t="shared" ref="J62:O62" si="87">J100</f>
        <v>67131</v>
      </c>
      <c r="K62" s="42">
        <f t="shared" si="87"/>
        <v>68696</v>
      </c>
      <c r="L62" s="42">
        <f t="shared" si="87"/>
        <v>69071</v>
      </c>
      <c r="M62" s="42">
        <f t="shared" si="87"/>
        <v>68589</v>
      </c>
      <c r="N62" s="42">
        <f t="shared" si="87"/>
        <v>72152</v>
      </c>
      <c r="O62" s="42">
        <f t="shared" si="87"/>
        <v>72150</v>
      </c>
      <c r="Q62" s="41" t="s">
        <v>5575</v>
      </c>
    </row>
    <row r="63" spans="1:17" s="39" customFormat="1">
      <c r="D63" s="44"/>
      <c r="E63" s="44"/>
      <c r="F63" s="44"/>
      <c r="G63" s="44"/>
      <c r="H63" s="44"/>
      <c r="I63" s="44"/>
      <c r="J63" s="44"/>
      <c r="K63" s="44"/>
      <c r="L63" s="44"/>
      <c r="M63" s="44"/>
      <c r="N63" s="44"/>
      <c r="O63" s="44"/>
    </row>
    <row r="64" spans="1:17" s="39" customFormat="1">
      <c r="A64" s="41" t="s">
        <v>5577</v>
      </c>
      <c r="D64" s="42">
        <f t="shared" ref="D64:I64" si="88">D101</f>
        <v>71712</v>
      </c>
      <c r="E64" s="42">
        <f t="shared" si="88"/>
        <v>71263</v>
      </c>
      <c r="F64" s="42">
        <f t="shared" si="88"/>
        <v>70756</v>
      </c>
      <c r="G64" s="42">
        <f t="shared" si="88"/>
        <v>69692</v>
      </c>
      <c r="H64" s="42">
        <f t="shared" si="88"/>
        <v>70387</v>
      </c>
      <c r="I64" s="42">
        <f t="shared" si="88"/>
        <v>66979</v>
      </c>
      <c r="J64" s="42">
        <f t="shared" ref="J64:O64" si="89">J101</f>
        <v>64773</v>
      </c>
      <c r="K64" s="42">
        <f t="shared" si="89"/>
        <v>65936</v>
      </c>
      <c r="L64" s="42">
        <f t="shared" si="89"/>
        <v>66857</v>
      </c>
      <c r="M64" s="42">
        <f t="shared" si="89"/>
        <v>65990</v>
      </c>
      <c r="N64" s="42">
        <f t="shared" si="89"/>
        <v>70023</v>
      </c>
      <c r="O64" s="42">
        <f t="shared" si="89"/>
        <v>69960</v>
      </c>
      <c r="Q64" s="41" t="s">
        <v>5575</v>
      </c>
    </row>
    <row r="65" spans="1:17" s="39" customFormat="1">
      <c r="D65" s="44"/>
      <c r="E65" s="44"/>
      <c r="F65" s="44"/>
      <c r="G65" s="44"/>
      <c r="H65" s="44"/>
      <c r="I65" s="44"/>
      <c r="J65" s="44"/>
      <c r="K65" s="44"/>
      <c r="L65" s="44"/>
      <c r="M65" s="44"/>
      <c r="N65" s="44"/>
      <c r="O65" s="44"/>
    </row>
    <row r="66" spans="1:17" s="39" customFormat="1">
      <c r="A66" s="41" t="s">
        <v>5002</v>
      </c>
      <c r="D66" s="42">
        <f t="shared" ref="D66:I66" si="90">D207</f>
        <v>16601</v>
      </c>
      <c r="E66" s="42">
        <f t="shared" si="90"/>
        <v>16658</v>
      </c>
      <c r="F66" s="42">
        <f t="shared" si="90"/>
        <v>16812</v>
      </c>
      <c r="G66" s="42">
        <f t="shared" si="90"/>
        <v>16886</v>
      </c>
      <c r="H66" s="42">
        <f t="shared" si="90"/>
        <v>16917</v>
      </c>
      <c r="I66" s="42">
        <f t="shared" si="90"/>
        <v>16629</v>
      </c>
      <c r="J66" s="42">
        <f t="shared" ref="J66:O66" si="91">J207</f>
        <v>16351</v>
      </c>
      <c r="K66" s="42">
        <f t="shared" si="91"/>
        <v>16534</v>
      </c>
      <c r="L66" s="42">
        <f t="shared" si="91"/>
        <v>16560</v>
      </c>
      <c r="M66" s="42">
        <f t="shared" si="91"/>
        <v>16315</v>
      </c>
      <c r="N66" s="42">
        <f t="shared" si="91"/>
        <v>16422</v>
      </c>
      <c r="O66" s="42">
        <f t="shared" si="91"/>
        <v>16705</v>
      </c>
      <c r="Q66" s="41" t="s">
        <v>5560</v>
      </c>
    </row>
    <row r="67" spans="1:17" s="39" customFormat="1" ht="15.75" thickBot="1">
      <c r="A67" s="41"/>
      <c r="D67" s="43">
        <f t="shared" ref="D67:I67" si="92">D434</f>
        <v>56738</v>
      </c>
      <c r="E67" s="43">
        <f t="shared" si="92"/>
        <v>57480</v>
      </c>
      <c r="F67" s="43">
        <f t="shared" si="92"/>
        <v>58187</v>
      </c>
      <c r="G67" s="43">
        <f t="shared" si="92"/>
        <v>58558</v>
      </c>
      <c r="H67" s="43">
        <f t="shared" si="92"/>
        <v>58989</v>
      </c>
      <c r="I67" s="43">
        <f t="shared" si="92"/>
        <v>56868</v>
      </c>
      <c r="J67" s="43">
        <f t="shared" ref="J67:O67" si="93">J434</f>
        <v>53690</v>
      </c>
      <c r="K67" s="43">
        <f t="shared" si="93"/>
        <v>54602</v>
      </c>
      <c r="L67" s="43">
        <f t="shared" si="93"/>
        <v>54768</v>
      </c>
      <c r="M67" s="43">
        <f t="shared" si="93"/>
        <v>54164</v>
      </c>
      <c r="N67" s="43">
        <f t="shared" si="93"/>
        <v>54805</v>
      </c>
      <c r="O67" s="43">
        <f t="shared" si="93"/>
        <v>57983</v>
      </c>
      <c r="Q67" s="41" t="s">
        <v>5567</v>
      </c>
    </row>
    <row r="68" spans="1:17" s="39" customFormat="1" ht="15.75" thickBot="1">
      <c r="A68" s="41"/>
      <c r="D68" s="49">
        <f t="shared" ref="D68:I68" si="94">D66+D67</f>
        <v>73339</v>
      </c>
      <c r="E68" s="49">
        <f t="shared" si="94"/>
        <v>74138</v>
      </c>
      <c r="F68" s="49">
        <f t="shared" si="94"/>
        <v>74999</v>
      </c>
      <c r="G68" s="49">
        <f t="shared" si="94"/>
        <v>75444</v>
      </c>
      <c r="H68" s="49">
        <f t="shared" si="94"/>
        <v>75906</v>
      </c>
      <c r="I68" s="49">
        <f t="shared" si="94"/>
        <v>73497</v>
      </c>
      <c r="J68" s="49">
        <f t="shared" ref="J68:O68" si="95">J66+J67</f>
        <v>70041</v>
      </c>
      <c r="K68" s="49">
        <f t="shared" si="95"/>
        <v>71136</v>
      </c>
      <c r="L68" s="49">
        <f t="shared" si="95"/>
        <v>71328</v>
      </c>
      <c r="M68" s="49">
        <f t="shared" si="95"/>
        <v>70479</v>
      </c>
      <c r="N68" s="49">
        <f t="shared" si="95"/>
        <v>71227</v>
      </c>
      <c r="O68" s="49">
        <f t="shared" si="95"/>
        <v>74688</v>
      </c>
      <c r="Q68" s="41"/>
    </row>
    <row r="69" spans="1:17" s="39" customFormat="1">
      <c r="D69" s="44"/>
      <c r="E69" s="44"/>
      <c r="F69" s="44"/>
      <c r="G69" s="44"/>
      <c r="H69" s="44"/>
      <c r="I69" s="44"/>
      <c r="J69" s="44"/>
      <c r="K69" s="44"/>
      <c r="L69" s="44"/>
      <c r="M69" s="44"/>
      <c r="N69" s="44"/>
      <c r="O69" s="44"/>
    </row>
    <row r="70" spans="1:17" s="39" customFormat="1">
      <c r="A70" s="41" t="s">
        <v>6796</v>
      </c>
      <c r="D70" s="42">
        <f t="shared" ref="D70:I70" si="96">D25+D27+D29+D31+D33+D37+D39+D44+D46+D48+D52+D56+D60+D62+D64+D68</f>
        <v>1160372</v>
      </c>
      <c r="E70" s="42">
        <f t="shared" si="96"/>
        <v>1169207</v>
      </c>
      <c r="F70" s="42">
        <f t="shared" si="96"/>
        <v>1174265</v>
      </c>
      <c r="G70" s="42">
        <f t="shared" si="96"/>
        <v>1179499</v>
      </c>
      <c r="H70" s="42">
        <f t="shared" si="96"/>
        <v>1187548</v>
      </c>
      <c r="I70" s="42">
        <f t="shared" si="96"/>
        <v>1161903</v>
      </c>
      <c r="J70" s="42">
        <f t="shared" ref="J70:O70" si="97">J25+J27+J29+J31+J33+J37+J39+J44+J46+J48+J52+J56+J60+J62+J64+J68</f>
        <v>1138614</v>
      </c>
      <c r="K70" s="42">
        <f t="shared" si="97"/>
        <v>1166038</v>
      </c>
      <c r="L70" s="42">
        <f t="shared" si="97"/>
        <v>1173746</v>
      </c>
      <c r="M70" s="42">
        <f t="shared" si="97"/>
        <v>1166579</v>
      </c>
      <c r="N70" s="42">
        <f t="shared" si="97"/>
        <v>1195583</v>
      </c>
      <c r="O70" s="42">
        <f t="shared" si="97"/>
        <v>1207024</v>
      </c>
    </row>
    <row r="71" spans="1:17" s="39" customFormat="1">
      <c r="D71" s="44"/>
      <c r="E71" s="44"/>
      <c r="F71" s="44"/>
      <c r="G71" s="44"/>
      <c r="H71" s="44"/>
      <c r="I71" s="44"/>
      <c r="J71" s="44"/>
      <c r="K71" s="44"/>
      <c r="L71" s="44"/>
      <c r="M71" s="44"/>
      <c r="N71" s="44"/>
      <c r="O71" s="44"/>
    </row>
    <row r="72" spans="1:17" s="39" customFormat="1">
      <c r="A72" s="41" t="s">
        <v>6797</v>
      </c>
      <c r="D72" s="42">
        <f t="shared" ref="D72:I72" si="98">MAX(D25,D27,D29,D31,D33,D37,D39,D44,D46,D48,D52,D56,D60,D62,D64,D68)-MIN(D25,D27,D29,D31,D33,D37,D39,D44,D46,D48,D52,D56,D60,D62,D64,D68)</f>
        <v>9923</v>
      </c>
      <c r="E72" s="42">
        <f t="shared" si="98"/>
        <v>10617</v>
      </c>
      <c r="F72" s="42">
        <f t="shared" si="98"/>
        <v>11548</v>
      </c>
      <c r="G72" s="42">
        <f t="shared" si="98"/>
        <v>12300</v>
      </c>
      <c r="H72" s="42">
        <f t="shared" si="98"/>
        <v>12959</v>
      </c>
      <c r="I72" s="42">
        <f t="shared" si="98"/>
        <v>15313</v>
      </c>
      <c r="J72" s="42">
        <f t="shared" ref="J72:O72" si="99">MAX(J25,J27,J29,J31,J33,J37,J39,J44,J46,J48,J52,J56,J60,J62,J64,J68)-MIN(J25,J27,J29,J31,J33,J37,J39,J44,J46,J48,J52,J56,J60,J62,J64,J68)</f>
        <v>14125</v>
      </c>
      <c r="K72" s="42">
        <f t="shared" si="99"/>
        <v>15443</v>
      </c>
      <c r="L72" s="42">
        <f t="shared" si="99"/>
        <v>16112</v>
      </c>
      <c r="M72" s="42">
        <f t="shared" si="99"/>
        <v>16209</v>
      </c>
      <c r="N72" s="42">
        <f t="shared" si="99"/>
        <v>14850</v>
      </c>
      <c r="O72" s="42">
        <f t="shared" si="99"/>
        <v>16069</v>
      </c>
    </row>
    <row r="73" spans="1:17" s="39" customFormat="1">
      <c r="D73" s="44"/>
      <c r="E73" s="44"/>
      <c r="F73" s="44"/>
      <c r="G73" s="44"/>
      <c r="H73" s="44"/>
      <c r="I73" s="44"/>
      <c r="J73" s="44"/>
      <c r="K73" s="44"/>
      <c r="L73" s="44"/>
      <c r="M73" s="44"/>
      <c r="N73" s="44"/>
      <c r="O73" s="44"/>
    </row>
    <row r="74" spans="1:17" s="39" customFormat="1">
      <c r="A74" s="41" t="s">
        <v>6800</v>
      </c>
      <c r="D74" s="42">
        <f t="shared" ref="D74:I74" si="100">STDEVP(D25,D27,D29,D31,D33,D37,D39,D44,D46,D48,D52,D56,D60,D62,D64,D68)</f>
        <v>2793.0700962381879</v>
      </c>
      <c r="E74" s="42">
        <f t="shared" si="100"/>
        <v>2782.3191533491895</v>
      </c>
      <c r="F74" s="42">
        <f t="shared" si="100"/>
        <v>3033.1221943887704</v>
      </c>
      <c r="G74" s="42">
        <f t="shared" si="100"/>
        <v>3421.6261616143502</v>
      </c>
      <c r="H74" s="42">
        <f t="shared" si="100"/>
        <v>3878.840008623712</v>
      </c>
      <c r="I74" s="42">
        <f t="shared" si="100"/>
        <v>4192.7949280394996</v>
      </c>
      <c r="J74" s="42">
        <f t="shared" ref="J74:O74" si="101">STDEVP(J25,J27,J29,J31,J33,J37,J39,J44,J46,J48,J52,J56,J60,J62,J64,J68)</f>
        <v>4299.4404559634268</v>
      </c>
      <c r="K74" s="42">
        <f t="shared" si="101"/>
        <v>4514.6356009510891</v>
      </c>
      <c r="L74" s="42">
        <f t="shared" si="101"/>
        <v>4703.8647524535609</v>
      </c>
      <c r="M74" s="42">
        <f t="shared" si="101"/>
        <v>4851.9258575686981</v>
      </c>
      <c r="N74" s="42">
        <f t="shared" si="101"/>
        <v>4692.2753072037185</v>
      </c>
      <c r="O74" s="42">
        <f t="shared" si="101"/>
        <v>4649.412099932636</v>
      </c>
    </row>
    <row r="75" spans="1:17" s="39" customFormat="1">
      <c r="A75" s="41"/>
      <c r="D75" s="42"/>
      <c r="E75" s="42"/>
      <c r="F75" s="42"/>
      <c r="G75" s="42"/>
      <c r="H75" s="42"/>
      <c r="I75" s="42"/>
      <c r="J75" s="42"/>
      <c r="K75" s="42"/>
      <c r="L75" s="42"/>
      <c r="M75" s="42"/>
      <c r="N75" s="42"/>
      <c r="O75" s="42"/>
    </row>
    <row r="76" spans="1:17" s="39" customFormat="1">
      <c r="A76" s="41" t="s">
        <v>5552</v>
      </c>
      <c r="D76" s="42"/>
      <c r="E76" s="42"/>
      <c r="F76" s="42"/>
      <c r="G76" s="42"/>
      <c r="H76" s="42"/>
      <c r="I76" s="42"/>
      <c r="J76" s="42"/>
      <c r="K76" s="42"/>
      <c r="L76" s="42"/>
      <c r="M76" s="42"/>
      <c r="N76" s="42"/>
      <c r="O76" s="42"/>
    </row>
    <row r="77" spans="1:17" s="39" customFormat="1"/>
    <row r="78" spans="1:17" s="39" customFormat="1">
      <c r="A78" s="50"/>
    </row>
    <row r="79" spans="1:17" s="39" customFormat="1">
      <c r="E79" s="51" t="s">
        <v>1526</v>
      </c>
      <c r="F79" s="51"/>
      <c r="G79" s="51"/>
      <c r="H79" s="51"/>
      <c r="I79" s="51"/>
      <c r="J79" s="51"/>
      <c r="K79" s="51"/>
      <c r="L79" s="51"/>
      <c r="M79" s="51"/>
      <c r="N79" s="51"/>
      <c r="O79" s="51"/>
      <c r="P79" s="52"/>
      <c r="Q79" s="53" t="s">
        <v>9479</v>
      </c>
    </row>
    <row r="80" spans="1:17" s="39" customFormat="1">
      <c r="D80" s="40">
        <v>2010</v>
      </c>
      <c r="E80" s="40">
        <v>2011</v>
      </c>
      <c r="F80" s="40">
        <v>2012</v>
      </c>
      <c r="G80" s="40">
        <v>2013</v>
      </c>
      <c r="H80" s="40">
        <v>2014</v>
      </c>
      <c r="I80" s="40">
        <v>2015</v>
      </c>
      <c r="J80" s="40">
        <v>2016</v>
      </c>
      <c r="K80" s="40">
        <v>2017</v>
      </c>
      <c r="L80" s="40">
        <v>2018</v>
      </c>
      <c r="M80" s="40">
        <v>2019</v>
      </c>
      <c r="N80" s="40">
        <v>2020</v>
      </c>
      <c r="O80" s="971" t="s">
        <v>14823</v>
      </c>
      <c r="P80" s="52"/>
      <c r="Q80" s="54" t="s">
        <v>1527</v>
      </c>
    </row>
    <row r="81" spans="1:17" s="39" customFormat="1">
      <c r="A81" s="41" t="s">
        <v>1193</v>
      </c>
      <c r="C81" s="41"/>
      <c r="D81" s="42">
        <f t="shared" ref="D81:I81" si="102">SUM(D82:D97)</f>
        <v>166253</v>
      </c>
      <c r="E81" s="42">
        <f t="shared" si="102"/>
        <v>165725</v>
      </c>
      <c r="F81" s="42">
        <f t="shared" si="102"/>
        <v>164387</v>
      </c>
      <c r="G81" s="42">
        <f t="shared" si="102"/>
        <v>162415</v>
      </c>
      <c r="H81" s="42">
        <f t="shared" si="102"/>
        <v>164847</v>
      </c>
      <c r="I81" s="42">
        <f t="shared" si="102"/>
        <v>153712</v>
      </c>
      <c r="J81" s="42">
        <f t="shared" ref="J81:O81" si="103">SUM(J82:J97)</f>
        <v>148179</v>
      </c>
      <c r="K81" s="42">
        <f t="shared" si="103"/>
        <v>150842</v>
      </c>
      <c r="L81" s="42">
        <f t="shared" si="103"/>
        <v>152503</v>
      </c>
      <c r="M81" s="42">
        <f t="shared" si="103"/>
        <v>150628</v>
      </c>
      <c r="N81" s="42">
        <f t="shared" si="103"/>
        <v>160807</v>
      </c>
      <c r="O81" s="42">
        <f t="shared" si="103"/>
        <v>160727</v>
      </c>
    </row>
    <row r="82" spans="1:17" s="39" customFormat="1">
      <c r="A82" s="41" t="s">
        <v>5387</v>
      </c>
      <c r="B82" s="41" t="s">
        <v>5003</v>
      </c>
      <c r="C82" s="55" t="s">
        <v>198</v>
      </c>
      <c r="D82" s="42">
        <v>13098</v>
      </c>
      <c r="E82" s="42">
        <v>13025</v>
      </c>
      <c r="F82" s="42">
        <v>12466</v>
      </c>
      <c r="G82" s="56">
        <v>11952</v>
      </c>
      <c r="H82" s="56">
        <v>12415</v>
      </c>
      <c r="I82" s="56">
        <v>9024</v>
      </c>
      <c r="J82" s="56">
        <v>8571</v>
      </c>
      <c r="K82" s="56">
        <v>9192</v>
      </c>
      <c r="L82" s="56">
        <v>9554</v>
      </c>
      <c r="M82" s="56">
        <v>9506</v>
      </c>
      <c r="N82" s="56">
        <v>12173</v>
      </c>
      <c r="O82" s="56">
        <v>12185</v>
      </c>
      <c r="Q82" s="41" t="s">
        <v>5576</v>
      </c>
    </row>
    <row r="83" spans="1:17" s="39" customFormat="1">
      <c r="A83" s="41" t="s">
        <v>5389</v>
      </c>
      <c r="B83" s="41" t="s">
        <v>5004</v>
      </c>
      <c r="C83" s="55" t="s">
        <v>199</v>
      </c>
      <c r="D83" s="42">
        <v>10681</v>
      </c>
      <c r="E83" s="42">
        <v>10771</v>
      </c>
      <c r="F83" s="42">
        <v>10580</v>
      </c>
      <c r="G83" s="56">
        <v>10392</v>
      </c>
      <c r="H83" s="56">
        <v>10666</v>
      </c>
      <c r="I83" s="56">
        <v>9123</v>
      </c>
      <c r="J83" s="56">
        <v>8890</v>
      </c>
      <c r="K83" s="56">
        <v>8863</v>
      </c>
      <c r="L83" s="56">
        <v>9067</v>
      </c>
      <c r="M83" s="56">
        <v>8785</v>
      </c>
      <c r="N83" s="56">
        <v>10155</v>
      </c>
      <c r="O83" s="56">
        <v>10150</v>
      </c>
      <c r="Q83" s="41" t="s">
        <v>5574</v>
      </c>
    </row>
    <row r="84" spans="1:17" s="39" customFormat="1">
      <c r="A84" s="41" t="s">
        <v>5391</v>
      </c>
      <c r="B84" s="41" t="s">
        <v>5005</v>
      </c>
      <c r="C84" s="55" t="s">
        <v>200</v>
      </c>
      <c r="D84" s="57">
        <v>9718</v>
      </c>
      <c r="E84" s="57">
        <v>9901</v>
      </c>
      <c r="F84" s="57">
        <v>10062</v>
      </c>
      <c r="G84" s="56">
        <v>9750</v>
      </c>
      <c r="H84" s="56">
        <v>9508</v>
      </c>
      <c r="I84" s="56">
        <v>8400</v>
      </c>
      <c r="J84" s="56">
        <v>8343</v>
      </c>
      <c r="K84" s="56">
        <v>8518</v>
      </c>
      <c r="L84" s="56">
        <v>8690</v>
      </c>
      <c r="M84" s="56">
        <v>8632</v>
      </c>
      <c r="N84" s="56">
        <v>10189</v>
      </c>
      <c r="O84" s="56">
        <v>10179</v>
      </c>
      <c r="Q84" s="41" t="s">
        <v>5577</v>
      </c>
    </row>
    <row r="85" spans="1:17" s="39" customFormat="1">
      <c r="A85" s="41" t="s">
        <v>5393</v>
      </c>
      <c r="B85" s="41" t="s">
        <v>5006</v>
      </c>
      <c r="C85" s="55" t="s">
        <v>201</v>
      </c>
      <c r="D85" s="42">
        <v>9920</v>
      </c>
      <c r="E85" s="42">
        <v>9873</v>
      </c>
      <c r="F85" s="42">
        <v>9972</v>
      </c>
      <c r="G85" s="56">
        <v>10036</v>
      </c>
      <c r="H85" s="56">
        <v>10277</v>
      </c>
      <c r="I85" s="56">
        <v>10076</v>
      </c>
      <c r="J85" s="56">
        <v>9573</v>
      </c>
      <c r="K85" s="56">
        <v>9564</v>
      </c>
      <c r="L85" s="56">
        <v>9527</v>
      </c>
      <c r="M85" s="56">
        <v>9494</v>
      </c>
      <c r="N85" s="56">
        <v>9553</v>
      </c>
      <c r="O85" s="56">
        <v>9552</v>
      </c>
      <c r="Q85" s="41" t="s">
        <v>5576</v>
      </c>
    </row>
    <row r="86" spans="1:17" s="39" customFormat="1">
      <c r="A86" s="41" t="s">
        <v>5394</v>
      </c>
      <c r="B86" s="41" t="s">
        <v>5007</v>
      </c>
      <c r="C86" s="55" t="s">
        <v>202</v>
      </c>
      <c r="D86" s="42">
        <v>10267</v>
      </c>
      <c r="E86" s="42">
        <v>10232</v>
      </c>
      <c r="F86" s="42">
        <v>10278</v>
      </c>
      <c r="G86" s="56">
        <v>10244</v>
      </c>
      <c r="H86" s="56">
        <v>10398</v>
      </c>
      <c r="I86" s="56">
        <v>10157</v>
      </c>
      <c r="J86" s="56">
        <v>9747</v>
      </c>
      <c r="K86" s="56">
        <v>9924</v>
      </c>
      <c r="L86" s="56">
        <v>9807</v>
      </c>
      <c r="M86" s="56">
        <v>9677</v>
      </c>
      <c r="N86" s="56">
        <v>9901</v>
      </c>
      <c r="O86" s="56">
        <v>9897</v>
      </c>
      <c r="Q86" s="41" t="s">
        <v>5576</v>
      </c>
    </row>
    <row r="87" spans="1:17" s="39" customFormat="1">
      <c r="A87" s="41" t="s">
        <v>5416</v>
      </c>
      <c r="B87" s="41" t="s">
        <v>5008</v>
      </c>
      <c r="C87" s="55" t="s">
        <v>203</v>
      </c>
      <c r="D87" s="42">
        <v>10240</v>
      </c>
      <c r="E87" s="42">
        <v>10120</v>
      </c>
      <c r="F87" s="42">
        <v>10218</v>
      </c>
      <c r="G87" s="56">
        <v>10230</v>
      </c>
      <c r="H87" s="56">
        <v>10348</v>
      </c>
      <c r="I87" s="56">
        <v>10240</v>
      </c>
      <c r="J87" s="56">
        <v>9843</v>
      </c>
      <c r="K87" s="56">
        <v>9879</v>
      </c>
      <c r="L87" s="56">
        <v>9826</v>
      </c>
      <c r="M87" s="56">
        <v>9668</v>
      </c>
      <c r="N87" s="56">
        <v>9701</v>
      </c>
      <c r="O87" s="56">
        <v>9707</v>
      </c>
      <c r="Q87" s="41" t="s">
        <v>5577</v>
      </c>
    </row>
    <row r="88" spans="1:17" s="39" customFormat="1">
      <c r="A88" s="41" t="s">
        <v>5418</v>
      </c>
      <c r="B88" s="41" t="s">
        <v>5009</v>
      </c>
      <c r="C88" s="55" t="s">
        <v>204</v>
      </c>
      <c r="D88" s="57">
        <v>10370</v>
      </c>
      <c r="E88" s="57">
        <v>10139</v>
      </c>
      <c r="F88" s="57">
        <v>9923</v>
      </c>
      <c r="G88" s="56">
        <v>9682</v>
      </c>
      <c r="H88" s="56">
        <v>9883</v>
      </c>
      <c r="I88" s="56">
        <v>9031</v>
      </c>
      <c r="J88" s="56">
        <v>8673</v>
      </c>
      <c r="K88" s="56">
        <v>8987</v>
      </c>
      <c r="L88" s="56">
        <v>9259</v>
      </c>
      <c r="M88" s="56">
        <v>9064</v>
      </c>
      <c r="N88" s="56">
        <v>9819</v>
      </c>
      <c r="O88" s="56">
        <v>9797</v>
      </c>
      <c r="Q88" s="41" t="s">
        <v>5577</v>
      </c>
    </row>
    <row r="89" spans="1:17" s="39" customFormat="1">
      <c r="A89" s="41" t="s">
        <v>5420</v>
      </c>
      <c r="B89" s="41" t="s">
        <v>5010</v>
      </c>
      <c r="C89" s="55" t="s">
        <v>205</v>
      </c>
      <c r="D89" s="42">
        <v>10567</v>
      </c>
      <c r="E89" s="42">
        <v>10463</v>
      </c>
      <c r="F89" s="42">
        <v>10377</v>
      </c>
      <c r="G89" s="56">
        <v>10327</v>
      </c>
      <c r="H89" s="56">
        <v>10312</v>
      </c>
      <c r="I89" s="56">
        <v>10193</v>
      </c>
      <c r="J89" s="56">
        <v>9698</v>
      </c>
      <c r="K89" s="56">
        <v>9900</v>
      </c>
      <c r="L89" s="56">
        <v>9953</v>
      </c>
      <c r="M89" s="56">
        <v>9889</v>
      </c>
      <c r="N89" s="56">
        <v>10016</v>
      </c>
      <c r="O89" s="56">
        <v>10014</v>
      </c>
      <c r="Q89" s="41" t="s">
        <v>5576</v>
      </c>
    </row>
    <row r="90" spans="1:17" s="39" customFormat="1">
      <c r="A90" s="41" t="s">
        <v>5422</v>
      </c>
      <c r="B90" s="41" t="s">
        <v>5011</v>
      </c>
      <c r="C90" s="55" t="s">
        <v>206</v>
      </c>
      <c r="D90" s="42">
        <v>10610</v>
      </c>
      <c r="E90" s="42">
        <v>10573</v>
      </c>
      <c r="F90" s="42">
        <v>10576</v>
      </c>
      <c r="G90" s="56">
        <v>10420</v>
      </c>
      <c r="H90" s="56">
        <v>10586</v>
      </c>
      <c r="I90" s="56">
        <v>10266</v>
      </c>
      <c r="J90" s="56">
        <v>9954</v>
      </c>
      <c r="K90" s="56">
        <v>10050</v>
      </c>
      <c r="L90" s="56">
        <v>10109</v>
      </c>
      <c r="M90" s="56">
        <v>9941</v>
      </c>
      <c r="N90" s="56">
        <v>10105</v>
      </c>
      <c r="O90" s="56">
        <v>10099</v>
      </c>
      <c r="Q90" s="41" t="s">
        <v>5577</v>
      </c>
    </row>
    <row r="91" spans="1:17" s="39" customFormat="1">
      <c r="A91" s="41" t="s">
        <v>5424</v>
      </c>
      <c r="B91" s="41" t="s">
        <v>5012</v>
      </c>
      <c r="C91" s="55" t="s">
        <v>207</v>
      </c>
      <c r="D91" s="42">
        <v>10270</v>
      </c>
      <c r="E91" s="42">
        <v>10366</v>
      </c>
      <c r="F91" s="42">
        <v>10380</v>
      </c>
      <c r="G91" s="56">
        <v>10348</v>
      </c>
      <c r="H91" s="56">
        <v>10494</v>
      </c>
      <c r="I91" s="56">
        <v>10318</v>
      </c>
      <c r="J91" s="56">
        <v>9850</v>
      </c>
      <c r="K91" s="56">
        <v>9951</v>
      </c>
      <c r="L91" s="56">
        <v>9969</v>
      </c>
      <c r="M91" s="56">
        <v>9844</v>
      </c>
      <c r="N91" s="56">
        <v>9918</v>
      </c>
      <c r="O91" s="56">
        <v>9925</v>
      </c>
      <c r="Q91" s="41" t="s">
        <v>5576</v>
      </c>
    </row>
    <row r="92" spans="1:17" s="39" customFormat="1">
      <c r="A92" s="41" t="s">
        <v>5426</v>
      </c>
      <c r="B92" s="41" t="s">
        <v>5013</v>
      </c>
      <c r="C92" s="55" t="s">
        <v>208</v>
      </c>
      <c r="D92" s="42">
        <v>10323</v>
      </c>
      <c r="E92" s="42">
        <v>10280</v>
      </c>
      <c r="F92" s="42">
        <v>9917</v>
      </c>
      <c r="G92" s="56">
        <v>9664</v>
      </c>
      <c r="H92" s="56">
        <v>9745</v>
      </c>
      <c r="I92" s="56">
        <v>8978</v>
      </c>
      <c r="J92" s="56">
        <v>8877</v>
      </c>
      <c r="K92" s="56">
        <v>8999</v>
      </c>
      <c r="L92" s="56">
        <v>9403</v>
      </c>
      <c r="M92" s="56">
        <v>9156</v>
      </c>
      <c r="N92" s="56">
        <v>10495</v>
      </c>
      <c r="O92" s="56">
        <v>10489</v>
      </c>
      <c r="Q92" s="41" t="s">
        <v>5577</v>
      </c>
    </row>
    <row r="93" spans="1:17" s="39" customFormat="1">
      <c r="A93" s="41" t="s">
        <v>5428</v>
      </c>
      <c r="B93" s="41" t="s">
        <v>6887</v>
      </c>
      <c r="C93" s="55" t="s">
        <v>209</v>
      </c>
      <c r="D93" s="42">
        <v>10456</v>
      </c>
      <c r="E93" s="42">
        <v>10305</v>
      </c>
      <c r="F93" s="42">
        <v>10188</v>
      </c>
      <c r="G93" s="56">
        <v>10139</v>
      </c>
      <c r="H93" s="56">
        <v>10425</v>
      </c>
      <c r="I93" s="56">
        <v>10313</v>
      </c>
      <c r="J93" s="56">
        <v>9871</v>
      </c>
      <c r="K93" s="56">
        <v>10152</v>
      </c>
      <c r="L93" s="56">
        <v>10193</v>
      </c>
      <c r="M93" s="56">
        <v>10183</v>
      </c>
      <c r="N93" s="56">
        <v>10250</v>
      </c>
      <c r="O93" s="56">
        <v>10233</v>
      </c>
      <c r="Q93" s="41" t="s">
        <v>5577</v>
      </c>
    </row>
    <row r="94" spans="1:17" s="39" customFormat="1">
      <c r="A94" s="41" t="s">
        <v>5429</v>
      </c>
      <c r="B94" s="41" t="s">
        <v>6399</v>
      </c>
      <c r="C94" s="55" t="s">
        <v>210</v>
      </c>
      <c r="D94" s="42">
        <v>9995</v>
      </c>
      <c r="E94" s="42">
        <v>9945</v>
      </c>
      <c r="F94" s="42">
        <v>9872</v>
      </c>
      <c r="G94" s="58">
        <v>9807</v>
      </c>
      <c r="H94" s="58">
        <v>9892</v>
      </c>
      <c r="I94" s="58">
        <v>9751</v>
      </c>
      <c r="J94" s="58">
        <v>9212</v>
      </c>
      <c r="K94" s="58">
        <v>9351</v>
      </c>
      <c r="L94" s="58">
        <v>9377</v>
      </c>
      <c r="M94" s="58">
        <v>9346</v>
      </c>
      <c r="N94" s="58">
        <v>9464</v>
      </c>
      <c r="O94" s="58">
        <v>9456</v>
      </c>
      <c r="Q94" s="41" t="s">
        <v>5577</v>
      </c>
    </row>
    <row r="95" spans="1:17" s="39" customFormat="1">
      <c r="A95" s="41" t="s">
        <v>5431</v>
      </c>
      <c r="B95" s="41" t="s">
        <v>5014</v>
      </c>
      <c r="C95" s="55" t="s">
        <v>211</v>
      </c>
      <c r="D95" s="42">
        <v>10789</v>
      </c>
      <c r="E95" s="42">
        <v>10763</v>
      </c>
      <c r="F95" s="42">
        <v>10715</v>
      </c>
      <c r="G95" s="56">
        <v>10670</v>
      </c>
      <c r="H95" s="56">
        <v>10761</v>
      </c>
      <c r="I95" s="56">
        <v>10590</v>
      </c>
      <c r="J95" s="56">
        <v>10291</v>
      </c>
      <c r="K95" s="56">
        <v>10411</v>
      </c>
      <c r="L95" s="56">
        <v>10383</v>
      </c>
      <c r="M95" s="56">
        <v>10290</v>
      </c>
      <c r="N95" s="56">
        <v>10328</v>
      </c>
      <c r="O95" s="56">
        <v>10319</v>
      </c>
      <c r="Q95" s="41" t="s">
        <v>5576</v>
      </c>
    </row>
    <row r="96" spans="1:17" s="39" customFormat="1">
      <c r="A96" s="41" t="s">
        <v>5433</v>
      </c>
      <c r="B96" s="41" t="s">
        <v>5015</v>
      </c>
      <c r="C96" s="55" t="s">
        <v>212</v>
      </c>
      <c r="D96" s="42">
        <v>9140</v>
      </c>
      <c r="E96" s="42">
        <v>9178</v>
      </c>
      <c r="F96" s="42">
        <v>9140</v>
      </c>
      <c r="G96" s="56">
        <v>8926</v>
      </c>
      <c r="H96" s="56">
        <v>9082</v>
      </c>
      <c r="I96" s="56">
        <v>7437</v>
      </c>
      <c r="J96" s="56">
        <v>7385</v>
      </c>
      <c r="K96" s="56">
        <v>7347</v>
      </c>
      <c r="L96" s="56">
        <v>7508</v>
      </c>
      <c r="M96" s="56">
        <v>7264</v>
      </c>
      <c r="N96" s="56">
        <v>8477</v>
      </c>
      <c r="O96" s="56">
        <v>8467</v>
      </c>
      <c r="Q96" s="41" t="s">
        <v>5574</v>
      </c>
    </row>
    <row r="97" spans="1:17" s="39" customFormat="1">
      <c r="A97" s="59">
        <v>16</v>
      </c>
      <c r="B97" s="41" t="s">
        <v>5016</v>
      </c>
      <c r="C97" s="55" t="s">
        <v>213</v>
      </c>
      <c r="D97" s="42">
        <v>9809</v>
      </c>
      <c r="E97" s="42">
        <v>9791</v>
      </c>
      <c r="F97" s="42">
        <v>9723</v>
      </c>
      <c r="G97" s="56">
        <v>9828</v>
      </c>
      <c r="H97" s="56">
        <v>10055</v>
      </c>
      <c r="I97" s="56">
        <v>9815</v>
      </c>
      <c r="J97" s="56">
        <v>9401</v>
      </c>
      <c r="K97" s="56">
        <v>9754</v>
      </c>
      <c r="L97" s="56">
        <v>9878</v>
      </c>
      <c r="M97" s="56">
        <v>9889</v>
      </c>
      <c r="N97" s="56">
        <v>10263</v>
      </c>
      <c r="O97" s="56">
        <v>10258</v>
      </c>
      <c r="Q97" s="41" t="s">
        <v>5576</v>
      </c>
    </row>
    <row r="98" spans="1:17" s="39" customFormat="1">
      <c r="C98" s="60"/>
      <c r="D98" s="44"/>
      <c r="E98" s="44"/>
      <c r="F98" s="44"/>
      <c r="G98" s="44"/>
      <c r="H98" s="44"/>
      <c r="I98" s="44"/>
      <c r="J98" s="44"/>
      <c r="K98" s="44"/>
      <c r="L98" s="44"/>
      <c r="M98" s="44"/>
      <c r="N98" s="44"/>
      <c r="O98" s="44"/>
    </row>
    <row r="99" spans="1:17" s="39" customFormat="1">
      <c r="A99" s="41" t="s">
        <v>5040</v>
      </c>
      <c r="C99" s="60"/>
      <c r="D99" s="42">
        <f t="shared" ref="D99:I99" si="104">D83+D96</f>
        <v>19821</v>
      </c>
      <c r="E99" s="42">
        <f t="shared" si="104"/>
        <v>19949</v>
      </c>
      <c r="F99" s="42">
        <f t="shared" si="104"/>
        <v>19720</v>
      </c>
      <c r="G99" s="42">
        <f t="shared" si="104"/>
        <v>19318</v>
      </c>
      <c r="H99" s="42">
        <f t="shared" si="104"/>
        <v>19748</v>
      </c>
      <c r="I99" s="42">
        <f t="shared" si="104"/>
        <v>16560</v>
      </c>
      <c r="J99" s="42">
        <f t="shared" ref="J99:O99" si="105">J83+J96</f>
        <v>16275</v>
      </c>
      <c r="K99" s="42">
        <f t="shared" si="105"/>
        <v>16210</v>
      </c>
      <c r="L99" s="42">
        <f t="shared" si="105"/>
        <v>16575</v>
      </c>
      <c r="M99" s="42">
        <f t="shared" si="105"/>
        <v>16049</v>
      </c>
      <c r="N99" s="42">
        <f t="shared" si="105"/>
        <v>18632</v>
      </c>
      <c r="O99" s="42">
        <f t="shared" si="105"/>
        <v>18617</v>
      </c>
    </row>
    <row r="100" spans="1:17" s="39" customFormat="1">
      <c r="A100" s="41" t="s">
        <v>5576</v>
      </c>
      <c r="C100" s="60"/>
      <c r="D100" s="42">
        <f t="shared" ref="D100:I100" si="106">D82+D85+D86+D89+D91+D95+D97</f>
        <v>74720</v>
      </c>
      <c r="E100" s="42">
        <f t="shared" si="106"/>
        <v>74513</v>
      </c>
      <c r="F100" s="42">
        <f t="shared" si="106"/>
        <v>73911</v>
      </c>
      <c r="G100" s="42">
        <f t="shared" si="106"/>
        <v>73405</v>
      </c>
      <c r="H100" s="42">
        <f t="shared" si="106"/>
        <v>74712</v>
      </c>
      <c r="I100" s="42">
        <f t="shared" si="106"/>
        <v>70173</v>
      </c>
      <c r="J100" s="42">
        <f t="shared" ref="J100:O100" si="107">J82+J85+J86+J89+J91+J95+J97</f>
        <v>67131</v>
      </c>
      <c r="K100" s="42">
        <f t="shared" si="107"/>
        <v>68696</v>
      </c>
      <c r="L100" s="42">
        <f t="shared" si="107"/>
        <v>69071</v>
      </c>
      <c r="M100" s="42">
        <f t="shared" si="107"/>
        <v>68589</v>
      </c>
      <c r="N100" s="42">
        <f t="shared" si="107"/>
        <v>72152</v>
      </c>
      <c r="O100" s="42">
        <f t="shared" si="107"/>
        <v>72150</v>
      </c>
    </row>
    <row r="101" spans="1:17" s="39" customFormat="1">
      <c r="A101" s="41" t="s">
        <v>5577</v>
      </c>
      <c r="C101" s="60"/>
      <c r="D101" s="42">
        <f t="shared" ref="D101:I101" si="108">D84+D87+D88+D90+SUM(D92:D94)</f>
        <v>71712</v>
      </c>
      <c r="E101" s="42">
        <f t="shared" si="108"/>
        <v>71263</v>
      </c>
      <c r="F101" s="42">
        <f t="shared" si="108"/>
        <v>70756</v>
      </c>
      <c r="G101" s="42">
        <f t="shared" si="108"/>
        <v>69692</v>
      </c>
      <c r="H101" s="42">
        <f t="shared" si="108"/>
        <v>70387</v>
      </c>
      <c r="I101" s="42">
        <f t="shared" si="108"/>
        <v>66979</v>
      </c>
      <c r="J101" s="42">
        <f t="shared" ref="J101:O101" si="109">J84+J87+J88+J90+SUM(J92:J94)</f>
        <v>64773</v>
      </c>
      <c r="K101" s="42">
        <f t="shared" si="109"/>
        <v>65936</v>
      </c>
      <c r="L101" s="42">
        <f t="shared" si="109"/>
        <v>66857</v>
      </c>
      <c r="M101" s="42">
        <f t="shared" si="109"/>
        <v>65990</v>
      </c>
      <c r="N101" s="42">
        <f t="shared" si="109"/>
        <v>70023</v>
      </c>
      <c r="O101" s="42">
        <f t="shared" si="109"/>
        <v>69960</v>
      </c>
    </row>
    <row r="102" spans="1:17" s="39" customFormat="1">
      <c r="C102" s="60"/>
    </row>
    <row r="103" spans="1:17" s="39" customFormat="1">
      <c r="A103" s="41" t="s">
        <v>5041</v>
      </c>
      <c r="C103" s="60"/>
    </row>
    <row r="104" spans="1:17" s="39" customFormat="1">
      <c r="A104" s="41"/>
      <c r="C104" s="60"/>
    </row>
    <row r="105" spans="1:17" s="39" customFormat="1">
      <c r="A105" s="41"/>
      <c r="C105" s="60"/>
    </row>
    <row r="106" spans="1:17" s="39" customFormat="1">
      <c r="C106" s="60"/>
      <c r="E106" s="51" t="s">
        <v>1526</v>
      </c>
      <c r="F106" s="51"/>
      <c r="G106" s="51"/>
      <c r="H106" s="51"/>
      <c r="I106" s="51"/>
      <c r="J106" s="51"/>
      <c r="K106" s="51"/>
      <c r="L106" s="51"/>
      <c r="M106" s="51"/>
      <c r="N106" s="51"/>
      <c r="O106" s="51"/>
      <c r="P106" s="52"/>
      <c r="Q106" s="53" t="s">
        <v>9479</v>
      </c>
    </row>
    <row r="107" spans="1:17" s="39" customFormat="1">
      <c r="C107" s="60"/>
      <c r="D107" s="40">
        <v>2010</v>
      </c>
      <c r="E107" s="40">
        <v>2011</v>
      </c>
      <c r="F107" s="40">
        <v>2012</v>
      </c>
      <c r="G107" s="40">
        <v>2013</v>
      </c>
      <c r="H107" s="40">
        <v>2014</v>
      </c>
      <c r="I107" s="40">
        <v>2015</v>
      </c>
      <c r="J107" s="40">
        <v>2016</v>
      </c>
      <c r="K107" s="40">
        <v>2017</v>
      </c>
      <c r="L107" s="40">
        <v>2018</v>
      </c>
      <c r="M107" s="40">
        <v>2019</v>
      </c>
      <c r="N107" s="40">
        <v>2020</v>
      </c>
      <c r="O107" s="971" t="s">
        <v>14823</v>
      </c>
      <c r="P107" s="52"/>
      <c r="Q107" s="54" t="s">
        <v>1527</v>
      </c>
    </row>
    <row r="108" spans="1:17" s="39" customFormat="1">
      <c r="A108" s="41" t="s">
        <v>5042</v>
      </c>
      <c r="C108" s="60"/>
      <c r="D108" s="42">
        <f t="shared" ref="D108:N108" si="110">SUM(D109:D110,D112:D122,D124:D126,D128:D130,D132:D135)</f>
        <v>121140</v>
      </c>
      <c r="E108" s="42">
        <f t="shared" si="110"/>
        <v>122037</v>
      </c>
      <c r="F108" s="42">
        <f t="shared" si="110"/>
        <v>122819</v>
      </c>
      <c r="G108" s="42">
        <f t="shared" si="110"/>
        <v>125592</v>
      </c>
      <c r="H108" s="42">
        <f t="shared" si="110"/>
        <v>129203</v>
      </c>
      <c r="I108" s="42">
        <f t="shared" si="110"/>
        <v>127353</v>
      </c>
      <c r="J108" s="42">
        <f t="shared" si="110"/>
        <v>124473</v>
      </c>
      <c r="K108" s="42">
        <f t="shared" si="110"/>
        <v>128131</v>
      </c>
      <c r="L108" s="42">
        <f t="shared" si="110"/>
        <v>129390</v>
      </c>
      <c r="M108" s="42">
        <f t="shared" si="110"/>
        <v>128236</v>
      </c>
      <c r="N108" s="42">
        <f t="shared" si="110"/>
        <v>132361</v>
      </c>
      <c r="O108" s="42">
        <f>SUM(O109:O110,O112:O122,O124:O126,O128:O130,O132:O135)</f>
        <v>132372</v>
      </c>
    </row>
    <row r="109" spans="1:17" s="39" customFormat="1">
      <c r="A109" s="41" t="s">
        <v>5387</v>
      </c>
      <c r="B109" s="41" t="s">
        <v>14570</v>
      </c>
      <c r="C109" s="55" t="s">
        <v>14588</v>
      </c>
      <c r="D109" s="42">
        <v>0</v>
      </c>
      <c r="E109" s="42">
        <v>0</v>
      </c>
      <c r="F109" s="42">
        <v>0</v>
      </c>
      <c r="G109" s="42">
        <v>0</v>
      </c>
      <c r="H109" s="42">
        <v>0</v>
      </c>
      <c r="I109" s="42">
        <v>0</v>
      </c>
      <c r="J109" s="42">
        <v>0</v>
      </c>
      <c r="K109" s="42">
        <v>0</v>
      </c>
      <c r="L109" s="42">
        <v>0</v>
      </c>
      <c r="M109" s="42">
        <v>0</v>
      </c>
      <c r="N109" s="56">
        <v>6755</v>
      </c>
      <c r="O109" s="56">
        <v>6747</v>
      </c>
      <c r="Q109" s="41" t="s">
        <v>5555</v>
      </c>
    </row>
    <row r="110" spans="1:17" s="39" customFormat="1" ht="15.75" thickBot="1">
      <c r="A110" s="41"/>
      <c r="B110" s="41"/>
      <c r="C110" s="55" t="s">
        <v>14588</v>
      </c>
      <c r="D110" s="43">
        <v>0</v>
      </c>
      <c r="E110" s="57">
        <v>0</v>
      </c>
      <c r="F110" s="57">
        <v>0</v>
      </c>
      <c r="G110" s="58">
        <v>0</v>
      </c>
      <c r="H110" s="58">
        <v>0</v>
      </c>
      <c r="I110" s="58">
        <v>0</v>
      </c>
      <c r="J110" s="58">
        <v>0</v>
      </c>
      <c r="K110" s="58">
        <v>0</v>
      </c>
      <c r="L110" s="58">
        <v>0</v>
      </c>
      <c r="M110" s="58">
        <v>0</v>
      </c>
      <c r="N110" s="58">
        <v>1318</v>
      </c>
      <c r="O110" s="58">
        <v>1322</v>
      </c>
      <c r="Q110" s="41" t="s">
        <v>5571</v>
      </c>
    </row>
    <row r="111" spans="1:17" s="39" customFormat="1" ht="15.75" thickBot="1">
      <c r="A111" s="41"/>
      <c r="B111" s="41"/>
      <c r="C111" s="55" t="s">
        <v>14588</v>
      </c>
      <c r="D111" s="49">
        <f t="shared" ref="D111:O111" si="111">D109+D110</f>
        <v>0</v>
      </c>
      <c r="E111" s="49">
        <f t="shared" si="111"/>
        <v>0</v>
      </c>
      <c r="F111" s="49">
        <f t="shared" si="111"/>
        <v>0</v>
      </c>
      <c r="G111" s="49">
        <f t="shared" si="111"/>
        <v>0</v>
      </c>
      <c r="H111" s="49">
        <f t="shared" si="111"/>
        <v>0</v>
      </c>
      <c r="I111" s="49">
        <f t="shared" si="111"/>
        <v>0</v>
      </c>
      <c r="J111" s="49">
        <f t="shared" si="111"/>
        <v>0</v>
      </c>
      <c r="K111" s="49">
        <f t="shared" si="111"/>
        <v>0</v>
      </c>
      <c r="L111" s="49">
        <f t="shared" si="111"/>
        <v>0</v>
      </c>
      <c r="M111" s="49">
        <f t="shared" si="111"/>
        <v>0</v>
      </c>
      <c r="N111" s="49">
        <f t="shared" si="111"/>
        <v>8073</v>
      </c>
      <c r="O111" s="49">
        <f t="shared" si="111"/>
        <v>8069</v>
      </c>
      <c r="Q111" s="41"/>
    </row>
    <row r="112" spans="1:17" s="39" customFormat="1">
      <c r="A112" s="41" t="s">
        <v>5389</v>
      </c>
      <c r="B112" s="41" t="s">
        <v>14571</v>
      </c>
      <c r="C112" s="55" t="s">
        <v>14589</v>
      </c>
      <c r="D112" s="42">
        <v>11372</v>
      </c>
      <c r="E112" s="42">
        <v>11738</v>
      </c>
      <c r="F112" s="42">
        <v>11863</v>
      </c>
      <c r="G112" s="42">
        <v>11966</v>
      </c>
      <c r="H112" s="42">
        <v>12052</v>
      </c>
      <c r="I112" s="42">
        <v>11882</v>
      </c>
      <c r="J112" s="42">
        <v>11699</v>
      </c>
      <c r="K112" s="42">
        <v>12082</v>
      </c>
      <c r="L112" s="42">
        <v>12167</v>
      </c>
      <c r="M112" s="42">
        <v>12153</v>
      </c>
      <c r="N112" s="58">
        <v>6395</v>
      </c>
      <c r="O112" s="58">
        <v>6399</v>
      </c>
      <c r="Q112" s="41" t="s">
        <v>5571</v>
      </c>
    </row>
    <row r="113" spans="1:17" s="39" customFormat="1">
      <c r="A113" s="41" t="s">
        <v>5391</v>
      </c>
      <c r="B113" s="41" t="s">
        <v>14572</v>
      </c>
      <c r="C113" s="55" t="s">
        <v>14590</v>
      </c>
      <c r="D113" s="42">
        <v>75108</v>
      </c>
      <c r="E113" s="42">
        <v>75470</v>
      </c>
      <c r="F113" s="42">
        <v>76355</v>
      </c>
      <c r="G113" s="42">
        <v>78429</v>
      </c>
      <c r="H113" s="42">
        <v>81277</v>
      </c>
      <c r="I113" s="42">
        <v>79893</v>
      </c>
      <c r="J113" s="42">
        <v>78026</v>
      </c>
      <c r="K113" s="42">
        <v>80559</v>
      </c>
      <c r="L113" s="42">
        <v>81401</v>
      </c>
      <c r="M113" s="42">
        <v>80504</v>
      </c>
      <c r="N113" s="58">
        <v>7581</v>
      </c>
      <c r="O113" s="58">
        <v>7577</v>
      </c>
      <c r="Q113" s="41" t="s">
        <v>5555</v>
      </c>
    </row>
    <row r="114" spans="1:17" s="39" customFormat="1">
      <c r="A114" s="41" t="s">
        <v>5393</v>
      </c>
      <c r="B114" s="41" t="s">
        <v>14573</v>
      </c>
      <c r="C114" s="55" t="s">
        <v>14591</v>
      </c>
      <c r="D114" s="42">
        <v>0</v>
      </c>
      <c r="E114" s="42">
        <v>0</v>
      </c>
      <c r="F114" s="42">
        <v>0</v>
      </c>
      <c r="G114" s="42">
        <v>0</v>
      </c>
      <c r="H114" s="42">
        <v>0</v>
      </c>
      <c r="I114" s="42">
        <v>0</v>
      </c>
      <c r="J114" s="42">
        <v>0</v>
      </c>
      <c r="K114" s="42">
        <v>0</v>
      </c>
      <c r="L114" s="42">
        <v>0</v>
      </c>
      <c r="M114" s="42">
        <v>0</v>
      </c>
      <c r="N114" s="56">
        <v>6680</v>
      </c>
      <c r="O114" s="56">
        <v>6684</v>
      </c>
      <c r="Q114" s="41" t="s">
        <v>5555</v>
      </c>
    </row>
    <row r="115" spans="1:17" s="39" customFormat="1">
      <c r="A115" s="41" t="s">
        <v>5394</v>
      </c>
      <c r="B115" s="41" t="s">
        <v>14574</v>
      </c>
      <c r="C115" s="55" t="s">
        <v>14592</v>
      </c>
      <c r="D115" s="42">
        <v>0</v>
      </c>
      <c r="E115" s="42">
        <v>0</v>
      </c>
      <c r="F115" s="42">
        <v>0</v>
      </c>
      <c r="G115" s="42">
        <v>0</v>
      </c>
      <c r="H115" s="42">
        <v>0</v>
      </c>
      <c r="I115" s="42">
        <v>0</v>
      </c>
      <c r="J115" s="42">
        <v>0</v>
      </c>
      <c r="K115" s="42">
        <v>0</v>
      </c>
      <c r="L115" s="42">
        <v>0</v>
      </c>
      <c r="M115" s="42">
        <v>0</v>
      </c>
      <c r="N115" s="56">
        <v>7683</v>
      </c>
      <c r="O115" s="56">
        <v>7682</v>
      </c>
      <c r="Q115" s="41" t="s">
        <v>5555</v>
      </c>
    </row>
    <row r="116" spans="1:17" s="39" customFormat="1">
      <c r="A116" s="41" t="s">
        <v>5416</v>
      </c>
      <c r="B116" s="41" t="s">
        <v>14575</v>
      </c>
      <c r="C116" s="55" t="s">
        <v>14593</v>
      </c>
      <c r="D116" s="42">
        <v>0</v>
      </c>
      <c r="E116" s="42">
        <v>0</v>
      </c>
      <c r="F116" s="42">
        <v>0</v>
      </c>
      <c r="G116" s="42">
        <v>0</v>
      </c>
      <c r="H116" s="42">
        <v>0</v>
      </c>
      <c r="I116" s="42">
        <v>0</v>
      </c>
      <c r="J116" s="42">
        <v>0</v>
      </c>
      <c r="K116" s="42">
        <v>0</v>
      </c>
      <c r="L116" s="42">
        <v>0</v>
      </c>
      <c r="M116" s="42">
        <v>0</v>
      </c>
      <c r="N116" s="56">
        <v>7000</v>
      </c>
      <c r="O116" s="56">
        <v>6999</v>
      </c>
      <c r="Q116" s="41" t="s">
        <v>5555</v>
      </c>
    </row>
    <row r="117" spans="1:17" s="39" customFormat="1">
      <c r="A117" s="41" t="s">
        <v>5418</v>
      </c>
      <c r="B117" s="41" t="s">
        <v>14576</v>
      </c>
      <c r="C117" s="55" t="s">
        <v>14594</v>
      </c>
      <c r="D117" s="42">
        <v>34660</v>
      </c>
      <c r="E117" s="42">
        <v>34829</v>
      </c>
      <c r="F117" s="42">
        <v>34601</v>
      </c>
      <c r="G117" s="42">
        <v>35197</v>
      </c>
      <c r="H117" s="42">
        <v>35874</v>
      </c>
      <c r="I117" s="42">
        <v>35578</v>
      </c>
      <c r="J117" s="42">
        <v>34748</v>
      </c>
      <c r="K117" s="42">
        <v>35490</v>
      </c>
      <c r="L117" s="42">
        <v>35822</v>
      </c>
      <c r="M117" s="42">
        <v>35579</v>
      </c>
      <c r="N117" s="56">
        <v>7363</v>
      </c>
      <c r="O117" s="56">
        <v>7359</v>
      </c>
      <c r="Q117" s="41" t="s">
        <v>5572</v>
      </c>
    </row>
    <row r="118" spans="1:17" s="39" customFormat="1">
      <c r="A118" s="41" t="s">
        <v>5420</v>
      </c>
      <c r="B118" s="41" t="s">
        <v>14577</v>
      </c>
      <c r="C118" s="55" t="s">
        <v>14595</v>
      </c>
      <c r="D118" s="42">
        <v>0</v>
      </c>
      <c r="E118" s="42">
        <v>0</v>
      </c>
      <c r="F118" s="42">
        <v>0</v>
      </c>
      <c r="G118" s="42">
        <v>0</v>
      </c>
      <c r="H118" s="42">
        <v>0</v>
      </c>
      <c r="I118" s="42">
        <v>0</v>
      </c>
      <c r="J118" s="42">
        <v>0</v>
      </c>
      <c r="K118" s="42">
        <v>0</v>
      </c>
      <c r="L118" s="42">
        <v>0</v>
      </c>
      <c r="M118" s="42">
        <v>0</v>
      </c>
      <c r="N118" s="58">
        <v>7549</v>
      </c>
      <c r="O118" s="58">
        <v>7550</v>
      </c>
      <c r="Q118" s="41" t="s">
        <v>5555</v>
      </c>
    </row>
    <row r="119" spans="1:17" s="39" customFormat="1">
      <c r="A119" s="41" t="s">
        <v>5422</v>
      </c>
      <c r="B119" s="41" t="s">
        <v>14578</v>
      </c>
      <c r="C119" s="55" t="s">
        <v>14596</v>
      </c>
      <c r="D119" s="42">
        <v>0</v>
      </c>
      <c r="E119" s="42">
        <v>0</v>
      </c>
      <c r="F119" s="42">
        <v>0</v>
      </c>
      <c r="G119" s="42">
        <v>0</v>
      </c>
      <c r="H119" s="42">
        <v>0</v>
      </c>
      <c r="I119" s="42">
        <v>0</v>
      </c>
      <c r="J119" s="42">
        <v>0</v>
      </c>
      <c r="K119" s="42">
        <v>0</v>
      </c>
      <c r="L119" s="42">
        <v>0</v>
      </c>
      <c r="M119" s="42">
        <v>0</v>
      </c>
      <c r="N119" s="56">
        <v>8208</v>
      </c>
      <c r="O119" s="56">
        <v>8205</v>
      </c>
      <c r="Q119" s="41" t="s">
        <v>5555</v>
      </c>
    </row>
    <row r="120" spans="1:17" s="39" customFormat="1" ht="15" customHeight="1">
      <c r="A120" s="41" t="s">
        <v>5424</v>
      </c>
      <c r="B120" s="41" t="s">
        <v>14579</v>
      </c>
      <c r="C120" s="55" t="s">
        <v>14597</v>
      </c>
      <c r="D120" s="42">
        <v>0</v>
      </c>
      <c r="E120" s="42">
        <v>0</v>
      </c>
      <c r="F120" s="42">
        <v>0</v>
      </c>
      <c r="G120" s="42">
        <v>0</v>
      </c>
      <c r="H120" s="42">
        <v>0</v>
      </c>
      <c r="I120" s="42">
        <v>0</v>
      </c>
      <c r="J120" s="42">
        <v>0</v>
      </c>
      <c r="K120" s="42">
        <v>0</v>
      </c>
      <c r="L120" s="42">
        <v>0</v>
      </c>
      <c r="M120" s="42">
        <v>0</v>
      </c>
      <c r="N120" s="58">
        <v>6662</v>
      </c>
      <c r="O120" s="58">
        <v>6670</v>
      </c>
      <c r="Q120" s="41" t="s">
        <v>5555</v>
      </c>
    </row>
    <row r="121" spans="1:17" s="39" customFormat="1" ht="15" customHeight="1">
      <c r="A121" s="41" t="s">
        <v>5426</v>
      </c>
      <c r="B121" s="41" t="s">
        <v>14580</v>
      </c>
      <c r="C121" s="55" t="s">
        <v>14598</v>
      </c>
      <c r="D121" s="42">
        <v>0</v>
      </c>
      <c r="E121" s="42">
        <v>0</v>
      </c>
      <c r="F121" s="42">
        <v>0</v>
      </c>
      <c r="G121" s="42">
        <v>0</v>
      </c>
      <c r="H121" s="42">
        <v>0</v>
      </c>
      <c r="I121" s="42">
        <v>0</v>
      </c>
      <c r="J121" s="42">
        <v>0</v>
      </c>
      <c r="K121" s="42">
        <v>0</v>
      </c>
      <c r="L121" s="42">
        <v>0</v>
      </c>
      <c r="M121" s="42">
        <v>0</v>
      </c>
      <c r="N121" s="56">
        <v>937</v>
      </c>
      <c r="O121" s="56">
        <v>934</v>
      </c>
      <c r="Q121" s="41" t="s">
        <v>5571</v>
      </c>
    </row>
    <row r="122" spans="1:17" s="39" customFormat="1" ht="15.75" thickBot="1">
      <c r="A122" s="41"/>
      <c r="B122" s="41"/>
      <c r="C122" s="55" t="s">
        <v>14598</v>
      </c>
      <c r="D122" s="43">
        <v>0</v>
      </c>
      <c r="E122" s="57">
        <v>0</v>
      </c>
      <c r="F122" s="57">
        <v>0</v>
      </c>
      <c r="G122" s="58">
        <v>0</v>
      </c>
      <c r="H122" s="58">
        <v>0</v>
      </c>
      <c r="I122" s="58">
        <v>0</v>
      </c>
      <c r="J122" s="58">
        <v>0</v>
      </c>
      <c r="K122" s="58">
        <v>0</v>
      </c>
      <c r="L122" s="58">
        <v>0</v>
      </c>
      <c r="M122" s="58">
        <v>0</v>
      </c>
      <c r="N122" s="58">
        <v>6167</v>
      </c>
      <c r="O122" s="58">
        <v>6170</v>
      </c>
      <c r="Q122" s="41" t="s">
        <v>5572</v>
      </c>
    </row>
    <row r="123" spans="1:17" s="39" customFormat="1" ht="15.75" thickBot="1">
      <c r="A123" s="41"/>
      <c r="B123" s="41"/>
      <c r="C123" s="55" t="s">
        <v>14598</v>
      </c>
      <c r="D123" s="49">
        <f t="shared" ref="D123:O123" si="112">D121+D122</f>
        <v>0</v>
      </c>
      <c r="E123" s="49">
        <f t="shared" si="112"/>
        <v>0</v>
      </c>
      <c r="F123" s="49">
        <f t="shared" si="112"/>
        <v>0</v>
      </c>
      <c r="G123" s="49">
        <f t="shared" si="112"/>
        <v>0</v>
      </c>
      <c r="H123" s="49">
        <f t="shared" si="112"/>
        <v>0</v>
      </c>
      <c r="I123" s="49">
        <f t="shared" si="112"/>
        <v>0</v>
      </c>
      <c r="J123" s="49">
        <f t="shared" si="112"/>
        <v>0</v>
      </c>
      <c r="K123" s="49">
        <f t="shared" si="112"/>
        <v>0</v>
      </c>
      <c r="L123" s="49">
        <f t="shared" si="112"/>
        <v>0</v>
      </c>
      <c r="M123" s="49">
        <f t="shared" si="112"/>
        <v>0</v>
      </c>
      <c r="N123" s="49">
        <f t="shared" si="112"/>
        <v>7104</v>
      </c>
      <c r="O123" s="49">
        <f t="shared" si="112"/>
        <v>7104</v>
      </c>
      <c r="Q123" s="41"/>
    </row>
    <row r="124" spans="1:17" s="39" customFormat="1">
      <c r="A124" s="41" t="s">
        <v>5428</v>
      </c>
      <c r="B124" s="41" t="s">
        <v>14581</v>
      </c>
      <c r="C124" s="55" t="s">
        <v>14599</v>
      </c>
      <c r="D124" s="42">
        <v>0</v>
      </c>
      <c r="E124" s="42">
        <v>0</v>
      </c>
      <c r="F124" s="42">
        <v>0</v>
      </c>
      <c r="G124" s="42">
        <v>0</v>
      </c>
      <c r="H124" s="42">
        <v>0</v>
      </c>
      <c r="I124" s="42">
        <v>0</v>
      </c>
      <c r="J124" s="42">
        <v>0</v>
      </c>
      <c r="K124" s="42">
        <v>0</v>
      </c>
      <c r="L124" s="42">
        <v>0</v>
      </c>
      <c r="M124" s="42">
        <v>0</v>
      </c>
      <c r="N124" s="56">
        <v>7252</v>
      </c>
      <c r="O124" s="56">
        <v>7256</v>
      </c>
      <c r="Q124" s="41" t="s">
        <v>5555</v>
      </c>
    </row>
    <row r="125" spans="1:17" s="39" customFormat="1">
      <c r="A125" s="41" t="s">
        <v>5429</v>
      </c>
      <c r="B125" s="41" t="s">
        <v>14582</v>
      </c>
      <c r="C125" s="55" t="s">
        <v>14600</v>
      </c>
      <c r="D125" s="42">
        <v>0</v>
      </c>
      <c r="E125" s="42">
        <v>0</v>
      </c>
      <c r="F125" s="42">
        <v>0</v>
      </c>
      <c r="G125" s="42">
        <v>0</v>
      </c>
      <c r="H125" s="42">
        <v>0</v>
      </c>
      <c r="I125" s="42">
        <v>0</v>
      </c>
      <c r="J125" s="42">
        <v>0</v>
      </c>
      <c r="K125" s="42">
        <v>0</v>
      </c>
      <c r="L125" s="42">
        <v>0</v>
      </c>
      <c r="M125" s="42">
        <v>0</v>
      </c>
      <c r="N125" s="56">
        <v>4777</v>
      </c>
      <c r="O125" s="56">
        <v>4785</v>
      </c>
      <c r="Q125" s="41" t="s">
        <v>5555</v>
      </c>
    </row>
    <row r="126" spans="1:17" s="39" customFormat="1" ht="15.75" thickBot="1">
      <c r="A126" s="41"/>
      <c r="B126" s="41"/>
      <c r="C126" s="55" t="s">
        <v>14600</v>
      </c>
      <c r="D126" s="42">
        <v>0</v>
      </c>
      <c r="E126" s="42">
        <v>0</v>
      </c>
      <c r="F126" s="42">
        <v>0</v>
      </c>
      <c r="G126" s="42">
        <v>0</v>
      </c>
      <c r="H126" s="42">
        <v>0</v>
      </c>
      <c r="I126" s="42">
        <v>0</v>
      </c>
      <c r="J126" s="42">
        <v>0</v>
      </c>
      <c r="K126" s="42">
        <v>0</v>
      </c>
      <c r="L126" s="42">
        <v>0</v>
      </c>
      <c r="M126" s="42">
        <v>0</v>
      </c>
      <c r="N126" s="56">
        <v>2166</v>
      </c>
      <c r="O126" s="56">
        <v>2168</v>
      </c>
      <c r="Q126" s="41" t="s">
        <v>5571</v>
      </c>
    </row>
    <row r="127" spans="1:17" s="39" customFormat="1" ht="15.75" thickBot="1">
      <c r="A127" s="41"/>
      <c r="B127" s="41"/>
      <c r="C127" s="55" t="s">
        <v>14600</v>
      </c>
      <c r="D127" s="49">
        <f t="shared" ref="D127:N127" si="113">SUM(D125:D126)</f>
        <v>0</v>
      </c>
      <c r="E127" s="49">
        <f t="shared" si="113"/>
        <v>0</v>
      </c>
      <c r="F127" s="49">
        <f t="shared" si="113"/>
        <v>0</v>
      </c>
      <c r="G127" s="49">
        <f t="shared" si="113"/>
        <v>0</v>
      </c>
      <c r="H127" s="49">
        <f t="shared" si="113"/>
        <v>0</v>
      </c>
      <c r="I127" s="49">
        <f t="shared" si="113"/>
        <v>0</v>
      </c>
      <c r="J127" s="49">
        <f t="shared" si="113"/>
        <v>0</v>
      </c>
      <c r="K127" s="49">
        <f t="shared" si="113"/>
        <v>0</v>
      </c>
      <c r="L127" s="49">
        <f t="shared" si="113"/>
        <v>0</v>
      </c>
      <c r="M127" s="49">
        <f t="shared" si="113"/>
        <v>0</v>
      </c>
      <c r="N127" s="49">
        <f t="shared" si="113"/>
        <v>6943</v>
      </c>
      <c r="O127" s="49">
        <f>SUM(O125:O126)</f>
        <v>6953</v>
      </c>
      <c r="Q127" s="41"/>
    </row>
    <row r="128" spans="1:17" s="39" customFormat="1">
      <c r="A128" s="41" t="s">
        <v>5431</v>
      </c>
      <c r="B128" s="41" t="s">
        <v>14583</v>
      </c>
      <c r="C128" s="55" t="s">
        <v>14601</v>
      </c>
      <c r="D128" s="42">
        <v>0</v>
      </c>
      <c r="E128" s="42">
        <v>0</v>
      </c>
      <c r="F128" s="42">
        <v>0</v>
      </c>
      <c r="G128" s="42">
        <v>0</v>
      </c>
      <c r="H128" s="42">
        <v>0</v>
      </c>
      <c r="I128" s="42">
        <v>0</v>
      </c>
      <c r="J128" s="42">
        <v>0</v>
      </c>
      <c r="K128" s="42">
        <v>0</v>
      </c>
      <c r="L128" s="42">
        <v>0</v>
      </c>
      <c r="M128" s="42">
        <v>0</v>
      </c>
      <c r="N128" s="56">
        <v>7332</v>
      </c>
      <c r="O128" s="56">
        <v>7330</v>
      </c>
      <c r="Q128" s="41" t="s">
        <v>5555</v>
      </c>
    </row>
    <row r="129" spans="1:17" s="39" customFormat="1">
      <c r="A129" s="41" t="s">
        <v>5433</v>
      </c>
      <c r="B129" s="41" t="s">
        <v>14584</v>
      </c>
      <c r="C129" s="55" t="s">
        <v>14602</v>
      </c>
      <c r="D129" s="42">
        <v>0</v>
      </c>
      <c r="E129" s="42">
        <v>0</v>
      </c>
      <c r="F129" s="42">
        <v>0</v>
      </c>
      <c r="G129" s="42">
        <v>0</v>
      </c>
      <c r="H129" s="42">
        <v>0</v>
      </c>
      <c r="I129" s="42">
        <v>0</v>
      </c>
      <c r="J129" s="42">
        <v>0</v>
      </c>
      <c r="K129" s="42">
        <v>0</v>
      </c>
      <c r="L129" s="42">
        <v>0</v>
      </c>
      <c r="M129" s="42">
        <v>0</v>
      </c>
      <c r="N129" s="58">
        <v>2188</v>
      </c>
      <c r="O129" s="58">
        <v>2186</v>
      </c>
      <c r="Q129" s="41" t="s">
        <v>5571</v>
      </c>
    </row>
    <row r="130" spans="1:17" s="39" customFormat="1" ht="15.75" thickBot="1">
      <c r="A130" s="41"/>
      <c r="B130" s="41"/>
      <c r="C130" s="55" t="s">
        <v>14602</v>
      </c>
      <c r="D130" s="43">
        <v>0</v>
      </c>
      <c r="E130" s="57">
        <v>0</v>
      </c>
      <c r="F130" s="57">
        <v>0</v>
      </c>
      <c r="G130" s="58">
        <v>0</v>
      </c>
      <c r="H130" s="58">
        <v>0</v>
      </c>
      <c r="I130" s="58">
        <v>0</v>
      </c>
      <c r="J130" s="58">
        <v>0</v>
      </c>
      <c r="K130" s="58">
        <v>0</v>
      </c>
      <c r="L130" s="58">
        <v>0</v>
      </c>
      <c r="M130" s="58">
        <v>0</v>
      </c>
      <c r="N130" s="58">
        <v>6563</v>
      </c>
      <c r="O130" s="58">
        <v>6562</v>
      </c>
      <c r="Q130" s="41" t="s">
        <v>5572</v>
      </c>
    </row>
    <row r="131" spans="1:17" s="39" customFormat="1" ht="15.75" thickBot="1">
      <c r="A131" s="41"/>
      <c r="B131" s="41"/>
      <c r="C131" s="55" t="s">
        <v>14602</v>
      </c>
      <c r="D131" s="49">
        <f t="shared" ref="D131:O131" si="114">D129+D130</f>
        <v>0</v>
      </c>
      <c r="E131" s="49">
        <f t="shared" si="114"/>
        <v>0</v>
      </c>
      <c r="F131" s="49">
        <f t="shared" si="114"/>
        <v>0</v>
      </c>
      <c r="G131" s="49">
        <f t="shared" si="114"/>
        <v>0</v>
      </c>
      <c r="H131" s="49">
        <f t="shared" si="114"/>
        <v>0</v>
      </c>
      <c r="I131" s="49">
        <f t="shared" si="114"/>
        <v>0</v>
      </c>
      <c r="J131" s="49">
        <f t="shared" si="114"/>
        <v>0</v>
      </c>
      <c r="K131" s="49">
        <f t="shared" si="114"/>
        <v>0</v>
      </c>
      <c r="L131" s="49">
        <f t="shared" si="114"/>
        <v>0</v>
      </c>
      <c r="M131" s="49">
        <f t="shared" si="114"/>
        <v>0</v>
      </c>
      <c r="N131" s="49">
        <f t="shared" si="114"/>
        <v>8751</v>
      </c>
      <c r="O131" s="49">
        <f t="shared" si="114"/>
        <v>8748</v>
      </c>
      <c r="Q131" s="41"/>
    </row>
    <row r="132" spans="1:17" s="39" customFormat="1">
      <c r="A132" s="41" t="s">
        <v>5435</v>
      </c>
      <c r="B132" s="41" t="s">
        <v>14585</v>
      </c>
      <c r="C132" s="55" t="s">
        <v>14603</v>
      </c>
      <c r="D132" s="42">
        <v>0</v>
      </c>
      <c r="E132" s="42">
        <v>0</v>
      </c>
      <c r="F132" s="42">
        <v>0</v>
      </c>
      <c r="G132" s="42">
        <v>0</v>
      </c>
      <c r="H132" s="42">
        <v>0</v>
      </c>
      <c r="I132" s="42">
        <v>0</v>
      </c>
      <c r="J132" s="42">
        <v>0</v>
      </c>
      <c r="K132" s="42">
        <v>0</v>
      </c>
      <c r="L132" s="42">
        <v>0</v>
      </c>
      <c r="M132" s="42">
        <v>0</v>
      </c>
      <c r="N132" s="56">
        <v>8453</v>
      </c>
      <c r="O132" s="56">
        <v>8451</v>
      </c>
      <c r="Q132" s="41" t="s">
        <v>5572</v>
      </c>
    </row>
    <row r="133" spans="1:17" s="39" customFormat="1">
      <c r="A133" s="41" t="s">
        <v>5436</v>
      </c>
      <c r="B133" s="41" t="s">
        <v>14586</v>
      </c>
      <c r="C133" s="55" t="s">
        <v>14604</v>
      </c>
      <c r="D133" s="42">
        <v>0</v>
      </c>
      <c r="E133" s="42">
        <v>0</v>
      </c>
      <c r="F133" s="42">
        <v>0</v>
      </c>
      <c r="G133" s="42">
        <v>0</v>
      </c>
      <c r="H133" s="42">
        <v>0</v>
      </c>
      <c r="I133" s="42">
        <v>0</v>
      </c>
      <c r="J133" s="42">
        <v>0</v>
      </c>
      <c r="K133" s="42">
        <v>0</v>
      </c>
      <c r="L133" s="42">
        <v>0</v>
      </c>
      <c r="M133" s="42">
        <v>0</v>
      </c>
      <c r="N133" s="58">
        <v>8009</v>
      </c>
      <c r="O133" s="58">
        <v>8011</v>
      </c>
      <c r="Q133" s="41" t="s">
        <v>5572</v>
      </c>
    </row>
    <row r="134" spans="1:17" s="39" customFormat="1">
      <c r="A134" s="41" t="s">
        <v>5437</v>
      </c>
      <c r="B134" s="41" t="s">
        <v>14587</v>
      </c>
      <c r="C134" s="55" t="s">
        <v>14605</v>
      </c>
      <c r="D134" s="42">
        <v>0</v>
      </c>
      <c r="E134" s="42">
        <v>0</v>
      </c>
      <c r="F134" s="42">
        <v>0</v>
      </c>
      <c r="G134" s="42">
        <v>0</v>
      </c>
      <c r="H134" s="42">
        <v>0</v>
      </c>
      <c r="I134" s="42">
        <v>0</v>
      </c>
      <c r="J134" s="42">
        <v>0</v>
      </c>
      <c r="K134" s="42">
        <v>0</v>
      </c>
      <c r="L134" s="42">
        <v>0</v>
      </c>
      <c r="M134" s="42">
        <v>0</v>
      </c>
      <c r="N134" s="58">
        <v>5185</v>
      </c>
      <c r="O134" s="58">
        <v>5187</v>
      </c>
      <c r="Q134" s="41" t="s">
        <v>5555</v>
      </c>
    </row>
    <row r="135" spans="1:17" s="39" customFormat="1" ht="15.75" thickBot="1">
      <c r="A135" s="41"/>
      <c r="B135" s="41"/>
      <c r="C135" s="55" t="s">
        <v>14605</v>
      </c>
      <c r="D135" s="43">
        <v>0</v>
      </c>
      <c r="E135" s="57">
        <v>0</v>
      </c>
      <c r="F135" s="57">
        <v>0</v>
      </c>
      <c r="G135" s="58">
        <v>0</v>
      </c>
      <c r="H135" s="58">
        <v>0</v>
      </c>
      <c r="I135" s="58">
        <v>0</v>
      </c>
      <c r="J135" s="58">
        <v>0</v>
      </c>
      <c r="K135" s="58">
        <v>0</v>
      </c>
      <c r="L135" s="58">
        <v>0</v>
      </c>
      <c r="M135" s="58">
        <v>0</v>
      </c>
      <c r="N135" s="58">
        <v>138</v>
      </c>
      <c r="O135" s="58">
        <v>138</v>
      </c>
      <c r="Q135" s="41" t="s">
        <v>5572</v>
      </c>
    </row>
    <row r="136" spans="1:17" s="39" customFormat="1" ht="15.75" thickBot="1">
      <c r="A136" s="41"/>
      <c r="B136" s="41"/>
      <c r="C136" s="55" t="s">
        <v>14605</v>
      </c>
      <c r="D136" s="49">
        <f t="shared" ref="D136:M136" si="115">D134+D135</f>
        <v>0</v>
      </c>
      <c r="E136" s="49">
        <f t="shared" si="115"/>
        <v>0</v>
      </c>
      <c r="F136" s="49">
        <f t="shared" si="115"/>
        <v>0</v>
      </c>
      <c r="G136" s="49">
        <f t="shared" si="115"/>
        <v>0</v>
      </c>
      <c r="H136" s="49">
        <f t="shared" si="115"/>
        <v>0</v>
      </c>
      <c r="I136" s="49">
        <f t="shared" si="115"/>
        <v>0</v>
      </c>
      <c r="J136" s="49">
        <f t="shared" si="115"/>
        <v>0</v>
      </c>
      <c r="K136" s="49">
        <f t="shared" si="115"/>
        <v>0</v>
      </c>
      <c r="L136" s="49">
        <f t="shared" si="115"/>
        <v>0</v>
      </c>
      <c r="M136" s="49">
        <f t="shared" si="115"/>
        <v>0</v>
      </c>
      <c r="N136" s="49">
        <f>N134+N135</f>
        <v>5323</v>
      </c>
      <c r="O136" s="49">
        <f>O134+O135</f>
        <v>5325</v>
      </c>
      <c r="Q136" s="41"/>
    </row>
    <row r="137" spans="1:17" s="39" customFormat="1">
      <c r="C137" s="60"/>
      <c r="D137" s="44"/>
      <c r="E137" s="44"/>
      <c r="F137" s="44"/>
      <c r="G137" s="44"/>
      <c r="H137" s="44"/>
      <c r="I137" s="44"/>
      <c r="J137" s="44"/>
      <c r="K137" s="44"/>
      <c r="L137" s="44"/>
      <c r="M137" s="44"/>
      <c r="N137" s="44"/>
      <c r="O137" s="44"/>
    </row>
    <row r="138" spans="1:17" s="39" customFormat="1">
      <c r="A138" s="41" t="s">
        <v>5555</v>
      </c>
      <c r="C138" s="60"/>
      <c r="D138" s="42">
        <f t="shared" ref="D138:N138" si="116">SUM(D109,D113:D116,D118:D120,D124:D125,D128,D134)</f>
        <v>75108</v>
      </c>
      <c r="E138" s="42">
        <f t="shared" si="116"/>
        <v>75470</v>
      </c>
      <c r="F138" s="42">
        <f t="shared" si="116"/>
        <v>76355</v>
      </c>
      <c r="G138" s="42">
        <f t="shared" si="116"/>
        <v>78429</v>
      </c>
      <c r="H138" s="42">
        <f t="shared" si="116"/>
        <v>81277</v>
      </c>
      <c r="I138" s="42">
        <f t="shared" si="116"/>
        <v>79893</v>
      </c>
      <c r="J138" s="42">
        <f t="shared" si="116"/>
        <v>78026</v>
      </c>
      <c r="K138" s="42">
        <f t="shared" si="116"/>
        <v>80559</v>
      </c>
      <c r="L138" s="42">
        <f t="shared" si="116"/>
        <v>81401</v>
      </c>
      <c r="M138" s="42">
        <f t="shared" si="116"/>
        <v>80504</v>
      </c>
      <c r="N138" s="42">
        <f t="shared" si="116"/>
        <v>82664</v>
      </c>
      <c r="O138" s="42">
        <f>SUM(O109,O113:O116,O118:O120,O124:O125,O128,O134)</f>
        <v>82672</v>
      </c>
    </row>
    <row r="139" spans="1:17" s="39" customFormat="1">
      <c r="A139" s="41" t="s">
        <v>6567</v>
      </c>
      <c r="C139" s="60"/>
      <c r="D139" s="42">
        <f t="shared" ref="D139:N139" si="117">SUM(D110,D112,D121,D126,D129)</f>
        <v>11372</v>
      </c>
      <c r="E139" s="42">
        <f t="shared" si="117"/>
        <v>11738</v>
      </c>
      <c r="F139" s="42">
        <f t="shared" si="117"/>
        <v>11863</v>
      </c>
      <c r="G139" s="42">
        <f t="shared" si="117"/>
        <v>11966</v>
      </c>
      <c r="H139" s="42">
        <f t="shared" si="117"/>
        <v>12052</v>
      </c>
      <c r="I139" s="42">
        <f t="shared" si="117"/>
        <v>11882</v>
      </c>
      <c r="J139" s="42">
        <f t="shared" si="117"/>
        <v>11699</v>
      </c>
      <c r="K139" s="42">
        <f t="shared" si="117"/>
        <v>12082</v>
      </c>
      <c r="L139" s="42">
        <f t="shared" si="117"/>
        <v>12167</v>
      </c>
      <c r="M139" s="42">
        <f t="shared" si="117"/>
        <v>12153</v>
      </c>
      <c r="N139" s="42">
        <f t="shared" si="117"/>
        <v>13004</v>
      </c>
      <c r="O139" s="42">
        <f>SUM(O110,O112,O121,O126,O129)</f>
        <v>13009</v>
      </c>
    </row>
    <row r="140" spans="1:17" s="39" customFormat="1">
      <c r="A140" s="41" t="s">
        <v>6568</v>
      </c>
      <c r="C140" s="60"/>
      <c r="D140" s="42">
        <f t="shared" ref="D140:M140" si="118">SUM(D117,D122,D130,D132:D133,D135)</f>
        <v>34660</v>
      </c>
      <c r="E140" s="42">
        <f t="shared" si="118"/>
        <v>34829</v>
      </c>
      <c r="F140" s="42">
        <f t="shared" si="118"/>
        <v>34601</v>
      </c>
      <c r="G140" s="42">
        <f t="shared" si="118"/>
        <v>35197</v>
      </c>
      <c r="H140" s="42">
        <f t="shared" si="118"/>
        <v>35874</v>
      </c>
      <c r="I140" s="42">
        <f t="shared" si="118"/>
        <v>35578</v>
      </c>
      <c r="J140" s="42">
        <f t="shared" si="118"/>
        <v>34748</v>
      </c>
      <c r="K140" s="42">
        <f t="shared" si="118"/>
        <v>35490</v>
      </c>
      <c r="L140" s="42">
        <f t="shared" si="118"/>
        <v>35822</v>
      </c>
      <c r="M140" s="42">
        <f t="shared" si="118"/>
        <v>35579</v>
      </c>
      <c r="N140" s="42">
        <f>SUM(N117,N122,N130,N132:N133,N135)</f>
        <v>36693</v>
      </c>
      <c r="O140" s="42">
        <f>SUM(O117,O122,O130,O132:O133,O135)</f>
        <v>36691</v>
      </c>
    </row>
    <row r="141" spans="1:17" s="39" customFormat="1">
      <c r="A141" s="41"/>
      <c r="B141" s="41"/>
      <c r="C141" s="60"/>
      <c r="D141" s="61"/>
      <c r="E141" s="61"/>
      <c r="F141" s="61"/>
      <c r="G141" s="61"/>
      <c r="H141" s="61"/>
      <c r="I141" s="61"/>
      <c r="J141" s="61"/>
      <c r="K141" s="61"/>
      <c r="L141" s="61"/>
      <c r="M141" s="61"/>
      <c r="N141" s="61"/>
      <c r="O141" s="61"/>
    </row>
    <row r="142" spans="1:17" s="39" customFormat="1">
      <c r="A142" s="41" t="s">
        <v>12757</v>
      </c>
      <c r="B142" s="41"/>
      <c r="C142" s="60"/>
      <c r="D142" s="61"/>
      <c r="E142" s="61"/>
      <c r="F142" s="61"/>
      <c r="G142" s="61"/>
      <c r="H142" s="61"/>
      <c r="I142" s="61"/>
      <c r="J142" s="61"/>
      <c r="K142" s="61"/>
      <c r="L142" s="61"/>
      <c r="M142" s="61"/>
      <c r="N142" s="61"/>
      <c r="O142" s="61"/>
    </row>
    <row r="143" spans="1:17" s="39" customFormat="1">
      <c r="A143" s="41"/>
      <c r="B143" s="41"/>
      <c r="C143" s="60"/>
      <c r="D143" s="61"/>
      <c r="E143" s="61"/>
      <c r="F143" s="61"/>
      <c r="G143" s="61"/>
      <c r="H143" s="61"/>
      <c r="I143" s="61"/>
      <c r="J143" s="61"/>
      <c r="K143" s="61"/>
      <c r="L143" s="61"/>
      <c r="M143" s="61"/>
      <c r="N143" s="61"/>
      <c r="O143" s="61"/>
    </row>
    <row r="144" spans="1:17" s="39" customFormat="1">
      <c r="A144" s="1014" t="s">
        <v>16023</v>
      </c>
      <c r="B144" s="41"/>
      <c r="C144" s="60"/>
      <c r="D144" s="61"/>
      <c r="E144" s="61"/>
      <c r="F144" s="61"/>
      <c r="G144" s="61"/>
      <c r="H144" s="61"/>
      <c r="I144" s="61"/>
      <c r="J144" s="61"/>
      <c r="K144" s="61"/>
      <c r="L144" s="61"/>
      <c r="M144" s="61"/>
      <c r="N144" s="61"/>
      <c r="O144" s="61"/>
    </row>
    <row r="145" spans="1:17" customFormat="1">
      <c r="A145" s="167" t="s">
        <v>16099</v>
      </c>
    </row>
    <row r="146" spans="1:17" customFormat="1" ht="13.5"/>
    <row r="147" spans="1:17" s="39" customFormat="1">
      <c r="C147" s="60"/>
      <c r="E147" s="51" t="s">
        <v>1526</v>
      </c>
      <c r="F147" s="51"/>
      <c r="G147" s="51"/>
      <c r="H147" s="51"/>
      <c r="I147" s="51"/>
      <c r="J147" s="51"/>
      <c r="K147" s="51"/>
      <c r="L147" s="51"/>
      <c r="M147" s="51"/>
      <c r="N147" s="51"/>
      <c r="O147" s="51"/>
      <c r="P147" s="52"/>
      <c r="Q147" s="53" t="s">
        <v>9479</v>
      </c>
    </row>
    <row r="148" spans="1:17" s="39" customFormat="1">
      <c r="C148" s="60"/>
      <c r="D148" s="40">
        <v>2010</v>
      </c>
      <c r="E148" s="40">
        <v>2011</v>
      </c>
      <c r="F148" s="40">
        <v>2012</v>
      </c>
      <c r="G148" s="40">
        <v>2013</v>
      </c>
      <c r="H148" s="40">
        <v>2014</v>
      </c>
      <c r="I148" s="40">
        <v>2015</v>
      </c>
      <c r="J148" s="40">
        <v>2016</v>
      </c>
      <c r="K148" s="40">
        <v>2017</v>
      </c>
      <c r="L148" s="40">
        <v>2018</v>
      </c>
      <c r="M148" s="40">
        <v>2019</v>
      </c>
      <c r="N148" s="40">
        <v>2020</v>
      </c>
      <c r="O148" s="971" t="s">
        <v>14823</v>
      </c>
      <c r="P148" s="52"/>
      <c r="Q148" s="54" t="s">
        <v>1527</v>
      </c>
    </row>
    <row r="149" spans="1:17" s="39" customFormat="1">
      <c r="A149" s="41" t="s">
        <v>5855</v>
      </c>
      <c r="C149" s="60"/>
      <c r="D149" s="42">
        <f t="shared" ref="D149:N149" si="119">SUM(D150:D180)</f>
        <v>88153</v>
      </c>
      <c r="E149" s="42">
        <f t="shared" si="119"/>
        <v>89153</v>
      </c>
      <c r="F149" s="42">
        <f t="shared" si="119"/>
        <v>89448</v>
      </c>
      <c r="G149" s="42">
        <f t="shared" si="119"/>
        <v>89482</v>
      </c>
      <c r="H149" s="42">
        <f t="shared" si="119"/>
        <v>87332</v>
      </c>
      <c r="I149" s="42">
        <f t="shared" si="119"/>
        <v>87590</v>
      </c>
      <c r="J149" s="42">
        <f t="shared" si="119"/>
        <v>86488</v>
      </c>
      <c r="K149" s="42">
        <f t="shared" si="119"/>
        <v>89919</v>
      </c>
      <c r="L149" s="42">
        <f t="shared" si="119"/>
        <v>90765</v>
      </c>
      <c r="M149" s="42">
        <f t="shared" si="119"/>
        <v>90743</v>
      </c>
      <c r="N149" s="42">
        <f t="shared" si="119"/>
        <v>91795</v>
      </c>
      <c r="O149" s="42">
        <f>SUM(O150:O180)</f>
        <v>94768</v>
      </c>
    </row>
    <row r="150" spans="1:17" s="39" customFormat="1">
      <c r="A150" s="41" t="s">
        <v>5387</v>
      </c>
      <c r="B150" s="41" t="s">
        <v>5856</v>
      </c>
      <c r="C150" s="55" t="s">
        <v>13728</v>
      </c>
      <c r="D150" s="42">
        <v>71779</v>
      </c>
      <c r="E150" s="42">
        <v>72648</v>
      </c>
      <c r="F150" s="42">
        <v>72833</v>
      </c>
      <c r="G150" s="42">
        <v>72951</v>
      </c>
      <c r="H150" s="42">
        <v>71145</v>
      </c>
      <c r="I150" s="42">
        <v>71316</v>
      </c>
      <c r="J150" s="42">
        <v>70063</v>
      </c>
      <c r="K150" s="42">
        <v>72808</v>
      </c>
      <c r="L150" s="42">
        <v>73450</v>
      </c>
      <c r="M150" s="42">
        <v>73496</v>
      </c>
      <c r="N150" s="56">
        <v>1836</v>
      </c>
      <c r="O150" s="56">
        <v>1915</v>
      </c>
      <c r="Q150" s="41" t="s">
        <v>5557</v>
      </c>
    </row>
    <row r="151" spans="1:17" s="39" customFormat="1">
      <c r="A151" s="41" t="s">
        <v>5389</v>
      </c>
      <c r="B151" s="41" t="s">
        <v>5857</v>
      </c>
      <c r="C151" s="55" t="s">
        <v>13729</v>
      </c>
      <c r="D151" s="42">
        <v>0</v>
      </c>
      <c r="E151" s="42">
        <v>0</v>
      </c>
      <c r="F151" s="42">
        <v>0</v>
      </c>
      <c r="G151" s="42">
        <v>0</v>
      </c>
      <c r="H151" s="42">
        <v>0</v>
      </c>
      <c r="I151" s="42">
        <v>0</v>
      </c>
      <c r="J151" s="42">
        <v>0</v>
      </c>
      <c r="K151" s="42">
        <v>0</v>
      </c>
      <c r="L151" s="42">
        <v>0</v>
      </c>
      <c r="M151" s="42">
        <v>0</v>
      </c>
      <c r="N151" s="56">
        <v>1806</v>
      </c>
      <c r="O151" s="56">
        <v>1875</v>
      </c>
      <c r="Q151" s="41" t="s">
        <v>5557</v>
      </c>
    </row>
    <row r="152" spans="1:17" s="39" customFormat="1">
      <c r="A152" s="41" t="s">
        <v>5391</v>
      </c>
      <c r="B152" s="41" t="s">
        <v>5860</v>
      </c>
      <c r="C152" s="55" t="s">
        <v>13730</v>
      </c>
      <c r="D152" s="42">
        <v>0</v>
      </c>
      <c r="E152" s="42">
        <v>0</v>
      </c>
      <c r="F152" s="42">
        <v>0</v>
      </c>
      <c r="G152" s="42">
        <v>0</v>
      </c>
      <c r="H152" s="42">
        <v>0</v>
      </c>
      <c r="I152" s="42">
        <v>0</v>
      </c>
      <c r="J152" s="42">
        <v>0</v>
      </c>
      <c r="K152" s="42">
        <v>0</v>
      </c>
      <c r="L152" s="42">
        <v>0</v>
      </c>
      <c r="M152" s="42">
        <v>0</v>
      </c>
      <c r="N152" s="56">
        <v>1876</v>
      </c>
      <c r="O152" s="56">
        <v>1948</v>
      </c>
      <c r="Q152" s="41" t="s">
        <v>5557</v>
      </c>
    </row>
    <row r="153" spans="1:17" s="39" customFormat="1">
      <c r="A153" s="41" t="s">
        <v>5393</v>
      </c>
      <c r="B153" s="41" t="s">
        <v>13732</v>
      </c>
      <c r="C153" s="55" t="s">
        <v>13731</v>
      </c>
      <c r="D153" s="42">
        <v>0</v>
      </c>
      <c r="E153" s="42">
        <v>0</v>
      </c>
      <c r="F153" s="42">
        <v>0</v>
      </c>
      <c r="G153" s="42">
        <v>0</v>
      </c>
      <c r="H153" s="42">
        <v>0</v>
      </c>
      <c r="I153" s="42">
        <v>0</v>
      </c>
      <c r="J153" s="42">
        <v>0</v>
      </c>
      <c r="K153" s="42">
        <v>0</v>
      </c>
      <c r="L153" s="42">
        <v>0</v>
      </c>
      <c r="M153" s="42">
        <v>0</v>
      </c>
      <c r="N153" s="56">
        <v>2163</v>
      </c>
      <c r="O153" s="56">
        <v>2224</v>
      </c>
      <c r="Q153" s="41" t="s">
        <v>5557</v>
      </c>
    </row>
    <row r="154" spans="1:17" s="39" customFormat="1">
      <c r="A154" s="41" t="s">
        <v>5394</v>
      </c>
      <c r="B154" s="41" t="s">
        <v>6525</v>
      </c>
      <c r="C154" s="55" t="s">
        <v>13733</v>
      </c>
      <c r="D154" s="42">
        <v>0</v>
      </c>
      <c r="E154" s="42">
        <v>0</v>
      </c>
      <c r="F154" s="42">
        <v>0</v>
      </c>
      <c r="G154" s="42">
        <v>0</v>
      </c>
      <c r="H154" s="42">
        <v>0</v>
      </c>
      <c r="I154" s="42">
        <v>0</v>
      </c>
      <c r="J154" s="42">
        <v>0</v>
      </c>
      <c r="K154" s="42">
        <v>0</v>
      </c>
      <c r="L154" s="42">
        <v>0</v>
      </c>
      <c r="M154" s="42">
        <v>0</v>
      </c>
      <c r="N154" s="56">
        <v>1915</v>
      </c>
      <c r="O154" s="56">
        <v>1993</v>
      </c>
      <c r="Q154" s="41" t="s">
        <v>5557</v>
      </c>
    </row>
    <row r="155" spans="1:17" s="39" customFormat="1">
      <c r="A155" s="41" t="s">
        <v>5416</v>
      </c>
      <c r="B155" s="41" t="s">
        <v>6526</v>
      </c>
      <c r="C155" s="55" t="s">
        <v>13734</v>
      </c>
      <c r="D155" s="42">
        <v>0</v>
      </c>
      <c r="E155" s="42">
        <v>0</v>
      </c>
      <c r="F155" s="42">
        <v>0</v>
      </c>
      <c r="G155" s="42">
        <v>0</v>
      </c>
      <c r="H155" s="42">
        <v>0</v>
      </c>
      <c r="I155" s="42">
        <v>0</v>
      </c>
      <c r="J155" s="42">
        <v>0</v>
      </c>
      <c r="K155" s="42">
        <v>0</v>
      </c>
      <c r="L155" s="42">
        <v>0</v>
      </c>
      <c r="M155" s="42">
        <v>0</v>
      </c>
      <c r="N155" s="56">
        <v>2134</v>
      </c>
      <c r="O155" s="56">
        <v>2183</v>
      </c>
      <c r="Q155" s="41" t="s">
        <v>5557</v>
      </c>
    </row>
    <row r="156" spans="1:17" s="39" customFormat="1">
      <c r="A156" s="41" t="s">
        <v>5418</v>
      </c>
      <c r="B156" s="41" t="s">
        <v>6527</v>
      </c>
      <c r="C156" s="55" t="s">
        <v>13735</v>
      </c>
      <c r="D156" s="42">
        <v>0</v>
      </c>
      <c r="E156" s="42">
        <v>0</v>
      </c>
      <c r="F156" s="42">
        <v>0</v>
      </c>
      <c r="G156" s="42">
        <v>0</v>
      </c>
      <c r="H156" s="42">
        <v>0</v>
      </c>
      <c r="I156" s="42">
        <v>0</v>
      </c>
      <c r="J156" s="42">
        <v>0</v>
      </c>
      <c r="K156" s="42">
        <v>0</v>
      </c>
      <c r="L156" s="42">
        <v>0</v>
      </c>
      <c r="M156" s="42">
        <v>0</v>
      </c>
      <c r="N156" s="56">
        <v>2242</v>
      </c>
      <c r="O156" s="56">
        <v>2328</v>
      </c>
      <c r="Q156" s="41" t="s">
        <v>5557</v>
      </c>
    </row>
    <row r="157" spans="1:17" s="39" customFormat="1">
      <c r="A157" s="41" t="s">
        <v>5420</v>
      </c>
      <c r="B157" s="41" t="s">
        <v>13737</v>
      </c>
      <c r="C157" s="55" t="s">
        <v>13736</v>
      </c>
      <c r="D157" s="42">
        <v>0</v>
      </c>
      <c r="E157" s="42">
        <v>0</v>
      </c>
      <c r="F157" s="42">
        <v>0</v>
      </c>
      <c r="G157" s="42">
        <v>0</v>
      </c>
      <c r="H157" s="42">
        <v>0</v>
      </c>
      <c r="I157" s="42">
        <v>0</v>
      </c>
      <c r="J157" s="42">
        <v>0</v>
      </c>
      <c r="K157" s="42">
        <v>0</v>
      </c>
      <c r="L157" s="42">
        <v>0</v>
      </c>
      <c r="M157" s="42">
        <v>0</v>
      </c>
      <c r="N157" s="56">
        <v>2220</v>
      </c>
      <c r="O157" s="56">
        <v>2301</v>
      </c>
      <c r="Q157" s="41" t="s">
        <v>5557</v>
      </c>
    </row>
    <row r="158" spans="1:17" s="39" customFormat="1">
      <c r="A158" s="41" t="s">
        <v>5422</v>
      </c>
      <c r="B158" s="41" t="s">
        <v>13739</v>
      </c>
      <c r="C158" s="55" t="s">
        <v>13738</v>
      </c>
      <c r="D158" s="42">
        <v>0</v>
      </c>
      <c r="E158" s="42">
        <v>0</v>
      </c>
      <c r="F158" s="42">
        <v>0</v>
      </c>
      <c r="G158" s="42">
        <v>0</v>
      </c>
      <c r="H158" s="42">
        <v>0</v>
      </c>
      <c r="I158" s="42">
        <v>0</v>
      </c>
      <c r="J158" s="42">
        <v>0</v>
      </c>
      <c r="K158" s="42">
        <v>0</v>
      </c>
      <c r="L158" s="42">
        <v>0</v>
      </c>
      <c r="M158" s="42">
        <v>0</v>
      </c>
      <c r="N158" s="58">
        <v>4634</v>
      </c>
      <c r="O158" s="58">
        <v>4787</v>
      </c>
      <c r="Q158" s="41" t="s">
        <v>5557</v>
      </c>
    </row>
    <row r="159" spans="1:17" s="39" customFormat="1">
      <c r="A159" s="41" t="s">
        <v>5424</v>
      </c>
      <c r="B159" s="41" t="s">
        <v>13741</v>
      </c>
      <c r="C159" s="55" t="s">
        <v>13740</v>
      </c>
      <c r="D159" s="42">
        <v>0</v>
      </c>
      <c r="E159" s="42">
        <v>0</v>
      </c>
      <c r="F159" s="42">
        <v>0</v>
      </c>
      <c r="G159" s="42">
        <v>0</v>
      </c>
      <c r="H159" s="42">
        <v>0</v>
      </c>
      <c r="I159" s="42">
        <v>0</v>
      </c>
      <c r="J159" s="42">
        <v>0</v>
      </c>
      <c r="K159" s="42">
        <v>0</v>
      </c>
      <c r="L159" s="42">
        <v>0</v>
      </c>
      <c r="M159" s="42">
        <v>0</v>
      </c>
      <c r="N159" s="56">
        <v>6908</v>
      </c>
      <c r="O159" s="56">
        <v>7126</v>
      </c>
      <c r="Q159" s="41" t="s">
        <v>5557</v>
      </c>
    </row>
    <row r="160" spans="1:17" s="39" customFormat="1">
      <c r="A160" s="41" t="s">
        <v>5426</v>
      </c>
      <c r="B160" s="41" t="s">
        <v>13743</v>
      </c>
      <c r="C160" s="55" t="s">
        <v>13742</v>
      </c>
      <c r="D160" s="42">
        <v>0</v>
      </c>
      <c r="E160" s="42">
        <v>0</v>
      </c>
      <c r="F160" s="42">
        <v>0</v>
      </c>
      <c r="G160" s="42">
        <v>0</v>
      </c>
      <c r="H160" s="42">
        <v>0</v>
      </c>
      <c r="I160" s="42">
        <v>0</v>
      </c>
      <c r="J160" s="42">
        <v>0</v>
      </c>
      <c r="K160" s="42">
        <v>0</v>
      </c>
      <c r="L160" s="42">
        <v>0</v>
      </c>
      <c r="M160" s="42">
        <v>0</v>
      </c>
      <c r="N160" s="56">
        <v>2083</v>
      </c>
      <c r="O160" s="56">
        <v>2142</v>
      </c>
      <c r="Q160" s="41" t="s">
        <v>5557</v>
      </c>
    </row>
    <row r="161" spans="1:17" s="39" customFormat="1">
      <c r="A161" s="59">
        <v>12</v>
      </c>
      <c r="B161" s="41" t="s">
        <v>13745</v>
      </c>
      <c r="C161" s="55" t="s">
        <v>13744</v>
      </c>
      <c r="D161" s="42">
        <v>16374</v>
      </c>
      <c r="E161" s="42">
        <v>16505</v>
      </c>
      <c r="F161" s="42">
        <v>16615</v>
      </c>
      <c r="G161" s="42">
        <v>16531</v>
      </c>
      <c r="H161" s="42">
        <v>16187</v>
      </c>
      <c r="I161" s="42">
        <v>16274</v>
      </c>
      <c r="J161" s="42">
        <v>16425</v>
      </c>
      <c r="K161" s="42">
        <v>17111</v>
      </c>
      <c r="L161" s="42">
        <v>17315</v>
      </c>
      <c r="M161" s="42">
        <v>17247</v>
      </c>
      <c r="N161" s="56">
        <v>4524</v>
      </c>
      <c r="O161" s="56">
        <v>4602</v>
      </c>
      <c r="Q161" s="41" t="s">
        <v>5566</v>
      </c>
    </row>
    <row r="162" spans="1:17" s="39" customFormat="1">
      <c r="A162" s="59">
        <v>13</v>
      </c>
      <c r="B162" s="41" t="s">
        <v>13747</v>
      </c>
      <c r="C162" s="55" t="s">
        <v>13746</v>
      </c>
      <c r="D162" s="42">
        <v>0</v>
      </c>
      <c r="E162" s="42">
        <v>0</v>
      </c>
      <c r="F162" s="42">
        <v>0</v>
      </c>
      <c r="G162" s="42">
        <v>0</v>
      </c>
      <c r="H162" s="42">
        <v>0</v>
      </c>
      <c r="I162" s="42">
        <v>0</v>
      </c>
      <c r="J162" s="42">
        <v>0</v>
      </c>
      <c r="K162" s="42">
        <v>0</v>
      </c>
      <c r="L162" s="42">
        <v>0</v>
      </c>
      <c r="M162" s="42">
        <v>0</v>
      </c>
      <c r="N162" s="56">
        <v>6186</v>
      </c>
      <c r="O162" s="56">
        <v>6399</v>
      </c>
      <c r="Q162" s="41" t="s">
        <v>5557</v>
      </c>
    </row>
    <row r="163" spans="1:17" s="39" customFormat="1">
      <c r="A163" s="41" t="s">
        <v>5431</v>
      </c>
      <c r="B163" s="41" t="s">
        <v>13749</v>
      </c>
      <c r="C163" s="55" t="s">
        <v>13748</v>
      </c>
      <c r="D163" s="42">
        <v>0</v>
      </c>
      <c r="E163" s="42">
        <v>0</v>
      </c>
      <c r="F163" s="42">
        <v>0</v>
      </c>
      <c r="G163" s="42">
        <v>0</v>
      </c>
      <c r="H163" s="42">
        <v>0</v>
      </c>
      <c r="I163" s="42">
        <v>0</v>
      </c>
      <c r="J163" s="42">
        <v>0</v>
      </c>
      <c r="K163" s="42">
        <v>0</v>
      </c>
      <c r="L163" s="42">
        <v>0</v>
      </c>
      <c r="M163" s="42">
        <v>0</v>
      </c>
      <c r="N163" s="56">
        <v>2283</v>
      </c>
      <c r="O163" s="56">
        <v>2342</v>
      </c>
      <c r="Q163" s="41" t="s">
        <v>5557</v>
      </c>
    </row>
    <row r="164" spans="1:17" s="39" customFormat="1">
      <c r="A164" s="41" t="s">
        <v>5433</v>
      </c>
      <c r="B164" s="41" t="s">
        <v>4093</v>
      </c>
      <c r="C164" s="55" t="s">
        <v>13750</v>
      </c>
      <c r="D164" s="42">
        <v>0</v>
      </c>
      <c r="E164" s="42">
        <v>0</v>
      </c>
      <c r="F164" s="42">
        <v>0</v>
      </c>
      <c r="G164" s="42">
        <v>0</v>
      </c>
      <c r="H164" s="42">
        <v>0</v>
      </c>
      <c r="I164" s="42">
        <v>0</v>
      </c>
      <c r="J164" s="42">
        <v>0</v>
      </c>
      <c r="K164" s="42">
        <v>0</v>
      </c>
      <c r="L164" s="42">
        <v>0</v>
      </c>
      <c r="M164" s="42">
        <v>0</v>
      </c>
      <c r="N164" s="56">
        <v>1956</v>
      </c>
      <c r="O164" s="56">
        <v>2079</v>
      </c>
      <c r="Q164" s="41" t="s">
        <v>5557</v>
      </c>
    </row>
    <row r="165" spans="1:17" s="39" customFormat="1">
      <c r="A165" s="41" t="s">
        <v>5435</v>
      </c>
      <c r="B165" s="41" t="s">
        <v>4094</v>
      </c>
      <c r="C165" s="55" t="s">
        <v>13751</v>
      </c>
      <c r="D165" s="42">
        <v>0</v>
      </c>
      <c r="E165" s="42">
        <v>0</v>
      </c>
      <c r="F165" s="42">
        <v>0</v>
      </c>
      <c r="G165" s="42">
        <v>0</v>
      </c>
      <c r="H165" s="42">
        <v>0</v>
      </c>
      <c r="I165" s="42">
        <v>0</v>
      </c>
      <c r="J165" s="42">
        <v>0</v>
      </c>
      <c r="K165" s="42">
        <v>0</v>
      </c>
      <c r="L165" s="42">
        <v>0</v>
      </c>
      <c r="M165" s="42">
        <v>0</v>
      </c>
      <c r="N165" s="56">
        <v>4408</v>
      </c>
      <c r="O165" s="56">
        <v>4492</v>
      </c>
      <c r="Q165" s="41" t="s">
        <v>5557</v>
      </c>
    </row>
    <row r="166" spans="1:17" s="39" customFormat="1">
      <c r="A166" s="41" t="s">
        <v>5436</v>
      </c>
      <c r="B166" s="41" t="s">
        <v>13753</v>
      </c>
      <c r="C166" s="55" t="s">
        <v>13752</v>
      </c>
      <c r="D166" s="42">
        <v>0</v>
      </c>
      <c r="E166" s="42">
        <v>0</v>
      </c>
      <c r="F166" s="42">
        <v>0</v>
      </c>
      <c r="G166" s="42">
        <v>0</v>
      </c>
      <c r="H166" s="42">
        <v>0</v>
      </c>
      <c r="I166" s="42">
        <v>0</v>
      </c>
      <c r="J166" s="42">
        <v>0</v>
      </c>
      <c r="K166" s="42">
        <v>0</v>
      </c>
      <c r="L166" s="42">
        <v>0</v>
      </c>
      <c r="M166" s="42">
        <v>0</v>
      </c>
      <c r="N166" s="58">
        <v>2026</v>
      </c>
      <c r="O166" s="58">
        <v>2082</v>
      </c>
      <c r="Q166" s="41" t="s">
        <v>5566</v>
      </c>
    </row>
    <row r="167" spans="1:17" s="39" customFormat="1">
      <c r="A167" s="41" t="s">
        <v>5437</v>
      </c>
      <c r="B167" s="41" t="s">
        <v>4095</v>
      </c>
      <c r="C167" s="55" t="s">
        <v>13754</v>
      </c>
      <c r="D167" s="42">
        <v>0</v>
      </c>
      <c r="E167" s="42">
        <v>0</v>
      </c>
      <c r="F167" s="42">
        <v>0</v>
      </c>
      <c r="G167" s="42">
        <v>0</v>
      </c>
      <c r="H167" s="42">
        <v>0</v>
      </c>
      <c r="I167" s="42">
        <v>0</v>
      </c>
      <c r="J167" s="42">
        <v>0</v>
      </c>
      <c r="K167" s="42">
        <v>0</v>
      </c>
      <c r="L167" s="42">
        <v>0</v>
      </c>
      <c r="M167" s="42">
        <v>0</v>
      </c>
      <c r="N167" s="58">
        <v>2446</v>
      </c>
      <c r="O167" s="58">
        <v>2515</v>
      </c>
      <c r="Q167" s="41" t="s">
        <v>5566</v>
      </c>
    </row>
    <row r="168" spans="1:17" s="39" customFormat="1">
      <c r="A168" s="41" t="s">
        <v>5439</v>
      </c>
      <c r="B168" s="41" t="s">
        <v>13756</v>
      </c>
      <c r="C168" s="55" t="s">
        <v>13755</v>
      </c>
      <c r="D168" s="42">
        <v>0</v>
      </c>
      <c r="E168" s="42">
        <v>0</v>
      </c>
      <c r="F168" s="42">
        <v>0</v>
      </c>
      <c r="G168" s="42">
        <v>0</v>
      </c>
      <c r="H168" s="42">
        <v>0</v>
      </c>
      <c r="I168" s="42">
        <v>0</v>
      </c>
      <c r="J168" s="42">
        <v>0</v>
      </c>
      <c r="K168" s="42">
        <v>0</v>
      </c>
      <c r="L168" s="42">
        <v>0</v>
      </c>
      <c r="M168" s="42">
        <v>0</v>
      </c>
      <c r="N168" s="58">
        <v>3827</v>
      </c>
      <c r="O168" s="58">
        <v>3966</v>
      </c>
      <c r="Q168" s="41" t="s">
        <v>5566</v>
      </c>
    </row>
    <row r="169" spans="1:17" s="39" customFormat="1">
      <c r="A169" s="41" t="s">
        <v>5441</v>
      </c>
      <c r="B169" s="41" t="s">
        <v>4107</v>
      </c>
      <c r="C169" s="55" t="s">
        <v>13757</v>
      </c>
      <c r="D169" s="42">
        <v>0</v>
      </c>
      <c r="E169" s="42">
        <v>0</v>
      </c>
      <c r="F169" s="42">
        <v>0</v>
      </c>
      <c r="G169" s="42">
        <v>0</v>
      </c>
      <c r="H169" s="42">
        <v>0</v>
      </c>
      <c r="I169" s="42">
        <v>0</v>
      </c>
      <c r="J169" s="42">
        <v>0</v>
      </c>
      <c r="K169" s="42">
        <v>0</v>
      </c>
      <c r="L169" s="42">
        <v>0</v>
      </c>
      <c r="M169" s="42">
        <v>0</v>
      </c>
      <c r="N169" s="58">
        <v>2095</v>
      </c>
      <c r="O169" s="58">
        <v>2162</v>
      </c>
      <c r="Q169" s="41" t="s">
        <v>5566</v>
      </c>
    </row>
    <row r="170" spans="1:17" s="39" customFormat="1">
      <c r="A170" s="41" t="s">
        <v>5886</v>
      </c>
      <c r="B170" s="41" t="s">
        <v>4108</v>
      </c>
      <c r="C170" s="55" t="s">
        <v>13758</v>
      </c>
      <c r="D170" s="42">
        <v>0</v>
      </c>
      <c r="E170" s="42">
        <v>0</v>
      </c>
      <c r="F170" s="42">
        <v>0</v>
      </c>
      <c r="G170" s="42">
        <v>0</v>
      </c>
      <c r="H170" s="42">
        <v>0</v>
      </c>
      <c r="I170" s="42">
        <v>0</v>
      </c>
      <c r="J170" s="42">
        <v>0</v>
      </c>
      <c r="K170" s="42">
        <v>0</v>
      </c>
      <c r="L170" s="42">
        <v>0</v>
      </c>
      <c r="M170" s="42">
        <v>0</v>
      </c>
      <c r="N170" s="58">
        <v>2027</v>
      </c>
      <c r="O170" s="58">
        <v>2075</v>
      </c>
      <c r="Q170" s="41" t="s">
        <v>5557</v>
      </c>
    </row>
    <row r="171" spans="1:17" s="39" customFormat="1">
      <c r="A171" s="41" t="s">
        <v>5888</v>
      </c>
      <c r="B171" s="41" t="s">
        <v>4109</v>
      </c>
      <c r="C171" s="55" t="s">
        <v>13759</v>
      </c>
      <c r="D171" s="42">
        <v>0</v>
      </c>
      <c r="E171" s="42">
        <v>0</v>
      </c>
      <c r="F171" s="42">
        <v>0</v>
      </c>
      <c r="G171" s="42">
        <v>0</v>
      </c>
      <c r="H171" s="42">
        <v>0</v>
      </c>
      <c r="I171" s="42">
        <v>0</v>
      </c>
      <c r="J171" s="42">
        <v>0</v>
      </c>
      <c r="K171" s="42">
        <v>0</v>
      </c>
      <c r="L171" s="42">
        <v>0</v>
      </c>
      <c r="M171" s="42">
        <v>0</v>
      </c>
      <c r="N171" s="58">
        <v>4719</v>
      </c>
      <c r="O171" s="58">
        <v>4845</v>
      </c>
      <c r="Q171" s="41" t="s">
        <v>5557</v>
      </c>
    </row>
    <row r="172" spans="1:17" s="39" customFormat="1">
      <c r="A172" s="41" t="s">
        <v>5889</v>
      </c>
      <c r="B172" s="41" t="s">
        <v>4110</v>
      </c>
      <c r="C172" s="55" t="s">
        <v>13760</v>
      </c>
      <c r="D172" s="42">
        <v>0</v>
      </c>
      <c r="E172" s="42">
        <v>0</v>
      </c>
      <c r="F172" s="42">
        <v>0</v>
      </c>
      <c r="G172" s="42">
        <v>0</v>
      </c>
      <c r="H172" s="42">
        <v>0</v>
      </c>
      <c r="I172" s="42">
        <v>0</v>
      </c>
      <c r="J172" s="42">
        <v>0</v>
      </c>
      <c r="K172" s="42">
        <v>0</v>
      </c>
      <c r="L172" s="42">
        <v>0</v>
      </c>
      <c r="M172" s="42">
        <v>0</v>
      </c>
      <c r="N172" s="58">
        <v>2061</v>
      </c>
      <c r="O172" s="58">
        <v>2105</v>
      </c>
      <c r="Q172" s="41" t="s">
        <v>5557</v>
      </c>
    </row>
    <row r="173" spans="1:17" s="39" customFormat="1">
      <c r="A173" s="41" t="s">
        <v>4431</v>
      </c>
      <c r="B173" s="41" t="s">
        <v>4111</v>
      </c>
      <c r="C173" s="55" t="s">
        <v>13761</v>
      </c>
      <c r="D173" s="42">
        <v>0</v>
      </c>
      <c r="E173" s="42">
        <v>0</v>
      </c>
      <c r="F173" s="42">
        <v>0</v>
      </c>
      <c r="G173" s="42">
        <v>0</v>
      </c>
      <c r="H173" s="42">
        <v>0</v>
      </c>
      <c r="I173" s="42">
        <v>0</v>
      </c>
      <c r="J173" s="42">
        <v>0</v>
      </c>
      <c r="K173" s="42">
        <v>0</v>
      </c>
      <c r="L173" s="42">
        <v>0</v>
      </c>
      <c r="M173" s="42">
        <v>0</v>
      </c>
      <c r="N173" s="58">
        <v>2013</v>
      </c>
      <c r="O173" s="58">
        <v>2121</v>
      </c>
      <c r="Q173" s="41" t="s">
        <v>5557</v>
      </c>
    </row>
    <row r="174" spans="1:17" s="39" customFormat="1">
      <c r="A174" s="41" t="s">
        <v>4432</v>
      </c>
      <c r="B174" s="41" t="s">
        <v>4112</v>
      </c>
      <c r="C174" s="55" t="s">
        <v>13762</v>
      </c>
      <c r="D174" s="42">
        <v>0</v>
      </c>
      <c r="E174" s="42">
        <v>0</v>
      </c>
      <c r="F174" s="42">
        <v>0</v>
      </c>
      <c r="G174" s="42">
        <v>0</v>
      </c>
      <c r="H174" s="42">
        <v>0</v>
      </c>
      <c r="I174" s="42">
        <v>0</v>
      </c>
      <c r="J174" s="42">
        <v>0</v>
      </c>
      <c r="K174" s="42">
        <v>0</v>
      </c>
      <c r="L174" s="42">
        <v>0</v>
      </c>
      <c r="M174" s="42">
        <v>0</v>
      </c>
      <c r="N174" s="58">
        <v>2176</v>
      </c>
      <c r="O174" s="58">
        <v>2246</v>
      </c>
      <c r="Q174" s="41" t="s">
        <v>5557</v>
      </c>
    </row>
    <row r="175" spans="1:17" s="39" customFormat="1">
      <c r="A175" s="41" t="s">
        <v>4434</v>
      </c>
      <c r="B175" s="41" t="s">
        <v>13764</v>
      </c>
      <c r="C175" s="55" t="s">
        <v>13763</v>
      </c>
      <c r="D175" s="42">
        <v>0</v>
      </c>
      <c r="E175" s="42">
        <v>0</v>
      </c>
      <c r="F175" s="42">
        <v>0</v>
      </c>
      <c r="G175" s="42">
        <v>0</v>
      </c>
      <c r="H175" s="42">
        <v>0</v>
      </c>
      <c r="I175" s="42">
        <v>0</v>
      </c>
      <c r="J175" s="42">
        <v>0</v>
      </c>
      <c r="K175" s="42">
        <v>0</v>
      </c>
      <c r="L175" s="42">
        <v>0</v>
      </c>
      <c r="M175" s="42">
        <v>0</v>
      </c>
      <c r="N175" s="58">
        <v>4539</v>
      </c>
      <c r="O175" s="58">
        <v>4689</v>
      </c>
      <c r="Q175" s="41" t="s">
        <v>5557</v>
      </c>
    </row>
    <row r="176" spans="1:17" s="39" customFormat="1">
      <c r="A176" s="41" t="s">
        <v>4533</v>
      </c>
      <c r="B176" s="41" t="s">
        <v>13766</v>
      </c>
      <c r="C176" s="55" t="s">
        <v>13765</v>
      </c>
      <c r="D176" s="42">
        <v>0</v>
      </c>
      <c r="E176" s="42">
        <v>0</v>
      </c>
      <c r="F176" s="42">
        <v>0</v>
      </c>
      <c r="G176" s="42">
        <v>0</v>
      </c>
      <c r="H176" s="42">
        <v>0</v>
      </c>
      <c r="I176" s="42">
        <v>0</v>
      </c>
      <c r="J176" s="42">
        <v>0</v>
      </c>
      <c r="K176" s="42">
        <v>0</v>
      </c>
      <c r="L176" s="42">
        <v>0</v>
      </c>
      <c r="M176" s="42">
        <v>0</v>
      </c>
      <c r="N176" s="58">
        <v>2319</v>
      </c>
      <c r="O176" s="58">
        <v>2359</v>
      </c>
      <c r="Q176" s="41" t="s">
        <v>5557</v>
      </c>
    </row>
    <row r="177" spans="1:17" s="39" customFormat="1">
      <c r="A177" s="41" t="s">
        <v>4535</v>
      </c>
      <c r="B177" s="41" t="s">
        <v>4113</v>
      </c>
      <c r="C177" s="55" t="s">
        <v>13767</v>
      </c>
      <c r="D177" s="42">
        <v>0</v>
      </c>
      <c r="E177" s="42">
        <v>0</v>
      </c>
      <c r="F177" s="42">
        <v>0</v>
      </c>
      <c r="G177" s="42">
        <v>0</v>
      </c>
      <c r="H177" s="42">
        <v>0</v>
      </c>
      <c r="I177" s="42">
        <v>0</v>
      </c>
      <c r="J177" s="42">
        <v>0</v>
      </c>
      <c r="K177" s="42">
        <v>0</v>
      </c>
      <c r="L177" s="42">
        <v>0</v>
      </c>
      <c r="M177" s="42">
        <v>0</v>
      </c>
      <c r="N177" s="58">
        <v>2399</v>
      </c>
      <c r="O177" s="58">
        <v>2498</v>
      </c>
      <c r="Q177" s="41" t="s">
        <v>5566</v>
      </c>
    </row>
    <row r="178" spans="1:17" s="39" customFormat="1">
      <c r="A178" s="41" t="s">
        <v>4537</v>
      </c>
      <c r="B178" s="41" t="s">
        <v>4114</v>
      </c>
      <c r="C178" s="55" t="s">
        <v>13768</v>
      </c>
      <c r="D178" s="42">
        <v>0</v>
      </c>
      <c r="E178" s="42">
        <v>0</v>
      </c>
      <c r="F178" s="42">
        <v>0</v>
      </c>
      <c r="G178" s="42">
        <v>0</v>
      </c>
      <c r="H178" s="42">
        <v>0</v>
      </c>
      <c r="I178" s="42">
        <v>0</v>
      </c>
      <c r="J178" s="42">
        <v>0</v>
      </c>
      <c r="K178" s="42">
        <v>0</v>
      </c>
      <c r="L178" s="42">
        <v>0</v>
      </c>
      <c r="M178" s="42">
        <v>0</v>
      </c>
      <c r="N178" s="58">
        <v>4579</v>
      </c>
      <c r="O178" s="58">
        <v>4713</v>
      </c>
      <c r="Q178" s="41" t="s">
        <v>5557</v>
      </c>
    </row>
    <row r="179" spans="1:17" s="39" customFormat="1">
      <c r="A179" s="41" t="s">
        <v>4539</v>
      </c>
      <c r="B179" s="41" t="s">
        <v>13770</v>
      </c>
      <c r="C179" s="55" t="s">
        <v>13769</v>
      </c>
      <c r="D179" s="42">
        <v>0</v>
      </c>
      <c r="E179" s="42">
        <v>0</v>
      </c>
      <c r="F179" s="42">
        <v>0</v>
      </c>
      <c r="G179" s="42">
        <v>0</v>
      </c>
      <c r="H179" s="42">
        <v>0</v>
      </c>
      <c r="I179" s="42">
        <v>0</v>
      </c>
      <c r="J179" s="42">
        <v>0</v>
      </c>
      <c r="K179" s="42">
        <v>0</v>
      </c>
      <c r="L179" s="42">
        <v>0</v>
      </c>
      <c r="M179" s="42">
        <v>0</v>
      </c>
      <c r="N179" s="58">
        <v>4137</v>
      </c>
      <c r="O179" s="58">
        <v>4280</v>
      </c>
      <c r="Q179" s="41" t="s">
        <v>5557</v>
      </c>
    </row>
    <row r="180" spans="1:17" s="39" customFormat="1">
      <c r="A180" s="41" t="s">
        <v>6158</v>
      </c>
      <c r="B180" s="41" t="s">
        <v>1306</v>
      </c>
      <c r="C180" s="55" t="s">
        <v>13771</v>
      </c>
      <c r="D180" s="42">
        <v>0</v>
      </c>
      <c r="E180" s="42">
        <v>0</v>
      </c>
      <c r="F180" s="42">
        <v>0</v>
      </c>
      <c r="G180" s="42">
        <v>0</v>
      </c>
      <c r="H180" s="42">
        <v>0</v>
      </c>
      <c r="I180" s="42">
        <v>0</v>
      </c>
      <c r="J180" s="42">
        <v>0</v>
      </c>
      <c r="K180" s="42">
        <v>0</v>
      </c>
      <c r="L180" s="42">
        <v>0</v>
      </c>
      <c r="M180" s="42">
        <v>0</v>
      </c>
      <c r="N180" s="58">
        <v>1258</v>
      </c>
      <c r="O180" s="58">
        <v>1376</v>
      </c>
      <c r="Q180" s="41" t="s">
        <v>5557</v>
      </c>
    </row>
    <row r="181" spans="1:17" s="39" customFormat="1">
      <c r="C181" s="60"/>
      <c r="D181" s="44"/>
      <c r="E181" s="44"/>
      <c r="F181" s="44"/>
      <c r="G181" s="44"/>
      <c r="H181" s="44"/>
      <c r="I181" s="44"/>
      <c r="J181" s="44"/>
      <c r="K181" s="44"/>
      <c r="L181" s="44"/>
      <c r="M181" s="44"/>
      <c r="N181" s="44"/>
      <c r="O181" s="44"/>
    </row>
    <row r="182" spans="1:17" s="39" customFormat="1">
      <c r="A182" s="41" t="s">
        <v>5557</v>
      </c>
      <c r="C182" s="60"/>
      <c r="D182" s="42">
        <f t="shared" ref="D182:M182" si="120">SUM(D150:D160,D162:D165,D170:D176,D178:D180)</f>
        <v>71779</v>
      </c>
      <c r="E182" s="42">
        <f t="shared" si="120"/>
        <v>72648</v>
      </c>
      <c r="F182" s="42">
        <f t="shared" si="120"/>
        <v>72833</v>
      </c>
      <c r="G182" s="42">
        <f t="shared" si="120"/>
        <v>72951</v>
      </c>
      <c r="H182" s="42">
        <f t="shared" si="120"/>
        <v>71145</v>
      </c>
      <c r="I182" s="42">
        <f t="shared" si="120"/>
        <v>71316</v>
      </c>
      <c r="J182" s="42">
        <f t="shared" si="120"/>
        <v>70063</v>
      </c>
      <c r="K182" s="42">
        <f t="shared" si="120"/>
        <v>72808</v>
      </c>
      <c r="L182" s="42">
        <f t="shared" si="120"/>
        <v>73450</v>
      </c>
      <c r="M182" s="42">
        <f t="shared" si="120"/>
        <v>73496</v>
      </c>
      <c r="N182" s="42">
        <f>SUM(N150:N160,N162:N165,N170:N176,N178:N180)</f>
        <v>74478</v>
      </c>
      <c r="O182" s="42">
        <f>SUM(O150:O160,O162:O165,O170:O176,O178:O180)</f>
        <v>76943</v>
      </c>
    </row>
    <row r="183" spans="1:17" s="39" customFormat="1">
      <c r="A183" s="41" t="s">
        <v>1307</v>
      </c>
      <c r="C183" s="60"/>
      <c r="D183" s="42">
        <f t="shared" ref="D183:M183" si="121">SUM(D161,D166:D169,D177)</f>
        <v>16374</v>
      </c>
      <c r="E183" s="42">
        <f t="shared" si="121"/>
        <v>16505</v>
      </c>
      <c r="F183" s="42">
        <f t="shared" si="121"/>
        <v>16615</v>
      </c>
      <c r="G183" s="42">
        <f t="shared" si="121"/>
        <v>16531</v>
      </c>
      <c r="H183" s="42">
        <f t="shared" si="121"/>
        <v>16187</v>
      </c>
      <c r="I183" s="42">
        <f t="shared" si="121"/>
        <v>16274</v>
      </c>
      <c r="J183" s="42">
        <f t="shared" si="121"/>
        <v>16425</v>
      </c>
      <c r="K183" s="42">
        <f t="shared" si="121"/>
        <v>17111</v>
      </c>
      <c r="L183" s="42">
        <f t="shared" si="121"/>
        <v>17315</v>
      </c>
      <c r="M183" s="42">
        <f t="shared" si="121"/>
        <v>17247</v>
      </c>
      <c r="N183" s="42">
        <f>SUM(N161,N166:N169,N177)</f>
        <v>17317</v>
      </c>
      <c r="O183" s="42">
        <f>SUM(O161,O166:O169,O177)</f>
        <v>17825</v>
      </c>
    </row>
    <row r="184" spans="1:17" s="39" customFormat="1">
      <c r="A184" s="41"/>
      <c r="B184" s="41"/>
      <c r="C184" s="60"/>
      <c r="D184" s="61"/>
      <c r="E184" s="61"/>
      <c r="F184" s="61"/>
      <c r="G184" s="61"/>
      <c r="H184" s="61"/>
      <c r="I184" s="61"/>
      <c r="J184" s="61"/>
      <c r="K184" s="61"/>
      <c r="L184" s="61"/>
      <c r="M184" s="61"/>
      <c r="N184" s="61"/>
      <c r="O184" s="61"/>
    </row>
    <row r="185" spans="1:17" s="39" customFormat="1">
      <c r="A185" s="41" t="s">
        <v>13772</v>
      </c>
      <c r="B185" s="41"/>
      <c r="C185" s="60"/>
      <c r="D185" s="61"/>
      <c r="E185" s="61"/>
      <c r="F185" s="61"/>
      <c r="G185" s="61"/>
      <c r="H185" s="61"/>
      <c r="I185" s="61"/>
      <c r="J185" s="61"/>
      <c r="K185" s="61"/>
      <c r="L185" s="61"/>
      <c r="M185" s="61"/>
      <c r="N185" s="61"/>
      <c r="O185" s="61"/>
    </row>
    <row r="186" spans="1:17" s="39" customFormat="1">
      <c r="A186" s="41"/>
      <c r="B186" s="41"/>
      <c r="C186" s="60"/>
      <c r="D186" s="61"/>
      <c r="E186" s="61"/>
      <c r="F186" s="61"/>
      <c r="G186" s="61"/>
      <c r="H186" s="61"/>
      <c r="I186" s="61"/>
      <c r="J186" s="61"/>
      <c r="K186" s="61"/>
      <c r="L186" s="61"/>
      <c r="M186" s="61"/>
      <c r="N186" s="61"/>
      <c r="O186" s="61"/>
    </row>
    <row r="187" spans="1:17" s="39" customFormat="1">
      <c r="A187" s="41"/>
      <c r="B187" s="41"/>
      <c r="C187" s="60"/>
      <c r="D187" s="61"/>
      <c r="E187" s="61"/>
      <c r="F187" s="61"/>
      <c r="G187" s="61"/>
      <c r="H187" s="61"/>
      <c r="I187" s="61"/>
      <c r="J187" s="61"/>
      <c r="K187" s="61"/>
      <c r="L187" s="61"/>
      <c r="M187" s="61"/>
      <c r="N187" s="61"/>
      <c r="O187" s="61"/>
    </row>
    <row r="188" spans="1:17" s="39" customFormat="1">
      <c r="C188" s="60"/>
      <c r="E188" s="51" t="s">
        <v>1526</v>
      </c>
      <c r="F188" s="51"/>
      <c r="G188" s="51"/>
      <c r="H188" s="51"/>
      <c r="I188" s="51"/>
      <c r="J188" s="51"/>
      <c r="K188" s="51"/>
      <c r="L188" s="51"/>
      <c r="M188" s="51"/>
      <c r="N188" s="51"/>
      <c r="O188" s="51"/>
      <c r="P188" s="52"/>
      <c r="Q188" s="53" t="s">
        <v>9479</v>
      </c>
    </row>
    <row r="189" spans="1:17" s="39" customFormat="1">
      <c r="C189" s="60"/>
      <c r="D189" s="40">
        <v>2010</v>
      </c>
      <c r="E189" s="40">
        <v>2011</v>
      </c>
      <c r="F189" s="40">
        <v>2012</v>
      </c>
      <c r="G189" s="40">
        <v>2013</v>
      </c>
      <c r="H189" s="40">
        <v>2014</v>
      </c>
      <c r="I189" s="40">
        <v>2015</v>
      </c>
      <c r="J189" s="40">
        <v>2016</v>
      </c>
      <c r="K189" s="40">
        <v>2017</v>
      </c>
      <c r="L189" s="40">
        <v>2018</v>
      </c>
      <c r="M189" s="40">
        <v>2019</v>
      </c>
      <c r="N189" s="40">
        <v>2020</v>
      </c>
      <c r="O189" s="971" t="s">
        <v>14823</v>
      </c>
      <c r="P189" s="52"/>
      <c r="Q189" s="54" t="s">
        <v>1527</v>
      </c>
    </row>
    <row r="190" spans="1:17" s="39" customFormat="1">
      <c r="A190" s="41" t="s">
        <v>1308</v>
      </c>
      <c r="C190" s="60"/>
      <c r="D190" s="42">
        <f t="shared" ref="D190:L190" si="122">SUM(D191:D204)</f>
        <v>93921</v>
      </c>
      <c r="E190" s="42">
        <f t="shared" si="122"/>
        <v>94971</v>
      </c>
      <c r="F190" s="42">
        <f t="shared" si="122"/>
        <v>96084</v>
      </c>
      <c r="G190" s="42">
        <f t="shared" si="122"/>
        <v>96605</v>
      </c>
      <c r="H190" s="42">
        <f t="shared" si="122"/>
        <v>97603</v>
      </c>
      <c r="I190" s="42">
        <f t="shared" si="122"/>
        <v>95729</v>
      </c>
      <c r="J190" s="42">
        <f t="shared" si="122"/>
        <v>94165</v>
      </c>
      <c r="K190" s="42">
        <f t="shared" si="122"/>
        <v>95523</v>
      </c>
      <c r="L190" s="42">
        <f t="shared" si="122"/>
        <v>97119</v>
      </c>
      <c r="M190" s="42">
        <f>SUM(M191:M204)</f>
        <v>96808</v>
      </c>
      <c r="N190" s="42">
        <f>SUM(N191:N204)</f>
        <v>98502</v>
      </c>
      <c r="O190" s="42">
        <f>SUM(O191:O204)</f>
        <v>101204</v>
      </c>
    </row>
    <row r="191" spans="1:17" s="39" customFormat="1">
      <c r="A191" s="41" t="s">
        <v>5387</v>
      </c>
      <c r="B191" s="41" t="s">
        <v>11975</v>
      </c>
      <c r="C191" s="55" t="s">
        <v>11976</v>
      </c>
      <c r="D191" s="42">
        <v>77320</v>
      </c>
      <c r="E191" s="42">
        <v>78313</v>
      </c>
      <c r="F191" s="42">
        <v>79272</v>
      </c>
      <c r="G191" s="56">
        <v>79719</v>
      </c>
      <c r="H191" s="56">
        <v>80686</v>
      </c>
      <c r="I191" s="56">
        <v>79100</v>
      </c>
      <c r="J191" s="56">
        <v>77814</v>
      </c>
      <c r="K191" s="56">
        <v>78989</v>
      </c>
      <c r="L191" s="56">
        <v>8154</v>
      </c>
      <c r="M191" s="56">
        <v>8175</v>
      </c>
      <c r="N191" s="56">
        <v>8332</v>
      </c>
      <c r="O191" s="56">
        <v>8484</v>
      </c>
      <c r="Q191" s="41" t="s">
        <v>5559</v>
      </c>
    </row>
    <row r="192" spans="1:17" s="39" customFormat="1">
      <c r="A192" s="41" t="s">
        <v>5389</v>
      </c>
      <c r="B192" s="41" t="s">
        <v>4126</v>
      </c>
      <c r="C192" s="55" t="s">
        <v>11977</v>
      </c>
      <c r="D192" s="42">
        <v>0</v>
      </c>
      <c r="E192" s="42">
        <v>0</v>
      </c>
      <c r="F192" s="42">
        <v>0</v>
      </c>
      <c r="G192" s="56">
        <v>0</v>
      </c>
      <c r="H192" s="56">
        <v>0</v>
      </c>
      <c r="I192" s="56">
        <v>0</v>
      </c>
      <c r="J192" s="56">
        <v>0</v>
      </c>
      <c r="K192" s="56">
        <v>0</v>
      </c>
      <c r="L192" s="56">
        <v>4094</v>
      </c>
      <c r="M192" s="56">
        <v>4234</v>
      </c>
      <c r="N192" s="56">
        <v>4558</v>
      </c>
      <c r="O192" s="56">
        <v>4782</v>
      </c>
      <c r="Q192" s="41" t="s">
        <v>5559</v>
      </c>
    </row>
    <row r="193" spans="1:17" s="39" customFormat="1">
      <c r="A193" s="41" t="s">
        <v>5391</v>
      </c>
      <c r="B193" s="41" t="s">
        <v>11978</v>
      </c>
      <c r="C193" s="55" t="s">
        <v>11979</v>
      </c>
      <c r="D193" s="42">
        <v>0</v>
      </c>
      <c r="E193" s="42">
        <v>0</v>
      </c>
      <c r="F193" s="42">
        <v>0</v>
      </c>
      <c r="G193" s="56">
        <v>0</v>
      </c>
      <c r="H193" s="56">
        <v>0</v>
      </c>
      <c r="I193" s="56">
        <v>0</v>
      </c>
      <c r="J193" s="56">
        <v>0</v>
      </c>
      <c r="K193" s="56">
        <v>0</v>
      </c>
      <c r="L193" s="56">
        <v>6044</v>
      </c>
      <c r="M193" s="56">
        <v>6235</v>
      </c>
      <c r="N193" s="56">
        <v>6573</v>
      </c>
      <c r="O193" s="56">
        <v>6908</v>
      </c>
      <c r="Q193" s="41" t="s">
        <v>5559</v>
      </c>
    </row>
    <row r="194" spans="1:17" s="39" customFormat="1">
      <c r="A194" s="41" t="s">
        <v>5393</v>
      </c>
      <c r="B194" s="41" t="s">
        <v>11980</v>
      </c>
      <c r="C194" s="55" t="s">
        <v>11981</v>
      </c>
      <c r="D194" s="42">
        <v>16601</v>
      </c>
      <c r="E194" s="42">
        <v>16658</v>
      </c>
      <c r="F194" s="42">
        <v>16812</v>
      </c>
      <c r="G194" s="56">
        <v>16886</v>
      </c>
      <c r="H194" s="56">
        <v>16917</v>
      </c>
      <c r="I194" s="56">
        <v>16629</v>
      </c>
      <c r="J194" s="56">
        <v>16351</v>
      </c>
      <c r="K194" s="56">
        <v>16534</v>
      </c>
      <c r="L194" s="56">
        <v>8350</v>
      </c>
      <c r="M194" s="56">
        <v>8208</v>
      </c>
      <c r="N194" s="56">
        <v>8260</v>
      </c>
      <c r="O194" s="56">
        <v>8419</v>
      </c>
      <c r="Q194" s="41" t="s">
        <v>5002</v>
      </c>
    </row>
    <row r="195" spans="1:17" s="39" customFormat="1">
      <c r="A195" s="41" t="s">
        <v>5394</v>
      </c>
      <c r="B195" s="41" t="s">
        <v>4127</v>
      </c>
      <c r="C195" s="55" t="s">
        <v>11982</v>
      </c>
      <c r="D195" s="58">
        <v>0</v>
      </c>
      <c r="E195" s="58">
        <v>0</v>
      </c>
      <c r="F195" s="58">
        <v>0</v>
      </c>
      <c r="G195" s="58">
        <v>0</v>
      </c>
      <c r="H195" s="58">
        <v>0</v>
      </c>
      <c r="I195" s="58">
        <v>0</v>
      </c>
      <c r="J195" s="58">
        <v>0</v>
      </c>
      <c r="K195" s="58">
        <v>0</v>
      </c>
      <c r="L195" s="58">
        <v>7212</v>
      </c>
      <c r="M195" s="58">
        <v>7262</v>
      </c>
      <c r="N195" s="58">
        <v>7343</v>
      </c>
      <c r="O195" s="58">
        <v>7634</v>
      </c>
      <c r="Q195" s="41" t="s">
        <v>5559</v>
      </c>
    </row>
    <row r="196" spans="1:17" s="39" customFormat="1">
      <c r="A196" s="41" t="s">
        <v>5416</v>
      </c>
      <c r="B196" s="41" t="s">
        <v>4128</v>
      </c>
      <c r="C196" s="55" t="s">
        <v>11983</v>
      </c>
      <c r="D196" s="58">
        <v>0</v>
      </c>
      <c r="E196" s="58">
        <v>0</v>
      </c>
      <c r="F196" s="58">
        <v>0</v>
      </c>
      <c r="G196" s="58">
        <v>0</v>
      </c>
      <c r="H196" s="58">
        <v>0</v>
      </c>
      <c r="I196" s="58">
        <v>0</v>
      </c>
      <c r="J196" s="58">
        <v>0</v>
      </c>
      <c r="K196" s="58">
        <v>0</v>
      </c>
      <c r="L196" s="58">
        <v>7232</v>
      </c>
      <c r="M196" s="58">
        <v>7120</v>
      </c>
      <c r="N196" s="58">
        <v>7244</v>
      </c>
      <c r="O196" s="58">
        <v>7375</v>
      </c>
      <c r="Q196" s="41" t="s">
        <v>5559</v>
      </c>
    </row>
    <row r="197" spans="1:17" s="39" customFormat="1">
      <c r="A197" s="41" t="s">
        <v>5418</v>
      </c>
      <c r="B197" s="41" t="s">
        <v>4129</v>
      </c>
      <c r="C197" s="55" t="s">
        <v>11984</v>
      </c>
      <c r="D197" s="56">
        <v>0</v>
      </c>
      <c r="E197" s="56">
        <v>0</v>
      </c>
      <c r="F197" s="56">
        <v>0</v>
      </c>
      <c r="G197" s="56">
        <v>0</v>
      </c>
      <c r="H197" s="56">
        <v>0</v>
      </c>
      <c r="I197" s="56">
        <v>0</v>
      </c>
      <c r="J197" s="56">
        <v>0</v>
      </c>
      <c r="K197" s="56">
        <v>0</v>
      </c>
      <c r="L197" s="56">
        <v>6987</v>
      </c>
      <c r="M197" s="56">
        <v>6929</v>
      </c>
      <c r="N197" s="56">
        <v>7121</v>
      </c>
      <c r="O197" s="56">
        <v>7383</v>
      </c>
      <c r="Q197" s="41" t="s">
        <v>5559</v>
      </c>
    </row>
    <row r="198" spans="1:17" s="39" customFormat="1">
      <c r="A198" s="41" t="s">
        <v>5420</v>
      </c>
      <c r="B198" s="41" t="s">
        <v>11985</v>
      </c>
      <c r="C198" s="55" t="s">
        <v>11986</v>
      </c>
      <c r="D198" s="56">
        <v>0</v>
      </c>
      <c r="E198" s="56">
        <v>0</v>
      </c>
      <c r="F198" s="56">
        <v>0</v>
      </c>
      <c r="G198" s="56">
        <v>0</v>
      </c>
      <c r="H198" s="56">
        <v>0</v>
      </c>
      <c r="I198" s="56">
        <v>0</v>
      </c>
      <c r="J198" s="56">
        <v>0</v>
      </c>
      <c r="K198" s="56">
        <v>0</v>
      </c>
      <c r="L198" s="56">
        <v>7583</v>
      </c>
      <c r="M198" s="56">
        <v>7744</v>
      </c>
      <c r="N198" s="56">
        <v>7904</v>
      </c>
      <c r="O198" s="56">
        <v>8167</v>
      </c>
      <c r="Q198" s="41" t="s">
        <v>5559</v>
      </c>
    </row>
    <row r="199" spans="1:17" s="39" customFormat="1">
      <c r="A199" s="41" t="s">
        <v>5422</v>
      </c>
      <c r="B199" s="41" t="s">
        <v>11987</v>
      </c>
      <c r="C199" s="55" t="s">
        <v>11988</v>
      </c>
      <c r="D199" s="56">
        <v>0</v>
      </c>
      <c r="E199" s="56">
        <v>0</v>
      </c>
      <c r="F199" s="56">
        <v>0</v>
      </c>
      <c r="G199" s="56">
        <v>0</v>
      </c>
      <c r="H199" s="56">
        <v>0</v>
      </c>
      <c r="I199" s="56">
        <v>0</v>
      </c>
      <c r="J199" s="56">
        <v>0</v>
      </c>
      <c r="K199" s="56">
        <v>0</v>
      </c>
      <c r="L199" s="56">
        <v>7915</v>
      </c>
      <c r="M199" s="56">
        <v>7780</v>
      </c>
      <c r="N199" s="56">
        <v>7805</v>
      </c>
      <c r="O199" s="56">
        <v>7970</v>
      </c>
      <c r="Q199" s="41" t="s">
        <v>5559</v>
      </c>
    </row>
    <row r="200" spans="1:17" s="39" customFormat="1">
      <c r="A200" s="41" t="s">
        <v>5424</v>
      </c>
      <c r="B200" s="41" t="s">
        <v>11989</v>
      </c>
      <c r="C200" s="55" t="s">
        <v>11991</v>
      </c>
      <c r="D200" s="56">
        <v>0</v>
      </c>
      <c r="E200" s="56">
        <v>0</v>
      </c>
      <c r="F200" s="56">
        <v>0</v>
      </c>
      <c r="G200" s="56">
        <v>0</v>
      </c>
      <c r="H200" s="56">
        <v>0</v>
      </c>
      <c r="I200" s="56">
        <v>0</v>
      </c>
      <c r="J200" s="56">
        <v>0</v>
      </c>
      <c r="K200" s="56">
        <v>0</v>
      </c>
      <c r="L200" s="56">
        <v>7500</v>
      </c>
      <c r="M200" s="56">
        <v>7318</v>
      </c>
      <c r="N200" s="56">
        <v>7310</v>
      </c>
      <c r="O200" s="56">
        <v>7501</v>
      </c>
      <c r="Q200" s="41" t="s">
        <v>5559</v>
      </c>
    </row>
    <row r="201" spans="1:17" s="39" customFormat="1">
      <c r="A201" s="41" t="s">
        <v>5426</v>
      </c>
      <c r="B201" s="41" t="s">
        <v>11990</v>
      </c>
      <c r="C201" s="55" t="s">
        <v>11992</v>
      </c>
      <c r="D201" s="56">
        <v>0</v>
      </c>
      <c r="E201" s="56">
        <v>0</v>
      </c>
      <c r="F201" s="56">
        <v>0</v>
      </c>
      <c r="G201" s="56">
        <v>0</v>
      </c>
      <c r="H201" s="56">
        <v>0</v>
      </c>
      <c r="I201" s="56">
        <v>0</v>
      </c>
      <c r="J201" s="56">
        <v>0</v>
      </c>
      <c r="K201" s="56">
        <v>0</v>
      </c>
      <c r="L201" s="56">
        <v>8660</v>
      </c>
      <c r="M201" s="56">
        <v>8607</v>
      </c>
      <c r="N201" s="56">
        <v>8615</v>
      </c>
      <c r="O201" s="56">
        <v>8790</v>
      </c>
      <c r="Q201" s="41" t="s">
        <v>5559</v>
      </c>
    </row>
    <row r="202" spans="1:17" s="39" customFormat="1">
      <c r="A202" s="41" t="s">
        <v>5428</v>
      </c>
      <c r="B202" s="41" t="s">
        <v>11993</v>
      </c>
      <c r="C202" s="55" t="s">
        <v>11994</v>
      </c>
      <c r="D202" s="56">
        <v>0</v>
      </c>
      <c r="E202" s="56">
        <v>0</v>
      </c>
      <c r="F202" s="56">
        <v>0</v>
      </c>
      <c r="G202" s="56">
        <v>0</v>
      </c>
      <c r="H202" s="56">
        <v>0</v>
      </c>
      <c r="I202" s="56">
        <v>0</v>
      </c>
      <c r="J202" s="56">
        <v>0</v>
      </c>
      <c r="K202" s="56">
        <v>0</v>
      </c>
      <c r="L202" s="56">
        <v>8210</v>
      </c>
      <c r="M202" s="56">
        <v>8107</v>
      </c>
      <c r="N202" s="56">
        <v>8162</v>
      </c>
      <c r="O202" s="56">
        <v>8286</v>
      </c>
      <c r="Q202" s="41" t="s">
        <v>5002</v>
      </c>
    </row>
    <row r="203" spans="1:17" s="39" customFormat="1">
      <c r="A203" s="41" t="s">
        <v>5429</v>
      </c>
      <c r="B203" s="41" t="s">
        <v>5667</v>
      </c>
      <c r="C203" s="55" t="s">
        <v>11995</v>
      </c>
      <c r="D203" s="56">
        <v>0</v>
      </c>
      <c r="E203" s="56">
        <v>0</v>
      </c>
      <c r="F203" s="56">
        <v>0</v>
      </c>
      <c r="G203" s="56">
        <v>0</v>
      </c>
      <c r="H203" s="56">
        <v>0</v>
      </c>
      <c r="I203" s="56">
        <v>0</v>
      </c>
      <c r="J203" s="56">
        <v>0</v>
      </c>
      <c r="K203" s="56">
        <v>0</v>
      </c>
      <c r="L203" s="56">
        <v>4281</v>
      </c>
      <c r="M203" s="56">
        <v>4236</v>
      </c>
      <c r="N203" s="56">
        <v>4428</v>
      </c>
      <c r="O203" s="56">
        <v>4566</v>
      </c>
      <c r="Q203" s="41" t="s">
        <v>5559</v>
      </c>
    </row>
    <row r="204" spans="1:17" s="39" customFormat="1">
      <c r="A204" s="41" t="s">
        <v>5431</v>
      </c>
      <c r="B204" s="41" t="s">
        <v>5668</v>
      </c>
      <c r="C204" s="55" t="s">
        <v>11996</v>
      </c>
      <c r="D204" s="56">
        <v>0</v>
      </c>
      <c r="E204" s="56">
        <v>0</v>
      </c>
      <c r="F204" s="56">
        <v>0</v>
      </c>
      <c r="G204" s="56">
        <v>0</v>
      </c>
      <c r="H204" s="56">
        <v>0</v>
      </c>
      <c r="I204" s="56">
        <v>0</v>
      </c>
      <c r="J204" s="56">
        <v>0</v>
      </c>
      <c r="K204" s="56">
        <v>0</v>
      </c>
      <c r="L204" s="56">
        <v>4897</v>
      </c>
      <c r="M204" s="56">
        <v>4853</v>
      </c>
      <c r="N204" s="56">
        <v>4847</v>
      </c>
      <c r="O204" s="56">
        <v>4939</v>
      </c>
      <c r="Q204" s="41" t="s">
        <v>5559</v>
      </c>
    </row>
    <row r="205" spans="1:17" s="39" customFormat="1">
      <c r="C205" s="60"/>
      <c r="D205" s="44"/>
      <c r="E205" s="44"/>
      <c r="F205" s="44"/>
      <c r="G205" s="44"/>
      <c r="H205" s="44"/>
      <c r="I205" s="44"/>
      <c r="J205" s="44"/>
      <c r="K205" s="44"/>
      <c r="L205" s="44"/>
      <c r="M205" s="44"/>
      <c r="N205" s="44"/>
      <c r="O205" s="44"/>
    </row>
    <row r="206" spans="1:17" s="39" customFormat="1">
      <c r="A206" s="41" t="s">
        <v>5559</v>
      </c>
      <c r="C206" s="60"/>
      <c r="D206" s="42">
        <f>SUM(D191:D193)+SUM(D195:D201)+D203+D204</f>
        <v>77320</v>
      </c>
      <c r="E206" s="42">
        <f t="shared" ref="E206:L206" si="123">SUM(E191:E193)+SUM(E195:E201)+E203+E204</f>
        <v>78313</v>
      </c>
      <c r="F206" s="42">
        <f t="shared" si="123"/>
        <v>79272</v>
      </c>
      <c r="G206" s="42">
        <f t="shared" si="123"/>
        <v>79719</v>
      </c>
      <c r="H206" s="42">
        <f t="shared" si="123"/>
        <v>80686</v>
      </c>
      <c r="I206" s="42">
        <f t="shared" si="123"/>
        <v>79100</v>
      </c>
      <c r="J206" s="42">
        <f t="shared" si="123"/>
        <v>77814</v>
      </c>
      <c r="K206" s="42">
        <f t="shared" si="123"/>
        <v>78989</v>
      </c>
      <c r="L206" s="42">
        <f t="shared" si="123"/>
        <v>80559</v>
      </c>
      <c r="M206" s="42">
        <f>SUM(M191:M193)+SUM(M195:M201)+M203+M204</f>
        <v>80493</v>
      </c>
      <c r="N206" s="42">
        <f>SUM(N191:N193)+SUM(N195:N201)+N203+N204</f>
        <v>82080</v>
      </c>
      <c r="O206" s="42">
        <f>SUM(O191:O193)+SUM(O195:O201)+O203+O204</f>
        <v>84499</v>
      </c>
    </row>
    <row r="207" spans="1:17" s="39" customFormat="1">
      <c r="A207" s="41" t="s">
        <v>5669</v>
      </c>
      <c r="C207" s="60"/>
      <c r="D207" s="42">
        <f>D194+D202</f>
        <v>16601</v>
      </c>
      <c r="E207" s="42">
        <f t="shared" ref="E207:L207" si="124">E194+E202</f>
        <v>16658</v>
      </c>
      <c r="F207" s="42">
        <f t="shared" si="124"/>
        <v>16812</v>
      </c>
      <c r="G207" s="42">
        <f t="shared" si="124"/>
        <v>16886</v>
      </c>
      <c r="H207" s="42">
        <f t="shared" si="124"/>
        <v>16917</v>
      </c>
      <c r="I207" s="42">
        <f t="shared" si="124"/>
        <v>16629</v>
      </c>
      <c r="J207" s="42">
        <f t="shared" si="124"/>
        <v>16351</v>
      </c>
      <c r="K207" s="42">
        <f t="shared" si="124"/>
        <v>16534</v>
      </c>
      <c r="L207" s="42">
        <f t="shared" si="124"/>
        <v>16560</v>
      </c>
      <c r="M207" s="42">
        <f>M194+M202</f>
        <v>16315</v>
      </c>
      <c r="N207" s="42">
        <f>N194+N202</f>
        <v>16422</v>
      </c>
      <c r="O207" s="42">
        <f>O194+O202</f>
        <v>16705</v>
      </c>
    </row>
    <row r="208" spans="1:17" s="39" customFormat="1">
      <c r="A208" s="41"/>
      <c r="C208" s="60"/>
      <c r="D208" s="42"/>
      <c r="E208" s="42"/>
      <c r="F208" s="42"/>
      <c r="G208" s="42"/>
      <c r="H208" s="42"/>
      <c r="I208" s="42"/>
      <c r="J208" s="42"/>
      <c r="K208" s="42"/>
      <c r="L208" s="42"/>
      <c r="M208" s="42"/>
      <c r="N208" s="42"/>
      <c r="O208" s="42"/>
    </row>
    <row r="209" spans="1:17" s="39" customFormat="1">
      <c r="A209" s="41" t="s">
        <v>11974</v>
      </c>
      <c r="C209" s="60"/>
      <c r="D209" s="42"/>
      <c r="E209" s="42"/>
      <c r="F209" s="42"/>
      <c r="G209" s="42"/>
      <c r="H209" s="42"/>
      <c r="I209" s="42"/>
      <c r="J209" s="42"/>
      <c r="K209" s="42"/>
      <c r="L209" s="42"/>
      <c r="M209" s="42"/>
      <c r="N209" s="42"/>
      <c r="O209" s="42"/>
    </row>
    <row r="210" spans="1:17" s="39" customFormat="1">
      <c r="A210" s="41"/>
      <c r="B210" s="41"/>
      <c r="C210" s="60"/>
      <c r="D210" s="61"/>
      <c r="E210" s="61"/>
      <c r="F210" s="61"/>
      <c r="G210" s="61"/>
      <c r="H210" s="61"/>
      <c r="I210" s="61"/>
      <c r="J210" s="61"/>
      <c r="K210" s="61"/>
      <c r="L210" s="61"/>
      <c r="M210" s="61"/>
      <c r="N210" s="61"/>
      <c r="O210" s="61"/>
    </row>
    <row r="211" spans="1:17" s="39" customFormat="1">
      <c r="A211" s="41"/>
      <c r="B211" s="41"/>
      <c r="C211" s="60"/>
      <c r="D211" s="61"/>
      <c r="E211" s="61"/>
      <c r="F211" s="61"/>
      <c r="G211" s="61"/>
      <c r="H211" s="61"/>
      <c r="I211" s="61"/>
      <c r="J211" s="61"/>
      <c r="K211" s="61"/>
      <c r="L211" s="61"/>
      <c r="M211" s="61"/>
      <c r="N211" s="61"/>
      <c r="O211" s="61"/>
    </row>
    <row r="212" spans="1:17" s="39" customFormat="1">
      <c r="C212" s="60"/>
      <c r="E212" s="51" t="s">
        <v>1526</v>
      </c>
      <c r="F212" s="51"/>
      <c r="G212" s="51"/>
      <c r="H212" s="51"/>
      <c r="I212" s="51"/>
      <c r="J212" s="51"/>
      <c r="K212" s="51"/>
      <c r="L212" s="51"/>
      <c r="M212" s="51"/>
      <c r="N212" s="51"/>
      <c r="O212" s="51"/>
      <c r="P212" s="52"/>
      <c r="Q212" s="53" t="s">
        <v>9479</v>
      </c>
    </row>
    <row r="213" spans="1:17" s="39" customFormat="1">
      <c r="C213" s="60"/>
      <c r="D213" s="40">
        <v>2010</v>
      </c>
      <c r="E213" s="40">
        <v>2011</v>
      </c>
      <c r="F213" s="40">
        <v>2012</v>
      </c>
      <c r="G213" s="40">
        <v>2013</v>
      </c>
      <c r="H213" s="40">
        <v>2014</v>
      </c>
      <c r="I213" s="40">
        <v>2015</v>
      </c>
      <c r="J213" s="40">
        <v>2016</v>
      </c>
      <c r="K213" s="40">
        <v>2017</v>
      </c>
      <c r="L213" s="40">
        <v>2018</v>
      </c>
      <c r="M213" s="40">
        <v>2019</v>
      </c>
      <c r="N213" s="40">
        <v>2020</v>
      </c>
      <c r="O213" s="971" t="s">
        <v>14823</v>
      </c>
      <c r="P213" s="52"/>
      <c r="Q213" s="54" t="s">
        <v>1527</v>
      </c>
    </row>
    <row r="214" spans="1:17" s="39" customFormat="1">
      <c r="A214" s="41" t="s">
        <v>5670</v>
      </c>
      <c r="C214" s="60"/>
      <c r="D214" s="42">
        <f t="shared" ref="D214:I214" si="125">SUM(D215:D229)</f>
        <v>87507</v>
      </c>
      <c r="E214" s="42">
        <f t="shared" si="125"/>
        <v>88149</v>
      </c>
      <c r="F214" s="42">
        <f t="shared" si="125"/>
        <v>88814</v>
      </c>
      <c r="G214" s="42">
        <f t="shared" si="125"/>
        <v>89310</v>
      </c>
      <c r="H214" s="42">
        <f t="shared" si="125"/>
        <v>89834</v>
      </c>
      <c r="I214" s="42">
        <f t="shared" si="125"/>
        <v>88502</v>
      </c>
      <c r="J214" s="42">
        <f t="shared" ref="J214:O214" si="126">SUM(J215:J229)</f>
        <v>87138</v>
      </c>
      <c r="K214" s="42">
        <f t="shared" si="126"/>
        <v>88532</v>
      </c>
      <c r="L214" s="42">
        <f t="shared" si="126"/>
        <v>89417</v>
      </c>
      <c r="M214" s="42">
        <f t="shared" si="126"/>
        <v>89310</v>
      </c>
      <c r="N214" s="42">
        <f t="shared" si="126"/>
        <v>90426</v>
      </c>
      <c r="O214" s="42">
        <f t="shared" si="126"/>
        <v>90347</v>
      </c>
    </row>
    <row r="215" spans="1:17" s="39" customFormat="1">
      <c r="A215" s="41" t="s">
        <v>5387</v>
      </c>
      <c r="B215" s="41" t="s">
        <v>5671</v>
      </c>
      <c r="C215" s="55" t="s">
        <v>214</v>
      </c>
      <c r="D215" s="42">
        <v>5700</v>
      </c>
      <c r="E215" s="42">
        <v>5757</v>
      </c>
      <c r="F215" s="42">
        <v>5801</v>
      </c>
      <c r="G215" s="56">
        <v>5839</v>
      </c>
      <c r="H215" s="56">
        <v>5944</v>
      </c>
      <c r="I215" s="56">
        <v>5804</v>
      </c>
      <c r="J215" s="56">
        <v>5755</v>
      </c>
      <c r="K215" s="56">
        <v>5905</v>
      </c>
      <c r="L215" s="56">
        <v>5920</v>
      </c>
      <c r="M215" s="56">
        <v>5816</v>
      </c>
      <c r="N215" s="56">
        <v>5938</v>
      </c>
      <c r="O215" s="56">
        <v>5930</v>
      </c>
      <c r="Q215" s="41" t="s">
        <v>5561</v>
      </c>
    </row>
    <row r="216" spans="1:17" s="39" customFormat="1">
      <c r="A216" s="41" t="s">
        <v>5389</v>
      </c>
      <c r="B216" s="41" t="s">
        <v>5672</v>
      </c>
      <c r="C216" s="55" t="s">
        <v>215</v>
      </c>
      <c r="D216" s="42">
        <v>5720</v>
      </c>
      <c r="E216" s="42">
        <v>5706</v>
      </c>
      <c r="F216" s="42">
        <v>5696</v>
      </c>
      <c r="G216" s="56">
        <v>5699</v>
      </c>
      <c r="H216" s="56">
        <v>5678</v>
      </c>
      <c r="I216" s="56">
        <v>5559</v>
      </c>
      <c r="J216" s="56">
        <v>5421</v>
      </c>
      <c r="K216" s="56">
        <v>5467</v>
      </c>
      <c r="L216" s="56">
        <v>5591</v>
      </c>
      <c r="M216" s="56">
        <v>5560</v>
      </c>
      <c r="N216" s="56">
        <v>5638</v>
      </c>
      <c r="O216" s="56">
        <v>5621</v>
      </c>
      <c r="Q216" s="41" t="s">
        <v>5561</v>
      </c>
    </row>
    <row r="217" spans="1:17" s="39" customFormat="1">
      <c r="A217" s="41" t="s">
        <v>5391</v>
      </c>
      <c r="B217" s="41" t="s">
        <v>5673</v>
      </c>
      <c r="C217" s="55" t="s">
        <v>216</v>
      </c>
      <c r="D217" s="42">
        <v>5592</v>
      </c>
      <c r="E217" s="42">
        <v>5620</v>
      </c>
      <c r="F217" s="42">
        <v>5623</v>
      </c>
      <c r="G217" s="56">
        <v>5661</v>
      </c>
      <c r="H217" s="56">
        <v>5620</v>
      </c>
      <c r="I217" s="56">
        <v>5561</v>
      </c>
      <c r="J217" s="56">
        <v>5371</v>
      </c>
      <c r="K217" s="56">
        <v>5471</v>
      </c>
      <c r="L217" s="56">
        <v>5488</v>
      </c>
      <c r="M217" s="56">
        <v>5411</v>
      </c>
      <c r="N217" s="56">
        <v>5516</v>
      </c>
      <c r="O217" s="56">
        <v>5548</v>
      </c>
      <c r="Q217" s="41" t="s">
        <v>5561</v>
      </c>
    </row>
    <row r="218" spans="1:17" s="39" customFormat="1">
      <c r="A218" s="41" t="s">
        <v>5393</v>
      </c>
      <c r="B218" s="41" t="s">
        <v>5674</v>
      </c>
      <c r="C218" s="55" t="s">
        <v>217</v>
      </c>
      <c r="D218" s="42">
        <v>5223</v>
      </c>
      <c r="E218" s="42">
        <v>5334</v>
      </c>
      <c r="F218" s="42">
        <v>5420</v>
      </c>
      <c r="G218" s="56">
        <v>5434</v>
      </c>
      <c r="H218" s="56">
        <v>5449</v>
      </c>
      <c r="I218" s="56">
        <v>5375</v>
      </c>
      <c r="J218" s="56">
        <v>5210</v>
      </c>
      <c r="K218" s="56">
        <v>5296</v>
      </c>
      <c r="L218" s="56">
        <v>5355</v>
      </c>
      <c r="M218" s="56">
        <v>5480</v>
      </c>
      <c r="N218" s="56">
        <v>5524</v>
      </c>
      <c r="O218" s="56">
        <v>5505</v>
      </c>
      <c r="Q218" s="41" t="s">
        <v>5561</v>
      </c>
    </row>
    <row r="219" spans="1:17" s="39" customFormat="1">
      <c r="A219" s="41" t="s">
        <v>5394</v>
      </c>
      <c r="B219" s="41" t="s">
        <v>5675</v>
      </c>
      <c r="C219" s="55" t="s">
        <v>218</v>
      </c>
      <c r="D219" s="42">
        <v>5475</v>
      </c>
      <c r="E219" s="42">
        <v>5457</v>
      </c>
      <c r="F219" s="42">
        <v>5450</v>
      </c>
      <c r="G219" s="56">
        <v>5512</v>
      </c>
      <c r="H219" s="56">
        <v>5556</v>
      </c>
      <c r="I219" s="56">
        <v>5388</v>
      </c>
      <c r="J219" s="56">
        <v>5295</v>
      </c>
      <c r="K219" s="56">
        <v>5343</v>
      </c>
      <c r="L219" s="56">
        <v>5399</v>
      </c>
      <c r="M219" s="56">
        <v>5342</v>
      </c>
      <c r="N219" s="56">
        <v>5396</v>
      </c>
      <c r="O219" s="56">
        <v>5403</v>
      </c>
      <c r="Q219" s="41" t="s">
        <v>5561</v>
      </c>
    </row>
    <row r="220" spans="1:17" s="39" customFormat="1">
      <c r="A220" s="41" t="s">
        <v>5416</v>
      </c>
      <c r="B220" s="41" t="s">
        <v>5700</v>
      </c>
      <c r="C220" s="55" t="s">
        <v>219</v>
      </c>
      <c r="D220" s="42">
        <v>5981</v>
      </c>
      <c r="E220" s="42">
        <v>5982</v>
      </c>
      <c r="F220" s="42">
        <v>6073</v>
      </c>
      <c r="G220" s="56">
        <v>6092</v>
      </c>
      <c r="H220" s="56">
        <v>6120</v>
      </c>
      <c r="I220" s="56">
        <v>6079</v>
      </c>
      <c r="J220" s="56">
        <v>5923</v>
      </c>
      <c r="K220" s="56">
        <v>5989</v>
      </c>
      <c r="L220" s="56">
        <v>6014</v>
      </c>
      <c r="M220" s="56">
        <v>5949</v>
      </c>
      <c r="N220" s="56">
        <v>5984</v>
      </c>
      <c r="O220" s="56">
        <v>5980</v>
      </c>
      <c r="Q220" s="41" t="s">
        <v>5563</v>
      </c>
    </row>
    <row r="221" spans="1:17" s="39" customFormat="1">
      <c r="A221" s="41" t="s">
        <v>5418</v>
      </c>
      <c r="B221" s="41" t="s">
        <v>5701</v>
      </c>
      <c r="C221" s="55" t="s">
        <v>220</v>
      </c>
      <c r="D221" s="42">
        <v>5650</v>
      </c>
      <c r="E221" s="42">
        <v>5685</v>
      </c>
      <c r="F221" s="42">
        <v>5710</v>
      </c>
      <c r="G221" s="56">
        <v>5709</v>
      </c>
      <c r="H221" s="56">
        <v>5709</v>
      </c>
      <c r="I221" s="56">
        <v>5690</v>
      </c>
      <c r="J221" s="56">
        <v>5548</v>
      </c>
      <c r="K221" s="56">
        <v>5636</v>
      </c>
      <c r="L221" s="56">
        <v>5667</v>
      </c>
      <c r="M221" s="56">
        <v>5603</v>
      </c>
      <c r="N221" s="56">
        <v>5654</v>
      </c>
      <c r="O221" s="56">
        <v>5648</v>
      </c>
      <c r="Q221" s="41" t="s">
        <v>5561</v>
      </c>
    </row>
    <row r="222" spans="1:17" s="39" customFormat="1">
      <c r="A222" s="41" t="s">
        <v>5420</v>
      </c>
      <c r="B222" s="41" t="s">
        <v>5702</v>
      </c>
      <c r="C222" s="55" t="s">
        <v>221</v>
      </c>
      <c r="D222" s="42">
        <v>5888</v>
      </c>
      <c r="E222" s="42">
        <v>6036</v>
      </c>
      <c r="F222" s="42">
        <v>6038</v>
      </c>
      <c r="G222" s="56">
        <v>6015</v>
      </c>
      <c r="H222" s="56">
        <v>6180</v>
      </c>
      <c r="I222" s="56">
        <v>6128</v>
      </c>
      <c r="J222" s="56">
        <v>6185</v>
      </c>
      <c r="K222" s="56">
        <v>6498</v>
      </c>
      <c r="L222" s="56">
        <v>6908</v>
      </c>
      <c r="M222" s="56">
        <v>7003</v>
      </c>
      <c r="N222" s="56">
        <v>7156</v>
      </c>
      <c r="O222" s="56">
        <v>7137</v>
      </c>
      <c r="Q222" s="41" t="s">
        <v>5561</v>
      </c>
    </row>
    <row r="223" spans="1:17" s="39" customFormat="1">
      <c r="A223" s="41" t="s">
        <v>5422</v>
      </c>
      <c r="B223" s="41" t="s">
        <v>8898</v>
      </c>
      <c r="C223" s="55" t="s">
        <v>222</v>
      </c>
      <c r="D223" s="42">
        <v>8826</v>
      </c>
      <c r="E223" s="42">
        <v>8857</v>
      </c>
      <c r="F223" s="42">
        <v>8870</v>
      </c>
      <c r="G223" s="56">
        <v>8847</v>
      </c>
      <c r="H223" s="56">
        <v>8825</v>
      </c>
      <c r="I223" s="56">
        <v>8740</v>
      </c>
      <c r="J223" s="56">
        <v>8621</v>
      </c>
      <c r="K223" s="56">
        <v>8747</v>
      </c>
      <c r="L223" s="56">
        <v>8876</v>
      </c>
      <c r="M223" s="56">
        <v>8891</v>
      </c>
      <c r="N223" s="56">
        <v>8906</v>
      </c>
      <c r="O223" s="56">
        <v>8883</v>
      </c>
      <c r="Q223" s="41" t="s">
        <v>5561</v>
      </c>
    </row>
    <row r="224" spans="1:17" s="39" customFormat="1">
      <c r="A224" s="41" t="s">
        <v>5424</v>
      </c>
      <c r="B224" s="41" t="s">
        <v>8899</v>
      </c>
      <c r="C224" s="55" t="s">
        <v>223</v>
      </c>
      <c r="D224" s="42">
        <v>5813</v>
      </c>
      <c r="E224" s="42">
        <v>5800</v>
      </c>
      <c r="F224" s="42">
        <v>5788</v>
      </c>
      <c r="G224" s="56">
        <v>5812</v>
      </c>
      <c r="H224" s="56">
        <v>5769</v>
      </c>
      <c r="I224" s="56">
        <v>5657</v>
      </c>
      <c r="J224" s="56">
        <v>5612</v>
      </c>
      <c r="K224" s="56">
        <v>5623</v>
      </c>
      <c r="L224" s="56">
        <v>5549</v>
      </c>
      <c r="M224" s="56">
        <v>5532</v>
      </c>
      <c r="N224" s="56">
        <v>5609</v>
      </c>
      <c r="O224" s="56">
        <v>5608</v>
      </c>
      <c r="Q224" s="41" t="s">
        <v>5561</v>
      </c>
    </row>
    <row r="225" spans="1:17" s="39" customFormat="1">
      <c r="A225" s="41" t="s">
        <v>5426</v>
      </c>
      <c r="B225" s="41" t="s">
        <v>5703</v>
      </c>
      <c r="C225" s="55" t="s">
        <v>224</v>
      </c>
      <c r="D225" s="42">
        <v>5451</v>
      </c>
      <c r="E225" s="42">
        <v>5516</v>
      </c>
      <c r="F225" s="42">
        <v>5613</v>
      </c>
      <c r="G225" s="56">
        <v>5650</v>
      </c>
      <c r="H225" s="56">
        <v>5829</v>
      </c>
      <c r="I225" s="56">
        <v>5782</v>
      </c>
      <c r="J225" s="56">
        <v>5719</v>
      </c>
      <c r="K225" s="56">
        <v>5821</v>
      </c>
      <c r="L225" s="56">
        <v>5811</v>
      </c>
      <c r="M225" s="56">
        <v>5894</v>
      </c>
      <c r="N225" s="56">
        <v>6017</v>
      </c>
      <c r="O225" s="56">
        <v>6018</v>
      </c>
      <c r="Q225" s="41" t="s">
        <v>5561</v>
      </c>
    </row>
    <row r="226" spans="1:17" s="39" customFormat="1">
      <c r="A226" s="41" t="s">
        <v>5428</v>
      </c>
      <c r="B226" s="41" t="s">
        <v>5704</v>
      </c>
      <c r="C226" s="55" t="s">
        <v>225</v>
      </c>
      <c r="D226" s="42">
        <v>5697</v>
      </c>
      <c r="E226" s="42">
        <v>5710</v>
      </c>
      <c r="F226" s="42">
        <v>5712</v>
      </c>
      <c r="G226" s="56">
        <v>5755</v>
      </c>
      <c r="H226" s="56">
        <v>5678</v>
      </c>
      <c r="I226" s="56">
        <v>5592</v>
      </c>
      <c r="J226" s="56">
        <v>5491</v>
      </c>
      <c r="K226" s="56">
        <v>5531</v>
      </c>
      <c r="L226" s="56">
        <v>5522</v>
      </c>
      <c r="M226" s="56">
        <v>5518</v>
      </c>
      <c r="N226" s="56">
        <v>5556</v>
      </c>
      <c r="O226" s="56">
        <v>5552</v>
      </c>
      <c r="Q226" s="41" t="s">
        <v>5563</v>
      </c>
    </row>
    <row r="227" spans="1:17" s="39" customFormat="1">
      <c r="A227" s="41" t="s">
        <v>5429</v>
      </c>
      <c r="B227" s="41" t="s">
        <v>5705</v>
      </c>
      <c r="C227" s="55" t="s">
        <v>226</v>
      </c>
      <c r="D227" s="42">
        <v>5683</v>
      </c>
      <c r="E227" s="42">
        <v>5683</v>
      </c>
      <c r="F227" s="42">
        <v>5810</v>
      </c>
      <c r="G227" s="56">
        <v>5810</v>
      </c>
      <c r="H227" s="56">
        <v>5789</v>
      </c>
      <c r="I227" s="56">
        <v>5671</v>
      </c>
      <c r="J227" s="56">
        <v>5686</v>
      </c>
      <c r="K227" s="56">
        <v>5761</v>
      </c>
      <c r="L227" s="56">
        <v>5861</v>
      </c>
      <c r="M227" s="56">
        <v>5856</v>
      </c>
      <c r="N227" s="56">
        <v>5939</v>
      </c>
      <c r="O227" s="56">
        <v>5926</v>
      </c>
      <c r="Q227" s="41" t="s">
        <v>5561</v>
      </c>
    </row>
    <row r="228" spans="1:17" s="39" customFormat="1">
      <c r="A228" s="59">
        <v>14</v>
      </c>
      <c r="B228" s="41" t="s">
        <v>5706</v>
      </c>
      <c r="C228" s="55" t="s">
        <v>227</v>
      </c>
      <c r="D228" s="42">
        <v>5338</v>
      </c>
      <c r="E228" s="42">
        <v>5490</v>
      </c>
      <c r="F228" s="42">
        <v>5669</v>
      </c>
      <c r="G228" s="56">
        <v>5922</v>
      </c>
      <c r="H228" s="56">
        <v>6126</v>
      </c>
      <c r="I228" s="56">
        <v>6030</v>
      </c>
      <c r="J228" s="56">
        <v>5920</v>
      </c>
      <c r="K228" s="56">
        <v>5984</v>
      </c>
      <c r="L228" s="56">
        <v>5956</v>
      </c>
      <c r="M228" s="56">
        <v>6023</v>
      </c>
      <c r="N228" s="56">
        <v>6047</v>
      </c>
      <c r="O228" s="56">
        <v>6052</v>
      </c>
      <c r="Q228" s="41" t="s">
        <v>5561</v>
      </c>
    </row>
    <row r="229" spans="1:17" s="39" customFormat="1">
      <c r="A229" s="59">
        <v>15</v>
      </c>
      <c r="B229" s="41" t="s">
        <v>5707</v>
      </c>
      <c r="C229" s="55" t="s">
        <v>228</v>
      </c>
      <c r="D229" s="42">
        <v>5470</v>
      </c>
      <c r="E229" s="42">
        <v>5516</v>
      </c>
      <c r="F229" s="42">
        <v>5541</v>
      </c>
      <c r="G229" s="56">
        <v>5553</v>
      </c>
      <c r="H229" s="56">
        <v>5562</v>
      </c>
      <c r="I229" s="56">
        <v>5446</v>
      </c>
      <c r="J229" s="56">
        <v>5381</v>
      </c>
      <c r="K229" s="56">
        <v>5460</v>
      </c>
      <c r="L229" s="56">
        <v>5500</v>
      </c>
      <c r="M229" s="56">
        <v>5432</v>
      </c>
      <c r="N229" s="56">
        <v>5546</v>
      </c>
      <c r="O229" s="56">
        <v>5536</v>
      </c>
      <c r="Q229" s="41" t="s">
        <v>5561</v>
      </c>
    </row>
    <row r="230" spans="1:17" s="39" customFormat="1">
      <c r="C230" s="60"/>
      <c r="D230" s="44"/>
      <c r="E230" s="44"/>
      <c r="F230" s="44"/>
      <c r="G230" s="44"/>
      <c r="H230" s="44"/>
      <c r="I230" s="44"/>
      <c r="J230" s="44"/>
      <c r="K230" s="44"/>
      <c r="L230" s="44"/>
      <c r="M230" s="44"/>
      <c r="N230" s="44"/>
      <c r="O230" s="44"/>
    </row>
    <row r="231" spans="1:17" s="39" customFormat="1">
      <c r="A231" s="41" t="s">
        <v>5561</v>
      </c>
      <c r="C231" s="60"/>
      <c r="D231" s="42">
        <f t="shared" ref="D231:I231" si="127">SUM(D215:D219)+SUM(D221:D225)+SUM(D227:D229)</f>
        <v>75829</v>
      </c>
      <c r="E231" s="42">
        <f t="shared" si="127"/>
        <v>76457</v>
      </c>
      <c r="F231" s="42">
        <f t="shared" si="127"/>
        <v>77029</v>
      </c>
      <c r="G231" s="42">
        <f t="shared" si="127"/>
        <v>77463</v>
      </c>
      <c r="H231" s="42">
        <f t="shared" si="127"/>
        <v>78036</v>
      </c>
      <c r="I231" s="42">
        <f t="shared" si="127"/>
        <v>76831</v>
      </c>
      <c r="J231" s="42">
        <f t="shared" ref="J231:O231" si="128">SUM(J215:J219)+SUM(J221:J225)+SUM(J227:J229)</f>
        <v>75724</v>
      </c>
      <c r="K231" s="42">
        <f t="shared" si="128"/>
        <v>77012</v>
      </c>
      <c r="L231" s="42">
        <f t="shared" si="128"/>
        <v>77881</v>
      </c>
      <c r="M231" s="42">
        <f t="shared" si="128"/>
        <v>77843</v>
      </c>
      <c r="N231" s="42">
        <f t="shared" si="128"/>
        <v>78886</v>
      </c>
      <c r="O231" s="42">
        <f t="shared" si="128"/>
        <v>78815</v>
      </c>
    </row>
    <row r="232" spans="1:17" s="39" customFormat="1">
      <c r="A232" s="41" t="s">
        <v>5708</v>
      </c>
      <c r="C232" s="60"/>
      <c r="D232" s="42">
        <f t="shared" ref="D232:I232" si="129">D220+D226</f>
        <v>11678</v>
      </c>
      <c r="E232" s="42">
        <f t="shared" si="129"/>
        <v>11692</v>
      </c>
      <c r="F232" s="42">
        <f t="shared" si="129"/>
        <v>11785</v>
      </c>
      <c r="G232" s="42">
        <f t="shared" si="129"/>
        <v>11847</v>
      </c>
      <c r="H232" s="42">
        <f t="shared" si="129"/>
        <v>11798</v>
      </c>
      <c r="I232" s="42">
        <f t="shared" si="129"/>
        <v>11671</v>
      </c>
      <c r="J232" s="42">
        <f t="shared" ref="J232:O232" si="130">J220+J226</f>
        <v>11414</v>
      </c>
      <c r="K232" s="42">
        <f t="shared" si="130"/>
        <v>11520</v>
      </c>
      <c r="L232" s="42">
        <f t="shared" si="130"/>
        <v>11536</v>
      </c>
      <c r="M232" s="42">
        <f t="shared" si="130"/>
        <v>11467</v>
      </c>
      <c r="N232" s="42">
        <f t="shared" si="130"/>
        <v>11540</v>
      </c>
      <c r="O232" s="42">
        <f t="shared" si="130"/>
        <v>11532</v>
      </c>
    </row>
    <row r="233" spans="1:17" s="39" customFormat="1">
      <c r="A233" s="41"/>
      <c r="C233" s="60"/>
      <c r="D233" s="42"/>
      <c r="E233" s="42"/>
      <c r="F233" s="42"/>
      <c r="G233" s="42"/>
      <c r="H233" s="42"/>
      <c r="I233" s="42"/>
      <c r="J233" s="42"/>
      <c r="K233" s="42"/>
      <c r="L233" s="42"/>
      <c r="M233" s="42"/>
      <c r="N233" s="42"/>
      <c r="O233" s="42"/>
    </row>
    <row r="234" spans="1:17" s="39" customFormat="1">
      <c r="A234" s="41" t="s">
        <v>5709</v>
      </c>
      <c r="C234" s="60"/>
      <c r="D234" s="42"/>
      <c r="E234" s="42"/>
      <c r="F234" s="42"/>
      <c r="G234" s="42"/>
      <c r="H234" s="42"/>
      <c r="I234" s="42"/>
      <c r="J234" s="42"/>
      <c r="K234" s="42"/>
      <c r="L234" s="42"/>
      <c r="M234" s="42"/>
      <c r="N234" s="42"/>
      <c r="O234" s="42"/>
    </row>
    <row r="235" spans="1:17" s="39" customFormat="1">
      <c r="A235" s="41"/>
      <c r="B235" s="41"/>
      <c r="C235" s="60"/>
      <c r="D235" s="61"/>
      <c r="E235" s="61"/>
      <c r="F235" s="61"/>
      <c r="G235" s="61"/>
      <c r="H235" s="61"/>
      <c r="I235" s="61"/>
      <c r="J235" s="61"/>
      <c r="K235" s="61"/>
      <c r="L235" s="61"/>
      <c r="M235" s="61"/>
      <c r="N235" s="61"/>
      <c r="O235" s="61"/>
    </row>
    <row r="236" spans="1:17" s="39" customFormat="1">
      <c r="A236" s="41"/>
      <c r="B236" s="41"/>
      <c r="C236" s="60"/>
      <c r="D236" s="61"/>
      <c r="E236" s="61"/>
      <c r="F236" s="61"/>
      <c r="G236" s="61"/>
      <c r="H236" s="61"/>
      <c r="I236" s="61"/>
      <c r="J236" s="61"/>
      <c r="K236" s="61"/>
      <c r="L236" s="61"/>
      <c r="M236" s="61"/>
      <c r="N236" s="61"/>
      <c r="O236" s="61"/>
    </row>
    <row r="237" spans="1:17" s="39" customFormat="1">
      <c r="C237" s="60"/>
      <c r="E237" s="51" t="s">
        <v>1526</v>
      </c>
      <c r="F237" s="51"/>
      <c r="G237" s="51"/>
      <c r="H237" s="51"/>
      <c r="I237" s="51"/>
      <c r="J237" s="51"/>
      <c r="K237" s="51"/>
      <c r="L237" s="51"/>
      <c r="M237" s="51"/>
      <c r="N237" s="51"/>
      <c r="O237" s="51"/>
      <c r="P237" s="52"/>
      <c r="Q237" s="53" t="s">
        <v>9479</v>
      </c>
    </row>
    <row r="238" spans="1:17" s="39" customFormat="1">
      <c r="C238" s="60"/>
      <c r="D238" s="40">
        <v>2010</v>
      </c>
      <c r="E238" s="40">
        <v>2011</v>
      </c>
      <c r="F238" s="40">
        <v>2012</v>
      </c>
      <c r="G238" s="40">
        <v>2013</v>
      </c>
      <c r="H238" s="40">
        <v>2014</v>
      </c>
      <c r="I238" s="40">
        <v>2015</v>
      </c>
      <c r="J238" s="40">
        <v>2016</v>
      </c>
      <c r="K238" s="40">
        <v>2017</v>
      </c>
      <c r="L238" s="40">
        <v>2018</v>
      </c>
      <c r="M238" s="40">
        <v>2019</v>
      </c>
      <c r="N238" s="40">
        <v>2020</v>
      </c>
      <c r="O238" s="971" t="s">
        <v>14823</v>
      </c>
      <c r="P238" s="52"/>
      <c r="Q238" s="54" t="s">
        <v>1527</v>
      </c>
    </row>
    <row r="239" spans="1:17" s="39" customFormat="1">
      <c r="A239" s="41" t="s">
        <v>5710</v>
      </c>
      <c r="C239" s="60"/>
      <c r="D239" s="42">
        <f t="shared" ref="D239:I239" si="131">SUM(D240:D256)</f>
        <v>61202</v>
      </c>
      <c r="E239" s="42">
        <f t="shared" si="131"/>
        <v>61153</v>
      </c>
      <c r="F239" s="42">
        <f t="shared" si="131"/>
        <v>61856</v>
      </c>
      <c r="G239" s="42">
        <f t="shared" si="131"/>
        <v>62526</v>
      </c>
      <c r="H239" s="42">
        <f t="shared" si="131"/>
        <v>62965</v>
      </c>
      <c r="I239" s="42">
        <f t="shared" si="131"/>
        <v>61777</v>
      </c>
      <c r="J239" s="42">
        <f t="shared" ref="J239:O239" si="132">SUM(J240:J256)</f>
        <v>60943</v>
      </c>
      <c r="K239" s="42">
        <f t="shared" si="132"/>
        <v>62217</v>
      </c>
      <c r="L239" s="42">
        <f t="shared" si="132"/>
        <v>62155</v>
      </c>
      <c r="M239" s="42">
        <f t="shared" si="132"/>
        <v>61140</v>
      </c>
      <c r="N239" s="42">
        <f t="shared" si="132"/>
        <v>62564</v>
      </c>
      <c r="O239" s="42">
        <f t="shared" si="132"/>
        <v>62231</v>
      </c>
    </row>
    <row r="240" spans="1:17" s="39" customFormat="1">
      <c r="A240" s="41" t="s">
        <v>5387</v>
      </c>
      <c r="B240" s="41" t="s">
        <v>5685</v>
      </c>
      <c r="C240" s="55" t="s">
        <v>229</v>
      </c>
      <c r="D240" s="42">
        <v>3445</v>
      </c>
      <c r="E240" s="42">
        <v>3467</v>
      </c>
      <c r="F240" s="42">
        <v>3467</v>
      </c>
      <c r="G240" s="56">
        <v>3488</v>
      </c>
      <c r="H240" s="56">
        <v>3557</v>
      </c>
      <c r="I240" s="56">
        <v>3477</v>
      </c>
      <c r="J240" s="56">
        <v>3510</v>
      </c>
      <c r="K240" s="56">
        <v>3574</v>
      </c>
      <c r="L240" s="56">
        <v>3559</v>
      </c>
      <c r="M240" s="56">
        <v>3501</v>
      </c>
      <c r="N240" s="56">
        <v>3575</v>
      </c>
      <c r="O240" s="56">
        <v>3532</v>
      </c>
      <c r="Q240" s="41" t="s">
        <v>5563</v>
      </c>
    </row>
    <row r="241" spans="1:17" s="39" customFormat="1">
      <c r="A241" s="41" t="s">
        <v>5389</v>
      </c>
      <c r="B241" s="41" t="s">
        <v>5686</v>
      </c>
      <c r="C241" s="55" t="s">
        <v>230</v>
      </c>
      <c r="D241" s="42">
        <v>3036</v>
      </c>
      <c r="E241" s="42">
        <v>3039</v>
      </c>
      <c r="F241" s="42">
        <v>3023</v>
      </c>
      <c r="G241" s="56">
        <v>3051</v>
      </c>
      <c r="H241" s="56">
        <v>3048</v>
      </c>
      <c r="I241" s="56">
        <v>2984</v>
      </c>
      <c r="J241" s="56">
        <v>3007</v>
      </c>
      <c r="K241" s="56">
        <v>3081</v>
      </c>
      <c r="L241" s="56">
        <v>3022</v>
      </c>
      <c r="M241" s="56">
        <v>2956</v>
      </c>
      <c r="N241" s="56">
        <v>3023</v>
      </c>
      <c r="O241" s="56">
        <v>2998</v>
      </c>
      <c r="Q241" s="41" t="s">
        <v>5563</v>
      </c>
    </row>
    <row r="242" spans="1:17" s="39" customFormat="1">
      <c r="A242" s="41" t="s">
        <v>5391</v>
      </c>
      <c r="B242" s="41" t="s">
        <v>5687</v>
      </c>
      <c r="C242" s="55" t="s">
        <v>231</v>
      </c>
      <c r="D242" s="42">
        <v>3526</v>
      </c>
      <c r="E242" s="42">
        <v>3494</v>
      </c>
      <c r="F242" s="42">
        <v>3505</v>
      </c>
      <c r="G242" s="56">
        <v>3542</v>
      </c>
      <c r="H242" s="56">
        <v>3541</v>
      </c>
      <c r="I242" s="56">
        <v>3502</v>
      </c>
      <c r="J242" s="56">
        <v>3440</v>
      </c>
      <c r="K242" s="56">
        <v>3486</v>
      </c>
      <c r="L242" s="56">
        <v>3500</v>
      </c>
      <c r="M242" s="56">
        <v>3431</v>
      </c>
      <c r="N242" s="56">
        <v>3478</v>
      </c>
      <c r="O242" s="56">
        <v>3453</v>
      </c>
      <c r="Q242" s="41" t="s">
        <v>5563</v>
      </c>
    </row>
    <row r="243" spans="1:17" s="39" customFormat="1">
      <c r="A243" s="41" t="s">
        <v>5393</v>
      </c>
      <c r="B243" s="41" t="s">
        <v>5688</v>
      </c>
      <c r="C243" s="55" t="s">
        <v>232</v>
      </c>
      <c r="D243" s="42">
        <v>3597</v>
      </c>
      <c r="E243" s="42">
        <v>3605</v>
      </c>
      <c r="F243" s="42">
        <v>3634</v>
      </c>
      <c r="G243" s="56">
        <v>3652</v>
      </c>
      <c r="H243" s="56">
        <v>3658</v>
      </c>
      <c r="I243" s="56">
        <v>3574</v>
      </c>
      <c r="J243" s="56">
        <v>3486</v>
      </c>
      <c r="K243" s="56">
        <v>3572</v>
      </c>
      <c r="L243" s="56">
        <v>3582</v>
      </c>
      <c r="M243" s="56">
        <v>3533</v>
      </c>
      <c r="N243" s="56">
        <v>3577</v>
      </c>
      <c r="O243" s="56">
        <v>3556</v>
      </c>
      <c r="Q243" s="41" t="s">
        <v>5563</v>
      </c>
    </row>
    <row r="244" spans="1:17" s="39" customFormat="1">
      <c r="A244" s="41" t="s">
        <v>5394</v>
      </c>
      <c r="B244" s="41" t="s">
        <v>5689</v>
      </c>
      <c r="C244" s="55" t="s">
        <v>233</v>
      </c>
      <c r="D244" s="42">
        <v>3741</v>
      </c>
      <c r="E244" s="42">
        <v>3806</v>
      </c>
      <c r="F244" s="42">
        <v>3844</v>
      </c>
      <c r="G244" s="56">
        <v>3873</v>
      </c>
      <c r="H244" s="56">
        <v>3875</v>
      </c>
      <c r="I244" s="56">
        <v>3779</v>
      </c>
      <c r="J244" s="56">
        <v>3716</v>
      </c>
      <c r="K244" s="56">
        <v>3732</v>
      </c>
      <c r="L244" s="56">
        <v>3722</v>
      </c>
      <c r="M244" s="56">
        <v>3679</v>
      </c>
      <c r="N244" s="56">
        <v>3775</v>
      </c>
      <c r="O244" s="56">
        <v>3728</v>
      </c>
      <c r="Q244" s="41" t="s">
        <v>5563</v>
      </c>
    </row>
    <row r="245" spans="1:17" s="39" customFormat="1">
      <c r="A245" s="41" t="s">
        <v>5416</v>
      </c>
      <c r="B245" s="41" t="s">
        <v>3716</v>
      </c>
      <c r="C245" s="55" t="s">
        <v>234</v>
      </c>
      <c r="D245" s="42">
        <v>3544</v>
      </c>
      <c r="E245" s="42">
        <v>3563</v>
      </c>
      <c r="F245" s="42">
        <v>3705</v>
      </c>
      <c r="G245" s="56">
        <v>3913</v>
      </c>
      <c r="H245" s="56">
        <v>3927</v>
      </c>
      <c r="I245" s="56">
        <v>3875</v>
      </c>
      <c r="J245" s="56">
        <v>3707</v>
      </c>
      <c r="K245" s="56">
        <v>3827</v>
      </c>
      <c r="L245" s="56">
        <v>3884</v>
      </c>
      <c r="M245" s="56">
        <v>3759</v>
      </c>
      <c r="N245" s="56">
        <v>3957</v>
      </c>
      <c r="O245" s="56">
        <v>3910</v>
      </c>
      <c r="Q245" s="41" t="s">
        <v>5563</v>
      </c>
    </row>
    <row r="246" spans="1:17" s="39" customFormat="1">
      <c r="A246" s="41" t="s">
        <v>5418</v>
      </c>
      <c r="B246" s="41" t="s">
        <v>5690</v>
      </c>
      <c r="C246" s="55" t="s">
        <v>235</v>
      </c>
      <c r="D246" s="42">
        <v>3519</v>
      </c>
      <c r="E246" s="42">
        <v>3553</v>
      </c>
      <c r="F246" s="42">
        <v>3582</v>
      </c>
      <c r="G246" s="56">
        <v>3559</v>
      </c>
      <c r="H246" s="56">
        <v>3582</v>
      </c>
      <c r="I246" s="56">
        <v>3529</v>
      </c>
      <c r="J246" s="56">
        <v>3428</v>
      </c>
      <c r="K246" s="56">
        <v>3519</v>
      </c>
      <c r="L246" s="56">
        <v>3536</v>
      </c>
      <c r="M246" s="56">
        <v>3450</v>
      </c>
      <c r="N246" s="56">
        <v>3513</v>
      </c>
      <c r="O246" s="56">
        <v>3488</v>
      </c>
      <c r="Q246" s="41" t="s">
        <v>5563</v>
      </c>
    </row>
    <row r="247" spans="1:17" s="39" customFormat="1">
      <c r="A247" s="41" t="s">
        <v>5420</v>
      </c>
      <c r="B247" s="41" t="s">
        <v>5691</v>
      </c>
      <c r="C247" s="55" t="s">
        <v>236</v>
      </c>
      <c r="D247" s="42">
        <v>3424</v>
      </c>
      <c r="E247" s="42">
        <v>3436</v>
      </c>
      <c r="F247" s="42">
        <v>3406</v>
      </c>
      <c r="G247" s="56">
        <v>3438</v>
      </c>
      <c r="H247" s="56">
        <v>3429</v>
      </c>
      <c r="I247" s="56">
        <v>3324</v>
      </c>
      <c r="J247" s="56">
        <v>3307</v>
      </c>
      <c r="K247" s="56">
        <v>3418</v>
      </c>
      <c r="L247" s="56">
        <v>3351</v>
      </c>
      <c r="M247" s="56">
        <v>3281</v>
      </c>
      <c r="N247" s="56">
        <v>3358</v>
      </c>
      <c r="O247" s="56">
        <v>3341</v>
      </c>
      <c r="Q247" s="41" t="s">
        <v>5563</v>
      </c>
    </row>
    <row r="248" spans="1:17" s="39" customFormat="1">
      <c r="A248" s="41" t="s">
        <v>5422</v>
      </c>
      <c r="B248" s="41" t="s">
        <v>6688</v>
      </c>
      <c r="C248" s="55" t="s">
        <v>237</v>
      </c>
      <c r="D248" s="42">
        <v>3400</v>
      </c>
      <c r="E248" s="42">
        <v>3239</v>
      </c>
      <c r="F248" s="42">
        <v>3375</v>
      </c>
      <c r="G248" s="56">
        <v>3430</v>
      </c>
      <c r="H248" s="56">
        <v>3516</v>
      </c>
      <c r="I248" s="56">
        <v>3476</v>
      </c>
      <c r="J248" s="56">
        <v>3551</v>
      </c>
      <c r="K248" s="56">
        <v>3740</v>
      </c>
      <c r="L248" s="56">
        <v>3804</v>
      </c>
      <c r="M248" s="56">
        <v>3859</v>
      </c>
      <c r="N248" s="56">
        <v>4000</v>
      </c>
      <c r="O248" s="56">
        <v>4022</v>
      </c>
      <c r="Q248" s="41" t="s">
        <v>5563</v>
      </c>
    </row>
    <row r="249" spans="1:17" s="39" customFormat="1">
      <c r="A249" s="41" t="s">
        <v>5424</v>
      </c>
      <c r="B249" s="41" t="s">
        <v>5692</v>
      </c>
      <c r="C249" s="55" t="s">
        <v>238</v>
      </c>
      <c r="D249" s="42">
        <v>4209</v>
      </c>
      <c r="E249" s="42">
        <v>4224</v>
      </c>
      <c r="F249" s="42">
        <v>4345</v>
      </c>
      <c r="G249" s="56">
        <v>4345</v>
      </c>
      <c r="H249" s="56">
        <v>4368</v>
      </c>
      <c r="I249" s="56">
        <v>4291</v>
      </c>
      <c r="J249" s="56">
        <v>4187</v>
      </c>
      <c r="K249" s="56">
        <v>4216</v>
      </c>
      <c r="L249" s="56">
        <v>4276</v>
      </c>
      <c r="M249" s="56">
        <v>4147</v>
      </c>
      <c r="N249" s="56">
        <v>4238</v>
      </c>
      <c r="O249" s="56">
        <v>4211</v>
      </c>
      <c r="Q249" s="41" t="s">
        <v>5563</v>
      </c>
    </row>
    <row r="250" spans="1:17" s="39" customFormat="1">
      <c r="A250" s="59">
        <v>11</v>
      </c>
      <c r="B250" s="41" t="s">
        <v>5693</v>
      </c>
      <c r="C250" s="55" t="s">
        <v>239</v>
      </c>
      <c r="D250" s="42">
        <v>4406</v>
      </c>
      <c r="E250" s="42">
        <v>4467</v>
      </c>
      <c r="F250" s="42">
        <v>4448</v>
      </c>
      <c r="G250" s="56">
        <v>4517</v>
      </c>
      <c r="H250" s="56">
        <v>4543</v>
      </c>
      <c r="I250" s="56">
        <v>4478</v>
      </c>
      <c r="J250" s="56">
        <v>4518</v>
      </c>
      <c r="K250" s="56">
        <v>4618</v>
      </c>
      <c r="L250" s="56">
        <v>4586</v>
      </c>
      <c r="M250" s="56">
        <v>4549</v>
      </c>
      <c r="N250" s="56">
        <v>4661</v>
      </c>
      <c r="O250" s="56">
        <v>4643</v>
      </c>
      <c r="Q250" s="41" t="s">
        <v>5563</v>
      </c>
    </row>
    <row r="251" spans="1:17" s="39" customFormat="1">
      <c r="A251" s="59">
        <v>12</v>
      </c>
      <c r="B251" s="41" t="s">
        <v>5694</v>
      </c>
      <c r="C251" s="55" t="s">
        <v>240</v>
      </c>
      <c r="D251" s="42">
        <v>3926</v>
      </c>
      <c r="E251" s="42">
        <v>3911</v>
      </c>
      <c r="F251" s="42">
        <v>3942</v>
      </c>
      <c r="G251" s="56">
        <v>3895</v>
      </c>
      <c r="H251" s="56">
        <v>4028</v>
      </c>
      <c r="I251" s="56">
        <v>3982</v>
      </c>
      <c r="J251" s="56">
        <v>3980</v>
      </c>
      <c r="K251" s="56">
        <v>4130</v>
      </c>
      <c r="L251" s="56">
        <v>4124</v>
      </c>
      <c r="M251" s="56">
        <v>4081</v>
      </c>
      <c r="N251" s="56">
        <v>4135</v>
      </c>
      <c r="O251" s="56">
        <v>4123</v>
      </c>
      <c r="Q251" s="41" t="s">
        <v>5563</v>
      </c>
    </row>
    <row r="252" spans="1:17" s="39" customFormat="1">
      <c r="A252" s="59">
        <v>13</v>
      </c>
      <c r="B252" s="41" t="s">
        <v>4151</v>
      </c>
      <c r="C252" s="55" t="s">
        <v>241</v>
      </c>
      <c r="D252" s="42">
        <v>3547</v>
      </c>
      <c r="E252" s="42">
        <v>3589</v>
      </c>
      <c r="F252" s="42">
        <v>3625</v>
      </c>
      <c r="G252" s="56">
        <v>3680</v>
      </c>
      <c r="H252" s="56">
        <v>3695</v>
      </c>
      <c r="I252" s="56">
        <v>3619</v>
      </c>
      <c r="J252" s="56">
        <v>3492</v>
      </c>
      <c r="K252" s="56">
        <v>3539</v>
      </c>
      <c r="L252" s="56">
        <v>3531</v>
      </c>
      <c r="M252" s="56">
        <v>3466</v>
      </c>
      <c r="N252" s="56">
        <v>3487</v>
      </c>
      <c r="O252" s="56">
        <v>3469</v>
      </c>
      <c r="Q252" s="41" t="s">
        <v>5563</v>
      </c>
    </row>
    <row r="253" spans="1:17" s="39" customFormat="1">
      <c r="A253" s="59">
        <v>14</v>
      </c>
      <c r="B253" s="41" t="s">
        <v>4152</v>
      </c>
      <c r="C253" s="55" t="s">
        <v>242</v>
      </c>
      <c r="D253" s="42">
        <v>3358</v>
      </c>
      <c r="E253" s="42">
        <v>3422</v>
      </c>
      <c r="F253" s="42">
        <v>3436</v>
      </c>
      <c r="G253" s="56">
        <v>3466</v>
      </c>
      <c r="H253" s="56">
        <v>3447</v>
      </c>
      <c r="I253" s="56">
        <v>3398</v>
      </c>
      <c r="J253" s="56">
        <v>3355</v>
      </c>
      <c r="K253" s="56">
        <v>3400</v>
      </c>
      <c r="L253" s="56">
        <v>3375</v>
      </c>
      <c r="M253" s="56">
        <v>3285</v>
      </c>
      <c r="N253" s="56">
        <v>3340</v>
      </c>
      <c r="O253" s="56">
        <v>3327</v>
      </c>
      <c r="Q253" s="41" t="s">
        <v>5563</v>
      </c>
    </row>
    <row r="254" spans="1:17" s="39" customFormat="1">
      <c r="A254" s="59">
        <v>15</v>
      </c>
      <c r="B254" s="41" t="s">
        <v>4153</v>
      </c>
      <c r="C254" s="55" t="s">
        <v>243</v>
      </c>
      <c r="D254" s="42">
        <v>3364</v>
      </c>
      <c r="E254" s="42">
        <v>3351</v>
      </c>
      <c r="F254" s="42">
        <v>3388</v>
      </c>
      <c r="G254" s="56">
        <v>3421</v>
      </c>
      <c r="H254" s="56">
        <v>3443</v>
      </c>
      <c r="I254" s="56">
        <v>3381</v>
      </c>
      <c r="J254" s="56">
        <v>3324</v>
      </c>
      <c r="K254" s="56">
        <v>3329</v>
      </c>
      <c r="L254" s="56">
        <v>3319</v>
      </c>
      <c r="M254" s="56">
        <v>3266</v>
      </c>
      <c r="N254" s="56">
        <v>3311</v>
      </c>
      <c r="O254" s="56">
        <v>3301</v>
      </c>
      <c r="Q254" s="41" t="s">
        <v>5563</v>
      </c>
    </row>
    <row r="255" spans="1:17" s="39" customFormat="1">
      <c r="A255" s="59">
        <v>16</v>
      </c>
      <c r="B255" s="41" t="s">
        <v>4154</v>
      </c>
      <c r="C255" s="55" t="s">
        <v>244</v>
      </c>
      <c r="D255" s="42">
        <v>3336</v>
      </c>
      <c r="E255" s="42">
        <v>3222</v>
      </c>
      <c r="F255" s="42">
        <v>3323</v>
      </c>
      <c r="G255" s="58">
        <v>3375</v>
      </c>
      <c r="H255" s="58">
        <v>3501</v>
      </c>
      <c r="I255" s="58">
        <v>3352</v>
      </c>
      <c r="J255" s="58">
        <v>3264</v>
      </c>
      <c r="K255" s="58">
        <v>3230</v>
      </c>
      <c r="L255" s="58">
        <v>3195</v>
      </c>
      <c r="M255" s="58">
        <v>3126</v>
      </c>
      <c r="N255" s="58">
        <v>3239</v>
      </c>
      <c r="O255" s="58">
        <v>3256</v>
      </c>
      <c r="Q255" s="41" t="s">
        <v>5563</v>
      </c>
    </row>
    <row r="256" spans="1:17" s="39" customFormat="1">
      <c r="A256" s="59">
        <v>17</v>
      </c>
      <c r="B256" s="41" t="s">
        <v>3229</v>
      </c>
      <c r="C256" s="55" t="s">
        <v>245</v>
      </c>
      <c r="D256" s="42">
        <v>3824</v>
      </c>
      <c r="E256" s="42">
        <v>3765</v>
      </c>
      <c r="F256" s="42">
        <v>3808</v>
      </c>
      <c r="G256" s="58">
        <v>3881</v>
      </c>
      <c r="H256" s="58">
        <v>3807</v>
      </c>
      <c r="I256" s="58">
        <v>3756</v>
      </c>
      <c r="J256" s="58">
        <v>3671</v>
      </c>
      <c r="K256" s="58">
        <v>3806</v>
      </c>
      <c r="L256" s="58">
        <v>3789</v>
      </c>
      <c r="M256" s="58">
        <v>3771</v>
      </c>
      <c r="N256" s="58">
        <v>3897</v>
      </c>
      <c r="O256" s="58">
        <v>3873</v>
      </c>
      <c r="Q256" s="41" t="s">
        <v>5563</v>
      </c>
    </row>
    <row r="257" spans="1:17" s="39" customFormat="1">
      <c r="C257" s="60"/>
      <c r="D257" s="44"/>
      <c r="E257" s="44"/>
      <c r="F257" s="44"/>
      <c r="G257" s="44"/>
      <c r="H257" s="44"/>
      <c r="I257" s="44"/>
      <c r="J257" s="44"/>
      <c r="K257" s="44"/>
      <c r="L257" s="44"/>
      <c r="M257" s="44"/>
      <c r="N257" s="44"/>
      <c r="O257" s="44"/>
    </row>
    <row r="258" spans="1:17" s="39" customFormat="1">
      <c r="A258" s="41" t="s">
        <v>5708</v>
      </c>
      <c r="C258" s="60"/>
      <c r="D258" s="42">
        <f t="shared" ref="D258:I258" si="133">SUM(D240:D256)</f>
        <v>61202</v>
      </c>
      <c r="E258" s="42">
        <f t="shared" si="133"/>
        <v>61153</v>
      </c>
      <c r="F258" s="42">
        <f t="shared" si="133"/>
        <v>61856</v>
      </c>
      <c r="G258" s="42">
        <f t="shared" si="133"/>
        <v>62526</v>
      </c>
      <c r="H258" s="42">
        <f t="shared" si="133"/>
        <v>62965</v>
      </c>
      <c r="I258" s="42">
        <f t="shared" si="133"/>
        <v>61777</v>
      </c>
      <c r="J258" s="42">
        <f t="shared" ref="J258:O258" si="134">SUM(J240:J256)</f>
        <v>60943</v>
      </c>
      <c r="K258" s="42">
        <f t="shared" si="134"/>
        <v>62217</v>
      </c>
      <c r="L258" s="42">
        <f t="shared" si="134"/>
        <v>62155</v>
      </c>
      <c r="M258" s="42">
        <f t="shared" si="134"/>
        <v>61140</v>
      </c>
      <c r="N258" s="42">
        <f t="shared" si="134"/>
        <v>62564</v>
      </c>
      <c r="O258" s="42">
        <f t="shared" si="134"/>
        <v>62231</v>
      </c>
    </row>
    <row r="259" spans="1:17" s="39" customFormat="1">
      <c r="A259" s="41"/>
      <c r="C259" s="60"/>
      <c r="D259" s="42"/>
      <c r="E259" s="42"/>
      <c r="F259" s="42"/>
      <c r="G259" s="42"/>
      <c r="H259" s="42"/>
      <c r="I259" s="42"/>
      <c r="J259" s="42"/>
      <c r="K259" s="42"/>
      <c r="L259" s="42"/>
      <c r="M259" s="42"/>
      <c r="N259" s="42"/>
      <c r="O259" s="42"/>
    </row>
    <row r="260" spans="1:17" s="39" customFormat="1">
      <c r="A260" s="41" t="s">
        <v>4155</v>
      </c>
      <c r="C260" s="60"/>
      <c r="D260" s="42"/>
      <c r="E260" s="42"/>
      <c r="F260" s="42"/>
      <c r="G260" s="42"/>
      <c r="H260" s="42"/>
      <c r="I260" s="42"/>
      <c r="J260" s="42"/>
      <c r="K260" s="42"/>
      <c r="L260" s="42"/>
      <c r="M260" s="42"/>
      <c r="N260" s="42"/>
      <c r="O260" s="42"/>
    </row>
    <row r="261" spans="1:17" s="39" customFormat="1">
      <c r="A261" s="41"/>
      <c r="B261" s="41"/>
      <c r="C261" s="60"/>
      <c r="D261" s="61"/>
      <c r="E261" s="61"/>
      <c r="F261" s="61"/>
      <c r="G261" s="61"/>
      <c r="H261" s="61"/>
      <c r="I261" s="61"/>
      <c r="J261" s="61"/>
      <c r="K261" s="61"/>
      <c r="L261" s="61"/>
      <c r="M261" s="61"/>
      <c r="N261" s="61"/>
      <c r="O261" s="61"/>
    </row>
    <row r="262" spans="1:17" s="39" customFormat="1">
      <c r="A262" s="41"/>
      <c r="B262" s="41"/>
      <c r="C262" s="60"/>
      <c r="D262" s="61"/>
      <c r="E262" s="61"/>
      <c r="F262" s="61"/>
      <c r="G262" s="61"/>
      <c r="H262" s="61"/>
      <c r="I262" s="61"/>
      <c r="J262" s="61"/>
      <c r="K262" s="61"/>
      <c r="L262" s="61"/>
      <c r="M262" s="61"/>
      <c r="N262" s="61"/>
      <c r="O262" s="61"/>
    </row>
    <row r="263" spans="1:17" s="39" customFormat="1">
      <c r="C263" s="60"/>
      <c r="E263" s="51" t="s">
        <v>1526</v>
      </c>
      <c r="F263" s="51"/>
      <c r="G263" s="51"/>
      <c r="H263" s="51"/>
      <c r="I263" s="51"/>
      <c r="J263" s="51"/>
      <c r="K263" s="51"/>
      <c r="L263" s="51"/>
      <c r="M263" s="51"/>
      <c r="N263" s="51"/>
      <c r="O263" s="51"/>
      <c r="P263" s="52"/>
      <c r="Q263" s="53" t="s">
        <v>9479</v>
      </c>
    </row>
    <row r="264" spans="1:17" s="39" customFormat="1">
      <c r="C264" s="60"/>
      <c r="D264" s="40">
        <v>2010</v>
      </c>
      <c r="E264" s="40">
        <v>2011</v>
      </c>
      <c r="F264" s="40">
        <v>2012</v>
      </c>
      <c r="G264" s="40">
        <v>2013</v>
      </c>
      <c r="H264" s="40">
        <v>2014</v>
      </c>
      <c r="I264" s="40">
        <v>2015</v>
      </c>
      <c r="J264" s="40">
        <v>2016</v>
      </c>
      <c r="K264" s="40">
        <v>2017</v>
      </c>
      <c r="L264" s="40">
        <v>2018</v>
      </c>
      <c r="M264" s="40">
        <v>2019</v>
      </c>
      <c r="N264" s="40">
        <v>2020</v>
      </c>
      <c r="O264" s="971" t="s">
        <v>14823</v>
      </c>
      <c r="P264" s="52"/>
      <c r="Q264" s="54" t="s">
        <v>1527</v>
      </c>
    </row>
    <row r="265" spans="1:17" s="39" customFormat="1">
      <c r="A265" s="41" t="s">
        <v>4156</v>
      </c>
      <c r="C265" s="60"/>
      <c r="D265" s="42">
        <f>SUM(D266:D276)+D278</f>
        <v>67750</v>
      </c>
      <c r="E265" s="42">
        <f>SUM(E266:E276)+E278</f>
        <v>68308</v>
      </c>
      <c r="F265" s="42">
        <f>SUM(F266:F276)+F278</f>
        <v>69160</v>
      </c>
      <c r="G265" s="42">
        <f>SUM(G266:G276)+G278</f>
        <v>69781</v>
      </c>
      <c r="H265" s="42">
        <f t="shared" ref="H265:M265" si="135">SUM(H266:H276)+H278</f>
        <v>69049</v>
      </c>
      <c r="I265" s="42">
        <f t="shared" si="135"/>
        <v>69113</v>
      </c>
      <c r="J265" s="42">
        <f t="shared" si="135"/>
        <v>67763</v>
      </c>
      <c r="K265" s="42">
        <f t="shared" si="135"/>
        <v>69456</v>
      </c>
      <c r="L265" s="42">
        <f t="shared" si="135"/>
        <v>70392</v>
      </c>
      <c r="M265" s="42">
        <f t="shared" si="135"/>
        <v>71733</v>
      </c>
      <c r="N265" s="42">
        <f>SUM(N266:N276)+N278</f>
        <v>73425</v>
      </c>
      <c r="O265" s="42">
        <f>SUM(O266:O276)+O278</f>
        <v>71294</v>
      </c>
    </row>
    <row r="266" spans="1:17" s="39" customFormat="1">
      <c r="A266" s="59">
        <v>1</v>
      </c>
      <c r="B266" s="41" t="s">
        <v>4157</v>
      </c>
      <c r="C266" s="62" t="s">
        <v>9537</v>
      </c>
      <c r="D266" s="42">
        <v>7542</v>
      </c>
      <c r="E266" s="42">
        <v>7498</v>
      </c>
      <c r="F266" s="42">
        <v>7574</v>
      </c>
      <c r="G266" s="42">
        <v>7556</v>
      </c>
      <c r="H266" s="63">
        <v>6038</v>
      </c>
      <c r="I266" s="56">
        <v>5716</v>
      </c>
      <c r="J266" s="56">
        <v>5460</v>
      </c>
      <c r="K266" s="56">
        <v>5568</v>
      </c>
      <c r="L266" s="56">
        <v>5649</v>
      </c>
      <c r="M266" s="56">
        <v>5727</v>
      </c>
      <c r="N266" s="56">
        <v>5948</v>
      </c>
      <c r="O266" s="56">
        <v>5730</v>
      </c>
      <c r="Q266" s="41" t="s">
        <v>5553</v>
      </c>
    </row>
    <row r="267" spans="1:17" s="39" customFormat="1">
      <c r="A267" s="59">
        <v>2</v>
      </c>
      <c r="B267" s="41" t="s">
        <v>9514</v>
      </c>
      <c r="C267" s="62" t="s">
        <v>9538</v>
      </c>
      <c r="D267" s="42">
        <v>60208</v>
      </c>
      <c r="E267" s="42">
        <v>60810</v>
      </c>
      <c r="F267" s="42">
        <v>61586</v>
      </c>
      <c r="G267" s="42">
        <v>62225</v>
      </c>
      <c r="H267" s="63">
        <v>6006</v>
      </c>
      <c r="I267" s="56">
        <v>5963</v>
      </c>
      <c r="J267" s="56">
        <v>5834</v>
      </c>
      <c r="K267" s="56">
        <v>5928</v>
      </c>
      <c r="L267" s="56">
        <v>5891</v>
      </c>
      <c r="M267" s="56">
        <v>5959</v>
      </c>
      <c r="N267" s="56">
        <v>5968</v>
      </c>
      <c r="O267" s="56">
        <v>5835</v>
      </c>
      <c r="Q267" s="41" t="s">
        <v>5571</v>
      </c>
    </row>
    <row r="268" spans="1:17" s="39" customFormat="1">
      <c r="A268" s="59">
        <v>3</v>
      </c>
      <c r="B268" s="41" t="s">
        <v>9515</v>
      </c>
      <c r="C268" s="62" t="s">
        <v>9539</v>
      </c>
      <c r="D268" s="42">
        <v>0</v>
      </c>
      <c r="E268" s="42">
        <v>0</v>
      </c>
      <c r="F268" s="42">
        <v>0</v>
      </c>
      <c r="G268" s="42">
        <v>0</v>
      </c>
      <c r="H268" s="63">
        <v>6340</v>
      </c>
      <c r="I268" s="56">
        <v>6314</v>
      </c>
      <c r="J268" s="56">
        <v>6394</v>
      </c>
      <c r="K268" s="56">
        <v>6790</v>
      </c>
      <c r="L268" s="56">
        <v>7252</v>
      </c>
      <c r="M268" s="56">
        <v>7537</v>
      </c>
      <c r="N268" s="56">
        <v>7841</v>
      </c>
      <c r="O268" s="56">
        <v>7597</v>
      </c>
      <c r="Q268" s="41" t="s">
        <v>5571</v>
      </c>
    </row>
    <row r="269" spans="1:17" s="39" customFormat="1">
      <c r="A269" s="59">
        <v>4</v>
      </c>
      <c r="B269" s="41" t="s">
        <v>4158</v>
      </c>
      <c r="C269" s="62" t="s">
        <v>9540</v>
      </c>
      <c r="D269" s="42">
        <v>0</v>
      </c>
      <c r="E269" s="42">
        <v>0</v>
      </c>
      <c r="F269" s="42">
        <v>0</v>
      </c>
      <c r="G269" s="42">
        <v>0</v>
      </c>
      <c r="H269" s="63">
        <v>6489</v>
      </c>
      <c r="I269" s="56">
        <v>6558</v>
      </c>
      <c r="J269" s="56">
        <v>6374</v>
      </c>
      <c r="K269" s="56">
        <v>6492</v>
      </c>
      <c r="L269" s="56">
        <v>6574</v>
      </c>
      <c r="M269" s="56">
        <v>6691</v>
      </c>
      <c r="N269" s="56">
        <v>6714</v>
      </c>
      <c r="O269" s="56">
        <v>6490</v>
      </c>
      <c r="Q269" s="41" t="s">
        <v>5571</v>
      </c>
    </row>
    <row r="270" spans="1:17" s="39" customFormat="1">
      <c r="A270" s="59">
        <v>5</v>
      </c>
      <c r="B270" s="41" t="s">
        <v>9516</v>
      </c>
      <c r="C270" s="62" t="s">
        <v>9541</v>
      </c>
      <c r="D270" s="42">
        <v>0</v>
      </c>
      <c r="E270" s="42">
        <v>0</v>
      </c>
      <c r="F270" s="42">
        <v>0</v>
      </c>
      <c r="G270" s="42">
        <v>0</v>
      </c>
      <c r="H270" s="63">
        <v>5830</v>
      </c>
      <c r="I270" s="56">
        <v>5757</v>
      </c>
      <c r="J270" s="56">
        <v>5670</v>
      </c>
      <c r="K270" s="56">
        <v>5792</v>
      </c>
      <c r="L270" s="56">
        <v>5788</v>
      </c>
      <c r="M270" s="56">
        <v>5818</v>
      </c>
      <c r="N270" s="56">
        <v>5951</v>
      </c>
      <c r="O270" s="56">
        <v>5801</v>
      </c>
      <c r="Q270" s="41" t="s">
        <v>5571</v>
      </c>
    </row>
    <row r="271" spans="1:17" s="39" customFormat="1">
      <c r="A271" s="59">
        <v>6</v>
      </c>
      <c r="B271" s="41" t="s">
        <v>4159</v>
      </c>
      <c r="C271" s="62" t="s">
        <v>9542</v>
      </c>
      <c r="D271" s="42">
        <v>0</v>
      </c>
      <c r="E271" s="42">
        <v>0</v>
      </c>
      <c r="F271" s="42">
        <v>0</v>
      </c>
      <c r="G271" s="42">
        <v>0</v>
      </c>
      <c r="H271" s="63">
        <v>6068</v>
      </c>
      <c r="I271" s="56">
        <v>5954</v>
      </c>
      <c r="J271" s="56">
        <v>5820</v>
      </c>
      <c r="K271" s="56">
        <v>5989</v>
      </c>
      <c r="L271" s="56">
        <v>6106</v>
      </c>
      <c r="M271" s="56">
        <v>6273</v>
      </c>
      <c r="N271" s="56">
        <v>6598</v>
      </c>
      <c r="O271" s="56">
        <v>6416</v>
      </c>
      <c r="Q271" s="41" t="s">
        <v>5571</v>
      </c>
    </row>
    <row r="272" spans="1:17" s="39" customFormat="1">
      <c r="A272" s="59">
        <v>7</v>
      </c>
      <c r="B272" s="41" t="s">
        <v>4160</v>
      </c>
      <c r="C272" s="62" t="s">
        <v>9543</v>
      </c>
      <c r="D272" s="42">
        <v>0</v>
      </c>
      <c r="E272" s="42">
        <v>0</v>
      </c>
      <c r="F272" s="42">
        <v>0</v>
      </c>
      <c r="G272" s="42">
        <v>0</v>
      </c>
      <c r="H272" s="63">
        <v>6738</v>
      </c>
      <c r="I272" s="56">
        <v>6776</v>
      </c>
      <c r="J272" s="56">
        <v>6713</v>
      </c>
      <c r="K272" s="56">
        <v>6963</v>
      </c>
      <c r="L272" s="56">
        <v>7141</v>
      </c>
      <c r="M272" s="56">
        <v>7267</v>
      </c>
      <c r="N272" s="56">
        <v>7385</v>
      </c>
      <c r="O272" s="56">
        <v>7182</v>
      </c>
      <c r="Q272" s="41" t="s">
        <v>5571</v>
      </c>
    </row>
    <row r="273" spans="1:17" s="39" customFormat="1">
      <c r="A273" s="59">
        <v>8</v>
      </c>
      <c r="B273" s="41" t="s">
        <v>4161</v>
      </c>
      <c r="C273" s="62" t="s">
        <v>9544</v>
      </c>
      <c r="D273" s="57">
        <v>0</v>
      </c>
      <c r="E273" s="57">
        <v>0</v>
      </c>
      <c r="F273" s="57">
        <v>0</v>
      </c>
      <c r="G273" s="57">
        <v>0</v>
      </c>
      <c r="H273" s="63">
        <v>6341</v>
      </c>
      <c r="I273" s="56">
        <v>6340</v>
      </c>
      <c r="J273" s="56">
        <v>6123</v>
      </c>
      <c r="K273" s="56">
        <v>6204</v>
      </c>
      <c r="L273" s="56">
        <v>6156</v>
      </c>
      <c r="M273" s="56">
        <v>6374</v>
      </c>
      <c r="N273" s="56">
        <v>6720</v>
      </c>
      <c r="O273" s="56">
        <v>6558</v>
      </c>
      <c r="Q273" s="41" t="s">
        <v>5571</v>
      </c>
    </row>
    <row r="274" spans="1:17" s="39" customFormat="1">
      <c r="A274" s="59">
        <v>9</v>
      </c>
      <c r="B274" s="41" t="s">
        <v>4163</v>
      </c>
      <c r="C274" s="62" t="s">
        <v>9545</v>
      </c>
      <c r="D274" s="42">
        <v>0</v>
      </c>
      <c r="E274" s="42">
        <v>0</v>
      </c>
      <c r="F274" s="42">
        <v>0</v>
      </c>
      <c r="G274" s="42">
        <v>0</v>
      </c>
      <c r="H274" s="63">
        <v>6403</v>
      </c>
      <c r="I274" s="56">
        <v>6461</v>
      </c>
      <c r="J274" s="56">
        <v>6302</v>
      </c>
      <c r="K274" s="56">
        <v>6372</v>
      </c>
      <c r="L274" s="56">
        <v>6427</v>
      </c>
      <c r="M274" s="56">
        <v>6675</v>
      </c>
      <c r="N274" s="56">
        <v>6775</v>
      </c>
      <c r="O274" s="56">
        <v>6506</v>
      </c>
      <c r="Q274" s="41" t="s">
        <v>5571</v>
      </c>
    </row>
    <row r="275" spans="1:17" s="39" customFormat="1">
      <c r="A275" s="59">
        <v>10</v>
      </c>
      <c r="B275" s="41" t="s">
        <v>4164</v>
      </c>
      <c r="C275" s="62" t="s">
        <v>9546</v>
      </c>
      <c r="D275" s="42">
        <v>0</v>
      </c>
      <c r="E275" s="42">
        <v>0</v>
      </c>
      <c r="F275" s="42">
        <v>0</v>
      </c>
      <c r="G275" s="42">
        <v>0</v>
      </c>
      <c r="H275" s="63">
        <v>1520</v>
      </c>
      <c r="I275" s="56">
        <v>1917</v>
      </c>
      <c r="J275" s="56">
        <v>1956</v>
      </c>
      <c r="K275" s="56">
        <v>2005</v>
      </c>
      <c r="L275" s="56">
        <v>1998</v>
      </c>
      <c r="M275" s="56">
        <v>2007</v>
      </c>
      <c r="N275" s="56">
        <v>2017</v>
      </c>
      <c r="O275" s="56">
        <v>1958</v>
      </c>
      <c r="Q275" s="41" t="s">
        <v>5553</v>
      </c>
    </row>
    <row r="276" spans="1:17" s="39" customFormat="1" ht="15.75" thickBot="1">
      <c r="B276" s="41"/>
      <c r="C276" s="62" t="s">
        <v>9546</v>
      </c>
      <c r="D276" s="42">
        <v>0</v>
      </c>
      <c r="E276" s="42">
        <v>0</v>
      </c>
      <c r="F276" s="42">
        <v>0</v>
      </c>
      <c r="G276" s="42">
        <v>0</v>
      </c>
      <c r="H276" s="63">
        <v>4690</v>
      </c>
      <c r="I276" s="56">
        <v>4724</v>
      </c>
      <c r="J276" s="56">
        <v>4635</v>
      </c>
      <c r="K276" s="56">
        <v>4818</v>
      </c>
      <c r="L276" s="56">
        <v>4853</v>
      </c>
      <c r="M276" s="56">
        <v>4850</v>
      </c>
      <c r="N276" s="56">
        <v>4918</v>
      </c>
      <c r="O276" s="56">
        <v>4768</v>
      </c>
      <c r="Q276" s="41" t="s">
        <v>5571</v>
      </c>
    </row>
    <row r="277" spans="1:17" s="39" customFormat="1" ht="15.75" thickBot="1">
      <c r="B277" s="41"/>
      <c r="C277" s="62" t="s">
        <v>9546</v>
      </c>
      <c r="D277" s="49">
        <f>D275+D276</f>
        <v>0</v>
      </c>
      <c r="E277" s="49">
        <f>E275+E276</f>
        <v>0</v>
      </c>
      <c r="F277" s="49">
        <f>F275+F276</f>
        <v>0</v>
      </c>
      <c r="G277" s="49">
        <f>G275+G276</f>
        <v>0</v>
      </c>
      <c r="H277" s="49">
        <f t="shared" ref="H277:M277" si="136">H275+H276</f>
        <v>6210</v>
      </c>
      <c r="I277" s="49">
        <f t="shared" si="136"/>
        <v>6641</v>
      </c>
      <c r="J277" s="49">
        <f t="shared" si="136"/>
        <v>6591</v>
      </c>
      <c r="K277" s="49">
        <f t="shared" si="136"/>
        <v>6823</v>
      </c>
      <c r="L277" s="49">
        <f t="shared" si="136"/>
        <v>6851</v>
      </c>
      <c r="M277" s="49">
        <f t="shared" si="136"/>
        <v>6857</v>
      </c>
      <c r="N277" s="49">
        <f>N275+N276</f>
        <v>6935</v>
      </c>
      <c r="O277" s="49">
        <f>O275+O276</f>
        <v>6726</v>
      </c>
      <c r="Q277" s="41"/>
    </row>
    <row r="278" spans="1:17" s="39" customFormat="1">
      <c r="A278" s="59">
        <v>11</v>
      </c>
      <c r="B278" s="41" t="s">
        <v>4165</v>
      </c>
      <c r="C278" s="62" t="s">
        <v>9547</v>
      </c>
      <c r="D278" s="42">
        <v>0</v>
      </c>
      <c r="E278" s="42">
        <v>0</v>
      </c>
      <c r="F278" s="42">
        <v>0</v>
      </c>
      <c r="G278" s="42">
        <v>0</v>
      </c>
      <c r="H278" s="63">
        <v>6586</v>
      </c>
      <c r="I278" s="56">
        <v>6633</v>
      </c>
      <c r="J278" s="56">
        <v>6482</v>
      </c>
      <c r="K278" s="56">
        <v>6535</v>
      </c>
      <c r="L278" s="56">
        <v>6557</v>
      </c>
      <c r="M278" s="56">
        <v>6555</v>
      </c>
      <c r="N278" s="56">
        <v>6590</v>
      </c>
      <c r="O278" s="56">
        <v>6453</v>
      </c>
      <c r="Q278" s="41" t="s">
        <v>5571</v>
      </c>
    </row>
    <row r="279" spans="1:17" s="39" customFormat="1">
      <c r="C279" s="60"/>
      <c r="D279" s="42"/>
      <c r="E279" s="42"/>
      <c r="F279" s="42"/>
      <c r="G279" s="42"/>
      <c r="H279" s="44"/>
      <c r="I279" s="44"/>
      <c r="J279" s="44"/>
      <c r="K279" s="44"/>
      <c r="L279" s="44"/>
      <c r="M279" s="44"/>
      <c r="N279" s="44"/>
      <c r="O279" s="44"/>
    </row>
    <row r="280" spans="1:17" s="39" customFormat="1">
      <c r="A280" s="41" t="s">
        <v>4166</v>
      </c>
      <c r="C280" s="60"/>
      <c r="D280" s="42">
        <f>D266+D275</f>
        <v>7542</v>
      </c>
      <c r="E280" s="42">
        <f>E266+E275</f>
        <v>7498</v>
      </c>
      <c r="F280" s="42">
        <f>F266+F275</f>
        <v>7574</v>
      </c>
      <c r="G280" s="42">
        <f>G266+G275</f>
        <v>7556</v>
      </c>
      <c r="H280" s="42">
        <f t="shared" ref="H280:M280" si="137">H266+H275</f>
        <v>7558</v>
      </c>
      <c r="I280" s="42">
        <f t="shared" si="137"/>
        <v>7633</v>
      </c>
      <c r="J280" s="42">
        <f t="shared" si="137"/>
        <v>7416</v>
      </c>
      <c r="K280" s="42">
        <f t="shared" si="137"/>
        <v>7573</v>
      </c>
      <c r="L280" s="42">
        <f t="shared" si="137"/>
        <v>7647</v>
      </c>
      <c r="M280" s="42">
        <f t="shared" si="137"/>
        <v>7734</v>
      </c>
      <c r="N280" s="42">
        <f>N266+N275</f>
        <v>7965</v>
      </c>
      <c r="O280" s="42">
        <f>O266+O275</f>
        <v>7688</v>
      </c>
    </row>
    <row r="281" spans="1:17" s="39" customFormat="1">
      <c r="A281" s="41" t="s">
        <v>6567</v>
      </c>
      <c r="C281" s="60"/>
      <c r="D281" s="42">
        <f>SUM(D267:D274)+D276+D278</f>
        <v>60208</v>
      </c>
      <c r="E281" s="42">
        <f>SUM(E267:E274)+E276+E278</f>
        <v>60810</v>
      </c>
      <c r="F281" s="42">
        <f>SUM(F267:F274)+F276+F278</f>
        <v>61586</v>
      </c>
      <c r="G281" s="42">
        <f>SUM(G267:G274)+G276+G278</f>
        <v>62225</v>
      </c>
      <c r="H281" s="42">
        <f t="shared" ref="H281:M281" si="138">SUM(H267:H274)+H276+H278</f>
        <v>61491</v>
      </c>
      <c r="I281" s="42">
        <f t="shared" si="138"/>
        <v>61480</v>
      </c>
      <c r="J281" s="42">
        <f t="shared" si="138"/>
        <v>60347</v>
      </c>
      <c r="K281" s="42">
        <f t="shared" si="138"/>
        <v>61883</v>
      </c>
      <c r="L281" s="42">
        <f t="shared" si="138"/>
        <v>62745</v>
      </c>
      <c r="M281" s="42">
        <f t="shared" si="138"/>
        <v>63999</v>
      </c>
      <c r="N281" s="42">
        <f>SUM(N267:N274)+N276+N278</f>
        <v>65460</v>
      </c>
      <c r="O281" s="42">
        <f>SUM(O267:O274)+O276+O278</f>
        <v>63606</v>
      </c>
    </row>
    <row r="282" spans="1:17" s="39" customFormat="1">
      <c r="A282" s="41"/>
      <c r="C282" s="60"/>
      <c r="D282" s="42"/>
      <c r="E282" s="42"/>
      <c r="F282" s="42"/>
      <c r="G282" s="42"/>
      <c r="H282" s="42"/>
      <c r="I282" s="42"/>
      <c r="J282" s="42"/>
      <c r="K282" s="42"/>
      <c r="L282" s="42"/>
      <c r="M282" s="42"/>
      <c r="N282" s="42"/>
      <c r="O282" s="42"/>
      <c r="Q282" s="41"/>
    </row>
    <row r="283" spans="1:17" s="39" customFormat="1">
      <c r="A283" s="41" t="s">
        <v>9517</v>
      </c>
      <c r="C283" s="60"/>
      <c r="D283" s="42"/>
      <c r="E283" s="42"/>
      <c r="F283" s="42"/>
      <c r="G283" s="42"/>
      <c r="H283" s="42"/>
      <c r="I283" s="42"/>
      <c r="J283" s="42"/>
      <c r="K283" s="42"/>
      <c r="L283" s="42"/>
      <c r="M283" s="42"/>
      <c r="N283" s="42"/>
      <c r="O283" s="42"/>
      <c r="Q283" s="41"/>
    </row>
    <row r="284" spans="1:17" s="39" customFormat="1">
      <c r="C284" s="60"/>
      <c r="D284" s="44"/>
      <c r="E284" s="44"/>
      <c r="F284" s="44"/>
      <c r="G284" s="44"/>
      <c r="H284" s="44"/>
      <c r="I284" s="44"/>
      <c r="J284" s="44"/>
      <c r="K284" s="44"/>
      <c r="L284" s="44"/>
      <c r="M284" s="44"/>
      <c r="N284" s="44"/>
      <c r="O284" s="44"/>
    </row>
    <row r="285" spans="1:17" s="39" customFormat="1">
      <c r="A285" s="41"/>
      <c r="B285" s="41"/>
      <c r="C285" s="60"/>
      <c r="D285" s="61"/>
      <c r="E285" s="61"/>
      <c r="F285" s="61"/>
      <c r="G285" s="61"/>
      <c r="H285" s="61"/>
      <c r="I285" s="61"/>
      <c r="J285" s="61"/>
      <c r="K285" s="61"/>
      <c r="L285" s="61"/>
      <c r="M285" s="61"/>
      <c r="N285" s="61"/>
      <c r="O285" s="61"/>
    </row>
    <row r="286" spans="1:17" s="39" customFormat="1">
      <c r="C286" s="60"/>
      <c r="E286" s="51" t="s">
        <v>1526</v>
      </c>
      <c r="F286" s="51"/>
      <c r="G286" s="51"/>
      <c r="H286" s="51"/>
      <c r="I286" s="51"/>
      <c r="J286" s="51"/>
      <c r="K286" s="51"/>
      <c r="L286" s="51"/>
      <c r="M286" s="51"/>
      <c r="N286" s="51"/>
      <c r="O286" s="51"/>
      <c r="P286" s="52"/>
      <c r="Q286" s="53" t="s">
        <v>9479</v>
      </c>
    </row>
    <row r="287" spans="1:17" s="39" customFormat="1">
      <c r="C287" s="60"/>
      <c r="D287" s="40">
        <v>2010</v>
      </c>
      <c r="E287" s="40">
        <v>2011</v>
      </c>
      <c r="F287" s="40">
        <v>2012</v>
      </c>
      <c r="G287" s="40">
        <v>2013</v>
      </c>
      <c r="H287" s="40">
        <v>2014</v>
      </c>
      <c r="I287" s="40">
        <v>2015</v>
      </c>
      <c r="J287" s="40">
        <v>2016</v>
      </c>
      <c r="K287" s="40">
        <v>2017</v>
      </c>
      <c r="L287" s="40">
        <v>2018</v>
      </c>
      <c r="M287" s="40">
        <v>2019</v>
      </c>
      <c r="N287" s="40">
        <v>2020</v>
      </c>
      <c r="O287" s="971" t="s">
        <v>14823</v>
      </c>
      <c r="P287" s="52"/>
      <c r="Q287" s="54" t="s">
        <v>1527</v>
      </c>
    </row>
    <row r="288" spans="1:17" s="39" customFormat="1">
      <c r="A288" s="41" t="s">
        <v>5679</v>
      </c>
      <c r="C288" s="60"/>
      <c r="D288" s="42">
        <f t="shared" ref="D288:I288" si="139">SUM(D289:D302)</f>
        <v>92494</v>
      </c>
      <c r="E288" s="42">
        <f t="shared" si="139"/>
        <v>93260</v>
      </c>
      <c r="F288" s="42">
        <f t="shared" si="139"/>
        <v>93423</v>
      </c>
      <c r="G288" s="42">
        <f t="shared" si="139"/>
        <v>94029</v>
      </c>
      <c r="H288" s="42">
        <f t="shared" si="139"/>
        <v>94362</v>
      </c>
      <c r="I288" s="42">
        <f t="shared" si="139"/>
        <v>93180</v>
      </c>
      <c r="J288" s="42">
        <f t="shared" ref="J288:O288" si="140">SUM(J289:J302)</f>
        <v>92313</v>
      </c>
      <c r="K288" s="42">
        <f t="shared" si="140"/>
        <v>94390</v>
      </c>
      <c r="L288" s="42">
        <f t="shared" si="140"/>
        <v>95026</v>
      </c>
      <c r="M288" s="42">
        <f t="shared" si="140"/>
        <v>93775</v>
      </c>
      <c r="N288" s="42">
        <f t="shared" si="140"/>
        <v>94409</v>
      </c>
      <c r="O288" s="42">
        <f t="shared" si="140"/>
        <v>96020</v>
      </c>
    </row>
    <row r="289" spans="1:17" s="39" customFormat="1">
      <c r="A289" s="59">
        <v>1</v>
      </c>
      <c r="B289" s="41" t="s">
        <v>5680</v>
      </c>
      <c r="C289" s="55" t="s">
        <v>246</v>
      </c>
      <c r="D289" s="42">
        <v>4403</v>
      </c>
      <c r="E289" s="42">
        <v>4520</v>
      </c>
      <c r="F289" s="42">
        <v>4590</v>
      </c>
      <c r="G289" s="56">
        <v>4656</v>
      </c>
      <c r="H289" s="56">
        <v>4671</v>
      </c>
      <c r="I289" s="56">
        <v>4601</v>
      </c>
      <c r="J289" s="56">
        <v>4438</v>
      </c>
      <c r="K289" s="56">
        <v>4573</v>
      </c>
      <c r="L289" s="56">
        <v>4537</v>
      </c>
      <c r="M289" s="56">
        <v>4455</v>
      </c>
      <c r="N289" s="56">
        <v>4463</v>
      </c>
      <c r="O289" s="56">
        <v>4569</v>
      </c>
      <c r="Q289" s="41" t="s">
        <v>5564</v>
      </c>
    </row>
    <row r="290" spans="1:17" s="39" customFormat="1">
      <c r="A290" s="59">
        <v>2</v>
      </c>
      <c r="B290" s="41" t="s">
        <v>5681</v>
      </c>
      <c r="C290" s="55" t="s">
        <v>247</v>
      </c>
      <c r="D290" s="42">
        <v>4852</v>
      </c>
      <c r="E290" s="42">
        <v>4918</v>
      </c>
      <c r="F290" s="42">
        <v>4931</v>
      </c>
      <c r="G290" s="56">
        <v>4987</v>
      </c>
      <c r="H290" s="56">
        <v>4936</v>
      </c>
      <c r="I290" s="56">
        <v>4790</v>
      </c>
      <c r="J290" s="56">
        <v>4679</v>
      </c>
      <c r="K290" s="56">
        <v>4749</v>
      </c>
      <c r="L290" s="56">
        <v>4781</v>
      </c>
      <c r="M290" s="56">
        <v>4759</v>
      </c>
      <c r="N290" s="56">
        <v>4738</v>
      </c>
      <c r="O290" s="56">
        <v>4853</v>
      </c>
      <c r="Q290" s="41" t="s">
        <v>5564</v>
      </c>
    </row>
    <row r="291" spans="1:17" s="39" customFormat="1">
      <c r="A291" s="59">
        <v>3</v>
      </c>
      <c r="B291" s="41" t="s">
        <v>5682</v>
      </c>
      <c r="C291" s="55" t="s">
        <v>248</v>
      </c>
      <c r="D291" s="42">
        <v>7074</v>
      </c>
      <c r="E291" s="42">
        <v>7161</v>
      </c>
      <c r="F291" s="42">
        <v>7152</v>
      </c>
      <c r="G291" s="56">
        <v>7140</v>
      </c>
      <c r="H291" s="56">
        <v>7201</v>
      </c>
      <c r="I291" s="56">
        <v>7130</v>
      </c>
      <c r="J291" s="56">
        <v>7091</v>
      </c>
      <c r="K291" s="56">
        <v>7365</v>
      </c>
      <c r="L291" s="56">
        <v>7436</v>
      </c>
      <c r="M291" s="56">
        <v>7325</v>
      </c>
      <c r="N291" s="56">
        <v>7353</v>
      </c>
      <c r="O291" s="56">
        <v>7444</v>
      </c>
      <c r="Q291" s="41" t="s">
        <v>5564</v>
      </c>
    </row>
    <row r="292" spans="1:17" s="39" customFormat="1">
      <c r="A292" s="59">
        <v>4</v>
      </c>
      <c r="B292" s="41" t="s">
        <v>5683</v>
      </c>
      <c r="C292" s="55" t="s">
        <v>249</v>
      </c>
      <c r="D292" s="42">
        <v>4997</v>
      </c>
      <c r="E292" s="42">
        <v>5042</v>
      </c>
      <c r="F292" s="42">
        <v>5029</v>
      </c>
      <c r="G292" s="56">
        <v>4999</v>
      </c>
      <c r="H292" s="56">
        <v>5020</v>
      </c>
      <c r="I292" s="56">
        <v>4909</v>
      </c>
      <c r="J292" s="56">
        <v>4844</v>
      </c>
      <c r="K292" s="56">
        <v>4902</v>
      </c>
      <c r="L292" s="56">
        <v>4925</v>
      </c>
      <c r="M292" s="56">
        <v>4845</v>
      </c>
      <c r="N292" s="56">
        <v>4789</v>
      </c>
      <c r="O292" s="56">
        <v>4890</v>
      </c>
      <c r="Q292" s="41" t="s">
        <v>5564</v>
      </c>
    </row>
    <row r="293" spans="1:17" s="39" customFormat="1">
      <c r="A293" s="59">
        <v>5</v>
      </c>
      <c r="B293" s="41" t="s">
        <v>5684</v>
      </c>
      <c r="C293" s="55" t="s">
        <v>250</v>
      </c>
      <c r="D293" s="42">
        <v>7354</v>
      </c>
      <c r="E293" s="42">
        <v>7411</v>
      </c>
      <c r="F293" s="42">
        <v>7423</v>
      </c>
      <c r="G293" s="56">
        <v>7484</v>
      </c>
      <c r="H293" s="56">
        <v>7488</v>
      </c>
      <c r="I293" s="56">
        <v>7340</v>
      </c>
      <c r="J293" s="56">
        <v>7272</v>
      </c>
      <c r="K293" s="56">
        <v>7373</v>
      </c>
      <c r="L293" s="56">
        <v>7356</v>
      </c>
      <c r="M293" s="56">
        <v>7232</v>
      </c>
      <c r="N293" s="56">
        <v>7331</v>
      </c>
      <c r="O293" s="56">
        <v>7434</v>
      </c>
      <c r="Q293" s="41" t="s">
        <v>5566</v>
      </c>
    </row>
    <row r="294" spans="1:17" s="39" customFormat="1">
      <c r="A294" s="59">
        <v>6</v>
      </c>
      <c r="B294" s="41" t="s">
        <v>4140</v>
      </c>
      <c r="C294" s="55" t="s">
        <v>251</v>
      </c>
      <c r="D294" s="42">
        <v>7776</v>
      </c>
      <c r="E294" s="42">
        <v>7860</v>
      </c>
      <c r="F294" s="42">
        <v>7820</v>
      </c>
      <c r="G294" s="56">
        <v>7880</v>
      </c>
      <c r="H294" s="56">
        <v>8050</v>
      </c>
      <c r="I294" s="56">
        <v>8007</v>
      </c>
      <c r="J294" s="56">
        <v>8093</v>
      </c>
      <c r="K294" s="56">
        <v>8127</v>
      </c>
      <c r="L294" s="56">
        <v>8079</v>
      </c>
      <c r="M294" s="56">
        <v>8000</v>
      </c>
      <c r="N294" s="56">
        <v>8079</v>
      </c>
      <c r="O294" s="56">
        <v>8231</v>
      </c>
      <c r="Q294" s="41" t="s">
        <v>5564</v>
      </c>
    </row>
    <row r="295" spans="1:17" s="39" customFormat="1">
      <c r="A295" s="59">
        <v>7</v>
      </c>
      <c r="B295" s="41" t="s">
        <v>4141</v>
      </c>
      <c r="C295" s="55" t="s">
        <v>252</v>
      </c>
      <c r="D295" s="42">
        <v>7486</v>
      </c>
      <c r="E295" s="42">
        <v>7529</v>
      </c>
      <c r="F295" s="42">
        <v>7515</v>
      </c>
      <c r="G295" s="56">
        <v>7587</v>
      </c>
      <c r="H295" s="56">
        <v>7678</v>
      </c>
      <c r="I295" s="56">
        <v>7563</v>
      </c>
      <c r="J295" s="56">
        <v>7402</v>
      </c>
      <c r="K295" s="56">
        <v>7497</v>
      </c>
      <c r="L295" s="56">
        <v>7548</v>
      </c>
      <c r="M295" s="56">
        <v>7457</v>
      </c>
      <c r="N295" s="56">
        <v>7551</v>
      </c>
      <c r="O295" s="56">
        <v>7657</v>
      </c>
      <c r="Q295" s="41" t="s">
        <v>5566</v>
      </c>
    </row>
    <row r="296" spans="1:17" s="39" customFormat="1">
      <c r="A296" s="59">
        <v>8</v>
      </c>
      <c r="B296" s="41" t="s">
        <v>4142</v>
      </c>
      <c r="C296" s="55" t="s">
        <v>253</v>
      </c>
      <c r="D296" s="42">
        <v>7277</v>
      </c>
      <c r="E296" s="42">
        <v>7313</v>
      </c>
      <c r="F296" s="42">
        <v>7341</v>
      </c>
      <c r="G296" s="56">
        <v>7382</v>
      </c>
      <c r="H296" s="56">
        <v>7334</v>
      </c>
      <c r="I296" s="56">
        <v>7258</v>
      </c>
      <c r="J296" s="56">
        <v>7118</v>
      </c>
      <c r="K296" s="56">
        <v>7411</v>
      </c>
      <c r="L296" s="56">
        <v>7518</v>
      </c>
      <c r="M296" s="56">
        <v>7367</v>
      </c>
      <c r="N296" s="56">
        <v>7430</v>
      </c>
      <c r="O296" s="56">
        <v>7568</v>
      </c>
      <c r="Q296" s="41" t="s">
        <v>5564</v>
      </c>
    </row>
    <row r="297" spans="1:17" s="39" customFormat="1">
      <c r="A297" s="59">
        <v>9</v>
      </c>
      <c r="B297" s="41" t="s">
        <v>4143</v>
      </c>
      <c r="C297" s="55" t="s">
        <v>254</v>
      </c>
      <c r="D297" s="42">
        <v>6855</v>
      </c>
      <c r="E297" s="42">
        <v>6901</v>
      </c>
      <c r="F297" s="42">
        <v>6878</v>
      </c>
      <c r="G297" s="56">
        <v>6923</v>
      </c>
      <c r="H297" s="56">
        <v>6890</v>
      </c>
      <c r="I297" s="56">
        <v>6867</v>
      </c>
      <c r="J297" s="56">
        <v>6799</v>
      </c>
      <c r="K297" s="56">
        <v>6850</v>
      </c>
      <c r="L297" s="56">
        <v>6930</v>
      </c>
      <c r="M297" s="56">
        <v>6856</v>
      </c>
      <c r="N297" s="56">
        <v>6942</v>
      </c>
      <c r="O297" s="56">
        <v>7024</v>
      </c>
      <c r="Q297" s="41" t="s">
        <v>5564</v>
      </c>
    </row>
    <row r="298" spans="1:17" s="39" customFormat="1">
      <c r="A298" s="59">
        <v>10</v>
      </c>
      <c r="B298" s="41" t="s">
        <v>4144</v>
      </c>
      <c r="C298" s="55" t="s">
        <v>255</v>
      </c>
      <c r="D298" s="42">
        <v>7242</v>
      </c>
      <c r="E298" s="42">
        <v>7297</v>
      </c>
      <c r="F298" s="42">
        <v>7383</v>
      </c>
      <c r="G298" s="56">
        <v>7405</v>
      </c>
      <c r="H298" s="56">
        <v>7415</v>
      </c>
      <c r="I298" s="56">
        <v>7390</v>
      </c>
      <c r="J298" s="56">
        <v>7340</v>
      </c>
      <c r="K298" s="56">
        <v>7458</v>
      </c>
      <c r="L298" s="56">
        <v>7488</v>
      </c>
      <c r="M298" s="56">
        <v>7378</v>
      </c>
      <c r="N298" s="56">
        <v>7466</v>
      </c>
      <c r="O298" s="56">
        <v>7583</v>
      </c>
      <c r="Q298" s="41" t="s">
        <v>5564</v>
      </c>
    </row>
    <row r="299" spans="1:17" s="39" customFormat="1">
      <c r="A299" s="59">
        <v>11</v>
      </c>
      <c r="B299" s="41" t="s">
        <v>4145</v>
      </c>
      <c r="C299" s="55" t="s">
        <v>256</v>
      </c>
      <c r="D299" s="42">
        <v>7109</v>
      </c>
      <c r="E299" s="42">
        <v>7076</v>
      </c>
      <c r="F299" s="42">
        <v>7125</v>
      </c>
      <c r="G299" s="56">
        <v>7186</v>
      </c>
      <c r="H299" s="56">
        <v>7161</v>
      </c>
      <c r="I299" s="56">
        <v>7088</v>
      </c>
      <c r="J299" s="56">
        <v>7231</v>
      </c>
      <c r="K299" s="56">
        <v>7626</v>
      </c>
      <c r="L299" s="56">
        <v>7671</v>
      </c>
      <c r="M299" s="56">
        <v>7611</v>
      </c>
      <c r="N299" s="56">
        <v>7732</v>
      </c>
      <c r="O299" s="56">
        <v>7876</v>
      </c>
      <c r="Q299" s="41" t="s">
        <v>5564</v>
      </c>
    </row>
    <row r="300" spans="1:17" s="39" customFormat="1">
      <c r="A300" s="59">
        <v>12</v>
      </c>
      <c r="B300" s="41" t="s">
        <v>4146</v>
      </c>
      <c r="C300" s="55" t="s">
        <v>257</v>
      </c>
      <c r="D300" s="42">
        <v>7430</v>
      </c>
      <c r="E300" s="42">
        <v>7412</v>
      </c>
      <c r="F300" s="42">
        <v>7448</v>
      </c>
      <c r="G300" s="56">
        <v>7444</v>
      </c>
      <c r="H300" s="56">
        <v>7504</v>
      </c>
      <c r="I300" s="56">
        <v>7413</v>
      </c>
      <c r="J300" s="56">
        <v>7234</v>
      </c>
      <c r="K300" s="56">
        <v>7472</v>
      </c>
      <c r="L300" s="56">
        <v>7601</v>
      </c>
      <c r="M300" s="56">
        <v>7556</v>
      </c>
      <c r="N300" s="56">
        <v>7590</v>
      </c>
      <c r="O300" s="56">
        <v>7704</v>
      </c>
      <c r="Q300" s="41" t="s">
        <v>5564</v>
      </c>
    </row>
    <row r="301" spans="1:17" s="39" customFormat="1">
      <c r="A301" s="59">
        <v>13</v>
      </c>
      <c r="B301" s="41" t="s">
        <v>4147</v>
      </c>
      <c r="C301" s="55" t="s">
        <v>258</v>
      </c>
      <c r="D301" s="42">
        <v>4989</v>
      </c>
      <c r="E301" s="42">
        <v>5068</v>
      </c>
      <c r="F301" s="42">
        <v>5051</v>
      </c>
      <c r="G301" s="56">
        <v>5135</v>
      </c>
      <c r="H301" s="56">
        <v>5094</v>
      </c>
      <c r="I301" s="56">
        <v>4918</v>
      </c>
      <c r="J301" s="56">
        <v>4845</v>
      </c>
      <c r="K301" s="56">
        <v>4960</v>
      </c>
      <c r="L301" s="56">
        <v>4995</v>
      </c>
      <c r="M301" s="56">
        <v>4909</v>
      </c>
      <c r="N301" s="56">
        <v>4904</v>
      </c>
      <c r="O301" s="56">
        <v>5024</v>
      </c>
      <c r="Q301" s="41" t="s">
        <v>5564</v>
      </c>
    </row>
    <row r="302" spans="1:17" s="39" customFormat="1">
      <c r="A302" s="59">
        <v>14</v>
      </c>
      <c r="B302" s="41" t="s">
        <v>667</v>
      </c>
      <c r="C302" s="55" t="s">
        <v>259</v>
      </c>
      <c r="D302" s="42">
        <v>7650</v>
      </c>
      <c r="E302" s="42">
        <v>7752</v>
      </c>
      <c r="F302" s="42">
        <v>7737</v>
      </c>
      <c r="G302" s="56">
        <v>7821</v>
      </c>
      <c r="H302" s="56">
        <v>7920</v>
      </c>
      <c r="I302" s="56">
        <v>7906</v>
      </c>
      <c r="J302" s="56">
        <v>7927</v>
      </c>
      <c r="K302" s="56">
        <v>8027</v>
      </c>
      <c r="L302" s="56">
        <v>8161</v>
      </c>
      <c r="M302" s="56">
        <v>8025</v>
      </c>
      <c r="N302" s="56">
        <v>8041</v>
      </c>
      <c r="O302" s="56">
        <v>8163</v>
      </c>
      <c r="Q302" s="41" t="s">
        <v>5566</v>
      </c>
    </row>
    <row r="303" spans="1:17" s="39" customFormat="1">
      <c r="C303" s="60"/>
      <c r="D303" s="44"/>
      <c r="E303" s="44"/>
      <c r="F303" s="44"/>
      <c r="G303" s="44"/>
      <c r="H303" s="64"/>
      <c r="I303" s="64"/>
      <c r="J303" s="64"/>
      <c r="K303" s="64"/>
      <c r="L303" s="64"/>
      <c r="M303" s="64"/>
      <c r="N303" s="64"/>
      <c r="O303" s="64"/>
    </row>
    <row r="304" spans="1:17" s="39" customFormat="1">
      <c r="A304" s="41" t="s">
        <v>5564</v>
      </c>
      <c r="C304" s="60"/>
      <c r="D304" s="42">
        <f t="shared" ref="D304:I304" si="141">SUM(D289:D292)+D294+SUM(D296:D301)</f>
        <v>70004</v>
      </c>
      <c r="E304" s="42">
        <f t="shared" si="141"/>
        <v>70568</v>
      </c>
      <c r="F304" s="42">
        <f t="shared" si="141"/>
        <v>70748</v>
      </c>
      <c r="G304" s="42">
        <f t="shared" si="141"/>
        <v>71137</v>
      </c>
      <c r="H304" s="42">
        <f t="shared" si="141"/>
        <v>71276</v>
      </c>
      <c r="I304" s="42">
        <f t="shared" si="141"/>
        <v>70371</v>
      </c>
      <c r="J304" s="42">
        <f t="shared" ref="J304:O304" si="142">SUM(J289:J292)+J294+SUM(J296:J301)</f>
        <v>69712</v>
      </c>
      <c r="K304" s="42">
        <f t="shared" si="142"/>
        <v>71493</v>
      </c>
      <c r="L304" s="42">
        <f t="shared" si="142"/>
        <v>71961</v>
      </c>
      <c r="M304" s="42">
        <f t="shared" si="142"/>
        <v>71061</v>
      </c>
      <c r="N304" s="42">
        <f t="shared" si="142"/>
        <v>71486</v>
      </c>
      <c r="O304" s="42">
        <f t="shared" si="142"/>
        <v>72766</v>
      </c>
    </row>
    <row r="305" spans="1:17" s="39" customFormat="1">
      <c r="A305" s="41" t="s">
        <v>1307</v>
      </c>
      <c r="C305" s="60"/>
      <c r="D305" s="42">
        <f t="shared" ref="D305:I305" si="143">D293+D295+D302</f>
        <v>22490</v>
      </c>
      <c r="E305" s="42">
        <f t="shared" si="143"/>
        <v>22692</v>
      </c>
      <c r="F305" s="42">
        <f t="shared" si="143"/>
        <v>22675</v>
      </c>
      <c r="G305" s="42">
        <f t="shared" si="143"/>
        <v>22892</v>
      </c>
      <c r="H305" s="42">
        <f t="shared" si="143"/>
        <v>23086</v>
      </c>
      <c r="I305" s="42">
        <f t="shared" si="143"/>
        <v>22809</v>
      </c>
      <c r="J305" s="42">
        <f t="shared" ref="J305:O305" si="144">J293+J295+J302</f>
        <v>22601</v>
      </c>
      <c r="K305" s="42">
        <f t="shared" si="144"/>
        <v>22897</v>
      </c>
      <c r="L305" s="42">
        <f t="shared" si="144"/>
        <v>23065</v>
      </c>
      <c r="M305" s="42">
        <f t="shared" si="144"/>
        <v>22714</v>
      </c>
      <c r="N305" s="42">
        <f t="shared" si="144"/>
        <v>22923</v>
      </c>
      <c r="O305" s="42">
        <f t="shared" si="144"/>
        <v>23254</v>
      </c>
    </row>
    <row r="306" spans="1:17" s="39" customFormat="1">
      <c r="A306" s="41"/>
      <c r="C306" s="60"/>
      <c r="D306" s="42"/>
      <c r="E306" s="42"/>
      <c r="F306" s="42"/>
      <c r="G306" s="42"/>
      <c r="H306" s="42"/>
      <c r="I306" s="42"/>
      <c r="J306" s="42"/>
      <c r="K306" s="42"/>
      <c r="L306" s="42"/>
      <c r="M306" s="42"/>
      <c r="N306" s="42"/>
      <c r="O306" s="42"/>
    </row>
    <row r="307" spans="1:17" s="39" customFormat="1">
      <c r="A307" s="41" t="s">
        <v>4148</v>
      </c>
      <c r="C307" s="60"/>
      <c r="D307" s="42"/>
      <c r="E307" s="42"/>
      <c r="F307" s="42"/>
      <c r="G307" s="42"/>
      <c r="H307" s="42"/>
      <c r="I307" s="42"/>
      <c r="J307" s="42"/>
      <c r="K307" s="42"/>
      <c r="L307" s="42"/>
      <c r="M307" s="42"/>
      <c r="N307" s="42"/>
      <c r="O307" s="42"/>
    </row>
    <row r="308" spans="1:17" s="39" customFormat="1">
      <c r="A308" s="41"/>
      <c r="B308" s="41"/>
      <c r="C308" s="60"/>
      <c r="D308" s="61"/>
      <c r="E308" s="61"/>
      <c r="F308" s="61"/>
      <c r="G308" s="61"/>
      <c r="H308" s="61"/>
      <c r="I308" s="61"/>
      <c r="J308" s="61"/>
      <c r="K308" s="61"/>
      <c r="L308" s="61"/>
      <c r="M308" s="61"/>
      <c r="N308" s="61"/>
      <c r="O308" s="61"/>
    </row>
    <row r="309" spans="1:17" s="39" customFormat="1">
      <c r="A309" s="41"/>
      <c r="B309" s="41"/>
      <c r="C309" s="60"/>
      <c r="D309" s="61"/>
      <c r="E309" s="61"/>
      <c r="F309" s="61"/>
      <c r="G309" s="61"/>
      <c r="H309" s="61"/>
      <c r="I309" s="61"/>
      <c r="J309" s="61"/>
      <c r="K309" s="61"/>
      <c r="L309" s="61"/>
      <c r="M309" s="61"/>
      <c r="N309" s="61"/>
      <c r="O309" s="61"/>
    </row>
    <row r="310" spans="1:17" s="39" customFormat="1">
      <c r="C310" s="60"/>
      <c r="E310" s="51" t="s">
        <v>1526</v>
      </c>
      <c r="F310" s="51"/>
      <c r="G310" s="51"/>
      <c r="H310" s="51"/>
      <c r="I310" s="51"/>
      <c r="J310" s="51"/>
      <c r="K310" s="51"/>
      <c r="L310" s="51"/>
      <c r="M310" s="51"/>
      <c r="N310" s="51"/>
      <c r="O310" s="51"/>
      <c r="P310" s="52"/>
      <c r="Q310" s="53" t="s">
        <v>9479</v>
      </c>
    </row>
    <row r="311" spans="1:17" s="39" customFormat="1">
      <c r="C311" s="60"/>
      <c r="D311" s="40">
        <v>2010</v>
      </c>
      <c r="E311" s="40">
        <v>2011</v>
      </c>
      <c r="F311" s="40">
        <v>2012</v>
      </c>
      <c r="G311" s="40">
        <v>2013</v>
      </c>
      <c r="H311" s="40">
        <v>2014</v>
      </c>
      <c r="I311" s="40">
        <v>2015</v>
      </c>
      <c r="J311" s="40">
        <v>2016</v>
      </c>
      <c r="K311" s="40">
        <v>2017</v>
      </c>
      <c r="L311" s="40">
        <v>2018</v>
      </c>
      <c r="M311" s="40">
        <v>2019</v>
      </c>
      <c r="N311" s="40">
        <v>2020</v>
      </c>
      <c r="O311" s="971" t="s">
        <v>14823</v>
      </c>
      <c r="P311" s="52"/>
      <c r="Q311" s="54" t="s">
        <v>1527</v>
      </c>
    </row>
    <row r="312" spans="1:17" s="39" customFormat="1">
      <c r="A312" s="41" t="s">
        <v>4149</v>
      </c>
      <c r="C312" s="60"/>
      <c r="D312" s="42">
        <f t="shared" ref="D312:I312" si="145">SUM(D313:D346)</f>
        <v>141194</v>
      </c>
      <c r="E312" s="42">
        <f t="shared" si="145"/>
        <v>142529</v>
      </c>
      <c r="F312" s="42">
        <f t="shared" si="145"/>
        <v>142229</v>
      </c>
      <c r="G312" s="42">
        <f t="shared" si="145"/>
        <v>142509</v>
      </c>
      <c r="H312" s="42">
        <f t="shared" si="145"/>
        <v>142854</v>
      </c>
      <c r="I312" s="42">
        <f t="shared" si="145"/>
        <v>140768</v>
      </c>
      <c r="J312" s="42">
        <f t="shared" ref="J312:O312" si="146">SUM(J313:J346)</f>
        <v>137973</v>
      </c>
      <c r="K312" s="42">
        <f t="shared" si="146"/>
        <v>140440</v>
      </c>
      <c r="L312" s="42">
        <f t="shared" si="146"/>
        <v>140815</v>
      </c>
      <c r="M312" s="42">
        <f t="shared" si="146"/>
        <v>140932</v>
      </c>
      <c r="N312" s="42">
        <f t="shared" si="146"/>
        <v>143821</v>
      </c>
      <c r="O312" s="42">
        <f t="shared" si="146"/>
        <v>144832</v>
      </c>
      <c r="P312" s="61"/>
    </row>
    <row r="313" spans="1:17" s="39" customFormat="1">
      <c r="A313" s="41" t="s">
        <v>5387</v>
      </c>
      <c r="B313" s="41" t="s">
        <v>4150</v>
      </c>
      <c r="C313" s="55" t="s">
        <v>260</v>
      </c>
      <c r="D313" s="42">
        <v>4813</v>
      </c>
      <c r="E313" s="42">
        <v>4866</v>
      </c>
      <c r="F313" s="42">
        <v>4797</v>
      </c>
      <c r="G313" s="42">
        <v>4758</v>
      </c>
      <c r="H313" s="56">
        <v>4793</v>
      </c>
      <c r="I313" s="56">
        <v>4763</v>
      </c>
      <c r="J313" s="56">
        <v>4702</v>
      </c>
      <c r="K313" s="56">
        <v>4749</v>
      </c>
      <c r="L313" s="56">
        <v>4701</v>
      </c>
      <c r="M313" s="56">
        <v>4745</v>
      </c>
      <c r="N313" s="56">
        <v>4800</v>
      </c>
      <c r="O313" s="56">
        <v>4812</v>
      </c>
      <c r="Q313" s="41" t="s">
        <v>5568</v>
      </c>
    </row>
    <row r="314" spans="1:17" s="39" customFormat="1">
      <c r="A314" s="41" t="s">
        <v>5389</v>
      </c>
      <c r="B314" s="41" t="s">
        <v>4440</v>
      </c>
      <c r="C314" s="55" t="s">
        <v>261</v>
      </c>
      <c r="D314" s="42">
        <v>4832</v>
      </c>
      <c r="E314" s="42">
        <v>4886</v>
      </c>
      <c r="F314" s="42">
        <v>4828</v>
      </c>
      <c r="G314" s="42">
        <v>4851</v>
      </c>
      <c r="H314" s="58">
        <v>4887</v>
      </c>
      <c r="I314" s="58">
        <v>4847</v>
      </c>
      <c r="J314" s="58">
        <v>4809</v>
      </c>
      <c r="K314" s="58">
        <v>4902</v>
      </c>
      <c r="L314" s="58">
        <v>4857</v>
      </c>
      <c r="M314" s="58">
        <v>4840</v>
      </c>
      <c r="N314" s="58">
        <v>4925</v>
      </c>
      <c r="O314" s="58">
        <v>4933</v>
      </c>
      <c r="Q314" s="41" t="s">
        <v>5570</v>
      </c>
    </row>
    <row r="315" spans="1:17" s="39" customFormat="1">
      <c r="A315" s="41" t="s">
        <v>5391</v>
      </c>
      <c r="B315" s="41" t="s">
        <v>4195</v>
      </c>
      <c r="C315" s="55" t="s">
        <v>262</v>
      </c>
      <c r="D315" s="42">
        <v>2291</v>
      </c>
      <c r="E315" s="42">
        <v>2311</v>
      </c>
      <c r="F315" s="42">
        <v>2292</v>
      </c>
      <c r="G315" s="42">
        <v>2283</v>
      </c>
      <c r="H315" s="58">
        <v>2283</v>
      </c>
      <c r="I315" s="58">
        <v>2245</v>
      </c>
      <c r="J315" s="58">
        <v>2209</v>
      </c>
      <c r="K315" s="58">
        <v>2255</v>
      </c>
      <c r="L315" s="58">
        <v>2256</v>
      </c>
      <c r="M315" s="58">
        <v>2284</v>
      </c>
      <c r="N315" s="58">
        <v>2336</v>
      </c>
      <c r="O315" s="58">
        <v>2337</v>
      </c>
      <c r="Q315" s="41" t="s">
        <v>5570</v>
      </c>
    </row>
    <row r="316" spans="1:17" s="39" customFormat="1">
      <c r="A316" s="41" t="s">
        <v>5393</v>
      </c>
      <c r="B316" s="41" t="s">
        <v>4196</v>
      </c>
      <c r="C316" s="55" t="s">
        <v>263</v>
      </c>
      <c r="D316" s="42">
        <v>4195</v>
      </c>
      <c r="E316" s="42">
        <v>4181</v>
      </c>
      <c r="F316" s="42">
        <v>4156</v>
      </c>
      <c r="G316" s="42">
        <v>4192</v>
      </c>
      <c r="H316" s="58">
        <v>4174</v>
      </c>
      <c r="I316" s="58">
        <v>4098</v>
      </c>
      <c r="J316" s="58">
        <v>3975</v>
      </c>
      <c r="K316" s="58">
        <v>4022</v>
      </c>
      <c r="L316" s="58">
        <v>4063</v>
      </c>
      <c r="M316" s="58">
        <v>4054</v>
      </c>
      <c r="N316" s="58">
        <v>4127</v>
      </c>
      <c r="O316" s="58">
        <v>4137</v>
      </c>
      <c r="Q316" s="41" t="s">
        <v>5570</v>
      </c>
    </row>
    <row r="317" spans="1:17" s="39" customFormat="1">
      <c r="A317" s="59">
        <v>5</v>
      </c>
      <c r="B317" s="41" t="s">
        <v>4197</v>
      </c>
      <c r="C317" s="55" t="s">
        <v>264</v>
      </c>
      <c r="D317" s="57">
        <v>4363</v>
      </c>
      <c r="E317" s="57">
        <v>4398</v>
      </c>
      <c r="F317" s="57">
        <v>4429</v>
      </c>
      <c r="G317" s="57">
        <v>4472</v>
      </c>
      <c r="H317" s="56">
        <v>4515</v>
      </c>
      <c r="I317" s="56">
        <v>4475</v>
      </c>
      <c r="J317" s="56">
        <v>4418</v>
      </c>
      <c r="K317" s="56">
        <v>4472</v>
      </c>
      <c r="L317" s="56">
        <v>4514</v>
      </c>
      <c r="M317" s="56">
        <v>4495</v>
      </c>
      <c r="N317" s="56">
        <v>4556</v>
      </c>
      <c r="O317" s="56">
        <v>4581</v>
      </c>
      <c r="Q317" s="41" t="s">
        <v>5568</v>
      </c>
    </row>
    <row r="318" spans="1:17" s="39" customFormat="1">
      <c r="A318" s="59">
        <v>6</v>
      </c>
      <c r="B318" s="41" t="s">
        <v>4198</v>
      </c>
      <c r="C318" s="55" t="s">
        <v>265</v>
      </c>
      <c r="D318" s="42">
        <v>2174</v>
      </c>
      <c r="E318" s="42">
        <v>2185</v>
      </c>
      <c r="F318" s="42">
        <v>2189</v>
      </c>
      <c r="G318" s="42">
        <v>2174</v>
      </c>
      <c r="H318" s="56">
        <v>2184</v>
      </c>
      <c r="I318" s="56">
        <v>2155</v>
      </c>
      <c r="J318" s="56">
        <v>2124</v>
      </c>
      <c r="K318" s="56">
        <v>2152</v>
      </c>
      <c r="L318" s="56">
        <v>2133</v>
      </c>
      <c r="M318" s="56">
        <v>2140</v>
      </c>
      <c r="N318" s="56">
        <v>2171</v>
      </c>
      <c r="O318" s="56">
        <v>2180</v>
      </c>
      <c r="Q318" s="41" t="s">
        <v>5568</v>
      </c>
    </row>
    <row r="319" spans="1:17" s="39" customFormat="1">
      <c r="A319" s="59">
        <v>7</v>
      </c>
      <c r="B319" s="41" t="s">
        <v>9474</v>
      </c>
      <c r="C319" s="55" t="s">
        <v>266</v>
      </c>
      <c r="D319" s="42">
        <v>4655</v>
      </c>
      <c r="E319" s="42">
        <v>4647</v>
      </c>
      <c r="F319" s="42">
        <v>4688</v>
      </c>
      <c r="G319" s="42">
        <v>4645</v>
      </c>
      <c r="H319" s="58">
        <v>4639</v>
      </c>
      <c r="I319" s="58">
        <v>4547</v>
      </c>
      <c r="J319" s="58">
        <v>4470</v>
      </c>
      <c r="K319" s="58">
        <v>4506</v>
      </c>
      <c r="L319" s="58">
        <v>4515</v>
      </c>
      <c r="M319" s="58">
        <v>4523</v>
      </c>
      <c r="N319" s="58">
        <v>4609</v>
      </c>
      <c r="O319" s="58">
        <v>4614</v>
      </c>
      <c r="Q319" s="41" t="s">
        <v>5570</v>
      </c>
    </row>
    <row r="320" spans="1:17" s="39" customFormat="1">
      <c r="A320" s="41" t="s">
        <v>5420</v>
      </c>
      <c r="B320" s="41" t="s">
        <v>4199</v>
      </c>
      <c r="C320" s="55" t="s">
        <v>267</v>
      </c>
      <c r="D320" s="42">
        <v>4642</v>
      </c>
      <c r="E320" s="42">
        <v>4687</v>
      </c>
      <c r="F320" s="42">
        <v>4655</v>
      </c>
      <c r="G320" s="42">
        <v>4606</v>
      </c>
      <c r="H320" s="56">
        <v>4624</v>
      </c>
      <c r="I320" s="56">
        <v>4558</v>
      </c>
      <c r="J320" s="56">
        <v>4404</v>
      </c>
      <c r="K320" s="56">
        <v>4507</v>
      </c>
      <c r="L320" s="56">
        <v>4470</v>
      </c>
      <c r="M320" s="56">
        <v>4518</v>
      </c>
      <c r="N320" s="56">
        <v>4552</v>
      </c>
      <c r="O320" s="56">
        <v>4578</v>
      </c>
      <c r="Q320" s="41" t="s">
        <v>5568</v>
      </c>
    </row>
    <row r="321" spans="1:17" s="39" customFormat="1">
      <c r="A321" s="41" t="s">
        <v>5422</v>
      </c>
      <c r="B321" s="41" t="s">
        <v>4200</v>
      </c>
      <c r="C321" s="55" t="s">
        <v>268</v>
      </c>
      <c r="D321" s="42">
        <v>2642</v>
      </c>
      <c r="E321" s="42">
        <v>2679</v>
      </c>
      <c r="F321" s="42">
        <v>2671</v>
      </c>
      <c r="G321" s="42">
        <v>2704</v>
      </c>
      <c r="H321" s="58">
        <v>2711</v>
      </c>
      <c r="I321" s="58">
        <v>2650</v>
      </c>
      <c r="J321" s="58">
        <v>2579</v>
      </c>
      <c r="K321" s="58">
        <v>2627</v>
      </c>
      <c r="L321" s="58">
        <v>2575</v>
      </c>
      <c r="M321" s="58">
        <v>2615</v>
      </c>
      <c r="N321" s="58">
        <v>2746</v>
      </c>
      <c r="O321" s="58">
        <v>2774</v>
      </c>
      <c r="Q321" s="41" t="s">
        <v>5570</v>
      </c>
    </row>
    <row r="322" spans="1:17" s="39" customFormat="1">
      <c r="A322" s="59">
        <v>10</v>
      </c>
      <c r="B322" s="41" t="s">
        <v>4201</v>
      </c>
      <c r="C322" s="55" t="s">
        <v>269</v>
      </c>
      <c r="D322" s="42">
        <v>5183</v>
      </c>
      <c r="E322" s="42">
        <v>5259</v>
      </c>
      <c r="F322" s="42">
        <v>5204</v>
      </c>
      <c r="G322" s="42">
        <v>5165</v>
      </c>
      <c r="H322" s="56">
        <v>5099</v>
      </c>
      <c r="I322" s="56">
        <v>5024</v>
      </c>
      <c r="J322" s="56">
        <v>4959</v>
      </c>
      <c r="K322" s="56">
        <v>5041</v>
      </c>
      <c r="L322" s="56">
        <v>5051</v>
      </c>
      <c r="M322" s="56">
        <v>5092</v>
      </c>
      <c r="N322" s="56">
        <v>5142</v>
      </c>
      <c r="O322" s="56">
        <v>5173</v>
      </c>
      <c r="Q322" s="41" t="s">
        <v>5568</v>
      </c>
    </row>
    <row r="323" spans="1:17" s="39" customFormat="1">
      <c r="A323" s="59">
        <v>11</v>
      </c>
      <c r="B323" s="41" t="s">
        <v>4202</v>
      </c>
      <c r="C323" s="55" t="s">
        <v>270</v>
      </c>
      <c r="D323" s="42">
        <v>4538</v>
      </c>
      <c r="E323" s="42">
        <v>4565</v>
      </c>
      <c r="F323" s="42">
        <v>4558</v>
      </c>
      <c r="G323" s="42">
        <v>4625</v>
      </c>
      <c r="H323" s="56">
        <v>4637</v>
      </c>
      <c r="I323" s="56">
        <v>4568</v>
      </c>
      <c r="J323" s="56">
        <v>4496</v>
      </c>
      <c r="K323" s="56">
        <v>4558</v>
      </c>
      <c r="L323" s="56">
        <v>4566</v>
      </c>
      <c r="M323" s="56">
        <v>4547</v>
      </c>
      <c r="N323" s="56">
        <v>4560</v>
      </c>
      <c r="O323" s="56">
        <v>4578</v>
      </c>
      <c r="Q323" s="41" t="s">
        <v>5568</v>
      </c>
    </row>
    <row r="324" spans="1:17" s="39" customFormat="1">
      <c r="A324" s="59">
        <v>12</v>
      </c>
      <c r="B324" s="41" t="s">
        <v>4203</v>
      </c>
      <c r="C324" s="55" t="s">
        <v>9268</v>
      </c>
      <c r="D324" s="42">
        <v>2387</v>
      </c>
      <c r="E324" s="42">
        <v>2387</v>
      </c>
      <c r="F324" s="42">
        <v>2380</v>
      </c>
      <c r="G324" s="42">
        <v>2416</v>
      </c>
      <c r="H324" s="58">
        <v>2443</v>
      </c>
      <c r="I324" s="58">
        <v>2409</v>
      </c>
      <c r="J324" s="58">
        <v>2350</v>
      </c>
      <c r="K324" s="58">
        <v>2410</v>
      </c>
      <c r="L324" s="58">
        <v>2429</v>
      </c>
      <c r="M324" s="58">
        <v>2416</v>
      </c>
      <c r="N324" s="58">
        <v>2479</v>
      </c>
      <c r="O324" s="58">
        <v>2504</v>
      </c>
      <c r="Q324" s="41" t="s">
        <v>5570</v>
      </c>
    </row>
    <row r="325" spans="1:17" s="39" customFormat="1">
      <c r="A325" s="41" t="s">
        <v>5429</v>
      </c>
      <c r="B325" s="41" t="s">
        <v>1396</v>
      </c>
      <c r="C325" s="55" t="s">
        <v>271</v>
      </c>
      <c r="D325" s="42">
        <v>5000</v>
      </c>
      <c r="E325" s="42">
        <v>4992</v>
      </c>
      <c r="F325" s="42">
        <v>4974</v>
      </c>
      <c r="G325" s="42">
        <v>4919</v>
      </c>
      <c r="H325" s="56">
        <v>4923</v>
      </c>
      <c r="I325" s="56">
        <v>4843</v>
      </c>
      <c r="J325" s="56">
        <v>4772</v>
      </c>
      <c r="K325" s="56">
        <v>4831</v>
      </c>
      <c r="L325" s="56">
        <v>4831</v>
      </c>
      <c r="M325" s="56">
        <v>4741</v>
      </c>
      <c r="N325" s="56">
        <v>4836</v>
      </c>
      <c r="O325" s="56">
        <v>4867</v>
      </c>
      <c r="Q325" s="41" t="s">
        <v>5568</v>
      </c>
    </row>
    <row r="326" spans="1:17" s="39" customFormat="1">
      <c r="A326" s="41" t="s">
        <v>5431</v>
      </c>
      <c r="B326" s="41" t="s">
        <v>1397</v>
      </c>
      <c r="C326" s="55" t="s">
        <v>272</v>
      </c>
      <c r="D326" s="42">
        <v>4797</v>
      </c>
      <c r="E326" s="42">
        <v>4920</v>
      </c>
      <c r="F326" s="42">
        <v>4918</v>
      </c>
      <c r="G326" s="42">
        <v>4906</v>
      </c>
      <c r="H326" s="58">
        <v>4957</v>
      </c>
      <c r="I326" s="58">
        <v>4846</v>
      </c>
      <c r="J326" s="58">
        <v>4720</v>
      </c>
      <c r="K326" s="58">
        <v>4845</v>
      </c>
      <c r="L326" s="58">
        <v>4860</v>
      </c>
      <c r="M326" s="58">
        <v>4882</v>
      </c>
      <c r="N326" s="58">
        <v>5051</v>
      </c>
      <c r="O326" s="58">
        <v>5086</v>
      </c>
      <c r="Q326" s="41" t="s">
        <v>5570</v>
      </c>
    </row>
    <row r="327" spans="1:17" s="39" customFormat="1">
      <c r="A327" s="59">
        <v>15</v>
      </c>
      <c r="B327" s="41" t="s">
        <v>44</v>
      </c>
      <c r="C327" s="55" t="s">
        <v>9269</v>
      </c>
      <c r="D327" s="42">
        <v>5371</v>
      </c>
      <c r="E327" s="42">
        <v>5406</v>
      </c>
      <c r="F327" s="42">
        <v>5436</v>
      </c>
      <c r="G327" s="42">
        <v>5423</v>
      </c>
      <c r="H327" s="58">
        <v>5394</v>
      </c>
      <c r="I327" s="58">
        <v>5286</v>
      </c>
      <c r="J327" s="58">
        <v>5237</v>
      </c>
      <c r="K327" s="58">
        <v>5332</v>
      </c>
      <c r="L327" s="58">
        <v>5286</v>
      </c>
      <c r="M327" s="58">
        <v>5272</v>
      </c>
      <c r="N327" s="58">
        <v>5415</v>
      </c>
      <c r="O327" s="58">
        <v>5490</v>
      </c>
      <c r="Q327" s="41" t="s">
        <v>5570</v>
      </c>
    </row>
    <row r="328" spans="1:17" s="39" customFormat="1">
      <c r="A328" s="59">
        <v>16</v>
      </c>
      <c r="B328" s="41" t="s">
        <v>45</v>
      </c>
      <c r="C328" s="55" t="s">
        <v>9270</v>
      </c>
      <c r="D328" s="42">
        <v>2124</v>
      </c>
      <c r="E328" s="42">
        <v>2100</v>
      </c>
      <c r="F328" s="42">
        <v>2154</v>
      </c>
      <c r="G328" s="42">
        <v>2127</v>
      </c>
      <c r="H328" s="58">
        <v>2134</v>
      </c>
      <c r="I328" s="58">
        <v>2096</v>
      </c>
      <c r="J328" s="58">
        <v>2055</v>
      </c>
      <c r="K328" s="58">
        <v>2107</v>
      </c>
      <c r="L328" s="58">
        <v>2114</v>
      </c>
      <c r="M328" s="58">
        <v>2115</v>
      </c>
      <c r="N328" s="58">
        <v>2189</v>
      </c>
      <c r="O328" s="58">
        <v>2196</v>
      </c>
      <c r="Q328" s="41" t="s">
        <v>5570</v>
      </c>
    </row>
    <row r="329" spans="1:17" s="39" customFormat="1">
      <c r="A329" s="41" t="s">
        <v>5436</v>
      </c>
      <c r="B329" s="41" t="s">
        <v>46</v>
      </c>
      <c r="C329" s="55" t="s">
        <v>273</v>
      </c>
      <c r="D329" s="42">
        <v>2661</v>
      </c>
      <c r="E329" s="42">
        <v>2697</v>
      </c>
      <c r="F329" s="42">
        <v>2701</v>
      </c>
      <c r="G329" s="42">
        <v>2667</v>
      </c>
      <c r="H329" s="56">
        <v>2714</v>
      </c>
      <c r="I329" s="56">
        <v>2703</v>
      </c>
      <c r="J329" s="56">
        <v>2634</v>
      </c>
      <c r="K329" s="56">
        <v>2687</v>
      </c>
      <c r="L329" s="56">
        <v>2662</v>
      </c>
      <c r="M329" s="56">
        <v>2678</v>
      </c>
      <c r="N329" s="56">
        <v>2742</v>
      </c>
      <c r="O329" s="56">
        <v>2742</v>
      </c>
      <c r="Q329" s="41" t="s">
        <v>5568</v>
      </c>
    </row>
    <row r="330" spans="1:17" s="39" customFormat="1">
      <c r="A330" s="41" t="s">
        <v>5437</v>
      </c>
      <c r="B330" s="41" t="s">
        <v>4207</v>
      </c>
      <c r="C330" s="55" t="s">
        <v>274</v>
      </c>
      <c r="D330" s="42">
        <v>5072</v>
      </c>
      <c r="E330" s="42">
        <v>5114</v>
      </c>
      <c r="F330" s="42">
        <v>5150</v>
      </c>
      <c r="G330" s="42">
        <v>5175</v>
      </c>
      <c r="H330" s="56">
        <v>5193</v>
      </c>
      <c r="I330" s="56">
        <v>5099</v>
      </c>
      <c r="J330" s="56">
        <v>4928</v>
      </c>
      <c r="K330" s="56">
        <v>5007</v>
      </c>
      <c r="L330" s="56">
        <v>5038</v>
      </c>
      <c r="M330" s="56">
        <v>5022</v>
      </c>
      <c r="N330" s="56">
        <v>5066</v>
      </c>
      <c r="O330" s="56">
        <v>5102</v>
      </c>
      <c r="Q330" s="41" t="s">
        <v>5568</v>
      </c>
    </row>
    <row r="331" spans="1:17" s="39" customFormat="1">
      <c r="A331" s="41" t="s">
        <v>5439</v>
      </c>
      <c r="B331" s="41" t="s">
        <v>4208</v>
      </c>
      <c r="C331" s="55" t="s">
        <v>275</v>
      </c>
      <c r="D331" s="42">
        <v>4501</v>
      </c>
      <c r="E331" s="42">
        <v>4517</v>
      </c>
      <c r="F331" s="42">
        <v>4522</v>
      </c>
      <c r="G331" s="42">
        <v>4615</v>
      </c>
      <c r="H331" s="58">
        <v>4613</v>
      </c>
      <c r="I331" s="58">
        <v>4562</v>
      </c>
      <c r="J331" s="58">
        <v>4502</v>
      </c>
      <c r="K331" s="58">
        <v>4592</v>
      </c>
      <c r="L331" s="58">
        <v>4579</v>
      </c>
      <c r="M331" s="58">
        <v>4588</v>
      </c>
      <c r="N331" s="58">
        <v>4682</v>
      </c>
      <c r="O331" s="58">
        <v>4710</v>
      </c>
      <c r="Q331" s="41" t="s">
        <v>5570</v>
      </c>
    </row>
    <row r="332" spans="1:17" s="39" customFormat="1">
      <c r="A332" s="41" t="s">
        <v>5441</v>
      </c>
      <c r="B332" s="41" t="s">
        <v>4209</v>
      </c>
      <c r="C332" s="55" t="s">
        <v>276</v>
      </c>
      <c r="D332" s="42">
        <v>5046</v>
      </c>
      <c r="E332" s="42">
        <v>5054</v>
      </c>
      <c r="F332" s="42">
        <v>5007</v>
      </c>
      <c r="G332" s="42">
        <v>4990</v>
      </c>
      <c r="H332" s="56">
        <v>5023</v>
      </c>
      <c r="I332" s="56">
        <v>4992</v>
      </c>
      <c r="J332" s="56">
        <v>4905</v>
      </c>
      <c r="K332" s="56">
        <v>5029</v>
      </c>
      <c r="L332" s="56">
        <v>5030</v>
      </c>
      <c r="M332" s="56">
        <v>5034</v>
      </c>
      <c r="N332" s="56">
        <v>5144</v>
      </c>
      <c r="O332" s="56">
        <v>5185</v>
      </c>
      <c r="Q332" s="41" t="s">
        <v>5568</v>
      </c>
    </row>
    <row r="333" spans="1:17" s="39" customFormat="1">
      <c r="A333" s="41" t="s">
        <v>5886</v>
      </c>
      <c r="B333" s="41" t="s">
        <v>4210</v>
      </c>
      <c r="C333" s="55" t="s">
        <v>277</v>
      </c>
      <c r="D333" s="42">
        <v>4803</v>
      </c>
      <c r="E333" s="42">
        <v>4917</v>
      </c>
      <c r="F333" s="42">
        <v>4902</v>
      </c>
      <c r="G333" s="42">
        <v>4901</v>
      </c>
      <c r="H333" s="58">
        <v>4846</v>
      </c>
      <c r="I333" s="58">
        <v>4762</v>
      </c>
      <c r="J333" s="58">
        <v>4686</v>
      </c>
      <c r="K333" s="58">
        <v>4841</v>
      </c>
      <c r="L333" s="58">
        <v>4910</v>
      </c>
      <c r="M333" s="58">
        <v>4908</v>
      </c>
      <c r="N333" s="58">
        <v>5037</v>
      </c>
      <c r="O333" s="58">
        <v>5084</v>
      </c>
      <c r="Q333" s="41" t="s">
        <v>5570</v>
      </c>
    </row>
    <row r="334" spans="1:17" s="39" customFormat="1">
      <c r="A334" s="41" t="s">
        <v>5888</v>
      </c>
      <c r="B334" s="41" t="s">
        <v>1398</v>
      </c>
      <c r="C334" s="55" t="s">
        <v>278</v>
      </c>
      <c r="D334" s="42">
        <v>2402</v>
      </c>
      <c r="E334" s="42">
        <v>2392</v>
      </c>
      <c r="F334" s="42">
        <v>2380</v>
      </c>
      <c r="G334" s="42">
        <v>2350</v>
      </c>
      <c r="H334" s="56">
        <v>2400</v>
      </c>
      <c r="I334" s="56">
        <v>2406</v>
      </c>
      <c r="J334" s="56">
        <v>2353</v>
      </c>
      <c r="K334" s="56">
        <v>2439</v>
      </c>
      <c r="L334" s="56">
        <v>2430</v>
      </c>
      <c r="M334" s="56">
        <v>2463</v>
      </c>
      <c r="N334" s="56">
        <v>2533</v>
      </c>
      <c r="O334" s="56">
        <v>2564</v>
      </c>
      <c r="Q334" s="41" t="s">
        <v>5568</v>
      </c>
    </row>
    <row r="335" spans="1:17" s="39" customFormat="1">
      <c r="A335" s="41" t="s">
        <v>5889</v>
      </c>
      <c r="B335" s="41" t="s">
        <v>1399</v>
      </c>
      <c r="C335" s="55" t="s">
        <v>279</v>
      </c>
      <c r="D335" s="42">
        <v>4603</v>
      </c>
      <c r="E335" s="42">
        <v>4679</v>
      </c>
      <c r="F335" s="42">
        <v>4659</v>
      </c>
      <c r="G335" s="42">
        <v>4668</v>
      </c>
      <c r="H335" s="56">
        <v>4646</v>
      </c>
      <c r="I335" s="56">
        <v>4497</v>
      </c>
      <c r="J335" s="56">
        <v>4401</v>
      </c>
      <c r="K335" s="56">
        <v>4523</v>
      </c>
      <c r="L335" s="56">
        <v>4501</v>
      </c>
      <c r="M335" s="56">
        <v>4525</v>
      </c>
      <c r="N335" s="56">
        <v>4647</v>
      </c>
      <c r="O335" s="56">
        <v>4669</v>
      </c>
      <c r="Q335" s="41" t="s">
        <v>5568</v>
      </c>
    </row>
    <row r="336" spans="1:17" s="39" customFormat="1">
      <c r="A336" s="41" t="s">
        <v>4431</v>
      </c>
      <c r="B336" s="41" t="s">
        <v>1400</v>
      </c>
      <c r="C336" s="55" t="s">
        <v>280</v>
      </c>
      <c r="D336" s="42">
        <v>4279</v>
      </c>
      <c r="E336" s="42">
        <v>4366</v>
      </c>
      <c r="F336" s="42">
        <v>4345</v>
      </c>
      <c r="G336" s="42">
        <v>4336</v>
      </c>
      <c r="H336" s="58">
        <v>4327</v>
      </c>
      <c r="I336" s="58">
        <v>4263</v>
      </c>
      <c r="J336" s="58">
        <v>4180</v>
      </c>
      <c r="K336" s="58">
        <v>4272</v>
      </c>
      <c r="L336" s="58">
        <v>4248</v>
      </c>
      <c r="M336" s="58">
        <v>4211</v>
      </c>
      <c r="N336" s="58">
        <v>4322</v>
      </c>
      <c r="O336" s="58">
        <v>4355</v>
      </c>
      <c r="Q336" s="41" t="s">
        <v>5570</v>
      </c>
    </row>
    <row r="337" spans="1:17" s="39" customFormat="1">
      <c r="A337" s="41" t="s">
        <v>4432</v>
      </c>
      <c r="B337" s="41" t="s">
        <v>6154</v>
      </c>
      <c r="C337" s="55" t="s">
        <v>281</v>
      </c>
      <c r="D337" s="42">
        <v>4933</v>
      </c>
      <c r="E337" s="42">
        <v>5023</v>
      </c>
      <c r="F337" s="42">
        <v>4976</v>
      </c>
      <c r="G337" s="42">
        <v>5012</v>
      </c>
      <c r="H337" s="58">
        <v>5027</v>
      </c>
      <c r="I337" s="58">
        <v>4996</v>
      </c>
      <c r="J337" s="58">
        <v>4807</v>
      </c>
      <c r="K337" s="58">
        <v>4881</v>
      </c>
      <c r="L337" s="58">
        <v>4945</v>
      </c>
      <c r="M337" s="58">
        <v>5007</v>
      </c>
      <c r="N337" s="58">
        <v>5139</v>
      </c>
      <c r="O337" s="58">
        <v>5177</v>
      </c>
      <c r="Q337" s="41" t="s">
        <v>5570</v>
      </c>
    </row>
    <row r="338" spans="1:17" s="39" customFormat="1">
      <c r="A338" s="41" t="s">
        <v>4434</v>
      </c>
      <c r="B338" s="41" t="s">
        <v>1401</v>
      </c>
      <c r="C338" s="55" t="s">
        <v>282</v>
      </c>
      <c r="D338" s="42">
        <v>4658</v>
      </c>
      <c r="E338" s="42">
        <v>4738</v>
      </c>
      <c r="F338" s="42">
        <v>4777</v>
      </c>
      <c r="G338" s="42">
        <v>4836</v>
      </c>
      <c r="H338" s="58">
        <v>4840</v>
      </c>
      <c r="I338" s="58">
        <v>4771</v>
      </c>
      <c r="J338" s="58">
        <v>4755</v>
      </c>
      <c r="K338" s="58">
        <v>4838</v>
      </c>
      <c r="L338" s="58">
        <v>4900</v>
      </c>
      <c r="M338" s="58">
        <v>4887</v>
      </c>
      <c r="N338" s="58">
        <v>4965</v>
      </c>
      <c r="O338" s="58">
        <v>5013</v>
      </c>
      <c r="Q338" s="41" t="s">
        <v>5570</v>
      </c>
    </row>
    <row r="339" spans="1:17" s="39" customFormat="1">
      <c r="A339" s="41" t="s">
        <v>4533</v>
      </c>
      <c r="B339" s="41" t="s">
        <v>1402</v>
      </c>
      <c r="C339" s="55" t="s">
        <v>283</v>
      </c>
      <c r="D339" s="42">
        <v>2226</v>
      </c>
      <c r="E339" s="42">
        <v>2225</v>
      </c>
      <c r="F339" s="42">
        <v>2208</v>
      </c>
      <c r="G339" s="42">
        <v>2215</v>
      </c>
      <c r="H339" s="58">
        <v>2187</v>
      </c>
      <c r="I339" s="58">
        <v>2157</v>
      </c>
      <c r="J339" s="58">
        <v>2100</v>
      </c>
      <c r="K339" s="58">
        <v>2142</v>
      </c>
      <c r="L339" s="58">
        <v>2267</v>
      </c>
      <c r="M339" s="58">
        <v>2335</v>
      </c>
      <c r="N339" s="58">
        <v>2342</v>
      </c>
      <c r="O339" s="58">
        <v>2360</v>
      </c>
      <c r="Q339" s="41" t="s">
        <v>5570</v>
      </c>
    </row>
    <row r="340" spans="1:17" s="39" customFormat="1">
      <c r="A340" s="41" t="s">
        <v>4535</v>
      </c>
      <c r="B340" s="41" t="s">
        <v>1403</v>
      </c>
      <c r="C340" s="55" t="s">
        <v>284</v>
      </c>
      <c r="D340" s="42">
        <v>4835</v>
      </c>
      <c r="E340" s="42">
        <v>4887</v>
      </c>
      <c r="F340" s="42">
        <v>4866</v>
      </c>
      <c r="G340" s="42">
        <v>4866</v>
      </c>
      <c r="H340" s="58">
        <v>4932</v>
      </c>
      <c r="I340" s="58">
        <v>4941</v>
      </c>
      <c r="J340" s="58">
        <v>4845</v>
      </c>
      <c r="K340" s="58">
        <v>4934</v>
      </c>
      <c r="L340" s="58">
        <v>4949</v>
      </c>
      <c r="M340" s="58">
        <v>4970</v>
      </c>
      <c r="N340" s="58">
        <v>5035</v>
      </c>
      <c r="O340" s="58">
        <v>5089</v>
      </c>
      <c r="Q340" s="41" t="s">
        <v>5570</v>
      </c>
    </row>
    <row r="341" spans="1:17" s="39" customFormat="1">
      <c r="A341" s="41" t="s">
        <v>4537</v>
      </c>
      <c r="B341" s="41" t="s">
        <v>1404</v>
      </c>
      <c r="C341" s="55" t="s">
        <v>285</v>
      </c>
      <c r="D341" s="42">
        <v>4710</v>
      </c>
      <c r="E341" s="42">
        <v>4797</v>
      </c>
      <c r="F341" s="42">
        <v>4748</v>
      </c>
      <c r="G341" s="42">
        <v>4744</v>
      </c>
      <c r="H341" s="58">
        <v>4770</v>
      </c>
      <c r="I341" s="58">
        <v>4740</v>
      </c>
      <c r="J341" s="58">
        <v>4592</v>
      </c>
      <c r="K341" s="58">
        <v>4660</v>
      </c>
      <c r="L341" s="58">
        <v>4806</v>
      </c>
      <c r="M341" s="58">
        <v>4858</v>
      </c>
      <c r="N341" s="58">
        <v>5088</v>
      </c>
      <c r="O341" s="58">
        <v>5150</v>
      </c>
      <c r="Q341" s="41" t="s">
        <v>5570</v>
      </c>
    </row>
    <row r="342" spans="1:17" s="39" customFormat="1">
      <c r="A342" s="41" t="s">
        <v>4539</v>
      </c>
      <c r="B342" s="41" t="s">
        <v>1405</v>
      </c>
      <c r="C342" s="55" t="s">
        <v>286</v>
      </c>
      <c r="D342" s="42">
        <v>4159</v>
      </c>
      <c r="E342" s="42">
        <v>4206</v>
      </c>
      <c r="F342" s="42">
        <v>4280</v>
      </c>
      <c r="G342" s="56">
        <v>4332</v>
      </c>
      <c r="H342" s="56">
        <v>4348</v>
      </c>
      <c r="I342" s="56">
        <v>4296</v>
      </c>
      <c r="J342" s="56">
        <v>4211</v>
      </c>
      <c r="K342" s="56">
        <v>4236</v>
      </c>
      <c r="L342" s="56">
        <v>4209</v>
      </c>
      <c r="M342" s="56">
        <v>4211</v>
      </c>
      <c r="N342" s="56">
        <v>4251</v>
      </c>
      <c r="O342" s="56">
        <v>4254</v>
      </c>
      <c r="Q342" s="41" t="s">
        <v>5568</v>
      </c>
    </row>
    <row r="343" spans="1:17" s="39" customFormat="1">
      <c r="A343" s="41" t="s">
        <v>6159</v>
      </c>
      <c r="B343" s="41" t="s">
        <v>1406</v>
      </c>
      <c r="C343" s="55" t="s">
        <v>287</v>
      </c>
      <c r="D343" s="42">
        <v>4822</v>
      </c>
      <c r="E343" s="42">
        <v>4874</v>
      </c>
      <c r="F343" s="42">
        <v>4905</v>
      </c>
      <c r="G343" s="56">
        <v>4957</v>
      </c>
      <c r="H343" s="56">
        <v>5043</v>
      </c>
      <c r="I343" s="56">
        <v>4897</v>
      </c>
      <c r="J343" s="56">
        <v>4890</v>
      </c>
      <c r="K343" s="56">
        <v>4926</v>
      </c>
      <c r="L343" s="56">
        <v>4923</v>
      </c>
      <c r="M343" s="56">
        <v>4884</v>
      </c>
      <c r="N343" s="56">
        <v>4964</v>
      </c>
      <c r="O343" s="56">
        <v>5032</v>
      </c>
      <c r="Q343" s="41" t="s">
        <v>5568</v>
      </c>
    </row>
    <row r="344" spans="1:17" s="39" customFormat="1">
      <c r="A344" s="41" t="s">
        <v>6158</v>
      </c>
      <c r="B344" s="41" t="s">
        <v>1407</v>
      </c>
      <c r="C344" s="55" t="s">
        <v>288</v>
      </c>
      <c r="D344" s="44">
        <v>4842</v>
      </c>
      <c r="E344" s="44">
        <v>4841</v>
      </c>
      <c r="F344" s="44">
        <v>4791</v>
      </c>
      <c r="G344" s="56">
        <v>4840</v>
      </c>
      <c r="H344" s="56">
        <v>4824</v>
      </c>
      <c r="I344" s="56">
        <v>4770</v>
      </c>
      <c r="J344" s="56">
        <v>4611</v>
      </c>
      <c r="K344" s="56">
        <v>4718</v>
      </c>
      <c r="L344" s="56">
        <v>4781</v>
      </c>
      <c r="M344" s="56">
        <v>4751</v>
      </c>
      <c r="N344" s="56">
        <v>4908</v>
      </c>
      <c r="O344" s="56">
        <v>4968</v>
      </c>
      <c r="Q344" s="41" t="s">
        <v>5568</v>
      </c>
    </row>
    <row r="345" spans="1:17" s="39" customFormat="1">
      <c r="A345" s="41" t="s">
        <v>6160</v>
      </c>
      <c r="B345" s="41" t="s">
        <v>61</v>
      </c>
      <c r="C345" s="55" t="s">
        <v>289</v>
      </c>
      <c r="D345" s="44">
        <v>4739</v>
      </c>
      <c r="E345" s="44">
        <v>4776</v>
      </c>
      <c r="F345" s="44">
        <v>4758</v>
      </c>
      <c r="G345" s="58">
        <v>4802</v>
      </c>
      <c r="H345" s="58">
        <v>4775</v>
      </c>
      <c r="I345" s="58">
        <v>4676</v>
      </c>
      <c r="J345" s="58">
        <v>4569</v>
      </c>
      <c r="K345" s="58">
        <v>4644</v>
      </c>
      <c r="L345" s="58">
        <v>4637</v>
      </c>
      <c r="M345" s="58">
        <v>4600</v>
      </c>
      <c r="N345" s="58">
        <v>4683</v>
      </c>
      <c r="O345" s="58">
        <v>4718</v>
      </c>
      <c r="Q345" s="41" t="s">
        <v>5568</v>
      </c>
    </row>
    <row r="346" spans="1:17" s="39" customFormat="1">
      <c r="A346" s="59">
        <v>34</v>
      </c>
      <c r="B346" s="41" t="s">
        <v>62</v>
      </c>
      <c r="C346" s="55" t="s">
        <v>290</v>
      </c>
      <c r="D346" s="44">
        <v>3896</v>
      </c>
      <c r="E346" s="44">
        <v>3957</v>
      </c>
      <c r="F346" s="44">
        <v>3925</v>
      </c>
      <c r="G346" s="58">
        <v>3937</v>
      </c>
      <c r="H346" s="58">
        <v>3949</v>
      </c>
      <c r="I346" s="58">
        <v>3830</v>
      </c>
      <c r="J346" s="58">
        <v>3725</v>
      </c>
      <c r="K346" s="58">
        <v>3755</v>
      </c>
      <c r="L346" s="58">
        <v>3779</v>
      </c>
      <c r="M346" s="58">
        <v>3721</v>
      </c>
      <c r="N346" s="58">
        <v>3779</v>
      </c>
      <c r="O346" s="58">
        <v>3820</v>
      </c>
      <c r="Q346" s="41" t="s">
        <v>5568</v>
      </c>
    </row>
    <row r="347" spans="1:17" s="39" customFormat="1">
      <c r="C347" s="60"/>
      <c r="D347" s="44"/>
      <c r="E347" s="44"/>
      <c r="F347" s="44"/>
      <c r="G347" s="44"/>
      <c r="H347" s="44"/>
      <c r="I347" s="44"/>
      <c r="J347" s="44"/>
      <c r="K347" s="44"/>
      <c r="L347" s="44"/>
      <c r="M347" s="44"/>
      <c r="N347" s="44"/>
      <c r="O347" s="44"/>
    </row>
    <row r="348" spans="1:17" s="39" customFormat="1">
      <c r="A348" s="41" t="s">
        <v>5568</v>
      </c>
      <c r="C348" s="60"/>
      <c r="D348" s="42">
        <f t="shared" ref="D348:I348" si="147">D313+D317+D318+D320+D322+D323+D325+D329+D330+D332+D334+D335+SUM(D342:D346)</f>
        <v>72955</v>
      </c>
      <c r="E348" s="42">
        <f t="shared" si="147"/>
        <v>73542</v>
      </c>
      <c r="F348" s="42">
        <f t="shared" si="147"/>
        <v>73362</v>
      </c>
      <c r="G348" s="42">
        <f t="shared" si="147"/>
        <v>73437</v>
      </c>
      <c r="H348" s="42">
        <f t="shared" si="147"/>
        <v>73690</v>
      </c>
      <c r="I348" s="42">
        <f t="shared" si="147"/>
        <v>72552</v>
      </c>
      <c r="J348" s="42">
        <f t="shared" ref="J348:O348" si="148">J313+J317+J318+J320+J322+J323+J325+J329+J330+J332+J334+J335+SUM(J342:J346)</f>
        <v>71102</v>
      </c>
      <c r="K348" s="42">
        <f t="shared" si="148"/>
        <v>72274</v>
      </c>
      <c r="L348" s="42">
        <f t="shared" si="148"/>
        <v>72256</v>
      </c>
      <c r="M348" s="42">
        <f t="shared" si="148"/>
        <v>72167</v>
      </c>
      <c r="N348" s="42">
        <f t="shared" si="148"/>
        <v>73334</v>
      </c>
      <c r="O348" s="42">
        <f t="shared" si="148"/>
        <v>73823</v>
      </c>
    </row>
    <row r="349" spans="1:17" s="39" customFormat="1">
      <c r="A349" s="41" t="s">
        <v>5570</v>
      </c>
      <c r="C349" s="60"/>
      <c r="D349" s="42">
        <f t="shared" ref="D349:I349" si="149">SUM(D314:D316)+D319+D321+D324+SUM(D326:D328)+D331+D333+SUM(D336:D341)</f>
        <v>68239</v>
      </c>
      <c r="E349" s="42">
        <f t="shared" si="149"/>
        <v>68987</v>
      </c>
      <c r="F349" s="42">
        <f t="shared" si="149"/>
        <v>68867</v>
      </c>
      <c r="G349" s="42">
        <f t="shared" si="149"/>
        <v>69072</v>
      </c>
      <c r="H349" s="42">
        <f t="shared" si="149"/>
        <v>69164</v>
      </c>
      <c r="I349" s="42">
        <f t="shared" si="149"/>
        <v>68216</v>
      </c>
      <c r="J349" s="42">
        <f t="shared" ref="J349:O349" si="150">SUM(J314:J316)+J319+J321+J324+SUM(J326:J328)+J331+J333+SUM(J336:J341)</f>
        <v>66871</v>
      </c>
      <c r="K349" s="42">
        <f t="shared" si="150"/>
        <v>68166</v>
      </c>
      <c r="L349" s="42">
        <f t="shared" si="150"/>
        <v>68559</v>
      </c>
      <c r="M349" s="42">
        <f t="shared" si="150"/>
        <v>68765</v>
      </c>
      <c r="N349" s="42">
        <f t="shared" si="150"/>
        <v>70487</v>
      </c>
      <c r="O349" s="42">
        <f t="shared" si="150"/>
        <v>71009</v>
      </c>
    </row>
    <row r="350" spans="1:17" s="39" customFormat="1">
      <c r="A350" s="41"/>
      <c r="C350" s="60"/>
      <c r="D350" s="42"/>
      <c r="E350" s="42"/>
      <c r="F350" s="42"/>
      <c r="G350" s="42"/>
      <c r="H350" s="42"/>
      <c r="I350" s="42"/>
      <c r="J350" s="42"/>
      <c r="K350" s="42"/>
      <c r="L350" s="42"/>
      <c r="M350" s="42"/>
      <c r="N350" s="42"/>
      <c r="O350" s="42"/>
    </row>
    <row r="351" spans="1:17" s="39" customFormat="1">
      <c r="A351" s="41" t="s">
        <v>9267</v>
      </c>
      <c r="C351" s="60"/>
      <c r="D351" s="42"/>
      <c r="E351" s="42"/>
      <c r="F351" s="42"/>
      <c r="G351" s="42"/>
      <c r="H351" s="42"/>
      <c r="I351" s="42"/>
      <c r="J351" s="42"/>
      <c r="K351" s="42"/>
      <c r="L351" s="42"/>
      <c r="M351" s="42"/>
      <c r="N351" s="42"/>
      <c r="O351" s="42"/>
    </row>
    <row r="352" spans="1:17" s="39" customFormat="1">
      <c r="A352" s="41" t="s">
        <v>9287</v>
      </c>
      <c r="C352" s="60"/>
      <c r="D352" s="42"/>
      <c r="E352" s="42"/>
      <c r="F352" s="42"/>
      <c r="G352" s="42"/>
      <c r="H352" s="42"/>
      <c r="I352" s="42"/>
      <c r="J352" s="42"/>
      <c r="K352" s="42"/>
      <c r="L352" s="42"/>
      <c r="M352" s="42"/>
      <c r="N352" s="42"/>
      <c r="O352" s="42"/>
    </row>
    <row r="353" spans="1:17" s="39" customFormat="1">
      <c r="A353" s="41"/>
      <c r="B353" s="41"/>
      <c r="C353" s="60"/>
      <c r="D353" s="61"/>
      <c r="E353" s="61"/>
      <c r="F353" s="61"/>
      <c r="G353" s="61"/>
      <c r="H353" s="61"/>
      <c r="I353" s="61"/>
      <c r="J353" s="61"/>
      <c r="K353" s="61"/>
      <c r="L353" s="61"/>
      <c r="M353" s="61"/>
      <c r="N353" s="61"/>
      <c r="O353" s="61"/>
    </row>
    <row r="354" spans="1:17" s="39" customFormat="1">
      <c r="A354" s="41"/>
      <c r="B354" s="41"/>
      <c r="C354" s="60"/>
      <c r="D354" s="61"/>
      <c r="E354" s="61"/>
      <c r="F354" s="61"/>
      <c r="G354" s="61"/>
      <c r="H354" s="61"/>
      <c r="I354" s="61"/>
      <c r="J354" s="61"/>
      <c r="K354" s="61"/>
      <c r="L354" s="61"/>
      <c r="M354" s="61"/>
      <c r="N354" s="61"/>
      <c r="O354" s="61"/>
    </row>
    <row r="355" spans="1:17" s="39" customFormat="1">
      <c r="C355" s="60"/>
      <c r="E355" s="51" t="s">
        <v>1526</v>
      </c>
      <c r="F355" s="51"/>
      <c r="G355" s="51"/>
      <c r="H355" s="51"/>
      <c r="I355" s="51"/>
      <c r="J355" s="51"/>
      <c r="K355" s="51"/>
      <c r="L355" s="51"/>
      <c r="M355" s="51"/>
      <c r="N355" s="51"/>
      <c r="O355" s="51"/>
      <c r="P355" s="52"/>
      <c r="Q355" s="53" t="s">
        <v>9479</v>
      </c>
    </row>
    <row r="356" spans="1:17" s="39" customFormat="1">
      <c r="C356" s="60"/>
      <c r="D356" s="40">
        <v>2010</v>
      </c>
      <c r="E356" s="40">
        <v>2011</v>
      </c>
      <c r="F356" s="40">
        <v>2012</v>
      </c>
      <c r="G356" s="40">
        <v>2013</v>
      </c>
      <c r="H356" s="40">
        <v>2014</v>
      </c>
      <c r="I356" s="40">
        <v>2015</v>
      </c>
      <c r="J356" s="40">
        <v>2016</v>
      </c>
      <c r="K356" s="40">
        <v>2017</v>
      </c>
      <c r="L356" s="40">
        <v>2018</v>
      </c>
      <c r="M356" s="40">
        <v>2019</v>
      </c>
      <c r="N356" s="40">
        <v>2020</v>
      </c>
      <c r="O356" s="971" t="s">
        <v>14823</v>
      </c>
      <c r="P356" s="52"/>
      <c r="Q356" s="54" t="s">
        <v>1527</v>
      </c>
    </row>
    <row r="357" spans="1:17" s="39" customFormat="1">
      <c r="A357" s="41" t="s">
        <v>63</v>
      </c>
      <c r="C357" s="60"/>
      <c r="D357" s="42">
        <f t="shared" ref="D357:I357" si="151">SUM(D358:D370)</f>
        <v>63054</v>
      </c>
      <c r="E357" s="42">
        <f t="shared" si="151"/>
        <v>64410</v>
      </c>
      <c r="F357" s="42">
        <f t="shared" si="151"/>
        <v>64751</v>
      </c>
      <c r="G357" s="42">
        <f t="shared" si="151"/>
        <v>64847</v>
      </c>
      <c r="H357" s="42">
        <f t="shared" si="151"/>
        <v>65082</v>
      </c>
      <c r="I357" s="42">
        <f t="shared" si="151"/>
        <v>63659</v>
      </c>
      <c r="J357" s="42">
        <f t="shared" ref="J357:O357" si="152">SUM(J358:J370)</f>
        <v>62487</v>
      </c>
      <c r="K357" s="42">
        <f t="shared" si="152"/>
        <v>65196</v>
      </c>
      <c r="L357" s="42">
        <f t="shared" si="152"/>
        <v>64491</v>
      </c>
      <c r="M357" s="42">
        <f t="shared" si="152"/>
        <v>62833</v>
      </c>
      <c r="N357" s="42">
        <f t="shared" si="152"/>
        <v>62433</v>
      </c>
      <c r="O357" s="42">
        <f t="shared" si="152"/>
        <v>64309</v>
      </c>
    </row>
    <row r="358" spans="1:17" s="39" customFormat="1">
      <c r="A358" s="41" t="s">
        <v>5387</v>
      </c>
      <c r="B358" s="41" t="s">
        <v>9290</v>
      </c>
      <c r="C358" s="55" t="s">
        <v>9293</v>
      </c>
      <c r="D358" s="42">
        <v>63054</v>
      </c>
      <c r="E358" s="42">
        <v>64410</v>
      </c>
      <c r="F358" s="42">
        <v>64751</v>
      </c>
      <c r="G358" s="56">
        <v>5369</v>
      </c>
      <c r="H358" s="56">
        <v>5371</v>
      </c>
      <c r="I358" s="56">
        <v>5259</v>
      </c>
      <c r="J358" s="56">
        <v>5177</v>
      </c>
      <c r="K358" s="56">
        <v>5303</v>
      </c>
      <c r="L358" s="56">
        <v>5186</v>
      </c>
      <c r="M358" s="56">
        <v>5049</v>
      </c>
      <c r="N358" s="56">
        <v>5008</v>
      </c>
      <c r="O358" s="56">
        <v>5044</v>
      </c>
      <c r="Q358" s="41" t="s">
        <v>5553</v>
      </c>
    </row>
    <row r="359" spans="1:17" s="39" customFormat="1">
      <c r="A359" s="41" t="s">
        <v>5389</v>
      </c>
      <c r="B359" s="41" t="s">
        <v>9291</v>
      </c>
      <c r="C359" s="55" t="s">
        <v>9294</v>
      </c>
      <c r="D359" s="42">
        <v>0</v>
      </c>
      <c r="E359" s="42">
        <v>0</v>
      </c>
      <c r="F359" s="42">
        <v>0</v>
      </c>
      <c r="G359" s="56">
        <v>5097</v>
      </c>
      <c r="H359" s="56">
        <v>5162</v>
      </c>
      <c r="I359" s="56">
        <v>5112</v>
      </c>
      <c r="J359" s="56">
        <v>5057</v>
      </c>
      <c r="K359" s="56">
        <v>5307</v>
      </c>
      <c r="L359" s="56">
        <v>5242</v>
      </c>
      <c r="M359" s="56">
        <v>5026</v>
      </c>
      <c r="N359" s="56">
        <v>4971</v>
      </c>
      <c r="O359" s="56">
        <v>5084</v>
      </c>
      <c r="Q359" s="41" t="s">
        <v>5553</v>
      </c>
    </row>
    <row r="360" spans="1:17" s="39" customFormat="1">
      <c r="A360" s="41" t="s">
        <v>5391</v>
      </c>
      <c r="B360" s="41" t="s">
        <v>64</v>
      </c>
      <c r="C360" s="55" t="s">
        <v>9295</v>
      </c>
      <c r="D360" s="42">
        <v>0</v>
      </c>
      <c r="E360" s="42">
        <v>0</v>
      </c>
      <c r="F360" s="42">
        <v>0</v>
      </c>
      <c r="G360" s="56">
        <v>5501</v>
      </c>
      <c r="H360" s="56">
        <v>5486</v>
      </c>
      <c r="I360" s="56">
        <v>5329</v>
      </c>
      <c r="J360" s="56">
        <v>5276</v>
      </c>
      <c r="K360" s="56">
        <v>5443</v>
      </c>
      <c r="L360" s="56">
        <v>5389</v>
      </c>
      <c r="M360" s="56">
        <v>5255</v>
      </c>
      <c r="N360" s="56">
        <v>5203</v>
      </c>
      <c r="O360" s="56">
        <v>5309</v>
      </c>
      <c r="Q360" s="41" t="s">
        <v>5553</v>
      </c>
    </row>
    <row r="361" spans="1:17" s="39" customFormat="1">
      <c r="A361" s="41" t="s">
        <v>5393</v>
      </c>
      <c r="B361" s="41" t="s">
        <v>65</v>
      </c>
      <c r="C361" s="55" t="s">
        <v>9296</v>
      </c>
      <c r="D361" s="42">
        <v>0</v>
      </c>
      <c r="E361" s="42">
        <v>0</v>
      </c>
      <c r="F361" s="42">
        <v>0</v>
      </c>
      <c r="G361" s="56">
        <v>4379</v>
      </c>
      <c r="H361" s="56">
        <v>4446</v>
      </c>
      <c r="I361" s="56">
        <v>4334</v>
      </c>
      <c r="J361" s="56">
        <v>4259</v>
      </c>
      <c r="K361" s="56">
        <v>4412</v>
      </c>
      <c r="L361" s="56">
        <v>4357</v>
      </c>
      <c r="M361" s="56">
        <v>4172</v>
      </c>
      <c r="N361" s="56">
        <v>4185</v>
      </c>
      <c r="O361" s="56">
        <v>4359</v>
      </c>
      <c r="Q361" s="41" t="s">
        <v>5553</v>
      </c>
    </row>
    <row r="362" spans="1:17" s="39" customFormat="1">
      <c r="A362" s="41" t="s">
        <v>5394</v>
      </c>
      <c r="B362" s="41" t="s">
        <v>1397</v>
      </c>
      <c r="C362" s="55" t="s">
        <v>9297</v>
      </c>
      <c r="D362" s="42">
        <v>0</v>
      </c>
      <c r="E362" s="42">
        <v>0</v>
      </c>
      <c r="F362" s="42">
        <v>0</v>
      </c>
      <c r="G362" s="56">
        <v>5416</v>
      </c>
      <c r="H362" s="56">
        <v>5348</v>
      </c>
      <c r="I362" s="56">
        <v>5257</v>
      </c>
      <c r="J362" s="56">
        <v>5190</v>
      </c>
      <c r="K362" s="56">
        <v>5310</v>
      </c>
      <c r="L362" s="56">
        <v>5289</v>
      </c>
      <c r="M362" s="56">
        <v>5222</v>
      </c>
      <c r="N362" s="56">
        <v>5159</v>
      </c>
      <c r="O362" s="56">
        <v>5258</v>
      </c>
      <c r="Q362" s="41" t="s">
        <v>5553</v>
      </c>
    </row>
    <row r="363" spans="1:17" s="39" customFormat="1">
      <c r="A363" s="41" t="s">
        <v>5416</v>
      </c>
      <c r="B363" s="41" t="s">
        <v>66</v>
      </c>
      <c r="C363" s="55" t="s">
        <v>9298</v>
      </c>
      <c r="D363" s="42">
        <v>0</v>
      </c>
      <c r="E363" s="42">
        <v>0</v>
      </c>
      <c r="F363" s="42">
        <v>0</v>
      </c>
      <c r="G363" s="56">
        <v>5703</v>
      </c>
      <c r="H363" s="56">
        <v>5657</v>
      </c>
      <c r="I363" s="56">
        <v>5531</v>
      </c>
      <c r="J363" s="56">
        <v>5442</v>
      </c>
      <c r="K363" s="56">
        <v>5636</v>
      </c>
      <c r="L363" s="56">
        <v>5565</v>
      </c>
      <c r="M363" s="56">
        <v>5475</v>
      </c>
      <c r="N363" s="56">
        <v>5476</v>
      </c>
      <c r="O363" s="56">
        <v>5571</v>
      </c>
      <c r="Q363" s="41" t="s">
        <v>5553</v>
      </c>
    </row>
    <row r="364" spans="1:17" s="39" customFormat="1">
      <c r="A364" s="41" t="s">
        <v>5418</v>
      </c>
      <c r="B364" s="41" t="s">
        <v>67</v>
      </c>
      <c r="C364" s="55" t="s">
        <v>9299</v>
      </c>
      <c r="D364" s="42">
        <v>0</v>
      </c>
      <c r="E364" s="42">
        <v>0</v>
      </c>
      <c r="F364" s="42">
        <v>0</v>
      </c>
      <c r="G364" s="56">
        <v>5566</v>
      </c>
      <c r="H364" s="56">
        <v>5661</v>
      </c>
      <c r="I364" s="56">
        <v>5486</v>
      </c>
      <c r="J364" s="56">
        <v>5447</v>
      </c>
      <c r="K364" s="56">
        <v>5664</v>
      </c>
      <c r="L364" s="56">
        <v>5613</v>
      </c>
      <c r="M364" s="56">
        <v>5455</v>
      </c>
      <c r="N364" s="56">
        <v>5336</v>
      </c>
      <c r="O364" s="56">
        <v>5516</v>
      </c>
      <c r="Q364" s="41" t="s">
        <v>5553</v>
      </c>
    </row>
    <row r="365" spans="1:17" s="39" customFormat="1">
      <c r="A365" s="41" t="s">
        <v>5420</v>
      </c>
      <c r="B365" s="41" t="s">
        <v>68</v>
      </c>
      <c r="C365" s="55" t="s">
        <v>9300</v>
      </c>
      <c r="D365" s="42">
        <v>0</v>
      </c>
      <c r="E365" s="42">
        <v>0</v>
      </c>
      <c r="F365" s="42">
        <v>0</v>
      </c>
      <c r="G365" s="56">
        <v>4777</v>
      </c>
      <c r="H365" s="56">
        <v>4802</v>
      </c>
      <c r="I365" s="56">
        <v>4711</v>
      </c>
      <c r="J365" s="56">
        <v>4547</v>
      </c>
      <c r="K365" s="56">
        <v>4735</v>
      </c>
      <c r="L365" s="56">
        <v>4718</v>
      </c>
      <c r="M365" s="56">
        <v>4704</v>
      </c>
      <c r="N365" s="56">
        <v>4667</v>
      </c>
      <c r="O365" s="56">
        <v>4808</v>
      </c>
      <c r="Q365" s="41" t="s">
        <v>5553</v>
      </c>
    </row>
    <row r="366" spans="1:17" s="39" customFormat="1">
      <c r="A366" s="41" t="s">
        <v>5422</v>
      </c>
      <c r="B366" s="41" t="s">
        <v>69</v>
      </c>
      <c r="C366" s="55" t="s">
        <v>9301</v>
      </c>
      <c r="D366" s="42">
        <v>0</v>
      </c>
      <c r="E366" s="42">
        <v>0</v>
      </c>
      <c r="F366" s="42">
        <v>0</v>
      </c>
      <c r="G366" s="56">
        <v>5147</v>
      </c>
      <c r="H366" s="56">
        <v>5203</v>
      </c>
      <c r="I366" s="56">
        <v>5061</v>
      </c>
      <c r="J366" s="56">
        <v>4994</v>
      </c>
      <c r="K366" s="56">
        <v>5183</v>
      </c>
      <c r="L366" s="56">
        <v>5070</v>
      </c>
      <c r="M366" s="56">
        <v>4945</v>
      </c>
      <c r="N366" s="56">
        <v>4894</v>
      </c>
      <c r="O366" s="56">
        <v>4998</v>
      </c>
      <c r="Q366" s="41" t="s">
        <v>5553</v>
      </c>
    </row>
    <row r="367" spans="1:17" s="39" customFormat="1">
      <c r="A367" s="41" t="s">
        <v>5424</v>
      </c>
      <c r="B367" s="41" t="s">
        <v>4949</v>
      </c>
      <c r="C367" s="55" t="s">
        <v>9302</v>
      </c>
      <c r="D367" s="42">
        <v>0</v>
      </c>
      <c r="E367" s="42">
        <v>0</v>
      </c>
      <c r="F367" s="42">
        <v>0</v>
      </c>
      <c r="G367" s="56">
        <v>5149</v>
      </c>
      <c r="H367" s="56">
        <v>5175</v>
      </c>
      <c r="I367" s="56">
        <v>5112</v>
      </c>
      <c r="J367" s="56">
        <v>4966</v>
      </c>
      <c r="K367" s="56">
        <v>5247</v>
      </c>
      <c r="L367" s="56">
        <v>5148</v>
      </c>
      <c r="M367" s="56">
        <v>5001</v>
      </c>
      <c r="N367" s="56">
        <v>4923</v>
      </c>
      <c r="O367" s="56">
        <v>5039</v>
      </c>
      <c r="Q367" s="41" t="s">
        <v>5553</v>
      </c>
    </row>
    <row r="368" spans="1:17" s="39" customFormat="1">
      <c r="A368" s="41" t="s">
        <v>5426</v>
      </c>
      <c r="B368" s="41" t="s">
        <v>6726</v>
      </c>
      <c r="C368" s="55" t="s">
        <v>9303</v>
      </c>
      <c r="D368" s="42">
        <v>0</v>
      </c>
      <c r="E368" s="42">
        <v>0</v>
      </c>
      <c r="F368" s="42">
        <v>0</v>
      </c>
      <c r="G368" s="56">
        <v>4791</v>
      </c>
      <c r="H368" s="56">
        <v>4973</v>
      </c>
      <c r="I368" s="56">
        <v>4850</v>
      </c>
      <c r="J368" s="56">
        <v>4763</v>
      </c>
      <c r="K368" s="56">
        <v>5095</v>
      </c>
      <c r="L368" s="56">
        <v>4963</v>
      </c>
      <c r="M368" s="56">
        <v>4869</v>
      </c>
      <c r="N368" s="56">
        <v>4886</v>
      </c>
      <c r="O368" s="56">
        <v>5077</v>
      </c>
      <c r="Q368" s="41" t="s">
        <v>5553</v>
      </c>
    </row>
    <row r="369" spans="1:17" s="39" customFormat="1">
      <c r="A369" s="41" t="s">
        <v>5428</v>
      </c>
      <c r="B369" s="41" t="s">
        <v>2324</v>
      </c>
      <c r="C369" s="55" t="s">
        <v>9304</v>
      </c>
      <c r="D369" s="42">
        <v>0</v>
      </c>
      <c r="E369" s="42">
        <v>0</v>
      </c>
      <c r="F369" s="42">
        <v>0</v>
      </c>
      <c r="G369" s="56">
        <v>2897</v>
      </c>
      <c r="H369" s="56">
        <v>2722</v>
      </c>
      <c r="I369" s="56">
        <v>2596</v>
      </c>
      <c r="J369" s="56">
        <v>2471</v>
      </c>
      <c r="K369" s="56">
        <v>2818</v>
      </c>
      <c r="L369" s="56">
        <v>2928</v>
      </c>
      <c r="M369" s="56">
        <v>2755</v>
      </c>
      <c r="N369" s="56">
        <v>2899</v>
      </c>
      <c r="O369" s="56">
        <v>3365</v>
      </c>
      <c r="Q369" s="41" t="s">
        <v>5553</v>
      </c>
    </row>
    <row r="370" spans="1:17" s="39" customFormat="1">
      <c r="A370" s="41" t="s">
        <v>5429</v>
      </c>
      <c r="B370" s="41" t="s">
        <v>9292</v>
      </c>
      <c r="C370" s="55" t="s">
        <v>9305</v>
      </c>
      <c r="D370" s="42">
        <v>0</v>
      </c>
      <c r="E370" s="42">
        <v>0</v>
      </c>
      <c r="F370" s="42">
        <v>0</v>
      </c>
      <c r="G370" s="56">
        <v>5055</v>
      </c>
      <c r="H370" s="56">
        <v>5076</v>
      </c>
      <c r="I370" s="56">
        <v>5021</v>
      </c>
      <c r="J370" s="56">
        <v>4898</v>
      </c>
      <c r="K370" s="56">
        <v>5043</v>
      </c>
      <c r="L370" s="56">
        <v>5023</v>
      </c>
      <c r="M370" s="56">
        <v>4905</v>
      </c>
      <c r="N370" s="56">
        <v>4826</v>
      </c>
      <c r="O370" s="56">
        <v>4881</v>
      </c>
      <c r="Q370" s="41" t="s">
        <v>5553</v>
      </c>
    </row>
    <row r="371" spans="1:17" s="39" customFormat="1">
      <c r="C371" s="60"/>
      <c r="D371" s="44"/>
      <c r="E371" s="44"/>
      <c r="F371" s="44"/>
      <c r="G371" s="44"/>
      <c r="H371" s="44"/>
      <c r="I371" s="44"/>
      <c r="J371" s="44"/>
      <c r="K371" s="44"/>
      <c r="L371" s="44"/>
      <c r="M371" s="44"/>
      <c r="N371" s="44"/>
      <c r="O371" s="44"/>
    </row>
    <row r="372" spans="1:17" s="39" customFormat="1">
      <c r="A372" s="41" t="s">
        <v>4166</v>
      </c>
      <c r="C372" s="60"/>
      <c r="D372" s="42">
        <f t="shared" ref="D372:I372" si="153">SUM(D358:D370)</f>
        <v>63054</v>
      </c>
      <c r="E372" s="42">
        <f t="shared" si="153"/>
        <v>64410</v>
      </c>
      <c r="F372" s="42">
        <f t="shared" si="153"/>
        <v>64751</v>
      </c>
      <c r="G372" s="42">
        <f t="shared" si="153"/>
        <v>64847</v>
      </c>
      <c r="H372" s="42">
        <f t="shared" si="153"/>
        <v>65082</v>
      </c>
      <c r="I372" s="42">
        <f t="shared" si="153"/>
        <v>63659</v>
      </c>
      <c r="J372" s="42">
        <f t="shared" ref="J372:O372" si="154">SUM(J358:J370)</f>
        <v>62487</v>
      </c>
      <c r="K372" s="42">
        <f t="shared" si="154"/>
        <v>65196</v>
      </c>
      <c r="L372" s="42">
        <f t="shared" si="154"/>
        <v>64491</v>
      </c>
      <c r="M372" s="42">
        <f t="shared" si="154"/>
        <v>62833</v>
      </c>
      <c r="N372" s="42">
        <f t="shared" si="154"/>
        <v>62433</v>
      </c>
      <c r="O372" s="42">
        <f t="shared" si="154"/>
        <v>64309</v>
      </c>
    </row>
    <row r="373" spans="1:17" s="39" customFormat="1">
      <c r="A373" s="41"/>
      <c r="C373" s="60"/>
      <c r="D373" s="42"/>
      <c r="E373" s="42"/>
      <c r="F373" s="42"/>
      <c r="G373" s="42"/>
      <c r="H373" s="42"/>
      <c r="I373" s="42"/>
      <c r="J373" s="42"/>
      <c r="K373" s="42"/>
      <c r="L373" s="42"/>
      <c r="M373" s="42"/>
      <c r="N373" s="42"/>
      <c r="O373" s="42"/>
    </row>
    <row r="374" spans="1:17" s="39" customFormat="1">
      <c r="A374" s="41" t="s">
        <v>9289</v>
      </c>
      <c r="C374" s="60"/>
      <c r="D374" s="42"/>
      <c r="E374" s="42"/>
      <c r="F374" s="42"/>
      <c r="G374" s="42"/>
      <c r="H374" s="42"/>
      <c r="I374" s="42"/>
      <c r="J374" s="42"/>
      <c r="K374" s="42"/>
      <c r="L374" s="42"/>
      <c r="M374" s="42"/>
      <c r="N374" s="42"/>
      <c r="O374" s="42"/>
    </row>
    <row r="375" spans="1:17" s="39" customFormat="1">
      <c r="A375" s="41"/>
      <c r="B375" s="41"/>
      <c r="C375" s="60"/>
      <c r="D375" s="61"/>
      <c r="E375" s="61"/>
      <c r="F375" s="61"/>
      <c r="G375" s="61"/>
      <c r="H375" s="61"/>
      <c r="I375" s="61"/>
      <c r="J375" s="61"/>
      <c r="K375" s="61"/>
      <c r="L375" s="61"/>
      <c r="M375" s="61"/>
      <c r="N375" s="61"/>
      <c r="O375" s="61"/>
    </row>
    <row r="376" spans="1:17" s="39" customFormat="1">
      <c r="A376" s="41"/>
      <c r="B376" s="41"/>
      <c r="C376" s="60"/>
      <c r="D376" s="61"/>
      <c r="E376" s="61"/>
      <c r="F376" s="61"/>
      <c r="G376" s="61"/>
      <c r="H376" s="61"/>
      <c r="I376" s="61"/>
      <c r="J376" s="61"/>
      <c r="K376" s="61"/>
      <c r="L376" s="61"/>
      <c r="M376" s="61"/>
      <c r="N376" s="61"/>
      <c r="O376" s="61"/>
    </row>
    <row r="377" spans="1:17" s="39" customFormat="1">
      <c r="C377" s="60"/>
      <c r="E377" s="51" t="s">
        <v>1526</v>
      </c>
      <c r="F377" s="51"/>
      <c r="G377" s="51"/>
      <c r="H377" s="51"/>
      <c r="I377" s="51"/>
      <c r="J377" s="51"/>
      <c r="K377" s="51"/>
      <c r="L377" s="51"/>
      <c r="M377" s="51"/>
      <c r="N377" s="51"/>
      <c r="O377" s="51"/>
      <c r="P377" s="52"/>
      <c r="Q377" s="53" t="s">
        <v>9479</v>
      </c>
    </row>
    <row r="378" spans="1:17" s="39" customFormat="1">
      <c r="C378" s="60"/>
      <c r="D378" s="40">
        <v>2010</v>
      </c>
      <c r="E378" s="40">
        <v>2011</v>
      </c>
      <c r="F378" s="40">
        <v>2012</v>
      </c>
      <c r="G378" s="40">
        <v>2013</v>
      </c>
      <c r="H378" s="40">
        <v>2014</v>
      </c>
      <c r="I378" s="40">
        <v>2015</v>
      </c>
      <c r="J378" s="40">
        <v>2016</v>
      </c>
      <c r="K378" s="40">
        <v>2017</v>
      </c>
      <c r="L378" s="40">
        <v>2018</v>
      </c>
      <c r="M378" s="40">
        <v>2019</v>
      </c>
      <c r="N378" s="40">
        <v>2020</v>
      </c>
      <c r="O378" s="971" t="s">
        <v>14823</v>
      </c>
      <c r="P378" s="52"/>
      <c r="Q378" s="54" t="s">
        <v>1527</v>
      </c>
    </row>
    <row r="379" spans="1:17" s="39" customFormat="1">
      <c r="A379" s="41" t="s">
        <v>1419</v>
      </c>
      <c r="C379" s="60"/>
      <c r="D379" s="42">
        <f t="shared" ref="D379:M379" si="155">SUM(D380:D388,D390:D401)</f>
        <v>89524</v>
      </c>
      <c r="E379" s="42">
        <f t="shared" si="155"/>
        <v>89938</v>
      </c>
      <c r="F379" s="42">
        <f t="shared" si="155"/>
        <v>90838</v>
      </c>
      <c r="G379" s="42">
        <f t="shared" si="155"/>
        <v>91291</v>
      </c>
      <c r="H379" s="42">
        <f t="shared" si="155"/>
        <v>92465</v>
      </c>
      <c r="I379" s="42">
        <f t="shared" si="155"/>
        <v>91017</v>
      </c>
      <c r="J379" s="42">
        <f t="shared" si="155"/>
        <v>90897</v>
      </c>
      <c r="K379" s="42">
        <f t="shared" si="155"/>
        <v>93863</v>
      </c>
      <c r="L379" s="42">
        <f t="shared" si="155"/>
        <v>93794</v>
      </c>
      <c r="M379" s="42">
        <f t="shared" si="155"/>
        <v>92832</v>
      </c>
      <c r="N379" s="42">
        <f>SUM(N380:N388,N390:N401)</f>
        <v>96419</v>
      </c>
      <c r="O379" s="42">
        <f>SUM(O380:O388,O390:O401)</f>
        <v>96425</v>
      </c>
    </row>
    <row r="380" spans="1:17" s="39" customFormat="1">
      <c r="A380" s="41" t="s">
        <v>5387</v>
      </c>
      <c r="B380" s="41" t="s">
        <v>12706</v>
      </c>
      <c r="C380" s="55" t="s">
        <v>12705</v>
      </c>
      <c r="D380" s="42">
        <v>47576</v>
      </c>
      <c r="E380" s="42">
        <v>47747</v>
      </c>
      <c r="F380" s="42">
        <v>48004</v>
      </c>
      <c r="G380" s="42">
        <v>48101</v>
      </c>
      <c r="H380" s="42">
        <v>48570</v>
      </c>
      <c r="I380" s="42">
        <v>48020</v>
      </c>
      <c r="J380" s="42">
        <v>47626</v>
      </c>
      <c r="K380" s="42">
        <v>48906</v>
      </c>
      <c r="L380" s="42">
        <v>48714</v>
      </c>
      <c r="M380" s="42">
        <v>48246</v>
      </c>
      <c r="N380" s="56">
        <v>2199</v>
      </c>
      <c r="O380" s="56">
        <v>2196</v>
      </c>
      <c r="Q380" s="41" t="s">
        <v>5574</v>
      </c>
    </row>
    <row r="381" spans="1:17" s="39" customFormat="1">
      <c r="A381" s="41" t="s">
        <v>5389</v>
      </c>
      <c r="B381" s="41" t="s">
        <v>12694</v>
      </c>
      <c r="C381" s="55" t="s">
        <v>12693</v>
      </c>
      <c r="D381" s="42">
        <v>41948</v>
      </c>
      <c r="E381" s="42">
        <v>42191</v>
      </c>
      <c r="F381" s="42">
        <v>42834</v>
      </c>
      <c r="G381" s="42">
        <v>43190</v>
      </c>
      <c r="H381" s="42">
        <v>43895</v>
      </c>
      <c r="I381" s="42">
        <v>42997</v>
      </c>
      <c r="J381" s="42">
        <v>43271</v>
      </c>
      <c r="K381" s="42">
        <v>44957</v>
      </c>
      <c r="L381" s="42">
        <v>45080</v>
      </c>
      <c r="M381" s="42">
        <v>44586</v>
      </c>
      <c r="N381" s="56">
        <v>3534</v>
      </c>
      <c r="O381" s="56">
        <v>3535</v>
      </c>
      <c r="Q381" s="41" t="s">
        <v>5572</v>
      </c>
    </row>
    <row r="382" spans="1:17" s="39" customFormat="1">
      <c r="A382" s="59">
        <v>3</v>
      </c>
      <c r="B382" s="41" t="s">
        <v>12708</v>
      </c>
      <c r="C382" s="55" t="s">
        <v>12707</v>
      </c>
      <c r="D382" s="42">
        <v>0</v>
      </c>
      <c r="E382" s="42">
        <v>0</v>
      </c>
      <c r="F382" s="42">
        <v>0</v>
      </c>
      <c r="G382" s="42">
        <v>0</v>
      </c>
      <c r="H382" s="42">
        <v>0</v>
      </c>
      <c r="I382" s="42">
        <v>0</v>
      </c>
      <c r="J382" s="42">
        <v>0</v>
      </c>
      <c r="K382" s="42">
        <v>0</v>
      </c>
      <c r="L382" s="42">
        <v>0</v>
      </c>
      <c r="M382" s="42">
        <v>0</v>
      </c>
      <c r="N382" s="56">
        <v>7144</v>
      </c>
      <c r="O382" s="56">
        <v>7142</v>
      </c>
      <c r="Q382" s="41" t="s">
        <v>5572</v>
      </c>
    </row>
    <row r="383" spans="1:17" s="39" customFormat="1">
      <c r="A383" s="59">
        <v>4</v>
      </c>
      <c r="B383" s="41" t="s">
        <v>12710</v>
      </c>
      <c r="C383" s="55" t="s">
        <v>12709</v>
      </c>
      <c r="D383" s="42">
        <v>0</v>
      </c>
      <c r="E383" s="42">
        <v>0</v>
      </c>
      <c r="F383" s="42">
        <v>0</v>
      </c>
      <c r="G383" s="42">
        <v>0</v>
      </c>
      <c r="H383" s="42">
        <v>0</v>
      </c>
      <c r="I383" s="42">
        <v>0</v>
      </c>
      <c r="J383" s="42">
        <v>0</v>
      </c>
      <c r="K383" s="42">
        <v>0</v>
      </c>
      <c r="L383" s="42">
        <v>0</v>
      </c>
      <c r="M383" s="42">
        <v>0</v>
      </c>
      <c r="N383" s="56">
        <v>6776</v>
      </c>
      <c r="O383" s="56">
        <v>6776</v>
      </c>
      <c r="Q383" s="41" t="s">
        <v>5572</v>
      </c>
    </row>
    <row r="384" spans="1:17" s="39" customFormat="1">
      <c r="A384" s="59">
        <v>5</v>
      </c>
      <c r="B384" s="41" t="s">
        <v>12696</v>
      </c>
      <c r="C384" s="55" t="s">
        <v>12695</v>
      </c>
      <c r="D384" s="42">
        <v>0</v>
      </c>
      <c r="E384" s="42">
        <v>0</v>
      </c>
      <c r="F384" s="42">
        <v>0</v>
      </c>
      <c r="G384" s="42">
        <v>0</v>
      </c>
      <c r="H384" s="42">
        <v>0</v>
      </c>
      <c r="I384" s="42">
        <v>0</v>
      </c>
      <c r="J384" s="42">
        <v>0</v>
      </c>
      <c r="K384" s="42">
        <v>0</v>
      </c>
      <c r="L384" s="42">
        <v>0</v>
      </c>
      <c r="M384" s="42">
        <v>0</v>
      </c>
      <c r="N384" s="56">
        <v>5754</v>
      </c>
      <c r="O384" s="56">
        <v>5769</v>
      </c>
      <c r="Q384" s="41" t="s">
        <v>5572</v>
      </c>
    </row>
    <row r="385" spans="1:17" s="39" customFormat="1">
      <c r="A385" s="59">
        <v>6</v>
      </c>
      <c r="B385" s="41" t="s">
        <v>12712</v>
      </c>
      <c r="C385" s="55" t="s">
        <v>12711</v>
      </c>
      <c r="D385" s="42">
        <v>0</v>
      </c>
      <c r="E385" s="42">
        <v>0</v>
      </c>
      <c r="F385" s="42">
        <v>0</v>
      </c>
      <c r="G385" s="42">
        <v>0</v>
      </c>
      <c r="H385" s="42">
        <v>0</v>
      </c>
      <c r="I385" s="42">
        <v>0</v>
      </c>
      <c r="J385" s="42">
        <v>0</v>
      </c>
      <c r="K385" s="42">
        <v>0</v>
      </c>
      <c r="L385" s="42">
        <v>0</v>
      </c>
      <c r="M385" s="42">
        <v>0</v>
      </c>
      <c r="N385" s="56">
        <v>5899</v>
      </c>
      <c r="O385" s="56">
        <v>5893</v>
      </c>
      <c r="Q385" s="41" t="s">
        <v>5572</v>
      </c>
    </row>
    <row r="386" spans="1:17" s="39" customFormat="1">
      <c r="A386" s="59">
        <v>7</v>
      </c>
      <c r="B386" s="41" t="s">
        <v>12714</v>
      </c>
      <c r="C386" s="55" t="s">
        <v>12713</v>
      </c>
      <c r="D386" s="42">
        <v>0</v>
      </c>
      <c r="E386" s="42">
        <v>0</v>
      </c>
      <c r="F386" s="42">
        <v>0</v>
      </c>
      <c r="G386" s="42">
        <v>0</v>
      </c>
      <c r="H386" s="42">
        <v>0</v>
      </c>
      <c r="I386" s="42">
        <v>0</v>
      </c>
      <c r="J386" s="42">
        <v>0</v>
      </c>
      <c r="K386" s="42">
        <v>0</v>
      </c>
      <c r="L386" s="42">
        <v>0</v>
      </c>
      <c r="M386" s="42">
        <v>0</v>
      </c>
      <c r="N386" s="56">
        <v>4832</v>
      </c>
      <c r="O386" s="56">
        <v>4826</v>
      </c>
      <c r="Q386" s="41" t="s">
        <v>5572</v>
      </c>
    </row>
    <row r="387" spans="1:17" s="39" customFormat="1">
      <c r="A387" s="59">
        <v>8</v>
      </c>
      <c r="B387" s="41" t="s">
        <v>1421</v>
      </c>
      <c r="C387" s="55" t="s">
        <v>12715</v>
      </c>
      <c r="D387" s="42">
        <v>0</v>
      </c>
      <c r="E387" s="42">
        <v>0</v>
      </c>
      <c r="F387" s="42">
        <v>0</v>
      </c>
      <c r="G387" s="42">
        <v>0</v>
      </c>
      <c r="H387" s="42">
        <v>0</v>
      </c>
      <c r="I387" s="42">
        <v>0</v>
      </c>
      <c r="J387" s="42">
        <v>0</v>
      </c>
      <c r="K387" s="42">
        <v>0</v>
      </c>
      <c r="L387" s="42">
        <v>0</v>
      </c>
      <c r="M387" s="42">
        <v>0</v>
      </c>
      <c r="N387" s="56">
        <v>4848</v>
      </c>
      <c r="O387" s="56">
        <v>4849</v>
      </c>
      <c r="Q387" s="41" t="s">
        <v>5572</v>
      </c>
    </row>
    <row r="388" spans="1:17" s="39" customFormat="1" ht="15.75" thickBot="1">
      <c r="A388" s="59"/>
      <c r="B388" s="41"/>
      <c r="C388" s="55" t="s">
        <v>12715</v>
      </c>
      <c r="D388" s="42">
        <v>0</v>
      </c>
      <c r="E388" s="42">
        <v>0</v>
      </c>
      <c r="F388" s="42">
        <v>0</v>
      </c>
      <c r="G388" s="42">
        <v>0</v>
      </c>
      <c r="H388" s="42">
        <v>0</v>
      </c>
      <c r="I388" s="42">
        <v>0</v>
      </c>
      <c r="J388" s="42">
        <v>0</v>
      </c>
      <c r="K388" s="42">
        <v>0</v>
      </c>
      <c r="L388" s="42">
        <v>0</v>
      </c>
      <c r="M388" s="42">
        <v>0</v>
      </c>
      <c r="N388" s="42">
        <v>209</v>
      </c>
      <c r="O388" s="42">
        <v>209</v>
      </c>
      <c r="Q388" s="41" t="s">
        <v>5574</v>
      </c>
    </row>
    <row r="389" spans="1:17" s="39" customFormat="1" ht="15.75" thickBot="1">
      <c r="A389" s="59"/>
      <c r="B389" s="41"/>
      <c r="C389" s="55" t="s">
        <v>12715</v>
      </c>
      <c r="D389" s="49">
        <f t="shared" ref="D389:N389" si="156">D387+D388</f>
        <v>0</v>
      </c>
      <c r="E389" s="49">
        <f t="shared" si="156"/>
        <v>0</v>
      </c>
      <c r="F389" s="49">
        <f t="shared" si="156"/>
        <v>0</v>
      </c>
      <c r="G389" s="49">
        <f t="shared" si="156"/>
        <v>0</v>
      </c>
      <c r="H389" s="49">
        <f t="shared" si="156"/>
        <v>0</v>
      </c>
      <c r="I389" s="49">
        <f t="shared" si="156"/>
        <v>0</v>
      </c>
      <c r="J389" s="49">
        <f t="shared" si="156"/>
        <v>0</v>
      </c>
      <c r="K389" s="49">
        <f t="shared" si="156"/>
        <v>0</v>
      </c>
      <c r="L389" s="49">
        <f t="shared" si="156"/>
        <v>0</v>
      </c>
      <c r="M389" s="49">
        <f t="shared" si="156"/>
        <v>0</v>
      </c>
      <c r="N389" s="49">
        <f t="shared" si="156"/>
        <v>5057</v>
      </c>
      <c r="O389" s="49">
        <f>O387+O388</f>
        <v>5058</v>
      </c>
    </row>
    <row r="390" spans="1:17" s="39" customFormat="1">
      <c r="A390" s="59">
        <v>9</v>
      </c>
      <c r="B390" s="41" t="s">
        <v>12717</v>
      </c>
      <c r="C390" s="55" t="s">
        <v>12716</v>
      </c>
      <c r="D390" s="42">
        <v>0</v>
      </c>
      <c r="E390" s="42">
        <v>0</v>
      </c>
      <c r="F390" s="42">
        <v>0</v>
      </c>
      <c r="G390" s="42">
        <v>0</v>
      </c>
      <c r="H390" s="42">
        <v>0</v>
      </c>
      <c r="I390" s="42">
        <v>0</v>
      </c>
      <c r="J390" s="42">
        <v>0</v>
      </c>
      <c r="K390" s="42">
        <v>0</v>
      </c>
      <c r="L390" s="42">
        <v>0</v>
      </c>
      <c r="M390" s="42">
        <v>0</v>
      </c>
      <c r="N390" s="58">
        <v>2628</v>
      </c>
      <c r="O390" s="58">
        <v>2628</v>
      </c>
      <c r="Q390" s="41" t="s">
        <v>5572</v>
      </c>
    </row>
    <row r="391" spans="1:17" s="39" customFormat="1">
      <c r="A391" s="59">
        <v>10</v>
      </c>
      <c r="B391" s="41" t="s">
        <v>2786</v>
      </c>
      <c r="C391" s="55" t="s">
        <v>12697</v>
      </c>
      <c r="D391" s="42">
        <v>0</v>
      </c>
      <c r="E391" s="42">
        <v>0</v>
      </c>
      <c r="F391" s="42">
        <v>0</v>
      </c>
      <c r="G391" s="42">
        <v>0</v>
      </c>
      <c r="H391" s="42">
        <v>0</v>
      </c>
      <c r="I391" s="42">
        <v>0</v>
      </c>
      <c r="J391" s="42">
        <v>0</v>
      </c>
      <c r="K391" s="42">
        <v>0</v>
      </c>
      <c r="L391" s="42">
        <v>0</v>
      </c>
      <c r="M391" s="42">
        <v>0</v>
      </c>
      <c r="N391" s="58">
        <v>4934</v>
      </c>
      <c r="O391" s="58">
        <v>4936</v>
      </c>
      <c r="Q391" s="41" t="s">
        <v>5574</v>
      </c>
    </row>
    <row r="392" spans="1:17" s="39" customFormat="1">
      <c r="A392" s="59">
        <v>11</v>
      </c>
      <c r="B392" s="41" t="s">
        <v>2787</v>
      </c>
      <c r="C392" s="55" t="s">
        <v>12718</v>
      </c>
      <c r="D392" s="42">
        <v>0</v>
      </c>
      <c r="E392" s="42">
        <v>0</v>
      </c>
      <c r="F392" s="42">
        <v>0</v>
      </c>
      <c r="G392" s="42">
        <v>0</v>
      </c>
      <c r="H392" s="42">
        <v>0</v>
      </c>
      <c r="I392" s="42">
        <v>0</v>
      </c>
      <c r="J392" s="42">
        <v>0</v>
      </c>
      <c r="K392" s="42">
        <v>0</v>
      </c>
      <c r="L392" s="42">
        <v>0</v>
      </c>
      <c r="M392" s="42">
        <v>0</v>
      </c>
      <c r="N392" s="58">
        <v>2539</v>
      </c>
      <c r="O392" s="58">
        <v>2541</v>
      </c>
      <c r="Q392" s="41" t="s">
        <v>5572</v>
      </c>
    </row>
    <row r="393" spans="1:17" s="39" customFormat="1">
      <c r="A393" s="59">
        <v>12</v>
      </c>
      <c r="B393" s="41" t="s">
        <v>12720</v>
      </c>
      <c r="C393" s="55" t="s">
        <v>12719</v>
      </c>
      <c r="D393" s="42">
        <v>0</v>
      </c>
      <c r="E393" s="42">
        <v>0</v>
      </c>
      <c r="F393" s="42">
        <v>0</v>
      </c>
      <c r="G393" s="42">
        <v>0</v>
      </c>
      <c r="H393" s="42">
        <v>0</v>
      </c>
      <c r="I393" s="42">
        <v>0</v>
      </c>
      <c r="J393" s="42">
        <v>0</v>
      </c>
      <c r="K393" s="42">
        <v>0</v>
      </c>
      <c r="L393" s="42">
        <v>0</v>
      </c>
      <c r="M393" s="42">
        <v>0</v>
      </c>
      <c r="N393" s="56">
        <v>2650</v>
      </c>
      <c r="O393" s="56">
        <v>2653</v>
      </c>
      <c r="Q393" s="41" t="s">
        <v>5572</v>
      </c>
    </row>
    <row r="394" spans="1:17" s="39" customFormat="1">
      <c r="A394" s="59">
        <v>13</v>
      </c>
      <c r="B394" s="41" t="s">
        <v>12722</v>
      </c>
      <c r="C394" s="55" t="s">
        <v>12721</v>
      </c>
      <c r="D394" s="42">
        <v>0</v>
      </c>
      <c r="E394" s="42">
        <v>0</v>
      </c>
      <c r="F394" s="42">
        <v>0</v>
      </c>
      <c r="G394" s="42">
        <v>0</v>
      </c>
      <c r="H394" s="42">
        <v>0</v>
      </c>
      <c r="I394" s="42">
        <v>0</v>
      </c>
      <c r="J394" s="42">
        <v>0</v>
      </c>
      <c r="K394" s="42">
        <v>0</v>
      </c>
      <c r="L394" s="42">
        <v>0</v>
      </c>
      <c r="M394" s="42">
        <v>0</v>
      </c>
      <c r="N394" s="58">
        <v>6068</v>
      </c>
      <c r="O394" s="58">
        <v>6069</v>
      </c>
      <c r="Q394" s="41" t="s">
        <v>5574</v>
      </c>
    </row>
    <row r="395" spans="1:17" s="39" customFormat="1">
      <c r="A395" s="59">
        <v>14</v>
      </c>
      <c r="B395" s="41" t="s">
        <v>1408</v>
      </c>
      <c r="C395" s="55" t="s">
        <v>12698</v>
      </c>
      <c r="D395" s="42">
        <v>0</v>
      </c>
      <c r="E395" s="42">
        <v>0</v>
      </c>
      <c r="F395" s="42">
        <v>0</v>
      </c>
      <c r="G395" s="42">
        <v>0</v>
      </c>
      <c r="H395" s="42">
        <v>0</v>
      </c>
      <c r="I395" s="42">
        <v>0</v>
      </c>
      <c r="J395" s="42">
        <v>0</v>
      </c>
      <c r="K395" s="42">
        <v>0</v>
      </c>
      <c r="L395" s="42">
        <v>0</v>
      </c>
      <c r="M395" s="42">
        <v>0</v>
      </c>
      <c r="N395" s="56">
        <v>2692</v>
      </c>
      <c r="O395" s="56">
        <v>2684</v>
      </c>
      <c r="Q395" s="41" t="s">
        <v>5574</v>
      </c>
    </row>
    <row r="396" spans="1:17" s="39" customFormat="1">
      <c r="A396" s="59">
        <v>15</v>
      </c>
      <c r="B396" s="41" t="s">
        <v>12700</v>
      </c>
      <c r="C396" s="55" t="s">
        <v>12699</v>
      </c>
      <c r="D396" s="42">
        <v>0</v>
      </c>
      <c r="E396" s="42">
        <v>0</v>
      </c>
      <c r="F396" s="42">
        <v>0</v>
      </c>
      <c r="G396" s="42">
        <v>0</v>
      </c>
      <c r="H396" s="42">
        <v>0</v>
      </c>
      <c r="I396" s="42">
        <v>0</v>
      </c>
      <c r="J396" s="42">
        <v>0</v>
      </c>
      <c r="K396" s="42">
        <v>0</v>
      </c>
      <c r="L396" s="42">
        <v>0</v>
      </c>
      <c r="M396" s="42">
        <v>0</v>
      </c>
      <c r="N396" s="58">
        <v>7309</v>
      </c>
      <c r="O396" s="58">
        <v>7308</v>
      </c>
      <c r="Q396" s="41" t="s">
        <v>5574</v>
      </c>
    </row>
    <row r="397" spans="1:17" s="39" customFormat="1">
      <c r="A397" s="41" t="s">
        <v>5435</v>
      </c>
      <c r="B397" s="41" t="s">
        <v>1409</v>
      </c>
      <c r="C397" s="55" t="s">
        <v>12723</v>
      </c>
      <c r="D397" s="42">
        <v>0</v>
      </c>
      <c r="E397" s="42">
        <v>0</v>
      </c>
      <c r="F397" s="42">
        <v>0</v>
      </c>
      <c r="G397" s="42">
        <v>0</v>
      </c>
      <c r="H397" s="42">
        <v>0</v>
      </c>
      <c r="I397" s="42">
        <v>0</v>
      </c>
      <c r="J397" s="42">
        <v>0</v>
      </c>
      <c r="K397" s="42">
        <v>0</v>
      </c>
      <c r="L397" s="42">
        <v>0</v>
      </c>
      <c r="M397" s="42">
        <v>0</v>
      </c>
      <c r="N397" s="58">
        <v>5890</v>
      </c>
      <c r="O397" s="58">
        <v>5886</v>
      </c>
      <c r="Q397" s="41" t="s">
        <v>5574</v>
      </c>
    </row>
    <row r="398" spans="1:17" s="39" customFormat="1">
      <c r="A398" s="41" t="s">
        <v>5436</v>
      </c>
      <c r="B398" s="41" t="s">
        <v>12702</v>
      </c>
      <c r="C398" s="55" t="s">
        <v>12701</v>
      </c>
      <c r="D398" s="42">
        <v>0</v>
      </c>
      <c r="E398" s="42">
        <v>0</v>
      </c>
      <c r="F398" s="42">
        <v>0</v>
      </c>
      <c r="G398" s="42">
        <v>0</v>
      </c>
      <c r="H398" s="42">
        <v>0</v>
      </c>
      <c r="I398" s="42">
        <v>0</v>
      </c>
      <c r="J398" s="42">
        <v>0</v>
      </c>
      <c r="K398" s="42">
        <v>0</v>
      </c>
      <c r="L398" s="42">
        <v>0</v>
      </c>
      <c r="M398" s="42">
        <v>0</v>
      </c>
      <c r="N398" s="56">
        <v>4876</v>
      </c>
      <c r="O398" s="56">
        <v>4877</v>
      </c>
      <c r="Q398" s="41" t="s">
        <v>5574</v>
      </c>
    </row>
    <row r="399" spans="1:17" s="39" customFormat="1">
      <c r="A399" s="41" t="s">
        <v>5437</v>
      </c>
      <c r="B399" s="41" t="s">
        <v>12725</v>
      </c>
      <c r="C399" s="55" t="s">
        <v>12724</v>
      </c>
      <c r="D399" s="42">
        <v>0</v>
      </c>
      <c r="E399" s="42">
        <v>0</v>
      </c>
      <c r="F399" s="42">
        <v>0</v>
      </c>
      <c r="G399" s="42">
        <v>0</v>
      </c>
      <c r="H399" s="42">
        <v>0</v>
      </c>
      <c r="I399" s="42">
        <v>0</v>
      </c>
      <c r="J399" s="42">
        <v>0</v>
      </c>
      <c r="K399" s="42">
        <v>0</v>
      </c>
      <c r="L399" s="42">
        <v>0</v>
      </c>
      <c r="M399" s="42">
        <v>0</v>
      </c>
      <c r="N399" s="58">
        <v>6226</v>
      </c>
      <c r="O399" s="58">
        <v>6233</v>
      </c>
      <c r="Q399" s="41" t="s">
        <v>5574</v>
      </c>
    </row>
    <row r="400" spans="1:17" s="39" customFormat="1">
      <c r="A400" s="41" t="s">
        <v>5439</v>
      </c>
      <c r="B400" s="41" t="s">
        <v>12704</v>
      </c>
      <c r="C400" s="55" t="s">
        <v>12703</v>
      </c>
      <c r="D400" s="42">
        <v>0</v>
      </c>
      <c r="E400" s="42">
        <v>0</v>
      </c>
      <c r="F400" s="42">
        <v>0</v>
      </c>
      <c r="G400" s="42">
        <v>0</v>
      </c>
      <c r="H400" s="42">
        <v>0</v>
      </c>
      <c r="I400" s="42">
        <v>0</v>
      </c>
      <c r="J400" s="42">
        <v>0</v>
      </c>
      <c r="K400" s="42">
        <v>0</v>
      </c>
      <c r="L400" s="42">
        <v>0</v>
      </c>
      <c r="M400" s="42">
        <v>0</v>
      </c>
      <c r="N400" s="56">
        <v>4684</v>
      </c>
      <c r="O400" s="56">
        <v>4686</v>
      </c>
      <c r="Q400" s="41" t="s">
        <v>5574</v>
      </c>
    </row>
    <row r="401" spans="1:17" s="39" customFormat="1">
      <c r="A401" s="41" t="s">
        <v>5441</v>
      </c>
      <c r="B401" s="41" t="s">
        <v>2793</v>
      </c>
      <c r="C401" s="55" t="s">
        <v>12726</v>
      </c>
      <c r="D401" s="42">
        <v>0</v>
      </c>
      <c r="E401" s="42">
        <v>0</v>
      </c>
      <c r="F401" s="42">
        <v>0</v>
      </c>
      <c r="G401" s="42">
        <v>0</v>
      </c>
      <c r="H401" s="42">
        <v>0</v>
      </c>
      <c r="I401" s="42">
        <v>0</v>
      </c>
      <c r="J401" s="42">
        <v>0</v>
      </c>
      <c r="K401" s="42">
        <v>0</v>
      </c>
      <c r="L401" s="42">
        <v>0</v>
      </c>
      <c r="M401" s="42">
        <v>0</v>
      </c>
      <c r="N401" s="58">
        <v>4728</v>
      </c>
      <c r="O401" s="58">
        <v>4729</v>
      </c>
      <c r="Q401" s="41" t="s">
        <v>5574</v>
      </c>
    </row>
    <row r="402" spans="1:17" s="39" customFormat="1">
      <c r="C402" s="60"/>
      <c r="D402" s="44"/>
      <c r="E402" s="44"/>
      <c r="F402" s="44"/>
      <c r="G402" s="44"/>
      <c r="H402" s="44"/>
      <c r="I402" s="44"/>
      <c r="J402" s="44"/>
      <c r="K402" s="44"/>
      <c r="L402" s="44"/>
      <c r="M402" s="44"/>
      <c r="N402" s="44"/>
      <c r="O402" s="44"/>
    </row>
    <row r="403" spans="1:17" s="39" customFormat="1">
      <c r="A403" s="41" t="s">
        <v>6568</v>
      </c>
      <c r="C403" s="60"/>
      <c r="D403" s="42">
        <f t="shared" ref="D403:M403" si="157">SUM(D381:D387,D390,D392:D393)</f>
        <v>41948</v>
      </c>
      <c r="E403" s="42">
        <f t="shared" si="157"/>
        <v>42191</v>
      </c>
      <c r="F403" s="42">
        <f t="shared" si="157"/>
        <v>42834</v>
      </c>
      <c r="G403" s="42">
        <f t="shared" si="157"/>
        <v>43190</v>
      </c>
      <c r="H403" s="42">
        <f t="shared" si="157"/>
        <v>43895</v>
      </c>
      <c r="I403" s="42">
        <f t="shared" si="157"/>
        <v>42997</v>
      </c>
      <c r="J403" s="42">
        <f t="shared" si="157"/>
        <v>43271</v>
      </c>
      <c r="K403" s="42">
        <f t="shared" si="157"/>
        <v>44957</v>
      </c>
      <c r="L403" s="42">
        <f t="shared" si="157"/>
        <v>45080</v>
      </c>
      <c r="M403" s="42">
        <f t="shared" si="157"/>
        <v>44586</v>
      </c>
      <c r="N403" s="42">
        <f>SUM(N381:N387,N390,N392:N393)</f>
        <v>46604</v>
      </c>
      <c r="O403" s="42">
        <f>SUM(O381:O387,O390,O392:O393)</f>
        <v>46612</v>
      </c>
    </row>
    <row r="404" spans="1:17" s="39" customFormat="1">
      <c r="A404" s="41" t="s">
        <v>5040</v>
      </c>
      <c r="C404" s="60"/>
      <c r="D404" s="42">
        <f t="shared" ref="D404:M404" si="158">SUM(D380,D388,D391,D394:D401)</f>
        <v>47576</v>
      </c>
      <c r="E404" s="42">
        <f t="shared" si="158"/>
        <v>47747</v>
      </c>
      <c r="F404" s="42">
        <f t="shared" si="158"/>
        <v>48004</v>
      </c>
      <c r="G404" s="42">
        <f t="shared" si="158"/>
        <v>48101</v>
      </c>
      <c r="H404" s="42">
        <f t="shared" si="158"/>
        <v>48570</v>
      </c>
      <c r="I404" s="42">
        <f t="shared" si="158"/>
        <v>48020</v>
      </c>
      <c r="J404" s="42">
        <f t="shared" si="158"/>
        <v>47626</v>
      </c>
      <c r="K404" s="42">
        <f t="shared" si="158"/>
        <v>48906</v>
      </c>
      <c r="L404" s="42">
        <f t="shared" si="158"/>
        <v>48714</v>
      </c>
      <c r="M404" s="42">
        <f t="shared" si="158"/>
        <v>48246</v>
      </c>
      <c r="N404" s="42">
        <f>SUM(N380,N388,N391,N394:N401)</f>
        <v>49815</v>
      </c>
      <c r="O404" s="42">
        <f>SUM(O380,O388,O391,O394:O401)</f>
        <v>49813</v>
      </c>
    </row>
    <row r="405" spans="1:17" s="39" customFormat="1">
      <c r="A405" s="41"/>
      <c r="C405" s="60"/>
      <c r="D405" s="42"/>
      <c r="E405" s="42"/>
      <c r="F405" s="42"/>
      <c r="G405" s="42"/>
      <c r="H405" s="42"/>
      <c r="I405" s="42"/>
      <c r="J405" s="42"/>
      <c r="K405" s="42"/>
      <c r="L405" s="42"/>
      <c r="M405" s="42"/>
      <c r="N405" s="42"/>
      <c r="O405" s="42"/>
    </row>
    <row r="406" spans="1:17" s="39" customFormat="1">
      <c r="A406" s="41" t="s">
        <v>12727</v>
      </c>
      <c r="C406" s="60"/>
      <c r="D406" s="42"/>
      <c r="E406" s="42"/>
      <c r="F406" s="42"/>
      <c r="G406" s="42"/>
      <c r="H406" s="42"/>
      <c r="I406" s="42"/>
      <c r="J406" s="42"/>
      <c r="K406" s="42"/>
      <c r="L406" s="42"/>
      <c r="M406" s="42"/>
      <c r="N406" s="42"/>
      <c r="O406" s="42"/>
    </row>
    <row r="407" spans="1:17" s="39" customFormat="1">
      <c r="A407" s="41" t="s">
        <v>12728</v>
      </c>
      <c r="B407" s="41"/>
      <c r="C407" s="60"/>
      <c r="D407" s="61"/>
      <c r="E407" s="61"/>
      <c r="F407" s="61"/>
      <c r="G407" s="61"/>
      <c r="H407" s="61"/>
      <c r="I407" s="61"/>
      <c r="J407" s="61"/>
      <c r="K407" s="61"/>
      <c r="L407" s="61"/>
      <c r="M407" s="61"/>
      <c r="N407" s="61"/>
      <c r="O407" s="61"/>
    </row>
    <row r="408" spans="1:17" s="39" customFormat="1">
      <c r="A408" s="41"/>
      <c r="B408" s="41"/>
      <c r="C408" s="60"/>
      <c r="D408" s="61"/>
      <c r="E408" s="61"/>
      <c r="F408" s="61"/>
      <c r="G408" s="61"/>
      <c r="H408" s="61"/>
      <c r="I408" s="61"/>
      <c r="J408" s="61"/>
      <c r="K408" s="61"/>
      <c r="L408" s="61"/>
      <c r="M408" s="61"/>
      <c r="N408" s="61"/>
      <c r="O408" s="61"/>
    </row>
    <row r="409" spans="1:17" s="39" customFormat="1">
      <c r="C409" s="60"/>
      <c r="E409" s="51" t="s">
        <v>1526</v>
      </c>
      <c r="F409" s="51"/>
      <c r="G409" s="51"/>
      <c r="H409" s="51"/>
      <c r="I409" s="51"/>
      <c r="J409" s="51"/>
      <c r="K409" s="51"/>
      <c r="L409" s="51"/>
      <c r="M409" s="51"/>
      <c r="N409" s="51"/>
      <c r="O409" s="51"/>
      <c r="P409" s="52"/>
      <c r="Q409" s="53" t="s">
        <v>9479</v>
      </c>
    </row>
    <row r="410" spans="1:17" s="39" customFormat="1">
      <c r="C410" s="60"/>
      <c r="D410" s="40">
        <v>2010</v>
      </c>
      <c r="E410" s="40">
        <v>2011</v>
      </c>
      <c r="F410" s="40">
        <v>2012</v>
      </c>
      <c r="G410" s="40">
        <v>2013</v>
      </c>
      <c r="H410" s="40">
        <v>2014</v>
      </c>
      <c r="I410" s="40">
        <v>2015</v>
      </c>
      <c r="J410" s="40">
        <v>2016</v>
      </c>
      <c r="K410" s="40">
        <v>2017</v>
      </c>
      <c r="L410" s="40">
        <v>2018</v>
      </c>
      <c r="M410" s="40">
        <v>2019</v>
      </c>
      <c r="N410" s="40">
        <v>2020</v>
      </c>
      <c r="O410" s="971" t="s">
        <v>14823</v>
      </c>
      <c r="P410" s="52"/>
      <c r="Q410" s="54" t="s">
        <v>1527</v>
      </c>
    </row>
    <row r="411" spans="1:17" s="39" customFormat="1">
      <c r="A411" s="41" t="s">
        <v>2794</v>
      </c>
      <c r="C411" s="60"/>
      <c r="D411" s="42">
        <f>D412+D413+SUM(D415:D428)+D430+D431</f>
        <v>88180</v>
      </c>
      <c r="E411" s="42">
        <f t="shared" ref="E411:K411" si="159">E412+E413+SUM(E415:E428)+E430+E431</f>
        <v>89574</v>
      </c>
      <c r="F411" s="42">
        <f t="shared" si="159"/>
        <v>90456</v>
      </c>
      <c r="G411" s="42">
        <f t="shared" si="159"/>
        <v>91112</v>
      </c>
      <c r="H411" s="42">
        <f t="shared" si="159"/>
        <v>91952</v>
      </c>
      <c r="I411" s="42">
        <f t="shared" si="159"/>
        <v>89503</v>
      </c>
      <c r="J411" s="42">
        <f t="shared" si="159"/>
        <v>85795</v>
      </c>
      <c r="K411" s="42">
        <f t="shared" si="159"/>
        <v>87529</v>
      </c>
      <c r="L411" s="42">
        <f>L412+L413+SUM(L415:L428)+L430+L431</f>
        <v>87879</v>
      </c>
      <c r="M411" s="42">
        <f>M412+M413+SUM(M415:M428)+M430+M431</f>
        <v>87609</v>
      </c>
      <c r="N411" s="42">
        <f>N412+N413+SUM(N415:N428)+N430+N431</f>
        <v>88621</v>
      </c>
      <c r="O411" s="42">
        <f>O412+O413+SUM(O415:O428)+O430+O431</f>
        <v>92495</v>
      </c>
    </row>
    <row r="412" spans="1:17" s="39" customFormat="1">
      <c r="A412" s="41" t="s">
        <v>5387</v>
      </c>
      <c r="B412" s="41" t="s">
        <v>11746</v>
      </c>
      <c r="C412" s="55" t="s">
        <v>11731</v>
      </c>
      <c r="D412" s="42">
        <v>0</v>
      </c>
      <c r="E412" s="42">
        <v>0</v>
      </c>
      <c r="F412" s="42">
        <v>0</v>
      </c>
      <c r="G412" s="56">
        <v>0</v>
      </c>
      <c r="H412" s="56">
        <v>0</v>
      </c>
      <c r="I412" s="56">
        <v>0</v>
      </c>
      <c r="J412" s="56">
        <v>0</v>
      </c>
      <c r="K412" s="56">
        <v>351</v>
      </c>
      <c r="L412" s="56">
        <v>346</v>
      </c>
      <c r="M412" s="56">
        <v>337</v>
      </c>
      <c r="N412" s="56">
        <v>347</v>
      </c>
      <c r="O412" s="56">
        <v>346</v>
      </c>
      <c r="Q412" s="41" t="s">
        <v>5566</v>
      </c>
    </row>
    <row r="413" spans="1:17" s="39" customFormat="1" ht="15.75" thickBot="1">
      <c r="A413" s="41"/>
      <c r="B413" s="41"/>
      <c r="C413" s="55" t="s">
        <v>11731</v>
      </c>
      <c r="D413" s="42">
        <v>0</v>
      </c>
      <c r="E413" s="42">
        <v>0</v>
      </c>
      <c r="F413" s="42">
        <v>0</v>
      </c>
      <c r="G413" s="56">
        <v>0</v>
      </c>
      <c r="H413" s="56">
        <v>0</v>
      </c>
      <c r="I413" s="56">
        <v>0</v>
      </c>
      <c r="J413" s="56">
        <v>0</v>
      </c>
      <c r="K413" s="56">
        <v>6484</v>
      </c>
      <c r="L413" s="56">
        <v>6503</v>
      </c>
      <c r="M413" s="56">
        <v>6392</v>
      </c>
      <c r="N413" s="56">
        <v>6460</v>
      </c>
      <c r="O413" s="56">
        <v>6538</v>
      </c>
      <c r="Q413" s="41" t="s">
        <v>5002</v>
      </c>
    </row>
    <row r="414" spans="1:17" s="39" customFormat="1" ht="15.75" thickBot="1">
      <c r="A414" s="41"/>
      <c r="B414" s="41"/>
      <c r="C414" s="55" t="s">
        <v>11731</v>
      </c>
      <c r="D414" s="49">
        <f>D412+D413</f>
        <v>0</v>
      </c>
      <c r="E414" s="49">
        <f>E412+E413</f>
        <v>0</v>
      </c>
      <c r="F414" s="49">
        <f>F412+F413</f>
        <v>0</v>
      </c>
      <c r="G414" s="49">
        <f>G412+G413</f>
        <v>0</v>
      </c>
      <c r="H414" s="49">
        <f t="shared" ref="H414:M414" si="160">H412+H413</f>
        <v>0</v>
      </c>
      <c r="I414" s="49">
        <f t="shared" si="160"/>
        <v>0</v>
      </c>
      <c r="J414" s="49">
        <f t="shared" si="160"/>
        <v>0</v>
      </c>
      <c r="K414" s="49">
        <f t="shared" si="160"/>
        <v>6835</v>
      </c>
      <c r="L414" s="49">
        <f t="shared" si="160"/>
        <v>6849</v>
      </c>
      <c r="M414" s="49">
        <f t="shared" si="160"/>
        <v>6729</v>
      </c>
      <c r="N414" s="49">
        <f>N412+N413</f>
        <v>6807</v>
      </c>
      <c r="O414" s="49">
        <f>O412+O413</f>
        <v>6884</v>
      </c>
      <c r="Q414" s="41"/>
    </row>
    <row r="415" spans="1:17" s="39" customFormat="1">
      <c r="A415" s="41" t="s">
        <v>5389</v>
      </c>
      <c r="B415" s="41" t="s">
        <v>11748</v>
      </c>
      <c r="C415" s="55" t="s">
        <v>11732</v>
      </c>
      <c r="D415" s="42">
        <v>56738</v>
      </c>
      <c r="E415" s="42">
        <v>57480</v>
      </c>
      <c r="F415" s="42">
        <v>58187</v>
      </c>
      <c r="G415" s="42">
        <v>58558</v>
      </c>
      <c r="H415" s="42">
        <v>58989</v>
      </c>
      <c r="I415" s="42">
        <v>56868</v>
      </c>
      <c r="J415" s="42">
        <v>53690</v>
      </c>
      <c r="K415" s="56">
        <v>6363</v>
      </c>
      <c r="L415" s="56">
        <v>6335</v>
      </c>
      <c r="M415" s="56">
        <v>6278</v>
      </c>
      <c r="N415" s="56">
        <v>6232</v>
      </c>
      <c r="O415" s="56">
        <v>6354</v>
      </c>
      <c r="Q415" s="41" t="s">
        <v>5002</v>
      </c>
    </row>
    <row r="416" spans="1:17" s="39" customFormat="1">
      <c r="A416" s="41" t="s">
        <v>5391</v>
      </c>
      <c r="B416" s="41" t="s">
        <v>11749</v>
      </c>
      <c r="C416" s="55" t="s">
        <v>11733</v>
      </c>
      <c r="D416" s="42">
        <v>31442</v>
      </c>
      <c r="E416" s="42">
        <v>32094</v>
      </c>
      <c r="F416" s="42">
        <v>32269</v>
      </c>
      <c r="G416" s="42">
        <v>32554</v>
      </c>
      <c r="H416" s="42">
        <v>32963</v>
      </c>
      <c r="I416" s="42">
        <v>32635</v>
      </c>
      <c r="J416" s="42">
        <v>32105</v>
      </c>
      <c r="K416" s="56">
        <v>6188</v>
      </c>
      <c r="L416" s="56">
        <v>6139</v>
      </c>
      <c r="M416" s="56">
        <v>6135</v>
      </c>
      <c r="N416" s="56">
        <v>6140</v>
      </c>
      <c r="O416" s="56">
        <v>6240</v>
      </c>
      <c r="Q416" s="41" t="s">
        <v>5566</v>
      </c>
    </row>
    <row r="417" spans="1:17" s="39" customFormat="1">
      <c r="A417" s="41" t="s">
        <v>5393</v>
      </c>
      <c r="B417" s="41" t="s">
        <v>11750</v>
      </c>
      <c r="C417" s="55" t="s">
        <v>11734</v>
      </c>
      <c r="D417" s="42">
        <v>0</v>
      </c>
      <c r="E417" s="42">
        <v>0</v>
      </c>
      <c r="F417" s="42">
        <v>0</v>
      </c>
      <c r="G417" s="42">
        <v>0</v>
      </c>
      <c r="H417" s="42">
        <v>0</v>
      </c>
      <c r="I417" s="42">
        <v>0</v>
      </c>
      <c r="J417" s="42">
        <v>0</v>
      </c>
      <c r="K417" s="56">
        <v>7101</v>
      </c>
      <c r="L417" s="56">
        <v>7157</v>
      </c>
      <c r="M417" s="56">
        <v>7254</v>
      </c>
      <c r="N417" s="56">
        <v>7414</v>
      </c>
      <c r="O417" s="56">
        <v>7594</v>
      </c>
      <c r="Q417" s="41" t="s">
        <v>5566</v>
      </c>
    </row>
    <row r="418" spans="1:17" s="39" customFormat="1">
      <c r="A418" s="41" t="s">
        <v>5394</v>
      </c>
      <c r="B418" s="41" t="s">
        <v>11751</v>
      </c>
      <c r="C418" s="55" t="s">
        <v>11735</v>
      </c>
      <c r="D418" s="42">
        <v>0</v>
      </c>
      <c r="E418" s="42">
        <v>0</v>
      </c>
      <c r="F418" s="42">
        <v>0</v>
      </c>
      <c r="G418" s="42">
        <v>0</v>
      </c>
      <c r="H418" s="42">
        <v>0</v>
      </c>
      <c r="I418" s="42">
        <v>0</v>
      </c>
      <c r="J418" s="42">
        <v>0</v>
      </c>
      <c r="K418" s="56">
        <v>4312</v>
      </c>
      <c r="L418" s="56">
        <v>4333</v>
      </c>
      <c r="M418" s="56">
        <v>4244</v>
      </c>
      <c r="N418" s="56">
        <v>4276</v>
      </c>
      <c r="O418" s="56">
        <v>4371</v>
      </c>
      <c r="Q418" s="41" t="s">
        <v>5002</v>
      </c>
    </row>
    <row r="419" spans="1:17" s="39" customFormat="1">
      <c r="A419" s="41" t="s">
        <v>5416</v>
      </c>
      <c r="B419" s="41" t="s">
        <v>5017</v>
      </c>
      <c r="C419" s="55" t="s">
        <v>11736</v>
      </c>
      <c r="D419" s="42">
        <v>0</v>
      </c>
      <c r="E419" s="42">
        <v>0</v>
      </c>
      <c r="F419" s="42">
        <v>0</v>
      </c>
      <c r="G419" s="42">
        <v>0</v>
      </c>
      <c r="H419" s="42">
        <v>0</v>
      </c>
      <c r="I419" s="42">
        <v>0</v>
      </c>
      <c r="J419" s="42">
        <v>0</v>
      </c>
      <c r="K419" s="56">
        <v>6062</v>
      </c>
      <c r="L419" s="56">
        <v>6225</v>
      </c>
      <c r="M419" s="56">
        <v>6424</v>
      </c>
      <c r="N419" s="56">
        <v>6387</v>
      </c>
      <c r="O419" s="56">
        <v>6494</v>
      </c>
      <c r="Q419" s="41" t="s">
        <v>5566</v>
      </c>
    </row>
    <row r="420" spans="1:17" s="39" customFormat="1">
      <c r="A420" s="41" t="s">
        <v>5418</v>
      </c>
      <c r="B420" s="41" t="s">
        <v>3153</v>
      </c>
      <c r="C420" s="55" t="s">
        <v>11737</v>
      </c>
      <c r="D420" s="42">
        <v>0</v>
      </c>
      <c r="E420" s="42">
        <v>0</v>
      </c>
      <c r="F420" s="42">
        <v>0</v>
      </c>
      <c r="G420" s="42">
        <v>0</v>
      </c>
      <c r="H420" s="42">
        <v>0</v>
      </c>
      <c r="I420" s="42">
        <v>0</v>
      </c>
      <c r="J420" s="42">
        <v>0</v>
      </c>
      <c r="K420" s="56">
        <v>6647</v>
      </c>
      <c r="L420" s="56">
        <v>6703</v>
      </c>
      <c r="M420" s="56">
        <v>6584</v>
      </c>
      <c r="N420" s="56">
        <v>6505</v>
      </c>
      <c r="O420" s="56">
        <v>6602</v>
      </c>
      <c r="Q420" s="41" t="s">
        <v>5002</v>
      </c>
    </row>
    <row r="421" spans="1:17" s="39" customFormat="1">
      <c r="A421" s="41" t="s">
        <v>5420</v>
      </c>
      <c r="B421" s="41" t="s">
        <v>6031</v>
      </c>
      <c r="C421" s="55" t="s">
        <v>11738</v>
      </c>
      <c r="D421" s="42">
        <v>0</v>
      </c>
      <c r="E421" s="42">
        <v>0</v>
      </c>
      <c r="F421" s="42">
        <v>0</v>
      </c>
      <c r="G421" s="42">
        <v>0</v>
      </c>
      <c r="H421" s="42">
        <v>0</v>
      </c>
      <c r="I421" s="42">
        <v>0</v>
      </c>
      <c r="J421" s="42">
        <v>0</v>
      </c>
      <c r="K421" s="56">
        <v>5996</v>
      </c>
      <c r="L421" s="56">
        <v>5965</v>
      </c>
      <c r="M421" s="56">
        <v>5918</v>
      </c>
      <c r="N421" s="56">
        <v>5974</v>
      </c>
      <c r="O421" s="56">
        <v>6311</v>
      </c>
      <c r="Q421" s="41" t="s">
        <v>5002</v>
      </c>
    </row>
    <row r="422" spans="1:17" s="39" customFormat="1">
      <c r="A422" s="41" t="s">
        <v>5422</v>
      </c>
      <c r="B422" s="41" t="s">
        <v>6032</v>
      </c>
      <c r="C422" s="55" t="s">
        <v>11739</v>
      </c>
      <c r="D422" s="42">
        <v>0</v>
      </c>
      <c r="E422" s="42">
        <v>0</v>
      </c>
      <c r="F422" s="42">
        <v>0</v>
      </c>
      <c r="G422" s="42">
        <v>0</v>
      </c>
      <c r="H422" s="42">
        <v>0</v>
      </c>
      <c r="I422" s="42">
        <v>0</v>
      </c>
      <c r="J422" s="42">
        <v>0</v>
      </c>
      <c r="K422" s="56">
        <v>3098</v>
      </c>
      <c r="L422" s="56">
        <v>3224</v>
      </c>
      <c r="M422" s="56">
        <v>3162</v>
      </c>
      <c r="N422" s="56">
        <v>3383</v>
      </c>
      <c r="O422" s="56">
        <v>3970</v>
      </c>
      <c r="Q422" s="41" t="s">
        <v>5002</v>
      </c>
    </row>
    <row r="423" spans="1:17" s="39" customFormat="1">
      <c r="A423" s="41" t="s">
        <v>5424</v>
      </c>
      <c r="B423" s="41" t="s">
        <v>6033</v>
      </c>
      <c r="C423" s="55" t="s">
        <v>11740</v>
      </c>
      <c r="D423" s="42">
        <v>0</v>
      </c>
      <c r="E423" s="42">
        <v>0</v>
      </c>
      <c r="F423" s="42">
        <v>0</v>
      </c>
      <c r="G423" s="42">
        <v>0</v>
      </c>
      <c r="H423" s="42">
        <v>0</v>
      </c>
      <c r="I423" s="42">
        <v>0</v>
      </c>
      <c r="J423" s="42">
        <v>0</v>
      </c>
      <c r="K423" s="56">
        <v>6118</v>
      </c>
      <c r="L423" s="56">
        <v>6108</v>
      </c>
      <c r="M423" s="56">
        <v>5988</v>
      </c>
      <c r="N423" s="56">
        <v>6040</v>
      </c>
      <c r="O423" s="56">
        <v>6381</v>
      </c>
      <c r="Q423" s="41" t="s">
        <v>5002</v>
      </c>
    </row>
    <row r="424" spans="1:17" s="39" customFormat="1">
      <c r="A424" s="41" t="s">
        <v>5426</v>
      </c>
      <c r="B424" s="41" t="s">
        <v>6034</v>
      </c>
      <c r="C424" s="55" t="s">
        <v>11741</v>
      </c>
      <c r="D424" s="42">
        <v>0</v>
      </c>
      <c r="E424" s="42">
        <v>0</v>
      </c>
      <c r="F424" s="42">
        <v>0</v>
      </c>
      <c r="G424" s="42">
        <v>0</v>
      </c>
      <c r="H424" s="42">
        <v>0</v>
      </c>
      <c r="I424" s="42">
        <v>0</v>
      </c>
      <c r="J424" s="42">
        <v>0</v>
      </c>
      <c r="K424" s="56">
        <v>5378</v>
      </c>
      <c r="L424" s="56">
        <v>5391</v>
      </c>
      <c r="M424" s="56">
        <v>5372</v>
      </c>
      <c r="N424" s="56">
        <v>5490</v>
      </c>
      <c r="O424" s="56">
        <v>6692</v>
      </c>
      <c r="Q424" s="41" t="s">
        <v>5002</v>
      </c>
    </row>
    <row r="425" spans="1:17" s="39" customFormat="1">
      <c r="A425" s="41" t="s">
        <v>5428</v>
      </c>
      <c r="B425" s="41" t="s">
        <v>11752</v>
      </c>
      <c r="C425" s="55" t="s">
        <v>11742</v>
      </c>
      <c r="D425" s="42">
        <v>0</v>
      </c>
      <c r="E425" s="42">
        <v>0</v>
      </c>
      <c r="F425" s="42">
        <v>0</v>
      </c>
      <c r="G425" s="42">
        <v>0</v>
      </c>
      <c r="H425" s="42">
        <v>0</v>
      </c>
      <c r="I425" s="42">
        <v>0</v>
      </c>
      <c r="J425" s="42">
        <v>0</v>
      </c>
      <c r="K425" s="56">
        <v>4274</v>
      </c>
      <c r="L425" s="56">
        <v>4353</v>
      </c>
      <c r="M425" s="56">
        <v>4396</v>
      </c>
      <c r="N425" s="56">
        <v>4650</v>
      </c>
      <c r="O425" s="56">
        <v>4790</v>
      </c>
      <c r="Q425" s="41" t="s">
        <v>5566</v>
      </c>
    </row>
    <row r="426" spans="1:17" s="39" customFormat="1">
      <c r="A426" s="41" t="s">
        <v>5429</v>
      </c>
      <c r="B426" s="41" t="s">
        <v>11753</v>
      </c>
      <c r="C426" s="55" t="s">
        <v>11743</v>
      </c>
      <c r="D426" s="42">
        <v>0</v>
      </c>
      <c r="E426" s="42">
        <v>0</v>
      </c>
      <c r="F426" s="42">
        <v>0</v>
      </c>
      <c r="G426" s="42">
        <v>0</v>
      </c>
      <c r="H426" s="42">
        <v>0</v>
      </c>
      <c r="I426" s="42">
        <v>0</v>
      </c>
      <c r="J426" s="42">
        <v>0</v>
      </c>
      <c r="K426" s="58">
        <v>4355</v>
      </c>
      <c r="L426" s="58">
        <v>4359</v>
      </c>
      <c r="M426" s="58">
        <v>4452</v>
      </c>
      <c r="N426" s="58">
        <v>4647</v>
      </c>
      <c r="O426" s="58">
        <v>4791</v>
      </c>
      <c r="Q426" s="41" t="s">
        <v>5002</v>
      </c>
    </row>
    <row r="427" spans="1:17" s="39" customFormat="1">
      <c r="A427" s="41" t="s">
        <v>5431</v>
      </c>
      <c r="B427" s="41" t="s">
        <v>5085</v>
      </c>
      <c r="C427" s="55" t="s">
        <v>11744</v>
      </c>
      <c r="D427" s="42">
        <v>0</v>
      </c>
      <c r="E427" s="42">
        <v>0</v>
      </c>
      <c r="F427" s="42">
        <v>0</v>
      </c>
      <c r="G427" s="56">
        <v>0</v>
      </c>
      <c r="H427" s="56">
        <v>0</v>
      </c>
      <c r="I427" s="56">
        <v>0</v>
      </c>
      <c r="J427" s="56">
        <v>0</v>
      </c>
      <c r="K427" s="56">
        <v>4300</v>
      </c>
      <c r="L427" s="56">
        <v>4260</v>
      </c>
      <c r="M427" s="56">
        <v>4318</v>
      </c>
      <c r="N427" s="56">
        <v>4334</v>
      </c>
      <c r="O427" s="56">
        <v>4414</v>
      </c>
      <c r="Q427" s="41" t="s">
        <v>5566</v>
      </c>
    </row>
    <row r="428" spans="1:17" s="39" customFormat="1" ht="15.75" thickBot="1">
      <c r="A428" s="41"/>
      <c r="B428" s="41"/>
      <c r="C428" s="55" t="s">
        <v>11744</v>
      </c>
      <c r="D428" s="42">
        <v>0</v>
      </c>
      <c r="E428" s="42">
        <v>0</v>
      </c>
      <c r="F428" s="42">
        <v>0</v>
      </c>
      <c r="G428" s="56">
        <v>0</v>
      </c>
      <c r="H428" s="56">
        <v>0</v>
      </c>
      <c r="I428" s="56">
        <v>0</v>
      </c>
      <c r="J428" s="56">
        <v>0</v>
      </c>
      <c r="K428" s="58">
        <v>99</v>
      </c>
      <c r="L428" s="58">
        <v>101</v>
      </c>
      <c r="M428" s="58">
        <v>101</v>
      </c>
      <c r="N428" s="58">
        <v>98</v>
      </c>
      <c r="O428" s="58">
        <v>95</v>
      </c>
      <c r="Q428" s="41" t="s">
        <v>5002</v>
      </c>
    </row>
    <row r="429" spans="1:17" s="39" customFormat="1" ht="15.75" thickBot="1">
      <c r="A429" s="41"/>
      <c r="B429" s="41"/>
      <c r="C429" s="55" t="s">
        <v>11744</v>
      </c>
      <c r="D429" s="49">
        <f>D427+D428</f>
        <v>0</v>
      </c>
      <c r="E429" s="49">
        <f>E427+E428</f>
        <v>0</v>
      </c>
      <c r="F429" s="49">
        <f>F427+F428</f>
        <v>0</v>
      </c>
      <c r="G429" s="49">
        <f>G427+G428</f>
        <v>0</v>
      </c>
      <c r="H429" s="49">
        <f t="shared" ref="H429:M429" si="161">H427+H428</f>
        <v>0</v>
      </c>
      <c r="I429" s="49">
        <f t="shared" si="161"/>
        <v>0</v>
      </c>
      <c r="J429" s="49">
        <f t="shared" si="161"/>
        <v>0</v>
      </c>
      <c r="K429" s="49">
        <f t="shared" si="161"/>
        <v>4399</v>
      </c>
      <c r="L429" s="49">
        <f t="shared" si="161"/>
        <v>4361</v>
      </c>
      <c r="M429" s="49">
        <f t="shared" si="161"/>
        <v>4419</v>
      </c>
      <c r="N429" s="49">
        <f>N427+N428</f>
        <v>4432</v>
      </c>
      <c r="O429" s="49">
        <f>O427+O428</f>
        <v>4509</v>
      </c>
      <c r="Q429" s="41"/>
    </row>
    <row r="430" spans="1:17" s="39" customFormat="1">
      <c r="A430" s="41" t="s">
        <v>5433</v>
      </c>
      <c r="B430" s="41" t="s">
        <v>11754</v>
      </c>
      <c r="C430" s="55" t="s">
        <v>11745</v>
      </c>
      <c r="D430" s="42">
        <v>0</v>
      </c>
      <c r="E430" s="42">
        <v>0</v>
      </c>
      <c r="F430" s="42">
        <v>0</v>
      </c>
      <c r="G430" s="42">
        <v>0</v>
      </c>
      <c r="H430" s="42">
        <v>0</v>
      </c>
      <c r="I430" s="42">
        <v>0</v>
      </c>
      <c r="J430" s="42">
        <v>0</v>
      </c>
      <c r="K430" s="56">
        <v>4651</v>
      </c>
      <c r="L430" s="56">
        <v>4631</v>
      </c>
      <c r="M430" s="56">
        <v>4581</v>
      </c>
      <c r="N430" s="56">
        <v>4544</v>
      </c>
      <c r="O430" s="56">
        <v>4634</v>
      </c>
      <c r="Q430" s="41" t="s">
        <v>5566</v>
      </c>
    </row>
    <row r="431" spans="1:17" s="39" customFormat="1">
      <c r="A431" s="41" t="s">
        <v>5435</v>
      </c>
      <c r="B431" s="41" t="s">
        <v>11755</v>
      </c>
      <c r="C431" s="55" t="s">
        <v>11756</v>
      </c>
      <c r="D431" s="42">
        <v>0</v>
      </c>
      <c r="E431" s="42">
        <v>0</v>
      </c>
      <c r="F431" s="42">
        <v>0</v>
      </c>
      <c r="G431" s="42">
        <v>0</v>
      </c>
      <c r="H431" s="42">
        <v>0</v>
      </c>
      <c r="I431" s="42">
        <v>0</v>
      </c>
      <c r="J431" s="42">
        <v>0</v>
      </c>
      <c r="K431" s="58">
        <v>5752</v>
      </c>
      <c r="L431" s="58">
        <v>5746</v>
      </c>
      <c r="M431" s="58">
        <v>5673</v>
      </c>
      <c r="N431" s="58">
        <v>5700</v>
      </c>
      <c r="O431" s="58">
        <v>5878</v>
      </c>
      <c r="Q431" s="41" t="s">
        <v>5002</v>
      </c>
    </row>
    <row r="432" spans="1:17" s="39" customFormat="1">
      <c r="D432" s="44"/>
      <c r="E432" s="44"/>
      <c r="F432" s="44"/>
      <c r="G432" s="44"/>
      <c r="H432" s="44"/>
      <c r="I432" s="44"/>
      <c r="J432" s="44"/>
      <c r="K432" s="44"/>
      <c r="L432" s="44"/>
      <c r="M432" s="44"/>
      <c r="N432" s="44"/>
      <c r="O432" s="44"/>
    </row>
    <row r="433" spans="1:17">
      <c r="A433" s="39" t="s">
        <v>1307</v>
      </c>
      <c r="B433" s="39"/>
      <c r="C433" s="39"/>
      <c r="D433" s="44">
        <f>D412+D416+D417+D419+D425+D427+D430</f>
        <v>31442</v>
      </c>
      <c r="E433" s="44">
        <f t="shared" ref="E433:J433" si="162">E412+E416+E417+E419+E425+E427+E430</f>
        <v>32094</v>
      </c>
      <c r="F433" s="44">
        <f t="shared" si="162"/>
        <v>32269</v>
      </c>
      <c r="G433" s="44">
        <f t="shared" si="162"/>
        <v>32554</v>
      </c>
      <c r="H433" s="44">
        <f t="shared" si="162"/>
        <v>32963</v>
      </c>
      <c r="I433" s="44">
        <f t="shared" si="162"/>
        <v>32635</v>
      </c>
      <c r="J433" s="44">
        <f t="shared" si="162"/>
        <v>32105</v>
      </c>
      <c r="K433" s="44">
        <f>K412+K416+K417+K419+K425+K427+K430</f>
        <v>32927</v>
      </c>
      <c r="L433" s="44">
        <f>L412+L416+L417+L419+L425+L427+L430</f>
        <v>33111</v>
      </c>
      <c r="M433" s="44">
        <f>M412+M416+M417+M419+M425+M427+M430</f>
        <v>33445</v>
      </c>
      <c r="N433" s="44">
        <f>N412+N416+N417+N419+N425+N427+N430</f>
        <v>33816</v>
      </c>
      <c r="O433" s="44">
        <f>O412+O416+O417+O419+O425+O427+O430</f>
        <v>34512</v>
      </c>
      <c r="P433" s="39"/>
      <c r="Q433" s="39"/>
    </row>
    <row r="434" spans="1:17">
      <c r="A434" s="41" t="s">
        <v>5669</v>
      </c>
      <c r="B434" s="39"/>
      <c r="C434" s="39"/>
      <c r="D434" s="42">
        <f>D413+D415+D418+SUM(D420:D424)+D426+D428+D431</f>
        <v>56738</v>
      </c>
      <c r="E434" s="42">
        <f t="shared" ref="E434:K434" si="163">E413+E415+E418+SUM(E420:E424)+E426+E428+E431</f>
        <v>57480</v>
      </c>
      <c r="F434" s="42">
        <f t="shared" si="163"/>
        <v>58187</v>
      </c>
      <c r="G434" s="42">
        <f t="shared" si="163"/>
        <v>58558</v>
      </c>
      <c r="H434" s="42">
        <f t="shared" si="163"/>
        <v>58989</v>
      </c>
      <c r="I434" s="42">
        <f t="shared" si="163"/>
        <v>56868</v>
      </c>
      <c r="J434" s="42">
        <f t="shared" si="163"/>
        <v>53690</v>
      </c>
      <c r="K434" s="42">
        <f t="shared" si="163"/>
        <v>54602</v>
      </c>
      <c r="L434" s="42">
        <f>L413+L415+L418+SUM(L420:L424)+L426+L428+L431</f>
        <v>54768</v>
      </c>
      <c r="M434" s="42">
        <f>M413+M415+M418+SUM(M420:M424)+M426+M428+M431</f>
        <v>54164</v>
      </c>
      <c r="N434" s="42">
        <f>N413+N415+N418+SUM(N420:N424)+N426+N428+N431</f>
        <v>54805</v>
      </c>
      <c r="O434" s="42">
        <f>O413+O415+O418+SUM(O420:O424)+O426+O428+O431</f>
        <v>57983</v>
      </c>
      <c r="P434" s="39"/>
      <c r="Q434" s="39"/>
    </row>
    <row r="435" spans="1:17">
      <c r="A435" s="39"/>
      <c r="B435" s="39"/>
      <c r="C435" s="39"/>
      <c r="D435" s="39"/>
      <c r="E435" s="39"/>
      <c r="F435" s="39"/>
      <c r="G435" s="39"/>
      <c r="H435" s="39"/>
      <c r="I435" s="39"/>
      <c r="J435" s="39"/>
      <c r="K435" s="39"/>
      <c r="L435" s="39"/>
      <c r="M435" s="39"/>
      <c r="N435" s="39"/>
      <c r="O435" s="39"/>
      <c r="P435" s="39"/>
      <c r="Q435" s="39"/>
    </row>
    <row r="436" spans="1:17">
      <c r="A436" s="39" t="s">
        <v>11747</v>
      </c>
      <c r="B436" s="39"/>
      <c r="C436" s="39"/>
      <c r="D436" s="39"/>
      <c r="E436" s="39"/>
      <c r="F436" s="39"/>
      <c r="G436" s="39"/>
      <c r="H436" s="39"/>
      <c r="I436" s="39"/>
      <c r="J436" s="39"/>
      <c r="K436" s="39"/>
      <c r="L436" s="39"/>
      <c r="M436" s="39"/>
      <c r="N436" s="39"/>
      <c r="O436" s="39"/>
      <c r="P436" s="39"/>
      <c r="Q436" s="39"/>
    </row>
  </sheetData>
  <phoneticPr fontId="6" type="noConversion"/>
  <printOptions gridLinesSet="0"/>
  <pageMargins left="0.78740157480314965" right="0" top="0.51181102362204722" bottom="0.51181102362204722" header="0.51181102362204722" footer="0.51181102362204722"/>
  <pageSetup paperSize="9" scale="44" orientation="portrait" horizontalDpi="300" verticalDpi="300" r:id="rId1"/>
  <headerFooter alignWithMargins="0">
    <oddFooter>&amp;C&amp;"Times New Roman,Regular"&amp;8&amp;P of &amp;N</oddFooter>
  </headerFooter>
  <rowBreaks count="12" manualBreakCount="12">
    <brk id="77" max="16383" man="1"/>
    <brk id="104" max="16383" man="1"/>
    <brk id="139" max="16383" man="1"/>
    <brk id="182" max="16383" man="1"/>
    <brk id="206" max="16383" man="1"/>
    <brk id="231" max="16383" man="1"/>
    <brk id="257" max="16383" man="1"/>
    <brk id="280" max="16383" man="1"/>
    <brk id="304" max="16383" man="1"/>
    <brk id="349" max="16383" man="1"/>
    <brk id="375" max="12" man="1"/>
    <brk id="407" max="12" man="1"/>
  </rowBreaks>
  <ignoredErrors>
    <ignoredError sqref="D190:K190 D312:G312 D239:K239 D258:K258 D81:K81 D99:D101 D357:K357 D372:G372 D214:K214 D149:K149 D288:K288 E99:E102 D304:G305 D3:G18 D20:G22 D277:G281 D265:K265 H277:I277 H304:H312 H372:H378 H405 H3:H22 D23:H74 I312:K312 H280:I281 I372:K372 J277:J281 D414:K414 D411:K411 D429:K429 D434:K434 D348:K349 D231:K232 K277 K280:K281 I304:K305 F99:K101 I3:K74 D206:K207 L3:L107 H408:H410 L408:L434 L402 L405 L147:L149 L137 L141 L181 L187:L378 L184"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Q48"/>
  <sheetViews>
    <sheetView showGridLines="0" topLeftCell="A28" zoomScale="90" zoomScaleNormal="90" workbookViewId="0">
      <selection activeCell="A48" sqref="A48"/>
    </sheetView>
  </sheetViews>
  <sheetFormatPr defaultColWidth="12.5703125" defaultRowHeight="15"/>
  <cols>
    <col min="1" max="1" width="4.85546875" style="152" customWidth="1"/>
    <col min="2" max="2" width="35.85546875" style="152" customWidth="1"/>
    <col min="3" max="3" width="11.5703125" style="152" customWidth="1"/>
    <col min="4" max="15" width="10" style="152" customWidth="1"/>
    <col min="16" max="16" width="2.28515625" style="152" customWidth="1"/>
    <col min="17" max="17" width="26.7109375" style="152" customWidth="1"/>
    <col min="18" max="16384" width="12.5703125" style="152"/>
  </cols>
  <sheetData>
    <row r="1" spans="1:17">
      <c r="A1" s="674" t="s">
        <v>5719</v>
      </c>
      <c r="D1" s="675">
        <v>2010</v>
      </c>
      <c r="E1" s="675">
        <v>2011</v>
      </c>
      <c r="F1" s="675">
        <v>2012</v>
      </c>
      <c r="G1" s="675">
        <v>2013</v>
      </c>
      <c r="H1" s="675">
        <v>2014</v>
      </c>
      <c r="I1" s="675">
        <v>2015</v>
      </c>
      <c r="J1" s="675">
        <v>2016</v>
      </c>
      <c r="K1" s="675">
        <v>2017</v>
      </c>
      <c r="L1" s="675">
        <v>2018</v>
      </c>
      <c r="M1" s="675">
        <v>2019</v>
      </c>
      <c r="N1" s="675">
        <v>2020</v>
      </c>
      <c r="O1" s="970" t="s">
        <v>14823</v>
      </c>
    </row>
    <row r="3" spans="1:17">
      <c r="A3" s="674" t="s">
        <v>5208</v>
      </c>
      <c r="D3" s="676">
        <f t="shared" ref="D3:N3" si="0">SUM(D17:D33,D35:D40,D42)</f>
        <v>146843</v>
      </c>
      <c r="E3" s="676">
        <f t="shared" si="0"/>
        <v>150040</v>
      </c>
      <c r="F3" s="676">
        <f t="shared" si="0"/>
        <v>150014</v>
      </c>
      <c r="G3" s="676">
        <f t="shared" si="0"/>
        <v>150069</v>
      </c>
      <c r="H3" s="676">
        <f t="shared" si="0"/>
        <v>150479</v>
      </c>
      <c r="I3" s="676">
        <f t="shared" si="0"/>
        <v>138463</v>
      </c>
      <c r="J3" s="676">
        <f t="shared" si="0"/>
        <v>141270</v>
      </c>
      <c r="K3" s="676">
        <f t="shared" si="0"/>
        <v>148294</v>
      </c>
      <c r="L3" s="676">
        <f t="shared" si="0"/>
        <v>151424</v>
      </c>
      <c r="M3" s="676">
        <f t="shared" si="0"/>
        <v>149143</v>
      </c>
      <c r="N3" s="676">
        <f t="shared" si="0"/>
        <v>161259</v>
      </c>
      <c r="O3" s="676">
        <f>SUM(O17:O33,O35:O40,O42)</f>
        <v>161405</v>
      </c>
    </row>
    <row r="5" spans="1:17">
      <c r="A5" s="674" t="s">
        <v>5720</v>
      </c>
      <c r="D5" s="676">
        <f t="shared" ref="D5:N5" si="1">D3/2</f>
        <v>73421.5</v>
      </c>
      <c r="E5" s="676">
        <f t="shared" si="1"/>
        <v>75020</v>
      </c>
      <c r="F5" s="676">
        <f t="shared" si="1"/>
        <v>75007</v>
      </c>
      <c r="G5" s="676">
        <f t="shared" si="1"/>
        <v>75034.5</v>
      </c>
      <c r="H5" s="676">
        <f t="shared" si="1"/>
        <v>75239.5</v>
      </c>
      <c r="I5" s="676">
        <f t="shared" si="1"/>
        <v>69231.5</v>
      </c>
      <c r="J5" s="676">
        <f t="shared" si="1"/>
        <v>70635</v>
      </c>
      <c r="K5" s="676">
        <f t="shared" si="1"/>
        <v>74147</v>
      </c>
      <c r="L5" s="676">
        <f t="shared" si="1"/>
        <v>75712</v>
      </c>
      <c r="M5" s="676">
        <f t="shared" si="1"/>
        <v>74571.5</v>
      </c>
      <c r="N5" s="676">
        <f t="shared" si="1"/>
        <v>80629.5</v>
      </c>
      <c r="O5" s="676">
        <f t="shared" ref="O5" si="2">O3/2</f>
        <v>80702.5</v>
      </c>
    </row>
    <row r="6" spans="1:17">
      <c r="D6" s="677"/>
      <c r="E6" s="677"/>
      <c r="F6" s="677"/>
      <c r="G6" s="677"/>
      <c r="H6" s="677"/>
      <c r="I6" s="677"/>
      <c r="J6" s="677"/>
      <c r="K6" s="677"/>
      <c r="L6" s="677"/>
      <c r="M6" s="677"/>
      <c r="N6" s="677"/>
      <c r="O6" s="677"/>
    </row>
    <row r="7" spans="1:17">
      <c r="A7" s="674" t="s">
        <v>5209</v>
      </c>
      <c r="D7" s="676">
        <f t="shared" ref="D7:N7" si="3">SUM(D17:D18,D20:D21,D24:D27,D32,D37,D39,D42)</f>
        <v>78505</v>
      </c>
      <c r="E7" s="676">
        <f t="shared" si="3"/>
        <v>79878</v>
      </c>
      <c r="F7" s="676">
        <f t="shared" si="3"/>
        <v>80028</v>
      </c>
      <c r="G7" s="676">
        <f t="shared" si="3"/>
        <v>79729</v>
      </c>
      <c r="H7" s="676">
        <f t="shared" si="3"/>
        <v>79596</v>
      </c>
      <c r="I7" s="676">
        <f t="shared" si="3"/>
        <v>73292</v>
      </c>
      <c r="J7" s="676">
        <f t="shared" si="3"/>
        <v>74641</v>
      </c>
      <c r="K7" s="676">
        <f t="shared" si="3"/>
        <v>77736</v>
      </c>
      <c r="L7" s="676">
        <f t="shared" si="3"/>
        <v>78887</v>
      </c>
      <c r="M7" s="676">
        <f t="shared" si="3"/>
        <v>77483</v>
      </c>
      <c r="N7" s="676">
        <f t="shared" si="3"/>
        <v>84009</v>
      </c>
      <c r="O7" s="676">
        <f>SUM(O17:O18,O20:O21,O24:O27,O32,O37,O39,O42)</f>
        <v>84044</v>
      </c>
      <c r="Q7" s="674" t="s">
        <v>5210</v>
      </c>
    </row>
    <row r="8" spans="1:17">
      <c r="D8" s="677"/>
      <c r="E8" s="677"/>
      <c r="F8" s="677"/>
      <c r="G8" s="677"/>
      <c r="H8" s="677"/>
      <c r="I8" s="677"/>
      <c r="J8" s="677"/>
      <c r="K8" s="677"/>
      <c r="L8" s="677"/>
      <c r="M8" s="677"/>
      <c r="N8" s="677"/>
      <c r="O8" s="677"/>
    </row>
    <row r="9" spans="1:17">
      <c r="A9" s="674" t="s">
        <v>5211</v>
      </c>
      <c r="D9" s="676">
        <f t="shared" ref="D9:N9" si="4">SUM(D19,D22:D23,D28:D31,D33,D35:D36,D38,D40)</f>
        <v>68338</v>
      </c>
      <c r="E9" s="676">
        <f t="shared" si="4"/>
        <v>70162</v>
      </c>
      <c r="F9" s="676">
        <f t="shared" si="4"/>
        <v>69986</v>
      </c>
      <c r="G9" s="676">
        <f t="shared" si="4"/>
        <v>70340</v>
      </c>
      <c r="H9" s="676">
        <f t="shared" si="4"/>
        <v>70883</v>
      </c>
      <c r="I9" s="676">
        <f t="shared" si="4"/>
        <v>65171</v>
      </c>
      <c r="J9" s="676">
        <f t="shared" si="4"/>
        <v>66629</v>
      </c>
      <c r="K9" s="676">
        <f t="shared" si="4"/>
        <v>70558</v>
      </c>
      <c r="L9" s="676">
        <f t="shared" si="4"/>
        <v>72537</v>
      </c>
      <c r="M9" s="676">
        <f t="shared" si="4"/>
        <v>71660</v>
      </c>
      <c r="N9" s="676">
        <f t="shared" si="4"/>
        <v>77250</v>
      </c>
      <c r="O9" s="676">
        <f>SUM(O19,O22:O23,O28:O31,O33,O35:O36,O38,O40)</f>
        <v>77361</v>
      </c>
      <c r="Q9" s="674" t="s">
        <v>5210</v>
      </c>
    </row>
    <row r="10" spans="1:17">
      <c r="D10" s="677"/>
      <c r="E10" s="677"/>
      <c r="F10" s="677"/>
      <c r="G10" s="677"/>
      <c r="H10" s="677"/>
      <c r="I10" s="677"/>
      <c r="J10" s="677"/>
      <c r="K10" s="677"/>
      <c r="L10" s="677"/>
      <c r="M10" s="677"/>
      <c r="N10" s="677"/>
      <c r="O10" s="677"/>
    </row>
    <row r="11" spans="1:17">
      <c r="A11" s="674" t="s">
        <v>6796</v>
      </c>
      <c r="D11" s="676">
        <f t="shared" ref="D11:I11" si="5">D7+D9</f>
        <v>146843</v>
      </c>
      <c r="E11" s="676">
        <f t="shared" si="5"/>
        <v>150040</v>
      </c>
      <c r="F11" s="676">
        <f t="shared" si="5"/>
        <v>150014</v>
      </c>
      <c r="G11" s="676">
        <f t="shared" si="5"/>
        <v>150069</v>
      </c>
      <c r="H11" s="676">
        <f t="shared" si="5"/>
        <v>150479</v>
      </c>
      <c r="I11" s="676">
        <f t="shared" si="5"/>
        <v>138463</v>
      </c>
      <c r="J11" s="676">
        <f t="shared" ref="J11:O11" si="6">J7+J9</f>
        <v>141270</v>
      </c>
      <c r="K11" s="676">
        <f t="shared" si="6"/>
        <v>148294</v>
      </c>
      <c r="L11" s="676">
        <f t="shared" si="6"/>
        <v>151424</v>
      </c>
      <c r="M11" s="676">
        <f t="shared" si="6"/>
        <v>149143</v>
      </c>
      <c r="N11" s="676">
        <f t="shared" si="6"/>
        <v>161259</v>
      </c>
      <c r="O11" s="676">
        <f t="shared" si="6"/>
        <v>161405</v>
      </c>
    </row>
    <row r="12" spans="1:17">
      <c r="D12" s="677"/>
      <c r="E12" s="677"/>
      <c r="F12" s="677"/>
      <c r="G12" s="677"/>
      <c r="H12" s="677"/>
      <c r="I12" s="677"/>
      <c r="J12" s="677"/>
      <c r="K12" s="677"/>
      <c r="L12" s="677"/>
      <c r="M12" s="677"/>
      <c r="N12" s="677"/>
      <c r="O12" s="677"/>
    </row>
    <row r="13" spans="1:17">
      <c r="A13" s="674" t="s">
        <v>6797</v>
      </c>
      <c r="D13" s="676">
        <f t="shared" ref="D13:I13" si="7">MAX(D7,D9)-MIN(D7,D9)</f>
        <v>10167</v>
      </c>
      <c r="E13" s="676">
        <f t="shared" si="7"/>
        <v>9716</v>
      </c>
      <c r="F13" s="676">
        <f t="shared" si="7"/>
        <v>10042</v>
      </c>
      <c r="G13" s="676">
        <f t="shared" si="7"/>
        <v>9389</v>
      </c>
      <c r="H13" s="676">
        <f t="shared" si="7"/>
        <v>8713</v>
      </c>
      <c r="I13" s="676">
        <f t="shared" si="7"/>
        <v>8121</v>
      </c>
      <c r="J13" s="676">
        <f t="shared" ref="J13:O13" si="8">MAX(J7,J9)-MIN(J7,J9)</f>
        <v>8012</v>
      </c>
      <c r="K13" s="676">
        <f t="shared" si="8"/>
        <v>7178</v>
      </c>
      <c r="L13" s="676">
        <f t="shared" si="8"/>
        <v>6350</v>
      </c>
      <c r="M13" s="676">
        <f t="shared" si="8"/>
        <v>5823</v>
      </c>
      <c r="N13" s="676">
        <f t="shared" si="8"/>
        <v>6759</v>
      </c>
      <c r="O13" s="676">
        <f t="shared" si="8"/>
        <v>6683</v>
      </c>
    </row>
    <row r="14" spans="1:17">
      <c r="D14" s="677"/>
      <c r="E14" s="677"/>
      <c r="F14" s="677"/>
      <c r="G14" s="677"/>
      <c r="H14" s="677"/>
      <c r="I14" s="677"/>
      <c r="J14" s="677"/>
      <c r="K14" s="677"/>
      <c r="L14" s="677"/>
      <c r="M14" s="677"/>
      <c r="N14" s="677"/>
      <c r="O14" s="677"/>
    </row>
    <row r="15" spans="1:17">
      <c r="A15" s="674" t="s">
        <v>6800</v>
      </c>
      <c r="D15" s="676">
        <f t="shared" ref="D15:I15" si="9">STDEVP(D7,D9)</f>
        <v>5083.5</v>
      </c>
      <c r="E15" s="676">
        <f t="shared" si="9"/>
        <v>4858</v>
      </c>
      <c r="F15" s="676">
        <f t="shared" si="9"/>
        <v>5021</v>
      </c>
      <c r="G15" s="676">
        <f t="shared" si="9"/>
        <v>4694.5</v>
      </c>
      <c r="H15" s="676">
        <f t="shared" si="9"/>
        <v>4356.5</v>
      </c>
      <c r="I15" s="676">
        <f t="shared" si="9"/>
        <v>4060.5</v>
      </c>
      <c r="J15" s="676">
        <f t="shared" ref="J15:O15" si="10">STDEVP(J7,J9)</f>
        <v>4006</v>
      </c>
      <c r="K15" s="676">
        <f t="shared" si="10"/>
        <v>3589</v>
      </c>
      <c r="L15" s="676">
        <f t="shared" si="10"/>
        <v>3175</v>
      </c>
      <c r="M15" s="676">
        <f t="shared" si="10"/>
        <v>2911.5</v>
      </c>
      <c r="N15" s="676">
        <f t="shared" si="10"/>
        <v>3379.5</v>
      </c>
      <c r="O15" s="676">
        <f t="shared" si="10"/>
        <v>3341.5</v>
      </c>
    </row>
    <row r="16" spans="1:17">
      <c r="D16" s="677"/>
      <c r="E16" s="677"/>
      <c r="F16" s="677"/>
      <c r="G16" s="677"/>
      <c r="H16" s="677"/>
      <c r="I16" s="677"/>
      <c r="J16" s="677"/>
      <c r="K16" s="677"/>
      <c r="L16" s="677"/>
      <c r="M16" s="677"/>
      <c r="N16" s="677"/>
      <c r="O16" s="677"/>
    </row>
    <row r="17" spans="1:17">
      <c r="A17" s="674" t="s">
        <v>5387</v>
      </c>
      <c r="B17" s="674" t="s">
        <v>16028</v>
      </c>
      <c r="C17" s="55" t="s">
        <v>16027</v>
      </c>
      <c r="D17" s="678">
        <v>78505</v>
      </c>
      <c r="E17" s="678">
        <v>79878</v>
      </c>
      <c r="F17" s="678">
        <v>80028</v>
      </c>
      <c r="G17" s="678">
        <v>79729</v>
      </c>
      <c r="H17" s="56">
        <v>79596</v>
      </c>
      <c r="I17" s="56">
        <v>73292</v>
      </c>
      <c r="J17" s="56">
        <v>74641</v>
      </c>
      <c r="K17" s="56">
        <v>77736</v>
      </c>
      <c r="L17" s="56">
        <v>78887</v>
      </c>
      <c r="M17" s="56">
        <v>77483</v>
      </c>
      <c r="N17" s="56">
        <v>84009</v>
      </c>
      <c r="O17" s="56">
        <v>6317</v>
      </c>
      <c r="Q17" s="674" t="s">
        <v>5209</v>
      </c>
    </row>
    <row r="18" spans="1:17">
      <c r="A18" s="674" t="s">
        <v>5389</v>
      </c>
      <c r="B18" s="674" t="s">
        <v>5212</v>
      </c>
      <c r="C18" s="55" t="s">
        <v>16029</v>
      </c>
      <c r="D18" s="678">
        <v>0</v>
      </c>
      <c r="E18" s="678">
        <v>0</v>
      </c>
      <c r="F18" s="678">
        <v>0</v>
      </c>
      <c r="G18" s="678">
        <v>0</v>
      </c>
      <c r="H18" s="678">
        <v>0</v>
      </c>
      <c r="I18" s="678">
        <v>0</v>
      </c>
      <c r="J18" s="678">
        <v>0</v>
      </c>
      <c r="K18" s="678">
        <v>0</v>
      </c>
      <c r="L18" s="678">
        <v>0</v>
      </c>
      <c r="M18" s="678">
        <v>0</v>
      </c>
      <c r="N18" s="678">
        <v>0</v>
      </c>
      <c r="O18" s="56">
        <v>5870</v>
      </c>
      <c r="Q18" s="674" t="s">
        <v>5209</v>
      </c>
    </row>
    <row r="19" spans="1:17">
      <c r="A19" s="674" t="s">
        <v>5391</v>
      </c>
      <c r="B19" s="674" t="s">
        <v>16041</v>
      </c>
      <c r="C19" s="55" t="s">
        <v>16040</v>
      </c>
      <c r="D19" s="678">
        <v>68338</v>
      </c>
      <c r="E19" s="678">
        <v>70162</v>
      </c>
      <c r="F19" s="678">
        <v>69986</v>
      </c>
      <c r="G19" s="678">
        <v>70340</v>
      </c>
      <c r="H19" s="56">
        <v>70883</v>
      </c>
      <c r="I19" s="56">
        <v>65171</v>
      </c>
      <c r="J19" s="56">
        <v>66629</v>
      </c>
      <c r="K19" s="56">
        <v>70558</v>
      </c>
      <c r="L19" s="56">
        <v>72537</v>
      </c>
      <c r="M19" s="56">
        <v>71660</v>
      </c>
      <c r="N19" s="56">
        <v>77250</v>
      </c>
      <c r="O19" s="56">
        <v>7521</v>
      </c>
      <c r="Q19" s="674" t="s">
        <v>5211</v>
      </c>
    </row>
    <row r="20" spans="1:17">
      <c r="A20" s="674" t="s">
        <v>5393</v>
      </c>
      <c r="B20" s="674" t="s">
        <v>5200</v>
      </c>
      <c r="C20" s="55" t="s">
        <v>16030</v>
      </c>
      <c r="D20" s="678">
        <v>0</v>
      </c>
      <c r="E20" s="678">
        <v>0</v>
      </c>
      <c r="F20" s="678">
        <v>0</v>
      </c>
      <c r="G20" s="678">
        <v>0</v>
      </c>
      <c r="H20" s="678">
        <v>0</v>
      </c>
      <c r="I20" s="678">
        <v>0</v>
      </c>
      <c r="J20" s="678">
        <v>0</v>
      </c>
      <c r="K20" s="678">
        <v>0</v>
      </c>
      <c r="L20" s="678">
        <v>0</v>
      </c>
      <c r="M20" s="678">
        <v>0</v>
      </c>
      <c r="N20" s="678">
        <v>0</v>
      </c>
      <c r="O20" s="56">
        <v>9987</v>
      </c>
      <c r="Q20" s="674" t="s">
        <v>5209</v>
      </c>
    </row>
    <row r="21" spans="1:17">
      <c r="A21" s="674" t="s">
        <v>5394</v>
      </c>
      <c r="B21" s="674" t="s">
        <v>5201</v>
      </c>
      <c r="C21" s="55" t="s">
        <v>16031</v>
      </c>
      <c r="D21" s="678">
        <v>0</v>
      </c>
      <c r="E21" s="678">
        <v>0</v>
      </c>
      <c r="F21" s="678">
        <v>0</v>
      </c>
      <c r="G21" s="678">
        <v>0</v>
      </c>
      <c r="H21" s="678">
        <v>0</v>
      </c>
      <c r="I21" s="678">
        <v>0</v>
      </c>
      <c r="J21" s="678">
        <v>0</v>
      </c>
      <c r="K21" s="678">
        <v>0</v>
      </c>
      <c r="L21" s="678">
        <v>0</v>
      </c>
      <c r="M21" s="678">
        <v>0</v>
      </c>
      <c r="N21" s="678">
        <v>0</v>
      </c>
      <c r="O21" s="56">
        <v>8838</v>
      </c>
      <c r="Q21" s="674" t="s">
        <v>5209</v>
      </c>
    </row>
    <row r="22" spans="1:17">
      <c r="A22" s="674" t="s">
        <v>5416</v>
      </c>
      <c r="B22" s="674" t="s">
        <v>5202</v>
      </c>
      <c r="C22" s="55" t="s">
        <v>16042</v>
      </c>
      <c r="D22" s="678">
        <v>0</v>
      </c>
      <c r="E22" s="678">
        <v>0</v>
      </c>
      <c r="F22" s="678">
        <v>0</v>
      </c>
      <c r="G22" s="678">
        <v>0</v>
      </c>
      <c r="H22" s="678">
        <v>0</v>
      </c>
      <c r="I22" s="678">
        <v>0</v>
      </c>
      <c r="J22" s="678">
        <v>0</v>
      </c>
      <c r="K22" s="678">
        <v>0</v>
      </c>
      <c r="L22" s="678">
        <v>0</v>
      </c>
      <c r="M22" s="678">
        <v>0</v>
      </c>
      <c r="N22" s="678">
        <v>0</v>
      </c>
      <c r="O22" s="56">
        <v>8225</v>
      </c>
      <c r="Q22" s="674" t="s">
        <v>5211</v>
      </c>
    </row>
    <row r="23" spans="1:17">
      <c r="A23" s="674" t="s">
        <v>5418</v>
      </c>
      <c r="B23" s="674" t="s">
        <v>16044</v>
      </c>
      <c r="C23" s="55" t="s">
        <v>16043</v>
      </c>
      <c r="D23" s="678">
        <v>0</v>
      </c>
      <c r="E23" s="678">
        <v>0</v>
      </c>
      <c r="F23" s="678">
        <v>0</v>
      </c>
      <c r="G23" s="678">
        <v>0</v>
      </c>
      <c r="H23" s="678">
        <v>0</v>
      </c>
      <c r="I23" s="678">
        <v>0</v>
      </c>
      <c r="J23" s="678">
        <v>0</v>
      </c>
      <c r="K23" s="678">
        <v>0</v>
      </c>
      <c r="L23" s="678">
        <v>0</v>
      </c>
      <c r="M23" s="678">
        <v>0</v>
      </c>
      <c r="N23" s="678">
        <v>0</v>
      </c>
      <c r="O23" s="56">
        <v>5910</v>
      </c>
      <c r="Q23" s="674" t="s">
        <v>5211</v>
      </c>
    </row>
    <row r="24" spans="1:17">
      <c r="A24" s="674" t="s">
        <v>5420</v>
      </c>
      <c r="B24" s="674" t="s">
        <v>4766</v>
      </c>
      <c r="C24" s="55" t="s">
        <v>16032</v>
      </c>
      <c r="D24" s="678">
        <v>0</v>
      </c>
      <c r="E24" s="678">
        <v>0</v>
      </c>
      <c r="F24" s="678">
        <v>0</v>
      </c>
      <c r="G24" s="678">
        <v>0</v>
      </c>
      <c r="H24" s="678">
        <v>0</v>
      </c>
      <c r="I24" s="678">
        <v>0</v>
      </c>
      <c r="J24" s="678">
        <v>0</v>
      </c>
      <c r="K24" s="678">
        <v>0</v>
      </c>
      <c r="L24" s="678">
        <v>0</v>
      </c>
      <c r="M24" s="678">
        <v>0</v>
      </c>
      <c r="N24" s="678">
        <v>0</v>
      </c>
      <c r="O24" s="56">
        <v>9399</v>
      </c>
      <c r="Q24" s="674" t="s">
        <v>5209</v>
      </c>
    </row>
    <row r="25" spans="1:17">
      <c r="A25" s="674" t="s">
        <v>5422</v>
      </c>
      <c r="B25" s="674" t="s">
        <v>5203</v>
      </c>
      <c r="C25" s="55" t="s">
        <v>16033</v>
      </c>
      <c r="D25" s="678">
        <v>0</v>
      </c>
      <c r="E25" s="678">
        <v>0</v>
      </c>
      <c r="F25" s="678">
        <v>0</v>
      </c>
      <c r="G25" s="678">
        <v>0</v>
      </c>
      <c r="H25" s="678">
        <v>0</v>
      </c>
      <c r="I25" s="678">
        <v>0</v>
      </c>
      <c r="J25" s="678">
        <v>0</v>
      </c>
      <c r="K25" s="678">
        <v>0</v>
      </c>
      <c r="L25" s="678">
        <v>0</v>
      </c>
      <c r="M25" s="678">
        <v>0</v>
      </c>
      <c r="N25" s="678">
        <v>0</v>
      </c>
      <c r="O25" s="56">
        <v>10508</v>
      </c>
      <c r="Q25" s="674" t="s">
        <v>5209</v>
      </c>
    </row>
    <row r="26" spans="1:17">
      <c r="A26" s="674" t="s">
        <v>5424</v>
      </c>
      <c r="B26" s="674" t="s">
        <v>5204</v>
      </c>
      <c r="C26" s="55" t="s">
        <v>16034</v>
      </c>
      <c r="D26" s="678">
        <v>0</v>
      </c>
      <c r="E26" s="678">
        <v>0</v>
      </c>
      <c r="F26" s="678">
        <v>0</v>
      </c>
      <c r="G26" s="678">
        <v>0</v>
      </c>
      <c r="H26" s="678">
        <v>0</v>
      </c>
      <c r="I26" s="678">
        <v>0</v>
      </c>
      <c r="J26" s="678">
        <v>0</v>
      </c>
      <c r="K26" s="678">
        <v>0</v>
      </c>
      <c r="L26" s="678">
        <v>0</v>
      </c>
      <c r="M26" s="678">
        <v>0</v>
      </c>
      <c r="N26" s="678">
        <v>0</v>
      </c>
      <c r="O26" s="56">
        <v>6362</v>
      </c>
      <c r="Q26" s="674" t="s">
        <v>5209</v>
      </c>
    </row>
    <row r="27" spans="1:17">
      <c r="A27" s="674" t="s">
        <v>5426</v>
      </c>
      <c r="B27" s="674" t="s">
        <v>5205</v>
      </c>
      <c r="C27" s="55" t="s">
        <v>16035</v>
      </c>
      <c r="D27" s="678">
        <v>0</v>
      </c>
      <c r="E27" s="678">
        <v>0</v>
      </c>
      <c r="F27" s="678">
        <v>0</v>
      </c>
      <c r="G27" s="678">
        <v>0</v>
      </c>
      <c r="H27" s="678">
        <v>0</v>
      </c>
      <c r="I27" s="678">
        <v>0</v>
      </c>
      <c r="J27" s="678">
        <v>0</v>
      </c>
      <c r="K27" s="678">
        <v>0</v>
      </c>
      <c r="L27" s="678">
        <v>0</v>
      </c>
      <c r="M27" s="678">
        <v>0</v>
      </c>
      <c r="N27" s="678">
        <v>0</v>
      </c>
      <c r="O27" s="56">
        <v>7855</v>
      </c>
      <c r="Q27" s="674" t="s">
        <v>5209</v>
      </c>
    </row>
    <row r="28" spans="1:17">
      <c r="A28" s="674" t="s">
        <v>5428</v>
      </c>
      <c r="B28" s="674" t="s">
        <v>5206</v>
      </c>
      <c r="C28" s="55" t="s">
        <v>16045</v>
      </c>
      <c r="D28" s="678">
        <v>0</v>
      </c>
      <c r="E28" s="678">
        <v>0</v>
      </c>
      <c r="F28" s="678">
        <v>0</v>
      </c>
      <c r="G28" s="678">
        <v>0</v>
      </c>
      <c r="H28" s="678">
        <v>0</v>
      </c>
      <c r="I28" s="678">
        <v>0</v>
      </c>
      <c r="J28" s="678">
        <v>0</v>
      </c>
      <c r="K28" s="678">
        <v>0</v>
      </c>
      <c r="L28" s="678">
        <v>0</v>
      </c>
      <c r="M28" s="678">
        <v>0</v>
      </c>
      <c r="N28" s="678">
        <v>0</v>
      </c>
      <c r="O28" s="56">
        <v>7718</v>
      </c>
      <c r="Q28" s="674" t="s">
        <v>5211</v>
      </c>
    </row>
    <row r="29" spans="1:17">
      <c r="A29" s="674" t="s">
        <v>5429</v>
      </c>
      <c r="B29" s="674" t="s">
        <v>5207</v>
      </c>
      <c r="C29" s="55" t="s">
        <v>16049</v>
      </c>
      <c r="D29" s="678">
        <v>0</v>
      </c>
      <c r="E29" s="678">
        <v>0</v>
      </c>
      <c r="F29" s="678">
        <v>0</v>
      </c>
      <c r="G29" s="678">
        <v>0</v>
      </c>
      <c r="H29" s="678">
        <v>0</v>
      </c>
      <c r="I29" s="678">
        <v>0</v>
      </c>
      <c r="J29" s="678">
        <v>0</v>
      </c>
      <c r="K29" s="678">
        <v>0</v>
      </c>
      <c r="L29" s="678">
        <v>0</v>
      </c>
      <c r="M29" s="678">
        <v>0</v>
      </c>
      <c r="N29" s="678">
        <v>0</v>
      </c>
      <c r="O29" s="56">
        <v>5765</v>
      </c>
      <c r="Q29" s="674" t="s">
        <v>5211</v>
      </c>
    </row>
    <row r="30" spans="1:17">
      <c r="A30" s="674" t="s">
        <v>5431</v>
      </c>
      <c r="B30" s="674" t="s">
        <v>5180</v>
      </c>
      <c r="C30" s="55" t="s">
        <v>16046</v>
      </c>
      <c r="D30" s="678">
        <v>0</v>
      </c>
      <c r="E30" s="678">
        <v>0</v>
      </c>
      <c r="F30" s="678">
        <v>0</v>
      </c>
      <c r="G30" s="678">
        <v>0</v>
      </c>
      <c r="H30" s="678">
        <v>0</v>
      </c>
      <c r="I30" s="678">
        <v>0</v>
      </c>
      <c r="J30" s="678">
        <v>0</v>
      </c>
      <c r="K30" s="678">
        <v>0</v>
      </c>
      <c r="L30" s="678">
        <v>0</v>
      </c>
      <c r="M30" s="678">
        <v>0</v>
      </c>
      <c r="N30" s="678">
        <v>0</v>
      </c>
      <c r="O30" s="56">
        <v>5181</v>
      </c>
      <c r="Q30" s="674" t="s">
        <v>5211</v>
      </c>
    </row>
    <row r="31" spans="1:17">
      <c r="A31" s="674" t="s">
        <v>5433</v>
      </c>
      <c r="B31" s="674" t="s">
        <v>16048</v>
      </c>
      <c r="C31" s="55" t="s">
        <v>16047</v>
      </c>
      <c r="D31" s="678">
        <v>0</v>
      </c>
      <c r="E31" s="678">
        <v>0</v>
      </c>
      <c r="F31" s="678">
        <v>0</v>
      </c>
      <c r="G31" s="678">
        <v>0</v>
      </c>
      <c r="H31" s="678">
        <v>0</v>
      </c>
      <c r="I31" s="678">
        <v>0</v>
      </c>
      <c r="J31" s="678">
        <v>0</v>
      </c>
      <c r="K31" s="678">
        <v>0</v>
      </c>
      <c r="L31" s="678">
        <v>0</v>
      </c>
      <c r="M31" s="678">
        <v>0</v>
      </c>
      <c r="N31" s="678">
        <v>0</v>
      </c>
      <c r="O31" s="56">
        <v>8399</v>
      </c>
      <c r="Q31" s="674" t="s">
        <v>5211</v>
      </c>
    </row>
    <row r="32" spans="1:17">
      <c r="A32" s="674" t="s">
        <v>5435</v>
      </c>
      <c r="B32" s="674" t="s">
        <v>5181</v>
      </c>
      <c r="C32" s="55" t="s">
        <v>16036</v>
      </c>
      <c r="D32" s="678">
        <v>0</v>
      </c>
      <c r="E32" s="678">
        <v>0</v>
      </c>
      <c r="F32" s="678">
        <v>0</v>
      </c>
      <c r="G32" s="678">
        <v>0</v>
      </c>
      <c r="H32" s="678">
        <v>0</v>
      </c>
      <c r="I32" s="678">
        <v>0</v>
      </c>
      <c r="J32" s="678">
        <v>0</v>
      </c>
      <c r="K32" s="678">
        <v>0</v>
      </c>
      <c r="L32" s="678">
        <v>0</v>
      </c>
      <c r="M32" s="678">
        <v>0</v>
      </c>
      <c r="N32" s="678">
        <v>0</v>
      </c>
      <c r="O32" s="56">
        <v>8742</v>
      </c>
      <c r="Q32" s="674" t="s">
        <v>5209</v>
      </c>
    </row>
    <row r="33" spans="1:17" ht="15.75" thickBot="1">
      <c r="B33" s="674"/>
      <c r="C33" s="55" t="s">
        <v>16036</v>
      </c>
      <c r="D33" s="678">
        <v>0</v>
      </c>
      <c r="E33" s="678">
        <v>0</v>
      </c>
      <c r="F33" s="678">
        <v>0</v>
      </c>
      <c r="G33" s="678">
        <v>0</v>
      </c>
      <c r="H33" s="678">
        <v>0</v>
      </c>
      <c r="I33" s="678">
        <v>0</v>
      </c>
      <c r="J33" s="678">
        <v>0</v>
      </c>
      <c r="K33" s="678">
        <v>0</v>
      </c>
      <c r="L33" s="678">
        <v>0</v>
      </c>
      <c r="M33" s="678">
        <v>0</v>
      </c>
      <c r="N33" s="678">
        <v>0</v>
      </c>
      <c r="O33" s="56">
        <v>22</v>
      </c>
      <c r="Q33" s="674" t="s">
        <v>5211</v>
      </c>
    </row>
    <row r="34" spans="1:17" ht="15.75" thickBot="1">
      <c r="B34" s="674"/>
      <c r="C34" s="55" t="s">
        <v>16036</v>
      </c>
      <c r="D34" s="49">
        <f t="shared" ref="D34:O34" si="11">D32+D33</f>
        <v>0</v>
      </c>
      <c r="E34" s="49">
        <f t="shared" si="11"/>
        <v>0</v>
      </c>
      <c r="F34" s="49">
        <f t="shared" si="11"/>
        <v>0</v>
      </c>
      <c r="G34" s="49">
        <f t="shared" si="11"/>
        <v>0</v>
      </c>
      <c r="H34" s="49">
        <f t="shared" si="11"/>
        <v>0</v>
      </c>
      <c r="I34" s="49">
        <f t="shared" si="11"/>
        <v>0</v>
      </c>
      <c r="J34" s="49">
        <f t="shared" si="11"/>
        <v>0</v>
      </c>
      <c r="K34" s="49">
        <f t="shared" si="11"/>
        <v>0</v>
      </c>
      <c r="L34" s="49">
        <f t="shared" si="11"/>
        <v>0</v>
      </c>
      <c r="M34" s="49">
        <f t="shared" si="11"/>
        <v>0</v>
      </c>
      <c r="N34" s="49">
        <f t="shared" si="11"/>
        <v>0</v>
      </c>
      <c r="O34" s="49">
        <f t="shared" si="11"/>
        <v>8764</v>
      </c>
      <c r="Q34" s="674"/>
    </row>
    <row r="35" spans="1:17">
      <c r="A35" s="674" t="s">
        <v>5436</v>
      </c>
      <c r="B35" s="674" t="s">
        <v>16051</v>
      </c>
      <c r="C35" s="55" t="s">
        <v>16050</v>
      </c>
      <c r="D35" s="678">
        <v>0</v>
      </c>
      <c r="E35" s="678">
        <v>0</v>
      </c>
      <c r="F35" s="678">
        <v>0</v>
      </c>
      <c r="G35" s="678">
        <v>0</v>
      </c>
      <c r="H35" s="678">
        <v>0</v>
      </c>
      <c r="I35" s="678">
        <v>0</v>
      </c>
      <c r="J35" s="678">
        <v>0</v>
      </c>
      <c r="K35" s="678">
        <v>0</v>
      </c>
      <c r="L35" s="678">
        <v>0</v>
      </c>
      <c r="M35" s="678">
        <v>0</v>
      </c>
      <c r="N35" s="678">
        <v>0</v>
      </c>
      <c r="O35" s="56">
        <v>8381</v>
      </c>
      <c r="Q35" s="674" t="s">
        <v>5211</v>
      </c>
    </row>
    <row r="36" spans="1:17">
      <c r="A36" s="674" t="s">
        <v>5437</v>
      </c>
      <c r="B36" s="674" t="s">
        <v>5182</v>
      </c>
      <c r="C36" s="55" t="s">
        <v>16052</v>
      </c>
      <c r="D36" s="678">
        <v>0</v>
      </c>
      <c r="E36" s="678">
        <v>0</v>
      </c>
      <c r="F36" s="678">
        <v>0</v>
      </c>
      <c r="G36" s="678">
        <v>0</v>
      </c>
      <c r="H36" s="678">
        <v>0</v>
      </c>
      <c r="I36" s="678">
        <v>0</v>
      </c>
      <c r="J36" s="678">
        <v>0</v>
      </c>
      <c r="K36" s="678">
        <v>0</v>
      </c>
      <c r="L36" s="678">
        <v>0</v>
      </c>
      <c r="M36" s="678">
        <v>0</v>
      </c>
      <c r="N36" s="678">
        <v>0</v>
      </c>
      <c r="O36" s="56">
        <v>5505</v>
      </c>
      <c r="Q36" s="674" t="s">
        <v>5211</v>
      </c>
    </row>
    <row r="37" spans="1:17">
      <c r="A37" s="674" t="s">
        <v>5439</v>
      </c>
      <c r="B37" s="674" t="s">
        <v>5183</v>
      </c>
      <c r="C37" s="55" t="s">
        <v>16037</v>
      </c>
      <c r="D37" s="678">
        <v>0</v>
      </c>
      <c r="E37" s="678">
        <v>0</v>
      </c>
      <c r="F37" s="678">
        <v>0</v>
      </c>
      <c r="G37" s="678">
        <v>0</v>
      </c>
      <c r="H37" s="678">
        <v>0</v>
      </c>
      <c r="I37" s="678">
        <v>0</v>
      </c>
      <c r="J37" s="678">
        <v>0</v>
      </c>
      <c r="K37" s="678">
        <v>0</v>
      </c>
      <c r="L37" s="678">
        <v>0</v>
      </c>
      <c r="M37" s="678">
        <v>0</v>
      </c>
      <c r="N37" s="678">
        <v>0</v>
      </c>
      <c r="O37" s="56">
        <v>183</v>
      </c>
      <c r="Q37" s="674" t="s">
        <v>5209</v>
      </c>
    </row>
    <row r="38" spans="1:17">
      <c r="A38" s="1013" t="s">
        <v>5441</v>
      </c>
      <c r="B38" s="674" t="s">
        <v>5183</v>
      </c>
      <c r="C38" s="55" t="s">
        <v>16037</v>
      </c>
      <c r="D38" s="678">
        <v>0</v>
      </c>
      <c r="E38" s="678">
        <v>0</v>
      </c>
      <c r="F38" s="678">
        <v>0</v>
      </c>
      <c r="G38" s="678">
        <v>0</v>
      </c>
      <c r="H38" s="678">
        <v>0</v>
      </c>
      <c r="I38" s="678">
        <v>0</v>
      </c>
      <c r="J38" s="678">
        <v>0</v>
      </c>
      <c r="K38" s="678">
        <v>0</v>
      </c>
      <c r="L38" s="678">
        <v>0</v>
      </c>
      <c r="M38" s="678">
        <v>0</v>
      </c>
      <c r="N38" s="678">
        <v>0</v>
      </c>
      <c r="O38" s="58">
        <v>8494</v>
      </c>
      <c r="Q38" s="674" t="s">
        <v>5211</v>
      </c>
    </row>
    <row r="39" spans="1:17">
      <c r="A39" s="1013" t="s">
        <v>5886</v>
      </c>
      <c r="B39" s="674" t="s">
        <v>5184</v>
      </c>
      <c r="C39" s="55" t="s">
        <v>16038</v>
      </c>
      <c r="D39" s="678">
        <v>0</v>
      </c>
      <c r="E39" s="678">
        <v>0</v>
      </c>
      <c r="F39" s="678">
        <v>0</v>
      </c>
      <c r="G39" s="678">
        <v>0</v>
      </c>
      <c r="H39" s="678">
        <v>0</v>
      </c>
      <c r="I39" s="678">
        <v>0</v>
      </c>
      <c r="J39" s="678">
        <v>0</v>
      </c>
      <c r="K39" s="678">
        <v>0</v>
      </c>
      <c r="L39" s="678">
        <v>0</v>
      </c>
      <c r="M39" s="678">
        <v>0</v>
      </c>
      <c r="N39" s="678">
        <v>0</v>
      </c>
      <c r="O39" s="58">
        <v>1896</v>
      </c>
      <c r="Q39" s="674" t="s">
        <v>5209</v>
      </c>
    </row>
    <row r="40" spans="1:17" ht="15.75" thickBot="1">
      <c r="A40" s="1013"/>
      <c r="B40" s="674"/>
      <c r="C40" s="55" t="s">
        <v>16038</v>
      </c>
      <c r="D40" s="678">
        <v>0</v>
      </c>
      <c r="E40" s="678">
        <v>0</v>
      </c>
      <c r="F40" s="678">
        <v>0</v>
      </c>
      <c r="G40" s="678">
        <v>0</v>
      </c>
      <c r="H40" s="678">
        <v>0</v>
      </c>
      <c r="I40" s="678">
        <v>0</v>
      </c>
      <c r="J40" s="678">
        <v>0</v>
      </c>
      <c r="K40" s="678">
        <v>0</v>
      </c>
      <c r="L40" s="678">
        <v>0</v>
      </c>
      <c r="M40" s="678">
        <v>0</v>
      </c>
      <c r="N40" s="678">
        <v>0</v>
      </c>
      <c r="O40" s="58">
        <v>6240</v>
      </c>
      <c r="Q40" s="674" t="s">
        <v>5211</v>
      </c>
    </row>
    <row r="41" spans="1:17" ht="15.75" thickBot="1">
      <c r="A41" s="1013"/>
      <c r="B41" s="674"/>
      <c r="C41" s="55" t="s">
        <v>16038</v>
      </c>
      <c r="D41" s="49">
        <f t="shared" ref="D41:O41" si="12">D39+D40</f>
        <v>0</v>
      </c>
      <c r="E41" s="49">
        <f t="shared" si="12"/>
        <v>0</v>
      </c>
      <c r="F41" s="49">
        <f t="shared" si="12"/>
        <v>0</v>
      </c>
      <c r="G41" s="49">
        <f t="shared" si="12"/>
        <v>0</v>
      </c>
      <c r="H41" s="49">
        <f t="shared" si="12"/>
        <v>0</v>
      </c>
      <c r="I41" s="49">
        <f t="shared" si="12"/>
        <v>0</v>
      </c>
      <c r="J41" s="49">
        <f t="shared" si="12"/>
        <v>0</v>
      </c>
      <c r="K41" s="49">
        <f t="shared" si="12"/>
        <v>0</v>
      </c>
      <c r="L41" s="49">
        <f t="shared" si="12"/>
        <v>0</v>
      </c>
      <c r="M41" s="49">
        <f t="shared" si="12"/>
        <v>0</v>
      </c>
      <c r="N41" s="49">
        <f t="shared" si="12"/>
        <v>0</v>
      </c>
      <c r="O41" s="49">
        <f t="shared" si="12"/>
        <v>8136</v>
      </c>
      <c r="Q41" s="674"/>
    </row>
    <row r="42" spans="1:17">
      <c r="A42" s="1013" t="s">
        <v>5888</v>
      </c>
      <c r="B42" s="674" t="s">
        <v>4956</v>
      </c>
      <c r="C42" s="55" t="s">
        <v>16039</v>
      </c>
      <c r="D42" s="678">
        <v>0</v>
      </c>
      <c r="E42" s="678">
        <v>0</v>
      </c>
      <c r="F42" s="678">
        <v>0</v>
      </c>
      <c r="G42" s="678">
        <v>0</v>
      </c>
      <c r="H42" s="678">
        <v>0</v>
      </c>
      <c r="I42" s="678">
        <v>0</v>
      </c>
      <c r="J42" s="678">
        <v>0</v>
      </c>
      <c r="K42" s="678">
        <v>0</v>
      </c>
      <c r="L42" s="678">
        <v>0</v>
      </c>
      <c r="M42" s="678">
        <v>0</v>
      </c>
      <c r="N42" s="678">
        <v>0</v>
      </c>
      <c r="O42" s="56">
        <v>8087</v>
      </c>
      <c r="Q42" s="674" t="s">
        <v>5209</v>
      </c>
    </row>
    <row r="43" spans="1:17">
      <c r="A43" s="674"/>
      <c r="B43" s="674"/>
      <c r="C43" s="674"/>
      <c r="D43" s="676"/>
      <c r="E43" s="676"/>
      <c r="F43" s="676"/>
      <c r="G43" s="676"/>
      <c r="H43" s="676"/>
      <c r="I43" s="676"/>
      <c r="J43" s="676"/>
      <c r="K43" s="676"/>
      <c r="L43" s="676"/>
      <c r="Q43" s="674"/>
    </row>
    <row r="44" spans="1:17">
      <c r="A44" s="674" t="s">
        <v>5185</v>
      </c>
      <c r="B44" s="674"/>
      <c r="C44" s="674"/>
      <c r="D44" s="676"/>
      <c r="E44" s="676"/>
      <c r="F44" s="676"/>
      <c r="G44" s="676"/>
      <c r="H44" s="676"/>
      <c r="I44" s="676"/>
      <c r="J44" s="676"/>
      <c r="K44" s="676"/>
      <c r="L44" s="676"/>
      <c r="Q44" s="674"/>
    </row>
    <row r="45" spans="1:17">
      <c r="A45" s="674"/>
      <c r="B45" s="674"/>
      <c r="C45" s="674"/>
      <c r="D45" s="676"/>
      <c r="E45" s="676"/>
      <c r="F45" s="676"/>
      <c r="G45" s="676"/>
      <c r="H45" s="676"/>
      <c r="I45" s="676"/>
      <c r="J45" s="676"/>
      <c r="K45" s="676"/>
      <c r="L45" s="676"/>
      <c r="Q45" s="674"/>
    </row>
    <row r="46" spans="1:17">
      <c r="A46" s="1009" t="s">
        <v>16023</v>
      </c>
    </row>
    <row r="47" spans="1:17">
      <c r="A47" s="152" t="s">
        <v>16094</v>
      </c>
    </row>
    <row r="48" spans="1:17">
      <c r="A48" s="167" t="s">
        <v>16099</v>
      </c>
    </row>
  </sheetData>
  <phoneticPr fontId="6" type="noConversion"/>
  <printOptions gridLinesSet="0"/>
  <pageMargins left="0.78740157480314965" right="0" top="0.51181102362204722" bottom="0.51181102362204722" header="0.51181102362204722" footer="0.51181102362204722"/>
  <pageSetup paperSize="9" scale="80" orientation="portrait" horizontalDpi="300" verticalDpi="300" r:id="rId1"/>
  <headerFooter alignWithMargins="0">
    <oddFooter>&amp;C&amp;"Times New Roman,Regular"&amp;8&amp;P of &amp;N</oddFooter>
  </headerFooter>
  <ignoredErrors>
    <ignoredError sqref="D4 E4 F4 G4 D10:D15 E10:E15 F10:F15 G10:G15 H4 H10:H15 I4 J4 K4 L4 I10:I15 J10:J15 K10:K15 L10:L15"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dimension ref="A1:Q63"/>
  <sheetViews>
    <sheetView showGridLines="0" topLeftCell="A37" zoomScale="90" zoomScaleNormal="90" workbookViewId="0">
      <selection activeCell="A62" sqref="A62:A63"/>
    </sheetView>
  </sheetViews>
  <sheetFormatPr defaultColWidth="12.5703125" defaultRowHeight="15"/>
  <cols>
    <col min="1" max="1" width="4.85546875" style="151" customWidth="1"/>
    <col min="2" max="2" width="35.7109375" style="151" customWidth="1"/>
    <col min="3" max="3" width="11.5703125" style="151" customWidth="1"/>
    <col min="4" max="15" width="10" style="151" customWidth="1"/>
    <col min="16" max="16" width="2.28515625" style="151" customWidth="1"/>
    <col min="17" max="17" width="31.5703125" style="151" bestFit="1" customWidth="1"/>
    <col min="18" max="16384" width="12.5703125" style="151"/>
  </cols>
  <sheetData>
    <row r="1" spans="1:17">
      <c r="A1" s="667" t="s">
        <v>5719</v>
      </c>
      <c r="D1" s="668">
        <v>2010</v>
      </c>
      <c r="E1" s="668">
        <v>2011</v>
      </c>
      <c r="F1" s="668">
        <v>2012</v>
      </c>
      <c r="G1" s="668">
        <v>2013</v>
      </c>
      <c r="H1" s="668">
        <v>2014</v>
      </c>
      <c r="I1" s="668">
        <v>2015</v>
      </c>
      <c r="J1" s="668">
        <v>2016</v>
      </c>
      <c r="K1" s="668">
        <v>2017</v>
      </c>
      <c r="L1" s="668">
        <v>2018</v>
      </c>
      <c r="M1" s="668">
        <v>2019</v>
      </c>
      <c r="N1" s="668">
        <v>2020</v>
      </c>
      <c r="O1" s="969" t="s">
        <v>14823</v>
      </c>
    </row>
    <row r="3" spans="1:17">
      <c r="A3" s="667" t="s">
        <v>5186</v>
      </c>
      <c r="D3" s="669">
        <f t="shared" ref="D3:N3" si="0">SUM(D25:D26,D28:D34,D36:D43,D45:D46,D48:D54,D56)</f>
        <v>163210</v>
      </c>
      <c r="E3" s="669">
        <f t="shared" si="0"/>
        <v>165363</v>
      </c>
      <c r="F3" s="669">
        <f t="shared" si="0"/>
        <v>165795</v>
      </c>
      <c r="G3" s="669">
        <f t="shared" si="0"/>
        <v>164401</v>
      </c>
      <c r="H3" s="669">
        <f t="shared" si="0"/>
        <v>166809</v>
      </c>
      <c r="I3" s="669">
        <f t="shared" si="0"/>
        <v>160550</v>
      </c>
      <c r="J3" s="669">
        <f t="shared" si="0"/>
        <v>161123</v>
      </c>
      <c r="K3" s="669">
        <f t="shared" si="0"/>
        <v>162777</v>
      </c>
      <c r="L3" s="669">
        <f t="shared" si="0"/>
        <v>165010</v>
      </c>
      <c r="M3" s="669">
        <f t="shared" si="0"/>
        <v>163277</v>
      </c>
      <c r="N3" s="669">
        <f t="shared" si="0"/>
        <v>166355</v>
      </c>
      <c r="O3" s="669">
        <f>SUM(O25:O26,O28:O34,O36:O43,O45:O46,O48:O54,O56)</f>
        <v>167970</v>
      </c>
    </row>
    <row r="5" spans="1:17">
      <c r="A5" s="667" t="s">
        <v>5720</v>
      </c>
      <c r="D5" s="669">
        <f t="shared" ref="D5:N5" si="1">D3/2</f>
        <v>81605</v>
      </c>
      <c r="E5" s="669">
        <f t="shared" si="1"/>
        <v>82681.5</v>
      </c>
      <c r="F5" s="669">
        <f t="shared" si="1"/>
        <v>82897.5</v>
      </c>
      <c r="G5" s="669">
        <f t="shared" si="1"/>
        <v>82200.5</v>
      </c>
      <c r="H5" s="669">
        <f t="shared" si="1"/>
        <v>83404.5</v>
      </c>
      <c r="I5" s="669">
        <f t="shared" si="1"/>
        <v>80275</v>
      </c>
      <c r="J5" s="669">
        <f t="shared" si="1"/>
        <v>80561.5</v>
      </c>
      <c r="K5" s="669">
        <f t="shared" si="1"/>
        <v>81388.5</v>
      </c>
      <c r="L5" s="669">
        <f t="shared" si="1"/>
        <v>82505</v>
      </c>
      <c r="M5" s="669">
        <f t="shared" si="1"/>
        <v>81638.5</v>
      </c>
      <c r="N5" s="669">
        <f t="shared" si="1"/>
        <v>83177.5</v>
      </c>
      <c r="O5" s="669">
        <f t="shared" ref="O5" si="2">O3/2</f>
        <v>83985</v>
      </c>
    </row>
    <row r="6" spans="1:17">
      <c r="D6" s="670"/>
      <c r="E6" s="670"/>
      <c r="F6" s="670"/>
      <c r="G6" s="670"/>
      <c r="H6" s="670"/>
      <c r="I6" s="670"/>
      <c r="J6" s="670"/>
      <c r="K6" s="670"/>
      <c r="L6" s="670"/>
      <c r="M6" s="670"/>
      <c r="N6" s="670"/>
      <c r="O6" s="670"/>
    </row>
    <row r="7" spans="1:17">
      <c r="A7" s="667" t="s">
        <v>5187</v>
      </c>
      <c r="D7" s="669">
        <f t="shared" ref="D7:N7" si="3">SUM(D25,D28:D31,D33,D38:D39,D51:D53)</f>
        <v>71533</v>
      </c>
      <c r="E7" s="669">
        <f t="shared" si="3"/>
        <v>72537</v>
      </c>
      <c r="F7" s="669">
        <f t="shared" si="3"/>
        <v>72465</v>
      </c>
      <c r="G7" s="669">
        <f t="shared" si="3"/>
        <v>71564</v>
      </c>
      <c r="H7" s="669">
        <f t="shared" si="3"/>
        <v>72390</v>
      </c>
      <c r="I7" s="669">
        <f t="shared" si="3"/>
        <v>69382</v>
      </c>
      <c r="J7" s="669">
        <f t="shared" si="3"/>
        <v>69864</v>
      </c>
      <c r="K7" s="669">
        <f t="shared" si="3"/>
        <v>70779</v>
      </c>
      <c r="L7" s="669">
        <f t="shared" si="3"/>
        <v>71585</v>
      </c>
      <c r="M7" s="669">
        <f t="shared" si="3"/>
        <v>70662</v>
      </c>
      <c r="N7" s="669">
        <f t="shared" si="3"/>
        <v>71274</v>
      </c>
      <c r="O7" s="669">
        <f>SUM(O25,O28:O30,O33,O38:O39,O51:O53)</f>
        <v>71791</v>
      </c>
      <c r="Q7" s="667" t="s">
        <v>5188</v>
      </c>
    </row>
    <row r="8" spans="1:17">
      <c r="D8" s="670"/>
      <c r="E8" s="670"/>
      <c r="F8" s="670"/>
      <c r="G8" s="670"/>
      <c r="H8" s="670"/>
      <c r="I8" s="670"/>
      <c r="J8" s="670"/>
      <c r="K8" s="670"/>
      <c r="L8" s="670"/>
      <c r="M8" s="670"/>
      <c r="N8" s="670"/>
      <c r="O8" s="670"/>
    </row>
    <row r="9" spans="1:17">
      <c r="A9" s="667" t="s">
        <v>5189</v>
      </c>
      <c r="D9" s="669">
        <f t="shared" ref="D9:N9" si="4">SUM(D26,D32,D34,D37,D40:D42,D45,D48:D50,D54,D56)</f>
        <v>68264</v>
      </c>
      <c r="E9" s="669">
        <f t="shared" si="4"/>
        <v>69135</v>
      </c>
      <c r="F9" s="669">
        <f t="shared" si="4"/>
        <v>69701</v>
      </c>
      <c r="G9" s="669">
        <f t="shared" si="4"/>
        <v>69202</v>
      </c>
      <c r="H9" s="669">
        <f t="shared" si="4"/>
        <v>70487</v>
      </c>
      <c r="I9" s="669">
        <f t="shared" si="4"/>
        <v>67700</v>
      </c>
      <c r="J9" s="669">
        <f t="shared" si="4"/>
        <v>67425</v>
      </c>
      <c r="K9" s="669">
        <f t="shared" si="4"/>
        <v>68287</v>
      </c>
      <c r="L9" s="669">
        <f t="shared" si="4"/>
        <v>69370</v>
      </c>
      <c r="M9" s="669">
        <f t="shared" si="4"/>
        <v>68876</v>
      </c>
      <c r="N9" s="669">
        <f t="shared" si="4"/>
        <v>71055</v>
      </c>
      <c r="O9" s="669">
        <f>SUM(O26,O31:O32,O37,O40:O42,O45,O48:O50,O54,O56)</f>
        <v>72145</v>
      </c>
      <c r="Q9" s="667" t="s">
        <v>5188</v>
      </c>
    </row>
    <row r="10" spans="1:17">
      <c r="D10" s="670"/>
      <c r="E10" s="670"/>
      <c r="F10" s="670"/>
      <c r="G10" s="670"/>
      <c r="H10" s="670"/>
      <c r="I10" s="670"/>
      <c r="J10" s="670"/>
      <c r="K10" s="670"/>
      <c r="L10" s="670"/>
      <c r="M10" s="670"/>
      <c r="N10" s="670"/>
      <c r="O10" s="670"/>
    </row>
    <row r="11" spans="1:17">
      <c r="A11" s="151" t="s">
        <v>5190</v>
      </c>
      <c r="D11" s="670">
        <f t="shared" ref="D11:N11" si="5">SUM(D36,D43,D46)</f>
        <v>23413</v>
      </c>
      <c r="E11" s="670">
        <f t="shared" si="5"/>
        <v>23691</v>
      </c>
      <c r="F11" s="670">
        <f t="shared" si="5"/>
        <v>23629</v>
      </c>
      <c r="G11" s="670">
        <f t="shared" si="5"/>
        <v>23635</v>
      </c>
      <c r="H11" s="670">
        <f t="shared" si="5"/>
        <v>23932</v>
      </c>
      <c r="I11" s="670">
        <f t="shared" si="5"/>
        <v>23468</v>
      </c>
      <c r="J11" s="670">
        <f t="shared" si="5"/>
        <v>23834</v>
      </c>
      <c r="K11" s="670">
        <f t="shared" si="5"/>
        <v>23711</v>
      </c>
      <c r="L11" s="670">
        <f t="shared" si="5"/>
        <v>24055</v>
      </c>
      <c r="M11" s="670">
        <f t="shared" si="5"/>
        <v>23739</v>
      </c>
      <c r="N11" s="670">
        <f t="shared" si="5"/>
        <v>24026</v>
      </c>
      <c r="O11" s="670">
        <f>SUM(O34,O36,O43,O46)</f>
        <v>24034</v>
      </c>
      <c r="Q11" s="667" t="s">
        <v>5188</v>
      </c>
    </row>
    <row r="12" spans="1:17" ht="15.75" thickBot="1">
      <c r="D12" s="671">
        <f>HILLINGDON!D10</f>
        <v>47566</v>
      </c>
      <c r="E12" s="671">
        <f>HILLINGDON!E10</f>
        <v>48015</v>
      </c>
      <c r="F12" s="671">
        <f>HILLINGDON!F10</f>
        <v>48519</v>
      </c>
      <c r="G12" s="671">
        <f>HILLINGDON!G10</f>
        <v>49330</v>
      </c>
      <c r="H12" s="671">
        <f>HILLINGDON!H10</f>
        <v>49559</v>
      </c>
      <c r="I12" s="671">
        <f>HILLINGDON!I10</f>
        <v>49772</v>
      </c>
      <c r="J12" s="671">
        <f>HILLINGDON!J10</f>
        <v>47497</v>
      </c>
      <c r="K12" s="671">
        <f>HILLINGDON!K10</f>
        <v>48747</v>
      </c>
      <c r="L12" s="671">
        <f>HILLINGDON!L10</f>
        <v>48302</v>
      </c>
      <c r="M12" s="671">
        <f>HILLINGDON!M10</f>
        <v>47617</v>
      </c>
      <c r="N12" s="671">
        <f>HILLINGDON!N10</f>
        <v>47817</v>
      </c>
      <c r="O12" s="671">
        <f>HILLINGDON!O10</f>
        <v>49019</v>
      </c>
      <c r="Q12" s="151" t="s">
        <v>3691</v>
      </c>
    </row>
    <row r="13" spans="1:17" ht="15.75" thickBot="1">
      <c r="D13" s="672">
        <f t="shared" ref="D13:N13" si="6">D11+D12</f>
        <v>70979</v>
      </c>
      <c r="E13" s="672">
        <f t="shared" si="6"/>
        <v>71706</v>
      </c>
      <c r="F13" s="672">
        <f t="shared" si="6"/>
        <v>72148</v>
      </c>
      <c r="G13" s="672">
        <f t="shared" si="6"/>
        <v>72965</v>
      </c>
      <c r="H13" s="672">
        <f t="shared" si="6"/>
        <v>73491</v>
      </c>
      <c r="I13" s="672">
        <f t="shared" si="6"/>
        <v>73240</v>
      </c>
      <c r="J13" s="672">
        <f t="shared" si="6"/>
        <v>71331</v>
      </c>
      <c r="K13" s="672">
        <f t="shared" si="6"/>
        <v>72458</v>
      </c>
      <c r="L13" s="672">
        <f t="shared" si="6"/>
        <v>72357</v>
      </c>
      <c r="M13" s="672">
        <f t="shared" si="6"/>
        <v>71356</v>
      </c>
      <c r="N13" s="672">
        <f t="shared" si="6"/>
        <v>71843</v>
      </c>
      <c r="O13" s="672">
        <f t="shared" ref="O13" si="7">O11+O12</f>
        <v>73053</v>
      </c>
    </row>
    <row r="14" spans="1:17">
      <c r="D14" s="670"/>
      <c r="E14" s="670"/>
      <c r="F14" s="670"/>
      <c r="G14" s="670"/>
      <c r="H14" s="670"/>
      <c r="I14" s="670"/>
      <c r="J14" s="670"/>
      <c r="K14" s="670"/>
      <c r="L14" s="670"/>
      <c r="M14" s="670"/>
      <c r="N14" s="670"/>
      <c r="O14" s="670"/>
    </row>
    <row r="15" spans="1:17">
      <c r="A15" s="151" t="s">
        <v>3710</v>
      </c>
      <c r="D15" s="670">
        <f>HILLINGDON!D7</f>
        <v>69811</v>
      </c>
      <c r="E15" s="670">
        <f>HILLINGDON!E7</f>
        <v>70589</v>
      </c>
      <c r="F15" s="670">
        <f>HILLINGDON!F7</f>
        <v>71849</v>
      </c>
      <c r="G15" s="670">
        <f>HILLINGDON!G7</f>
        <v>73191</v>
      </c>
      <c r="H15" s="670">
        <f>HILLINGDON!H7</f>
        <v>74347</v>
      </c>
      <c r="I15" s="670">
        <f>HILLINGDON!I7</f>
        <v>75090</v>
      </c>
      <c r="J15" s="670">
        <f>HILLINGDON!J7</f>
        <v>69700</v>
      </c>
      <c r="K15" s="670">
        <f>HILLINGDON!K7</f>
        <v>71756</v>
      </c>
      <c r="L15" s="670">
        <f>HILLINGDON!L7</f>
        <v>71666</v>
      </c>
      <c r="M15" s="670">
        <f>HILLINGDON!M7</f>
        <v>69422</v>
      </c>
      <c r="N15" s="670">
        <f>HILLINGDON!N7</f>
        <v>70277</v>
      </c>
      <c r="O15" s="670">
        <f>HILLINGDON!O7</f>
        <v>72896</v>
      </c>
      <c r="Q15" s="151" t="s">
        <v>3691</v>
      </c>
    </row>
    <row r="16" spans="1:17">
      <c r="D16" s="670"/>
      <c r="E16" s="670"/>
      <c r="F16" s="670"/>
      <c r="G16" s="670"/>
      <c r="H16" s="670"/>
      <c r="I16" s="670"/>
      <c r="J16" s="670"/>
      <c r="K16" s="670"/>
      <c r="L16" s="670"/>
      <c r="M16" s="670"/>
      <c r="N16" s="670"/>
      <c r="O16" s="670"/>
    </row>
    <row r="17" spans="1:17">
      <c r="A17" s="151" t="s">
        <v>3711</v>
      </c>
      <c r="D17" s="670">
        <f>HILLINGDON!D13</f>
        <v>71059</v>
      </c>
      <c r="E17" s="670">
        <f>HILLINGDON!E13</f>
        <v>71954</v>
      </c>
      <c r="F17" s="670">
        <f>HILLINGDON!F13</f>
        <v>72592</v>
      </c>
      <c r="G17" s="670">
        <f>HILLINGDON!G13</f>
        <v>72433</v>
      </c>
      <c r="H17" s="670">
        <f>HILLINGDON!H13</f>
        <v>72468</v>
      </c>
      <c r="I17" s="670">
        <f>HILLINGDON!I13</f>
        <v>69871</v>
      </c>
      <c r="J17" s="670">
        <f>HILLINGDON!J13</f>
        <v>66606</v>
      </c>
      <c r="K17" s="670">
        <f>HILLINGDON!K13</f>
        <v>68108</v>
      </c>
      <c r="L17" s="670">
        <f>HILLINGDON!L13</f>
        <v>67738</v>
      </c>
      <c r="M17" s="670">
        <f>HILLINGDON!M13</f>
        <v>65975</v>
      </c>
      <c r="N17" s="670">
        <f>HILLINGDON!N13</f>
        <v>67100</v>
      </c>
      <c r="O17" s="670">
        <f>HILLINGDON!O13</f>
        <v>70560</v>
      </c>
      <c r="Q17" s="151" t="s">
        <v>3691</v>
      </c>
    </row>
    <row r="18" spans="1:17">
      <c r="D18" s="670"/>
      <c r="E18" s="670"/>
      <c r="F18" s="670"/>
      <c r="G18" s="670"/>
      <c r="H18" s="670"/>
      <c r="I18" s="670"/>
      <c r="J18" s="670"/>
      <c r="K18" s="670"/>
      <c r="L18" s="670"/>
      <c r="M18" s="670"/>
      <c r="N18" s="670"/>
      <c r="O18" s="670"/>
    </row>
    <row r="19" spans="1:17">
      <c r="A19" s="667" t="s">
        <v>6796</v>
      </c>
      <c r="D19" s="669">
        <f t="shared" ref="D19:N19" si="8">D7+D9+D11</f>
        <v>163210</v>
      </c>
      <c r="E19" s="669">
        <f t="shared" si="8"/>
        <v>165363</v>
      </c>
      <c r="F19" s="669">
        <f t="shared" si="8"/>
        <v>165795</v>
      </c>
      <c r="G19" s="669">
        <f t="shared" si="8"/>
        <v>164401</v>
      </c>
      <c r="H19" s="669">
        <f t="shared" si="8"/>
        <v>166809</v>
      </c>
      <c r="I19" s="669">
        <f t="shared" si="8"/>
        <v>160550</v>
      </c>
      <c r="J19" s="669">
        <f t="shared" si="8"/>
        <v>161123</v>
      </c>
      <c r="K19" s="669">
        <f t="shared" si="8"/>
        <v>162777</v>
      </c>
      <c r="L19" s="669">
        <f t="shared" si="8"/>
        <v>165010</v>
      </c>
      <c r="M19" s="669">
        <f t="shared" si="8"/>
        <v>163277</v>
      </c>
      <c r="N19" s="669">
        <f t="shared" si="8"/>
        <v>166355</v>
      </c>
      <c r="O19" s="669">
        <f t="shared" ref="O19" si="9">O7+O9+O11</f>
        <v>167970</v>
      </c>
    </row>
    <row r="20" spans="1:17">
      <c r="D20" s="670"/>
      <c r="E20" s="670"/>
      <c r="F20" s="670"/>
      <c r="G20" s="670"/>
      <c r="H20" s="670"/>
      <c r="I20" s="670"/>
      <c r="J20" s="670"/>
      <c r="K20" s="670"/>
      <c r="L20" s="670"/>
      <c r="M20" s="670"/>
      <c r="N20" s="670"/>
      <c r="O20" s="670"/>
    </row>
    <row r="21" spans="1:17">
      <c r="A21" s="667" t="s">
        <v>6797</v>
      </c>
      <c r="D21" s="669">
        <f t="shared" ref="D21:N21" si="10">MAX(D7,D9,D13,D15,D17)-MIN(D7,D9,D13,D15,D17)</f>
        <v>3269</v>
      </c>
      <c r="E21" s="669">
        <f t="shared" si="10"/>
        <v>3402</v>
      </c>
      <c r="F21" s="669">
        <f t="shared" si="10"/>
        <v>2891</v>
      </c>
      <c r="G21" s="669">
        <f t="shared" si="10"/>
        <v>3989</v>
      </c>
      <c r="H21" s="669">
        <f t="shared" si="10"/>
        <v>3860</v>
      </c>
      <c r="I21" s="669">
        <f t="shared" si="10"/>
        <v>7390</v>
      </c>
      <c r="J21" s="669">
        <f t="shared" si="10"/>
        <v>4725</v>
      </c>
      <c r="K21" s="669">
        <f t="shared" si="10"/>
        <v>4350</v>
      </c>
      <c r="L21" s="669">
        <f t="shared" si="10"/>
        <v>4619</v>
      </c>
      <c r="M21" s="669">
        <f t="shared" si="10"/>
        <v>5381</v>
      </c>
      <c r="N21" s="669">
        <f t="shared" si="10"/>
        <v>4743</v>
      </c>
      <c r="O21" s="669">
        <f t="shared" ref="O21" si="11">MAX(O7,O9,O13,O15,O17)-MIN(O7,O9,O13,O15,O17)</f>
        <v>2493</v>
      </c>
    </row>
    <row r="22" spans="1:17">
      <c r="D22" s="670"/>
      <c r="E22" s="670"/>
      <c r="F22" s="670"/>
      <c r="G22" s="670"/>
      <c r="H22" s="670"/>
      <c r="I22" s="670"/>
      <c r="J22" s="670"/>
      <c r="K22" s="670"/>
      <c r="L22" s="670"/>
      <c r="M22" s="670"/>
      <c r="N22" s="670"/>
      <c r="O22" s="670"/>
    </row>
    <row r="23" spans="1:17">
      <c r="A23" s="667" t="s">
        <v>6800</v>
      </c>
      <c r="D23" s="669">
        <f t="shared" ref="D23:N23" si="12">STDEVP(D7,D9,D13,D15,D17)</f>
        <v>1177.9274001397541</v>
      </c>
      <c r="E23" s="669">
        <f t="shared" si="12"/>
        <v>1204.0281392060569</v>
      </c>
      <c r="F23" s="669">
        <f t="shared" si="12"/>
        <v>1057.0515597642341</v>
      </c>
      <c r="G23" s="669">
        <f t="shared" si="12"/>
        <v>1447.2656977901465</v>
      </c>
      <c r="H23" s="669">
        <f t="shared" si="12"/>
        <v>1293.4825240412026</v>
      </c>
      <c r="I23" s="669">
        <f t="shared" si="12"/>
        <v>2702.3044684120996</v>
      </c>
      <c r="J23" s="669">
        <f t="shared" si="12"/>
        <v>1725.1563871139333</v>
      </c>
      <c r="K23" s="669">
        <f t="shared" si="12"/>
        <v>1781.0595273600488</v>
      </c>
      <c r="L23" s="669">
        <f t="shared" si="12"/>
        <v>1725.1923255104052</v>
      </c>
      <c r="M23" s="669">
        <f t="shared" si="12"/>
        <v>1861.3827548357699</v>
      </c>
      <c r="N23" s="669">
        <f t="shared" si="12"/>
        <v>1681.6419833008451</v>
      </c>
      <c r="O23" s="669">
        <f t="shared" ref="O23" si="13">STDEVP(O7,O9,O13,O15,O17)</f>
        <v>895.58092878309992</v>
      </c>
    </row>
    <row r="24" spans="1:17">
      <c r="D24" s="670"/>
      <c r="E24" s="670"/>
      <c r="F24" s="670"/>
      <c r="G24" s="670"/>
      <c r="H24" s="670"/>
      <c r="I24" s="670"/>
      <c r="J24" s="670"/>
      <c r="K24" s="670"/>
      <c r="L24" s="670"/>
      <c r="M24" s="670"/>
      <c r="N24" s="670"/>
      <c r="O24" s="670"/>
    </row>
    <row r="25" spans="1:17">
      <c r="A25" s="667" t="s">
        <v>5387</v>
      </c>
      <c r="B25" s="151" t="s">
        <v>4542</v>
      </c>
      <c r="C25" s="151" t="s">
        <v>15631</v>
      </c>
      <c r="D25" s="673">
        <v>0</v>
      </c>
      <c r="E25" s="673">
        <v>0</v>
      </c>
      <c r="F25" s="673">
        <v>0</v>
      </c>
      <c r="G25" s="673">
        <v>0</v>
      </c>
      <c r="H25" s="673">
        <v>0</v>
      </c>
      <c r="I25" s="673">
        <v>0</v>
      </c>
      <c r="J25" s="673">
        <v>0</v>
      </c>
      <c r="K25" s="673">
        <v>0</v>
      </c>
      <c r="L25" s="673">
        <v>0</v>
      </c>
      <c r="M25" s="673">
        <v>0</v>
      </c>
      <c r="N25" s="673">
        <v>0</v>
      </c>
      <c r="O25" s="56">
        <v>6191</v>
      </c>
      <c r="Q25" s="667" t="s">
        <v>5187</v>
      </c>
    </row>
    <row r="26" spans="1:17" ht="15.75" thickBot="1">
      <c r="A26" s="667"/>
      <c r="C26" s="151" t="s">
        <v>15631</v>
      </c>
      <c r="D26" s="673">
        <v>0</v>
      </c>
      <c r="E26" s="673">
        <v>0</v>
      </c>
      <c r="F26" s="673">
        <v>0</v>
      </c>
      <c r="G26" s="673">
        <v>0</v>
      </c>
      <c r="H26" s="673">
        <v>0</v>
      </c>
      <c r="I26" s="673">
        <v>0</v>
      </c>
      <c r="J26" s="673">
        <v>0</v>
      </c>
      <c r="K26" s="673">
        <v>0</v>
      </c>
      <c r="L26" s="673">
        <v>0</v>
      </c>
      <c r="M26" s="673">
        <v>0</v>
      </c>
      <c r="N26" s="673">
        <v>0</v>
      </c>
      <c r="O26" s="56">
        <v>140</v>
      </c>
      <c r="Q26" s="667" t="s">
        <v>5189</v>
      </c>
    </row>
    <row r="27" spans="1:17" ht="15.75" thickBot="1">
      <c r="A27" s="667"/>
      <c r="C27" s="151" t="s">
        <v>15631</v>
      </c>
      <c r="D27" s="49">
        <f t="shared" ref="D27:O27" si="14">D25+D26</f>
        <v>0</v>
      </c>
      <c r="E27" s="49">
        <f t="shared" si="14"/>
        <v>0</v>
      </c>
      <c r="F27" s="49">
        <f t="shared" si="14"/>
        <v>0</v>
      </c>
      <c r="G27" s="49">
        <f t="shared" si="14"/>
        <v>0</v>
      </c>
      <c r="H27" s="49">
        <f t="shared" si="14"/>
        <v>0</v>
      </c>
      <c r="I27" s="49">
        <f t="shared" si="14"/>
        <v>0</v>
      </c>
      <c r="J27" s="49">
        <f t="shared" si="14"/>
        <v>0</v>
      </c>
      <c r="K27" s="49">
        <f t="shared" si="14"/>
        <v>0</v>
      </c>
      <c r="L27" s="49">
        <f t="shared" si="14"/>
        <v>0</v>
      </c>
      <c r="M27" s="49">
        <f t="shared" si="14"/>
        <v>0</v>
      </c>
      <c r="N27" s="49">
        <f t="shared" si="14"/>
        <v>0</v>
      </c>
      <c r="O27" s="49">
        <f t="shared" si="14"/>
        <v>6331</v>
      </c>
      <c r="Q27" s="667"/>
    </row>
    <row r="28" spans="1:17">
      <c r="A28" s="667" t="s">
        <v>5389</v>
      </c>
      <c r="B28" s="151" t="s">
        <v>3712</v>
      </c>
      <c r="C28" s="151" t="s">
        <v>15632</v>
      </c>
      <c r="D28" s="673">
        <v>71533</v>
      </c>
      <c r="E28" s="673">
        <v>72537</v>
      </c>
      <c r="F28" s="673">
        <v>72465</v>
      </c>
      <c r="G28" s="673">
        <v>71564</v>
      </c>
      <c r="H28" s="673">
        <v>72390</v>
      </c>
      <c r="I28" s="673">
        <v>69382</v>
      </c>
      <c r="J28" s="673">
        <v>69864</v>
      </c>
      <c r="K28" s="673">
        <v>70779</v>
      </c>
      <c r="L28" s="673">
        <v>71585</v>
      </c>
      <c r="M28" s="673">
        <v>70662</v>
      </c>
      <c r="N28" s="673">
        <v>71274</v>
      </c>
      <c r="O28" s="56">
        <v>6572</v>
      </c>
      <c r="Q28" s="667" t="s">
        <v>5187</v>
      </c>
    </row>
    <row r="29" spans="1:17">
      <c r="A29" s="667" t="s">
        <v>5391</v>
      </c>
      <c r="B29" s="151" t="s">
        <v>15634</v>
      </c>
      <c r="C29" s="151" t="s">
        <v>15633</v>
      </c>
      <c r="D29" s="673">
        <v>0</v>
      </c>
      <c r="E29" s="673">
        <v>0</v>
      </c>
      <c r="F29" s="673">
        <v>0</v>
      </c>
      <c r="G29" s="673">
        <v>0</v>
      </c>
      <c r="H29" s="673">
        <v>0</v>
      </c>
      <c r="I29" s="673">
        <v>0</v>
      </c>
      <c r="J29" s="673">
        <v>0</v>
      </c>
      <c r="K29" s="673">
        <v>0</v>
      </c>
      <c r="L29" s="673">
        <v>0</v>
      </c>
      <c r="M29" s="673">
        <v>0</v>
      </c>
      <c r="N29" s="673">
        <v>0</v>
      </c>
      <c r="O29" s="56">
        <v>9064</v>
      </c>
      <c r="Q29" s="667" t="s">
        <v>5187</v>
      </c>
    </row>
    <row r="30" spans="1:17">
      <c r="A30" s="667" t="s">
        <v>5393</v>
      </c>
      <c r="B30" s="151" t="s">
        <v>5421</v>
      </c>
      <c r="C30" s="151" t="s">
        <v>15635</v>
      </c>
      <c r="D30" s="673">
        <v>0</v>
      </c>
      <c r="E30" s="673">
        <v>0</v>
      </c>
      <c r="F30" s="673">
        <v>0</v>
      </c>
      <c r="G30" s="673">
        <v>0</v>
      </c>
      <c r="H30" s="673">
        <v>0</v>
      </c>
      <c r="I30" s="673">
        <v>0</v>
      </c>
      <c r="J30" s="673">
        <v>0</v>
      </c>
      <c r="K30" s="673">
        <v>0</v>
      </c>
      <c r="L30" s="673">
        <v>0</v>
      </c>
      <c r="M30" s="673">
        <v>0</v>
      </c>
      <c r="N30" s="673">
        <v>0</v>
      </c>
      <c r="O30" s="56">
        <v>8890</v>
      </c>
      <c r="Q30" s="667" t="s">
        <v>5187</v>
      </c>
    </row>
    <row r="31" spans="1:17">
      <c r="A31" s="667" t="s">
        <v>5394</v>
      </c>
      <c r="B31" s="151" t="s">
        <v>3713</v>
      </c>
      <c r="C31" s="151" t="s">
        <v>15636</v>
      </c>
      <c r="D31" s="673">
        <v>0</v>
      </c>
      <c r="E31" s="673">
        <v>0</v>
      </c>
      <c r="F31" s="673">
        <v>0</v>
      </c>
      <c r="G31" s="673">
        <v>0</v>
      </c>
      <c r="H31" s="673">
        <v>0</v>
      </c>
      <c r="I31" s="673">
        <v>0</v>
      </c>
      <c r="J31" s="673">
        <v>0</v>
      </c>
      <c r="K31" s="673">
        <v>0</v>
      </c>
      <c r="L31" s="673">
        <v>0</v>
      </c>
      <c r="M31" s="673">
        <v>0</v>
      </c>
      <c r="N31" s="673">
        <v>0</v>
      </c>
      <c r="O31" s="56">
        <v>6378</v>
      </c>
      <c r="Q31" s="667" t="s">
        <v>5189</v>
      </c>
    </row>
    <row r="32" spans="1:17">
      <c r="A32" s="667" t="s">
        <v>5416</v>
      </c>
      <c r="B32" s="151" t="s">
        <v>5258</v>
      </c>
      <c r="C32" s="151" t="s">
        <v>15637</v>
      </c>
      <c r="D32" s="673">
        <v>68264</v>
      </c>
      <c r="E32" s="673">
        <v>69135</v>
      </c>
      <c r="F32" s="673">
        <v>69701</v>
      </c>
      <c r="G32" s="673">
        <v>69202</v>
      </c>
      <c r="H32" s="673">
        <v>70487</v>
      </c>
      <c r="I32" s="673">
        <v>67700</v>
      </c>
      <c r="J32" s="673">
        <v>67425</v>
      </c>
      <c r="K32" s="673">
        <v>68287</v>
      </c>
      <c r="L32" s="673">
        <v>69370</v>
      </c>
      <c r="M32" s="673">
        <v>68876</v>
      </c>
      <c r="N32" s="673">
        <v>71055</v>
      </c>
      <c r="O32" s="56">
        <v>6612</v>
      </c>
      <c r="Q32" s="667" t="s">
        <v>5189</v>
      </c>
    </row>
    <row r="33" spans="1:17">
      <c r="A33" s="667" t="s">
        <v>5418</v>
      </c>
      <c r="B33" s="151" t="s">
        <v>5259</v>
      </c>
      <c r="C33" s="151" t="s">
        <v>15638</v>
      </c>
      <c r="D33" s="673">
        <v>0</v>
      </c>
      <c r="E33" s="673">
        <v>0</v>
      </c>
      <c r="F33" s="673">
        <v>0</v>
      </c>
      <c r="G33" s="673">
        <v>0</v>
      </c>
      <c r="H33" s="673">
        <v>0</v>
      </c>
      <c r="I33" s="673">
        <v>0</v>
      </c>
      <c r="J33" s="673">
        <v>0</v>
      </c>
      <c r="K33" s="673">
        <v>0</v>
      </c>
      <c r="L33" s="673">
        <v>0</v>
      </c>
      <c r="M33" s="673">
        <v>0</v>
      </c>
      <c r="N33" s="673">
        <v>0</v>
      </c>
      <c r="O33" s="58">
        <v>9262</v>
      </c>
      <c r="Q33" s="667" t="s">
        <v>5187</v>
      </c>
    </row>
    <row r="34" spans="1:17" ht="15.75" thickBot="1">
      <c r="A34" s="667"/>
      <c r="C34" s="151" t="s">
        <v>15638</v>
      </c>
      <c r="D34" s="673">
        <v>0</v>
      </c>
      <c r="E34" s="673">
        <v>0</v>
      </c>
      <c r="F34" s="673">
        <v>0</v>
      </c>
      <c r="G34" s="673">
        <v>0</v>
      </c>
      <c r="H34" s="673">
        <v>0</v>
      </c>
      <c r="I34" s="673">
        <v>0</v>
      </c>
      <c r="J34" s="673">
        <v>0</v>
      </c>
      <c r="K34" s="673">
        <v>0</v>
      </c>
      <c r="L34" s="673">
        <v>0</v>
      </c>
      <c r="M34" s="673">
        <v>0</v>
      </c>
      <c r="N34" s="673">
        <v>0</v>
      </c>
      <c r="O34" s="58">
        <v>632</v>
      </c>
      <c r="Q34" s="151" t="s">
        <v>5190</v>
      </c>
    </row>
    <row r="35" spans="1:17" ht="15.75" thickBot="1">
      <c r="A35" s="667"/>
      <c r="C35" s="151" t="s">
        <v>15638</v>
      </c>
      <c r="D35" s="49">
        <f t="shared" ref="D35:O35" si="15">D33+D34</f>
        <v>0</v>
      </c>
      <c r="E35" s="49">
        <f t="shared" si="15"/>
        <v>0</v>
      </c>
      <c r="F35" s="49">
        <f t="shared" si="15"/>
        <v>0</v>
      </c>
      <c r="G35" s="49">
        <f t="shared" si="15"/>
        <v>0</v>
      </c>
      <c r="H35" s="49">
        <f t="shared" si="15"/>
        <v>0</v>
      </c>
      <c r="I35" s="49">
        <f t="shared" si="15"/>
        <v>0</v>
      </c>
      <c r="J35" s="49">
        <f t="shared" si="15"/>
        <v>0</v>
      </c>
      <c r="K35" s="49">
        <f t="shared" si="15"/>
        <v>0</v>
      </c>
      <c r="L35" s="49">
        <f t="shared" si="15"/>
        <v>0</v>
      </c>
      <c r="M35" s="49">
        <f t="shared" si="15"/>
        <v>0</v>
      </c>
      <c r="N35" s="49">
        <f t="shared" si="15"/>
        <v>0</v>
      </c>
      <c r="O35" s="49">
        <f t="shared" si="15"/>
        <v>9894</v>
      </c>
    </row>
    <row r="36" spans="1:17">
      <c r="A36" s="667" t="s">
        <v>5420</v>
      </c>
      <c r="B36" s="151" t="s">
        <v>5260</v>
      </c>
      <c r="C36" s="151" t="s">
        <v>15639</v>
      </c>
      <c r="D36" s="673">
        <v>23413</v>
      </c>
      <c r="E36" s="673">
        <v>23691</v>
      </c>
      <c r="F36" s="673">
        <v>23629</v>
      </c>
      <c r="G36" s="673">
        <v>23635</v>
      </c>
      <c r="H36" s="673">
        <v>23932</v>
      </c>
      <c r="I36" s="673">
        <v>23468</v>
      </c>
      <c r="J36" s="673">
        <v>23834</v>
      </c>
      <c r="K36" s="673">
        <v>23711</v>
      </c>
      <c r="L36" s="673">
        <v>24055</v>
      </c>
      <c r="M36" s="673">
        <v>23739</v>
      </c>
      <c r="N36" s="673">
        <v>24026</v>
      </c>
      <c r="O36" s="56">
        <v>6864</v>
      </c>
      <c r="Q36" s="151" t="s">
        <v>5190</v>
      </c>
    </row>
    <row r="37" spans="1:17">
      <c r="A37" s="667" t="s">
        <v>5422</v>
      </c>
      <c r="B37" s="151" t="s">
        <v>15641</v>
      </c>
      <c r="C37" s="151" t="s">
        <v>15640</v>
      </c>
      <c r="D37" s="673">
        <v>0</v>
      </c>
      <c r="E37" s="673">
        <v>0</v>
      </c>
      <c r="F37" s="673">
        <v>0</v>
      </c>
      <c r="G37" s="673">
        <v>0</v>
      </c>
      <c r="H37" s="673">
        <v>0</v>
      </c>
      <c r="I37" s="673">
        <v>0</v>
      </c>
      <c r="J37" s="673">
        <v>0</v>
      </c>
      <c r="K37" s="673">
        <v>0</v>
      </c>
      <c r="L37" s="673">
        <v>0</v>
      </c>
      <c r="M37" s="673">
        <v>0</v>
      </c>
      <c r="N37" s="673">
        <v>0</v>
      </c>
      <c r="O37" s="56">
        <v>9941</v>
      </c>
      <c r="Q37" s="667" t="s">
        <v>5189</v>
      </c>
    </row>
    <row r="38" spans="1:17">
      <c r="A38" s="667" t="s">
        <v>5424</v>
      </c>
      <c r="B38" s="151" t="s">
        <v>5261</v>
      </c>
      <c r="C38" s="151" t="s">
        <v>15642</v>
      </c>
      <c r="D38" s="673">
        <v>0</v>
      </c>
      <c r="E38" s="673">
        <v>0</v>
      </c>
      <c r="F38" s="673">
        <v>0</v>
      </c>
      <c r="G38" s="673">
        <v>0</v>
      </c>
      <c r="H38" s="673">
        <v>0</v>
      </c>
      <c r="I38" s="673">
        <v>0</v>
      </c>
      <c r="J38" s="673">
        <v>0</v>
      </c>
      <c r="K38" s="673">
        <v>0</v>
      </c>
      <c r="L38" s="673">
        <v>0</v>
      </c>
      <c r="M38" s="673">
        <v>0</v>
      </c>
      <c r="N38" s="673">
        <v>0</v>
      </c>
      <c r="O38" s="56">
        <v>9178</v>
      </c>
      <c r="Q38" s="667" t="s">
        <v>5187</v>
      </c>
    </row>
    <row r="39" spans="1:17">
      <c r="A39" s="667" t="s">
        <v>5426</v>
      </c>
      <c r="B39" s="151" t="s">
        <v>5262</v>
      </c>
      <c r="C39" s="151" t="s">
        <v>15643</v>
      </c>
      <c r="D39" s="673">
        <v>0</v>
      </c>
      <c r="E39" s="673">
        <v>0</v>
      </c>
      <c r="F39" s="673">
        <v>0</v>
      </c>
      <c r="G39" s="673">
        <v>0</v>
      </c>
      <c r="H39" s="673">
        <v>0</v>
      </c>
      <c r="I39" s="673">
        <v>0</v>
      </c>
      <c r="J39" s="673">
        <v>0</v>
      </c>
      <c r="K39" s="673">
        <v>0</v>
      </c>
      <c r="L39" s="673">
        <v>0</v>
      </c>
      <c r="M39" s="673">
        <v>0</v>
      </c>
      <c r="N39" s="673">
        <v>0</v>
      </c>
      <c r="O39" s="56">
        <v>6826</v>
      </c>
      <c r="Q39" s="667" t="s">
        <v>5187</v>
      </c>
    </row>
    <row r="40" spans="1:17">
      <c r="A40" s="667" t="s">
        <v>5428</v>
      </c>
      <c r="B40" s="151" t="s">
        <v>5263</v>
      </c>
      <c r="C40" s="151" t="s">
        <v>15644</v>
      </c>
      <c r="D40" s="673">
        <v>0</v>
      </c>
      <c r="E40" s="673">
        <v>0</v>
      </c>
      <c r="F40" s="673">
        <v>0</v>
      </c>
      <c r="G40" s="673">
        <v>0</v>
      </c>
      <c r="H40" s="673">
        <v>0</v>
      </c>
      <c r="I40" s="673">
        <v>0</v>
      </c>
      <c r="J40" s="673">
        <v>0</v>
      </c>
      <c r="K40" s="673">
        <v>0</v>
      </c>
      <c r="L40" s="673">
        <v>0</v>
      </c>
      <c r="M40" s="673">
        <v>0</v>
      </c>
      <c r="N40" s="673">
        <v>0</v>
      </c>
      <c r="O40" s="56">
        <v>6257</v>
      </c>
      <c r="Q40" s="667" t="s">
        <v>5189</v>
      </c>
    </row>
    <row r="41" spans="1:17">
      <c r="A41" s="667" t="s">
        <v>5429</v>
      </c>
      <c r="B41" s="151" t="s">
        <v>15646</v>
      </c>
      <c r="C41" s="151" t="s">
        <v>15645</v>
      </c>
      <c r="D41" s="673">
        <v>0</v>
      </c>
      <c r="E41" s="673">
        <v>0</v>
      </c>
      <c r="F41" s="673">
        <v>0</v>
      </c>
      <c r="G41" s="673">
        <v>0</v>
      </c>
      <c r="H41" s="673">
        <v>0</v>
      </c>
      <c r="I41" s="673">
        <v>0</v>
      </c>
      <c r="J41" s="673">
        <v>0</v>
      </c>
      <c r="K41" s="673">
        <v>0</v>
      </c>
      <c r="L41" s="673">
        <v>0</v>
      </c>
      <c r="M41" s="673">
        <v>0</v>
      </c>
      <c r="N41" s="673">
        <v>0</v>
      </c>
      <c r="O41" s="58">
        <v>6297</v>
      </c>
      <c r="Q41" s="667" t="s">
        <v>5189</v>
      </c>
    </row>
    <row r="42" spans="1:17">
      <c r="A42" s="667" t="s">
        <v>5431</v>
      </c>
      <c r="B42" s="151" t="s">
        <v>5264</v>
      </c>
      <c r="C42" s="151" t="s">
        <v>15647</v>
      </c>
      <c r="D42" s="673">
        <v>0</v>
      </c>
      <c r="E42" s="673">
        <v>0</v>
      </c>
      <c r="F42" s="673">
        <v>0</v>
      </c>
      <c r="G42" s="673">
        <v>0</v>
      </c>
      <c r="H42" s="673">
        <v>0</v>
      </c>
      <c r="I42" s="673">
        <v>0</v>
      </c>
      <c r="J42" s="673">
        <v>0</v>
      </c>
      <c r="K42" s="673">
        <v>0</v>
      </c>
      <c r="L42" s="673">
        <v>0</v>
      </c>
      <c r="M42" s="673">
        <v>0</v>
      </c>
      <c r="N42" s="673">
        <v>0</v>
      </c>
      <c r="O42" s="58">
        <v>1268</v>
      </c>
      <c r="Q42" s="667" t="s">
        <v>5189</v>
      </c>
    </row>
    <row r="43" spans="1:17" ht="15.75" thickBot="1">
      <c r="A43" s="667"/>
      <c r="C43" s="151" t="s">
        <v>15647</v>
      </c>
      <c r="D43" s="673">
        <v>0</v>
      </c>
      <c r="E43" s="673">
        <v>0</v>
      </c>
      <c r="F43" s="673">
        <v>0</v>
      </c>
      <c r="G43" s="673">
        <v>0</v>
      </c>
      <c r="H43" s="673">
        <v>0</v>
      </c>
      <c r="I43" s="673">
        <v>0</v>
      </c>
      <c r="J43" s="673">
        <v>0</v>
      </c>
      <c r="K43" s="673">
        <v>0</v>
      </c>
      <c r="L43" s="673">
        <v>0</v>
      </c>
      <c r="M43" s="673">
        <v>0</v>
      </c>
      <c r="N43" s="673">
        <v>0</v>
      </c>
      <c r="O43" s="58">
        <v>8582</v>
      </c>
      <c r="Q43" s="151" t="s">
        <v>5190</v>
      </c>
    </row>
    <row r="44" spans="1:17" ht="15.75" thickBot="1">
      <c r="A44" s="667"/>
      <c r="C44" s="151" t="s">
        <v>15647</v>
      </c>
      <c r="D44" s="49">
        <f t="shared" ref="D44:O44" si="16">D42+D43</f>
        <v>0</v>
      </c>
      <c r="E44" s="49">
        <f t="shared" si="16"/>
        <v>0</v>
      </c>
      <c r="F44" s="49">
        <f t="shared" si="16"/>
        <v>0</v>
      </c>
      <c r="G44" s="49">
        <f t="shared" si="16"/>
        <v>0</v>
      </c>
      <c r="H44" s="49">
        <f t="shared" si="16"/>
        <v>0</v>
      </c>
      <c r="I44" s="49">
        <f t="shared" si="16"/>
        <v>0</v>
      </c>
      <c r="J44" s="49">
        <f t="shared" si="16"/>
        <v>0</v>
      </c>
      <c r="K44" s="49">
        <f t="shared" si="16"/>
        <v>0</v>
      </c>
      <c r="L44" s="49">
        <f t="shared" si="16"/>
        <v>0</v>
      </c>
      <c r="M44" s="49">
        <f t="shared" si="16"/>
        <v>0</v>
      </c>
      <c r="N44" s="49">
        <f t="shared" si="16"/>
        <v>0</v>
      </c>
      <c r="O44" s="49">
        <f t="shared" si="16"/>
        <v>9850</v>
      </c>
    </row>
    <row r="45" spans="1:17">
      <c r="A45" s="667" t="s">
        <v>5433</v>
      </c>
      <c r="B45" s="151" t="s">
        <v>5265</v>
      </c>
      <c r="C45" s="151" t="s">
        <v>15648</v>
      </c>
      <c r="D45" s="673">
        <v>0</v>
      </c>
      <c r="E45" s="673">
        <v>0</v>
      </c>
      <c r="F45" s="673">
        <v>0</v>
      </c>
      <c r="G45" s="673">
        <v>0</v>
      </c>
      <c r="H45" s="673">
        <v>0</v>
      </c>
      <c r="I45" s="673">
        <v>0</v>
      </c>
      <c r="J45" s="673">
        <v>0</v>
      </c>
      <c r="K45" s="673">
        <v>0</v>
      </c>
      <c r="L45" s="673">
        <v>0</v>
      </c>
      <c r="M45" s="673">
        <v>0</v>
      </c>
      <c r="N45" s="673">
        <v>0</v>
      </c>
      <c r="O45" s="56">
        <v>2962</v>
      </c>
      <c r="Q45" s="667" t="s">
        <v>5189</v>
      </c>
    </row>
    <row r="46" spans="1:17" ht="15.75" thickBot="1">
      <c r="A46" s="667"/>
      <c r="C46" s="151" t="s">
        <v>15648</v>
      </c>
      <c r="D46" s="673">
        <v>0</v>
      </c>
      <c r="E46" s="673">
        <v>0</v>
      </c>
      <c r="F46" s="673">
        <v>0</v>
      </c>
      <c r="G46" s="673">
        <v>0</v>
      </c>
      <c r="H46" s="673">
        <v>0</v>
      </c>
      <c r="I46" s="673">
        <v>0</v>
      </c>
      <c r="J46" s="673">
        <v>0</v>
      </c>
      <c r="K46" s="673">
        <v>0</v>
      </c>
      <c r="L46" s="673">
        <v>0</v>
      </c>
      <c r="M46" s="673">
        <v>0</v>
      </c>
      <c r="N46" s="673">
        <v>0</v>
      </c>
      <c r="O46" s="56">
        <v>7956</v>
      </c>
      <c r="Q46" s="151" t="s">
        <v>5190</v>
      </c>
    </row>
    <row r="47" spans="1:17" ht="15.75" thickBot="1">
      <c r="A47" s="667"/>
      <c r="C47" s="151" t="s">
        <v>15648</v>
      </c>
      <c r="D47" s="49">
        <f t="shared" ref="D47:O47" si="17">D45+D46</f>
        <v>0</v>
      </c>
      <c r="E47" s="49">
        <f t="shared" si="17"/>
        <v>0</v>
      </c>
      <c r="F47" s="49">
        <f t="shared" si="17"/>
        <v>0</v>
      </c>
      <c r="G47" s="49">
        <f t="shared" si="17"/>
        <v>0</v>
      </c>
      <c r="H47" s="49">
        <f t="shared" si="17"/>
        <v>0</v>
      </c>
      <c r="I47" s="49">
        <f t="shared" si="17"/>
        <v>0</v>
      </c>
      <c r="J47" s="49">
        <f t="shared" si="17"/>
        <v>0</v>
      </c>
      <c r="K47" s="49">
        <f t="shared" si="17"/>
        <v>0</v>
      </c>
      <c r="L47" s="49">
        <f t="shared" si="17"/>
        <v>0</v>
      </c>
      <c r="M47" s="49">
        <f t="shared" si="17"/>
        <v>0</v>
      </c>
      <c r="N47" s="49">
        <f t="shared" si="17"/>
        <v>0</v>
      </c>
      <c r="O47" s="49">
        <f t="shared" si="17"/>
        <v>10918</v>
      </c>
      <c r="Q47" s="667"/>
    </row>
    <row r="48" spans="1:17">
      <c r="A48" s="667" t="s">
        <v>5435</v>
      </c>
      <c r="B48" s="151" t="s">
        <v>5162</v>
      </c>
      <c r="C48" s="151" t="s">
        <v>15649</v>
      </c>
      <c r="D48" s="673">
        <v>0</v>
      </c>
      <c r="E48" s="673">
        <v>0</v>
      </c>
      <c r="F48" s="673">
        <v>0</v>
      </c>
      <c r="G48" s="673">
        <v>0</v>
      </c>
      <c r="H48" s="673">
        <v>0</v>
      </c>
      <c r="I48" s="673">
        <v>0</v>
      </c>
      <c r="J48" s="673">
        <v>0</v>
      </c>
      <c r="K48" s="673">
        <v>0</v>
      </c>
      <c r="L48" s="673">
        <v>0</v>
      </c>
      <c r="M48" s="673">
        <v>0</v>
      </c>
      <c r="N48" s="673">
        <v>0</v>
      </c>
      <c r="O48" s="56">
        <v>6309</v>
      </c>
      <c r="Q48" s="667" t="s">
        <v>5189</v>
      </c>
    </row>
    <row r="49" spans="1:17">
      <c r="A49" s="667" t="s">
        <v>5436</v>
      </c>
      <c r="B49" s="151" t="s">
        <v>5163</v>
      </c>
      <c r="C49" s="151" t="s">
        <v>15650</v>
      </c>
      <c r="D49" s="673">
        <v>0</v>
      </c>
      <c r="E49" s="673">
        <v>0</v>
      </c>
      <c r="F49" s="673">
        <v>0</v>
      </c>
      <c r="G49" s="673">
        <v>0</v>
      </c>
      <c r="H49" s="673">
        <v>0</v>
      </c>
      <c r="I49" s="673">
        <v>0</v>
      </c>
      <c r="J49" s="673">
        <v>0</v>
      </c>
      <c r="K49" s="673">
        <v>0</v>
      </c>
      <c r="L49" s="673">
        <v>0</v>
      </c>
      <c r="M49" s="673">
        <v>0</v>
      </c>
      <c r="N49" s="673">
        <v>0</v>
      </c>
      <c r="O49" s="58">
        <v>6161</v>
      </c>
      <c r="Q49" s="667" t="s">
        <v>5189</v>
      </c>
    </row>
    <row r="50" spans="1:17">
      <c r="A50" s="667" t="s">
        <v>5437</v>
      </c>
      <c r="B50" s="151" t="s">
        <v>5164</v>
      </c>
      <c r="C50" s="151" t="s">
        <v>15651</v>
      </c>
      <c r="D50" s="673">
        <v>0</v>
      </c>
      <c r="E50" s="673">
        <v>0</v>
      </c>
      <c r="F50" s="673">
        <v>0</v>
      </c>
      <c r="G50" s="673">
        <v>0</v>
      </c>
      <c r="H50" s="673">
        <v>0</v>
      </c>
      <c r="I50" s="673">
        <v>0</v>
      </c>
      <c r="J50" s="673">
        <v>0</v>
      </c>
      <c r="K50" s="673">
        <v>0</v>
      </c>
      <c r="L50" s="673">
        <v>0</v>
      </c>
      <c r="M50" s="673">
        <v>0</v>
      </c>
      <c r="N50" s="673">
        <v>0</v>
      </c>
      <c r="O50" s="58">
        <v>9655</v>
      </c>
      <c r="Q50" s="667" t="s">
        <v>5189</v>
      </c>
    </row>
    <row r="51" spans="1:17">
      <c r="A51" s="667" t="s">
        <v>5439</v>
      </c>
      <c r="B51" s="151" t="s">
        <v>15653</v>
      </c>
      <c r="C51" s="151" t="s">
        <v>15652</v>
      </c>
      <c r="D51" s="673">
        <v>0</v>
      </c>
      <c r="E51" s="673">
        <v>0</v>
      </c>
      <c r="F51" s="673">
        <v>0</v>
      </c>
      <c r="G51" s="673">
        <v>0</v>
      </c>
      <c r="H51" s="673">
        <v>0</v>
      </c>
      <c r="I51" s="673">
        <v>0</v>
      </c>
      <c r="J51" s="673">
        <v>0</v>
      </c>
      <c r="K51" s="673">
        <v>0</v>
      </c>
      <c r="L51" s="673">
        <v>0</v>
      </c>
      <c r="M51" s="673">
        <v>0</v>
      </c>
      <c r="N51" s="673">
        <v>0</v>
      </c>
      <c r="O51" s="56">
        <v>9523</v>
      </c>
      <c r="Q51" s="667" t="s">
        <v>5187</v>
      </c>
    </row>
    <row r="52" spans="1:17">
      <c r="A52" s="667" t="s">
        <v>5441</v>
      </c>
      <c r="B52" s="151" t="s">
        <v>15655</v>
      </c>
      <c r="C52" s="151" t="s">
        <v>15654</v>
      </c>
      <c r="D52" s="673">
        <v>0</v>
      </c>
      <c r="E52" s="673">
        <v>0</v>
      </c>
      <c r="F52" s="673">
        <v>0</v>
      </c>
      <c r="G52" s="673">
        <v>0</v>
      </c>
      <c r="H52" s="673">
        <v>0</v>
      </c>
      <c r="I52" s="673">
        <v>0</v>
      </c>
      <c r="J52" s="673">
        <v>0</v>
      </c>
      <c r="K52" s="673">
        <v>0</v>
      </c>
      <c r="L52" s="673">
        <v>0</v>
      </c>
      <c r="M52" s="673">
        <v>0</v>
      </c>
      <c r="N52" s="673">
        <v>0</v>
      </c>
      <c r="O52" s="56">
        <v>5975</v>
      </c>
      <c r="Q52" s="667" t="s">
        <v>5187</v>
      </c>
    </row>
    <row r="53" spans="1:17">
      <c r="A53" s="667" t="s">
        <v>5886</v>
      </c>
      <c r="B53" s="151" t="s">
        <v>15657</v>
      </c>
      <c r="C53" s="151" t="s">
        <v>15656</v>
      </c>
      <c r="D53" s="673">
        <v>0</v>
      </c>
      <c r="E53" s="673">
        <v>0</v>
      </c>
      <c r="F53" s="673">
        <v>0</v>
      </c>
      <c r="G53" s="673">
        <v>0</v>
      </c>
      <c r="H53" s="673">
        <v>0</v>
      </c>
      <c r="I53" s="673">
        <v>0</v>
      </c>
      <c r="J53" s="673">
        <v>0</v>
      </c>
      <c r="K53" s="673">
        <v>0</v>
      </c>
      <c r="L53" s="673">
        <v>0</v>
      </c>
      <c r="M53" s="673">
        <v>0</v>
      </c>
      <c r="N53" s="673">
        <v>0</v>
      </c>
      <c r="O53" s="58">
        <v>310</v>
      </c>
      <c r="Q53" s="667" t="s">
        <v>5187</v>
      </c>
    </row>
    <row r="54" spans="1:17" ht="15.75" thickBot="1">
      <c r="A54" s="667"/>
      <c r="C54" s="151" t="s">
        <v>15656</v>
      </c>
      <c r="D54" s="673">
        <v>0</v>
      </c>
      <c r="E54" s="673">
        <v>0</v>
      </c>
      <c r="F54" s="673">
        <v>0</v>
      </c>
      <c r="G54" s="673">
        <v>0</v>
      </c>
      <c r="H54" s="673">
        <v>0</v>
      </c>
      <c r="I54" s="673">
        <v>0</v>
      </c>
      <c r="J54" s="673">
        <v>0</v>
      </c>
      <c r="K54" s="673">
        <v>0</v>
      </c>
      <c r="L54" s="673">
        <v>0</v>
      </c>
      <c r="M54" s="673">
        <v>0</v>
      </c>
      <c r="N54" s="673">
        <v>0</v>
      </c>
      <c r="O54" s="58">
        <v>3915</v>
      </c>
      <c r="Q54" s="667" t="s">
        <v>5189</v>
      </c>
    </row>
    <row r="55" spans="1:17" ht="15.75" thickBot="1">
      <c r="A55" s="667"/>
      <c r="C55" s="151" t="s">
        <v>15656</v>
      </c>
      <c r="D55" s="49">
        <f t="shared" ref="D55:O55" si="18">D53+D54</f>
        <v>0</v>
      </c>
      <c r="E55" s="49">
        <f t="shared" si="18"/>
        <v>0</v>
      </c>
      <c r="F55" s="49">
        <f t="shared" si="18"/>
        <v>0</v>
      </c>
      <c r="G55" s="49">
        <f t="shared" si="18"/>
        <v>0</v>
      </c>
      <c r="H55" s="49">
        <f t="shared" si="18"/>
        <v>0</v>
      </c>
      <c r="I55" s="49">
        <f t="shared" si="18"/>
        <v>0</v>
      </c>
      <c r="J55" s="49">
        <f t="shared" si="18"/>
        <v>0</v>
      </c>
      <c r="K55" s="49">
        <f t="shared" si="18"/>
        <v>0</v>
      </c>
      <c r="L55" s="49">
        <f t="shared" si="18"/>
        <v>0</v>
      </c>
      <c r="M55" s="49">
        <f t="shared" si="18"/>
        <v>0</v>
      </c>
      <c r="N55" s="49">
        <f t="shared" si="18"/>
        <v>0</v>
      </c>
      <c r="O55" s="49">
        <f t="shared" si="18"/>
        <v>4225</v>
      </c>
      <c r="Q55" s="667"/>
    </row>
    <row r="56" spans="1:17">
      <c r="A56" s="1002" t="s">
        <v>5888</v>
      </c>
      <c r="B56" s="151" t="s">
        <v>5165</v>
      </c>
      <c r="C56" s="151" t="s">
        <v>15658</v>
      </c>
      <c r="D56" s="673">
        <v>0</v>
      </c>
      <c r="E56" s="673">
        <v>0</v>
      </c>
      <c r="F56" s="673">
        <v>0</v>
      </c>
      <c r="G56" s="673">
        <v>0</v>
      </c>
      <c r="H56" s="673">
        <v>0</v>
      </c>
      <c r="I56" s="673">
        <v>0</v>
      </c>
      <c r="J56" s="673">
        <v>0</v>
      </c>
      <c r="K56" s="673">
        <v>0</v>
      </c>
      <c r="L56" s="673">
        <v>0</v>
      </c>
      <c r="M56" s="673">
        <v>0</v>
      </c>
      <c r="N56" s="673">
        <v>0</v>
      </c>
      <c r="O56" s="58">
        <v>6250</v>
      </c>
      <c r="Q56" s="667" t="s">
        <v>5189</v>
      </c>
    </row>
    <row r="58" spans="1:17">
      <c r="A58" s="151" t="s">
        <v>6668</v>
      </c>
    </row>
    <row r="59" spans="1:17">
      <c r="A59" s="151" t="s">
        <v>15659</v>
      </c>
    </row>
    <row r="60" spans="1:17">
      <c r="A60" s="151" t="s">
        <v>6669</v>
      </c>
    </row>
    <row r="62" spans="1:17">
      <c r="A62" s="1008" t="s">
        <v>16023</v>
      </c>
    </row>
    <row r="63" spans="1:17">
      <c r="A63" s="167" t="s">
        <v>16099</v>
      </c>
    </row>
  </sheetData>
  <phoneticPr fontId="6" type="noConversion"/>
  <printOptions gridLinesSet="0"/>
  <pageMargins left="0.78740157480314965" right="0" top="0.51181102362204722" bottom="0.51181102362204722" header="0.51181102362204722" footer="0.51181102362204722"/>
  <pageSetup paperSize="9" scale="79" orientation="portrait" horizontalDpi="300" verticalDpi="300" r:id="rId1"/>
  <headerFooter alignWithMargins="0">
    <oddFooter>&amp;C&amp;"Times New Roman,Regular"&amp;8&amp;P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Q26"/>
  <sheetViews>
    <sheetView showGridLines="0" topLeftCell="B1" zoomScale="90" zoomScaleNormal="90" workbookViewId="0">
      <selection activeCell="A25" sqref="A25:A26"/>
    </sheetView>
  </sheetViews>
  <sheetFormatPr defaultColWidth="12.5703125" defaultRowHeight="15"/>
  <cols>
    <col min="1" max="1" width="4.85546875" style="123" customWidth="1"/>
    <col min="2" max="2" width="30.7109375" style="123" customWidth="1"/>
    <col min="3" max="3" width="11.85546875" style="123" customWidth="1"/>
    <col min="4" max="15" width="10" style="123" customWidth="1"/>
    <col min="16" max="16" width="2.28515625" style="123" customWidth="1"/>
    <col min="17" max="17" width="20.7109375" style="123" customWidth="1"/>
    <col min="18" max="16384" width="12.5703125" style="123"/>
  </cols>
  <sheetData>
    <row r="1" spans="1:17">
      <c r="A1" s="356" t="s">
        <v>6924</v>
      </c>
      <c r="D1" s="357">
        <v>2010</v>
      </c>
      <c r="E1" s="357">
        <v>2011</v>
      </c>
      <c r="F1" s="357">
        <v>2012</v>
      </c>
      <c r="G1" s="357">
        <v>2013</v>
      </c>
      <c r="H1" s="357">
        <v>2014</v>
      </c>
      <c r="I1" s="357">
        <v>2015</v>
      </c>
      <c r="J1" s="357">
        <v>2016</v>
      </c>
      <c r="K1" s="357">
        <v>2017</v>
      </c>
      <c r="L1" s="357">
        <v>2018</v>
      </c>
      <c r="M1" s="357">
        <v>2019</v>
      </c>
      <c r="N1" s="357">
        <v>2020</v>
      </c>
      <c r="O1" s="939" t="s">
        <v>14823</v>
      </c>
    </row>
    <row r="3" spans="1:17">
      <c r="A3" s="356" t="s">
        <v>6829</v>
      </c>
      <c r="D3" s="359">
        <f t="shared" ref="D3:O3" si="0">SUM(D9:D20)</f>
        <v>69284</v>
      </c>
      <c r="E3" s="359">
        <f t="shared" si="0"/>
        <v>70010</v>
      </c>
      <c r="F3" s="359">
        <f t="shared" si="0"/>
        <v>70203</v>
      </c>
      <c r="G3" s="359">
        <f t="shared" si="0"/>
        <v>70426</v>
      </c>
      <c r="H3" s="359">
        <f t="shared" si="0"/>
        <v>70463</v>
      </c>
      <c r="I3" s="359">
        <f t="shared" si="0"/>
        <v>68796</v>
      </c>
      <c r="J3" s="359">
        <f t="shared" si="0"/>
        <v>68201</v>
      </c>
      <c r="K3" s="359">
        <f t="shared" si="0"/>
        <v>68801</v>
      </c>
      <c r="L3" s="359">
        <f t="shared" si="0"/>
        <v>70032</v>
      </c>
      <c r="M3" s="359">
        <f t="shared" si="0"/>
        <v>69713</v>
      </c>
      <c r="N3" s="359">
        <f t="shared" si="0"/>
        <v>70235</v>
      </c>
      <c r="O3" s="359">
        <f t="shared" si="0"/>
        <v>71228</v>
      </c>
    </row>
    <row r="4" spans="1:17">
      <c r="A4" s="76"/>
      <c r="B4" s="76"/>
      <c r="C4" s="76"/>
      <c r="D4" s="76"/>
      <c r="E4" s="76"/>
      <c r="F4" s="76"/>
      <c r="G4" s="76"/>
      <c r="H4" s="76"/>
      <c r="I4" s="76"/>
      <c r="J4" s="76"/>
      <c r="K4" s="76"/>
      <c r="L4" s="76"/>
      <c r="M4" s="76"/>
      <c r="N4" s="76"/>
      <c r="O4" s="76"/>
      <c r="P4" s="76"/>
      <c r="Q4" s="76"/>
    </row>
    <row r="5" spans="1:17">
      <c r="A5" s="356" t="s">
        <v>6830</v>
      </c>
      <c r="D5" s="359">
        <f t="shared" ref="D5:M5" si="1">D3/1</f>
        <v>69284</v>
      </c>
      <c r="E5" s="359">
        <f t="shared" si="1"/>
        <v>70010</v>
      </c>
      <c r="F5" s="359">
        <f t="shared" si="1"/>
        <v>70203</v>
      </c>
      <c r="G5" s="359">
        <f t="shared" si="1"/>
        <v>70426</v>
      </c>
      <c r="H5" s="359">
        <f t="shared" si="1"/>
        <v>70463</v>
      </c>
      <c r="I5" s="359">
        <f t="shared" si="1"/>
        <v>68796</v>
      </c>
      <c r="J5" s="359">
        <f t="shared" si="1"/>
        <v>68201</v>
      </c>
      <c r="K5" s="359">
        <f t="shared" si="1"/>
        <v>68801</v>
      </c>
      <c r="L5" s="359">
        <f t="shared" si="1"/>
        <v>70032</v>
      </c>
      <c r="M5" s="359">
        <f t="shared" si="1"/>
        <v>69713</v>
      </c>
      <c r="N5" s="359">
        <f>N3/1</f>
        <v>70235</v>
      </c>
      <c r="O5" s="359">
        <f>O3/1</f>
        <v>71228</v>
      </c>
    </row>
    <row r="6" spans="1:17">
      <c r="D6" s="360"/>
      <c r="E6" s="360"/>
      <c r="F6" s="360"/>
      <c r="G6" s="360"/>
      <c r="H6" s="360"/>
      <c r="I6" s="360"/>
      <c r="J6" s="360"/>
      <c r="K6" s="360"/>
      <c r="L6" s="360"/>
      <c r="M6" s="360"/>
      <c r="N6" s="360"/>
      <c r="O6" s="360"/>
    </row>
    <row r="7" spans="1:17">
      <c r="A7" s="356" t="s">
        <v>6831</v>
      </c>
      <c r="D7" s="359">
        <f t="shared" ref="D7:O7" si="2">SUM(D9:D20)</f>
        <v>69284</v>
      </c>
      <c r="E7" s="359">
        <f t="shared" si="2"/>
        <v>70010</v>
      </c>
      <c r="F7" s="359">
        <f t="shared" si="2"/>
        <v>70203</v>
      </c>
      <c r="G7" s="359">
        <f t="shared" si="2"/>
        <v>70426</v>
      </c>
      <c r="H7" s="359">
        <f t="shared" si="2"/>
        <v>70463</v>
      </c>
      <c r="I7" s="359">
        <f t="shared" si="2"/>
        <v>68796</v>
      </c>
      <c r="J7" s="359">
        <f t="shared" si="2"/>
        <v>68201</v>
      </c>
      <c r="K7" s="359">
        <f t="shared" si="2"/>
        <v>68801</v>
      </c>
      <c r="L7" s="359">
        <f t="shared" si="2"/>
        <v>70032</v>
      </c>
      <c r="M7" s="359">
        <f t="shared" si="2"/>
        <v>69713</v>
      </c>
      <c r="N7" s="359">
        <f t="shared" si="2"/>
        <v>70235</v>
      </c>
      <c r="O7" s="359">
        <f t="shared" si="2"/>
        <v>71228</v>
      </c>
      <c r="Q7" s="356" t="s">
        <v>6832</v>
      </c>
    </row>
    <row r="8" spans="1:17">
      <c r="D8" s="360"/>
      <c r="E8" s="360"/>
      <c r="F8" s="360"/>
      <c r="G8" s="360"/>
      <c r="H8" s="360"/>
      <c r="I8" s="360"/>
      <c r="J8" s="360"/>
      <c r="K8" s="360"/>
      <c r="L8" s="360"/>
      <c r="M8" s="360"/>
      <c r="N8" s="360"/>
      <c r="O8" s="360"/>
    </row>
    <row r="9" spans="1:17">
      <c r="A9" s="356" t="s">
        <v>5387</v>
      </c>
      <c r="B9" s="123" t="s">
        <v>6833</v>
      </c>
      <c r="C9" s="123" t="s">
        <v>14866</v>
      </c>
      <c r="D9" s="359">
        <v>69284</v>
      </c>
      <c r="E9" s="359">
        <v>70010</v>
      </c>
      <c r="F9" s="359">
        <v>70203</v>
      </c>
      <c r="G9" s="56">
        <v>70426</v>
      </c>
      <c r="H9" s="56">
        <v>70463</v>
      </c>
      <c r="I9" s="56">
        <v>68796</v>
      </c>
      <c r="J9" s="56">
        <v>68201</v>
      </c>
      <c r="K9" s="56">
        <v>68801</v>
      </c>
      <c r="L9" s="56">
        <v>70032</v>
      </c>
      <c r="M9" s="56">
        <v>69713</v>
      </c>
      <c r="N9" s="56">
        <v>70235</v>
      </c>
      <c r="O9" s="56">
        <v>5982</v>
      </c>
      <c r="Q9" s="356" t="s">
        <v>6831</v>
      </c>
    </row>
    <row r="10" spans="1:17">
      <c r="A10" s="356" t="s">
        <v>5389</v>
      </c>
      <c r="B10" s="123" t="s">
        <v>9306</v>
      </c>
      <c r="C10" s="123" t="s">
        <v>14867</v>
      </c>
      <c r="D10" s="359">
        <v>0</v>
      </c>
      <c r="E10" s="359">
        <v>0</v>
      </c>
      <c r="F10" s="359">
        <v>0</v>
      </c>
      <c r="G10" s="359">
        <v>0</v>
      </c>
      <c r="H10" s="359">
        <v>0</v>
      </c>
      <c r="I10" s="359">
        <v>0</v>
      </c>
      <c r="J10" s="359">
        <v>0</v>
      </c>
      <c r="K10" s="359">
        <v>0</v>
      </c>
      <c r="L10" s="359">
        <v>0</v>
      </c>
      <c r="M10" s="359">
        <v>0</v>
      </c>
      <c r="N10" s="359">
        <v>0</v>
      </c>
      <c r="O10" s="56">
        <v>5885</v>
      </c>
      <c r="Q10" s="356" t="s">
        <v>6831</v>
      </c>
    </row>
    <row r="11" spans="1:17">
      <c r="A11" s="356" t="s">
        <v>5391</v>
      </c>
      <c r="B11" s="123" t="s">
        <v>14869</v>
      </c>
      <c r="C11" s="123" t="s">
        <v>14868</v>
      </c>
      <c r="D11" s="359">
        <v>0</v>
      </c>
      <c r="E11" s="359">
        <v>0</v>
      </c>
      <c r="F11" s="359">
        <v>0</v>
      </c>
      <c r="G11" s="359">
        <v>0</v>
      </c>
      <c r="H11" s="359">
        <v>0</v>
      </c>
      <c r="I11" s="359">
        <v>0</v>
      </c>
      <c r="J11" s="359">
        <v>0</v>
      </c>
      <c r="K11" s="359">
        <v>0</v>
      </c>
      <c r="L11" s="359">
        <v>0</v>
      </c>
      <c r="M11" s="359">
        <v>0</v>
      </c>
      <c r="N11" s="359">
        <v>0</v>
      </c>
      <c r="O11" s="56">
        <v>5583</v>
      </c>
      <c r="Q11" s="356" t="s">
        <v>6831</v>
      </c>
    </row>
    <row r="12" spans="1:17">
      <c r="A12" s="356" t="s">
        <v>5393</v>
      </c>
      <c r="B12" s="123" t="s">
        <v>6834</v>
      </c>
      <c r="C12" s="123" t="s">
        <v>14870</v>
      </c>
      <c r="D12" s="359">
        <v>0</v>
      </c>
      <c r="E12" s="359">
        <v>0</v>
      </c>
      <c r="F12" s="359">
        <v>0</v>
      </c>
      <c r="G12" s="359">
        <v>0</v>
      </c>
      <c r="H12" s="359">
        <v>0</v>
      </c>
      <c r="I12" s="359">
        <v>0</v>
      </c>
      <c r="J12" s="359">
        <v>0</v>
      </c>
      <c r="K12" s="359">
        <v>0</v>
      </c>
      <c r="L12" s="359">
        <v>0</v>
      </c>
      <c r="M12" s="359">
        <v>0</v>
      </c>
      <c r="N12" s="359">
        <v>0</v>
      </c>
      <c r="O12" s="56">
        <v>6445</v>
      </c>
      <c r="Q12" s="356" t="s">
        <v>6831</v>
      </c>
    </row>
    <row r="13" spans="1:17">
      <c r="A13" s="356" t="s">
        <v>5394</v>
      </c>
      <c r="B13" s="123" t="s">
        <v>3756</v>
      </c>
      <c r="C13" s="123" t="s">
        <v>14871</v>
      </c>
      <c r="D13" s="359">
        <v>0</v>
      </c>
      <c r="E13" s="359">
        <v>0</v>
      </c>
      <c r="F13" s="359">
        <v>0</v>
      </c>
      <c r="G13" s="359">
        <v>0</v>
      </c>
      <c r="H13" s="359">
        <v>0</v>
      </c>
      <c r="I13" s="359">
        <v>0</v>
      </c>
      <c r="J13" s="359">
        <v>0</v>
      </c>
      <c r="K13" s="359">
        <v>0</v>
      </c>
      <c r="L13" s="359">
        <v>0</v>
      </c>
      <c r="M13" s="359">
        <v>0</v>
      </c>
      <c r="N13" s="359">
        <v>0</v>
      </c>
      <c r="O13" s="56">
        <v>6035</v>
      </c>
      <c r="Q13" s="356" t="s">
        <v>6831</v>
      </c>
    </row>
    <row r="14" spans="1:17">
      <c r="A14" s="356" t="s">
        <v>5416</v>
      </c>
      <c r="B14" s="123" t="s">
        <v>14873</v>
      </c>
      <c r="C14" s="123" t="s">
        <v>14872</v>
      </c>
      <c r="D14" s="359">
        <v>0</v>
      </c>
      <c r="E14" s="359">
        <v>0</v>
      </c>
      <c r="F14" s="359">
        <v>0</v>
      </c>
      <c r="G14" s="359">
        <v>0</v>
      </c>
      <c r="H14" s="359">
        <v>0</v>
      </c>
      <c r="I14" s="359">
        <v>0</v>
      </c>
      <c r="J14" s="359">
        <v>0</v>
      </c>
      <c r="K14" s="359">
        <v>0</v>
      </c>
      <c r="L14" s="359">
        <v>0</v>
      </c>
      <c r="M14" s="359">
        <v>0</v>
      </c>
      <c r="N14" s="359">
        <v>0</v>
      </c>
      <c r="O14" s="56">
        <v>6390</v>
      </c>
      <c r="Q14" s="356" t="s">
        <v>6831</v>
      </c>
    </row>
    <row r="15" spans="1:17">
      <c r="A15" s="356" t="s">
        <v>5418</v>
      </c>
      <c r="B15" s="123" t="s">
        <v>9307</v>
      </c>
      <c r="C15" s="123" t="s">
        <v>14874</v>
      </c>
      <c r="D15" s="359">
        <v>0</v>
      </c>
      <c r="E15" s="359">
        <v>0</v>
      </c>
      <c r="F15" s="359">
        <v>0</v>
      </c>
      <c r="G15" s="359">
        <v>0</v>
      </c>
      <c r="H15" s="359">
        <v>0</v>
      </c>
      <c r="I15" s="359">
        <v>0</v>
      </c>
      <c r="J15" s="359">
        <v>0</v>
      </c>
      <c r="K15" s="359">
        <v>0</v>
      </c>
      <c r="L15" s="359">
        <v>0</v>
      </c>
      <c r="M15" s="359">
        <v>0</v>
      </c>
      <c r="N15" s="359">
        <v>0</v>
      </c>
      <c r="O15" s="56">
        <v>6218</v>
      </c>
      <c r="Q15" s="356" t="s">
        <v>6831</v>
      </c>
    </row>
    <row r="16" spans="1:17">
      <c r="A16" s="356" t="s">
        <v>5420</v>
      </c>
      <c r="B16" s="123" t="s">
        <v>14876</v>
      </c>
      <c r="C16" s="123" t="s">
        <v>14875</v>
      </c>
      <c r="D16" s="359">
        <v>0</v>
      </c>
      <c r="E16" s="359">
        <v>0</v>
      </c>
      <c r="F16" s="359">
        <v>0</v>
      </c>
      <c r="G16" s="359">
        <v>0</v>
      </c>
      <c r="H16" s="359">
        <v>0</v>
      </c>
      <c r="I16" s="359">
        <v>0</v>
      </c>
      <c r="J16" s="359">
        <v>0</v>
      </c>
      <c r="K16" s="359">
        <v>0</v>
      </c>
      <c r="L16" s="359">
        <v>0</v>
      </c>
      <c r="M16" s="359">
        <v>0</v>
      </c>
      <c r="N16" s="359">
        <v>0</v>
      </c>
      <c r="O16" s="56">
        <v>5533</v>
      </c>
      <c r="Q16" s="356" t="s">
        <v>6831</v>
      </c>
    </row>
    <row r="17" spans="1:17">
      <c r="A17" s="356" t="s">
        <v>5422</v>
      </c>
      <c r="B17" s="123" t="s">
        <v>4787</v>
      </c>
      <c r="C17" s="123" t="s">
        <v>14877</v>
      </c>
      <c r="D17" s="359">
        <v>0</v>
      </c>
      <c r="E17" s="359">
        <v>0</v>
      </c>
      <c r="F17" s="359">
        <v>0</v>
      </c>
      <c r="G17" s="359">
        <v>0</v>
      </c>
      <c r="H17" s="359">
        <v>0</v>
      </c>
      <c r="I17" s="359">
        <v>0</v>
      </c>
      <c r="J17" s="359">
        <v>0</v>
      </c>
      <c r="K17" s="359">
        <v>0</v>
      </c>
      <c r="L17" s="359">
        <v>0</v>
      </c>
      <c r="M17" s="359">
        <v>0</v>
      </c>
      <c r="N17" s="359">
        <v>0</v>
      </c>
      <c r="O17" s="56">
        <v>5491</v>
      </c>
      <c r="Q17" s="356" t="s">
        <v>6831</v>
      </c>
    </row>
    <row r="18" spans="1:17">
      <c r="A18" s="356" t="s">
        <v>5424</v>
      </c>
      <c r="B18" s="123" t="s">
        <v>4950</v>
      </c>
      <c r="C18" s="123" t="s">
        <v>14878</v>
      </c>
      <c r="D18" s="359">
        <v>0</v>
      </c>
      <c r="E18" s="359">
        <v>0</v>
      </c>
      <c r="F18" s="359">
        <v>0</v>
      </c>
      <c r="G18" s="359">
        <v>0</v>
      </c>
      <c r="H18" s="359">
        <v>0</v>
      </c>
      <c r="I18" s="359">
        <v>0</v>
      </c>
      <c r="J18" s="359">
        <v>0</v>
      </c>
      <c r="K18" s="359">
        <v>0</v>
      </c>
      <c r="L18" s="359">
        <v>0</v>
      </c>
      <c r="M18" s="359">
        <v>0</v>
      </c>
      <c r="N18" s="359">
        <v>0</v>
      </c>
      <c r="O18" s="56">
        <v>5647</v>
      </c>
      <c r="Q18" s="356" t="s">
        <v>6831</v>
      </c>
    </row>
    <row r="19" spans="1:17">
      <c r="A19" s="356" t="s">
        <v>5426</v>
      </c>
      <c r="B19" s="123" t="s">
        <v>14880</v>
      </c>
      <c r="C19" s="123" t="s">
        <v>14879</v>
      </c>
      <c r="D19" s="359">
        <v>0</v>
      </c>
      <c r="E19" s="359">
        <v>0</v>
      </c>
      <c r="F19" s="359">
        <v>0</v>
      </c>
      <c r="G19" s="359">
        <v>0</v>
      </c>
      <c r="H19" s="359">
        <v>0</v>
      </c>
      <c r="I19" s="359">
        <v>0</v>
      </c>
      <c r="J19" s="359">
        <v>0</v>
      </c>
      <c r="K19" s="359">
        <v>0</v>
      </c>
      <c r="L19" s="359">
        <v>0</v>
      </c>
      <c r="M19" s="359">
        <v>0</v>
      </c>
      <c r="N19" s="359">
        <v>0</v>
      </c>
      <c r="O19" s="56">
        <v>6302</v>
      </c>
      <c r="Q19" s="356" t="s">
        <v>6831</v>
      </c>
    </row>
    <row r="20" spans="1:17">
      <c r="A20" s="995" t="s">
        <v>5428</v>
      </c>
      <c r="B20" s="123" t="s">
        <v>4538</v>
      </c>
      <c r="C20" s="123" t="s">
        <v>14881</v>
      </c>
      <c r="D20" s="359">
        <v>0</v>
      </c>
      <c r="E20" s="359">
        <v>0</v>
      </c>
      <c r="F20" s="359">
        <v>0</v>
      </c>
      <c r="G20" s="359">
        <v>0</v>
      </c>
      <c r="H20" s="359">
        <v>0</v>
      </c>
      <c r="I20" s="359">
        <v>0</v>
      </c>
      <c r="J20" s="359">
        <v>0</v>
      </c>
      <c r="K20" s="359">
        <v>0</v>
      </c>
      <c r="L20" s="359">
        <v>0</v>
      </c>
      <c r="M20" s="359">
        <v>0</v>
      </c>
      <c r="N20" s="359">
        <v>0</v>
      </c>
      <c r="O20" s="56">
        <v>5717</v>
      </c>
      <c r="Q20" s="356" t="s">
        <v>6831</v>
      </c>
    </row>
    <row r="21" spans="1:17">
      <c r="A21" s="356"/>
      <c r="B21" s="356"/>
      <c r="C21" s="55"/>
      <c r="D21" s="359"/>
      <c r="E21" s="359"/>
      <c r="F21" s="359"/>
      <c r="G21" s="359"/>
      <c r="H21" s="359"/>
      <c r="I21" s="359"/>
      <c r="J21" s="359"/>
      <c r="K21" s="359"/>
      <c r="L21" s="359"/>
      <c r="M21" s="359"/>
      <c r="N21" s="56"/>
      <c r="O21" s="56"/>
      <c r="Q21" s="356"/>
    </row>
    <row r="22" spans="1:17">
      <c r="A22" s="356" t="s">
        <v>14102</v>
      </c>
      <c r="D22" s="360"/>
      <c r="E22" s="360"/>
      <c r="F22" s="360"/>
      <c r="G22" s="360"/>
      <c r="H22" s="360"/>
      <c r="I22" s="360"/>
      <c r="J22" s="360"/>
      <c r="K22" s="360"/>
      <c r="L22" s="360"/>
    </row>
    <row r="23" spans="1:17">
      <c r="A23" s="356" t="s">
        <v>14882</v>
      </c>
      <c r="B23" s="356"/>
      <c r="C23" s="356"/>
      <c r="D23" s="514"/>
      <c r="E23" s="514"/>
      <c r="F23" s="514"/>
      <c r="G23" s="514"/>
      <c r="H23" s="514"/>
      <c r="I23" s="514"/>
      <c r="J23" s="514"/>
      <c r="K23" s="514"/>
      <c r="L23" s="514"/>
    </row>
    <row r="24" spans="1:17">
      <c r="A24" s="356"/>
      <c r="B24" s="356"/>
      <c r="C24" s="356"/>
      <c r="D24" s="514"/>
      <c r="E24" s="514"/>
      <c r="F24" s="514"/>
      <c r="G24" s="514"/>
      <c r="H24" s="514"/>
      <c r="I24" s="514"/>
      <c r="J24" s="514"/>
      <c r="K24" s="514"/>
      <c r="L24" s="514"/>
    </row>
    <row r="25" spans="1:17">
      <c r="A25" s="1008" t="s">
        <v>16023</v>
      </c>
      <c r="B25" s="356"/>
      <c r="C25" s="356"/>
      <c r="D25" s="514"/>
      <c r="E25" s="514"/>
      <c r="F25" s="514"/>
      <c r="G25" s="514"/>
      <c r="H25" s="514"/>
      <c r="I25" s="514"/>
      <c r="J25" s="514"/>
      <c r="K25" s="514"/>
      <c r="L25" s="514"/>
    </row>
    <row r="26" spans="1:17">
      <c r="A26" s="167" t="s">
        <v>16099</v>
      </c>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G8"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dimension ref="A1:Q43"/>
  <sheetViews>
    <sheetView showGridLines="0" topLeftCell="A10" zoomScale="90" zoomScaleNormal="90" workbookViewId="0">
      <selection activeCell="N43" sqref="N43"/>
    </sheetView>
  </sheetViews>
  <sheetFormatPr defaultColWidth="12.5703125" defaultRowHeight="15"/>
  <cols>
    <col min="1" max="1" width="4.85546875" style="150" customWidth="1"/>
    <col min="2" max="2" width="35.85546875" style="150" customWidth="1"/>
    <col min="3" max="3" width="11.5703125" style="150" customWidth="1"/>
    <col min="4" max="15" width="10" style="150" customWidth="1"/>
    <col min="16" max="16" width="2.28515625" style="150" customWidth="1"/>
    <col min="17" max="17" width="30.7109375" style="150" customWidth="1"/>
    <col min="18" max="16384" width="12.5703125" style="150"/>
  </cols>
  <sheetData>
    <row r="1" spans="1:17">
      <c r="A1" s="658" t="s">
        <v>5719</v>
      </c>
      <c r="D1" s="659">
        <v>2010</v>
      </c>
      <c r="E1" s="659">
        <v>2011</v>
      </c>
      <c r="F1" s="659">
        <v>2012</v>
      </c>
      <c r="G1" s="659">
        <v>2013</v>
      </c>
      <c r="H1" s="659">
        <v>2014</v>
      </c>
      <c r="I1" s="659">
        <v>2015</v>
      </c>
      <c r="J1" s="659">
        <v>2016</v>
      </c>
      <c r="K1" s="659">
        <v>2017</v>
      </c>
      <c r="L1" s="659">
        <v>2018</v>
      </c>
      <c r="M1" s="659">
        <v>2019</v>
      </c>
      <c r="N1" s="659">
        <v>2020</v>
      </c>
      <c r="O1" s="968" t="s">
        <v>14823</v>
      </c>
    </row>
    <row r="3" spans="1:17">
      <c r="A3" s="658" t="s">
        <v>1602</v>
      </c>
      <c r="D3" s="660">
        <f t="shared" ref="D3:I3" si="0">SUM(D23:D40)</f>
        <v>179060</v>
      </c>
      <c r="E3" s="660">
        <f t="shared" si="0"/>
        <v>180545</v>
      </c>
      <c r="F3" s="660">
        <f t="shared" si="0"/>
        <v>182224</v>
      </c>
      <c r="G3" s="660">
        <f t="shared" si="0"/>
        <v>182776</v>
      </c>
      <c r="H3" s="660">
        <f t="shared" si="0"/>
        <v>183017</v>
      </c>
      <c r="I3" s="660">
        <f t="shared" si="0"/>
        <v>179330</v>
      </c>
      <c r="J3" s="660">
        <f t="shared" ref="J3:O3" si="1">SUM(J23:J40)</f>
        <v>177400</v>
      </c>
      <c r="K3" s="660">
        <f t="shared" si="1"/>
        <v>180826</v>
      </c>
      <c r="L3" s="660">
        <f t="shared" si="1"/>
        <v>183755</v>
      </c>
      <c r="M3" s="660">
        <f t="shared" si="1"/>
        <v>181186</v>
      </c>
      <c r="N3" s="660">
        <f t="shared" si="1"/>
        <v>179294</v>
      </c>
      <c r="O3" s="660">
        <f t="shared" si="1"/>
        <v>182111</v>
      </c>
    </row>
    <row r="5" spans="1:17">
      <c r="A5" s="658" t="s">
        <v>5720</v>
      </c>
      <c r="D5" s="660">
        <f t="shared" ref="D5:I5" si="2">D3/2</f>
        <v>89530</v>
      </c>
      <c r="E5" s="660">
        <f t="shared" si="2"/>
        <v>90272.5</v>
      </c>
      <c r="F5" s="660">
        <f t="shared" si="2"/>
        <v>91112</v>
      </c>
      <c r="G5" s="660">
        <f t="shared" si="2"/>
        <v>91388</v>
      </c>
      <c r="H5" s="660">
        <f t="shared" si="2"/>
        <v>91508.5</v>
      </c>
      <c r="I5" s="660">
        <f t="shared" si="2"/>
        <v>89665</v>
      </c>
      <c r="J5" s="660">
        <f t="shared" ref="J5:O5" si="3">J3/2</f>
        <v>88700</v>
      </c>
      <c r="K5" s="660">
        <f t="shared" si="3"/>
        <v>90413</v>
      </c>
      <c r="L5" s="660">
        <f t="shared" si="3"/>
        <v>91877.5</v>
      </c>
      <c r="M5" s="660">
        <f t="shared" si="3"/>
        <v>90593</v>
      </c>
      <c r="N5" s="660">
        <f t="shared" si="3"/>
        <v>89647</v>
      </c>
      <c r="O5" s="660">
        <f t="shared" si="3"/>
        <v>91055.5</v>
      </c>
    </row>
    <row r="6" spans="1:17">
      <c r="D6" s="661"/>
      <c r="E6" s="661"/>
      <c r="F6" s="661"/>
      <c r="G6" s="661"/>
      <c r="H6" s="661"/>
      <c r="I6" s="661"/>
      <c r="J6" s="661"/>
      <c r="K6" s="661"/>
      <c r="L6" s="661"/>
      <c r="M6" s="661"/>
      <c r="N6" s="661"/>
      <c r="O6" s="661"/>
    </row>
    <row r="7" spans="1:17">
      <c r="A7" s="658" t="s">
        <v>6400</v>
      </c>
      <c r="D7" s="660">
        <f t="shared" ref="D7:I7" si="4">D24+SUM(D26:D29)+D31+D37+D40</f>
        <v>78913</v>
      </c>
      <c r="E7" s="660">
        <f t="shared" si="4"/>
        <v>79568</v>
      </c>
      <c r="F7" s="660">
        <f t="shared" si="4"/>
        <v>80364</v>
      </c>
      <c r="G7" s="660">
        <f t="shared" si="4"/>
        <v>80415</v>
      </c>
      <c r="H7" s="660">
        <f t="shared" si="4"/>
        <v>80252</v>
      </c>
      <c r="I7" s="660">
        <f t="shared" si="4"/>
        <v>78714</v>
      </c>
      <c r="J7" s="660">
        <f t="shared" ref="J7:O7" si="5">J24+SUM(J26:J29)+J31+J37+J40</f>
        <v>78064</v>
      </c>
      <c r="K7" s="660">
        <f t="shared" si="5"/>
        <v>79806</v>
      </c>
      <c r="L7" s="660">
        <f t="shared" si="5"/>
        <v>81200</v>
      </c>
      <c r="M7" s="660">
        <f t="shared" si="5"/>
        <v>80377</v>
      </c>
      <c r="N7" s="660">
        <f t="shared" si="5"/>
        <v>79631</v>
      </c>
      <c r="O7" s="660">
        <f t="shared" si="5"/>
        <v>80862</v>
      </c>
      <c r="Q7" s="658" t="s">
        <v>5724</v>
      </c>
    </row>
    <row r="8" spans="1:17">
      <c r="D8" s="661"/>
      <c r="E8" s="661"/>
      <c r="F8" s="661"/>
      <c r="G8" s="661"/>
      <c r="H8" s="661"/>
      <c r="I8" s="661"/>
      <c r="J8" s="661"/>
      <c r="K8" s="661"/>
      <c r="L8" s="661"/>
      <c r="M8" s="661"/>
      <c r="N8" s="661"/>
      <c r="O8" s="661"/>
    </row>
    <row r="9" spans="1:17">
      <c r="A9" s="658" t="s">
        <v>6401</v>
      </c>
      <c r="D9" s="660">
        <f t="shared" ref="D9:I9" si="6">D23+D30+SUM(D32:D34)+D36+D39</f>
        <v>71306</v>
      </c>
      <c r="E9" s="660">
        <f t="shared" si="6"/>
        <v>71978</v>
      </c>
      <c r="F9" s="660">
        <f t="shared" si="6"/>
        <v>72608</v>
      </c>
      <c r="G9" s="660">
        <f t="shared" si="6"/>
        <v>73129</v>
      </c>
      <c r="H9" s="660">
        <f t="shared" si="6"/>
        <v>73574</v>
      </c>
      <c r="I9" s="660">
        <f t="shared" si="6"/>
        <v>71790</v>
      </c>
      <c r="J9" s="660">
        <f t="shared" ref="J9:O9" si="7">J23+J30+SUM(J32:J34)+J36+J39</f>
        <v>70953</v>
      </c>
      <c r="K9" s="660">
        <f t="shared" si="7"/>
        <v>72309</v>
      </c>
      <c r="L9" s="660">
        <f t="shared" si="7"/>
        <v>73415</v>
      </c>
      <c r="M9" s="660">
        <f t="shared" si="7"/>
        <v>72046</v>
      </c>
      <c r="N9" s="660">
        <f t="shared" si="7"/>
        <v>71247</v>
      </c>
      <c r="O9" s="660">
        <f t="shared" si="7"/>
        <v>72267</v>
      </c>
      <c r="Q9" s="658" t="s">
        <v>5724</v>
      </c>
    </row>
    <row r="10" spans="1:17">
      <c r="D10" s="661"/>
      <c r="E10" s="661"/>
      <c r="F10" s="661"/>
      <c r="G10" s="661"/>
      <c r="H10" s="661"/>
      <c r="I10" s="661"/>
      <c r="J10" s="661"/>
      <c r="K10" s="661"/>
      <c r="L10" s="661"/>
      <c r="M10" s="661"/>
      <c r="N10" s="661"/>
      <c r="O10" s="661"/>
    </row>
    <row r="11" spans="1:17">
      <c r="A11" s="658" t="s">
        <v>5723</v>
      </c>
      <c r="D11" s="661">
        <f>BARKING!D9</f>
        <v>40758</v>
      </c>
      <c r="E11" s="661">
        <f>BARKING!E9</f>
        <v>41188</v>
      </c>
      <c r="F11" s="661">
        <f>BARKING!F9</f>
        <v>41495</v>
      </c>
      <c r="G11" s="661">
        <f>BARKING!G9</f>
        <v>41545</v>
      </c>
      <c r="H11" s="661">
        <f>BARKING!H9</f>
        <v>41232</v>
      </c>
      <c r="I11" s="661">
        <f>BARKING!I9</f>
        <v>39341</v>
      </c>
      <c r="J11" s="661">
        <f>BARKING!J9</f>
        <v>39172</v>
      </c>
      <c r="K11" s="661">
        <f>BARKING!K9</f>
        <v>40130</v>
      </c>
      <c r="L11" s="661">
        <f>BARKING!L9</f>
        <v>40618</v>
      </c>
      <c r="M11" s="661">
        <f>BARKING!M9</f>
        <v>41817</v>
      </c>
      <c r="N11" s="661">
        <f>BARKING!N9</f>
        <v>41605</v>
      </c>
      <c r="O11" s="661">
        <f>BARKING!O9</f>
        <v>42427</v>
      </c>
      <c r="Q11" s="150" t="s">
        <v>1603</v>
      </c>
    </row>
    <row r="12" spans="1:17" ht="15.75" thickBot="1">
      <c r="A12" s="658"/>
      <c r="D12" s="662">
        <f t="shared" ref="D12:I12" si="8">D25+D35+D38</f>
        <v>28841</v>
      </c>
      <c r="E12" s="662">
        <f t="shared" si="8"/>
        <v>28999</v>
      </c>
      <c r="F12" s="662">
        <f t="shared" si="8"/>
        <v>29252</v>
      </c>
      <c r="G12" s="662">
        <f t="shared" si="8"/>
        <v>29232</v>
      </c>
      <c r="H12" s="662">
        <f t="shared" si="8"/>
        <v>29191</v>
      </c>
      <c r="I12" s="662">
        <f t="shared" si="8"/>
        <v>28826</v>
      </c>
      <c r="J12" s="662">
        <f t="shared" ref="J12:O12" si="9">J25+J35+J38</f>
        <v>28383</v>
      </c>
      <c r="K12" s="662">
        <f t="shared" si="9"/>
        <v>28711</v>
      </c>
      <c r="L12" s="662">
        <f t="shared" si="9"/>
        <v>29140</v>
      </c>
      <c r="M12" s="662">
        <f t="shared" si="9"/>
        <v>28763</v>
      </c>
      <c r="N12" s="662">
        <f t="shared" si="9"/>
        <v>28416</v>
      </c>
      <c r="O12" s="662">
        <f t="shared" si="9"/>
        <v>28982</v>
      </c>
      <c r="Q12" s="658" t="s">
        <v>5724</v>
      </c>
    </row>
    <row r="13" spans="1:17" ht="15.75" thickBot="1">
      <c r="A13" s="658"/>
      <c r="D13" s="663">
        <f t="shared" ref="D13:I13" si="10">D11+D12</f>
        <v>69599</v>
      </c>
      <c r="E13" s="663">
        <f t="shared" si="10"/>
        <v>70187</v>
      </c>
      <c r="F13" s="663">
        <f t="shared" si="10"/>
        <v>70747</v>
      </c>
      <c r="G13" s="663">
        <f t="shared" si="10"/>
        <v>70777</v>
      </c>
      <c r="H13" s="663">
        <f t="shared" si="10"/>
        <v>70423</v>
      </c>
      <c r="I13" s="663">
        <f t="shared" si="10"/>
        <v>68167</v>
      </c>
      <c r="J13" s="663">
        <f t="shared" ref="J13:O13" si="11">J11+J12</f>
        <v>67555</v>
      </c>
      <c r="K13" s="663">
        <f t="shared" si="11"/>
        <v>68841</v>
      </c>
      <c r="L13" s="663">
        <f t="shared" si="11"/>
        <v>69758</v>
      </c>
      <c r="M13" s="663">
        <f t="shared" si="11"/>
        <v>70580</v>
      </c>
      <c r="N13" s="663">
        <f t="shared" si="11"/>
        <v>70021</v>
      </c>
      <c r="O13" s="663">
        <f t="shared" si="11"/>
        <v>71409</v>
      </c>
      <c r="Q13" s="658"/>
    </row>
    <row r="14" spans="1:17">
      <c r="D14" s="661"/>
      <c r="E14" s="661"/>
      <c r="F14" s="661"/>
      <c r="G14" s="661"/>
      <c r="H14" s="661"/>
      <c r="I14" s="661"/>
      <c r="J14" s="661"/>
      <c r="K14" s="661"/>
      <c r="L14" s="661"/>
      <c r="M14" s="661"/>
      <c r="N14" s="661"/>
      <c r="O14" s="661"/>
    </row>
    <row r="15" spans="1:17">
      <c r="A15" s="150" t="s">
        <v>5721</v>
      </c>
      <c r="D15" s="661">
        <f>BARKING!D7</f>
        <v>73303</v>
      </c>
      <c r="E15" s="661">
        <f>BARKING!E7</f>
        <v>74027</v>
      </c>
      <c r="F15" s="661">
        <f>BARKING!F7</f>
        <v>74824</v>
      </c>
      <c r="G15" s="661">
        <f>BARKING!G7</f>
        <v>75037</v>
      </c>
      <c r="H15" s="661">
        <f>BARKING!H7</f>
        <v>75468</v>
      </c>
      <c r="I15" s="661">
        <f>BARKING!I7</f>
        <v>72011</v>
      </c>
      <c r="J15" s="661">
        <f>BARKING!J7</f>
        <v>72314</v>
      </c>
      <c r="K15" s="661">
        <f>BARKING!K7</f>
        <v>74447</v>
      </c>
      <c r="L15" s="661">
        <f>BARKING!L7</f>
        <v>75267</v>
      </c>
      <c r="M15" s="661">
        <f>BARKING!M7</f>
        <v>77181</v>
      </c>
      <c r="N15" s="661">
        <f>BARKING!N7</f>
        <v>76861</v>
      </c>
      <c r="O15" s="661">
        <f>BARKING!O7</f>
        <v>78688</v>
      </c>
      <c r="Q15" s="150" t="s">
        <v>1603</v>
      </c>
    </row>
    <row r="16" spans="1:17">
      <c r="D16" s="661"/>
      <c r="E16" s="661"/>
      <c r="F16" s="661"/>
      <c r="G16" s="661"/>
      <c r="H16" s="661"/>
      <c r="I16" s="661"/>
      <c r="J16" s="661"/>
      <c r="K16" s="661"/>
      <c r="L16" s="661"/>
      <c r="M16" s="661"/>
      <c r="N16" s="661"/>
      <c r="O16" s="661"/>
    </row>
    <row r="17" spans="1:17">
      <c r="A17" s="658" t="s">
        <v>6796</v>
      </c>
      <c r="D17" s="660">
        <f t="shared" ref="D17:I17" si="12">D7+D9+D12</f>
        <v>179060</v>
      </c>
      <c r="E17" s="660">
        <f t="shared" si="12"/>
        <v>180545</v>
      </c>
      <c r="F17" s="660">
        <f t="shared" si="12"/>
        <v>182224</v>
      </c>
      <c r="G17" s="660">
        <f t="shared" si="12"/>
        <v>182776</v>
      </c>
      <c r="H17" s="660">
        <f t="shared" si="12"/>
        <v>183017</v>
      </c>
      <c r="I17" s="660">
        <f t="shared" si="12"/>
        <v>179330</v>
      </c>
      <c r="J17" s="660">
        <f t="shared" ref="J17:O17" si="13">J7+J9+J12</f>
        <v>177400</v>
      </c>
      <c r="K17" s="660">
        <f t="shared" si="13"/>
        <v>180826</v>
      </c>
      <c r="L17" s="660">
        <f t="shared" si="13"/>
        <v>183755</v>
      </c>
      <c r="M17" s="660">
        <f t="shared" si="13"/>
        <v>181186</v>
      </c>
      <c r="N17" s="660">
        <f t="shared" si="13"/>
        <v>179294</v>
      </c>
      <c r="O17" s="660">
        <f t="shared" si="13"/>
        <v>182111</v>
      </c>
    </row>
    <row r="18" spans="1:17">
      <c r="D18" s="661"/>
      <c r="E18" s="661"/>
      <c r="F18" s="661"/>
      <c r="G18" s="661"/>
      <c r="H18" s="661"/>
      <c r="I18" s="661"/>
      <c r="J18" s="661"/>
      <c r="K18" s="661"/>
      <c r="L18" s="661"/>
      <c r="M18" s="661"/>
      <c r="N18" s="661"/>
      <c r="O18" s="661"/>
    </row>
    <row r="19" spans="1:17">
      <c r="A19" s="658" t="s">
        <v>6797</v>
      </c>
      <c r="D19" s="660">
        <f t="shared" ref="D19:I19" si="14">MAX(D7,D9,D13,D15)-MIN(D7,D9,D13,D15)</f>
        <v>9314</v>
      </c>
      <c r="E19" s="660">
        <f t="shared" si="14"/>
        <v>9381</v>
      </c>
      <c r="F19" s="660">
        <f t="shared" si="14"/>
        <v>9617</v>
      </c>
      <c r="G19" s="660">
        <f t="shared" si="14"/>
        <v>9638</v>
      </c>
      <c r="H19" s="660">
        <f t="shared" si="14"/>
        <v>9829</v>
      </c>
      <c r="I19" s="660">
        <f t="shared" si="14"/>
        <v>10547</v>
      </c>
      <c r="J19" s="660">
        <f t="shared" ref="J19:O19" si="15">MAX(J7,J9,J13,J15)-MIN(J7,J9,J13,J15)</f>
        <v>10509</v>
      </c>
      <c r="K19" s="660">
        <f t="shared" si="15"/>
        <v>10965</v>
      </c>
      <c r="L19" s="660">
        <f t="shared" si="15"/>
        <v>11442</v>
      </c>
      <c r="M19" s="660">
        <f t="shared" si="15"/>
        <v>9797</v>
      </c>
      <c r="N19" s="660">
        <f t="shared" si="15"/>
        <v>9610</v>
      </c>
      <c r="O19" s="660">
        <f t="shared" si="15"/>
        <v>9453</v>
      </c>
    </row>
    <row r="20" spans="1:17">
      <c r="D20" s="661"/>
      <c r="E20" s="661"/>
      <c r="F20" s="661"/>
      <c r="G20" s="661"/>
      <c r="H20" s="661"/>
      <c r="I20" s="661"/>
      <c r="J20" s="661"/>
      <c r="K20" s="661"/>
      <c r="L20" s="661"/>
      <c r="M20" s="661"/>
      <c r="N20" s="661"/>
      <c r="O20" s="661"/>
    </row>
    <row r="21" spans="1:17">
      <c r="A21" s="664" t="s">
        <v>6800</v>
      </c>
      <c r="D21" s="660">
        <f t="shared" ref="D21:I21" si="16">STDEVP(D7,D9,D13,D15)</f>
        <v>3506.3390719523973</v>
      </c>
      <c r="E21" s="660">
        <f t="shared" si="16"/>
        <v>3521.9456980481682</v>
      </c>
      <c r="F21" s="660">
        <f t="shared" si="16"/>
        <v>3608.4079851785054</v>
      </c>
      <c r="G21" s="660">
        <f t="shared" si="16"/>
        <v>3555.0992602176384</v>
      </c>
      <c r="H21" s="660">
        <f t="shared" si="16"/>
        <v>3562.4749385083401</v>
      </c>
      <c r="I21" s="660">
        <f t="shared" si="16"/>
        <v>3808.3994341455309</v>
      </c>
      <c r="J21" s="660">
        <f t="shared" ref="J21:O21" si="17">STDEVP(J7,J9,J13,J15)</f>
        <v>3792.3830568654321</v>
      </c>
      <c r="K21" s="660">
        <f t="shared" si="17"/>
        <v>3977.9110331303286</v>
      </c>
      <c r="L21" s="660">
        <f t="shared" si="17"/>
        <v>4137.3203284251513</v>
      </c>
      <c r="M21" s="660">
        <f t="shared" si="17"/>
        <v>3934.5565823863813</v>
      </c>
      <c r="N21" s="660">
        <f t="shared" si="17"/>
        <v>3953.8124639390776</v>
      </c>
      <c r="O21" s="660">
        <f t="shared" si="17"/>
        <v>4053.6153307880609</v>
      </c>
    </row>
    <row r="22" spans="1:17">
      <c r="D22" s="661"/>
      <c r="E22" s="661"/>
      <c r="F22" s="661"/>
      <c r="G22" s="661"/>
      <c r="H22" s="661"/>
      <c r="I22" s="661"/>
      <c r="J22" s="661"/>
      <c r="K22" s="661"/>
      <c r="L22" s="661"/>
      <c r="M22" s="661"/>
      <c r="N22" s="661"/>
      <c r="O22" s="661"/>
    </row>
    <row r="23" spans="1:17">
      <c r="A23" s="658" t="s">
        <v>5387</v>
      </c>
      <c r="B23" s="658" t="s">
        <v>1604</v>
      </c>
      <c r="C23" s="55" t="s">
        <v>449</v>
      </c>
      <c r="D23" s="665">
        <v>10234</v>
      </c>
      <c r="E23" s="665">
        <v>10536</v>
      </c>
      <c r="F23" s="665">
        <v>10840</v>
      </c>
      <c r="G23" s="665">
        <v>11000</v>
      </c>
      <c r="H23" s="56">
        <v>11187</v>
      </c>
      <c r="I23" s="56">
        <v>10802</v>
      </c>
      <c r="J23" s="56">
        <v>10698</v>
      </c>
      <c r="K23" s="56">
        <v>11328</v>
      </c>
      <c r="L23" s="56">
        <v>11690</v>
      </c>
      <c r="M23" s="56">
        <v>11475</v>
      </c>
      <c r="N23" s="56">
        <v>11266</v>
      </c>
      <c r="O23" s="56">
        <v>11491</v>
      </c>
      <c r="Q23" s="658" t="s">
        <v>6401</v>
      </c>
    </row>
    <row r="24" spans="1:17">
      <c r="A24" s="658" t="s">
        <v>5389</v>
      </c>
      <c r="B24" s="658" t="s">
        <v>1605</v>
      </c>
      <c r="C24" s="55" t="s">
        <v>450</v>
      </c>
      <c r="D24" s="665">
        <v>10047</v>
      </c>
      <c r="E24" s="665">
        <v>10069</v>
      </c>
      <c r="F24" s="665">
        <v>10173</v>
      </c>
      <c r="G24" s="665">
        <v>10180</v>
      </c>
      <c r="H24" s="56">
        <v>10188</v>
      </c>
      <c r="I24" s="56">
        <v>10051</v>
      </c>
      <c r="J24" s="56">
        <v>9798</v>
      </c>
      <c r="K24" s="56">
        <v>9928</v>
      </c>
      <c r="L24" s="56">
        <v>9876</v>
      </c>
      <c r="M24" s="56">
        <v>9752</v>
      </c>
      <c r="N24" s="56">
        <v>9726</v>
      </c>
      <c r="O24" s="56">
        <v>9846</v>
      </c>
      <c r="Q24" s="658" t="s">
        <v>6400</v>
      </c>
    </row>
    <row r="25" spans="1:17">
      <c r="A25" s="658" t="s">
        <v>5391</v>
      </c>
      <c r="B25" s="658" t="s">
        <v>1606</v>
      </c>
      <c r="C25" s="55" t="s">
        <v>451</v>
      </c>
      <c r="D25" s="665">
        <v>9624</v>
      </c>
      <c r="E25" s="665">
        <v>9664</v>
      </c>
      <c r="F25" s="665">
        <v>9700</v>
      </c>
      <c r="G25" s="665">
        <v>9658</v>
      </c>
      <c r="H25" s="56">
        <v>9605</v>
      </c>
      <c r="I25" s="56">
        <v>9584</v>
      </c>
      <c r="J25" s="56">
        <v>9506</v>
      </c>
      <c r="K25" s="56">
        <v>9562</v>
      </c>
      <c r="L25" s="56">
        <v>9608</v>
      </c>
      <c r="M25" s="56">
        <v>9557</v>
      </c>
      <c r="N25" s="56">
        <v>9468</v>
      </c>
      <c r="O25" s="56">
        <v>9654</v>
      </c>
      <c r="Q25" s="658" t="s">
        <v>5723</v>
      </c>
    </row>
    <row r="26" spans="1:17">
      <c r="A26" s="658" t="s">
        <v>5393</v>
      </c>
      <c r="B26" s="658" t="s">
        <v>1607</v>
      </c>
      <c r="C26" s="55" t="s">
        <v>452</v>
      </c>
      <c r="D26" s="666">
        <v>9654</v>
      </c>
      <c r="E26" s="666">
        <v>9647</v>
      </c>
      <c r="F26" s="666">
        <v>9751</v>
      </c>
      <c r="G26" s="666">
        <v>9789</v>
      </c>
      <c r="H26" s="56">
        <v>9666</v>
      </c>
      <c r="I26" s="56">
        <v>9488</v>
      </c>
      <c r="J26" s="56">
        <v>9467</v>
      </c>
      <c r="K26" s="56">
        <v>9642</v>
      </c>
      <c r="L26" s="56">
        <v>9705</v>
      </c>
      <c r="M26" s="56">
        <v>9599</v>
      </c>
      <c r="N26" s="56">
        <v>9522</v>
      </c>
      <c r="O26" s="56">
        <v>9696</v>
      </c>
      <c r="Q26" s="658" t="s">
        <v>6400</v>
      </c>
    </row>
    <row r="27" spans="1:17">
      <c r="A27" s="658" t="s">
        <v>5394</v>
      </c>
      <c r="B27" s="658" t="s">
        <v>1608</v>
      </c>
      <c r="C27" s="55" t="s">
        <v>453</v>
      </c>
      <c r="D27" s="665">
        <v>9916</v>
      </c>
      <c r="E27" s="665">
        <v>10164</v>
      </c>
      <c r="F27" s="665">
        <v>10177</v>
      </c>
      <c r="G27" s="665">
        <v>10159</v>
      </c>
      <c r="H27" s="56">
        <v>10151</v>
      </c>
      <c r="I27" s="56">
        <v>9862</v>
      </c>
      <c r="J27" s="56">
        <v>9899</v>
      </c>
      <c r="K27" s="56">
        <v>10471</v>
      </c>
      <c r="L27" s="56">
        <v>10915</v>
      </c>
      <c r="M27" s="56">
        <v>10662</v>
      </c>
      <c r="N27" s="56">
        <v>10497</v>
      </c>
      <c r="O27" s="56">
        <v>10597</v>
      </c>
      <c r="Q27" s="658" t="s">
        <v>6400</v>
      </c>
    </row>
    <row r="28" spans="1:17">
      <c r="A28" s="658" t="s">
        <v>5416</v>
      </c>
      <c r="B28" s="658" t="s">
        <v>1609</v>
      </c>
      <c r="C28" s="55" t="s">
        <v>454</v>
      </c>
      <c r="D28" s="665">
        <v>9793</v>
      </c>
      <c r="E28" s="665">
        <v>9806</v>
      </c>
      <c r="F28" s="665">
        <v>9934</v>
      </c>
      <c r="G28" s="665">
        <v>9958</v>
      </c>
      <c r="H28" s="56">
        <v>9976</v>
      </c>
      <c r="I28" s="56">
        <v>9825</v>
      </c>
      <c r="J28" s="56">
        <v>9635</v>
      </c>
      <c r="K28" s="56">
        <v>9717</v>
      </c>
      <c r="L28" s="56">
        <v>9772</v>
      </c>
      <c r="M28" s="56">
        <v>9695</v>
      </c>
      <c r="N28" s="56">
        <v>9571</v>
      </c>
      <c r="O28" s="56">
        <v>9681</v>
      </c>
      <c r="Q28" s="658" t="s">
        <v>6400</v>
      </c>
    </row>
    <row r="29" spans="1:17">
      <c r="A29" s="658" t="s">
        <v>5418</v>
      </c>
      <c r="B29" s="658" t="s">
        <v>1610</v>
      </c>
      <c r="C29" s="55" t="s">
        <v>455</v>
      </c>
      <c r="D29" s="665">
        <v>9751</v>
      </c>
      <c r="E29" s="665">
        <v>9837</v>
      </c>
      <c r="F29" s="665">
        <v>9924</v>
      </c>
      <c r="G29" s="665">
        <v>9920</v>
      </c>
      <c r="H29" s="56">
        <v>9799</v>
      </c>
      <c r="I29" s="56">
        <v>9610</v>
      </c>
      <c r="J29" s="56">
        <v>9687</v>
      </c>
      <c r="K29" s="56">
        <v>10071</v>
      </c>
      <c r="L29" s="56">
        <v>10462</v>
      </c>
      <c r="M29" s="56">
        <v>10500</v>
      </c>
      <c r="N29" s="56">
        <v>10519</v>
      </c>
      <c r="O29" s="56">
        <v>10727</v>
      </c>
      <c r="Q29" s="658" t="s">
        <v>6400</v>
      </c>
    </row>
    <row r="30" spans="1:17">
      <c r="A30" s="658" t="s">
        <v>5420</v>
      </c>
      <c r="B30" s="658" t="s">
        <v>1611</v>
      </c>
      <c r="C30" s="55" t="s">
        <v>456</v>
      </c>
      <c r="D30" s="660">
        <v>9626</v>
      </c>
      <c r="E30" s="660">
        <v>9694</v>
      </c>
      <c r="F30" s="660">
        <v>9586</v>
      </c>
      <c r="G30" s="660">
        <v>9655</v>
      </c>
      <c r="H30" s="56">
        <v>9709</v>
      </c>
      <c r="I30" s="56">
        <v>9465</v>
      </c>
      <c r="J30" s="56">
        <v>9408</v>
      </c>
      <c r="K30" s="56">
        <v>9588</v>
      </c>
      <c r="L30" s="56">
        <v>9755</v>
      </c>
      <c r="M30" s="56">
        <v>9618</v>
      </c>
      <c r="N30" s="56">
        <v>9626</v>
      </c>
      <c r="O30" s="56">
        <v>9790</v>
      </c>
      <c r="Q30" s="658" t="s">
        <v>6401</v>
      </c>
    </row>
    <row r="31" spans="1:17">
      <c r="A31" s="658" t="s">
        <v>5422</v>
      </c>
      <c r="B31" s="658" t="s">
        <v>1612</v>
      </c>
      <c r="C31" s="55" t="s">
        <v>457</v>
      </c>
      <c r="D31" s="665">
        <v>8817</v>
      </c>
      <c r="E31" s="665">
        <v>8880</v>
      </c>
      <c r="F31" s="665">
        <v>9173</v>
      </c>
      <c r="G31" s="665">
        <v>9184</v>
      </c>
      <c r="H31" s="56">
        <v>9214</v>
      </c>
      <c r="I31" s="56">
        <v>9081</v>
      </c>
      <c r="J31" s="56">
        <v>8987</v>
      </c>
      <c r="K31" s="56">
        <v>9200</v>
      </c>
      <c r="L31" s="56">
        <v>9515</v>
      </c>
      <c r="M31" s="56">
        <v>9393</v>
      </c>
      <c r="N31" s="56">
        <v>9204</v>
      </c>
      <c r="O31" s="56">
        <v>9385</v>
      </c>
      <c r="Q31" s="658" t="s">
        <v>6400</v>
      </c>
    </row>
    <row r="32" spans="1:17">
      <c r="A32" s="658" t="s">
        <v>5424</v>
      </c>
      <c r="B32" s="658" t="s">
        <v>2985</v>
      </c>
      <c r="C32" s="55" t="s">
        <v>458</v>
      </c>
      <c r="D32" s="665">
        <v>10049</v>
      </c>
      <c r="E32" s="665">
        <v>10188</v>
      </c>
      <c r="F32" s="665">
        <v>10333</v>
      </c>
      <c r="G32" s="665">
        <v>10442</v>
      </c>
      <c r="H32" s="56">
        <v>10442</v>
      </c>
      <c r="I32" s="56">
        <v>10382</v>
      </c>
      <c r="J32" s="56">
        <v>10250</v>
      </c>
      <c r="K32" s="56">
        <v>10312</v>
      </c>
      <c r="L32" s="56">
        <v>10359</v>
      </c>
      <c r="M32" s="56">
        <v>10167</v>
      </c>
      <c r="N32" s="56">
        <v>10074</v>
      </c>
      <c r="O32" s="56">
        <v>10189</v>
      </c>
      <c r="Q32" s="658" t="s">
        <v>6401</v>
      </c>
    </row>
    <row r="33" spans="1:17">
      <c r="A33" s="658" t="s">
        <v>5426</v>
      </c>
      <c r="B33" s="658" t="s">
        <v>2986</v>
      </c>
      <c r="C33" s="55" t="s">
        <v>459</v>
      </c>
      <c r="D33" s="665">
        <v>9649</v>
      </c>
      <c r="E33" s="665">
        <v>9616</v>
      </c>
      <c r="F33" s="665">
        <v>9697</v>
      </c>
      <c r="G33" s="665">
        <v>9745</v>
      </c>
      <c r="H33" s="56">
        <v>9719</v>
      </c>
      <c r="I33" s="56">
        <v>9523</v>
      </c>
      <c r="J33" s="56">
        <v>9352</v>
      </c>
      <c r="K33" s="56">
        <v>9431</v>
      </c>
      <c r="L33" s="56">
        <v>9572</v>
      </c>
      <c r="M33" s="56">
        <v>9480</v>
      </c>
      <c r="N33" s="56">
        <v>9377</v>
      </c>
      <c r="O33" s="56">
        <v>9513</v>
      </c>
      <c r="Q33" s="658" t="s">
        <v>6401</v>
      </c>
    </row>
    <row r="34" spans="1:17">
      <c r="A34" s="658" t="s">
        <v>5428</v>
      </c>
      <c r="B34" s="658" t="s">
        <v>2971</v>
      </c>
      <c r="C34" s="55" t="s">
        <v>460</v>
      </c>
      <c r="D34" s="665">
        <v>10295</v>
      </c>
      <c r="E34" s="665">
        <v>10276</v>
      </c>
      <c r="F34" s="665">
        <v>10366</v>
      </c>
      <c r="G34" s="665">
        <v>10431</v>
      </c>
      <c r="H34" s="58">
        <v>10484</v>
      </c>
      <c r="I34" s="58">
        <v>10313</v>
      </c>
      <c r="J34" s="58">
        <v>10187</v>
      </c>
      <c r="K34" s="58">
        <v>10262</v>
      </c>
      <c r="L34" s="58">
        <v>10258</v>
      </c>
      <c r="M34" s="58">
        <v>10097</v>
      </c>
      <c r="N34" s="58">
        <v>10011</v>
      </c>
      <c r="O34" s="58">
        <v>10103</v>
      </c>
      <c r="Q34" s="658" t="s">
        <v>6401</v>
      </c>
    </row>
    <row r="35" spans="1:17">
      <c r="A35" s="658" t="s">
        <v>5429</v>
      </c>
      <c r="B35" s="658" t="s">
        <v>2972</v>
      </c>
      <c r="C35" s="55" t="s">
        <v>461</v>
      </c>
      <c r="D35" s="665">
        <v>9386</v>
      </c>
      <c r="E35" s="665">
        <v>9375</v>
      </c>
      <c r="F35" s="665">
        <v>9498</v>
      </c>
      <c r="G35" s="665">
        <v>9472</v>
      </c>
      <c r="H35" s="56">
        <v>9453</v>
      </c>
      <c r="I35" s="56">
        <v>9355</v>
      </c>
      <c r="J35" s="56">
        <v>9203</v>
      </c>
      <c r="K35" s="56">
        <v>9267</v>
      </c>
      <c r="L35" s="56">
        <v>9414</v>
      </c>
      <c r="M35" s="56">
        <v>9227</v>
      </c>
      <c r="N35" s="56">
        <v>9134</v>
      </c>
      <c r="O35" s="56">
        <v>9299</v>
      </c>
      <c r="Q35" s="658" t="s">
        <v>5723</v>
      </c>
    </row>
    <row r="36" spans="1:17">
      <c r="A36" s="658" t="s">
        <v>5431</v>
      </c>
      <c r="B36" s="658" t="s">
        <v>2973</v>
      </c>
      <c r="C36" s="55" t="s">
        <v>462</v>
      </c>
      <c r="D36" s="666">
        <v>11446</v>
      </c>
      <c r="E36" s="666">
        <v>11545</v>
      </c>
      <c r="F36" s="666">
        <v>11608</v>
      </c>
      <c r="G36" s="666">
        <v>11675</v>
      </c>
      <c r="H36" s="58">
        <v>11730</v>
      </c>
      <c r="I36" s="58">
        <v>11223</v>
      </c>
      <c r="J36" s="58">
        <v>11171</v>
      </c>
      <c r="K36" s="58">
        <v>11396</v>
      </c>
      <c r="L36" s="58">
        <v>11614</v>
      </c>
      <c r="M36" s="58">
        <v>11183</v>
      </c>
      <c r="N36" s="58">
        <v>11014</v>
      </c>
      <c r="O36" s="58">
        <v>11123</v>
      </c>
      <c r="Q36" s="658" t="s">
        <v>6401</v>
      </c>
    </row>
    <row r="37" spans="1:17">
      <c r="A37" s="658" t="s">
        <v>5433</v>
      </c>
      <c r="B37" s="658" t="s">
        <v>2974</v>
      </c>
      <c r="C37" s="55" t="s">
        <v>463</v>
      </c>
      <c r="D37" s="665">
        <v>10526</v>
      </c>
      <c r="E37" s="665">
        <v>10701</v>
      </c>
      <c r="F37" s="665">
        <v>10796</v>
      </c>
      <c r="G37" s="665">
        <v>10755</v>
      </c>
      <c r="H37" s="56">
        <v>10783</v>
      </c>
      <c r="I37" s="56">
        <v>10515</v>
      </c>
      <c r="J37" s="56">
        <v>10410</v>
      </c>
      <c r="K37" s="56">
        <v>10421</v>
      </c>
      <c r="L37" s="56">
        <v>10521</v>
      </c>
      <c r="M37" s="56">
        <v>10424</v>
      </c>
      <c r="N37" s="56">
        <v>10260</v>
      </c>
      <c r="O37" s="56">
        <v>10430</v>
      </c>
      <c r="Q37" s="658" t="s">
        <v>6400</v>
      </c>
    </row>
    <row r="38" spans="1:17">
      <c r="A38" s="658" t="s">
        <v>5435</v>
      </c>
      <c r="B38" s="658" t="s">
        <v>2975</v>
      </c>
      <c r="C38" s="55" t="s">
        <v>464</v>
      </c>
      <c r="D38" s="665">
        <v>9831</v>
      </c>
      <c r="E38" s="665">
        <v>9960</v>
      </c>
      <c r="F38" s="665">
        <v>10054</v>
      </c>
      <c r="G38" s="665">
        <v>10102</v>
      </c>
      <c r="H38" s="56">
        <v>10133</v>
      </c>
      <c r="I38" s="56">
        <v>9887</v>
      </c>
      <c r="J38" s="56">
        <v>9674</v>
      </c>
      <c r="K38" s="56">
        <v>9882</v>
      </c>
      <c r="L38" s="56">
        <v>10118</v>
      </c>
      <c r="M38" s="56">
        <v>9979</v>
      </c>
      <c r="N38" s="56">
        <v>9814</v>
      </c>
      <c r="O38" s="56">
        <v>10029</v>
      </c>
      <c r="Q38" s="658" t="s">
        <v>5723</v>
      </c>
    </row>
    <row r="39" spans="1:17">
      <c r="A39" s="658" t="s">
        <v>5436</v>
      </c>
      <c r="B39" s="658" t="s">
        <v>2976</v>
      </c>
      <c r="C39" s="55" t="s">
        <v>465</v>
      </c>
      <c r="D39" s="665">
        <v>10007</v>
      </c>
      <c r="E39" s="665">
        <v>10123</v>
      </c>
      <c r="F39" s="665">
        <v>10178</v>
      </c>
      <c r="G39" s="665">
        <v>10181</v>
      </c>
      <c r="H39" s="58">
        <v>10303</v>
      </c>
      <c r="I39" s="58">
        <v>10082</v>
      </c>
      <c r="J39" s="58">
        <v>9887</v>
      </c>
      <c r="K39" s="58">
        <v>9992</v>
      </c>
      <c r="L39" s="58">
        <v>10167</v>
      </c>
      <c r="M39" s="58">
        <v>10026</v>
      </c>
      <c r="N39" s="58">
        <v>9879</v>
      </c>
      <c r="O39" s="58">
        <v>10058</v>
      </c>
      <c r="Q39" s="658" t="s">
        <v>6401</v>
      </c>
    </row>
    <row r="40" spans="1:17">
      <c r="A40" s="658" t="s">
        <v>5437</v>
      </c>
      <c r="B40" s="658" t="s">
        <v>2977</v>
      </c>
      <c r="C40" s="55" t="s">
        <v>466</v>
      </c>
      <c r="D40" s="666">
        <v>10409</v>
      </c>
      <c r="E40" s="666">
        <v>10464</v>
      </c>
      <c r="F40" s="666">
        <v>10436</v>
      </c>
      <c r="G40" s="666">
        <v>10470</v>
      </c>
      <c r="H40" s="56">
        <v>10475</v>
      </c>
      <c r="I40" s="56">
        <v>10282</v>
      </c>
      <c r="J40" s="56">
        <v>10181</v>
      </c>
      <c r="K40" s="56">
        <v>10356</v>
      </c>
      <c r="L40" s="56">
        <v>10434</v>
      </c>
      <c r="M40" s="56">
        <v>10352</v>
      </c>
      <c r="N40" s="56">
        <v>10332</v>
      </c>
      <c r="O40" s="56">
        <v>10500</v>
      </c>
      <c r="Q40" s="658" t="s">
        <v>6400</v>
      </c>
    </row>
    <row r="42" spans="1:17">
      <c r="A42" s="150" t="s">
        <v>2978</v>
      </c>
    </row>
    <row r="43" spans="1:17">
      <c r="A43" s="150" t="s">
        <v>2979</v>
      </c>
    </row>
  </sheetData>
  <sortState ref="R23:U40">
    <sortCondition ref="S23:S40"/>
  </sortState>
  <phoneticPr fontId="6" type="noConversion"/>
  <printOptions gridLinesSet="0"/>
  <pageMargins left="0.78740157480314965" right="0" top="0.51181102362204722" bottom="0.51181102362204722" header="0.51181102362204722" footer="0.51181102362204722"/>
  <pageSetup paperSize="9" scale="77" orientation="portrait" horizontalDpi="300" verticalDpi="300" r:id="rId1"/>
  <headerFooter alignWithMargins="0">
    <oddFooter>&amp;C&amp;"Times New Roman,Regular"&amp;8&amp;P of &amp;N</oddFooter>
  </headerFooter>
  <ignoredErrors>
    <ignoredError sqref="D3:D4 E3:E4 F3:F4 G3:G4 D6:D21 E6:E21 F6:F21 G6:G21 D5:G5 H3:H4 H5:H21 I3:I21 J3:J21 K3:K21 L3:L2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Q80"/>
  <sheetViews>
    <sheetView showGridLines="0" topLeftCell="A31" zoomScale="90" zoomScaleNormal="90" workbookViewId="0">
      <selection activeCell="O3" sqref="O3"/>
    </sheetView>
  </sheetViews>
  <sheetFormatPr defaultColWidth="12.5703125" defaultRowHeight="15"/>
  <cols>
    <col min="1" max="1" width="4.85546875" style="108" customWidth="1"/>
    <col min="2" max="2" width="40.7109375" style="108" customWidth="1"/>
    <col min="3" max="3" width="11.5703125" style="108" customWidth="1"/>
    <col min="4" max="12" width="10.42578125" style="108" customWidth="1"/>
    <col min="13" max="15" width="10" style="108" customWidth="1"/>
    <col min="16" max="16" width="2.28515625" style="108" customWidth="1"/>
    <col min="17" max="17" width="35.7109375" style="108" customWidth="1"/>
    <col min="18" max="16384" width="12.5703125" style="108"/>
  </cols>
  <sheetData>
    <row r="1" spans="1:17">
      <c r="A1" s="187" t="s">
        <v>6924</v>
      </c>
      <c r="D1" s="108">
        <v>2010</v>
      </c>
      <c r="E1" s="108">
        <v>2011</v>
      </c>
      <c r="F1" s="108">
        <v>2012</v>
      </c>
      <c r="G1" s="108">
        <v>2013</v>
      </c>
      <c r="H1" s="108">
        <v>2014</v>
      </c>
      <c r="I1" s="108">
        <v>2015</v>
      </c>
      <c r="J1" s="108">
        <v>2016</v>
      </c>
      <c r="K1" s="108">
        <v>2017</v>
      </c>
      <c r="L1" s="108">
        <v>2018</v>
      </c>
      <c r="M1" s="108">
        <v>2019</v>
      </c>
      <c r="N1" s="108">
        <v>2020</v>
      </c>
      <c r="O1" s="924" t="s">
        <v>14823</v>
      </c>
    </row>
    <row r="3" spans="1:17">
      <c r="A3" s="76" t="s">
        <v>1744</v>
      </c>
      <c r="D3" s="199">
        <f t="shared" ref="D3:I3" si="0">SUM(D17:D40)+SUM(D42:D65)+SUM(D67:D73)</f>
        <v>139525</v>
      </c>
      <c r="E3" s="199">
        <f t="shared" si="0"/>
        <v>138063</v>
      </c>
      <c r="F3" s="199">
        <f t="shared" si="0"/>
        <v>138060</v>
      </c>
      <c r="G3" s="199">
        <f t="shared" si="0"/>
        <v>139246</v>
      </c>
      <c r="H3" s="199">
        <f t="shared" si="0"/>
        <v>133648</v>
      </c>
      <c r="I3" s="199">
        <f t="shared" si="0"/>
        <v>134133</v>
      </c>
      <c r="J3" s="199">
        <f t="shared" ref="J3:O3" si="1">SUM(J17:J40)+SUM(J42:J65)+SUM(J67:J73)</f>
        <v>133026</v>
      </c>
      <c r="K3" s="199">
        <f t="shared" si="1"/>
        <v>135315</v>
      </c>
      <c r="L3" s="199">
        <f t="shared" si="1"/>
        <v>137085</v>
      </c>
      <c r="M3" s="199">
        <f t="shared" si="1"/>
        <v>137707</v>
      </c>
      <c r="N3" s="199">
        <f t="shared" si="1"/>
        <v>142248</v>
      </c>
      <c r="O3" s="199">
        <f t="shared" si="1"/>
        <v>142019</v>
      </c>
    </row>
    <row r="4" spans="1:17" ht="15.75" customHeight="1"/>
    <row r="5" spans="1:17" ht="15.75" customHeight="1">
      <c r="A5" s="187" t="s">
        <v>2476</v>
      </c>
      <c r="D5" s="190">
        <f t="shared" ref="D5:I5" si="2">D3/2</f>
        <v>69762.5</v>
      </c>
      <c r="E5" s="190">
        <f t="shared" si="2"/>
        <v>69031.5</v>
      </c>
      <c r="F5" s="190">
        <f t="shared" si="2"/>
        <v>69030</v>
      </c>
      <c r="G5" s="190">
        <f t="shared" si="2"/>
        <v>69623</v>
      </c>
      <c r="H5" s="190">
        <f t="shared" si="2"/>
        <v>66824</v>
      </c>
      <c r="I5" s="190">
        <f t="shared" si="2"/>
        <v>67066.5</v>
      </c>
      <c r="J5" s="190">
        <f t="shared" ref="J5:O5" si="3">J3/2</f>
        <v>66513</v>
      </c>
      <c r="K5" s="190">
        <f t="shared" si="3"/>
        <v>67657.5</v>
      </c>
      <c r="L5" s="190">
        <f t="shared" si="3"/>
        <v>68542.5</v>
      </c>
      <c r="M5" s="190">
        <f t="shared" si="3"/>
        <v>68853.5</v>
      </c>
      <c r="N5" s="190">
        <f t="shared" si="3"/>
        <v>71124</v>
      </c>
      <c r="O5" s="190">
        <f t="shared" si="3"/>
        <v>71009.5</v>
      </c>
    </row>
    <row r="6" spans="1:17" ht="15.75" customHeight="1">
      <c r="A6" s="187"/>
      <c r="D6" s="190"/>
      <c r="E6" s="190"/>
      <c r="F6" s="190"/>
      <c r="G6" s="190"/>
      <c r="H6" s="190"/>
      <c r="I6" s="190"/>
      <c r="J6" s="190"/>
      <c r="K6" s="190"/>
      <c r="L6" s="190"/>
      <c r="M6" s="190"/>
      <c r="N6" s="190"/>
      <c r="O6" s="190"/>
    </row>
    <row r="7" spans="1:17" ht="15.75" customHeight="1">
      <c r="A7" s="76" t="s">
        <v>1745</v>
      </c>
      <c r="D7" s="190">
        <f t="shared" ref="D7:I7" si="4">D18+D21+D24+D29+SUM(D33:D35)+D38+D39+D43+D44+D53+D55+D57+SUM(D59:D64)+D69+SUM(D71:D73)</f>
        <v>72245</v>
      </c>
      <c r="E7" s="190">
        <f t="shared" si="4"/>
        <v>71352</v>
      </c>
      <c r="F7" s="190">
        <f t="shared" si="4"/>
        <v>71059</v>
      </c>
      <c r="G7" s="190">
        <f t="shared" si="4"/>
        <v>71808</v>
      </c>
      <c r="H7" s="190">
        <f t="shared" si="4"/>
        <v>68593</v>
      </c>
      <c r="I7" s="190">
        <f t="shared" si="4"/>
        <v>68865</v>
      </c>
      <c r="J7" s="190">
        <f t="shared" ref="J7:O7" si="5">J18+J20+J21+J24+J28+J29+SUM(J31:J35)+J38+J39+J43+J44+J53+J55+J57+SUM(J59:J64)+J69+SUM(J71:J73)</f>
        <v>68299</v>
      </c>
      <c r="K7" s="190">
        <f t="shared" si="5"/>
        <v>69228</v>
      </c>
      <c r="L7" s="190">
        <f t="shared" si="5"/>
        <v>70004</v>
      </c>
      <c r="M7" s="190">
        <f t="shared" si="5"/>
        <v>69978</v>
      </c>
      <c r="N7" s="190">
        <f t="shared" si="5"/>
        <v>72054</v>
      </c>
      <c r="O7" s="190">
        <f t="shared" si="5"/>
        <v>71973</v>
      </c>
      <c r="P7" s="76"/>
      <c r="Q7" s="76" t="s">
        <v>1746</v>
      </c>
    </row>
    <row r="8" spans="1:17" ht="15.75" customHeight="1">
      <c r="D8" s="189"/>
      <c r="E8" s="189"/>
      <c r="F8" s="189"/>
      <c r="G8" s="189"/>
      <c r="H8" s="189"/>
      <c r="I8" s="189"/>
      <c r="J8" s="189"/>
      <c r="K8" s="189"/>
      <c r="L8" s="189"/>
      <c r="M8" s="189"/>
      <c r="N8" s="189"/>
      <c r="O8" s="189"/>
    </row>
    <row r="9" spans="1:17">
      <c r="A9" s="187" t="s">
        <v>1747</v>
      </c>
      <c r="D9" s="190">
        <f t="shared" ref="D9:I9" si="6">D17+D19+D20+D22+D23+SUM(D25:D28)+SUM(D30:D32)+D36+D37+D40+D42+SUM(D45:D52)+D54+D56+D58+D65+D67+D68+D70</f>
        <v>67280</v>
      </c>
      <c r="E9" s="190">
        <f t="shared" si="6"/>
        <v>66711</v>
      </c>
      <c r="F9" s="190">
        <f t="shared" si="6"/>
        <v>67001</v>
      </c>
      <c r="G9" s="190">
        <f t="shared" si="6"/>
        <v>67438</v>
      </c>
      <c r="H9" s="190">
        <f t="shared" si="6"/>
        <v>65055</v>
      </c>
      <c r="I9" s="190">
        <f t="shared" si="6"/>
        <v>65268</v>
      </c>
      <c r="J9" s="190">
        <f t="shared" ref="J9:O9" si="7">J17+J19+J22+J23+SUM(J25:J27)+J30+J36+J37+J40+J42+SUM(J45:J52)+J54+J56+J58+J65+J67+J68+J70</f>
        <v>64727</v>
      </c>
      <c r="K9" s="190">
        <f t="shared" si="7"/>
        <v>66087</v>
      </c>
      <c r="L9" s="190">
        <f t="shared" si="7"/>
        <v>67081</v>
      </c>
      <c r="M9" s="190">
        <f t="shared" si="7"/>
        <v>67729</v>
      </c>
      <c r="N9" s="190">
        <f t="shared" si="7"/>
        <v>70194</v>
      </c>
      <c r="O9" s="190">
        <f t="shared" si="7"/>
        <v>70046</v>
      </c>
      <c r="Q9" s="187" t="s">
        <v>1746</v>
      </c>
    </row>
    <row r="10" spans="1:17">
      <c r="D10" s="189"/>
      <c r="E10" s="189"/>
      <c r="F10" s="189"/>
      <c r="G10" s="189"/>
      <c r="H10" s="189"/>
      <c r="I10" s="189"/>
      <c r="J10" s="189"/>
      <c r="K10" s="189"/>
      <c r="L10" s="189"/>
      <c r="M10" s="189"/>
      <c r="N10" s="189"/>
      <c r="O10" s="189"/>
    </row>
    <row r="11" spans="1:17">
      <c r="A11" s="187" t="s">
        <v>6796</v>
      </c>
      <c r="D11" s="190">
        <f t="shared" ref="D11:I11" si="8">D7+D9</f>
        <v>139525</v>
      </c>
      <c r="E11" s="190">
        <f t="shared" si="8"/>
        <v>138063</v>
      </c>
      <c r="F11" s="190">
        <f t="shared" si="8"/>
        <v>138060</v>
      </c>
      <c r="G11" s="190">
        <f t="shared" si="8"/>
        <v>139246</v>
      </c>
      <c r="H11" s="190">
        <f t="shared" si="8"/>
        <v>133648</v>
      </c>
      <c r="I11" s="190">
        <f t="shared" si="8"/>
        <v>134133</v>
      </c>
      <c r="J11" s="190">
        <f t="shared" ref="J11:O11" si="9">J7+J9</f>
        <v>133026</v>
      </c>
      <c r="K11" s="190">
        <f t="shared" si="9"/>
        <v>135315</v>
      </c>
      <c r="L11" s="190">
        <f t="shared" si="9"/>
        <v>137085</v>
      </c>
      <c r="M11" s="190">
        <f t="shared" si="9"/>
        <v>137707</v>
      </c>
      <c r="N11" s="190">
        <f t="shared" si="9"/>
        <v>142248</v>
      </c>
      <c r="O11" s="190">
        <f t="shared" si="9"/>
        <v>142019</v>
      </c>
    </row>
    <row r="12" spans="1:17">
      <c r="A12" s="187"/>
      <c r="D12" s="190"/>
      <c r="E12" s="190"/>
      <c r="F12" s="190"/>
      <c r="G12" s="190"/>
      <c r="H12" s="190"/>
      <c r="I12" s="190"/>
      <c r="J12" s="190"/>
      <c r="K12" s="190"/>
      <c r="L12" s="190"/>
      <c r="M12" s="190"/>
      <c r="N12" s="190"/>
      <c r="O12" s="190"/>
    </row>
    <row r="13" spans="1:17">
      <c r="A13" s="187" t="s">
        <v>6797</v>
      </c>
      <c r="D13" s="190">
        <f t="shared" ref="D13:I13" si="10">MAX(D7,D9)-MIN(D7,D9)</f>
        <v>4965</v>
      </c>
      <c r="E13" s="190">
        <f t="shared" si="10"/>
        <v>4641</v>
      </c>
      <c r="F13" s="190">
        <f t="shared" si="10"/>
        <v>4058</v>
      </c>
      <c r="G13" s="190">
        <f t="shared" si="10"/>
        <v>4370</v>
      </c>
      <c r="H13" s="190">
        <f t="shared" si="10"/>
        <v>3538</v>
      </c>
      <c r="I13" s="190">
        <f t="shared" si="10"/>
        <v>3597</v>
      </c>
      <c r="J13" s="190">
        <f t="shared" ref="J13:O13" si="11">MAX(J7,J9)-MIN(J7,J9)</f>
        <v>3572</v>
      </c>
      <c r="K13" s="190">
        <f t="shared" si="11"/>
        <v>3141</v>
      </c>
      <c r="L13" s="190">
        <f t="shared" si="11"/>
        <v>2923</v>
      </c>
      <c r="M13" s="190">
        <f t="shared" si="11"/>
        <v>2249</v>
      </c>
      <c r="N13" s="190">
        <f t="shared" si="11"/>
        <v>1860</v>
      </c>
      <c r="O13" s="190">
        <f t="shared" si="11"/>
        <v>1927</v>
      </c>
    </row>
    <row r="14" spans="1:17">
      <c r="A14" s="187"/>
      <c r="D14" s="190"/>
      <c r="E14" s="190"/>
      <c r="F14" s="190"/>
      <c r="G14" s="190"/>
      <c r="H14" s="190"/>
      <c r="I14" s="190"/>
      <c r="J14" s="190"/>
      <c r="K14" s="190"/>
      <c r="L14" s="190"/>
      <c r="M14" s="190"/>
      <c r="N14" s="190"/>
      <c r="O14" s="190"/>
    </row>
    <row r="15" spans="1:17">
      <c r="A15" s="193" t="s">
        <v>6800</v>
      </c>
      <c r="D15" s="190">
        <f t="shared" ref="D15:I15" si="12">STDEVP(D7,D9)</f>
        <v>2482.5</v>
      </c>
      <c r="E15" s="190">
        <f t="shared" si="12"/>
        <v>2320.5</v>
      </c>
      <c r="F15" s="190">
        <f t="shared" si="12"/>
        <v>2029</v>
      </c>
      <c r="G15" s="190">
        <f t="shared" si="12"/>
        <v>2185</v>
      </c>
      <c r="H15" s="190">
        <f t="shared" si="12"/>
        <v>1769</v>
      </c>
      <c r="I15" s="190">
        <f t="shared" si="12"/>
        <v>1798.5</v>
      </c>
      <c r="J15" s="190">
        <f t="shared" ref="J15:O15" si="13">STDEVP(J7,J9)</f>
        <v>1786</v>
      </c>
      <c r="K15" s="190">
        <f t="shared" si="13"/>
        <v>1570.5</v>
      </c>
      <c r="L15" s="190">
        <f t="shared" si="13"/>
        <v>1461.5</v>
      </c>
      <c r="M15" s="190">
        <f t="shared" si="13"/>
        <v>1124.5</v>
      </c>
      <c r="N15" s="190">
        <f t="shared" si="13"/>
        <v>930</v>
      </c>
      <c r="O15" s="190">
        <f t="shared" si="13"/>
        <v>963.5</v>
      </c>
    </row>
    <row r="16" spans="1:17">
      <c r="A16" s="193"/>
      <c r="D16" s="194"/>
      <c r="E16" s="194"/>
      <c r="F16" s="194"/>
      <c r="G16" s="194"/>
      <c r="H16" s="194"/>
      <c r="I16" s="194"/>
      <c r="J16" s="194"/>
      <c r="K16" s="194"/>
      <c r="L16" s="194"/>
      <c r="M16" s="194"/>
      <c r="N16" s="194"/>
      <c r="O16" s="194"/>
    </row>
    <row r="17" spans="1:17" ht="15.75" customHeight="1">
      <c r="A17" s="655">
        <v>1</v>
      </c>
      <c r="B17" s="76" t="s">
        <v>10644</v>
      </c>
      <c r="C17" s="55" t="s">
        <v>10645</v>
      </c>
      <c r="D17" s="63">
        <v>67280</v>
      </c>
      <c r="E17" s="63">
        <v>66711</v>
      </c>
      <c r="F17" s="63">
        <v>67001</v>
      </c>
      <c r="G17" s="63">
        <v>67438</v>
      </c>
      <c r="H17" s="63">
        <v>65055</v>
      </c>
      <c r="I17" s="63">
        <v>65268</v>
      </c>
      <c r="J17" s="63">
        <v>2798</v>
      </c>
      <c r="K17" s="63">
        <v>2840</v>
      </c>
      <c r="L17" s="63">
        <v>2859</v>
      </c>
      <c r="M17" s="63">
        <v>2896</v>
      </c>
      <c r="N17" s="63">
        <v>2942</v>
      </c>
      <c r="O17" s="63">
        <v>2950</v>
      </c>
      <c r="P17" s="76"/>
      <c r="Q17" s="76" t="s">
        <v>1747</v>
      </c>
    </row>
    <row r="18" spans="1:17" ht="15.75" customHeight="1">
      <c r="A18" s="655">
        <v>2</v>
      </c>
      <c r="B18" s="76" t="s">
        <v>10643</v>
      </c>
      <c r="C18" s="55" t="s">
        <v>10646</v>
      </c>
      <c r="D18" s="63">
        <v>72245</v>
      </c>
      <c r="E18" s="63">
        <v>71352</v>
      </c>
      <c r="F18" s="63">
        <v>71059</v>
      </c>
      <c r="G18" s="63">
        <v>71808</v>
      </c>
      <c r="H18" s="63">
        <v>68593</v>
      </c>
      <c r="I18" s="63">
        <v>68865</v>
      </c>
      <c r="J18" s="63">
        <v>2412</v>
      </c>
      <c r="K18" s="63">
        <v>2419</v>
      </c>
      <c r="L18" s="63">
        <v>2432</v>
      </c>
      <c r="M18" s="63">
        <v>2430</v>
      </c>
      <c r="N18" s="63">
        <v>2453</v>
      </c>
      <c r="O18" s="63">
        <v>2450</v>
      </c>
      <c r="P18" s="76"/>
      <c r="Q18" s="76" t="s">
        <v>1745</v>
      </c>
    </row>
    <row r="19" spans="1:17" ht="15.75" customHeight="1">
      <c r="A19" s="655">
        <v>3</v>
      </c>
      <c r="B19" s="76" t="s">
        <v>1749</v>
      </c>
      <c r="C19" s="55" t="s">
        <v>10647</v>
      </c>
      <c r="D19" s="63">
        <v>0</v>
      </c>
      <c r="E19" s="63">
        <v>0</v>
      </c>
      <c r="F19" s="63">
        <v>0</v>
      </c>
      <c r="G19" s="63">
        <v>0</v>
      </c>
      <c r="H19" s="63">
        <v>0</v>
      </c>
      <c r="I19" s="63">
        <v>0</v>
      </c>
      <c r="J19" s="63">
        <v>2242</v>
      </c>
      <c r="K19" s="63">
        <v>2298</v>
      </c>
      <c r="L19" s="63">
        <v>2375</v>
      </c>
      <c r="M19" s="63">
        <v>2432</v>
      </c>
      <c r="N19" s="63">
        <v>2599</v>
      </c>
      <c r="O19" s="63">
        <v>2595</v>
      </c>
      <c r="P19" s="76"/>
      <c r="Q19" s="76" t="s">
        <v>1747</v>
      </c>
    </row>
    <row r="20" spans="1:17" ht="15.75" customHeight="1">
      <c r="A20" s="655">
        <v>4</v>
      </c>
      <c r="B20" s="76" t="s">
        <v>10642</v>
      </c>
      <c r="C20" s="55" t="s">
        <v>10648</v>
      </c>
      <c r="D20" s="63">
        <v>0</v>
      </c>
      <c r="E20" s="63">
        <v>0</v>
      </c>
      <c r="F20" s="63">
        <v>0</v>
      </c>
      <c r="G20" s="63">
        <v>0</v>
      </c>
      <c r="H20" s="63">
        <v>0</v>
      </c>
      <c r="I20" s="63">
        <v>0</v>
      </c>
      <c r="J20" s="63">
        <v>2505</v>
      </c>
      <c r="K20" s="63">
        <v>2547</v>
      </c>
      <c r="L20" s="63">
        <v>2623</v>
      </c>
      <c r="M20" s="63">
        <v>2616</v>
      </c>
      <c r="N20" s="63">
        <v>2624</v>
      </c>
      <c r="O20" s="63">
        <v>2630</v>
      </c>
      <c r="P20" s="76"/>
      <c r="Q20" s="76" t="s">
        <v>1745</v>
      </c>
    </row>
    <row r="21" spans="1:17" ht="15.75" customHeight="1">
      <c r="A21" s="655">
        <v>5</v>
      </c>
      <c r="B21" s="76" t="s">
        <v>516</v>
      </c>
      <c r="C21" s="55" t="s">
        <v>10649</v>
      </c>
      <c r="D21" s="63">
        <v>0</v>
      </c>
      <c r="E21" s="63">
        <v>0</v>
      </c>
      <c r="F21" s="63">
        <v>0</v>
      </c>
      <c r="G21" s="63">
        <v>0</v>
      </c>
      <c r="H21" s="63">
        <v>0</v>
      </c>
      <c r="I21" s="63">
        <v>0</v>
      </c>
      <c r="J21" s="63">
        <v>2370</v>
      </c>
      <c r="K21" s="63">
        <v>2440</v>
      </c>
      <c r="L21" s="63">
        <v>2473</v>
      </c>
      <c r="M21" s="63">
        <v>2464</v>
      </c>
      <c r="N21" s="63">
        <v>2532</v>
      </c>
      <c r="O21" s="63">
        <v>2522</v>
      </c>
      <c r="P21" s="76"/>
      <c r="Q21" s="76" t="s">
        <v>1745</v>
      </c>
    </row>
    <row r="22" spans="1:17" ht="15.75" customHeight="1">
      <c r="A22" s="655">
        <v>6</v>
      </c>
      <c r="B22" s="76" t="s">
        <v>1750</v>
      </c>
      <c r="C22" s="55" t="s">
        <v>10650</v>
      </c>
      <c r="D22" s="63">
        <v>0</v>
      </c>
      <c r="E22" s="63">
        <v>0</v>
      </c>
      <c r="F22" s="63">
        <v>0</v>
      </c>
      <c r="G22" s="63">
        <v>0</v>
      </c>
      <c r="H22" s="63">
        <v>0</v>
      </c>
      <c r="I22" s="63">
        <v>0</v>
      </c>
      <c r="J22" s="63">
        <v>2916</v>
      </c>
      <c r="K22" s="63">
        <v>2993</v>
      </c>
      <c r="L22" s="63">
        <v>3038</v>
      </c>
      <c r="M22" s="63">
        <v>3083</v>
      </c>
      <c r="N22" s="63">
        <v>3209</v>
      </c>
      <c r="O22" s="63">
        <v>3194</v>
      </c>
      <c r="P22" s="76"/>
      <c r="Q22" s="76" t="s">
        <v>1747</v>
      </c>
    </row>
    <row r="23" spans="1:17" ht="15.75" customHeight="1">
      <c r="A23" s="655">
        <v>7</v>
      </c>
      <c r="B23" s="76" t="s">
        <v>10641</v>
      </c>
      <c r="C23" s="55" t="s">
        <v>10651</v>
      </c>
      <c r="D23" s="63">
        <v>0</v>
      </c>
      <c r="E23" s="63">
        <v>0</v>
      </c>
      <c r="F23" s="63">
        <v>0</v>
      </c>
      <c r="G23" s="63">
        <v>0</v>
      </c>
      <c r="H23" s="63">
        <v>0</v>
      </c>
      <c r="I23" s="63">
        <v>0</v>
      </c>
      <c r="J23" s="63">
        <v>2433</v>
      </c>
      <c r="K23" s="63">
        <v>2530</v>
      </c>
      <c r="L23" s="63">
        <v>2587</v>
      </c>
      <c r="M23" s="63">
        <v>2590</v>
      </c>
      <c r="N23" s="63">
        <v>2621</v>
      </c>
      <c r="O23" s="63">
        <v>2624</v>
      </c>
      <c r="P23" s="76"/>
      <c r="Q23" s="76" t="s">
        <v>1747</v>
      </c>
    </row>
    <row r="24" spans="1:17" ht="15.75" customHeight="1">
      <c r="A24" s="655">
        <v>8</v>
      </c>
      <c r="B24" s="76" t="s">
        <v>10640</v>
      </c>
      <c r="C24" s="55" t="s">
        <v>10652</v>
      </c>
      <c r="D24" s="63">
        <v>0</v>
      </c>
      <c r="E24" s="63">
        <v>0</v>
      </c>
      <c r="F24" s="63">
        <v>0</v>
      </c>
      <c r="G24" s="63">
        <v>0</v>
      </c>
      <c r="H24" s="63">
        <v>0</v>
      </c>
      <c r="I24" s="63">
        <v>0</v>
      </c>
      <c r="J24" s="63">
        <v>2278</v>
      </c>
      <c r="K24" s="63">
        <v>2326</v>
      </c>
      <c r="L24" s="63">
        <v>2324</v>
      </c>
      <c r="M24" s="63">
        <v>2320</v>
      </c>
      <c r="N24" s="63">
        <v>2382</v>
      </c>
      <c r="O24" s="63">
        <v>2372</v>
      </c>
      <c r="P24" s="76"/>
      <c r="Q24" s="76" t="s">
        <v>1745</v>
      </c>
    </row>
    <row r="25" spans="1:17" ht="15.75" customHeight="1">
      <c r="A25" s="655">
        <v>9</v>
      </c>
      <c r="B25" s="76" t="s">
        <v>10639</v>
      </c>
      <c r="C25" s="55" t="s">
        <v>10653</v>
      </c>
      <c r="D25" s="63">
        <v>0</v>
      </c>
      <c r="E25" s="63">
        <v>0</v>
      </c>
      <c r="F25" s="63">
        <v>0</v>
      </c>
      <c r="G25" s="63">
        <v>0</v>
      </c>
      <c r="H25" s="63">
        <v>0</v>
      </c>
      <c r="I25" s="63">
        <v>0</v>
      </c>
      <c r="J25" s="63">
        <v>2548</v>
      </c>
      <c r="K25" s="63">
        <v>2609</v>
      </c>
      <c r="L25" s="63">
        <v>2635</v>
      </c>
      <c r="M25" s="63">
        <v>2668</v>
      </c>
      <c r="N25" s="63">
        <v>2811</v>
      </c>
      <c r="O25" s="63">
        <v>2811</v>
      </c>
      <c r="P25" s="76"/>
      <c r="Q25" s="76" t="s">
        <v>1747</v>
      </c>
    </row>
    <row r="26" spans="1:17" ht="15.75" customHeight="1">
      <c r="A26" s="655">
        <v>10</v>
      </c>
      <c r="B26" s="76" t="s">
        <v>10638</v>
      </c>
      <c r="C26" s="55" t="s">
        <v>10654</v>
      </c>
      <c r="D26" s="63">
        <v>0</v>
      </c>
      <c r="E26" s="63">
        <v>0</v>
      </c>
      <c r="F26" s="63">
        <v>0</v>
      </c>
      <c r="G26" s="63">
        <v>0</v>
      </c>
      <c r="H26" s="63">
        <v>0</v>
      </c>
      <c r="I26" s="63">
        <v>0</v>
      </c>
      <c r="J26" s="63">
        <v>2222</v>
      </c>
      <c r="K26" s="63">
        <v>2229</v>
      </c>
      <c r="L26" s="63">
        <v>2267</v>
      </c>
      <c r="M26" s="63">
        <v>2324</v>
      </c>
      <c r="N26" s="63">
        <v>2452</v>
      </c>
      <c r="O26" s="63">
        <v>2440</v>
      </c>
      <c r="P26" s="76"/>
      <c r="Q26" s="76" t="s">
        <v>1747</v>
      </c>
    </row>
    <row r="27" spans="1:17" ht="15.75" customHeight="1">
      <c r="A27" s="655">
        <v>11</v>
      </c>
      <c r="B27" s="76" t="s">
        <v>5904</v>
      </c>
      <c r="C27" s="55" t="s">
        <v>10655</v>
      </c>
      <c r="D27" s="63">
        <v>0</v>
      </c>
      <c r="E27" s="63">
        <v>0</v>
      </c>
      <c r="F27" s="63">
        <v>0</v>
      </c>
      <c r="G27" s="63">
        <v>0</v>
      </c>
      <c r="H27" s="63">
        <v>0</v>
      </c>
      <c r="I27" s="63">
        <v>0</v>
      </c>
      <c r="J27" s="63">
        <v>2388</v>
      </c>
      <c r="K27" s="63">
        <v>2457</v>
      </c>
      <c r="L27" s="63">
        <v>2462</v>
      </c>
      <c r="M27" s="63">
        <v>2495</v>
      </c>
      <c r="N27" s="63">
        <v>2579</v>
      </c>
      <c r="O27" s="63">
        <v>2565</v>
      </c>
      <c r="P27" s="76"/>
      <c r="Q27" s="76" t="s">
        <v>1747</v>
      </c>
    </row>
    <row r="28" spans="1:17" ht="15.75" customHeight="1">
      <c r="A28" s="655">
        <v>12</v>
      </c>
      <c r="B28" s="76" t="s">
        <v>6024</v>
      </c>
      <c r="C28" s="55" t="s">
        <v>10656</v>
      </c>
      <c r="D28" s="63">
        <v>0</v>
      </c>
      <c r="E28" s="63">
        <v>0</v>
      </c>
      <c r="F28" s="63">
        <v>0</v>
      </c>
      <c r="G28" s="63">
        <v>0</v>
      </c>
      <c r="H28" s="63">
        <v>0</v>
      </c>
      <c r="I28" s="63">
        <v>0</v>
      </c>
      <c r="J28" s="63">
        <v>2159</v>
      </c>
      <c r="K28" s="63">
        <v>2214</v>
      </c>
      <c r="L28" s="63">
        <v>2268</v>
      </c>
      <c r="M28" s="63">
        <v>2188</v>
      </c>
      <c r="N28" s="63">
        <v>2345</v>
      </c>
      <c r="O28" s="63">
        <v>2324</v>
      </c>
      <c r="P28" s="76"/>
      <c r="Q28" s="76" t="s">
        <v>1745</v>
      </c>
    </row>
    <row r="29" spans="1:17" ht="15.75" customHeight="1">
      <c r="A29" s="655">
        <v>13</v>
      </c>
      <c r="B29" s="76" t="s">
        <v>1414</v>
      </c>
      <c r="C29" s="55" t="s">
        <v>10657</v>
      </c>
      <c r="D29" s="63">
        <v>0</v>
      </c>
      <c r="E29" s="63">
        <v>0</v>
      </c>
      <c r="F29" s="63">
        <v>0</v>
      </c>
      <c r="G29" s="63">
        <v>0</v>
      </c>
      <c r="H29" s="63">
        <v>0</v>
      </c>
      <c r="I29" s="63">
        <v>0</v>
      </c>
      <c r="J29" s="63">
        <v>2679</v>
      </c>
      <c r="K29" s="63">
        <v>2683</v>
      </c>
      <c r="L29" s="63">
        <v>2670</v>
      </c>
      <c r="M29" s="63">
        <v>2679</v>
      </c>
      <c r="N29" s="63">
        <v>2729</v>
      </c>
      <c r="O29" s="63">
        <v>2734</v>
      </c>
      <c r="P29" s="76"/>
      <c r="Q29" s="76" t="s">
        <v>1745</v>
      </c>
    </row>
    <row r="30" spans="1:17" ht="15.75" customHeight="1">
      <c r="A30" s="655">
        <v>14</v>
      </c>
      <c r="B30" s="76" t="s">
        <v>4584</v>
      </c>
      <c r="C30" s="108" t="s">
        <v>14739</v>
      </c>
      <c r="D30" s="63">
        <v>0</v>
      </c>
      <c r="E30" s="63">
        <v>0</v>
      </c>
      <c r="F30" s="63">
        <v>0</v>
      </c>
      <c r="G30" s="63">
        <v>0</v>
      </c>
      <c r="H30" s="63">
        <v>0</v>
      </c>
      <c r="I30" s="63">
        <v>0</v>
      </c>
      <c r="J30" s="63">
        <v>2276</v>
      </c>
      <c r="K30" s="63">
        <v>2323</v>
      </c>
      <c r="L30" s="63">
        <v>2394</v>
      </c>
      <c r="M30" s="63">
        <v>2396</v>
      </c>
      <c r="N30" s="63">
        <v>2518</v>
      </c>
      <c r="O30" s="63">
        <v>2514</v>
      </c>
      <c r="P30" s="76"/>
      <c r="Q30" s="76" t="s">
        <v>1747</v>
      </c>
    </row>
    <row r="31" spans="1:17" ht="15.75" customHeight="1">
      <c r="A31" s="655">
        <v>15</v>
      </c>
      <c r="B31" s="76" t="s">
        <v>10637</v>
      </c>
      <c r="C31" s="55" t="s">
        <v>10658</v>
      </c>
      <c r="D31" s="63">
        <v>0</v>
      </c>
      <c r="E31" s="63">
        <v>0</v>
      </c>
      <c r="F31" s="63">
        <v>0</v>
      </c>
      <c r="G31" s="63">
        <v>0</v>
      </c>
      <c r="H31" s="63">
        <v>0</v>
      </c>
      <c r="I31" s="63">
        <v>0</v>
      </c>
      <c r="J31" s="63">
        <v>2602</v>
      </c>
      <c r="K31" s="63">
        <v>2639</v>
      </c>
      <c r="L31" s="63">
        <v>2694</v>
      </c>
      <c r="M31" s="63">
        <v>2703</v>
      </c>
      <c r="N31" s="63">
        <v>2776</v>
      </c>
      <c r="O31" s="63">
        <v>2767</v>
      </c>
      <c r="P31" s="76"/>
      <c r="Q31" s="76" t="s">
        <v>1745</v>
      </c>
    </row>
    <row r="32" spans="1:17" ht="15.75" customHeight="1">
      <c r="A32" s="655">
        <v>16</v>
      </c>
      <c r="B32" s="76" t="s">
        <v>10636</v>
      </c>
      <c r="C32" s="55" t="s">
        <v>10659</v>
      </c>
      <c r="D32" s="63">
        <v>0</v>
      </c>
      <c r="E32" s="63">
        <v>0</v>
      </c>
      <c r="F32" s="63">
        <v>0</v>
      </c>
      <c r="G32" s="63">
        <v>0</v>
      </c>
      <c r="H32" s="63">
        <v>0</v>
      </c>
      <c r="I32" s="63">
        <v>0</v>
      </c>
      <c r="J32" s="63">
        <v>2574</v>
      </c>
      <c r="K32" s="63">
        <v>2614</v>
      </c>
      <c r="L32" s="63">
        <v>2624</v>
      </c>
      <c r="M32" s="63">
        <v>2617</v>
      </c>
      <c r="N32" s="63">
        <v>2729</v>
      </c>
      <c r="O32" s="63">
        <v>2716</v>
      </c>
      <c r="P32" s="76"/>
      <c r="Q32" s="76" t="s">
        <v>1745</v>
      </c>
    </row>
    <row r="33" spans="1:17" ht="15.75" customHeight="1">
      <c r="A33" s="655">
        <v>17</v>
      </c>
      <c r="B33" s="76" t="s">
        <v>4585</v>
      </c>
      <c r="C33" s="55" t="s">
        <v>10660</v>
      </c>
      <c r="D33" s="63">
        <v>0</v>
      </c>
      <c r="E33" s="63">
        <v>0</v>
      </c>
      <c r="F33" s="63">
        <v>0</v>
      </c>
      <c r="G33" s="63">
        <v>0</v>
      </c>
      <c r="H33" s="63">
        <v>0</v>
      </c>
      <c r="I33" s="63">
        <v>0</v>
      </c>
      <c r="J33" s="63">
        <v>2386</v>
      </c>
      <c r="K33" s="63">
        <v>2407</v>
      </c>
      <c r="L33" s="63">
        <v>2434</v>
      </c>
      <c r="M33" s="63">
        <v>2404</v>
      </c>
      <c r="N33" s="63">
        <v>2508</v>
      </c>
      <c r="O33" s="63">
        <v>2512</v>
      </c>
      <c r="P33" s="76"/>
      <c r="Q33" s="76" t="s">
        <v>1745</v>
      </c>
    </row>
    <row r="34" spans="1:17" ht="15.75" customHeight="1">
      <c r="A34" s="655">
        <v>18</v>
      </c>
      <c r="B34" s="76" t="s">
        <v>4586</v>
      </c>
      <c r="C34" s="55" t="s">
        <v>10661</v>
      </c>
      <c r="D34" s="63">
        <v>0</v>
      </c>
      <c r="E34" s="63">
        <v>0</v>
      </c>
      <c r="F34" s="63">
        <v>0</v>
      </c>
      <c r="G34" s="63">
        <v>0</v>
      </c>
      <c r="H34" s="63">
        <v>0</v>
      </c>
      <c r="I34" s="63">
        <v>0</v>
      </c>
      <c r="J34" s="63">
        <v>2546</v>
      </c>
      <c r="K34" s="63">
        <v>2589</v>
      </c>
      <c r="L34" s="63">
        <v>2614</v>
      </c>
      <c r="M34" s="63">
        <v>2638</v>
      </c>
      <c r="N34" s="63">
        <v>2690</v>
      </c>
      <c r="O34" s="63">
        <v>2668</v>
      </c>
      <c r="P34" s="76"/>
      <c r="Q34" s="76" t="s">
        <v>1745</v>
      </c>
    </row>
    <row r="35" spans="1:17" ht="15.75" customHeight="1">
      <c r="A35" s="655">
        <v>19</v>
      </c>
      <c r="B35" s="76" t="s">
        <v>5028</v>
      </c>
      <c r="C35" s="55" t="s">
        <v>10662</v>
      </c>
      <c r="D35" s="63">
        <v>0</v>
      </c>
      <c r="E35" s="63">
        <v>0</v>
      </c>
      <c r="F35" s="63">
        <v>0</v>
      </c>
      <c r="G35" s="63">
        <v>0</v>
      </c>
      <c r="H35" s="63">
        <v>0</v>
      </c>
      <c r="I35" s="63">
        <v>0</v>
      </c>
      <c r="J35" s="63">
        <v>2482</v>
      </c>
      <c r="K35" s="63">
        <v>2553</v>
      </c>
      <c r="L35" s="63">
        <v>2615</v>
      </c>
      <c r="M35" s="63">
        <v>2616</v>
      </c>
      <c r="N35" s="63">
        <v>2762</v>
      </c>
      <c r="O35" s="63">
        <v>2755</v>
      </c>
      <c r="P35" s="76"/>
      <c r="Q35" s="76" t="s">
        <v>1745</v>
      </c>
    </row>
    <row r="36" spans="1:17" ht="15.75" customHeight="1">
      <c r="A36" s="655">
        <v>20</v>
      </c>
      <c r="B36" s="76" t="s">
        <v>4587</v>
      </c>
      <c r="C36" s="55" t="s">
        <v>10663</v>
      </c>
      <c r="D36" s="63">
        <v>0</v>
      </c>
      <c r="E36" s="63">
        <v>0</v>
      </c>
      <c r="F36" s="63">
        <v>0</v>
      </c>
      <c r="G36" s="63">
        <v>0</v>
      </c>
      <c r="H36" s="63">
        <v>0</v>
      </c>
      <c r="I36" s="63">
        <v>0</v>
      </c>
      <c r="J36" s="63">
        <v>2752</v>
      </c>
      <c r="K36" s="63">
        <v>2763</v>
      </c>
      <c r="L36" s="63">
        <v>2801</v>
      </c>
      <c r="M36" s="63">
        <v>2914</v>
      </c>
      <c r="N36" s="63">
        <v>3152</v>
      </c>
      <c r="O36" s="63">
        <v>3167</v>
      </c>
      <c r="P36" s="76"/>
      <c r="Q36" s="76" t="s">
        <v>1747</v>
      </c>
    </row>
    <row r="37" spans="1:17" ht="15.75" customHeight="1">
      <c r="A37" s="655">
        <v>21</v>
      </c>
      <c r="B37" s="76" t="s">
        <v>1663</v>
      </c>
      <c r="C37" s="55" t="s">
        <v>10664</v>
      </c>
      <c r="D37" s="63">
        <v>0</v>
      </c>
      <c r="E37" s="63">
        <v>0</v>
      </c>
      <c r="F37" s="63">
        <v>0</v>
      </c>
      <c r="G37" s="63">
        <v>0</v>
      </c>
      <c r="H37" s="63">
        <v>0</v>
      </c>
      <c r="I37" s="63">
        <v>0</v>
      </c>
      <c r="J37" s="63">
        <v>2666</v>
      </c>
      <c r="K37" s="63">
        <v>2744</v>
      </c>
      <c r="L37" s="63">
        <v>2756</v>
      </c>
      <c r="M37" s="63">
        <v>2800</v>
      </c>
      <c r="N37" s="63">
        <v>2885</v>
      </c>
      <c r="O37" s="63">
        <v>2854</v>
      </c>
      <c r="P37" s="76"/>
      <c r="Q37" s="76" t="s">
        <v>1747</v>
      </c>
    </row>
    <row r="38" spans="1:17" ht="15.75" customHeight="1">
      <c r="A38" s="655">
        <v>22</v>
      </c>
      <c r="B38" s="76" t="s">
        <v>10635</v>
      </c>
      <c r="C38" s="55" t="s">
        <v>10665</v>
      </c>
      <c r="D38" s="63">
        <v>0</v>
      </c>
      <c r="E38" s="63">
        <v>0</v>
      </c>
      <c r="F38" s="63">
        <v>0</v>
      </c>
      <c r="G38" s="63">
        <v>0</v>
      </c>
      <c r="H38" s="63">
        <v>0</v>
      </c>
      <c r="I38" s="63">
        <v>0</v>
      </c>
      <c r="J38" s="63">
        <v>2599</v>
      </c>
      <c r="K38" s="63">
        <v>2630</v>
      </c>
      <c r="L38" s="63">
        <v>2584</v>
      </c>
      <c r="M38" s="63">
        <v>2631</v>
      </c>
      <c r="N38" s="63">
        <v>2707</v>
      </c>
      <c r="O38" s="63">
        <v>2704</v>
      </c>
      <c r="P38" s="76"/>
      <c r="Q38" s="76" t="s">
        <v>1745</v>
      </c>
    </row>
    <row r="39" spans="1:17" ht="15.75" customHeight="1">
      <c r="A39" s="655">
        <v>23</v>
      </c>
      <c r="B39" s="76" t="s">
        <v>10634</v>
      </c>
      <c r="C39" s="55" t="s">
        <v>10666</v>
      </c>
      <c r="D39" s="63">
        <v>0</v>
      </c>
      <c r="E39" s="63">
        <v>0</v>
      </c>
      <c r="F39" s="63">
        <v>0</v>
      </c>
      <c r="G39" s="63">
        <v>0</v>
      </c>
      <c r="H39" s="63">
        <v>0</v>
      </c>
      <c r="I39" s="63">
        <v>0</v>
      </c>
      <c r="J39" s="63">
        <v>1153</v>
      </c>
      <c r="K39" s="63">
        <v>1172</v>
      </c>
      <c r="L39" s="63">
        <v>1187</v>
      </c>
      <c r="M39" s="63">
        <v>1174</v>
      </c>
      <c r="N39" s="63">
        <v>1204</v>
      </c>
      <c r="O39" s="63">
        <v>1207</v>
      </c>
      <c r="P39" s="76"/>
      <c r="Q39" s="76" t="s">
        <v>1745</v>
      </c>
    </row>
    <row r="40" spans="1:17" ht="15.75" customHeight="1" thickBot="1">
      <c r="A40" s="655"/>
      <c r="B40" s="76"/>
      <c r="C40" s="55" t="s">
        <v>10666</v>
      </c>
      <c r="D40" s="185">
        <v>0</v>
      </c>
      <c r="E40" s="185">
        <v>0</v>
      </c>
      <c r="F40" s="185">
        <v>0</v>
      </c>
      <c r="G40" s="185">
        <v>0</v>
      </c>
      <c r="H40" s="185">
        <v>0</v>
      </c>
      <c r="I40" s="185">
        <v>0</v>
      </c>
      <c r="J40" s="63">
        <v>1446</v>
      </c>
      <c r="K40" s="63">
        <v>1537</v>
      </c>
      <c r="L40" s="63">
        <v>1639</v>
      </c>
      <c r="M40" s="63">
        <v>1677</v>
      </c>
      <c r="N40" s="63">
        <v>1854</v>
      </c>
      <c r="O40" s="63">
        <v>1861</v>
      </c>
      <c r="P40" s="76"/>
      <c r="Q40" s="76" t="s">
        <v>1747</v>
      </c>
    </row>
    <row r="41" spans="1:17" ht="15.75" customHeight="1" thickBot="1">
      <c r="A41" s="655"/>
      <c r="B41" s="76"/>
      <c r="C41" s="55" t="s">
        <v>10666</v>
      </c>
      <c r="D41" s="656">
        <f>D39+D40</f>
        <v>0</v>
      </c>
      <c r="E41" s="656">
        <f t="shared" ref="E41:L41" si="14">E39+E40</f>
        <v>0</v>
      </c>
      <c r="F41" s="656">
        <f t="shared" si="14"/>
        <v>0</v>
      </c>
      <c r="G41" s="656">
        <f t="shared" si="14"/>
        <v>0</v>
      </c>
      <c r="H41" s="656">
        <f t="shared" si="14"/>
        <v>0</v>
      </c>
      <c r="I41" s="656">
        <f t="shared" si="14"/>
        <v>0</v>
      </c>
      <c r="J41" s="656">
        <f t="shared" si="14"/>
        <v>2599</v>
      </c>
      <c r="K41" s="656">
        <f t="shared" si="14"/>
        <v>2709</v>
      </c>
      <c r="L41" s="656">
        <f t="shared" si="14"/>
        <v>2826</v>
      </c>
      <c r="M41" s="656">
        <f>M39+M40</f>
        <v>2851</v>
      </c>
      <c r="N41" s="656">
        <f>N39+N40</f>
        <v>3058</v>
      </c>
      <c r="O41" s="656">
        <f>O39+O40</f>
        <v>3068</v>
      </c>
      <c r="P41" s="76"/>
      <c r="Q41" s="76"/>
    </row>
    <row r="42" spans="1:17" ht="15.75" customHeight="1">
      <c r="A42" s="655">
        <v>24</v>
      </c>
      <c r="B42" s="76" t="s">
        <v>4588</v>
      </c>
      <c r="C42" s="55" t="s">
        <v>10667</v>
      </c>
      <c r="D42" s="63">
        <v>0</v>
      </c>
      <c r="E42" s="63">
        <v>0</v>
      </c>
      <c r="F42" s="63">
        <v>0</v>
      </c>
      <c r="G42" s="63">
        <v>0</v>
      </c>
      <c r="H42" s="63">
        <v>0</v>
      </c>
      <c r="I42" s="63">
        <v>0</v>
      </c>
      <c r="J42" s="63">
        <v>2805</v>
      </c>
      <c r="K42" s="63">
        <v>2845</v>
      </c>
      <c r="L42" s="63">
        <v>2904</v>
      </c>
      <c r="M42" s="63">
        <v>2880</v>
      </c>
      <c r="N42" s="63">
        <v>2994</v>
      </c>
      <c r="O42" s="63">
        <v>2979</v>
      </c>
      <c r="P42" s="76"/>
      <c r="Q42" s="76" t="s">
        <v>1747</v>
      </c>
    </row>
    <row r="43" spans="1:17" ht="15.75" customHeight="1">
      <c r="A43" s="655">
        <v>25</v>
      </c>
      <c r="B43" s="76" t="s">
        <v>4589</v>
      </c>
      <c r="C43" s="55" t="s">
        <v>10668</v>
      </c>
      <c r="D43" s="63">
        <v>0</v>
      </c>
      <c r="E43" s="63">
        <v>0</v>
      </c>
      <c r="F43" s="63">
        <v>0</v>
      </c>
      <c r="G43" s="63">
        <v>0</v>
      </c>
      <c r="H43" s="63">
        <v>0</v>
      </c>
      <c r="I43" s="63">
        <v>0</v>
      </c>
      <c r="J43" s="63">
        <v>2437</v>
      </c>
      <c r="K43" s="63">
        <v>2469</v>
      </c>
      <c r="L43" s="63">
        <v>2472</v>
      </c>
      <c r="M43" s="63">
        <v>2476</v>
      </c>
      <c r="N43" s="63">
        <v>2528</v>
      </c>
      <c r="O43" s="63">
        <v>2519</v>
      </c>
      <c r="P43" s="76"/>
      <c r="Q43" s="76" t="s">
        <v>1745</v>
      </c>
    </row>
    <row r="44" spans="1:17" ht="15.75" customHeight="1">
      <c r="A44" s="655">
        <v>26</v>
      </c>
      <c r="B44" s="76" t="s">
        <v>10633</v>
      </c>
      <c r="C44" s="55" t="s">
        <v>10669</v>
      </c>
      <c r="D44" s="63">
        <v>0</v>
      </c>
      <c r="E44" s="63">
        <v>0</v>
      </c>
      <c r="F44" s="63">
        <v>0</v>
      </c>
      <c r="G44" s="63">
        <v>0</v>
      </c>
      <c r="H44" s="63">
        <v>0</v>
      </c>
      <c r="I44" s="63">
        <v>0</v>
      </c>
      <c r="J44" s="63">
        <v>2537</v>
      </c>
      <c r="K44" s="63">
        <v>2534</v>
      </c>
      <c r="L44" s="63">
        <v>2539</v>
      </c>
      <c r="M44" s="63">
        <v>2526</v>
      </c>
      <c r="N44" s="63">
        <v>2509</v>
      </c>
      <c r="O44" s="63">
        <v>2514</v>
      </c>
      <c r="P44" s="76"/>
      <c r="Q44" s="76" t="s">
        <v>1745</v>
      </c>
    </row>
    <row r="45" spans="1:17" ht="15.75" customHeight="1">
      <c r="A45" s="655">
        <v>27</v>
      </c>
      <c r="B45" s="76" t="s">
        <v>4983</v>
      </c>
      <c r="C45" s="55" t="s">
        <v>10670</v>
      </c>
      <c r="D45" s="63">
        <v>0</v>
      </c>
      <c r="E45" s="63">
        <v>0</v>
      </c>
      <c r="F45" s="63">
        <v>0</v>
      </c>
      <c r="G45" s="63">
        <v>0</v>
      </c>
      <c r="H45" s="63">
        <v>0</v>
      </c>
      <c r="I45" s="63">
        <v>0</v>
      </c>
      <c r="J45" s="63">
        <v>2445</v>
      </c>
      <c r="K45" s="63">
        <v>2479</v>
      </c>
      <c r="L45" s="63">
        <v>2504</v>
      </c>
      <c r="M45" s="63">
        <v>2477</v>
      </c>
      <c r="N45" s="63">
        <v>2517</v>
      </c>
      <c r="O45" s="63">
        <v>2505</v>
      </c>
      <c r="P45" s="76"/>
      <c r="Q45" s="76" t="s">
        <v>1747</v>
      </c>
    </row>
    <row r="46" spans="1:17" ht="15.75" customHeight="1">
      <c r="A46" s="655">
        <v>28</v>
      </c>
      <c r="B46" s="76" t="s">
        <v>10632</v>
      </c>
      <c r="C46" s="55" t="s">
        <v>10671</v>
      </c>
      <c r="D46" s="63">
        <v>0</v>
      </c>
      <c r="E46" s="63">
        <v>0</v>
      </c>
      <c r="F46" s="63">
        <v>0</v>
      </c>
      <c r="G46" s="63">
        <v>0</v>
      </c>
      <c r="H46" s="63">
        <v>0</v>
      </c>
      <c r="I46" s="63">
        <v>0</v>
      </c>
      <c r="J46" s="63">
        <v>2436</v>
      </c>
      <c r="K46" s="63">
        <v>2453</v>
      </c>
      <c r="L46" s="63">
        <v>2473</v>
      </c>
      <c r="M46" s="63">
        <v>2475</v>
      </c>
      <c r="N46" s="63">
        <v>2563</v>
      </c>
      <c r="O46" s="63">
        <v>2546</v>
      </c>
      <c r="P46" s="76"/>
      <c r="Q46" s="76" t="s">
        <v>1747</v>
      </c>
    </row>
    <row r="47" spans="1:17" ht="15.75" customHeight="1">
      <c r="A47" s="655">
        <v>29</v>
      </c>
      <c r="B47" s="76" t="s">
        <v>10631</v>
      </c>
      <c r="C47" s="55" t="s">
        <v>10672</v>
      </c>
      <c r="D47" s="63">
        <v>0</v>
      </c>
      <c r="E47" s="63">
        <v>0</v>
      </c>
      <c r="F47" s="63">
        <v>0</v>
      </c>
      <c r="G47" s="63">
        <v>0</v>
      </c>
      <c r="H47" s="63">
        <v>0</v>
      </c>
      <c r="I47" s="63">
        <v>0</v>
      </c>
      <c r="J47" s="63">
        <v>2385</v>
      </c>
      <c r="K47" s="63">
        <v>2427</v>
      </c>
      <c r="L47" s="63">
        <v>2467</v>
      </c>
      <c r="M47" s="63">
        <v>2441</v>
      </c>
      <c r="N47" s="63">
        <v>2476</v>
      </c>
      <c r="O47" s="63">
        <v>2475</v>
      </c>
      <c r="P47" s="76"/>
      <c r="Q47" s="76" t="s">
        <v>1747</v>
      </c>
    </row>
    <row r="48" spans="1:17" ht="15.75" customHeight="1">
      <c r="A48" s="655">
        <v>30</v>
      </c>
      <c r="B48" s="76" t="s">
        <v>10630</v>
      </c>
      <c r="C48" s="55" t="s">
        <v>10673</v>
      </c>
      <c r="D48" s="63">
        <v>0</v>
      </c>
      <c r="E48" s="63">
        <v>0</v>
      </c>
      <c r="F48" s="63">
        <v>0</v>
      </c>
      <c r="G48" s="63">
        <v>0</v>
      </c>
      <c r="H48" s="63">
        <v>0</v>
      </c>
      <c r="I48" s="63">
        <v>0</v>
      </c>
      <c r="J48" s="63">
        <v>2479</v>
      </c>
      <c r="K48" s="63">
        <v>2533</v>
      </c>
      <c r="L48" s="63">
        <v>2550</v>
      </c>
      <c r="M48" s="63">
        <v>2602</v>
      </c>
      <c r="N48" s="63">
        <v>2671</v>
      </c>
      <c r="O48" s="63">
        <v>2673</v>
      </c>
      <c r="P48" s="76"/>
      <c r="Q48" s="76" t="s">
        <v>1747</v>
      </c>
    </row>
    <row r="49" spans="1:17" ht="15.75" customHeight="1">
      <c r="A49" s="655">
        <v>31</v>
      </c>
      <c r="B49" s="76" t="s">
        <v>10629</v>
      </c>
      <c r="C49" s="55" t="s">
        <v>10674</v>
      </c>
      <c r="D49" s="63">
        <v>0</v>
      </c>
      <c r="E49" s="63">
        <v>0</v>
      </c>
      <c r="F49" s="63">
        <v>0</v>
      </c>
      <c r="G49" s="63">
        <v>0</v>
      </c>
      <c r="H49" s="63">
        <v>0</v>
      </c>
      <c r="I49" s="63">
        <v>0</v>
      </c>
      <c r="J49" s="63">
        <v>2544</v>
      </c>
      <c r="K49" s="63">
        <v>2630</v>
      </c>
      <c r="L49" s="63">
        <v>2673</v>
      </c>
      <c r="M49" s="63">
        <v>2680</v>
      </c>
      <c r="N49" s="63">
        <v>2787</v>
      </c>
      <c r="O49" s="63">
        <v>2766</v>
      </c>
      <c r="P49" s="76"/>
      <c r="Q49" s="76" t="s">
        <v>1747</v>
      </c>
    </row>
    <row r="50" spans="1:17" ht="15.75" customHeight="1">
      <c r="A50" s="655">
        <v>32</v>
      </c>
      <c r="B50" s="76" t="s">
        <v>10628</v>
      </c>
      <c r="C50" s="55" t="s">
        <v>10675</v>
      </c>
      <c r="D50" s="63">
        <v>0</v>
      </c>
      <c r="E50" s="63">
        <v>0</v>
      </c>
      <c r="F50" s="63">
        <v>0</v>
      </c>
      <c r="G50" s="63">
        <v>0</v>
      </c>
      <c r="H50" s="63">
        <v>0</v>
      </c>
      <c r="I50" s="63">
        <v>0</v>
      </c>
      <c r="J50" s="63">
        <v>2832</v>
      </c>
      <c r="K50" s="63">
        <v>2862</v>
      </c>
      <c r="L50" s="63">
        <v>2886</v>
      </c>
      <c r="M50" s="63">
        <v>2931</v>
      </c>
      <c r="N50" s="63">
        <v>3016</v>
      </c>
      <c r="O50" s="63">
        <v>3014</v>
      </c>
      <c r="P50" s="76"/>
      <c r="Q50" s="76" t="s">
        <v>1747</v>
      </c>
    </row>
    <row r="51" spans="1:17" ht="15.75" customHeight="1">
      <c r="A51" s="655">
        <v>33</v>
      </c>
      <c r="B51" s="76" t="s">
        <v>6817</v>
      </c>
      <c r="C51" s="55" t="s">
        <v>10676</v>
      </c>
      <c r="D51" s="63">
        <v>0</v>
      </c>
      <c r="E51" s="63">
        <v>0</v>
      </c>
      <c r="F51" s="63">
        <v>0</v>
      </c>
      <c r="G51" s="63">
        <v>0</v>
      </c>
      <c r="H51" s="63">
        <v>0</v>
      </c>
      <c r="I51" s="63">
        <v>0</v>
      </c>
      <c r="J51" s="63">
        <v>2465</v>
      </c>
      <c r="K51" s="63">
        <v>2473</v>
      </c>
      <c r="L51" s="63">
        <v>2500</v>
      </c>
      <c r="M51" s="63">
        <v>2554</v>
      </c>
      <c r="N51" s="63">
        <v>2614</v>
      </c>
      <c r="O51" s="63">
        <v>2602</v>
      </c>
      <c r="P51" s="76"/>
      <c r="Q51" s="76" t="s">
        <v>1747</v>
      </c>
    </row>
    <row r="52" spans="1:17" ht="15.75" customHeight="1">
      <c r="A52" s="655">
        <v>34</v>
      </c>
      <c r="B52" s="76" t="s">
        <v>10627</v>
      </c>
      <c r="C52" s="55" t="s">
        <v>10677</v>
      </c>
      <c r="D52" s="63">
        <v>0</v>
      </c>
      <c r="E52" s="63">
        <v>0</v>
      </c>
      <c r="F52" s="63">
        <v>0</v>
      </c>
      <c r="G52" s="63">
        <v>0</v>
      </c>
      <c r="H52" s="63">
        <v>0</v>
      </c>
      <c r="I52" s="63">
        <v>0</v>
      </c>
      <c r="J52" s="63">
        <v>1997</v>
      </c>
      <c r="K52" s="63">
        <v>2037</v>
      </c>
      <c r="L52" s="63">
        <v>2095</v>
      </c>
      <c r="M52" s="63">
        <v>2125</v>
      </c>
      <c r="N52" s="63">
        <v>2138</v>
      </c>
      <c r="O52" s="63">
        <v>2134</v>
      </c>
      <c r="P52" s="76"/>
      <c r="Q52" s="76" t="s">
        <v>1747</v>
      </c>
    </row>
    <row r="53" spans="1:17" ht="15.75" customHeight="1">
      <c r="A53" s="655">
        <v>35</v>
      </c>
      <c r="B53" s="76" t="s">
        <v>6818</v>
      </c>
      <c r="C53" s="55" t="s">
        <v>10678</v>
      </c>
      <c r="D53" s="63">
        <v>0</v>
      </c>
      <c r="E53" s="63">
        <v>0</v>
      </c>
      <c r="F53" s="63">
        <v>0</v>
      </c>
      <c r="G53" s="63">
        <v>0</v>
      </c>
      <c r="H53" s="63">
        <v>0</v>
      </c>
      <c r="I53" s="63">
        <v>0</v>
      </c>
      <c r="J53" s="63">
        <v>2671</v>
      </c>
      <c r="K53" s="63">
        <v>2691</v>
      </c>
      <c r="L53" s="63">
        <v>2734</v>
      </c>
      <c r="M53" s="63">
        <v>2731</v>
      </c>
      <c r="N53" s="63">
        <v>2792</v>
      </c>
      <c r="O53" s="63">
        <v>2780</v>
      </c>
      <c r="P53" s="76"/>
      <c r="Q53" s="76" t="s">
        <v>1745</v>
      </c>
    </row>
    <row r="54" spans="1:17" ht="15.75" customHeight="1">
      <c r="A54" s="655">
        <v>36</v>
      </c>
      <c r="B54" s="76" t="s">
        <v>6025</v>
      </c>
      <c r="C54" s="55" t="s">
        <v>10679</v>
      </c>
      <c r="D54" s="63">
        <v>0</v>
      </c>
      <c r="E54" s="63">
        <v>0</v>
      </c>
      <c r="F54" s="63">
        <v>0</v>
      </c>
      <c r="G54" s="63">
        <v>0</v>
      </c>
      <c r="H54" s="63">
        <v>0</v>
      </c>
      <c r="I54" s="63">
        <v>0</v>
      </c>
      <c r="J54" s="63">
        <v>2542</v>
      </c>
      <c r="K54" s="63">
        <v>2637</v>
      </c>
      <c r="L54" s="63">
        <v>2655</v>
      </c>
      <c r="M54" s="63">
        <v>2671</v>
      </c>
      <c r="N54" s="63">
        <v>2726</v>
      </c>
      <c r="O54" s="63">
        <v>2713</v>
      </c>
      <c r="P54" s="76"/>
      <c r="Q54" s="76" t="s">
        <v>1747</v>
      </c>
    </row>
    <row r="55" spans="1:17" ht="15.75" customHeight="1">
      <c r="A55" s="655">
        <v>37</v>
      </c>
      <c r="B55" s="76" t="s">
        <v>10626</v>
      </c>
      <c r="C55" s="55" t="s">
        <v>10680</v>
      </c>
      <c r="D55" s="63">
        <v>0</v>
      </c>
      <c r="E55" s="63">
        <v>0</v>
      </c>
      <c r="F55" s="63">
        <v>0</v>
      </c>
      <c r="G55" s="63">
        <v>0</v>
      </c>
      <c r="H55" s="63">
        <v>0</v>
      </c>
      <c r="I55" s="63">
        <v>0</v>
      </c>
      <c r="J55" s="63">
        <v>2504</v>
      </c>
      <c r="K55" s="63">
        <v>2515</v>
      </c>
      <c r="L55" s="63">
        <v>2598</v>
      </c>
      <c r="M55" s="63">
        <v>2633</v>
      </c>
      <c r="N55" s="63">
        <v>2712</v>
      </c>
      <c r="O55" s="63">
        <v>2713</v>
      </c>
      <c r="P55" s="76"/>
      <c r="Q55" s="76" t="s">
        <v>1745</v>
      </c>
    </row>
    <row r="56" spans="1:17" ht="15.75" customHeight="1">
      <c r="A56" s="655">
        <v>38</v>
      </c>
      <c r="B56" s="76" t="s">
        <v>6819</v>
      </c>
      <c r="C56" s="55" t="s">
        <v>10681</v>
      </c>
      <c r="D56" s="63">
        <v>0</v>
      </c>
      <c r="E56" s="63">
        <v>0</v>
      </c>
      <c r="F56" s="63">
        <v>0</v>
      </c>
      <c r="G56" s="63">
        <v>0</v>
      </c>
      <c r="H56" s="63">
        <v>0</v>
      </c>
      <c r="I56" s="63">
        <v>0</v>
      </c>
      <c r="J56" s="63">
        <v>2424</v>
      </c>
      <c r="K56" s="63">
        <v>2488</v>
      </c>
      <c r="L56" s="63">
        <v>2504</v>
      </c>
      <c r="M56" s="63">
        <v>2509</v>
      </c>
      <c r="N56" s="63">
        <v>2549</v>
      </c>
      <c r="O56" s="63">
        <v>2537</v>
      </c>
      <c r="P56" s="76"/>
      <c r="Q56" s="76" t="s">
        <v>1747</v>
      </c>
    </row>
    <row r="57" spans="1:17" ht="15.75" customHeight="1">
      <c r="A57" s="655">
        <v>39</v>
      </c>
      <c r="B57" s="76" t="s">
        <v>6820</v>
      </c>
      <c r="C57" s="55" t="s">
        <v>10682</v>
      </c>
      <c r="D57" s="63">
        <v>0</v>
      </c>
      <c r="E57" s="63">
        <v>0</v>
      </c>
      <c r="F57" s="63">
        <v>0</v>
      </c>
      <c r="G57" s="657">
        <v>0</v>
      </c>
      <c r="H57" s="63">
        <v>0</v>
      </c>
      <c r="I57" s="63">
        <v>0</v>
      </c>
      <c r="J57" s="63">
        <v>2631</v>
      </c>
      <c r="K57" s="63">
        <v>2666</v>
      </c>
      <c r="L57" s="63">
        <v>2736</v>
      </c>
      <c r="M57" s="63">
        <v>2729</v>
      </c>
      <c r="N57" s="63">
        <v>2882</v>
      </c>
      <c r="O57" s="63">
        <v>2891</v>
      </c>
      <c r="P57" s="76"/>
      <c r="Q57" s="76" t="s">
        <v>1745</v>
      </c>
    </row>
    <row r="58" spans="1:17" ht="15.75" customHeight="1">
      <c r="A58" s="655">
        <v>40</v>
      </c>
      <c r="B58" s="76" t="s">
        <v>10625</v>
      </c>
      <c r="C58" s="108" t="s">
        <v>14740</v>
      </c>
      <c r="D58" s="63">
        <v>0</v>
      </c>
      <c r="E58" s="63">
        <v>0</v>
      </c>
      <c r="F58" s="63">
        <v>0</v>
      </c>
      <c r="G58" s="63">
        <v>0</v>
      </c>
      <c r="H58" s="63">
        <v>0</v>
      </c>
      <c r="I58" s="63">
        <v>0</v>
      </c>
      <c r="J58" s="63">
        <v>2556</v>
      </c>
      <c r="K58" s="63">
        <v>2632</v>
      </c>
      <c r="L58" s="63">
        <v>2683</v>
      </c>
      <c r="M58" s="63">
        <v>2649</v>
      </c>
      <c r="N58" s="63">
        <v>2754</v>
      </c>
      <c r="O58" s="63">
        <v>2744</v>
      </c>
      <c r="P58" s="76"/>
      <c r="Q58" s="76" t="s">
        <v>1747</v>
      </c>
    </row>
    <row r="59" spans="1:17" ht="15.75" customHeight="1">
      <c r="A59" s="422">
        <v>41</v>
      </c>
      <c r="B59" s="76" t="s">
        <v>10624</v>
      </c>
      <c r="C59" s="55" t="s">
        <v>10683</v>
      </c>
      <c r="D59" s="63">
        <v>0</v>
      </c>
      <c r="E59" s="63">
        <v>0</v>
      </c>
      <c r="F59" s="63">
        <v>0</v>
      </c>
      <c r="G59" s="63">
        <v>0</v>
      </c>
      <c r="H59" s="63">
        <v>0</v>
      </c>
      <c r="I59" s="63">
        <v>0</v>
      </c>
      <c r="J59" s="63">
        <v>2757</v>
      </c>
      <c r="K59" s="63">
        <v>2786</v>
      </c>
      <c r="L59" s="63">
        <v>2778</v>
      </c>
      <c r="M59" s="63">
        <v>2801</v>
      </c>
      <c r="N59" s="63">
        <v>2840</v>
      </c>
      <c r="O59" s="63">
        <v>2850</v>
      </c>
      <c r="P59" s="76"/>
      <c r="Q59" s="76" t="s">
        <v>1745</v>
      </c>
    </row>
    <row r="60" spans="1:17" ht="15.75" customHeight="1">
      <c r="A60" s="422">
        <v>42</v>
      </c>
      <c r="B60" s="76" t="s">
        <v>10623</v>
      </c>
      <c r="C60" s="55" t="s">
        <v>10684</v>
      </c>
      <c r="D60" s="63">
        <v>0</v>
      </c>
      <c r="E60" s="63">
        <v>0</v>
      </c>
      <c r="F60" s="63">
        <v>0</v>
      </c>
      <c r="G60" s="63">
        <v>0</v>
      </c>
      <c r="H60" s="63">
        <v>0</v>
      </c>
      <c r="I60" s="63">
        <v>0</v>
      </c>
      <c r="J60" s="63">
        <v>2806</v>
      </c>
      <c r="K60" s="63">
        <v>2839</v>
      </c>
      <c r="L60" s="63">
        <v>2804</v>
      </c>
      <c r="M60" s="63">
        <v>2805</v>
      </c>
      <c r="N60" s="63">
        <v>2883</v>
      </c>
      <c r="O60" s="63">
        <v>2882</v>
      </c>
      <c r="P60" s="76"/>
      <c r="Q60" s="76" t="s">
        <v>1745</v>
      </c>
    </row>
    <row r="61" spans="1:17" ht="15.75" customHeight="1">
      <c r="A61" s="422">
        <v>43</v>
      </c>
      <c r="B61" s="76" t="s">
        <v>10622</v>
      </c>
      <c r="C61" s="55" t="s">
        <v>10685</v>
      </c>
      <c r="D61" s="63">
        <v>0</v>
      </c>
      <c r="E61" s="63">
        <v>0</v>
      </c>
      <c r="F61" s="63">
        <v>0</v>
      </c>
      <c r="G61" s="63">
        <v>0</v>
      </c>
      <c r="H61" s="63">
        <v>0</v>
      </c>
      <c r="I61" s="63">
        <v>0</v>
      </c>
      <c r="J61" s="63">
        <v>2541</v>
      </c>
      <c r="K61" s="63">
        <v>2622</v>
      </c>
      <c r="L61" s="63">
        <v>2643</v>
      </c>
      <c r="M61" s="63">
        <v>2605</v>
      </c>
      <c r="N61" s="63">
        <v>2688</v>
      </c>
      <c r="O61" s="63">
        <v>2668</v>
      </c>
      <c r="P61" s="76"/>
      <c r="Q61" s="76" t="s">
        <v>1745</v>
      </c>
    </row>
    <row r="62" spans="1:17" ht="15.75" customHeight="1">
      <c r="A62" s="422">
        <v>44</v>
      </c>
      <c r="B62" s="76" t="s">
        <v>10621</v>
      </c>
      <c r="C62" s="55" t="s">
        <v>10686</v>
      </c>
      <c r="D62" s="63">
        <v>0</v>
      </c>
      <c r="E62" s="63">
        <v>0</v>
      </c>
      <c r="F62" s="63">
        <v>0</v>
      </c>
      <c r="G62" s="63">
        <v>0</v>
      </c>
      <c r="H62" s="63">
        <v>0</v>
      </c>
      <c r="I62" s="63">
        <v>0</v>
      </c>
      <c r="J62" s="63">
        <v>2535</v>
      </c>
      <c r="K62" s="63">
        <v>2591</v>
      </c>
      <c r="L62" s="63">
        <v>2609</v>
      </c>
      <c r="M62" s="63">
        <v>2604</v>
      </c>
      <c r="N62" s="63">
        <v>2646</v>
      </c>
      <c r="O62" s="63">
        <v>2653</v>
      </c>
      <c r="P62" s="76"/>
      <c r="Q62" s="76" t="s">
        <v>1745</v>
      </c>
    </row>
    <row r="63" spans="1:17" ht="15.75" customHeight="1">
      <c r="A63" s="422">
        <v>45</v>
      </c>
      <c r="B63" s="76" t="s">
        <v>10620</v>
      </c>
      <c r="C63" s="55" t="s">
        <v>10687</v>
      </c>
      <c r="D63" s="63">
        <v>0</v>
      </c>
      <c r="E63" s="63">
        <v>0</v>
      </c>
      <c r="F63" s="63">
        <v>0</v>
      </c>
      <c r="G63" s="63">
        <v>0</v>
      </c>
      <c r="H63" s="63">
        <v>0</v>
      </c>
      <c r="I63" s="63">
        <v>0</v>
      </c>
      <c r="J63" s="63">
        <v>2618</v>
      </c>
      <c r="K63" s="63">
        <v>2612</v>
      </c>
      <c r="L63" s="63">
        <v>2663</v>
      </c>
      <c r="M63" s="63">
        <v>2640</v>
      </c>
      <c r="N63" s="63">
        <v>2773</v>
      </c>
      <c r="O63" s="63">
        <v>2772</v>
      </c>
      <c r="P63" s="76"/>
      <c r="Q63" s="76" t="s">
        <v>1745</v>
      </c>
    </row>
    <row r="64" spans="1:17" ht="15.75" customHeight="1">
      <c r="A64" s="422">
        <v>46</v>
      </c>
      <c r="B64" s="76" t="s">
        <v>6822</v>
      </c>
      <c r="C64" s="108" t="s">
        <v>14741</v>
      </c>
      <c r="D64" s="63">
        <v>0</v>
      </c>
      <c r="E64" s="63">
        <v>0</v>
      </c>
      <c r="F64" s="63">
        <v>0</v>
      </c>
      <c r="G64" s="63">
        <v>0</v>
      </c>
      <c r="H64" s="63">
        <v>0</v>
      </c>
      <c r="I64" s="63">
        <v>0</v>
      </c>
      <c r="J64" s="63">
        <v>2248</v>
      </c>
      <c r="K64" s="63">
        <v>2269</v>
      </c>
      <c r="L64" s="63">
        <v>2314</v>
      </c>
      <c r="M64" s="63">
        <v>2297</v>
      </c>
      <c r="N64" s="63">
        <v>2386</v>
      </c>
      <c r="O64" s="63">
        <v>2396</v>
      </c>
      <c r="P64" s="76"/>
      <c r="Q64" s="76" t="s">
        <v>1745</v>
      </c>
    </row>
    <row r="65" spans="1:17" ht="15.75" customHeight="1" thickBot="1">
      <c r="A65" s="422"/>
      <c r="B65" s="76"/>
      <c r="C65" s="108" t="s">
        <v>14741</v>
      </c>
      <c r="D65" s="185">
        <v>0</v>
      </c>
      <c r="E65" s="185">
        <v>0</v>
      </c>
      <c r="F65" s="185">
        <v>0</v>
      </c>
      <c r="G65" s="185">
        <v>0</v>
      </c>
      <c r="H65" s="185">
        <v>0</v>
      </c>
      <c r="I65" s="185">
        <v>0</v>
      </c>
      <c r="J65" s="63">
        <v>355</v>
      </c>
      <c r="K65" s="63">
        <v>362</v>
      </c>
      <c r="L65" s="63">
        <v>361</v>
      </c>
      <c r="M65" s="63">
        <v>349</v>
      </c>
      <c r="N65" s="63">
        <v>362</v>
      </c>
      <c r="O65" s="63">
        <v>359</v>
      </c>
      <c r="P65" s="76"/>
      <c r="Q65" s="76" t="s">
        <v>1747</v>
      </c>
    </row>
    <row r="66" spans="1:17" ht="15.75" customHeight="1" thickBot="1">
      <c r="A66" s="422"/>
      <c r="B66" s="76"/>
      <c r="C66" s="108" t="s">
        <v>14741</v>
      </c>
      <c r="D66" s="656">
        <f t="shared" ref="D66:O66" si="15">D64+D65</f>
        <v>0</v>
      </c>
      <c r="E66" s="656">
        <f t="shared" si="15"/>
        <v>0</v>
      </c>
      <c r="F66" s="656">
        <f t="shared" si="15"/>
        <v>0</v>
      </c>
      <c r="G66" s="656">
        <f t="shared" si="15"/>
        <v>0</v>
      </c>
      <c r="H66" s="656">
        <f t="shared" si="15"/>
        <v>0</v>
      </c>
      <c r="I66" s="656">
        <f t="shared" si="15"/>
        <v>0</v>
      </c>
      <c r="J66" s="656">
        <f t="shared" si="15"/>
        <v>2603</v>
      </c>
      <c r="K66" s="656">
        <f t="shared" si="15"/>
        <v>2631</v>
      </c>
      <c r="L66" s="656">
        <f t="shared" si="15"/>
        <v>2675</v>
      </c>
      <c r="M66" s="656">
        <f t="shared" si="15"/>
        <v>2646</v>
      </c>
      <c r="N66" s="656">
        <f t="shared" si="15"/>
        <v>2748</v>
      </c>
      <c r="O66" s="656">
        <f t="shared" si="15"/>
        <v>2755</v>
      </c>
      <c r="P66" s="76"/>
      <c r="Q66" s="76"/>
    </row>
    <row r="67" spans="1:17" ht="15.75" customHeight="1">
      <c r="A67" s="422">
        <v>47</v>
      </c>
      <c r="B67" s="76" t="s">
        <v>6823</v>
      </c>
      <c r="C67" s="108" t="s">
        <v>14742</v>
      </c>
      <c r="D67" s="63">
        <v>0</v>
      </c>
      <c r="E67" s="63">
        <v>0</v>
      </c>
      <c r="F67" s="63">
        <v>0</v>
      </c>
      <c r="G67" s="63">
        <v>0</v>
      </c>
      <c r="H67" s="63">
        <v>0</v>
      </c>
      <c r="I67" s="63">
        <v>0</v>
      </c>
      <c r="J67" s="189">
        <v>2392</v>
      </c>
      <c r="K67" s="63">
        <v>2447</v>
      </c>
      <c r="L67" s="63">
        <v>2451</v>
      </c>
      <c r="M67" s="63">
        <v>2464</v>
      </c>
      <c r="N67" s="63">
        <v>2547</v>
      </c>
      <c r="O67" s="63">
        <v>2551</v>
      </c>
      <c r="P67" s="76"/>
      <c r="Q67" s="76" t="s">
        <v>1747</v>
      </c>
    </row>
    <row r="68" spans="1:17" ht="15.75" customHeight="1">
      <c r="A68" s="422">
        <v>48</v>
      </c>
      <c r="B68" s="76" t="s">
        <v>10619</v>
      </c>
      <c r="C68" s="55" t="s">
        <v>10688</v>
      </c>
      <c r="D68" s="63">
        <v>0</v>
      </c>
      <c r="E68" s="63">
        <v>0</v>
      </c>
      <c r="F68" s="63">
        <v>0</v>
      </c>
      <c r="G68" s="63">
        <v>0</v>
      </c>
      <c r="H68" s="63">
        <v>0</v>
      </c>
      <c r="I68" s="63">
        <v>0</v>
      </c>
      <c r="J68" s="63">
        <v>2658</v>
      </c>
      <c r="K68" s="63">
        <v>2703</v>
      </c>
      <c r="L68" s="63">
        <v>2771</v>
      </c>
      <c r="M68" s="63">
        <v>2790</v>
      </c>
      <c r="N68" s="63">
        <v>2869</v>
      </c>
      <c r="O68" s="63">
        <v>2874</v>
      </c>
      <c r="P68" s="76"/>
      <c r="Q68" s="76" t="s">
        <v>1747</v>
      </c>
    </row>
    <row r="69" spans="1:17" ht="15.75" customHeight="1">
      <c r="A69" s="422">
        <v>49</v>
      </c>
      <c r="B69" s="76" t="s">
        <v>6828</v>
      </c>
      <c r="C69" s="55" t="s">
        <v>10689</v>
      </c>
      <c r="D69" s="63">
        <v>0</v>
      </c>
      <c r="E69" s="63">
        <v>0</v>
      </c>
      <c r="F69" s="63">
        <v>0</v>
      </c>
      <c r="G69" s="63">
        <v>0</v>
      </c>
      <c r="H69" s="63">
        <v>0</v>
      </c>
      <c r="I69" s="63">
        <v>0</v>
      </c>
      <c r="J69" s="63">
        <v>2489</v>
      </c>
      <c r="K69" s="63">
        <v>2504</v>
      </c>
      <c r="L69" s="63">
        <v>2522</v>
      </c>
      <c r="M69" s="63">
        <v>2504</v>
      </c>
      <c r="N69" s="63">
        <v>2519</v>
      </c>
      <c r="O69" s="63">
        <v>2532</v>
      </c>
      <c r="P69" s="76"/>
      <c r="Q69" s="76" t="s">
        <v>1745</v>
      </c>
    </row>
    <row r="70" spans="1:17" ht="15.75" customHeight="1">
      <c r="A70" s="422">
        <v>50</v>
      </c>
      <c r="B70" s="76" t="s">
        <v>10618</v>
      </c>
      <c r="C70" s="55" t="s">
        <v>10690</v>
      </c>
      <c r="D70" s="63">
        <v>0</v>
      </c>
      <c r="E70" s="63">
        <v>0</v>
      </c>
      <c r="F70" s="63">
        <v>0</v>
      </c>
      <c r="G70" s="63">
        <v>0</v>
      </c>
      <c r="H70" s="63">
        <v>0</v>
      </c>
      <c r="I70" s="63">
        <v>0</v>
      </c>
      <c r="J70" s="63">
        <v>2725</v>
      </c>
      <c r="K70" s="63">
        <v>2756</v>
      </c>
      <c r="L70" s="63">
        <v>2791</v>
      </c>
      <c r="M70" s="63">
        <v>2857</v>
      </c>
      <c r="N70" s="63">
        <v>2989</v>
      </c>
      <c r="O70" s="63">
        <v>2999</v>
      </c>
      <c r="P70" s="76"/>
      <c r="Q70" s="76" t="s">
        <v>1747</v>
      </c>
    </row>
    <row r="71" spans="1:17" ht="15.75" customHeight="1">
      <c r="A71" s="422">
        <v>51</v>
      </c>
      <c r="B71" s="76" t="s">
        <v>10617</v>
      </c>
      <c r="C71" s="55" t="s">
        <v>10691</v>
      </c>
      <c r="D71" s="63">
        <v>0</v>
      </c>
      <c r="E71" s="63">
        <v>0</v>
      </c>
      <c r="F71" s="63">
        <v>0</v>
      </c>
      <c r="G71" s="63">
        <v>0</v>
      </c>
      <c r="H71" s="63">
        <v>0</v>
      </c>
      <c r="I71" s="63">
        <v>0</v>
      </c>
      <c r="J71" s="63">
        <v>2463</v>
      </c>
      <c r="K71" s="63">
        <v>2482</v>
      </c>
      <c r="L71" s="63">
        <v>2508</v>
      </c>
      <c r="M71" s="63">
        <v>2496</v>
      </c>
      <c r="N71" s="63">
        <v>2558</v>
      </c>
      <c r="O71" s="63">
        <v>2564</v>
      </c>
      <c r="P71" s="76"/>
      <c r="Q71" s="76" t="s">
        <v>1745</v>
      </c>
    </row>
    <row r="72" spans="1:17" ht="15.75" customHeight="1">
      <c r="A72" s="423">
        <v>52</v>
      </c>
      <c r="B72" s="76" t="s">
        <v>10616</v>
      </c>
      <c r="C72" s="55" t="s">
        <v>10692</v>
      </c>
      <c r="D72" s="63">
        <v>0</v>
      </c>
      <c r="E72" s="63">
        <v>0</v>
      </c>
      <c r="F72" s="63">
        <v>0</v>
      </c>
      <c r="G72" s="63">
        <v>0</v>
      </c>
      <c r="H72" s="63">
        <v>0</v>
      </c>
      <c r="I72" s="63">
        <v>0</v>
      </c>
      <c r="J72" s="63">
        <v>1781</v>
      </c>
      <c r="K72" s="63">
        <v>1782</v>
      </c>
      <c r="L72" s="63">
        <v>1865</v>
      </c>
      <c r="M72" s="63">
        <v>1934</v>
      </c>
      <c r="N72" s="63">
        <v>2089</v>
      </c>
      <c r="O72" s="63">
        <v>2072</v>
      </c>
      <c r="P72" s="76"/>
      <c r="Q72" s="76" t="s">
        <v>1745</v>
      </c>
    </row>
    <row r="73" spans="1:17" ht="15.75" customHeight="1">
      <c r="A73" s="423">
        <v>53</v>
      </c>
      <c r="B73" s="76" t="s">
        <v>10615</v>
      </c>
      <c r="C73" s="55" t="s">
        <v>10693</v>
      </c>
      <c r="D73" s="63">
        <v>0</v>
      </c>
      <c r="E73" s="63">
        <v>0</v>
      </c>
      <c r="F73" s="63">
        <v>0</v>
      </c>
      <c r="G73" s="63">
        <v>0</v>
      </c>
      <c r="H73" s="63">
        <v>0</v>
      </c>
      <c r="I73" s="63">
        <v>0</v>
      </c>
      <c r="J73" s="63">
        <v>2536</v>
      </c>
      <c r="K73" s="63">
        <v>2633</v>
      </c>
      <c r="L73" s="63">
        <v>2677</v>
      </c>
      <c r="M73" s="63">
        <v>2717</v>
      </c>
      <c r="N73" s="63">
        <v>2808</v>
      </c>
      <c r="O73" s="63">
        <v>2806</v>
      </c>
      <c r="P73" s="76"/>
      <c r="Q73" s="76" t="s">
        <v>1745</v>
      </c>
    </row>
    <row r="74" spans="1:17">
      <c r="A74" s="193"/>
      <c r="D74" s="194"/>
      <c r="E74" s="194"/>
      <c r="F74" s="194"/>
      <c r="G74" s="194"/>
      <c r="H74" s="194"/>
      <c r="I74" s="194"/>
      <c r="J74" s="194"/>
      <c r="K74" s="194"/>
      <c r="L74" s="194"/>
    </row>
    <row r="75" spans="1:17">
      <c r="A75" s="193" t="s">
        <v>10694</v>
      </c>
      <c r="D75" s="194"/>
      <c r="E75" s="194"/>
      <c r="F75" s="194"/>
      <c r="G75" s="194"/>
      <c r="H75" s="194"/>
      <c r="I75" s="194"/>
      <c r="J75" s="194"/>
      <c r="K75" s="194"/>
      <c r="L75" s="194"/>
    </row>
    <row r="76" spans="1:17">
      <c r="A76" s="193"/>
      <c r="D76" s="194"/>
      <c r="E76" s="194"/>
      <c r="F76" s="194"/>
      <c r="G76" s="194"/>
      <c r="H76" s="194"/>
      <c r="I76" s="194"/>
      <c r="J76" s="194"/>
      <c r="K76" s="194"/>
      <c r="L76" s="194"/>
    </row>
    <row r="77" spans="1:17">
      <c r="A77" s="193"/>
      <c r="D77" s="194"/>
      <c r="E77" s="194"/>
      <c r="F77" s="194"/>
      <c r="G77" s="194"/>
      <c r="H77" s="194"/>
      <c r="I77" s="194"/>
      <c r="J77" s="194"/>
      <c r="K77" s="194"/>
      <c r="L77" s="194"/>
    </row>
    <row r="78" spans="1:17">
      <c r="A78" s="193"/>
      <c r="D78" s="194"/>
      <c r="E78" s="194"/>
      <c r="F78" s="194"/>
      <c r="G78" s="194"/>
      <c r="H78" s="194"/>
      <c r="I78" s="194"/>
      <c r="J78" s="76"/>
      <c r="K78" s="76"/>
      <c r="L78" s="76"/>
    </row>
    <row r="79" spans="1:17">
      <c r="B79" s="76"/>
      <c r="C79" s="76"/>
      <c r="D79" s="76"/>
      <c r="E79" s="76"/>
      <c r="F79" s="76"/>
      <c r="G79" s="76"/>
      <c r="H79" s="76"/>
      <c r="I79" s="76"/>
      <c r="J79" s="76"/>
      <c r="K79" s="76"/>
      <c r="L79" s="76"/>
      <c r="M79" s="76"/>
      <c r="N79" s="76"/>
      <c r="O79" s="76"/>
      <c r="P79" s="76"/>
      <c r="Q79" s="76"/>
    </row>
    <row r="80" spans="1:17">
      <c r="B80" s="76"/>
      <c r="C80" s="76"/>
      <c r="D80" s="76"/>
      <c r="E80" s="76"/>
      <c r="F80" s="76"/>
      <c r="G80" s="76"/>
      <c r="H80" s="76"/>
      <c r="I80" s="76"/>
      <c r="M80" s="76"/>
      <c r="N80" s="76"/>
      <c r="O80" s="76"/>
      <c r="P80" s="76"/>
      <c r="Q80" s="76"/>
    </row>
  </sheetData>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&amp;C&amp;"Times New Roman,Regular"&amp;8&amp;P of &amp;N</oddFooter>
  </headerFooter>
  <ignoredErrors>
    <ignoredError sqref="D5:D6 E5:E6 F5:F6 G5:G6 H5:H6 I5:I6 D8 E8 F8 G8 H8 I8 D7:I7 D10:D15 E10:E15 F10:F16 G10:G15 H10:H15 I10:I15 D9:I9 J5:J15 K5:K15 L5:L15"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dimension ref="A1:Q366"/>
  <sheetViews>
    <sheetView showGridLines="0" topLeftCell="A349" zoomScale="90" zoomScaleNormal="90" workbookViewId="0">
      <selection activeCell="B359" sqref="B359"/>
    </sheetView>
  </sheetViews>
  <sheetFormatPr defaultColWidth="12.5703125" defaultRowHeight="15"/>
  <cols>
    <col min="1" max="1" width="4.85546875" style="53" customWidth="1"/>
    <col min="2" max="2" width="40.7109375" style="53" customWidth="1"/>
    <col min="3" max="3" width="11.5703125" style="53" customWidth="1"/>
    <col min="4" max="15" width="10" style="53" customWidth="1"/>
    <col min="16" max="16" width="2.28515625" style="53" customWidth="1"/>
    <col min="17" max="17" width="33" style="53" customWidth="1"/>
    <col min="18" max="16384" width="12.5703125" style="53"/>
  </cols>
  <sheetData>
    <row r="1" spans="1:17">
      <c r="A1" s="54" t="s">
        <v>6924</v>
      </c>
      <c r="B1" s="52"/>
      <c r="C1" s="52"/>
      <c r="D1" s="350">
        <v>2010</v>
      </c>
      <c r="E1" s="350">
        <v>2011</v>
      </c>
      <c r="F1" s="350">
        <v>2012</v>
      </c>
      <c r="G1" s="350">
        <v>2013</v>
      </c>
      <c r="H1" s="350">
        <v>2014</v>
      </c>
      <c r="I1" s="350">
        <v>2015</v>
      </c>
      <c r="J1" s="350">
        <v>2016</v>
      </c>
      <c r="K1" s="350">
        <v>2017</v>
      </c>
      <c r="L1" s="350">
        <v>2018</v>
      </c>
      <c r="M1" s="350">
        <v>2019</v>
      </c>
      <c r="N1" s="350">
        <v>2020</v>
      </c>
      <c r="O1" s="944" t="s">
        <v>14823</v>
      </c>
      <c r="P1" s="52"/>
    </row>
    <row r="2" spans="1:17">
      <c r="A2" s="52"/>
      <c r="B2" s="52"/>
      <c r="C2" s="52"/>
      <c r="D2" s="52"/>
      <c r="E2" s="52"/>
      <c r="F2" s="52"/>
      <c r="G2" s="52"/>
      <c r="H2" s="52"/>
      <c r="I2" s="52"/>
      <c r="J2" s="52"/>
      <c r="K2" s="52"/>
      <c r="L2" s="52"/>
      <c r="M2" s="52"/>
      <c r="N2" s="52"/>
      <c r="O2" s="52"/>
      <c r="P2" s="52"/>
      <c r="Q2" s="52"/>
    </row>
    <row r="3" spans="1:17">
      <c r="A3" s="54" t="s">
        <v>951</v>
      </c>
      <c r="B3" s="52"/>
      <c r="C3" s="52"/>
      <c r="D3" s="642">
        <f t="shared" ref="D3:I3" si="0">SUM(D5:D14)</f>
        <v>804931</v>
      </c>
      <c r="E3" s="642">
        <f t="shared" si="0"/>
        <v>811936</v>
      </c>
      <c r="F3" s="642">
        <f t="shared" si="0"/>
        <v>817032</v>
      </c>
      <c r="G3" s="642">
        <f t="shared" si="0"/>
        <v>825185</v>
      </c>
      <c r="H3" s="642">
        <f t="shared" si="0"/>
        <v>827771</v>
      </c>
      <c r="I3" s="642">
        <f t="shared" si="0"/>
        <v>813202</v>
      </c>
      <c r="J3" s="642">
        <f t="shared" ref="J3:O3" si="1">SUM(J5:J14)</f>
        <v>801230</v>
      </c>
      <c r="K3" s="642">
        <f t="shared" si="1"/>
        <v>823011</v>
      </c>
      <c r="L3" s="642">
        <f t="shared" si="1"/>
        <v>825462</v>
      </c>
      <c r="M3" s="642">
        <f t="shared" si="1"/>
        <v>815914</v>
      </c>
      <c r="N3" s="642">
        <f t="shared" si="1"/>
        <v>830811</v>
      </c>
      <c r="O3" s="642">
        <f t="shared" si="1"/>
        <v>841457</v>
      </c>
      <c r="P3" s="52"/>
    </row>
    <row r="4" spans="1:17">
      <c r="A4" s="52"/>
      <c r="B4" s="52"/>
      <c r="C4" s="52"/>
      <c r="D4" s="643"/>
      <c r="E4" s="643"/>
      <c r="F4" s="643"/>
      <c r="G4" s="643"/>
      <c r="H4" s="643"/>
      <c r="I4" s="643"/>
      <c r="J4" s="643"/>
      <c r="K4" s="643"/>
      <c r="L4" s="643"/>
      <c r="M4" s="643"/>
      <c r="N4" s="643"/>
      <c r="O4" s="643"/>
      <c r="P4" s="52"/>
      <c r="Q4" s="52"/>
    </row>
    <row r="5" spans="1:17">
      <c r="A5" s="54" t="s">
        <v>6042</v>
      </c>
      <c r="C5" s="54"/>
      <c r="D5" s="642">
        <f t="shared" ref="D5:I5" si="2">D67</f>
        <v>66975</v>
      </c>
      <c r="E5" s="642">
        <f t="shared" si="2"/>
        <v>67608</v>
      </c>
      <c r="F5" s="642">
        <f t="shared" si="2"/>
        <v>67824</v>
      </c>
      <c r="G5" s="642">
        <f t="shared" si="2"/>
        <v>68539</v>
      </c>
      <c r="H5" s="642">
        <f t="shared" si="2"/>
        <v>69142</v>
      </c>
      <c r="I5" s="642">
        <f t="shared" si="2"/>
        <v>67663</v>
      </c>
      <c r="J5" s="642">
        <f t="shared" ref="J5:O5" si="3">J67</f>
        <v>66150</v>
      </c>
      <c r="K5" s="642">
        <f t="shared" si="3"/>
        <v>68001</v>
      </c>
      <c r="L5" s="642">
        <f t="shared" si="3"/>
        <v>68055</v>
      </c>
      <c r="M5" s="642">
        <f t="shared" si="3"/>
        <v>67572</v>
      </c>
      <c r="N5" s="642">
        <f t="shared" si="3"/>
        <v>67897</v>
      </c>
      <c r="O5" s="642">
        <f t="shared" si="3"/>
        <v>68645</v>
      </c>
      <c r="P5" s="52"/>
      <c r="Q5" s="644"/>
    </row>
    <row r="6" spans="1:17">
      <c r="A6" s="54" t="s">
        <v>6043</v>
      </c>
      <c r="C6" s="54"/>
      <c r="D6" s="642">
        <f t="shared" ref="D6:I6" si="4">D86</f>
        <v>106996</v>
      </c>
      <c r="E6" s="642">
        <f t="shared" si="4"/>
        <v>106844</v>
      </c>
      <c r="F6" s="642">
        <f t="shared" si="4"/>
        <v>107754</v>
      </c>
      <c r="G6" s="642">
        <f t="shared" si="4"/>
        <v>108351</v>
      </c>
      <c r="H6" s="642">
        <f t="shared" si="4"/>
        <v>109027</v>
      </c>
      <c r="I6" s="642">
        <f t="shared" si="4"/>
        <v>106474</v>
      </c>
      <c r="J6" s="642">
        <f t="shared" ref="J6:O6" si="5">J86</f>
        <v>104252</v>
      </c>
      <c r="K6" s="642">
        <f t="shared" si="5"/>
        <v>107820</v>
      </c>
      <c r="L6" s="642">
        <f t="shared" si="5"/>
        <v>108869</v>
      </c>
      <c r="M6" s="642">
        <f t="shared" si="5"/>
        <v>107241</v>
      </c>
      <c r="N6" s="642">
        <f t="shared" si="5"/>
        <v>108859</v>
      </c>
      <c r="O6" s="642">
        <f t="shared" si="5"/>
        <v>110047</v>
      </c>
      <c r="P6" s="52"/>
      <c r="Q6" s="644"/>
    </row>
    <row r="7" spans="1:17">
      <c r="A7" s="54" t="s">
        <v>6044</v>
      </c>
      <c r="C7" s="54"/>
      <c r="D7" s="642">
        <f t="shared" ref="D7:I7" si="6">D121</f>
        <v>101416</v>
      </c>
      <c r="E7" s="642">
        <f t="shared" si="6"/>
        <v>102932</v>
      </c>
      <c r="F7" s="642">
        <f t="shared" si="6"/>
        <v>101872</v>
      </c>
      <c r="G7" s="642">
        <f t="shared" si="6"/>
        <v>103019</v>
      </c>
      <c r="H7" s="642">
        <f t="shared" si="6"/>
        <v>100180</v>
      </c>
      <c r="I7" s="642">
        <f t="shared" si="6"/>
        <v>100388</v>
      </c>
      <c r="J7" s="642">
        <f t="shared" ref="J7:O7" si="7">J121</f>
        <v>101155</v>
      </c>
      <c r="K7" s="642">
        <f t="shared" si="7"/>
        <v>106579</v>
      </c>
      <c r="L7" s="642">
        <f t="shared" si="7"/>
        <v>106632</v>
      </c>
      <c r="M7" s="642">
        <f t="shared" si="7"/>
        <v>105503</v>
      </c>
      <c r="N7" s="642">
        <f t="shared" si="7"/>
        <v>106750</v>
      </c>
      <c r="O7" s="642">
        <f t="shared" si="7"/>
        <v>109008</v>
      </c>
      <c r="P7" s="52"/>
      <c r="Q7" s="644"/>
    </row>
    <row r="8" spans="1:17">
      <c r="A8" s="54" t="s">
        <v>6045</v>
      </c>
      <c r="C8" s="54"/>
      <c r="D8" s="642">
        <f t="shared" ref="D8:I8" si="8">D163</f>
        <v>69438</v>
      </c>
      <c r="E8" s="642">
        <f t="shared" si="8"/>
        <v>70772</v>
      </c>
      <c r="F8" s="642">
        <f t="shared" si="8"/>
        <v>71090</v>
      </c>
      <c r="G8" s="642">
        <f t="shared" si="8"/>
        <v>73045</v>
      </c>
      <c r="H8" s="642">
        <f t="shared" si="8"/>
        <v>75100</v>
      </c>
      <c r="I8" s="642">
        <f t="shared" si="8"/>
        <v>72528</v>
      </c>
      <c r="J8" s="642">
        <f t="shared" ref="J8:O8" si="9">J163</f>
        <v>69825</v>
      </c>
      <c r="K8" s="642">
        <f t="shared" si="9"/>
        <v>71816</v>
      </c>
      <c r="L8" s="642">
        <f t="shared" si="9"/>
        <v>72251</v>
      </c>
      <c r="M8" s="642">
        <f t="shared" si="9"/>
        <v>71293</v>
      </c>
      <c r="N8" s="642">
        <f t="shared" si="9"/>
        <v>72094</v>
      </c>
      <c r="O8" s="642">
        <f t="shared" si="9"/>
        <v>74114</v>
      </c>
      <c r="P8" s="52"/>
      <c r="Q8" s="644"/>
    </row>
    <row r="9" spans="1:17">
      <c r="A9" s="54" t="s">
        <v>6046</v>
      </c>
      <c r="C9" s="54"/>
      <c r="D9" s="642">
        <f t="shared" ref="D9:I9" si="10">D188</f>
        <v>95970</v>
      </c>
      <c r="E9" s="642">
        <f t="shared" si="10"/>
        <v>96462</v>
      </c>
      <c r="F9" s="642">
        <f t="shared" si="10"/>
        <v>96772</v>
      </c>
      <c r="G9" s="642">
        <f t="shared" si="10"/>
        <v>96740</v>
      </c>
      <c r="H9" s="642">
        <f t="shared" si="10"/>
        <v>97721</v>
      </c>
      <c r="I9" s="642">
        <f t="shared" si="10"/>
        <v>96628</v>
      </c>
      <c r="J9" s="642">
        <f t="shared" ref="J9:O9" si="11">J188</f>
        <v>95635</v>
      </c>
      <c r="K9" s="642">
        <f t="shared" si="11"/>
        <v>97253</v>
      </c>
      <c r="L9" s="642">
        <f t="shared" si="11"/>
        <v>97645</v>
      </c>
      <c r="M9" s="642">
        <f t="shared" si="11"/>
        <v>96180</v>
      </c>
      <c r="N9" s="642">
        <f t="shared" si="11"/>
        <v>99559</v>
      </c>
      <c r="O9" s="642">
        <f t="shared" si="11"/>
        <v>98802</v>
      </c>
      <c r="P9" s="52"/>
      <c r="Q9" s="644"/>
    </row>
    <row r="10" spans="1:17">
      <c r="A10" s="54" t="s">
        <v>5295</v>
      </c>
      <c r="C10" s="54"/>
      <c r="D10" s="642">
        <f t="shared" ref="D10:I10" si="12">D223</f>
        <v>101579</v>
      </c>
      <c r="E10" s="642">
        <f t="shared" si="12"/>
        <v>102152</v>
      </c>
      <c r="F10" s="642">
        <f t="shared" si="12"/>
        <v>102727</v>
      </c>
      <c r="G10" s="642">
        <f t="shared" si="12"/>
        <v>103311</v>
      </c>
      <c r="H10" s="642">
        <f t="shared" si="12"/>
        <v>103840</v>
      </c>
      <c r="I10" s="642">
        <f t="shared" si="12"/>
        <v>103176</v>
      </c>
      <c r="J10" s="642">
        <f t="shared" ref="J10:O10" si="13">J223</f>
        <v>101652</v>
      </c>
      <c r="K10" s="642">
        <f t="shared" si="13"/>
        <v>104112</v>
      </c>
      <c r="L10" s="642">
        <f t="shared" si="13"/>
        <v>104118</v>
      </c>
      <c r="M10" s="642">
        <f t="shared" si="13"/>
        <v>103039</v>
      </c>
      <c r="N10" s="642">
        <f t="shared" si="13"/>
        <v>106307</v>
      </c>
      <c r="O10" s="642">
        <f t="shared" si="13"/>
        <v>107017</v>
      </c>
      <c r="P10" s="52"/>
      <c r="Q10" s="644"/>
    </row>
    <row r="11" spans="1:17">
      <c r="A11" s="54" t="s">
        <v>5329</v>
      </c>
      <c r="C11" s="54"/>
      <c r="D11" s="642">
        <f t="shared" ref="D11:I11" si="14">D258</f>
        <v>59801</v>
      </c>
      <c r="E11" s="642">
        <f t="shared" si="14"/>
        <v>61203</v>
      </c>
      <c r="F11" s="642">
        <f t="shared" si="14"/>
        <v>61966</v>
      </c>
      <c r="G11" s="642">
        <f t="shared" si="14"/>
        <v>62835</v>
      </c>
      <c r="H11" s="642">
        <f t="shared" si="14"/>
        <v>62262</v>
      </c>
      <c r="I11" s="642">
        <f t="shared" si="14"/>
        <v>61680</v>
      </c>
      <c r="J11" s="642">
        <f t="shared" ref="J11:O11" si="15">J258</f>
        <v>59620</v>
      </c>
      <c r="K11" s="642">
        <f t="shared" si="15"/>
        <v>61384</v>
      </c>
      <c r="L11" s="642">
        <f t="shared" si="15"/>
        <v>61566</v>
      </c>
      <c r="M11" s="642">
        <f t="shared" si="15"/>
        <v>60898</v>
      </c>
      <c r="N11" s="642">
        <f t="shared" si="15"/>
        <v>62266</v>
      </c>
      <c r="O11" s="642">
        <f t="shared" si="15"/>
        <v>62071</v>
      </c>
      <c r="P11" s="52"/>
      <c r="Q11" s="644"/>
    </row>
    <row r="12" spans="1:17">
      <c r="A12" s="54" t="s">
        <v>5330</v>
      </c>
      <c r="C12" s="54"/>
      <c r="D12" s="642">
        <f t="shared" ref="D12:I12" si="16">D284</f>
        <v>64499</v>
      </c>
      <c r="E12" s="642">
        <f t="shared" si="16"/>
        <v>64926</v>
      </c>
      <c r="F12" s="642">
        <f t="shared" si="16"/>
        <v>65668</v>
      </c>
      <c r="G12" s="642">
        <f t="shared" si="16"/>
        <v>66415</v>
      </c>
      <c r="H12" s="642">
        <f t="shared" si="16"/>
        <v>66463</v>
      </c>
      <c r="I12" s="642">
        <f t="shared" si="16"/>
        <v>65252</v>
      </c>
      <c r="J12" s="642">
        <f t="shared" ref="J12:O12" si="17">J284</f>
        <v>66161</v>
      </c>
      <c r="K12" s="642">
        <f t="shared" si="17"/>
        <v>66556</v>
      </c>
      <c r="L12" s="642">
        <f t="shared" si="17"/>
        <v>66644</v>
      </c>
      <c r="M12" s="642">
        <f t="shared" si="17"/>
        <v>65809</v>
      </c>
      <c r="N12" s="642">
        <f t="shared" si="17"/>
        <v>66741</v>
      </c>
      <c r="O12" s="642">
        <f t="shared" si="17"/>
        <v>67500</v>
      </c>
      <c r="P12" s="52"/>
      <c r="Q12" s="644"/>
    </row>
    <row r="13" spans="1:17">
      <c r="A13" s="54" t="s">
        <v>5331</v>
      </c>
      <c r="C13" s="54"/>
      <c r="D13" s="642">
        <f t="shared" ref="D13:I13" si="18">D316</f>
        <v>62277</v>
      </c>
      <c r="E13" s="642">
        <f t="shared" si="18"/>
        <v>63007</v>
      </c>
      <c r="F13" s="642">
        <f t="shared" si="18"/>
        <v>64042</v>
      </c>
      <c r="G13" s="642">
        <f t="shared" si="18"/>
        <v>64822</v>
      </c>
      <c r="H13" s="642">
        <f t="shared" si="18"/>
        <v>65767</v>
      </c>
      <c r="I13" s="642">
        <f t="shared" si="18"/>
        <v>63950</v>
      </c>
      <c r="J13" s="642">
        <f t="shared" ref="J13:O13" si="19">J316</f>
        <v>63484</v>
      </c>
      <c r="K13" s="642">
        <f t="shared" si="19"/>
        <v>63683</v>
      </c>
      <c r="L13" s="642">
        <f t="shared" si="19"/>
        <v>63574</v>
      </c>
      <c r="M13" s="642">
        <f t="shared" si="19"/>
        <v>63011</v>
      </c>
      <c r="N13" s="642">
        <f t="shared" si="19"/>
        <v>64879</v>
      </c>
      <c r="O13" s="642">
        <f t="shared" si="19"/>
        <v>64964</v>
      </c>
      <c r="P13" s="52"/>
      <c r="Q13" s="644"/>
    </row>
    <row r="14" spans="1:17">
      <c r="A14" s="54" t="s">
        <v>5332</v>
      </c>
      <c r="C14" s="54"/>
      <c r="D14" s="642">
        <f t="shared" ref="D14:I14" si="20">D337</f>
        <v>75980</v>
      </c>
      <c r="E14" s="642">
        <f t="shared" si="20"/>
        <v>76030</v>
      </c>
      <c r="F14" s="642">
        <f t="shared" si="20"/>
        <v>77317</v>
      </c>
      <c r="G14" s="642">
        <f t="shared" si="20"/>
        <v>78108</v>
      </c>
      <c r="H14" s="642">
        <f t="shared" si="20"/>
        <v>78269</v>
      </c>
      <c r="I14" s="642">
        <f t="shared" si="20"/>
        <v>75463</v>
      </c>
      <c r="J14" s="642">
        <f t="shared" ref="J14:O14" si="21">J337</f>
        <v>73296</v>
      </c>
      <c r="K14" s="642">
        <f t="shared" si="21"/>
        <v>75807</v>
      </c>
      <c r="L14" s="642">
        <f t="shared" si="21"/>
        <v>76108</v>
      </c>
      <c r="M14" s="642">
        <f t="shared" si="21"/>
        <v>75368</v>
      </c>
      <c r="N14" s="642">
        <f t="shared" si="21"/>
        <v>75459</v>
      </c>
      <c r="O14" s="642">
        <f t="shared" si="21"/>
        <v>79289</v>
      </c>
      <c r="P14" s="52"/>
      <c r="Q14" s="644"/>
    </row>
    <row r="15" spans="1:17">
      <c r="A15" s="52"/>
      <c r="B15" s="52"/>
      <c r="C15" s="52"/>
      <c r="D15" s="52"/>
      <c r="E15" s="52"/>
      <c r="F15" s="52"/>
      <c r="G15" s="52"/>
      <c r="H15" s="52"/>
      <c r="I15" s="52"/>
      <c r="J15" s="52"/>
      <c r="K15" s="52"/>
      <c r="L15" s="52"/>
      <c r="M15" s="52"/>
      <c r="N15" s="52"/>
      <c r="O15" s="52"/>
      <c r="P15" s="52"/>
      <c r="Q15" s="52"/>
    </row>
    <row r="16" spans="1:17">
      <c r="A16" s="54" t="s">
        <v>5333</v>
      </c>
      <c r="B16" s="52"/>
      <c r="C16" s="52"/>
      <c r="D16" s="642">
        <f t="shared" ref="D16:I16" si="22">D3/11</f>
        <v>73175.545454545456</v>
      </c>
      <c r="E16" s="642">
        <f t="shared" si="22"/>
        <v>73812.363636363632</v>
      </c>
      <c r="F16" s="642">
        <f t="shared" si="22"/>
        <v>74275.636363636368</v>
      </c>
      <c r="G16" s="642">
        <f t="shared" si="22"/>
        <v>75016.818181818177</v>
      </c>
      <c r="H16" s="642">
        <f t="shared" si="22"/>
        <v>75251.909090909088</v>
      </c>
      <c r="I16" s="642">
        <f t="shared" si="22"/>
        <v>73927.454545454544</v>
      </c>
      <c r="J16" s="642">
        <f t="shared" ref="J16:O16" si="23">J3/11</f>
        <v>72839.090909090912</v>
      </c>
      <c r="K16" s="642">
        <f t="shared" si="23"/>
        <v>74819.181818181823</v>
      </c>
      <c r="L16" s="642">
        <f t="shared" si="23"/>
        <v>75042</v>
      </c>
      <c r="M16" s="642">
        <f t="shared" si="23"/>
        <v>74174</v>
      </c>
      <c r="N16" s="642">
        <f t="shared" si="23"/>
        <v>75528.272727272721</v>
      </c>
      <c r="O16" s="642">
        <f t="shared" si="23"/>
        <v>76496.090909090912</v>
      </c>
      <c r="P16" s="52"/>
      <c r="Q16" s="52"/>
    </row>
    <row r="17" spans="1:17">
      <c r="A17" s="52"/>
      <c r="B17" s="52"/>
      <c r="C17" s="52"/>
      <c r="D17" s="643"/>
      <c r="E17" s="643"/>
      <c r="F17" s="643"/>
      <c r="G17" s="643"/>
      <c r="H17" s="643"/>
      <c r="I17" s="643"/>
      <c r="J17" s="643"/>
      <c r="K17" s="643"/>
      <c r="L17" s="643"/>
      <c r="M17" s="643"/>
      <c r="N17" s="643"/>
      <c r="O17" s="643"/>
      <c r="P17" s="52"/>
      <c r="Q17" s="52"/>
    </row>
    <row r="18" spans="1:17">
      <c r="A18" s="54" t="s">
        <v>5334</v>
      </c>
      <c r="D18" s="642">
        <f t="shared" ref="D18:I18" si="24">D79</f>
        <v>66975</v>
      </c>
      <c r="E18" s="642">
        <f t="shared" si="24"/>
        <v>67608</v>
      </c>
      <c r="F18" s="642">
        <f t="shared" si="24"/>
        <v>67824</v>
      </c>
      <c r="G18" s="642">
        <f t="shared" si="24"/>
        <v>68539</v>
      </c>
      <c r="H18" s="642">
        <f t="shared" si="24"/>
        <v>69142</v>
      </c>
      <c r="I18" s="642">
        <f t="shared" si="24"/>
        <v>67663</v>
      </c>
      <c r="J18" s="642">
        <f t="shared" ref="J18:O18" si="25">J79</f>
        <v>66150</v>
      </c>
      <c r="K18" s="642">
        <f t="shared" si="25"/>
        <v>68001</v>
      </c>
      <c r="L18" s="642">
        <f t="shared" si="25"/>
        <v>68055</v>
      </c>
      <c r="M18" s="642">
        <f t="shared" si="25"/>
        <v>67572</v>
      </c>
      <c r="N18" s="642">
        <f t="shared" si="25"/>
        <v>67897</v>
      </c>
      <c r="O18" s="642">
        <f t="shared" si="25"/>
        <v>68645</v>
      </c>
      <c r="P18" s="52"/>
      <c r="Q18" s="54" t="s">
        <v>1000</v>
      </c>
    </row>
    <row r="19" spans="1:17" ht="15.75" thickBot="1">
      <c r="A19" s="52"/>
      <c r="D19" s="645">
        <f t="shared" ref="D19:I19" si="26">D357</f>
        <v>4249</v>
      </c>
      <c r="E19" s="645">
        <f t="shared" si="26"/>
        <v>4264</v>
      </c>
      <c r="F19" s="645">
        <f t="shared" si="26"/>
        <v>4309</v>
      </c>
      <c r="G19" s="645">
        <f t="shared" si="26"/>
        <v>4397</v>
      </c>
      <c r="H19" s="645">
        <f t="shared" si="26"/>
        <v>4421</v>
      </c>
      <c r="I19" s="645">
        <f t="shared" si="26"/>
        <v>4345</v>
      </c>
      <c r="J19" s="645">
        <f t="shared" ref="J19:O19" si="27">J357</f>
        <v>4270</v>
      </c>
      <c r="K19" s="645">
        <f t="shared" si="27"/>
        <v>4357</v>
      </c>
      <c r="L19" s="645">
        <f t="shared" si="27"/>
        <v>4376</v>
      </c>
      <c r="M19" s="645">
        <f t="shared" si="27"/>
        <v>4322</v>
      </c>
      <c r="N19" s="645">
        <f t="shared" si="27"/>
        <v>4254</v>
      </c>
      <c r="O19" s="645">
        <f t="shared" si="27"/>
        <v>4387</v>
      </c>
      <c r="P19" s="52"/>
      <c r="Q19" s="54" t="s">
        <v>5312</v>
      </c>
    </row>
    <row r="20" spans="1:17" ht="15.75" thickBot="1">
      <c r="A20" s="52"/>
      <c r="D20" s="645">
        <f t="shared" ref="D20:I20" si="28">SUM(D18:D19)</f>
        <v>71224</v>
      </c>
      <c r="E20" s="645">
        <f t="shared" si="28"/>
        <v>71872</v>
      </c>
      <c r="F20" s="645">
        <f t="shared" si="28"/>
        <v>72133</v>
      </c>
      <c r="G20" s="645">
        <f t="shared" si="28"/>
        <v>72936</v>
      </c>
      <c r="H20" s="645">
        <f t="shared" si="28"/>
        <v>73563</v>
      </c>
      <c r="I20" s="645">
        <f t="shared" si="28"/>
        <v>72008</v>
      </c>
      <c r="J20" s="645">
        <f t="shared" ref="J20:O20" si="29">SUM(J18:J19)</f>
        <v>70420</v>
      </c>
      <c r="K20" s="645">
        <f t="shared" si="29"/>
        <v>72358</v>
      </c>
      <c r="L20" s="645">
        <f t="shared" si="29"/>
        <v>72431</v>
      </c>
      <c r="M20" s="645">
        <f t="shared" si="29"/>
        <v>71894</v>
      </c>
      <c r="N20" s="645">
        <f t="shared" si="29"/>
        <v>72151</v>
      </c>
      <c r="O20" s="645">
        <f t="shared" si="29"/>
        <v>73032</v>
      </c>
      <c r="P20" s="52"/>
      <c r="Q20" s="52"/>
    </row>
    <row r="21" spans="1:17">
      <c r="A21" s="52"/>
      <c r="D21" s="643"/>
      <c r="E21" s="643"/>
      <c r="F21" s="643"/>
      <c r="G21" s="643"/>
      <c r="H21" s="643"/>
      <c r="I21" s="643"/>
      <c r="J21" s="643"/>
      <c r="K21" s="643"/>
      <c r="L21" s="643"/>
      <c r="M21" s="643"/>
      <c r="N21" s="643"/>
      <c r="O21" s="643"/>
      <c r="P21" s="52"/>
      <c r="Q21" s="52"/>
    </row>
    <row r="22" spans="1:17">
      <c r="A22" s="54" t="s">
        <v>5313</v>
      </c>
      <c r="D22" s="642">
        <f t="shared" ref="D22:I22" si="30">D113</f>
        <v>72682</v>
      </c>
      <c r="E22" s="642">
        <f t="shared" si="30"/>
        <v>72561</v>
      </c>
      <c r="F22" s="642">
        <f t="shared" si="30"/>
        <v>73382</v>
      </c>
      <c r="G22" s="642">
        <f t="shared" si="30"/>
        <v>73848</v>
      </c>
      <c r="H22" s="642">
        <f t="shared" si="30"/>
        <v>74445</v>
      </c>
      <c r="I22" s="642">
        <f t="shared" si="30"/>
        <v>72388</v>
      </c>
      <c r="J22" s="642">
        <f t="shared" ref="J22:O22" si="31">J113</f>
        <v>70695</v>
      </c>
      <c r="K22" s="642">
        <f t="shared" si="31"/>
        <v>73051</v>
      </c>
      <c r="L22" s="642">
        <f t="shared" si="31"/>
        <v>73736</v>
      </c>
      <c r="M22" s="642">
        <f t="shared" si="31"/>
        <v>72667</v>
      </c>
      <c r="N22" s="642">
        <f t="shared" si="31"/>
        <v>73715</v>
      </c>
      <c r="O22" s="642">
        <f t="shared" si="31"/>
        <v>74535</v>
      </c>
      <c r="P22" s="52"/>
      <c r="Q22" s="54" t="s">
        <v>5314</v>
      </c>
    </row>
    <row r="23" spans="1:17">
      <c r="A23" s="52"/>
      <c r="D23" s="643"/>
      <c r="E23" s="643"/>
      <c r="F23" s="643"/>
      <c r="G23" s="643"/>
      <c r="H23" s="643"/>
      <c r="I23" s="643"/>
      <c r="J23" s="643"/>
      <c r="K23" s="643"/>
      <c r="L23" s="643"/>
      <c r="M23" s="643"/>
      <c r="N23" s="643"/>
      <c r="O23" s="643"/>
      <c r="P23" s="52"/>
      <c r="Q23" s="52"/>
    </row>
    <row r="24" spans="1:17">
      <c r="A24" s="54" t="s">
        <v>5315</v>
      </c>
      <c r="D24" s="642">
        <f t="shared" ref="D24:I24" si="32">D153</f>
        <v>78211</v>
      </c>
      <c r="E24" s="642">
        <f t="shared" si="32"/>
        <v>79255</v>
      </c>
      <c r="F24" s="642">
        <f t="shared" si="32"/>
        <v>78458</v>
      </c>
      <c r="G24" s="642">
        <f t="shared" si="32"/>
        <v>79321</v>
      </c>
      <c r="H24" s="642">
        <f t="shared" si="32"/>
        <v>77195</v>
      </c>
      <c r="I24" s="642">
        <f t="shared" si="32"/>
        <v>77258</v>
      </c>
      <c r="J24" s="642">
        <f t="shared" ref="J24:O24" si="33">J153</f>
        <v>77196</v>
      </c>
      <c r="K24" s="642">
        <f t="shared" si="33"/>
        <v>81240</v>
      </c>
      <c r="L24" s="642">
        <f t="shared" si="33"/>
        <v>81051</v>
      </c>
      <c r="M24" s="642">
        <f t="shared" si="33"/>
        <v>79758</v>
      </c>
      <c r="N24" s="642">
        <f t="shared" si="33"/>
        <v>80496</v>
      </c>
      <c r="O24" s="642">
        <f t="shared" si="33"/>
        <v>82205</v>
      </c>
      <c r="P24" s="52"/>
      <c r="Q24" s="54" t="s">
        <v>5316</v>
      </c>
    </row>
    <row r="25" spans="1:17">
      <c r="A25" s="52"/>
      <c r="D25" s="643"/>
      <c r="E25" s="643"/>
      <c r="F25" s="643"/>
      <c r="G25" s="643"/>
      <c r="H25" s="643"/>
      <c r="I25" s="643"/>
      <c r="J25" s="643"/>
      <c r="K25" s="643"/>
      <c r="L25" s="643"/>
      <c r="M25" s="643"/>
      <c r="N25" s="643"/>
      <c r="O25" s="643"/>
      <c r="P25" s="52"/>
      <c r="Q25" s="52"/>
    </row>
    <row r="26" spans="1:17">
      <c r="A26" s="54" t="s">
        <v>5317</v>
      </c>
      <c r="D26" s="642">
        <f t="shared" ref="D26:I26" si="34">D181</f>
        <v>69438</v>
      </c>
      <c r="E26" s="642">
        <f t="shared" si="34"/>
        <v>70772</v>
      </c>
      <c r="F26" s="642">
        <f t="shared" si="34"/>
        <v>71090</v>
      </c>
      <c r="G26" s="642">
        <f t="shared" si="34"/>
        <v>73045</v>
      </c>
      <c r="H26" s="642">
        <f t="shared" si="34"/>
        <v>75100</v>
      </c>
      <c r="I26" s="642">
        <f t="shared" si="34"/>
        <v>72528</v>
      </c>
      <c r="J26" s="642">
        <f t="shared" ref="J26:O26" si="35">J181</f>
        <v>69825</v>
      </c>
      <c r="K26" s="642">
        <f t="shared" si="35"/>
        <v>71816</v>
      </c>
      <c r="L26" s="642">
        <f t="shared" si="35"/>
        <v>72251</v>
      </c>
      <c r="M26" s="642">
        <f t="shared" si="35"/>
        <v>71293</v>
      </c>
      <c r="N26" s="642">
        <f t="shared" si="35"/>
        <v>72094</v>
      </c>
      <c r="O26" s="642">
        <f t="shared" si="35"/>
        <v>74114</v>
      </c>
      <c r="P26" s="52"/>
      <c r="Q26" s="54" t="s">
        <v>946</v>
      </c>
    </row>
    <row r="27" spans="1:17">
      <c r="A27" s="52"/>
      <c r="D27" s="643"/>
      <c r="E27" s="643"/>
      <c r="F27" s="643"/>
      <c r="G27" s="643"/>
      <c r="H27" s="643"/>
      <c r="I27" s="643"/>
      <c r="J27" s="643"/>
      <c r="K27" s="643"/>
      <c r="L27" s="643"/>
      <c r="M27" s="643"/>
      <c r="N27" s="643"/>
      <c r="O27" s="643"/>
      <c r="P27" s="52"/>
      <c r="Q27" s="52"/>
    </row>
    <row r="28" spans="1:17">
      <c r="A28" s="54" t="s">
        <v>5318</v>
      </c>
      <c r="D28" s="642">
        <f t="shared" ref="D28:I28" si="36">D214</f>
        <v>39035</v>
      </c>
      <c r="E28" s="642">
        <f t="shared" si="36"/>
        <v>39327</v>
      </c>
      <c r="F28" s="642">
        <f t="shared" si="36"/>
        <v>39310</v>
      </c>
      <c r="G28" s="642">
        <f t="shared" si="36"/>
        <v>39222</v>
      </c>
      <c r="H28" s="642">
        <f t="shared" si="36"/>
        <v>39595</v>
      </c>
      <c r="I28" s="642">
        <f t="shared" si="36"/>
        <v>39212</v>
      </c>
      <c r="J28" s="642">
        <f t="shared" ref="J28:O28" si="37">J214</f>
        <v>38925</v>
      </c>
      <c r="K28" s="642">
        <f t="shared" si="37"/>
        <v>39607</v>
      </c>
      <c r="L28" s="642">
        <f t="shared" si="37"/>
        <v>39707</v>
      </c>
      <c r="M28" s="642">
        <f t="shared" si="37"/>
        <v>39294</v>
      </c>
      <c r="N28" s="642">
        <f t="shared" si="37"/>
        <v>40784</v>
      </c>
      <c r="O28" s="642">
        <f t="shared" si="37"/>
        <v>40457</v>
      </c>
      <c r="P28" s="52"/>
      <c r="Q28" s="54" t="s">
        <v>5319</v>
      </c>
    </row>
    <row r="29" spans="1:17" ht="15.75" thickBot="1">
      <c r="A29" s="52"/>
      <c r="D29" s="645">
        <f t="shared" ref="D29:I29" si="38">D247</f>
        <v>34776</v>
      </c>
      <c r="E29" s="645">
        <f t="shared" si="38"/>
        <v>34862</v>
      </c>
      <c r="F29" s="645">
        <f t="shared" si="38"/>
        <v>34932</v>
      </c>
      <c r="G29" s="645">
        <f t="shared" si="38"/>
        <v>35131</v>
      </c>
      <c r="H29" s="645">
        <f t="shared" si="38"/>
        <v>35031</v>
      </c>
      <c r="I29" s="645">
        <f t="shared" si="38"/>
        <v>34861</v>
      </c>
      <c r="J29" s="645">
        <f t="shared" ref="J29:O29" si="39">J247</f>
        <v>34553</v>
      </c>
      <c r="K29" s="645">
        <f t="shared" si="39"/>
        <v>35321</v>
      </c>
      <c r="L29" s="645">
        <f t="shared" si="39"/>
        <v>35346</v>
      </c>
      <c r="M29" s="645">
        <f t="shared" si="39"/>
        <v>35080</v>
      </c>
      <c r="N29" s="645">
        <f t="shared" si="39"/>
        <v>35908</v>
      </c>
      <c r="O29" s="645">
        <f t="shared" si="39"/>
        <v>36136</v>
      </c>
      <c r="P29" s="52"/>
      <c r="Q29" s="54" t="s">
        <v>5320</v>
      </c>
    </row>
    <row r="30" spans="1:17" ht="15.75" thickBot="1">
      <c r="A30" s="52"/>
      <c r="D30" s="645">
        <f t="shared" ref="D30:I30" si="40">SUM(D28:D29)</f>
        <v>73811</v>
      </c>
      <c r="E30" s="645">
        <f t="shared" si="40"/>
        <v>74189</v>
      </c>
      <c r="F30" s="645">
        <f t="shared" si="40"/>
        <v>74242</v>
      </c>
      <c r="G30" s="645">
        <f t="shared" si="40"/>
        <v>74353</v>
      </c>
      <c r="H30" s="645">
        <f t="shared" si="40"/>
        <v>74626</v>
      </c>
      <c r="I30" s="645">
        <f t="shared" si="40"/>
        <v>74073</v>
      </c>
      <c r="J30" s="645">
        <f t="shared" ref="J30:O30" si="41">SUM(J28:J29)</f>
        <v>73478</v>
      </c>
      <c r="K30" s="645">
        <f t="shared" si="41"/>
        <v>74928</v>
      </c>
      <c r="L30" s="645">
        <f t="shared" si="41"/>
        <v>75053</v>
      </c>
      <c r="M30" s="645">
        <f t="shared" si="41"/>
        <v>74374</v>
      </c>
      <c r="N30" s="645">
        <f t="shared" si="41"/>
        <v>76692</v>
      </c>
      <c r="O30" s="645">
        <f t="shared" si="41"/>
        <v>76593</v>
      </c>
      <c r="P30" s="52"/>
      <c r="Q30" s="52"/>
    </row>
    <row r="31" spans="1:17">
      <c r="A31" s="52"/>
      <c r="D31" s="643"/>
      <c r="E31" s="643"/>
      <c r="F31" s="643"/>
      <c r="G31" s="643"/>
      <c r="H31" s="643"/>
      <c r="I31" s="643"/>
      <c r="J31" s="643"/>
      <c r="K31" s="643"/>
      <c r="L31" s="643"/>
      <c r="M31" s="643"/>
      <c r="N31" s="643"/>
      <c r="O31" s="643"/>
      <c r="P31" s="52"/>
      <c r="Q31" s="52"/>
    </row>
    <row r="32" spans="1:17">
      <c r="A32" s="54" t="s">
        <v>5321</v>
      </c>
      <c r="D32" s="642">
        <f t="shared" ref="D32:I32" si="42">D154</f>
        <v>21297</v>
      </c>
      <c r="E32" s="642">
        <f t="shared" si="42"/>
        <v>21740</v>
      </c>
      <c r="F32" s="642">
        <f t="shared" si="42"/>
        <v>21488</v>
      </c>
      <c r="G32" s="642">
        <f t="shared" si="42"/>
        <v>21741</v>
      </c>
      <c r="H32" s="642">
        <f t="shared" si="42"/>
        <v>21059</v>
      </c>
      <c r="I32" s="642">
        <f t="shared" si="42"/>
        <v>21212</v>
      </c>
      <c r="J32" s="642">
        <f t="shared" ref="J32:O32" si="43">J154</f>
        <v>22048</v>
      </c>
      <c r="K32" s="642">
        <f t="shared" si="43"/>
        <v>23391</v>
      </c>
      <c r="L32" s="642">
        <f t="shared" si="43"/>
        <v>23629</v>
      </c>
      <c r="M32" s="642">
        <f t="shared" si="43"/>
        <v>23819</v>
      </c>
      <c r="N32" s="642">
        <f t="shared" si="43"/>
        <v>24325</v>
      </c>
      <c r="O32" s="642">
        <f t="shared" si="43"/>
        <v>24830</v>
      </c>
      <c r="P32" s="52"/>
      <c r="Q32" s="54" t="s">
        <v>5316</v>
      </c>
    </row>
    <row r="33" spans="1:17">
      <c r="A33" s="52"/>
      <c r="D33" s="646">
        <f t="shared" ref="D33:I33" si="44">D215</f>
        <v>50696</v>
      </c>
      <c r="E33" s="646">
        <f t="shared" si="44"/>
        <v>50918</v>
      </c>
      <c r="F33" s="646">
        <f t="shared" si="44"/>
        <v>51241</v>
      </c>
      <c r="G33" s="646">
        <f t="shared" si="44"/>
        <v>51309</v>
      </c>
      <c r="H33" s="646">
        <f t="shared" si="44"/>
        <v>51895</v>
      </c>
      <c r="I33" s="646">
        <f t="shared" si="44"/>
        <v>51271</v>
      </c>
      <c r="J33" s="646">
        <f t="shared" ref="J33:O33" si="45">J215</f>
        <v>50681</v>
      </c>
      <c r="K33" s="646">
        <f t="shared" si="45"/>
        <v>51423</v>
      </c>
      <c r="L33" s="646">
        <f t="shared" si="45"/>
        <v>51692</v>
      </c>
      <c r="M33" s="646">
        <f t="shared" si="45"/>
        <v>50716</v>
      </c>
      <c r="N33" s="646">
        <f t="shared" si="45"/>
        <v>52375</v>
      </c>
      <c r="O33" s="646">
        <f t="shared" si="45"/>
        <v>52019</v>
      </c>
      <c r="P33" s="52"/>
      <c r="Q33" s="54" t="s">
        <v>5319</v>
      </c>
    </row>
    <row r="34" spans="1:17" ht="15.75" thickBot="1">
      <c r="A34" s="52"/>
      <c r="D34" s="645">
        <f t="shared" ref="D34:O34" si="46">D275</f>
        <v>0</v>
      </c>
      <c r="E34" s="645">
        <f t="shared" si="46"/>
        <v>0</v>
      </c>
      <c r="F34" s="645">
        <f t="shared" si="46"/>
        <v>0</v>
      </c>
      <c r="G34" s="645">
        <f t="shared" si="46"/>
        <v>0</v>
      </c>
      <c r="H34" s="645">
        <f t="shared" si="46"/>
        <v>41</v>
      </c>
      <c r="I34" s="645">
        <f t="shared" si="46"/>
        <v>37</v>
      </c>
      <c r="J34" s="645">
        <f t="shared" si="46"/>
        <v>40</v>
      </c>
      <c r="K34" s="645">
        <f t="shared" si="46"/>
        <v>37</v>
      </c>
      <c r="L34" s="645">
        <f t="shared" si="46"/>
        <v>35</v>
      </c>
      <c r="M34" s="645">
        <f t="shared" si="46"/>
        <v>0</v>
      </c>
      <c r="N34" s="645">
        <f t="shared" si="46"/>
        <v>0</v>
      </c>
      <c r="O34" s="645">
        <f t="shared" si="46"/>
        <v>0</v>
      </c>
      <c r="P34" s="52"/>
      <c r="Q34" s="54" t="s">
        <v>9498</v>
      </c>
    </row>
    <row r="35" spans="1:17" ht="15.75" thickBot="1">
      <c r="A35" s="52"/>
      <c r="D35" s="645">
        <f t="shared" ref="D35:O35" si="47">SUM(D32:D34)</f>
        <v>71993</v>
      </c>
      <c r="E35" s="645">
        <f t="shared" si="47"/>
        <v>72658</v>
      </c>
      <c r="F35" s="645">
        <f t="shared" si="47"/>
        <v>72729</v>
      </c>
      <c r="G35" s="645">
        <f t="shared" si="47"/>
        <v>73050</v>
      </c>
      <c r="H35" s="645">
        <f t="shared" si="47"/>
        <v>72995</v>
      </c>
      <c r="I35" s="645">
        <f t="shared" si="47"/>
        <v>72520</v>
      </c>
      <c r="J35" s="645">
        <f t="shared" si="47"/>
        <v>72769</v>
      </c>
      <c r="K35" s="645">
        <f t="shared" si="47"/>
        <v>74851</v>
      </c>
      <c r="L35" s="645">
        <f t="shared" si="47"/>
        <v>75356</v>
      </c>
      <c r="M35" s="645">
        <f t="shared" si="47"/>
        <v>74535</v>
      </c>
      <c r="N35" s="645">
        <f t="shared" si="47"/>
        <v>76700</v>
      </c>
      <c r="O35" s="645">
        <f t="shared" si="47"/>
        <v>76849</v>
      </c>
      <c r="P35" s="52"/>
      <c r="Q35" s="52"/>
    </row>
    <row r="36" spans="1:17">
      <c r="A36" s="52"/>
      <c r="D36" s="643"/>
      <c r="E36" s="643"/>
      <c r="F36" s="643"/>
      <c r="G36" s="643"/>
      <c r="H36" s="643"/>
      <c r="I36" s="643"/>
      <c r="J36" s="643"/>
      <c r="K36" s="643"/>
      <c r="L36" s="643"/>
      <c r="M36" s="643"/>
      <c r="N36" s="643"/>
      <c r="O36" s="643"/>
      <c r="P36" s="52"/>
      <c r="Q36" s="52"/>
    </row>
    <row r="37" spans="1:17">
      <c r="A37" s="54" t="s">
        <v>5322</v>
      </c>
      <c r="D37" s="642">
        <f t="shared" ref="D37:I37" si="48">D114</f>
        <v>34314</v>
      </c>
      <c r="E37" s="642">
        <f t="shared" si="48"/>
        <v>34283</v>
      </c>
      <c r="F37" s="642">
        <f t="shared" si="48"/>
        <v>34372</v>
      </c>
      <c r="G37" s="642">
        <f t="shared" si="48"/>
        <v>34503</v>
      </c>
      <c r="H37" s="642">
        <f t="shared" si="48"/>
        <v>34582</v>
      </c>
      <c r="I37" s="642">
        <f t="shared" si="48"/>
        <v>34086</v>
      </c>
      <c r="J37" s="642">
        <f t="shared" ref="J37:O37" si="49">J114</f>
        <v>33557</v>
      </c>
      <c r="K37" s="642">
        <f t="shared" si="49"/>
        <v>34769</v>
      </c>
      <c r="L37" s="642">
        <f t="shared" si="49"/>
        <v>35133</v>
      </c>
      <c r="M37" s="642">
        <f t="shared" si="49"/>
        <v>34574</v>
      </c>
      <c r="N37" s="642">
        <f t="shared" si="49"/>
        <v>35144</v>
      </c>
      <c r="O37" s="642">
        <f t="shared" si="49"/>
        <v>35512</v>
      </c>
      <c r="P37" s="52"/>
      <c r="Q37" s="54" t="s">
        <v>5314</v>
      </c>
    </row>
    <row r="38" spans="1:17" ht="15.75" thickBot="1">
      <c r="A38" s="52"/>
      <c r="D38" s="645">
        <f t="shared" ref="D38:I38" si="50">D307</f>
        <v>43730</v>
      </c>
      <c r="E38" s="645">
        <f t="shared" si="50"/>
        <v>43986</v>
      </c>
      <c r="F38" s="645">
        <f t="shared" si="50"/>
        <v>44511</v>
      </c>
      <c r="G38" s="645">
        <f t="shared" si="50"/>
        <v>45065</v>
      </c>
      <c r="H38" s="645">
        <f t="shared" si="50"/>
        <v>45058</v>
      </c>
      <c r="I38" s="645">
        <f t="shared" si="50"/>
        <v>44215</v>
      </c>
      <c r="J38" s="645">
        <f t="shared" ref="J38:O38" si="51">J307</f>
        <v>44676</v>
      </c>
      <c r="K38" s="645">
        <f t="shared" si="51"/>
        <v>44813</v>
      </c>
      <c r="L38" s="645">
        <f t="shared" si="51"/>
        <v>44837</v>
      </c>
      <c r="M38" s="645">
        <f t="shared" si="51"/>
        <v>44129</v>
      </c>
      <c r="N38" s="645">
        <f t="shared" si="51"/>
        <v>44753</v>
      </c>
      <c r="O38" s="645">
        <f t="shared" si="51"/>
        <v>45321</v>
      </c>
      <c r="P38" s="52"/>
      <c r="Q38" s="54" t="s">
        <v>5323</v>
      </c>
    </row>
    <row r="39" spans="1:17" ht="15.75" thickBot="1">
      <c r="A39" s="52"/>
      <c r="D39" s="645">
        <f t="shared" ref="D39:I39" si="52">SUM(D37:D38)</f>
        <v>78044</v>
      </c>
      <c r="E39" s="645">
        <f t="shared" si="52"/>
        <v>78269</v>
      </c>
      <c r="F39" s="645">
        <f t="shared" si="52"/>
        <v>78883</v>
      </c>
      <c r="G39" s="645">
        <f t="shared" si="52"/>
        <v>79568</v>
      </c>
      <c r="H39" s="645">
        <f t="shared" si="52"/>
        <v>79640</v>
      </c>
      <c r="I39" s="645">
        <f t="shared" si="52"/>
        <v>78301</v>
      </c>
      <c r="J39" s="645">
        <f t="shared" ref="J39:O39" si="53">SUM(J37:J38)</f>
        <v>78233</v>
      </c>
      <c r="K39" s="645">
        <f t="shared" si="53"/>
        <v>79582</v>
      </c>
      <c r="L39" s="645">
        <f t="shared" si="53"/>
        <v>79970</v>
      </c>
      <c r="M39" s="645">
        <f t="shared" si="53"/>
        <v>78703</v>
      </c>
      <c r="N39" s="645">
        <f t="shared" si="53"/>
        <v>79897</v>
      </c>
      <c r="O39" s="645">
        <f t="shared" si="53"/>
        <v>80833</v>
      </c>
      <c r="P39" s="52"/>
      <c r="Q39" s="52"/>
    </row>
    <row r="40" spans="1:17">
      <c r="A40" s="52"/>
      <c r="D40" s="643"/>
      <c r="E40" s="643"/>
      <c r="F40" s="643"/>
      <c r="G40" s="643"/>
      <c r="H40" s="643"/>
      <c r="I40" s="643"/>
      <c r="J40" s="643"/>
      <c r="K40" s="643"/>
      <c r="L40" s="643"/>
      <c r="M40" s="643"/>
      <c r="N40" s="643"/>
      <c r="O40" s="643"/>
      <c r="P40" s="52"/>
      <c r="Q40" s="52"/>
    </row>
    <row r="41" spans="1:17">
      <c r="A41" s="54" t="s">
        <v>5324</v>
      </c>
      <c r="D41" s="642">
        <f t="shared" ref="D41:I41" si="54">D248</f>
        <v>66803</v>
      </c>
      <c r="E41" s="642">
        <f t="shared" si="54"/>
        <v>67290</v>
      </c>
      <c r="F41" s="642">
        <f t="shared" si="54"/>
        <v>67795</v>
      </c>
      <c r="G41" s="642">
        <f t="shared" si="54"/>
        <v>68161</v>
      </c>
      <c r="H41" s="642">
        <f t="shared" si="54"/>
        <v>68789</v>
      </c>
      <c r="I41" s="642">
        <f t="shared" si="54"/>
        <v>68297</v>
      </c>
      <c r="J41" s="642">
        <f t="shared" ref="J41:O41" si="55">J248</f>
        <v>67083</v>
      </c>
      <c r="K41" s="642">
        <f t="shared" si="55"/>
        <v>68774</v>
      </c>
      <c r="L41" s="642">
        <f t="shared" si="55"/>
        <v>68755</v>
      </c>
      <c r="M41" s="642">
        <f t="shared" si="55"/>
        <v>67942</v>
      </c>
      <c r="N41" s="642">
        <f t="shared" si="55"/>
        <v>70379</v>
      </c>
      <c r="O41" s="642">
        <f t="shared" si="55"/>
        <v>70861</v>
      </c>
      <c r="P41" s="52"/>
      <c r="Q41" s="54" t="s">
        <v>5320</v>
      </c>
    </row>
    <row r="42" spans="1:17" ht="15.75" thickBot="1">
      <c r="A42" s="52"/>
      <c r="D42" s="645">
        <f t="shared" ref="D42:I42" si="56">D308</f>
        <v>3033</v>
      </c>
      <c r="E42" s="645">
        <f t="shared" si="56"/>
        <v>3008</v>
      </c>
      <c r="F42" s="645">
        <f t="shared" si="56"/>
        <v>2995</v>
      </c>
      <c r="G42" s="645">
        <f t="shared" si="56"/>
        <v>3059</v>
      </c>
      <c r="H42" s="645">
        <f t="shared" si="56"/>
        <v>3098</v>
      </c>
      <c r="I42" s="645">
        <f t="shared" si="56"/>
        <v>3023</v>
      </c>
      <c r="J42" s="645">
        <f t="shared" ref="J42:O42" si="57">J308</f>
        <v>3109</v>
      </c>
      <c r="K42" s="645">
        <f t="shared" si="57"/>
        <v>3087</v>
      </c>
      <c r="L42" s="645">
        <f t="shared" si="57"/>
        <v>3101</v>
      </c>
      <c r="M42" s="645">
        <f t="shared" si="57"/>
        <v>3084</v>
      </c>
      <c r="N42" s="645">
        <f t="shared" si="57"/>
        <v>3164</v>
      </c>
      <c r="O42" s="645">
        <f t="shared" si="57"/>
        <v>3197</v>
      </c>
      <c r="P42" s="52"/>
      <c r="Q42" s="54" t="s">
        <v>5323</v>
      </c>
    </row>
    <row r="43" spans="1:17" ht="15.75" thickBot="1">
      <c r="A43" s="52"/>
      <c r="D43" s="645">
        <f t="shared" ref="D43:I43" si="58">SUM(D41:D42)</f>
        <v>69836</v>
      </c>
      <c r="E43" s="645">
        <f t="shared" si="58"/>
        <v>70298</v>
      </c>
      <c r="F43" s="645">
        <f t="shared" si="58"/>
        <v>70790</v>
      </c>
      <c r="G43" s="645">
        <f t="shared" si="58"/>
        <v>71220</v>
      </c>
      <c r="H43" s="645">
        <f t="shared" si="58"/>
        <v>71887</v>
      </c>
      <c r="I43" s="645">
        <f t="shared" si="58"/>
        <v>71320</v>
      </c>
      <c r="J43" s="645">
        <f t="shared" ref="J43:O43" si="59">SUM(J41:J42)</f>
        <v>70192</v>
      </c>
      <c r="K43" s="645">
        <f t="shared" si="59"/>
        <v>71861</v>
      </c>
      <c r="L43" s="645">
        <f t="shared" si="59"/>
        <v>71856</v>
      </c>
      <c r="M43" s="645">
        <f t="shared" si="59"/>
        <v>71026</v>
      </c>
      <c r="N43" s="645">
        <f t="shared" si="59"/>
        <v>73543</v>
      </c>
      <c r="O43" s="645">
        <f t="shared" si="59"/>
        <v>74058</v>
      </c>
      <c r="P43" s="52"/>
      <c r="Q43" s="52"/>
    </row>
    <row r="44" spans="1:17">
      <c r="A44" s="52"/>
      <c r="D44" s="643"/>
      <c r="E44" s="643"/>
      <c r="F44" s="643"/>
      <c r="G44" s="643"/>
      <c r="H44" s="643"/>
      <c r="I44" s="643"/>
      <c r="J44" s="643"/>
      <c r="K44" s="643"/>
      <c r="L44" s="643"/>
      <c r="M44" s="643"/>
      <c r="N44" s="643"/>
      <c r="O44" s="643"/>
      <c r="P44" s="52"/>
      <c r="Q44" s="52"/>
    </row>
    <row r="45" spans="1:17">
      <c r="A45" s="54" t="s">
        <v>5325</v>
      </c>
      <c r="D45" s="642">
        <f t="shared" ref="D45:I45" si="60">D155</f>
        <v>1908</v>
      </c>
      <c r="E45" s="642">
        <f t="shared" si="60"/>
        <v>1937</v>
      </c>
      <c r="F45" s="642">
        <f t="shared" si="60"/>
        <v>1926</v>
      </c>
      <c r="G45" s="642">
        <f t="shared" si="60"/>
        <v>1957</v>
      </c>
      <c r="H45" s="642">
        <f t="shared" si="60"/>
        <v>1926</v>
      </c>
      <c r="I45" s="642">
        <f t="shared" si="60"/>
        <v>1918</v>
      </c>
      <c r="J45" s="642">
        <f t="shared" ref="J45:O45" si="61">J155</f>
        <v>1911</v>
      </c>
      <c r="K45" s="642">
        <f t="shared" si="61"/>
        <v>1948</v>
      </c>
      <c r="L45" s="642">
        <f t="shared" si="61"/>
        <v>1952</v>
      </c>
      <c r="M45" s="642">
        <f t="shared" si="61"/>
        <v>1926</v>
      </c>
      <c r="N45" s="642">
        <f t="shared" si="61"/>
        <v>1929</v>
      </c>
      <c r="O45" s="642">
        <f t="shared" si="61"/>
        <v>1973</v>
      </c>
      <c r="P45" s="52"/>
      <c r="Q45" s="54" t="s">
        <v>5316</v>
      </c>
    </row>
    <row r="46" spans="1:17">
      <c r="A46" s="52"/>
      <c r="D46" s="642">
        <f t="shared" ref="D46:I46" si="62">D216</f>
        <v>6239</v>
      </c>
      <c r="E46" s="642">
        <f t="shared" si="62"/>
        <v>6217</v>
      </c>
      <c r="F46" s="642">
        <f t="shared" si="62"/>
        <v>6221</v>
      </c>
      <c r="G46" s="642">
        <f t="shared" si="62"/>
        <v>6209</v>
      </c>
      <c r="H46" s="642">
        <f t="shared" si="62"/>
        <v>6231</v>
      </c>
      <c r="I46" s="642">
        <f t="shared" si="62"/>
        <v>6145</v>
      </c>
      <c r="J46" s="642">
        <f t="shared" ref="J46:O46" si="63">J216</f>
        <v>6029</v>
      </c>
      <c r="K46" s="642">
        <f t="shared" si="63"/>
        <v>6223</v>
      </c>
      <c r="L46" s="642">
        <f t="shared" si="63"/>
        <v>6246</v>
      </c>
      <c r="M46" s="642">
        <f t="shared" si="63"/>
        <v>6170</v>
      </c>
      <c r="N46" s="642">
        <f t="shared" si="63"/>
        <v>6400</v>
      </c>
      <c r="O46" s="642">
        <f t="shared" si="63"/>
        <v>6326</v>
      </c>
      <c r="P46" s="52"/>
      <c r="Q46" s="54" t="s">
        <v>5319</v>
      </c>
    </row>
    <row r="47" spans="1:17" ht="15.75" thickBot="1">
      <c r="A47" s="52"/>
      <c r="D47" s="645">
        <f t="shared" ref="D47:I47" si="64">D276</f>
        <v>59801</v>
      </c>
      <c r="E47" s="645">
        <f t="shared" si="64"/>
        <v>61203</v>
      </c>
      <c r="F47" s="645">
        <f t="shared" si="64"/>
        <v>61966</v>
      </c>
      <c r="G47" s="645">
        <f t="shared" si="64"/>
        <v>62835</v>
      </c>
      <c r="H47" s="645">
        <f t="shared" si="64"/>
        <v>62221</v>
      </c>
      <c r="I47" s="645">
        <f t="shared" si="64"/>
        <v>61643</v>
      </c>
      <c r="J47" s="645">
        <f t="shared" ref="J47:O47" si="65">J276</f>
        <v>59580</v>
      </c>
      <c r="K47" s="645">
        <f t="shared" si="65"/>
        <v>61347</v>
      </c>
      <c r="L47" s="645">
        <f t="shared" si="65"/>
        <v>61531</v>
      </c>
      <c r="M47" s="645">
        <f t="shared" si="65"/>
        <v>60898</v>
      </c>
      <c r="N47" s="645">
        <f t="shared" si="65"/>
        <v>62266</v>
      </c>
      <c r="O47" s="645">
        <f t="shared" si="65"/>
        <v>62071</v>
      </c>
      <c r="P47" s="52"/>
      <c r="Q47" s="54" t="s">
        <v>9498</v>
      </c>
    </row>
    <row r="48" spans="1:17" ht="15.75" thickBot="1">
      <c r="A48" s="52"/>
      <c r="D48" s="645">
        <f t="shared" ref="D48:I48" si="66">SUM(D45:D47)</f>
        <v>67948</v>
      </c>
      <c r="E48" s="645">
        <f t="shared" si="66"/>
        <v>69357</v>
      </c>
      <c r="F48" s="645">
        <f t="shared" si="66"/>
        <v>70113</v>
      </c>
      <c r="G48" s="645">
        <f t="shared" si="66"/>
        <v>71001</v>
      </c>
      <c r="H48" s="645">
        <f t="shared" si="66"/>
        <v>70378</v>
      </c>
      <c r="I48" s="645">
        <f t="shared" si="66"/>
        <v>69706</v>
      </c>
      <c r="J48" s="645">
        <f t="shared" ref="J48:O48" si="67">SUM(J45:J47)</f>
        <v>67520</v>
      </c>
      <c r="K48" s="645">
        <f t="shared" si="67"/>
        <v>69518</v>
      </c>
      <c r="L48" s="645">
        <f t="shared" si="67"/>
        <v>69729</v>
      </c>
      <c r="M48" s="645">
        <f t="shared" si="67"/>
        <v>68994</v>
      </c>
      <c r="N48" s="645">
        <f t="shared" si="67"/>
        <v>70595</v>
      </c>
      <c r="O48" s="645">
        <f t="shared" si="67"/>
        <v>70370</v>
      </c>
      <c r="P48" s="52"/>
      <c r="Q48" s="52"/>
    </row>
    <row r="49" spans="1:17">
      <c r="A49" s="52"/>
      <c r="D49" s="643"/>
      <c r="E49" s="643"/>
      <c r="F49" s="643"/>
      <c r="G49" s="643"/>
      <c r="H49" s="643"/>
      <c r="I49" s="643"/>
      <c r="J49" s="643"/>
      <c r="K49" s="643"/>
      <c r="L49" s="643"/>
      <c r="M49" s="643"/>
      <c r="N49" s="643"/>
      <c r="O49" s="643"/>
      <c r="P49" s="52"/>
      <c r="Q49" s="52"/>
    </row>
    <row r="50" spans="1:17">
      <c r="A50" s="54" t="s">
        <v>5326</v>
      </c>
      <c r="D50" s="642">
        <f t="shared" ref="D50:I50" si="68">D309</f>
        <v>17736</v>
      </c>
      <c r="E50" s="642">
        <f t="shared" si="68"/>
        <v>17932</v>
      </c>
      <c r="F50" s="642">
        <f t="shared" si="68"/>
        <v>18162</v>
      </c>
      <c r="G50" s="642">
        <f t="shared" si="68"/>
        <v>18291</v>
      </c>
      <c r="H50" s="642">
        <f t="shared" si="68"/>
        <v>18307</v>
      </c>
      <c r="I50" s="642">
        <f t="shared" si="68"/>
        <v>18014</v>
      </c>
      <c r="J50" s="642">
        <f t="shared" ref="J50:O50" si="69">J309</f>
        <v>18376</v>
      </c>
      <c r="K50" s="642">
        <f t="shared" si="69"/>
        <v>18656</v>
      </c>
      <c r="L50" s="642">
        <f t="shared" si="69"/>
        <v>18706</v>
      </c>
      <c r="M50" s="642">
        <f t="shared" si="69"/>
        <v>18596</v>
      </c>
      <c r="N50" s="642">
        <f t="shared" si="69"/>
        <v>18824</v>
      </c>
      <c r="O50" s="642">
        <f t="shared" si="69"/>
        <v>18982</v>
      </c>
      <c r="P50" s="52"/>
      <c r="Q50" s="54" t="s">
        <v>5323</v>
      </c>
    </row>
    <row r="51" spans="1:17" ht="15.75" thickBot="1">
      <c r="A51" s="52"/>
      <c r="D51" s="645">
        <f t="shared" ref="D51:I51" si="70">D330</f>
        <v>62277</v>
      </c>
      <c r="E51" s="645">
        <f t="shared" si="70"/>
        <v>63007</v>
      </c>
      <c r="F51" s="645">
        <f t="shared" si="70"/>
        <v>64042</v>
      </c>
      <c r="G51" s="645">
        <f t="shared" si="70"/>
        <v>64822</v>
      </c>
      <c r="H51" s="645">
        <f t="shared" si="70"/>
        <v>65767</v>
      </c>
      <c r="I51" s="645">
        <f t="shared" si="70"/>
        <v>63950</v>
      </c>
      <c r="J51" s="645">
        <f t="shared" ref="J51:O51" si="71">J330</f>
        <v>63484</v>
      </c>
      <c r="K51" s="645">
        <f t="shared" si="71"/>
        <v>63683</v>
      </c>
      <c r="L51" s="645">
        <f t="shared" si="71"/>
        <v>63574</v>
      </c>
      <c r="M51" s="645">
        <f t="shared" si="71"/>
        <v>63011</v>
      </c>
      <c r="N51" s="645">
        <f t="shared" si="71"/>
        <v>64879</v>
      </c>
      <c r="O51" s="645">
        <f t="shared" si="71"/>
        <v>64964</v>
      </c>
      <c r="P51" s="52"/>
      <c r="Q51" s="54" t="s">
        <v>949</v>
      </c>
    </row>
    <row r="52" spans="1:17" ht="15.75" thickBot="1">
      <c r="A52" s="52"/>
      <c r="D52" s="645">
        <f t="shared" ref="D52:I52" si="72">SUM(D50:D51)</f>
        <v>80013</v>
      </c>
      <c r="E52" s="645">
        <f t="shared" si="72"/>
        <v>80939</v>
      </c>
      <c r="F52" s="645">
        <f t="shared" si="72"/>
        <v>82204</v>
      </c>
      <c r="G52" s="645">
        <f t="shared" si="72"/>
        <v>83113</v>
      </c>
      <c r="H52" s="645">
        <f t="shared" si="72"/>
        <v>84074</v>
      </c>
      <c r="I52" s="645">
        <f t="shared" si="72"/>
        <v>81964</v>
      </c>
      <c r="J52" s="645">
        <f t="shared" ref="J52:O52" si="73">SUM(J50:J51)</f>
        <v>81860</v>
      </c>
      <c r="K52" s="645">
        <f t="shared" si="73"/>
        <v>82339</v>
      </c>
      <c r="L52" s="645">
        <f t="shared" si="73"/>
        <v>82280</v>
      </c>
      <c r="M52" s="645">
        <f t="shared" si="73"/>
        <v>81607</v>
      </c>
      <c r="N52" s="645">
        <f t="shared" si="73"/>
        <v>83703</v>
      </c>
      <c r="O52" s="645">
        <f t="shared" si="73"/>
        <v>83946</v>
      </c>
      <c r="P52" s="52"/>
      <c r="Q52" s="52"/>
    </row>
    <row r="53" spans="1:17">
      <c r="A53" s="52"/>
      <c r="D53" s="643"/>
      <c r="E53" s="643"/>
      <c r="F53" s="643"/>
      <c r="G53" s="643"/>
      <c r="H53" s="643"/>
      <c r="I53" s="643"/>
      <c r="J53" s="643"/>
      <c r="K53" s="643"/>
      <c r="L53" s="643"/>
      <c r="M53" s="643"/>
      <c r="N53" s="643"/>
      <c r="O53" s="643"/>
      <c r="P53" s="52"/>
      <c r="Q53" s="52"/>
    </row>
    <row r="54" spans="1:17">
      <c r="A54" s="54" t="s">
        <v>5327</v>
      </c>
      <c r="D54" s="643">
        <f t="shared" ref="D54:O54" si="74">D249</f>
        <v>0</v>
      </c>
      <c r="E54" s="643">
        <f t="shared" si="74"/>
        <v>0</v>
      </c>
      <c r="F54" s="643">
        <f t="shared" si="74"/>
        <v>0</v>
      </c>
      <c r="G54" s="643">
        <f t="shared" si="74"/>
        <v>19</v>
      </c>
      <c r="H54" s="643">
        <f t="shared" si="74"/>
        <v>20</v>
      </c>
      <c r="I54" s="643">
        <f t="shared" si="74"/>
        <v>18</v>
      </c>
      <c r="J54" s="643">
        <f t="shared" si="74"/>
        <v>16</v>
      </c>
      <c r="K54" s="643">
        <f t="shared" si="74"/>
        <v>17</v>
      </c>
      <c r="L54" s="643">
        <f t="shared" si="74"/>
        <v>17</v>
      </c>
      <c r="M54" s="643">
        <f t="shared" si="74"/>
        <v>17</v>
      </c>
      <c r="N54" s="643">
        <f t="shared" si="74"/>
        <v>20</v>
      </c>
      <c r="O54" s="643">
        <f t="shared" si="74"/>
        <v>20</v>
      </c>
      <c r="P54" s="52"/>
      <c r="Q54" s="54" t="s">
        <v>5320</v>
      </c>
    </row>
    <row r="55" spans="1:17" ht="15.75" thickBot="1">
      <c r="D55" s="645">
        <f t="shared" ref="D55:I55" si="75">D358</f>
        <v>71731</v>
      </c>
      <c r="E55" s="645">
        <f t="shared" si="75"/>
        <v>71766</v>
      </c>
      <c r="F55" s="645">
        <f t="shared" si="75"/>
        <v>73008</v>
      </c>
      <c r="G55" s="645">
        <f t="shared" si="75"/>
        <v>73711</v>
      </c>
      <c r="H55" s="645">
        <f t="shared" si="75"/>
        <v>73848</v>
      </c>
      <c r="I55" s="645">
        <f t="shared" si="75"/>
        <v>71118</v>
      </c>
      <c r="J55" s="645">
        <f t="shared" ref="J55:O55" si="76">J358</f>
        <v>69026</v>
      </c>
      <c r="K55" s="645">
        <f t="shared" si="76"/>
        <v>71450</v>
      </c>
      <c r="L55" s="645">
        <f t="shared" si="76"/>
        <v>71732</v>
      </c>
      <c r="M55" s="645">
        <f t="shared" si="76"/>
        <v>71046</v>
      </c>
      <c r="N55" s="645">
        <f t="shared" si="76"/>
        <v>71205</v>
      </c>
      <c r="O55" s="645">
        <f t="shared" si="76"/>
        <v>74902</v>
      </c>
      <c r="P55" s="52"/>
      <c r="Q55" s="54" t="s">
        <v>5312</v>
      </c>
    </row>
    <row r="56" spans="1:17" ht="15.75" thickBot="1">
      <c r="A56" s="54"/>
      <c r="D56" s="645">
        <f t="shared" ref="D56:I56" si="77">SUM(D54:D55)</f>
        <v>71731</v>
      </c>
      <c r="E56" s="645">
        <f t="shared" si="77"/>
        <v>71766</v>
      </c>
      <c r="F56" s="645">
        <f t="shared" si="77"/>
        <v>73008</v>
      </c>
      <c r="G56" s="645">
        <f t="shared" si="77"/>
        <v>73730</v>
      </c>
      <c r="H56" s="645">
        <f t="shared" si="77"/>
        <v>73868</v>
      </c>
      <c r="I56" s="645">
        <f t="shared" si="77"/>
        <v>71136</v>
      </c>
      <c r="J56" s="645">
        <f t="shared" ref="J56:O56" si="78">SUM(J54:J55)</f>
        <v>69042</v>
      </c>
      <c r="K56" s="645">
        <f t="shared" si="78"/>
        <v>71467</v>
      </c>
      <c r="L56" s="645">
        <f t="shared" si="78"/>
        <v>71749</v>
      </c>
      <c r="M56" s="645">
        <f t="shared" si="78"/>
        <v>71063</v>
      </c>
      <c r="N56" s="645">
        <f t="shared" si="78"/>
        <v>71225</v>
      </c>
      <c r="O56" s="645">
        <f t="shared" si="78"/>
        <v>74922</v>
      </c>
      <c r="P56" s="52"/>
      <c r="Q56" s="54"/>
    </row>
    <row r="57" spans="1:17">
      <c r="A57" s="52"/>
      <c r="B57" s="52"/>
      <c r="C57" s="52"/>
      <c r="D57" s="643"/>
      <c r="E57" s="643"/>
      <c r="F57" s="643"/>
      <c r="G57" s="643"/>
      <c r="H57" s="643"/>
      <c r="I57" s="643"/>
      <c r="J57" s="643"/>
      <c r="K57" s="643"/>
      <c r="L57" s="643"/>
      <c r="M57" s="643"/>
      <c r="N57" s="643"/>
      <c r="O57" s="643"/>
      <c r="P57" s="52"/>
      <c r="Q57" s="52"/>
    </row>
    <row r="58" spans="1:17">
      <c r="A58" s="54" t="s">
        <v>6796</v>
      </c>
      <c r="B58" s="52"/>
      <c r="C58" s="52"/>
      <c r="D58" s="642">
        <f t="shared" ref="D58:O58" si="79">D20+D22+D24+D26+D30+D35+D39+D43+D48+D52+D56</f>
        <v>804931</v>
      </c>
      <c r="E58" s="642">
        <f t="shared" si="79"/>
        <v>811936</v>
      </c>
      <c r="F58" s="642">
        <f t="shared" si="79"/>
        <v>817032</v>
      </c>
      <c r="G58" s="642">
        <f t="shared" si="79"/>
        <v>825185</v>
      </c>
      <c r="H58" s="642">
        <f t="shared" si="79"/>
        <v>827771</v>
      </c>
      <c r="I58" s="642">
        <f t="shared" si="79"/>
        <v>813202</v>
      </c>
      <c r="J58" s="642">
        <f t="shared" si="79"/>
        <v>801230</v>
      </c>
      <c r="K58" s="642">
        <f t="shared" si="79"/>
        <v>823011</v>
      </c>
      <c r="L58" s="642">
        <f t="shared" si="79"/>
        <v>825462</v>
      </c>
      <c r="M58" s="642">
        <f t="shared" si="79"/>
        <v>815914</v>
      </c>
      <c r="N58" s="642">
        <f t="shared" si="79"/>
        <v>830811</v>
      </c>
      <c r="O58" s="642">
        <f t="shared" si="79"/>
        <v>841457</v>
      </c>
      <c r="P58" s="52"/>
      <c r="Q58" s="52"/>
    </row>
    <row r="59" spans="1:17">
      <c r="A59" s="52"/>
      <c r="B59" s="52"/>
      <c r="C59" s="52"/>
      <c r="D59" s="643"/>
      <c r="E59" s="643"/>
      <c r="F59" s="643"/>
      <c r="G59" s="643"/>
      <c r="H59" s="643"/>
      <c r="I59" s="643"/>
      <c r="J59" s="643"/>
      <c r="K59" s="643"/>
      <c r="L59" s="643"/>
      <c r="M59" s="643"/>
      <c r="N59" s="643"/>
      <c r="O59" s="643"/>
      <c r="P59" s="52"/>
      <c r="Q59" s="52"/>
    </row>
    <row r="60" spans="1:17">
      <c r="A60" s="54" t="s">
        <v>6797</v>
      </c>
      <c r="B60" s="52"/>
      <c r="C60" s="52"/>
      <c r="D60" s="642">
        <f t="shared" ref="D60:I60" si="80">MAX(D20,D22,D24,D26,D30,D35,D39,D43,D48,D52,D56)-MIN(D20,D22,D24,D26,D30,D35,D39,D43,D48,D52,D56)</f>
        <v>12065</v>
      </c>
      <c r="E60" s="642">
        <f t="shared" si="80"/>
        <v>11582</v>
      </c>
      <c r="F60" s="642">
        <f t="shared" si="80"/>
        <v>12091</v>
      </c>
      <c r="G60" s="642">
        <f t="shared" si="80"/>
        <v>12112</v>
      </c>
      <c r="H60" s="642">
        <f t="shared" si="80"/>
        <v>13696</v>
      </c>
      <c r="I60" s="642">
        <f t="shared" si="80"/>
        <v>12258</v>
      </c>
      <c r="J60" s="642">
        <f t="shared" ref="J60:O60" si="81">MAX(J20,J22,J24,J26,J30,J35,J39,J43,J48,J52,J56)-MIN(J20,J22,J24,J26,J30,J35,J39,J43,J48,J52,J56)</f>
        <v>14340</v>
      </c>
      <c r="K60" s="642">
        <f t="shared" si="81"/>
        <v>12821</v>
      </c>
      <c r="L60" s="642">
        <f t="shared" si="81"/>
        <v>12551</v>
      </c>
      <c r="M60" s="642">
        <f t="shared" si="81"/>
        <v>12613</v>
      </c>
      <c r="N60" s="642">
        <f t="shared" si="81"/>
        <v>13108</v>
      </c>
      <c r="O60" s="642">
        <f t="shared" si="81"/>
        <v>13576</v>
      </c>
      <c r="P60" s="52"/>
      <c r="Q60" s="52"/>
    </row>
    <row r="61" spans="1:17">
      <c r="A61" s="52"/>
      <c r="B61" s="52"/>
      <c r="C61" s="52"/>
      <c r="D61" s="643"/>
      <c r="E61" s="643"/>
      <c r="F61" s="643"/>
      <c r="G61" s="643"/>
      <c r="H61" s="643"/>
      <c r="I61" s="643"/>
      <c r="J61" s="643"/>
      <c r="K61" s="643"/>
      <c r="L61" s="643"/>
      <c r="M61" s="643"/>
      <c r="N61" s="643"/>
      <c r="O61" s="643"/>
      <c r="P61" s="52"/>
      <c r="Q61" s="52"/>
    </row>
    <row r="62" spans="1:17">
      <c r="A62" s="647" t="s">
        <v>6800</v>
      </c>
      <c r="B62" s="52"/>
      <c r="C62" s="52"/>
      <c r="D62" s="642">
        <f t="shared" ref="D62:I62" si="82">STDEVP(D20,D22,D24,D26,D30,D35,D39,D43,D48,D52,D55)</f>
        <v>3768.2709168104325</v>
      </c>
      <c r="E62" s="642">
        <f t="shared" si="82"/>
        <v>3725.9606271458802</v>
      </c>
      <c r="F62" s="642">
        <f t="shared" si="82"/>
        <v>3700.0490235751613</v>
      </c>
      <c r="G62" s="642">
        <f t="shared" si="82"/>
        <v>3704.1522758445858</v>
      </c>
      <c r="H62" s="642">
        <f t="shared" si="82"/>
        <v>3654.645274530023</v>
      </c>
      <c r="I62" s="642">
        <f t="shared" si="82"/>
        <v>3533.3966356926258</v>
      </c>
      <c r="J62" s="642">
        <f t="shared" ref="J62:O62" si="83">STDEVP(J20,J22,J24,J26,J30,J35,J39,J43,J48,J52,J55)</f>
        <v>4255.9066820068338</v>
      </c>
      <c r="K62" s="642">
        <f t="shared" si="83"/>
        <v>4121.7777998583279</v>
      </c>
      <c r="L62" s="642">
        <f t="shared" si="83"/>
        <v>4028.6237524547978</v>
      </c>
      <c r="M62" s="642">
        <f t="shared" si="83"/>
        <v>3924.3873723084325</v>
      </c>
      <c r="N62" s="642">
        <f t="shared" si="83"/>
        <v>4120.6217616373551</v>
      </c>
      <c r="O62" s="642">
        <f t="shared" si="83"/>
        <v>3983.7172246056616</v>
      </c>
      <c r="P62" s="52"/>
      <c r="Q62" s="52"/>
    </row>
    <row r="63" spans="1:17">
      <c r="A63" s="647"/>
      <c r="B63" s="52"/>
      <c r="C63" s="52"/>
      <c r="D63" s="648"/>
      <c r="E63" s="648"/>
      <c r="F63" s="648"/>
      <c r="G63" s="648"/>
      <c r="H63" s="648"/>
      <c r="I63" s="648"/>
      <c r="J63" s="648"/>
      <c r="K63" s="648"/>
      <c r="L63" s="648"/>
      <c r="M63" s="648"/>
      <c r="N63" s="648"/>
      <c r="O63" s="648"/>
      <c r="P63" s="52"/>
      <c r="Q63" s="52"/>
    </row>
    <row r="64" spans="1:17">
      <c r="A64" s="647"/>
      <c r="B64" s="52"/>
      <c r="C64" s="52"/>
      <c r="D64" s="648"/>
      <c r="E64" s="648"/>
      <c r="F64" s="648"/>
      <c r="G64" s="648"/>
      <c r="H64" s="648"/>
      <c r="I64" s="648"/>
      <c r="J64" s="648"/>
      <c r="K64" s="648"/>
      <c r="L64" s="648"/>
      <c r="M64" s="648"/>
      <c r="N64" s="648"/>
      <c r="O64" s="648"/>
      <c r="P64" s="52"/>
      <c r="Q64" s="52"/>
    </row>
    <row r="65" spans="1:17">
      <c r="A65" s="52"/>
      <c r="B65" s="52"/>
      <c r="E65" s="51" t="s">
        <v>1526</v>
      </c>
      <c r="F65" s="51"/>
      <c r="G65" s="51"/>
      <c r="H65" s="51"/>
      <c r="I65" s="51"/>
      <c r="J65" s="51"/>
      <c r="K65" s="51"/>
      <c r="L65" s="51"/>
      <c r="M65" s="51"/>
      <c r="N65" s="51"/>
      <c r="O65" s="51"/>
      <c r="P65" s="276"/>
      <c r="Q65" s="11" t="s">
        <v>9479</v>
      </c>
    </row>
    <row r="66" spans="1:17">
      <c r="A66" s="52"/>
      <c r="B66" s="52"/>
      <c r="C66" s="52"/>
      <c r="D66" s="350">
        <v>2010</v>
      </c>
      <c r="E66" s="350">
        <v>2011</v>
      </c>
      <c r="F66" s="350">
        <v>2012</v>
      </c>
      <c r="G66" s="350">
        <v>2013</v>
      </c>
      <c r="H66" s="350">
        <v>2014</v>
      </c>
      <c r="I66" s="350">
        <v>2015</v>
      </c>
      <c r="J66" s="350">
        <v>2016</v>
      </c>
      <c r="K66" s="350">
        <v>2017</v>
      </c>
      <c r="L66" s="350">
        <v>2018</v>
      </c>
      <c r="M66" s="350">
        <v>2019</v>
      </c>
      <c r="N66" s="350">
        <v>2020</v>
      </c>
      <c r="O66" s="944" t="s">
        <v>14823</v>
      </c>
      <c r="P66" s="410"/>
      <c r="Q66" s="13" t="s">
        <v>1527</v>
      </c>
    </row>
    <row r="67" spans="1:17" ht="15" customHeight="1">
      <c r="A67" s="54" t="s">
        <v>5328</v>
      </c>
      <c r="C67" s="54"/>
      <c r="D67" s="642">
        <f t="shared" ref="D67:I67" si="84">SUM(D68:D77)</f>
        <v>66975</v>
      </c>
      <c r="E67" s="642">
        <f t="shared" si="84"/>
        <v>67608</v>
      </c>
      <c r="F67" s="642">
        <f t="shared" si="84"/>
        <v>67824</v>
      </c>
      <c r="G67" s="642">
        <f t="shared" si="84"/>
        <v>68539</v>
      </c>
      <c r="H67" s="642">
        <f t="shared" si="84"/>
        <v>69142</v>
      </c>
      <c r="I67" s="642">
        <f t="shared" si="84"/>
        <v>67663</v>
      </c>
      <c r="J67" s="642">
        <f t="shared" ref="J67:O67" si="85">SUM(J68:J77)</f>
        <v>66150</v>
      </c>
      <c r="K67" s="642">
        <f t="shared" si="85"/>
        <v>68001</v>
      </c>
      <c r="L67" s="642">
        <f t="shared" si="85"/>
        <v>68055</v>
      </c>
      <c r="M67" s="642">
        <f t="shared" si="85"/>
        <v>67572</v>
      </c>
      <c r="N67" s="642">
        <f t="shared" si="85"/>
        <v>67897</v>
      </c>
      <c r="O67" s="642">
        <f t="shared" si="85"/>
        <v>68645</v>
      </c>
      <c r="P67" s="52"/>
      <c r="Q67" s="52"/>
    </row>
    <row r="68" spans="1:17">
      <c r="A68" s="649">
        <v>1</v>
      </c>
      <c r="B68" s="54" t="s">
        <v>9478</v>
      </c>
      <c r="C68" s="55" t="s">
        <v>9313</v>
      </c>
      <c r="D68" s="642">
        <v>66975</v>
      </c>
      <c r="E68" s="642">
        <v>67608</v>
      </c>
      <c r="F68" s="642">
        <v>67824</v>
      </c>
      <c r="G68" s="56">
        <v>7186</v>
      </c>
      <c r="H68" s="56">
        <v>7298</v>
      </c>
      <c r="I68" s="56">
        <v>7178</v>
      </c>
      <c r="J68" s="56">
        <v>6966</v>
      </c>
      <c r="K68" s="56">
        <v>7167</v>
      </c>
      <c r="L68" s="56">
        <v>7124</v>
      </c>
      <c r="M68" s="56">
        <v>7071</v>
      </c>
      <c r="N68" s="56">
        <v>7079</v>
      </c>
      <c r="O68" s="56">
        <v>7154</v>
      </c>
      <c r="P68" s="52"/>
      <c r="Q68" s="54" t="s">
        <v>5334</v>
      </c>
    </row>
    <row r="69" spans="1:17">
      <c r="A69" s="649">
        <v>2</v>
      </c>
      <c r="B69" s="54" t="s">
        <v>3821</v>
      </c>
      <c r="C69" s="55" t="s">
        <v>9314</v>
      </c>
      <c r="D69" s="642">
        <v>0</v>
      </c>
      <c r="E69" s="642">
        <v>0</v>
      </c>
      <c r="F69" s="642">
        <v>0</v>
      </c>
      <c r="G69" s="56">
        <v>6516</v>
      </c>
      <c r="H69" s="56">
        <v>6547</v>
      </c>
      <c r="I69" s="56">
        <v>6476</v>
      </c>
      <c r="J69" s="56">
        <v>6313</v>
      </c>
      <c r="K69" s="56">
        <v>6481</v>
      </c>
      <c r="L69" s="56">
        <v>6369</v>
      </c>
      <c r="M69" s="56">
        <v>6256</v>
      </c>
      <c r="N69" s="56">
        <v>6293</v>
      </c>
      <c r="O69" s="56">
        <v>6384</v>
      </c>
      <c r="P69" s="52"/>
      <c r="Q69" s="54" t="s">
        <v>5334</v>
      </c>
    </row>
    <row r="70" spans="1:17">
      <c r="A70" s="649">
        <v>3</v>
      </c>
      <c r="B70" s="54" t="s">
        <v>9308</v>
      </c>
      <c r="C70" s="55" t="s">
        <v>9315</v>
      </c>
      <c r="D70" s="642">
        <v>0</v>
      </c>
      <c r="E70" s="642">
        <v>0</v>
      </c>
      <c r="F70" s="642">
        <v>0</v>
      </c>
      <c r="G70" s="56">
        <v>6414</v>
      </c>
      <c r="H70" s="56">
        <v>6490</v>
      </c>
      <c r="I70" s="56">
        <v>6245</v>
      </c>
      <c r="J70" s="56">
        <v>6090</v>
      </c>
      <c r="K70" s="56">
        <v>6196</v>
      </c>
      <c r="L70" s="56">
        <v>6247</v>
      </c>
      <c r="M70" s="56">
        <v>6173</v>
      </c>
      <c r="N70" s="56">
        <v>6232</v>
      </c>
      <c r="O70" s="56">
        <v>6297</v>
      </c>
      <c r="P70" s="52"/>
      <c r="Q70" s="54" t="s">
        <v>5334</v>
      </c>
    </row>
    <row r="71" spans="1:17">
      <c r="A71" s="649">
        <v>4</v>
      </c>
      <c r="B71" s="54" t="s">
        <v>3822</v>
      </c>
      <c r="C71" s="55" t="s">
        <v>9316</v>
      </c>
      <c r="D71" s="642">
        <v>0</v>
      </c>
      <c r="E71" s="642">
        <v>0</v>
      </c>
      <c r="F71" s="642">
        <v>0</v>
      </c>
      <c r="G71" s="56">
        <v>6610</v>
      </c>
      <c r="H71" s="56">
        <v>6750</v>
      </c>
      <c r="I71" s="56">
        <v>6631</v>
      </c>
      <c r="J71" s="56">
        <v>6580</v>
      </c>
      <c r="K71" s="56">
        <v>6760</v>
      </c>
      <c r="L71" s="56">
        <v>6782</v>
      </c>
      <c r="M71" s="56">
        <v>6620</v>
      </c>
      <c r="N71" s="56">
        <v>6610</v>
      </c>
      <c r="O71" s="56">
        <v>6698</v>
      </c>
      <c r="P71" s="52"/>
      <c r="Q71" s="54" t="s">
        <v>5334</v>
      </c>
    </row>
    <row r="72" spans="1:17">
      <c r="A72" s="649">
        <v>5</v>
      </c>
      <c r="B72" s="54" t="s">
        <v>3823</v>
      </c>
      <c r="C72" s="55" t="s">
        <v>9317</v>
      </c>
      <c r="D72" s="642">
        <v>0</v>
      </c>
      <c r="E72" s="642">
        <v>0</v>
      </c>
      <c r="F72" s="642">
        <v>0</v>
      </c>
      <c r="G72" s="56">
        <v>6933</v>
      </c>
      <c r="H72" s="56">
        <v>6947</v>
      </c>
      <c r="I72" s="56">
        <v>6800</v>
      </c>
      <c r="J72" s="56">
        <v>6734</v>
      </c>
      <c r="K72" s="56">
        <v>7033</v>
      </c>
      <c r="L72" s="56">
        <v>7115</v>
      </c>
      <c r="M72" s="56">
        <v>7087</v>
      </c>
      <c r="N72" s="56">
        <v>7093</v>
      </c>
      <c r="O72" s="56">
        <v>7233</v>
      </c>
      <c r="P72" s="52"/>
      <c r="Q72" s="54" t="s">
        <v>5334</v>
      </c>
    </row>
    <row r="73" spans="1:17">
      <c r="A73" s="649">
        <v>6</v>
      </c>
      <c r="B73" s="54" t="s">
        <v>3824</v>
      </c>
      <c r="C73" s="55" t="s">
        <v>9318</v>
      </c>
      <c r="D73" s="642">
        <v>0</v>
      </c>
      <c r="E73" s="642">
        <v>0</v>
      </c>
      <c r="F73" s="642">
        <v>0</v>
      </c>
      <c r="G73" s="56">
        <v>7353</v>
      </c>
      <c r="H73" s="56">
        <v>7310</v>
      </c>
      <c r="I73" s="56">
        <v>7206</v>
      </c>
      <c r="J73" s="56">
        <v>7105</v>
      </c>
      <c r="K73" s="56">
        <v>7210</v>
      </c>
      <c r="L73" s="56">
        <v>7250</v>
      </c>
      <c r="M73" s="56">
        <v>7152</v>
      </c>
      <c r="N73" s="56">
        <v>7086</v>
      </c>
      <c r="O73" s="56">
        <v>7119</v>
      </c>
      <c r="P73" s="52"/>
      <c r="Q73" s="54" t="s">
        <v>5334</v>
      </c>
    </row>
    <row r="74" spans="1:17">
      <c r="A74" s="649">
        <v>7</v>
      </c>
      <c r="B74" s="54" t="s">
        <v>9309</v>
      </c>
      <c r="C74" s="55" t="s">
        <v>9319</v>
      </c>
      <c r="D74" s="642">
        <v>0</v>
      </c>
      <c r="E74" s="642">
        <v>0</v>
      </c>
      <c r="F74" s="642">
        <v>0</v>
      </c>
      <c r="G74" s="56">
        <v>6243</v>
      </c>
      <c r="H74" s="56">
        <v>6376</v>
      </c>
      <c r="I74" s="56">
        <v>6314</v>
      </c>
      <c r="J74" s="56">
        <v>6150</v>
      </c>
      <c r="K74" s="56">
        <v>6346</v>
      </c>
      <c r="L74" s="56">
        <v>6346</v>
      </c>
      <c r="M74" s="56">
        <v>6319</v>
      </c>
      <c r="N74" s="56">
        <v>6374</v>
      </c>
      <c r="O74" s="56">
        <v>6396</v>
      </c>
      <c r="P74" s="52"/>
      <c r="Q74" s="54" t="s">
        <v>5334</v>
      </c>
    </row>
    <row r="75" spans="1:17">
      <c r="A75" s="649">
        <v>8</v>
      </c>
      <c r="B75" s="54" t="s">
        <v>9310</v>
      </c>
      <c r="C75" s="55" t="s">
        <v>9320</v>
      </c>
      <c r="D75" s="642">
        <v>0</v>
      </c>
      <c r="E75" s="642">
        <v>0</v>
      </c>
      <c r="F75" s="642">
        <v>0</v>
      </c>
      <c r="G75" s="56">
        <v>6727</v>
      </c>
      <c r="H75" s="56">
        <v>6685</v>
      </c>
      <c r="I75" s="56">
        <v>6492</v>
      </c>
      <c r="J75" s="56">
        <v>6360</v>
      </c>
      <c r="K75" s="56">
        <v>6535</v>
      </c>
      <c r="L75" s="56">
        <v>6475</v>
      </c>
      <c r="M75" s="56">
        <v>6618</v>
      </c>
      <c r="N75" s="56">
        <v>6725</v>
      </c>
      <c r="O75" s="56">
        <v>6744</v>
      </c>
      <c r="P75" s="52"/>
      <c r="Q75" s="54" t="s">
        <v>5334</v>
      </c>
    </row>
    <row r="76" spans="1:17">
      <c r="A76" s="649">
        <v>9</v>
      </c>
      <c r="B76" s="54" t="s">
        <v>5349</v>
      </c>
      <c r="C76" s="55" t="s">
        <v>9321</v>
      </c>
      <c r="D76" s="642">
        <v>0</v>
      </c>
      <c r="E76" s="642">
        <v>0</v>
      </c>
      <c r="F76" s="642">
        <v>0</v>
      </c>
      <c r="G76" s="56">
        <v>6816</v>
      </c>
      <c r="H76" s="56">
        <v>6808</v>
      </c>
      <c r="I76" s="56">
        <v>6597</v>
      </c>
      <c r="J76" s="56">
        <v>6361</v>
      </c>
      <c r="K76" s="56">
        <v>6538</v>
      </c>
      <c r="L76" s="56">
        <v>6637</v>
      </c>
      <c r="M76" s="56">
        <v>6647</v>
      </c>
      <c r="N76" s="56">
        <v>6757</v>
      </c>
      <c r="O76" s="56">
        <v>6890</v>
      </c>
      <c r="P76" s="52"/>
      <c r="Q76" s="54" t="s">
        <v>5334</v>
      </c>
    </row>
    <row r="77" spans="1:17">
      <c r="A77" s="649">
        <v>10</v>
      </c>
      <c r="B77" s="54" t="s">
        <v>9311</v>
      </c>
      <c r="C77" s="55" t="s">
        <v>9322</v>
      </c>
      <c r="D77" s="642">
        <v>0</v>
      </c>
      <c r="E77" s="642">
        <v>0</v>
      </c>
      <c r="F77" s="642">
        <v>0</v>
      </c>
      <c r="G77" s="56">
        <v>7741</v>
      </c>
      <c r="H77" s="56">
        <v>7931</v>
      </c>
      <c r="I77" s="56">
        <v>7724</v>
      </c>
      <c r="J77" s="56">
        <v>7491</v>
      </c>
      <c r="K77" s="56">
        <v>7735</v>
      </c>
      <c r="L77" s="56">
        <v>7710</v>
      </c>
      <c r="M77" s="56">
        <v>7629</v>
      </c>
      <c r="N77" s="56">
        <v>7648</v>
      </c>
      <c r="O77" s="56">
        <v>7730</v>
      </c>
      <c r="P77" s="52"/>
      <c r="Q77" s="54" t="s">
        <v>5334</v>
      </c>
    </row>
    <row r="78" spans="1:17">
      <c r="A78" s="52"/>
      <c r="B78" s="52"/>
      <c r="C78" s="52"/>
      <c r="D78" s="643"/>
      <c r="E78" s="643"/>
      <c r="F78" s="643"/>
      <c r="G78" s="643"/>
      <c r="H78" s="643"/>
      <c r="I78" s="643"/>
      <c r="J78" s="643"/>
      <c r="K78" s="643"/>
      <c r="L78" s="643"/>
      <c r="M78" s="643"/>
      <c r="N78" s="643"/>
      <c r="O78" s="643"/>
      <c r="P78" s="52"/>
      <c r="Q78" s="52"/>
    </row>
    <row r="79" spans="1:17">
      <c r="A79" s="54" t="s">
        <v>5350</v>
      </c>
      <c r="C79" s="52"/>
      <c r="D79" s="642">
        <f t="shared" ref="D79:I79" si="86">SUM(D68:D77)</f>
        <v>66975</v>
      </c>
      <c r="E79" s="642">
        <f t="shared" si="86"/>
        <v>67608</v>
      </c>
      <c r="F79" s="642">
        <f t="shared" si="86"/>
        <v>67824</v>
      </c>
      <c r="G79" s="642">
        <f t="shared" si="86"/>
        <v>68539</v>
      </c>
      <c r="H79" s="642">
        <f t="shared" si="86"/>
        <v>69142</v>
      </c>
      <c r="I79" s="642">
        <f t="shared" si="86"/>
        <v>67663</v>
      </c>
      <c r="J79" s="642">
        <f t="shared" ref="J79:O79" si="87">SUM(J68:J77)</f>
        <v>66150</v>
      </c>
      <c r="K79" s="642">
        <f t="shared" si="87"/>
        <v>68001</v>
      </c>
      <c r="L79" s="642">
        <f t="shared" si="87"/>
        <v>68055</v>
      </c>
      <c r="M79" s="642">
        <f t="shared" si="87"/>
        <v>67572</v>
      </c>
      <c r="N79" s="642">
        <f t="shared" si="87"/>
        <v>67897</v>
      </c>
      <c r="O79" s="642">
        <f t="shared" si="87"/>
        <v>68645</v>
      </c>
      <c r="P79" s="52"/>
      <c r="Q79" s="52"/>
    </row>
    <row r="80" spans="1:17">
      <c r="A80" s="52"/>
      <c r="B80" s="52"/>
      <c r="C80" s="52"/>
      <c r="D80" s="52"/>
      <c r="E80" s="52"/>
      <c r="F80" s="52"/>
      <c r="G80" s="52"/>
      <c r="H80" s="52"/>
      <c r="I80" s="52"/>
      <c r="J80" s="52"/>
      <c r="K80" s="52"/>
      <c r="L80" s="52"/>
      <c r="M80" s="52"/>
      <c r="N80" s="52"/>
      <c r="O80" s="52"/>
      <c r="P80" s="52"/>
      <c r="Q80" s="52"/>
    </row>
    <row r="81" spans="1:17">
      <c r="A81" s="53" t="s">
        <v>9312</v>
      </c>
      <c r="D81" s="650"/>
      <c r="E81" s="650"/>
      <c r="F81" s="650"/>
      <c r="G81" s="650"/>
      <c r="H81" s="650"/>
      <c r="I81" s="650"/>
      <c r="J81" s="650"/>
      <c r="K81" s="650"/>
      <c r="L81" s="650"/>
      <c r="M81" s="650"/>
      <c r="N81" s="650"/>
      <c r="O81" s="650"/>
      <c r="P81" s="52"/>
      <c r="Q81" s="52"/>
    </row>
    <row r="82" spans="1:17">
      <c r="A82" s="54"/>
      <c r="B82" s="54"/>
      <c r="C82" s="52"/>
      <c r="D82" s="650"/>
      <c r="E82" s="650"/>
      <c r="F82" s="650"/>
      <c r="G82" s="650"/>
      <c r="H82" s="650"/>
      <c r="I82" s="650"/>
      <c r="J82" s="650"/>
      <c r="K82" s="650"/>
      <c r="L82" s="650"/>
      <c r="M82" s="650"/>
      <c r="N82" s="650"/>
      <c r="O82" s="650"/>
      <c r="P82" s="52"/>
      <c r="Q82" s="52"/>
    </row>
    <row r="83" spans="1:17">
      <c r="A83" s="54"/>
      <c r="B83" s="54"/>
      <c r="C83" s="52"/>
      <c r="D83" s="650"/>
      <c r="E83" s="650"/>
      <c r="F83" s="650"/>
      <c r="G83" s="650"/>
      <c r="H83" s="650"/>
      <c r="I83" s="650"/>
      <c r="J83" s="650"/>
      <c r="K83" s="650"/>
      <c r="L83" s="650"/>
      <c r="M83" s="650"/>
      <c r="N83" s="650"/>
      <c r="O83" s="650"/>
      <c r="P83" s="52"/>
      <c r="Q83" s="52"/>
    </row>
    <row r="84" spans="1:17">
      <c r="A84" s="52"/>
      <c r="B84" s="52"/>
      <c r="E84" s="51" t="s">
        <v>1526</v>
      </c>
      <c r="F84" s="51"/>
      <c r="G84" s="51"/>
      <c r="H84" s="51"/>
      <c r="I84" s="51"/>
      <c r="J84" s="51"/>
      <c r="K84" s="51"/>
      <c r="L84" s="51"/>
      <c r="M84" s="51"/>
      <c r="N84" s="51"/>
      <c r="O84" s="51"/>
      <c r="P84" s="276"/>
      <c r="Q84" s="11" t="s">
        <v>9479</v>
      </c>
    </row>
    <row r="85" spans="1:17">
      <c r="A85" s="52"/>
      <c r="B85" s="52"/>
      <c r="C85" s="52"/>
      <c r="D85" s="350">
        <v>2010</v>
      </c>
      <c r="E85" s="350">
        <v>2011</v>
      </c>
      <c r="F85" s="350">
        <v>2012</v>
      </c>
      <c r="G85" s="350">
        <v>2013</v>
      </c>
      <c r="H85" s="350">
        <v>2014</v>
      </c>
      <c r="I85" s="350">
        <v>2015</v>
      </c>
      <c r="J85" s="350">
        <v>2016</v>
      </c>
      <c r="K85" s="350">
        <v>2017</v>
      </c>
      <c r="L85" s="350">
        <v>2018</v>
      </c>
      <c r="M85" s="350">
        <v>2019</v>
      </c>
      <c r="N85" s="350">
        <v>2020</v>
      </c>
      <c r="O85" s="944" t="s">
        <v>14823</v>
      </c>
      <c r="P85" s="410"/>
      <c r="Q85" s="13" t="s">
        <v>1527</v>
      </c>
    </row>
    <row r="86" spans="1:17">
      <c r="A86" s="54" t="s">
        <v>5351</v>
      </c>
      <c r="C86" s="52"/>
      <c r="D86" s="642">
        <f t="shared" ref="D86:I86" si="88">SUM(D87:D111)</f>
        <v>106996</v>
      </c>
      <c r="E86" s="642">
        <f t="shared" si="88"/>
        <v>106844</v>
      </c>
      <c r="F86" s="642">
        <f t="shared" si="88"/>
        <v>107754</v>
      </c>
      <c r="G86" s="642">
        <f t="shared" si="88"/>
        <v>108351</v>
      </c>
      <c r="H86" s="642">
        <f t="shared" si="88"/>
        <v>109027</v>
      </c>
      <c r="I86" s="642">
        <f t="shared" si="88"/>
        <v>106474</v>
      </c>
      <c r="J86" s="642">
        <f t="shared" ref="J86:O86" si="89">SUM(J87:J111)</f>
        <v>104252</v>
      </c>
      <c r="K86" s="642">
        <f t="shared" si="89"/>
        <v>107820</v>
      </c>
      <c r="L86" s="642">
        <f t="shared" si="89"/>
        <v>108869</v>
      </c>
      <c r="M86" s="642">
        <f t="shared" si="89"/>
        <v>107241</v>
      </c>
      <c r="N86" s="642">
        <f t="shared" si="89"/>
        <v>108859</v>
      </c>
      <c r="O86" s="642">
        <f t="shared" si="89"/>
        <v>110047</v>
      </c>
      <c r="P86" s="52"/>
      <c r="Q86" s="52"/>
    </row>
    <row r="87" spans="1:17">
      <c r="A87" s="649">
        <v>1</v>
      </c>
      <c r="B87" s="54" t="s">
        <v>5352</v>
      </c>
      <c r="C87" s="55" t="s">
        <v>8790</v>
      </c>
      <c r="D87" s="642">
        <v>3956</v>
      </c>
      <c r="E87" s="642">
        <v>3927</v>
      </c>
      <c r="F87" s="642">
        <v>4015</v>
      </c>
      <c r="G87" s="63">
        <v>4025</v>
      </c>
      <c r="H87" s="63">
        <v>4036</v>
      </c>
      <c r="I87" s="63">
        <v>3884</v>
      </c>
      <c r="J87" s="63">
        <v>3661</v>
      </c>
      <c r="K87" s="63">
        <v>3759</v>
      </c>
      <c r="L87" s="63">
        <v>3768</v>
      </c>
      <c r="M87" s="63">
        <v>3815</v>
      </c>
      <c r="N87" s="63">
        <v>3839</v>
      </c>
      <c r="O87" s="63">
        <v>3907</v>
      </c>
      <c r="P87" s="52"/>
      <c r="Q87" s="54" t="s">
        <v>5313</v>
      </c>
    </row>
    <row r="88" spans="1:17">
      <c r="A88" s="649">
        <v>2</v>
      </c>
      <c r="B88" s="54" t="s">
        <v>6778</v>
      </c>
      <c r="C88" s="55" t="s">
        <v>8791</v>
      </c>
      <c r="D88" s="642">
        <v>4091</v>
      </c>
      <c r="E88" s="642">
        <v>4037</v>
      </c>
      <c r="F88" s="642">
        <v>4066</v>
      </c>
      <c r="G88" s="63">
        <v>4103</v>
      </c>
      <c r="H88" s="63">
        <v>4178</v>
      </c>
      <c r="I88" s="63">
        <v>4060</v>
      </c>
      <c r="J88" s="63">
        <v>3970</v>
      </c>
      <c r="K88" s="63">
        <v>4113</v>
      </c>
      <c r="L88" s="63">
        <v>4105</v>
      </c>
      <c r="M88" s="63">
        <v>4007</v>
      </c>
      <c r="N88" s="63">
        <v>4056</v>
      </c>
      <c r="O88" s="63">
        <v>4110</v>
      </c>
      <c r="P88" s="52"/>
      <c r="Q88" s="54" t="s">
        <v>5313</v>
      </c>
    </row>
    <row r="89" spans="1:17">
      <c r="A89" s="649">
        <v>3</v>
      </c>
      <c r="B89" s="54" t="s">
        <v>6779</v>
      </c>
      <c r="C89" s="55" t="s">
        <v>8792</v>
      </c>
      <c r="D89" s="642">
        <v>1891</v>
      </c>
      <c r="E89" s="642">
        <v>1876</v>
      </c>
      <c r="F89" s="642">
        <v>1882</v>
      </c>
      <c r="G89" s="63">
        <v>1896</v>
      </c>
      <c r="H89" s="63">
        <v>1905</v>
      </c>
      <c r="I89" s="63">
        <v>1895</v>
      </c>
      <c r="J89" s="63">
        <v>1839</v>
      </c>
      <c r="K89" s="63">
        <v>1886</v>
      </c>
      <c r="L89" s="63">
        <v>1918</v>
      </c>
      <c r="M89" s="63">
        <v>1857</v>
      </c>
      <c r="N89" s="63">
        <v>1883</v>
      </c>
      <c r="O89" s="63">
        <v>1910</v>
      </c>
      <c r="P89" s="52"/>
      <c r="Q89" s="54" t="s">
        <v>5322</v>
      </c>
    </row>
    <row r="90" spans="1:17">
      <c r="A90" s="649">
        <v>4</v>
      </c>
      <c r="B90" s="53" t="s">
        <v>6780</v>
      </c>
      <c r="C90" s="55" t="s">
        <v>8793</v>
      </c>
      <c r="D90" s="642">
        <v>6213</v>
      </c>
      <c r="E90" s="642">
        <v>6236</v>
      </c>
      <c r="F90" s="642">
        <v>6279</v>
      </c>
      <c r="G90" s="63">
        <v>6363</v>
      </c>
      <c r="H90" s="63">
        <v>6353</v>
      </c>
      <c r="I90" s="63">
        <v>6197</v>
      </c>
      <c r="J90" s="63">
        <v>6199</v>
      </c>
      <c r="K90" s="63">
        <v>6507</v>
      </c>
      <c r="L90" s="63">
        <v>6671</v>
      </c>
      <c r="M90" s="63">
        <v>6583</v>
      </c>
      <c r="N90" s="63">
        <v>6766</v>
      </c>
      <c r="O90" s="63">
        <v>6886</v>
      </c>
      <c r="P90" s="52"/>
      <c r="Q90" s="54" t="s">
        <v>5313</v>
      </c>
    </row>
    <row r="91" spans="1:17">
      <c r="A91" s="649">
        <v>5</v>
      </c>
      <c r="B91" s="54" t="s">
        <v>6781</v>
      </c>
      <c r="C91" s="55" t="s">
        <v>8794</v>
      </c>
      <c r="D91" s="642">
        <v>2143</v>
      </c>
      <c r="E91" s="642">
        <v>2138</v>
      </c>
      <c r="F91" s="642">
        <v>2152</v>
      </c>
      <c r="G91" s="63">
        <v>2162</v>
      </c>
      <c r="H91" s="63">
        <v>2149</v>
      </c>
      <c r="I91" s="63">
        <v>2124</v>
      </c>
      <c r="J91" s="63">
        <v>2095</v>
      </c>
      <c r="K91" s="63">
        <v>2118</v>
      </c>
      <c r="L91" s="63">
        <v>2147</v>
      </c>
      <c r="M91" s="63">
        <v>2097</v>
      </c>
      <c r="N91" s="63">
        <v>2132</v>
      </c>
      <c r="O91" s="63">
        <v>2177</v>
      </c>
      <c r="P91" s="52"/>
      <c r="Q91" s="54" t="s">
        <v>5313</v>
      </c>
    </row>
    <row r="92" spans="1:17">
      <c r="A92" s="649">
        <v>6</v>
      </c>
      <c r="B92" s="54" t="s">
        <v>6782</v>
      </c>
      <c r="C92" s="55" t="s">
        <v>8795</v>
      </c>
      <c r="D92" s="642">
        <v>4540</v>
      </c>
      <c r="E92" s="642">
        <v>4481</v>
      </c>
      <c r="F92" s="642">
        <v>4553</v>
      </c>
      <c r="G92" s="63">
        <v>4529</v>
      </c>
      <c r="H92" s="63">
        <v>4565</v>
      </c>
      <c r="I92" s="63">
        <v>4436</v>
      </c>
      <c r="J92" s="63">
        <v>4320</v>
      </c>
      <c r="K92" s="63">
        <v>4450</v>
      </c>
      <c r="L92" s="63">
        <v>4412</v>
      </c>
      <c r="M92" s="63">
        <v>4291</v>
      </c>
      <c r="N92" s="63">
        <v>4313</v>
      </c>
      <c r="O92" s="63">
        <v>4353</v>
      </c>
      <c r="P92" s="52"/>
      <c r="Q92" s="54" t="s">
        <v>5313</v>
      </c>
    </row>
    <row r="93" spans="1:17">
      <c r="A93" s="649">
        <v>7</v>
      </c>
      <c r="B93" s="54" t="s">
        <v>6803</v>
      </c>
      <c r="C93" s="55" t="s">
        <v>8796</v>
      </c>
      <c r="D93" s="642">
        <v>4562</v>
      </c>
      <c r="E93" s="642">
        <v>4560</v>
      </c>
      <c r="F93" s="642">
        <v>4621</v>
      </c>
      <c r="G93" s="63">
        <v>4645</v>
      </c>
      <c r="H93" s="63">
        <v>4676</v>
      </c>
      <c r="I93" s="63">
        <v>4617</v>
      </c>
      <c r="J93" s="63">
        <v>4548</v>
      </c>
      <c r="K93" s="63">
        <v>4647</v>
      </c>
      <c r="L93" s="63">
        <v>4651</v>
      </c>
      <c r="M93" s="63">
        <v>4524</v>
      </c>
      <c r="N93" s="63">
        <v>4603</v>
      </c>
      <c r="O93" s="63">
        <v>4655</v>
      </c>
      <c r="P93" s="52"/>
      <c r="Q93" s="54" t="s">
        <v>5322</v>
      </c>
    </row>
    <row r="94" spans="1:17">
      <c r="A94" s="649">
        <v>8</v>
      </c>
      <c r="B94" s="54" t="s">
        <v>6804</v>
      </c>
      <c r="C94" s="55" t="s">
        <v>8797</v>
      </c>
      <c r="D94" s="642">
        <v>4478</v>
      </c>
      <c r="E94" s="642">
        <v>4474</v>
      </c>
      <c r="F94" s="642">
        <v>4512</v>
      </c>
      <c r="G94" s="63">
        <v>4503</v>
      </c>
      <c r="H94" s="63">
        <v>4508</v>
      </c>
      <c r="I94" s="63">
        <v>4429</v>
      </c>
      <c r="J94" s="63">
        <v>4368</v>
      </c>
      <c r="K94" s="63">
        <v>4591</v>
      </c>
      <c r="L94" s="63">
        <v>4630</v>
      </c>
      <c r="M94" s="63">
        <v>4583</v>
      </c>
      <c r="N94" s="63">
        <v>4641</v>
      </c>
      <c r="O94" s="63">
        <v>4718</v>
      </c>
      <c r="P94" s="52"/>
      <c r="Q94" s="54" t="s">
        <v>5322</v>
      </c>
    </row>
    <row r="95" spans="1:17">
      <c r="A95" s="649">
        <v>9</v>
      </c>
      <c r="B95" s="54" t="s">
        <v>6805</v>
      </c>
      <c r="C95" s="55" t="s">
        <v>8798</v>
      </c>
      <c r="D95" s="642">
        <v>4439</v>
      </c>
      <c r="E95" s="642">
        <v>4533</v>
      </c>
      <c r="F95" s="642">
        <v>4527</v>
      </c>
      <c r="G95" s="63">
        <v>4547</v>
      </c>
      <c r="H95" s="63">
        <v>4574</v>
      </c>
      <c r="I95" s="63">
        <v>4490</v>
      </c>
      <c r="J95" s="63">
        <v>4411</v>
      </c>
      <c r="K95" s="63">
        <v>4582</v>
      </c>
      <c r="L95" s="63">
        <v>4681</v>
      </c>
      <c r="M95" s="63">
        <v>4650</v>
      </c>
      <c r="N95" s="63">
        <v>4723</v>
      </c>
      <c r="O95" s="63">
        <v>4766</v>
      </c>
      <c r="P95" s="52"/>
      <c r="Q95" s="54" t="s">
        <v>5322</v>
      </c>
    </row>
    <row r="96" spans="1:17">
      <c r="A96" s="649">
        <v>10</v>
      </c>
      <c r="B96" s="54" t="s">
        <v>6806</v>
      </c>
      <c r="C96" s="55" t="s">
        <v>8799</v>
      </c>
      <c r="D96" s="646">
        <v>6441</v>
      </c>
      <c r="E96" s="646">
        <v>6438</v>
      </c>
      <c r="F96" s="646">
        <v>6445</v>
      </c>
      <c r="G96" s="63">
        <v>6457</v>
      </c>
      <c r="H96" s="63">
        <v>6499</v>
      </c>
      <c r="I96" s="63">
        <v>6408</v>
      </c>
      <c r="J96" s="63">
        <v>6276</v>
      </c>
      <c r="K96" s="63">
        <v>6527</v>
      </c>
      <c r="L96" s="63">
        <v>6528</v>
      </c>
      <c r="M96" s="63">
        <v>6422</v>
      </c>
      <c r="N96" s="63">
        <v>6556</v>
      </c>
      <c r="O96" s="63">
        <v>6596</v>
      </c>
      <c r="P96" s="52"/>
      <c r="Q96" s="54" t="s">
        <v>5322</v>
      </c>
    </row>
    <row r="97" spans="1:17">
      <c r="A97" s="649">
        <v>11</v>
      </c>
      <c r="B97" s="54" t="s">
        <v>6807</v>
      </c>
      <c r="C97" s="55" t="s">
        <v>8800</v>
      </c>
      <c r="D97" s="642">
        <v>6203</v>
      </c>
      <c r="E97" s="642">
        <v>6277</v>
      </c>
      <c r="F97" s="642">
        <v>6580</v>
      </c>
      <c r="G97" s="63">
        <v>6631</v>
      </c>
      <c r="H97" s="63">
        <v>6677</v>
      </c>
      <c r="I97" s="63">
        <v>6491</v>
      </c>
      <c r="J97" s="63">
        <v>6475</v>
      </c>
      <c r="K97" s="63">
        <v>6657</v>
      </c>
      <c r="L97" s="63">
        <v>6615</v>
      </c>
      <c r="M97" s="63">
        <v>6491</v>
      </c>
      <c r="N97" s="63">
        <v>6623</v>
      </c>
      <c r="O97" s="63">
        <v>6691</v>
      </c>
      <c r="P97" s="52"/>
      <c r="Q97" s="54" t="s">
        <v>5313</v>
      </c>
    </row>
    <row r="98" spans="1:17">
      <c r="A98" s="649">
        <v>12</v>
      </c>
      <c r="B98" s="54" t="s">
        <v>6808</v>
      </c>
      <c r="C98" s="55" t="s">
        <v>8801</v>
      </c>
      <c r="D98" s="642">
        <v>6785</v>
      </c>
      <c r="E98" s="642">
        <v>6754</v>
      </c>
      <c r="F98" s="642">
        <v>6779</v>
      </c>
      <c r="G98" s="63">
        <v>6841</v>
      </c>
      <c r="H98" s="63">
        <v>6838</v>
      </c>
      <c r="I98" s="63">
        <v>6676</v>
      </c>
      <c r="J98" s="63">
        <v>6469</v>
      </c>
      <c r="K98" s="63">
        <v>6641</v>
      </c>
      <c r="L98" s="63">
        <v>6636</v>
      </c>
      <c r="M98" s="63">
        <v>6485</v>
      </c>
      <c r="N98" s="63">
        <v>6513</v>
      </c>
      <c r="O98" s="63">
        <v>6566</v>
      </c>
      <c r="P98" s="52"/>
      <c r="Q98" s="54" t="s">
        <v>5313</v>
      </c>
    </row>
    <row r="99" spans="1:17">
      <c r="A99" s="649">
        <v>13</v>
      </c>
      <c r="B99" s="54" t="s">
        <v>6809</v>
      </c>
      <c r="C99" s="55" t="s">
        <v>8802</v>
      </c>
      <c r="D99" s="642">
        <v>4092</v>
      </c>
      <c r="E99" s="642">
        <v>4121</v>
      </c>
      <c r="F99" s="642">
        <v>4106</v>
      </c>
      <c r="G99" s="63">
        <v>4074</v>
      </c>
      <c r="H99" s="63">
        <v>4099</v>
      </c>
      <c r="I99" s="63">
        <v>3999</v>
      </c>
      <c r="J99" s="63">
        <v>3867</v>
      </c>
      <c r="K99" s="63">
        <v>4017</v>
      </c>
      <c r="L99" s="63">
        <v>3994</v>
      </c>
      <c r="M99" s="63">
        <v>3942</v>
      </c>
      <c r="N99" s="63">
        <v>4001</v>
      </c>
      <c r="O99" s="63">
        <v>4020</v>
      </c>
      <c r="P99" s="52"/>
      <c r="Q99" s="54" t="s">
        <v>5313</v>
      </c>
    </row>
    <row r="100" spans="1:17">
      <c r="A100" s="649">
        <v>14</v>
      </c>
      <c r="B100" s="54" t="s">
        <v>6810</v>
      </c>
      <c r="C100" s="55" t="s">
        <v>8803</v>
      </c>
      <c r="D100" s="642">
        <v>5573</v>
      </c>
      <c r="E100" s="642">
        <v>5544</v>
      </c>
      <c r="F100" s="642">
        <v>5539</v>
      </c>
      <c r="G100" s="63">
        <v>5593</v>
      </c>
      <c r="H100" s="63">
        <v>5581</v>
      </c>
      <c r="I100" s="63">
        <v>5388</v>
      </c>
      <c r="J100" s="63">
        <v>5203</v>
      </c>
      <c r="K100" s="63">
        <v>5286</v>
      </c>
      <c r="L100" s="63">
        <v>5314</v>
      </c>
      <c r="M100" s="63">
        <v>5200</v>
      </c>
      <c r="N100" s="63">
        <v>5229</v>
      </c>
      <c r="O100" s="63">
        <v>5269</v>
      </c>
      <c r="P100" s="52"/>
      <c r="Q100" s="54" t="s">
        <v>5313</v>
      </c>
    </row>
    <row r="101" spans="1:17">
      <c r="A101" s="649">
        <v>15</v>
      </c>
      <c r="B101" s="54" t="s">
        <v>6811</v>
      </c>
      <c r="C101" s="55" t="s">
        <v>8804</v>
      </c>
      <c r="D101" s="642">
        <v>3990</v>
      </c>
      <c r="E101" s="642">
        <v>3954</v>
      </c>
      <c r="F101" s="642">
        <v>4018</v>
      </c>
      <c r="G101" s="63">
        <v>4077</v>
      </c>
      <c r="H101" s="63">
        <v>4238</v>
      </c>
      <c r="I101" s="63">
        <v>4014</v>
      </c>
      <c r="J101" s="63">
        <v>3822</v>
      </c>
      <c r="K101" s="63">
        <v>4081</v>
      </c>
      <c r="L101" s="63">
        <v>4207</v>
      </c>
      <c r="M101" s="63">
        <v>4155</v>
      </c>
      <c r="N101" s="63">
        <v>4243</v>
      </c>
      <c r="O101" s="63">
        <v>4296</v>
      </c>
      <c r="P101" s="52"/>
      <c r="Q101" s="54" t="s">
        <v>5313</v>
      </c>
    </row>
    <row r="102" spans="1:17">
      <c r="A102" s="649">
        <v>16</v>
      </c>
      <c r="B102" s="54" t="s">
        <v>735</v>
      </c>
      <c r="C102" s="55" t="s">
        <v>8805</v>
      </c>
      <c r="D102" s="642">
        <v>4063</v>
      </c>
      <c r="E102" s="642">
        <v>4093</v>
      </c>
      <c r="F102" s="642">
        <v>4172</v>
      </c>
      <c r="G102" s="63">
        <v>4168</v>
      </c>
      <c r="H102" s="63">
        <v>4202</v>
      </c>
      <c r="I102" s="63">
        <v>3963</v>
      </c>
      <c r="J102" s="63">
        <v>3723</v>
      </c>
      <c r="K102" s="63">
        <v>3804</v>
      </c>
      <c r="L102" s="63">
        <v>3818</v>
      </c>
      <c r="M102" s="63">
        <v>3727</v>
      </c>
      <c r="N102" s="63">
        <v>3733</v>
      </c>
      <c r="O102" s="63">
        <v>3746</v>
      </c>
      <c r="P102" s="52"/>
      <c r="Q102" s="54" t="s">
        <v>5313</v>
      </c>
    </row>
    <row r="103" spans="1:17">
      <c r="A103" s="649">
        <v>17</v>
      </c>
      <c r="B103" s="54" t="s">
        <v>6812</v>
      </c>
      <c r="C103" s="55" t="s">
        <v>8806</v>
      </c>
      <c r="D103" s="642">
        <v>3868</v>
      </c>
      <c r="E103" s="642">
        <v>3897</v>
      </c>
      <c r="F103" s="642">
        <v>3967</v>
      </c>
      <c r="G103" s="63">
        <v>3990</v>
      </c>
      <c r="H103" s="63">
        <v>4008</v>
      </c>
      <c r="I103" s="63">
        <v>3968</v>
      </c>
      <c r="J103" s="63">
        <v>3930</v>
      </c>
      <c r="K103" s="63">
        <v>4030</v>
      </c>
      <c r="L103" s="63">
        <v>4032</v>
      </c>
      <c r="M103" s="63">
        <v>3935</v>
      </c>
      <c r="N103" s="63">
        <v>4014</v>
      </c>
      <c r="O103" s="63">
        <v>4052</v>
      </c>
      <c r="P103" s="52"/>
      <c r="Q103" s="54" t="s">
        <v>5313</v>
      </c>
    </row>
    <row r="104" spans="1:17">
      <c r="A104" s="649">
        <v>18</v>
      </c>
      <c r="B104" s="54" t="s">
        <v>6813</v>
      </c>
      <c r="C104" s="55" t="s">
        <v>8807</v>
      </c>
      <c r="D104" s="642">
        <v>6804</v>
      </c>
      <c r="E104" s="642">
        <v>6760</v>
      </c>
      <c r="F104" s="642">
        <v>6803</v>
      </c>
      <c r="G104" s="63">
        <v>6814</v>
      </c>
      <c r="H104" s="63">
        <v>6863</v>
      </c>
      <c r="I104" s="63">
        <v>6755</v>
      </c>
      <c r="J104" s="63">
        <v>6748</v>
      </c>
      <c r="K104" s="63">
        <v>6859</v>
      </c>
      <c r="L104" s="63">
        <v>6958</v>
      </c>
      <c r="M104" s="63">
        <v>6831</v>
      </c>
      <c r="N104" s="63">
        <v>6976</v>
      </c>
      <c r="O104" s="63">
        <v>7032</v>
      </c>
      <c r="P104" s="52"/>
      <c r="Q104" s="54" t="s">
        <v>5313</v>
      </c>
    </row>
    <row r="105" spans="1:17">
      <c r="A105" s="649">
        <v>19</v>
      </c>
      <c r="B105" s="54" t="s">
        <v>6814</v>
      </c>
      <c r="C105" s="55" t="s">
        <v>8808</v>
      </c>
      <c r="D105" s="642">
        <v>2114</v>
      </c>
      <c r="E105" s="642">
        <v>2121</v>
      </c>
      <c r="F105" s="642">
        <v>2136</v>
      </c>
      <c r="G105" s="63">
        <v>2248</v>
      </c>
      <c r="H105" s="63">
        <v>2350</v>
      </c>
      <c r="I105" s="63">
        <v>2327</v>
      </c>
      <c r="J105" s="63">
        <v>2350</v>
      </c>
      <c r="K105" s="63">
        <v>2550</v>
      </c>
      <c r="L105" s="63">
        <v>2685</v>
      </c>
      <c r="M105" s="63">
        <v>2675</v>
      </c>
      <c r="N105" s="63">
        <v>2715</v>
      </c>
      <c r="O105" s="63">
        <v>2759</v>
      </c>
      <c r="P105" s="52"/>
      <c r="Q105" s="54" t="s">
        <v>5313</v>
      </c>
    </row>
    <row r="106" spans="1:17">
      <c r="A106" s="649">
        <v>20</v>
      </c>
      <c r="B106" s="54" t="s">
        <v>6815</v>
      </c>
      <c r="C106" s="55" t="s">
        <v>8809</v>
      </c>
      <c r="D106" s="642">
        <v>2167</v>
      </c>
      <c r="E106" s="642">
        <v>2160</v>
      </c>
      <c r="F106" s="642">
        <v>2181</v>
      </c>
      <c r="G106" s="63">
        <v>2172</v>
      </c>
      <c r="H106" s="63">
        <v>2182</v>
      </c>
      <c r="I106" s="63">
        <v>2149</v>
      </c>
      <c r="J106" s="63">
        <v>2127</v>
      </c>
      <c r="K106" s="63">
        <v>2211</v>
      </c>
      <c r="L106" s="63">
        <v>2269</v>
      </c>
      <c r="M106" s="63">
        <v>2210</v>
      </c>
      <c r="N106" s="63">
        <v>2250</v>
      </c>
      <c r="O106" s="63">
        <v>2266</v>
      </c>
      <c r="P106" s="52"/>
      <c r="Q106" s="54" t="s">
        <v>5322</v>
      </c>
    </row>
    <row r="107" spans="1:17">
      <c r="A107" s="649">
        <v>21</v>
      </c>
      <c r="B107" s="54" t="s">
        <v>3865</v>
      </c>
      <c r="C107" s="55" t="s">
        <v>8810</v>
      </c>
      <c r="D107" s="642">
        <v>3968</v>
      </c>
      <c r="E107" s="642">
        <v>3969</v>
      </c>
      <c r="F107" s="642">
        <v>3945</v>
      </c>
      <c r="G107" s="63">
        <v>3949</v>
      </c>
      <c r="H107" s="63">
        <v>3955</v>
      </c>
      <c r="I107" s="63">
        <v>3888</v>
      </c>
      <c r="J107" s="63">
        <v>3822</v>
      </c>
      <c r="K107" s="63">
        <v>3929</v>
      </c>
      <c r="L107" s="63">
        <v>3938</v>
      </c>
      <c r="M107" s="63">
        <v>3868</v>
      </c>
      <c r="N107" s="63">
        <v>3926</v>
      </c>
      <c r="O107" s="63">
        <v>3965</v>
      </c>
      <c r="P107" s="52"/>
      <c r="Q107" s="54" t="s">
        <v>5322</v>
      </c>
    </row>
    <row r="108" spans="1:17">
      <c r="A108" s="649">
        <v>22</v>
      </c>
      <c r="B108" s="54" t="s">
        <v>3866</v>
      </c>
      <c r="C108" s="55" t="s">
        <v>8811</v>
      </c>
      <c r="D108" s="642">
        <v>2199</v>
      </c>
      <c r="E108" s="642">
        <v>2177</v>
      </c>
      <c r="F108" s="642">
        <v>2148</v>
      </c>
      <c r="G108" s="63">
        <v>2178</v>
      </c>
      <c r="H108" s="63">
        <v>2156</v>
      </c>
      <c r="I108" s="63">
        <v>2133</v>
      </c>
      <c r="J108" s="63">
        <v>2149</v>
      </c>
      <c r="K108" s="63">
        <v>2230</v>
      </c>
      <c r="L108" s="63">
        <v>2321</v>
      </c>
      <c r="M108" s="63">
        <v>2317</v>
      </c>
      <c r="N108" s="63">
        <v>2311</v>
      </c>
      <c r="O108" s="63">
        <v>2337</v>
      </c>
      <c r="P108" s="52"/>
      <c r="Q108" s="54" t="s">
        <v>5322</v>
      </c>
    </row>
    <row r="109" spans="1:17">
      <c r="A109" s="649">
        <v>23</v>
      </c>
      <c r="B109" s="54" t="s">
        <v>3867</v>
      </c>
      <c r="C109" s="55" t="s">
        <v>8812</v>
      </c>
      <c r="D109" s="642">
        <v>4169</v>
      </c>
      <c r="E109" s="642">
        <v>4096</v>
      </c>
      <c r="F109" s="642">
        <v>4111</v>
      </c>
      <c r="G109" s="63">
        <v>4156</v>
      </c>
      <c r="H109" s="63">
        <v>4127</v>
      </c>
      <c r="I109" s="63">
        <v>4077</v>
      </c>
      <c r="J109" s="63">
        <v>4017</v>
      </c>
      <c r="K109" s="63">
        <v>4166</v>
      </c>
      <c r="L109" s="63">
        <v>4197</v>
      </c>
      <c r="M109" s="63">
        <v>4143</v>
      </c>
      <c r="N109" s="63">
        <v>4251</v>
      </c>
      <c r="O109" s="63">
        <v>4299</v>
      </c>
      <c r="P109" s="52"/>
      <c r="Q109" s="54" t="s">
        <v>5322</v>
      </c>
    </row>
    <row r="110" spans="1:17">
      <c r="A110" s="649">
        <v>24</v>
      </c>
      <c r="B110" s="53" t="s">
        <v>5934</v>
      </c>
      <c r="C110" s="55" t="s">
        <v>8813</v>
      </c>
      <c r="D110" s="642">
        <v>4116</v>
      </c>
      <c r="E110" s="642">
        <v>4149</v>
      </c>
      <c r="F110" s="642">
        <v>4124</v>
      </c>
      <c r="G110" s="63">
        <v>4152</v>
      </c>
      <c r="H110" s="63">
        <v>4176</v>
      </c>
      <c r="I110" s="63">
        <v>4142</v>
      </c>
      <c r="J110" s="63">
        <v>4135</v>
      </c>
      <c r="K110" s="63">
        <v>4289</v>
      </c>
      <c r="L110" s="63">
        <v>4338</v>
      </c>
      <c r="M110" s="63">
        <v>4318</v>
      </c>
      <c r="N110" s="63">
        <v>4359</v>
      </c>
      <c r="O110" s="63">
        <v>4406</v>
      </c>
      <c r="P110" s="52"/>
      <c r="Q110" s="54" t="s">
        <v>5313</v>
      </c>
    </row>
    <row r="111" spans="1:17">
      <c r="A111" s="649">
        <v>25</v>
      </c>
      <c r="B111" s="54" t="s">
        <v>3868</v>
      </c>
      <c r="C111" s="55" t="s">
        <v>8814</v>
      </c>
      <c r="D111" s="642">
        <v>4131</v>
      </c>
      <c r="E111" s="642">
        <v>4072</v>
      </c>
      <c r="F111" s="642">
        <v>4093</v>
      </c>
      <c r="G111" s="63">
        <v>4078</v>
      </c>
      <c r="H111" s="63">
        <v>4132</v>
      </c>
      <c r="I111" s="63">
        <v>3964</v>
      </c>
      <c r="J111" s="63">
        <v>3728</v>
      </c>
      <c r="K111" s="63">
        <v>3890</v>
      </c>
      <c r="L111" s="63">
        <v>4036</v>
      </c>
      <c r="M111" s="63">
        <v>4115</v>
      </c>
      <c r="N111" s="63">
        <v>4203</v>
      </c>
      <c r="O111" s="63">
        <v>4265</v>
      </c>
      <c r="P111" s="52"/>
      <c r="Q111" s="54" t="s">
        <v>5313</v>
      </c>
    </row>
    <row r="112" spans="1:17">
      <c r="A112" s="52"/>
      <c r="B112" s="52"/>
      <c r="C112" s="54"/>
      <c r="D112" s="642"/>
      <c r="E112" s="642"/>
      <c r="F112" s="642"/>
      <c r="G112" s="642"/>
      <c r="H112" s="642"/>
      <c r="I112" s="642"/>
      <c r="J112" s="642"/>
      <c r="K112" s="642"/>
      <c r="L112" s="642"/>
      <c r="M112" s="642"/>
      <c r="N112" s="642"/>
      <c r="O112" s="642"/>
      <c r="P112" s="52"/>
      <c r="Q112" s="54"/>
    </row>
    <row r="113" spans="1:17">
      <c r="A113" s="54" t="s">
        <v>5313</v>
      </c>
      <c r="C113" s="54"/>
      <c r="D113" s="642">
        <f t="shared" ref="D113:I113" si="90">D87+D88+SUM(D90:D92)+SUM(D97:D105)+D110+D111</f>
        <v>72682</v>
      </c>
      <c r="E113" s="642">
        <f t="shared" si="90"/>
        <v>72561</v>
      </c>
      <c r="F113" s="642">
        <f t="shared" si="90"/>
        <v>73382</v>
      </c>
      <c r="G113" s="642">
        <f t="shared" si="90"/>
        <v>73848</v>
      </c>
      <c r="H113" s="642">
        <f t="shared" si="90"/>
        <v>74445</v>
      </c>
      <c r="I113" s="642">
        <f t="shared" si="90"/>
        <v>72388</v>
      </c>
      <c r="J113" s="642">
        <f t="shared" ref="J113:O113" si="91">J87+J88+SUM(J90:J92)+SUM(J97:J105)+J110+J111</f>
        <v>70695</v>
      </c>
      <c r="K113" s="642">
        <f t="shared" si="91"/>
        <v>73051</v>
      </c>
      <c r="L113" s="642">
        <f t="shared" si="91"/>
        <v>73736</v>
      </c>
      <c r="M113" s="642">
        <f t="shared" si="91"/>
        <v>72667</v>
      </c>
      <c r="N113" s="642">
        <f t="shared" si="91"/>
        <v>73715</v>
      </c>
      <c r="O113" s="642">
        <f t="shared" si="91"/>
        <v>74535</v>
      </c>
      <c r="P113" s="52"/>
      <c r="Q113" s="54"/>
    </row>
    <row r="114" spans="1:17">
      <c r="A114" s="54" t="s">
        <v>3869</v>
      </c>
      <c r="D114" s="642">
        <f t="shared" ref="D114:I114" si="92">D89+SUM(D93:D96)+SUM(D106:D109)</f>
        <v>34314</v>
      </c>
      <c r="E114" s="642">
        <f t="shared" si="92"/>
        <v>34283</v>
      </c>
      <c r="F114" s="642">
        <f t="shared" si="92"/>
        <v>34372</v>
      </c>
      <c r="G114" s="642">
        <f t="shared" si="92"/>
        <v>34503</v>
      </c>
      <c r="H114" s="642">
        <f t="shared" si="92"/>
        <v>34582</v>
      </c>
      <c r="I114" s="642">
        <f t="shared" si="92"/>
        <v>34086</v>
      </c>
      <c r="J114" s="642">
        <f t="shared" ref="J114:O114" si="93">J89+SUM(J93:J96)+SUM(J106:J109)</f>
        <v>33557</v>
      </c>
      <c r="K114" s="642">
        <f t="shared" si="93"/>
        <v>34769</v>
      </c>
      <c r="L114" s="642">
        <f t="shared" si="93"/>
        <v>35133</v>
      </c>
      <c r="M114" s="642">
        <f t="shared" si="93"/>
        <v>34574</v>
      </c>
      <c r="N114" s="642">
        <f t="shared" si="93"/>
        <v>35144</v>
      </c>
      <c r="O114" s="642">
        <f t="shared" si="93"/>
        <v>35512</v>
      </c>
      <c r="P114" s="52"/>
      <c r="Q114" s="52"/>
    </row>
    <row r="115" spans="1:17">
      <c r="A115" s="54"/>
      <c r="B115" s="54"/>
      <c r="P115" s="52"/>
      <c r="Q115" s="52"/>
    </row>
    <row r="116" spans="1:17">
      <c r="A116" s="53" t="s">
        <v>4684</v>
      </c>
      <c r="P116" s="52"/>
      <c r="Q116" s="52"/>
    </row>
    <row r="117" spans="1:17">
      <c r="A117" s="54"/>
      <c r="B117" s="54"/>
      <c r="C117" s="52"/>
      <c r="D117" s="650"/>
      <c r="E117" s="650"/>
      <c r="F117" s="650"/>
      <c r="G117" s="650"/>
      <c r="H117" s="650"/>
      <c r="I117" s="650"/>
      <c r="J117" s="650"/>
      <c r="K117" s="650"/>
      <c r="L117" s="650"/>
      <c r="M117" s="650"/>
      <c r="N117" s="650"/>
      <c r="O117" s="650"/>
      <c r="P117" s="52"/>
      <c r="Q117" s="52"/>
    </row>
    <row r="118" spans="1:17">
      <c r="C118" s="52"/>
      <c r="D118" s="650"/>
      <c r="E118" s="650"/>
      <c r="F118" s="650"/>
      <c r="G118" s="650"/>
      <c r="H118" s="650"/>
      <c r="I118" s="650"/>
      <c r="J118" s="650"/>
      <c r="K118" s="650"/>
      <c r="L118" s="650"/>
      <c r="M118" s="650"/>
      <c r="N118" s="650"/>
      <c r="O118" s="650"/>
      <c r="P118" s="52"/>
      <c r="Q118" s="52"/>
    </row>
    <row r="119" spans="1:17">
      <c r="A119" s="52"/>
      <c r="B119" s="52"/>
      <c r="E119" s="51" t="s">
        <v>1526</v>
      </c>
      <c r="F119" s="51"/>
      <c r="G119" s="51"/>
      <c r="H119" s="51"/>
      <c r="I119" s="51"/>
      <c r="J119" s="51"/>
      <c r="K119" s="51"/>
      <c r="L119" s="51"/>
      <c r="M119" s="51"/>
      <c r="N119" s="51"/>
      <c r="O119" s="51"/>
      <c r="P119" s="276"/>
      <c r="Q119" s="11" t="s">
        <v>9479</v>
      </c>
    </row>
    <row r="120" spans="1:17">
      <c r="A120" s="52"/>
      <c r="B120" s="52"/>
      <c r="C120" s="52"/>
      <c r="D120" s="350">
        <v>2010</v>
      </c>
      <c r="E120" s="350">
        <v>2011</v>
      </c>
      <c r="F120" s="350">
        <v>2012</v>
      </c>
      <c r="G120" s="350">
        <v>2013</v>
      </c>
      <c r="H120" s="350">
        <v>2014</v>
      </c>
      <c r="I120" s="350">
        <v>2015</v>
      </c>
      <c r="J120" s="350">
        <v>2016</v>
      </c>
      <c r="K120" s="350">
        <v>2017</v>
      </c>
      <c r="L120" s="350">
        <v>2018</v>
      </c>
      <c r="M120" s="350">
        <v>2019</v>
      </c>
      <c r="N120" s="350">
        <v>2020</v>
      </c>
      <c r="O120" s="944" t="s">
        <v>14823</v>
      </c>
      <c r="P120" s="410"/>
      <c r="Q120" s="13" t="s">
        <v>1527</v>
      </c>
    </row>
    <row r="121" spans="1:17">
      <c r="A121" s="54" t="s">
        <v>4685</v>
      </c>
      <c r="C121" s="52"/>
      <c r="D121" s="642">
        <f t="shared" ref="D121:I121" si="94">SUM(D122:D151)</f>
        <v>101416</v>
      </c>
      <c r="E121" s="642">
        <f t="shared" si="94"/>
        <v>102932</v>
      </c>
      <c r="F121" s="642">
        <f t="shared" si="94"/>
        <v>101872</v>
      </c>
      <c r="G121" s="642">
        <f t="shared" si="94"/>
        <v>103019</v>
      </c>
      <c r="H121" s="642">
        <f t="shared" si="94"/>
        <v>100180</v>
      </c>
      <c r="I121" s="642">
        <f t="shared" si="94"/>
        <v>100388</v>
      </c>
      <c r="J121" s="642">
        <f t="shared" ref="J121:O121" si="95">SUM(J122:J151)</f>
        <v>101155</v>
      </c>
      <c r="K121" s="642">
        <f t="shared" si="95"/>
        <v>106579</v>
      </c>
      <c r="L121" s="642">
        <f t="shared" si="95"/>
        <v>106632</v>
      </c>
      <c r="M121" s="642">
        <f t="shared" si="95"/>
        <v>105503</v>
      </c>
      <c r="N121" s="642">
        <f t="shared" si="95"/>
        <v>106750</v>
      </c>
      <c r="O121" s="642">
        <f t="shared" si="95"/>
        <v>109008</v>
      </c>
      <c r="P121" s="52"/>
      <c r="Q121" s="52"/>
    </row>
    <row r="122" spans="1:17">
      <c r="A122" s="649">
        <v>1</v>
      </c>
      <c r="B122" s="54" t="s">
        <v>3157</v>
      </c>
      <c r="C122" s="53" t="s">
        <v>14743</v>
      </c>
      <c r="D122" s="642">
        <v>5519</v>
      </c>
      <c r="E122" s="642">
        <v>5642</v>
      </c>
      <c r="F122" s="642">
        <v>5591</v>
      </c>
      <c r="G122" s="642">
        <v>5641</v>
      </c>
      <c r="H122" s="63">
        <v>5613</v>
      </c>
      <c r="I122" s="58">
        <v>5587</v>
      </c>
      <c r="J122" s="63">
        <v>5431</v>
      </c>
      <c r="K122" s="63">
        <v>5663</v>
      </c>
      <c r="L122" s="63">
        <v>5640</v>
      </c>
      <c r="M122" s="63">
        <v>5455</v>
      </c>
      <c r="N122" s="63">
        <v>5377</v>
      </c>
      <c r="O122" s="63">
        <v>5524</v>
      </c>
      <c r="P122" s="52"/>
      <c r="Q122" s="54" t="s">
        <v>5315</v>
      </c>
    </row>
    <row r="123" spans="1:17">
      <c r="A123" s="649">
        <v>2</v>
      </c>
      <c r="B123" s="54" t="s">
        <v>3158</v>
      </c>
      <c r="C123" s="53" t="s">
        <v>14744</v>
      </c>
      <c r="D123" s="642">
        <v>6989</v>
      </c>
      <c r="E123" s="642">
        <v>7090</v>
      </c>
      <c r="F123" s="642">
        <v>7031</v>
      </c>
      <c r="G123" s="642">
        <v>7076</v>
      </c>
      <c r="H123" s="63">
        <v>6547</v>
      </c>
      <c r="I123" s="58">
        <v>6589</v>
      </c>
      <c r="J123" s="63">
        <v>6537</v>
      </c>
      <c r="K123" s="63">
        <v>6872</v>
      </c>
      <c r="L123" s="63">
        <v>6813</v>
      </c>
      <c r="M123" s="63">
        <v>6686</v>
      </c>
      <c r="N123" s="63">
        <v>6515</v>
      </c>
      <c r="O123" s="63">
        <v>6659</v>
      </c>
      <c r="P123" s="52"/>
      <c r="Q123" s="54" t="s">
        <v>5315</v>
      </c>
    </row>
    <row r="124" spans="1:17">
      <c r="A124" s="649">
        <v>3</v>
      </c>
      <c r="B124" s="54" t="s">
        <v>3159</v>
      </c>
      <c r="C124" s="53" t="s">
        <v>14745</v>
      </c>
      <c r="D124" s="642">
        <v>4255</v>
      </c>
      <c r="E124" s="642">
        <v>4317</v>
      </c>
      <c r="F124" s="642">
        <v>4244</v>
      </c>
      <c r="G124" s="642">
        <v>4312</v>
      </c>
      <c r="H124" s="63">
        <v>4173</v>
      </c>
      <c r="I124" s="58">
        <v>4131</v>
      </c>
      <c r="J124" s="63">
        <v>4090</v>
      </c>
      <c r="K124" s="63">
        <v>4286</v>
      </c>
      <c r="L124" s="63">
        <v>4237</v>
      </c>
      <c r="M124" s="63">
        <v>4166</v>
      </c>
      <c r="N124" s="63">
        <v>4061</v>
      </c>
      <c r="O124" s="63">
        <v>4188</v>
      </c>
      <c r="P124" s="52"/>
      <c r="Q124" s="54" t="s">
        <v>5315</v>
      </c>
    </row>
    <row r="125" spans="1:17">
      <c r="A125" s="649">
        <v>4</v>
      </c>
      <c r="B125" s="54" t="s">
        <v>3160</v>
      </c>
      <c r="C125" s="53" t="s">
        <v>14746</v>
      </c>
      <c r="D125" s="642">
        <v>4029</v>
      </c>
      <c r="E125" s="642">
        <v>4032</v>
      </c>
      <c r="F125" s="642">
        <v>4025</v>
      </c>
      <c r="G125" s="642">
        <v>4012</v>
      </c>
      <c r="H125" s="63">
        <v>3948</v>
      </c>
      <c r="I125" s="58">
        <v>3983</v>
      </c>
      <c r="J125" s="63">
        <v>3949</v>
      </c>
      <c r="K125" s="63">
        <v>4101</v>
      </c>
      <c r="L125" s="63">
        <v>4053</v>
      </c>
      <c r="M125" s="63">
        <v>4021</v>
      </c>
      <c r="N125" s="63">
        <v>4307</v>
      </c>
      <c r="O125" s="63">
        <v>4408</v>
      </c>
      <c r="P125" s="52"/>
      <c r="Q125" s="54" t="s">
        <v>5315</v>
      </c>
    </row>
    <row r="126" spans="1:17">
      <c r="A126" s="649">
        <v>5</v>
      </c>
      <c r="B126" s="54" t="s">
        <v>3161</v>
      </c>
      <c r="C126" s="53" t="s">
        <v>14747</v>
      </c>
      <c r="D126" s="642">
        <v>6365</v>
      </c>
      <c r="E126" s="642">
        <v>6440</v>
      </c>
      <c r="F126" s="642">
        <v>6396</v>
      </c>
      <c r="G126" s="642">
        <v>6424</v>
      </c>
      <c r="H126" s="63">
        <v>6333</v>
      </c>
      <c r="I126" s="58">
        <v>6300</v>
      </c>
      <c r="J126" s="63">
        <v>6199</v>
      </c>
      <c r="K126" s="63">
        <v>6476</v>
      </c>
      <c r="L126" s="63">
        <v>6427</v>
      </c>
      <c r="M126" s="63">
        <v>6274</v>
      </c>
      <c r="N126" s="63">
        <v>6629</v>
      </c>
      <c r="O126" s="63">
        <v>6697</v>
      </c>
      <c r="P126" s="52"/>
      <c r="Q126" s="54" t="s">
        <v>5315</v>
      </c>
    </row>
    <row r="127" spans="1:17">
      <c r="A127" s="649">
        <v>6</v>
      </c>
      <c r="B127" s="54" t="s">
        <v>3162</v>
      </c>
      <c r="C127" s="55" t="s">
        <v>8815</v>
      </c>
      <c r="D127" s="642">
        <v>1938</v>
      </c>
      <c r="E127" s="642">
        <v>1996</v>
      </c>
      <c r="F127" s="642">
        <v>1986</v>
      </c>
      <c r="G127" s="642">
        <v>2040</v>
      </c>
      <c r="H127" s="63">
        <v>2041</v>
      </c>
      <c r="I127" s="58">
        <v>2044</v>
      </c>
      <c r="J127" s="63">
        <v>2061</v>
      </c>
      <c r="K127" s="63">
        <v>2163</v>
      </c>
      <c r="L127" s="63">
        <v>2153</v>
      </c>
      <c r="M127" s="63">
        <v>2145</v>
      </c>
      <c r="N127" s="63">
        <v>2175</v>
      </c>
      <c r="O127" s="63">
        <v>2207</v>
      </c>
      <c r="P127" s="52"/>
      <c r="Q127" s="54" t="s">
        <v>5321</v>
      </c>
    </row>
    <row r="128" spans="1:17">
      <c r="A128" s="649">
        <v>7</v>
      </c>
      <c r="B128" s="54" t="s">
        <v>3163</v>
      </c>
      <c r="C128" s="53" t="s">
        <v>14748</v>
      </c>
      <c r="D128" s="642">
        <v>4043</v>
      </c>
      <c r="E128" s="642">
        <v>4122</v>
      </c>
      <c r="F128" s="642">
        <v>4073</v>
      </c>
      <c r="G128" s="642">
        <v>4197</v>
      </c>
      <c r="H128" s="63">
        <v>4002</v>
      </c>
      <c r="I128" s="58">
        <v>4074</v>
      </c>
      <c r="J128" s="63">
        <v>4289</v>
      </c>
      <c r="K128" s="63">
        <v>4621</v>
      </c>
      <c r="L128" s="63">
        <v>4870</v>
      </c>
      <c r="M128" s="63">
        <v>5155</v>
      </c>
      <c r="N128" s="63">
        <v>5639</v>
      </c>
      <c r="O128" s="63">
        <v>5829</v>
      </c>
      <c r="P128" s="52"/>
      <c r="Q128" s="54" t="s">
        <v>5321</v>
      </c>
    </row>
    <row r="129" spans="1:17">
      <c r="A129" s="649">
        <v>8</v>
      </c>
      <c r="B129" s="54" t="s">
        <v>3164</v>
      </c>
      <c r="C129" s="55" t="s">
        <v>8816</v>
      </c>
      <c r="D129" s="642">
        <v>1908</v>
      </c>
      <c r="E129" s="642">
        <v>1937</v>
      </c>
      <c r="F129" s="642">
        <v>1926</v>
      </c>
      <c r="G129" s="642">
        <v>1957</v>
      </c>
      <c r="H129" s="63">
        <v>1926</v>
      </c>
      <c r="I129" s="58">
        <v>1918</v>
      </c>
      <c r="J129" s="63">
        <v>1911</v>
      </c>
      <c r="K129" s="63">
        <v>1948</v>
      </c>
      <c r="L129" s="63">
        <v>1952</v>
      </c>
      <c r="M129" s="63">
        <v>1926</v>
      </c>
      <c r="N129" s="63">
        <v>1929</v>
      </c>
      <c r="O129" s="63">
        <v>1973</v>
      </c>
      <c r="P129" s="52"/>
      <c r="Q129" s="54" t="s">
        <v>5325</v>
      </c>
    </row>
    <row r="130" spans="1:17">
      <c r="A130" s="649">
        <v>9</v>
      </c>
      <c r="B130" s="54" t="s">
        <v>3165</v>
      </c>
      <c r="C130" s="55" t="s">
        <v>8817</v>
      </c>
      <c r="D130" s="642">
        <v>2076</v>
      </c>
      <c r="E130" s="642">
        <v>2118</v>
      </c>
      <c r="F130" s="642">
        <v>2061</v>
      </c>
      <c r="G130" s="642">
        <v>2097</v>
      </c>
      <c r="H130" s="63">
        <v>2159</v>
      </c>
      <c r="I130" s="58">
        <v>2157</v>
      </c>
      <c r="J130" s="63">
        <v>2173</v>
      </c>
      <c r="K130" s="63">
        <v>2233</v>
      </c>
      <c r="L130" s="63">
        <v>2164</v>
      </c>
      <c r="M130" s="63">
        <v>2134</v>
      </c>
      <c r="N130" s="63">
        <v>2151</v>
      </c>
      <c r="O130" s="63">
        <v>2163</v>
      </c>
      <c r="P130" s="52"/>
      <c r="Q130" s="54" t="s">
        <v>5315</v>
      </c>
    </row>
    <row r="131" spans="1:17">
      <c r="A131" s="649">
        <v>10</v>
      </c>
      <c r="B131" s="54" t="s">
        <v>3166</v>
      </c>
      <c r="C131" s="55" t="s">
        <v>8818</v>
      </c>
      <c r="D131" s="642">
        <v>5791</v>
      </c>
      <c r="E131" s="642">
        <v>5784</v>
      </c>
      <c r="F131" s="642">
        <v>5778</v>
      </c>
      <c r="G131" s="642">
        <v>5879</v>
      </c>
      <c r="H131" s="63">
        <v>5725</v>
      </c>
      <c r="I131" s="58">
        <v>5756</v>
      </c>
      <c r="J131" s="63">
        <v>5681</v>
      </c>
      <c r="K131" s="63">
        <v>5953</v>
      </c>
      <c r="L131" s="63">
        <v>5999</v>
      </c>
      <c r="M131" s="63">
        <v>5881</v>
      </c>
      <c r="N131" s="63">
        <v>5900</v>
      </c>
      <c r="O131" s="63">
        <v>6025</v>
      </c>
      <c r="P131" s="52"/>
      <c r="Q131" s="54" t="s">
        <v>5315</v>
      </c>
    </row>
    <row r="132" spans="1:17">
      <c r="A132" s="649">
        <v>11</v>
      </c>
      <c r="B132" s="54" t="s">
        <v>3167</v>
      </c>
      <c r="C132" s="55" t="s">
        <v>8819</v>
      </c>
      <c r="D132" s="642">
        <v>5967</v>
      </c>
      <c r="E132" s="642">
        <v>6192</v>
      </c>
      <c r="F132" s="642">
        <v>6117</v>
      </c>
      <c r="G132" s="642">
        <v>6259</v>
      </c>
      <c r="H132" s="63">
        <v>5938</v>
      </c>
      <c r="I132" s="58">
        <v>5993</v>
      </c>
      <c r="J132" s="63">
        <v>6252</v>
      </c>
      <c r="K132" s="63">
        <v>6772</v>
      </c>
      <c r="L132" s="63">
        <v>6897</v>
      </c>
      <c r="M132" s="63">
        <v>6793</v>
      </c>
      <c r="N132" s="63">
        <v>6930</v>
      </c>
      <c r="O132" s="63">
        <v>7144</v>
      </c>
      <c r="P132" s="52"/>
      <c r="Q132" s="54" t="s">
        <v>5315</v>
      </c>
    </row>
    <row r="133" spans="1:17">
      <c r="A133" s="649">
        <v>12</v>
      </c>
      <c r="B133" s="53" t="s">
        <v>3178</v>
      </c>
      <c r="C133" s="55" t="s">
        <v>8820</v>
      </c>
      <c r="D133" s="642">
        <v>2174</v>
      </c>
      <c r="E133" s="642">
        <v>2158</v>
      </c>
      <c r="F133" s="642">
        <v>2091</v>
      </c>
      <c r="G133" s="642">
        <v>2148</v>
      </c>
      <c r="H133" s="63">
        <v>2163</v>
      </c>
      <c r="I133" s="58">
        <v>2151</v>
      </c>
      <c r="J133" s="63">
        <v>2137</v>
      </c>
      <c r="K133" s="63">
        <v>2249</v>
      </c>
      <c r="L133" s="63">
        <v>2258</v>
      </c>
      <c r="M133" s="63">
        <v>2262</v>
      </c>
      <c r="N133" s="63">
        <v>2291</v>
      </c>
      <c r="O133" s="63">
        <v>2345</v>
      </c>
      <c r="P133" s="52"/>
      <c r="Q133" s="54" t="s">
        <v>5315</v>
      </c>
    </row>
    <row r="134" spans="1:17">
      <c r="A134" s="649">
        <v>13</v>
      </c>
      <c r="B134" s="54" t="s">
        <v>3179</v>
      </c>
      <c r="C134" s="55" t="s">
        <v>8821</v>
      </c>
      <c r="D134" s="642">
        <v>3932</v>
      </c>
      <c r="E134" s="642">
        <v>3891</v>
      </c>
      <c r="F134" s="642">
        <v>3880</v>
      </c>
      <c r="G134" s="642">
        <v>3954</v>
      </c>
      <c r="H134" s="63">
        <v>3793</v>
      </c>
      <c r="I134" s="58">
        <v>3824</v>
      </c>
      <c r="J134" s="63">
        <v>3912</v>
      </c>
      <c r="K134" s="63">
        <v>4264</v>
      </c>
      <c r="L134" s="63">
        <v>4282</v>
      </c>
      <c r="M134" s="63">
        <v>4237</v>
      </c>
      <c r="N134" s="63">
        <v>4282</v>
      </c>
      <c r="O134" s="63">
        <v>4363</v>
      </c>
      <c r="P134" s="52"/>
      <c r="Q134" s="54" t="s">
        <v>5315</v>
      </c>
    </row>
    <row r="135" spans="1:17">
      <c r="A135" s="649">
        <v>14</v>
      </c>
      <c r="B135" s="54" t="s">
        <v>3180</v>
      </c>
      <c r="C135" s="55" t="s">
        <v>8822</v>
      </c>
      <c r="D135" s="642">
        <v>1787</v>
      </c>
      <c r="E135" s="642">
        <v>1796</v>
      </c>
      <c r="F135" s="642">
        <v>1778</v>
      </c>
      <c r="G135" s="642">
        <v>1787</v>
      </c>
      <c r="H135" s="63">
        <v>1672</v>
      </c>
      <c r="I135" s="58">
        <v>1710</v>
      </c>
      <c r="J135" s="63">
        <v>1769</v>
      </c>
      <c r="K135" s="63">
        <v>1854</v>
      </c>
      <c r="L135" s="63">
        <v>1831</v>
      </c>
      <c r="M135" s="63">
        <v>1805</v>
      </c>
      <c r="N135" s="63">
        <v>1813</v>
      </c>
      <c r="O135" s="63">
        <v>1849</v>
      </c>
      <c r="P135" s="52"/>
      <c r="Q135" s="54" t="s">
        <v>5321</v>
      </c>
    </row>
    <row r="136" spans="1:17">
      <c r="A136" s="649">
        <v>15</v>
      </c>
      <c r="B136" s="53" t="s">
        <v>3181</v>
      </c>
      <c r="C136" s="55" t="s">
        <v>8823</v>
      </c>
      <c r="D136" s="651">
        <v>1917</v>
      </c>
      <c r="E136" s="651">
        <v>1934</v>
      </c>
      <c r="F136" s="651">
        <v>1960</v>
      </c>
      <c r="G136" s="651">
        <v>1966</v>
      </c>
      <c r="H136" s="63">
        <v>1868</v>
      </c>
      <c r="I136" s="58">
        <v>1874</v>
      </c>
      <c r="J136" s="63">
        <v>1968</v>
      </c>
      <c r="K136" s="63">
        <v>2061</v>
      </c>
      <c r="L136" s="63">
        <v>2048</v>
      </c>
      <c r="M136" s="63">
        <v>2023</v>
      </c>
      <c r="N136" s="63">
        <v>2028</v>
      </c>
      <c r="O136" s="63">
        <v>2087</v>
      </c>
      <c r="P136" s="52"/>
      <c r="Q136" s="54" t="s">
        <v>5321</v>
      </c>
    </row>
    <row r="137" spans="1:17">
      <c r="A137" s="649">
        <v>16</v>
      </c>
      <c r="B137" s="54" t="s">
        <v>3182</v>
      </c>
      <c r="C137" s="55" t="s">
        <v>8824</v>
      </c>
      <c r="D137" s="642">
        <v>4122</v>
      </c>
      <c r="E137" s="642">
        <v>4174</v>
      </c>
      <c r="F137" s="642">
        <v>4051</v>
      </c>
      <c r="G137" s="642">
        <v>4082</v>
      </c>
      <c r="H137" s="63">
        <v>3960</v>
      </c>
      <c r="I137" s="58">
        <v>3949</v>
      </c>
      <c r="J137" s="63">
        <v>3921</v>
      </c>
      <c r="K137" s="63">
        <v>4082</v>
      </c>
      <c r="L137" s="63">
        <v>4029</v>
      </c>
      <c r="M137" s="63">
        <v>3967</v>
      </c>
      <c r="N137" s="63">
        <v>3987</v>
      </c>
      <c r="O137" s="63">
        <v>4084</v>
      </c>
      <c r="P137" s="52"/>
      <c r="Q137" s="54" t="s">
        <v>5315</v>
      </c>
    </row>
    <row r="138" spans="1:17">
      <c r="A138" s="649">
        <v>17</v>
      </c>
      <c r="B138" s="54" t="s">
        <v>3183</v>
      </c>
      <c r="C138" s="55" t="s">
        <v>8825</v>
      </c>
      <c r="D138" s="642">
        <v>2064</v>
      </c>
      <c r="E138" s="642">
        <v>2097</v>
      </c>
      <c r="F138" s="642">
        <v>2102</v>
      </c>
      <c r="G138" s="642">
        <v>2107</v>
      </c>
      <c r="H138" s="63">
        <v>2087</v>
      </c>
      <c r="I138" s="58">
        <v>2077</v>
      </c>
      <c r="J138" s="63">
        <v>2155</v>
      </c>
      <c r="K138" s="63">
        <v>2430</v>
      </c>
      <c r="L138" s="63">
        <v>2537</v>
      </c>
      <c r="M138" s="63">
        <v>2520</v>
      </c>
      <c r="N138" s="63">
        <v>2545</v>
      </c>
      <c r="O138" s="63">
        <v>2623</v>
      </c>
      <c r="P138" s="52"/>
      <c r="Q138" s="54" t="s">
        <v>5315</v>
      </c>
    </row>
    <row r="139" spans="1:17">
      <c r="A139" s="649">
        <v>18</v>
      </c>
      <c r="B139" s="54" t="s">
        <v>3184</v>
      </c>
      <c r="C139" s="55" t="s">
        <v>8826</v>
      </c>
      <c r="D139" s="642">
        <v>1781</v>
      </c>
      <c r="E139" s="642">
        <v>1850</v>
      </c>
      <c r="F139" s="642">
        <v>1830</v>
      </c>
      <c r="G139" s="642">
        <v>1818</v>
      </c>
      <c r="H139" s="63">
        <v>1783</v>
      </c>
      <c r="I139" s="58">
        <v>1779</v>
      </c>
      <c r="J139" s="63">
        <v>1857</v>
      </c>
      <c r="K139" s="63">
        <v>1960</v>
      </c>
      <c r="L139" s="63">
        <v>1972</v>
      </c>
      <c r="M139" s="63">
        <v>1953</v>
      </c>
      <c r="N139" s="63">
        <v>1948</v>
      </c>
      <c r="O139" s="63">
        <v>1970</v>
      </c>
      <c r="P139" s="52"/>
      <c r="Q139" s="54" t="s">
        <v>5321</v>
      </c>
    </row>
    <row r="140" spans="1:17">
      <c r="A140" s="649">
        <v>19</v>
      </c>
      <c r="B140" s="53" t="s">
        <v>3185</v>
      </c>
      <c r="C140" s="53" t="s">
        <v>14749</v>
      </c>
      <c r="D140" s="642">
        <v>1851</v>
      </c>
      <c r="E140" s="642">
        <v>1907</v>
      </c>
      <c r="F140" s="642">
        <v>1909</v>
      </c>
      <c r="G140" s="642">
        <v>1976</v>
      </c>
      <c r="H140" s="63">
        <v>1922</v>
      </c>
      <c r="I140" s="58">
        <v>1889</v>
      </c>
      <c r="J140" s="63">
        <v>1927</v>
      </c>
      <c r="K140" s="63">
        <v>1998</v>
      </c>
      <c r="L140" s="63">
        <v>2009</v>
      </c>
      <c r="M140" s="63">
        <v>2076</v>
      </c>
      <c r="N140" s="63">
        <v>1991</v>
      </c>
      <c r="O140" s="63">
        <v>2017</v>
      </c>
      <c r="P140" s="52"/>
      <c r="Q140" s="54" t="s">
        <v>5321</v>
      </c>
    </row>
    <row r="141" spans="1:17">
      <c r="A141" s="649">
        <v>20</v>
      </c>
      <c r="B141" s="54" t="s">
        <v>3186</v>
      </c>
      <c r="C141" s="55" t="s">
        <v>8827</v>
      </c>
      <c r="D141" s="642">
        <v>2175</v>
      </c>
      <c r="E141" s="642">
        <v>2212</v>
      </c>
      <c r="F141" s="642">
        <v>2159</v>
      </c>
      <c r="G141" s="642">
        <v>2157</v>
      </c>
      <c r="H141" s="63">
        <v>2045</v>
      </c>
      <c r="I141" s="58">
        <v>2081</v>
      </c>
      <c r="J141" s="63">
        <v>2082</v>
      </c>
      <c r="K141" s="63">
        <v>2222</v>
      </c>
      <c r="L141" s="63">
        <v>2225</v>
      </c>
      <c r="M141" s="63">
        <v>2239</v>
      </c>
      <c r="N141" s="63">
        <v>2268</v>
      </c>
      <c r="O141" s="63">
        <v>2295</v>
      </c>
      <c r="P141" s="52"/>
      <c r="Q141" s="54" t="s">
        <v>5315</v>
      </c>
    </row>
    <row r="142" spans="1:17">
      <c r="A142" s="649">
        <v>21</v>
      </c>
      <c r="B142" s="53" t="s">
        <v>3187</v>
      </c>
      <c r="C142" s="55" t="s">
        <v>8828</v>
      </c>
      <c r="D142" s="642">
        <v>1993</v>
      </c>
      <c r="E142" s="642">
        <v>2034</v>
      </c>
      <c r="F142" s="642">
        <v>1987</v>
      </c>
      <c r="G142" s="642">
        <v>1971</v>
      </c>
      <c r="H142" s="63">
        <v>1859</v>
      </c>
      <c r="I142" s="58">
        <v>1891</v>
      </c>
      <c r="J142" s="63">
        <v>2032</v>
      </c>
      <c r="K142" s="63">
        <v>2150</v>
      </c>
      <c r="L142" s="63">
        <v>2151</v>
      </c>
      <c r="M142" s="63">
        <v>2125</v>
      </c>
      <c r="N142" s="63">
        <v>2181</v>
      </c>
      <c r="O142" s="63">
        <v>2193</v>
      </c>
      <c r="P142" s="52"/>
      <c r="Q142" s="54" t="s">
        <v>5321</v>
      </c>
    </row>
    <row r="143" spans="1:17">
      <c r="A143" s="649">
        <v>22</v>
      </c>
      <c r="B143" s="54" t="s">
        <v>3188</v>
      </c>
      <c r="C143" s="55" t="s">
        <v>8829</v>
      </c>
      <c r="D143" s="642">
        <v>6428</v>
      </c>
      <c r="E143" s="642">
        <v>6555</v>
      </c>
      <c r="F143" s="642">
        <v>6523</v>
      </c>
      <c r="G143" s="642">
        <v>6572</v>
      </c>
      <c r="H143" s="63">
        <v>6326</v>
      </c>
      <c r="I143" s="58">
        <v>6383</v>
      </c>
      <c r="J143" s="63">
        <v>6511</v>
      </c>
      <c r="K143" s="63">
        <v>6741</v>
      </c>
      <c r="L143" s="63">
        <v>6757</v>
      </c>
      <c r="M143" s="63">
        <v>6620</v>
      </c>
      <c r="N143" s="63">
        <v>6640</v>
      </c>
      <c r="O143" s="63">
        <v>6744</v>
      </c>
      <c r="P143" s="52"/>
      <c r="Q143" s="54" t="s">
        <v>5315</v>
      </c>
    </row>
    <row r="144" spans="1:17">
      <c r="A144" s="649">
        <v>23</v>
      </c>
      <c r="B144" s="54" t="s">
        <v>3189</v>
      </c>
      <c r="C144" s="55" t="s">
        <v>8830</v>
      </c>
      <c r="D144" s="642">
        <v>2226</v>
      </c>
      <c r="E144" s="642">
        <v>2337</v>
      </c>
      <c r="F144" s="642">
        <v>2251</v>
      </c>
      <c r="G144" s="642">
        <v>2221</v>
      </c>
      <c r="H144" s="63">
        <v>2210</v>
      </c>
      <c r="I144" s="58">
        <v>2209</v>
      </c>
      <c r="J144" s="63">
        <v>2204</v>
      </c>
      <c r="K144" s="63">
        <v>2353</v>
      </c>
      <c r="L144" s="63">
        <v>2331</v>
      </c>
      <c r="M144" s="63">
        <v>2257</v>
      </c>
      <c r="N144" s="63">
        <v>2280</v>
      </c>
      <c r="O144" s="63">
        <v>2301</v>
      </c>
      <c r="P144" s="52"/>
      <c r="Q144" s="54" t="s">
        <v>5315</v>
      </c>
    </row>
    <row r="145" spans="1:17">
      <c r="A145" s="649">
        <v>24</v>
      </c>
      <c r="B145" s="54" t="s">
        <v>3190</v>
      </c>
      <c r="C145" s="55" t="s">
        <v>8831</v>
      </c>
      <c r="D145" s="642">
        <v>2251</v>
      </c>
      <c r="E145" s="642">
        <v>2265</v>
      </c>
      <c r="F145" s="642">
        <v>2215</v>
      </c>
      <c r="G145" s="642">
        <v>2200</v>
      </c>
      <c r="H145" s="63">
        <v>2098</v>
      </c>
      <c r="I145" s="58">
        <v>2129</v>
      </c>
      <c r="J145" s="63">
        <v>2180</v>
      </c>
      <c r="K145" s="63">
        <v>2376</v>
      </c>
      <c r="L145" s="63">
        <v>2449</v>
      </c>
      <c r="M145" s="63">
        <v>2446</v>
      </c>
      <c r="N145" s="63">
        <v>2449</v>
      </c>
      <c r="O145" s="63">
        <v>2495</v>
      </c>
      <c r="P145" s="52"/>
      <c r="Q145" s="54" t="s">
        <v>5321</v>
      </c>
    </row>
    <row r="146" spans="1:17">
      <c r="A146" s="649">
        <v>25</v>
      </c>
      <c r="B146" s="54" t="s">
        <v>3191</v>
      </c>
      <c r="C146" s="62" t="s">
        <v>9558</v>
      </c>
      <c r="D146" s="646">
        <v>2021</v>
      </c>
      <c r="E146" s="646">
        <v>2098</v>
      </c>
      <c r="F146" s="646">
        <v>2060</v>
      </c>
      <c r="G146" s="646">
        <v>2066</v>
      </c>
      <c r="H146" s="63">
        <v>2030</v>
      </c>
      <c r="I146" s="58">
        <v>2005</v>
      </c>
      <c r="J146" s="63">
        <v>2085</v>
      </c>
      <c r="K146" s="63">
        <v>2187</v>
      </c>
      <c r="L146" s="63">
        <v>2146</v>
      </c>
      <c r="M146" s="63">
        <v>2117</v>
      </c>
      <c r="N146" s="63">
        <v>2092</v>
      </c>
      <c r="O146" s="63">
        <v>2151</v>
      </c>
      <c r="P146" s="52"/>
      <c r="Q146" s="54" t="s">
        <v>5321</v>
      </c>
    </row>
    <row r="147" spans="1:17">
      <c r="A147" s="649">
        <v>26</v>
      </c>
      <c r="B147" s="54" t="s">
        <v>3192</v>
      </c>
      <c r="C147" s="55" t="s">
        <v>8832</v>
      </c>
      <c r="D147" s="642">
        <v>2217</v>
      </c>
      <c r="E147" s="642">
        <v>2305</v>
      </c>
      <c r="F147" s="642">
        <v>2274</v>
      </c>
      <c r="G147" s="642">
        <v>2381</v>
      </c>
      <c r="H147" s="63">
        <v>2342</v>
      </c>
      <c r="I147" s="58">
        <v>2342</v>
      </c>
      <c r="J147" s="63">
        <v>2312</v>
      </c>
      <c r="K147" s="63">
        <v>2417</v>
      </c>
      <c r="L147" s="63">
        <v>2348</v>
      </c>
      <c r="M147" s="63">
        <v>2383</v>
      </c>
      <c r="N147" s="63">
        <v>2399</v>
      </c>
      <c r="O147" s="63">
        <v>2454</v>
      </c>
      <c r="P147" s="52"/>
      <c r="Q147" s="54" t="s">
        <v>5315</v>
      </c>
    </row>
    <row r="148" spans="1:17">
      <c r="A148" s="649">
        <v>27</v>
      </c>
      <c r="B148" s="54" t="s">
        <v>3193</v>
      </c>
      <c r="C148" s="55" t="s">
        <v>8833</v>
      </c>
      <c r="D148" s="642">
        <v>3823</v>
      </c>
      <c r="E148" s="642">
        <v>3855</v>
      </c>
      <c r="F148" s="642">
        <v>3836</v>
      </c>
      <c r="G148" s="642">
        <v>3897</v>
      </c>
      <c r="H148" s="63">
        <v>3901</v>
      </c>
      <c r="I148" s="58">
        <v>3898</v>
      </c>
      <c r="J148" s="63">
        <v>3880</v>
      </c>
      <c r="K148" s="63">
        <v>4082</v>
      </c>
      <c r="L148" s="63">
        <v>4099</v>
      </c>
      <c r="M148" s="63">
        <v>4058</v>
      </c>
      <c r="N148" s="63">
        <v>4061</v>
      </c>
      <c r="O148" s="63">
        <v>4176</v>
      </c>
      <c r="P148" s="52"/>
      <c r="Q148" s="54" t="s">
        <v>5315</v>
      </c>
    </row>
    <row r="149" spans="1:17">
      <c r="A149" s="649">
        <v>28</v>
      </c>
      <c r="B149" s="54" t="s">
        <v>3194</v>
      </c>
      <c r="C149" s="55" t="s">
        <v>8834</v>
      </c>
      <c r="D149" s="642">
        <v>4110</v>
      </c>
      <c r="E149" s="642">
        <v>4086</v>
      </c>
      <c r="F149" s="642">
        <v>4070</v>
      </c>
      <c r="G149" s="642">
        <v>4085</v>
      </c>
      <c r="H149" s="63">
        <v>3975</v>
      </c>
      <c r="I149" s="58">
        <v>3913</v>
      </c>
      <c r="J149" s="63">
        <v>3850</v>
      </c>
      <c r="K149" s="63">
        <v>3999</v>
      </c>
      <c r="L149" s="63">
        <v>3951</v>
      </c>
      <c r="M149" s="63">
        <v>3892</v>
      </c>
      <c r="N149" s="63">
        <v>3948</v>
      </c>
      <c r="O149" s="63">
        <v>4017</v>
      </c>
      <c r="P149" s="52"/>
      <c r="Q149" s="54" t="s">
        <v>5315</v>
      </c>
    </row>
    <row r="150" spans="1:17">
      <c r="A150" s="649">
        <v>29</v>
      </c>
      <c r="B150" s="54" t="s">
        <v>3195</v>
      </c>
      <c r="C150" s="55" t="s">
        <v>8835</v>
      </c>
      <c r="D150" s="642">
        <v>3949</v>
      </c>
      <c r="E150" s="642">
        <v>3970</v>
      </c>
      <c r="F150" s="642">
        <v>3978</v>
      </c>
      <c r="G150" s="642">
        <v>4017</v>
      </c>
      <c r="H150" s="63">
        <v>3957</v>
      </c>
      <c r="I150" s="58">
        <v>3935</v>
      </c>
      <c r="J150" s="63">
        <v>3920</v>
      </c>
      <c r="K150" s="63">
        <v>4045</v>
      </c>
      <c r="L150" s="63">
        <v>4004</v>
      </c>
      <c r="M150" s="63">
        <v>3913</v>
      </c>
      <c r="N150" s="63">
        <v>3925</v>
      </c>
      <c r="O150" s="63">
        <v>3995</v>
      </c>
      <c r="P150" s="52"/>
      <c r="Q150" s="54" t="s">
        <v>5315</v>
      </c>
    </row>
    <row r="151" spans="1:17">
      <c r="A151" s="649">
        <v>30</v>
      </c>
      <c r="B151" s="54" t="s">
        <v>3196</v>
      </c>
      <c r="C151" s="55" t="s">
        <v>8836</v>
      </c>
      <c r="D151" s="642">
        <v>1715</v>
      </c>
      <c r="E151" s="642">
        <v>1738</v>
      </c>
      <c r="F151" s="642">
        <v>1690</v>
      </c>
      <c r="G151" s="642">
        <v>1720</v>
      </c>
      <c r="H151" s="63">
        <v>1784</v>
      </c>
      <c r="I151" s="58">
        <v>1817</v>
      </c>
      <c r="J151" s="63">
        <v>1880</v>
      </c>
      <c r="K151" s="63">
        <v>2021</v>
      </c>
      <c r="L151" s="63">
        <v>2000</v>
      </c>
      <c r="M151" s="63">
        <v>1974</v>
      </c>
      <c r="N151" s="63">
        <v>2009</v>
      </c>
      <c r="O151" s="63">
        <v>2032</v>
      </c>
      <c r="P151" s="52"/>
      <c r="Q151" s="54" t="s">
        <v>5321</v>
      </c>
    </row>
    <row r="152" spans="1:17">
      <c r="A152" s="52"/>
      <c r="B152" s="52"/>
      <c r="D152" s="643"/>
      <c r="E152" s="643"/>
      <c r="F152" s="643"/>
      <c r="G152" s="643"/>
      <c r="H152" s="643"/>
      <c r="I152" s="643"/>
      <c r="J152" s="643"/>
      <c r="K152" s="643"/>
      <c r="L152" s="643"/>
      <c r="M152" s="643"/>
      <c r="N152" s="643"/>
      <c r="O152" s="643"/>
      <c r="P152" s="52"/>
      <c r="Q152" s="52"/>
    </row>
    <row r="153" spans="1:17">
      <c r="A153" s="54" t="s">
        <v>5315</v>
      </c>
      <c r="D153" s="642">
        <f t="shared" ref="D153:I153" si="96">SUM(D122:D126)+SUM(D130:D134)+D137+D138+D141+D143+D144+SUM(D147:D150)</f>
        <v>78211</v>
      </c>
      <c r="E153" s="642">
        <f t="shared" si="96"/>
        <v>79255</v>
      </c>
      <c r="F153" s="642">
        <f t="shared" si="96"/>
        <v>78458</v>
      </c>
      <c r="G153" s="642">
        <f t="shared" si="96"/>
        <v>79321</v>
      </c>
      <c r="H153" s="642">
        <f t="shared" si="96"/>
        <v>77195</v>
      </c>
      <c r="I153" s="642">
        <f t="shared" si="96"/>
        <v>77258</v>
      </c>
      <c r="J153" s="642">
        <f t="shared" ref="J153:O153" si="97">SUM(J122:J126)+SUM(J130:J134)+J137+J138+J141+J143+J144+SUM(J147:J150)</f>
        <v>77196</v>
      </c>
      <c r="K153" s="642">
        <f t="shared" si="97"/>
        <v>81240</v>
      </c>
      <c r="L153" s="642">
        <f t="shared" si="97"/>
        <v>81051</v>
      </c>
      <c r="M153" s="642">
        <f t="shared" si="97"/>
        <v>79758</v>
      </c>
      <c r="N153" s="642">
        <f t="shared" si="97"/>
        <v>80496</v>
      </c>
      <c r="O153" s="642">
        <f t="shared" si="97"/>
        <v>82205</v>
      </c>
      <c r="P153" s="52"/>
      <c r="Q153" s="52"/>
    </row>
    <row r="154" spans="1:17">
      <c r="A154" s="54" t="s">
        <v>4691</v>
      </c>
      <c r="D154" s="642">
        <f t="shared" ref="D154:I154" si="98">D127+D128+D135+D136+D139+D140+D142+D145+D146+D151</f>
        <v>21297</v>
      </c>
      <c r="E154" s="642">
        <f t="shared" si="98"/>
        <v>21740</v>
      </c>
      <c r="F154" s="642">
        <f t="shared" si="98"/>
        <v>21488</v>
      </c>
      <c r="G154" s="642">
        <f t="shared" si="98"/>
        <v>21741</v>
      </c>
      <c r="H154" s="642">
        <f t="shared" si="98"/>
        <v>21059</v>
      </c>
      <c r="I154" s="642">
        <f t="shared" si="98"/>
        <v>21212</v>
      </c>
      <c r="J154" s="642">
        <f t="shared" ref="J154:O154" si="99">J127+J128+J135+J136+J139+J140+J142+J145+J146+J151</f>
        <v>22048</v>
      </c>
      <c r="K154" s="642">
        <f t="shared" si="99"/>
        <v>23391</v>
      </c>
      <c r="L154" s="642">
        <f t="shared" si="99"/>
        <v>23629</v>
      </c>
      <c r="M154" s="642">
        <f t="shared" si="99"/>
        <v>23819</v>
      </c>
      <c r="N154" s="642">
        <f t="shared" si="99"/>
        <v>24325</v>
      </c>
      <c r="O154" s="642">
        <f t="shared" si="99"/>
        <v>24830</v>
      </c>
      <c r="P154" s="52"/>
      <c r="Q154" s="52"/>
    </row>
    <row r="155" spans="1:17">
      <c r="A155" s="54" t="s">
        <v>4700</v>
      </c>
      <c r="D155" s="642">
        <f t="shared" ref="D155:I155" si="100">D129</f>
        <v>1908</v>
      </c>
      <c r="E155" s="642">
        <f t="shared" si="100"/>
        <v>1937</v>
      </c>
      <c r="F155" s="642">
        <f t="shared" si="100"/>
        <v>1926</v>
      </c>
      <c r="G155" s="642">
        <f t="shared" si="100"/>
        <v>1957</v>
      </c>
      <c r="H155" s="642">
        <f t="shared" si="100"/>
        <v>1926</v>
      </c>
      <c r="I155" s="642">
        <f t="shared" si="100"/>
        <v>1918</v>
      </c>
      <c r="J155" s="642">
        <f t="shared" ref="J155:O155" si="101">J129</f>
        <v>1911</v>
      </c>
      <c r="K155" s="642">
        <f t="shared" si="101"/>
        <v>1948</v>
      </c>
      <c r="L155" s="642">
        <f t="shared" si="101"/>
        <v>1952</v>
      </c>
      <c r="M155" s="642">
        <f t="shared" si="101"/>
        <v>1926</v>
      </c>
      <c r="N155" s="642">
        <f t="shared" si="101"/>
        <v>1929</v>
      </c>
      <c r="O155" s="642">
        <f t="shared" si="101"/>
        <v>1973</v>
      </c>
      <c r="P155" s="52"/>
      <c r="Q155" s="52"/>
    </row>
    <row r="156" spans="1:17">
      <c r="A156" s="54"/>
      <c r="B156" s="54"/>
      <c r="D156" s="650"/>
      <c r="E156" s="650"/>
      <c r="F156" s="650"/>
      <c r="G156" s="650"/>
      <c r="H156" s="650"/>
      <c r="I156" s="650"/>
      <c r="J156" s="650"/>
      <c r="K156" s="650"/>
      <c r="L156" s="650"/>
      <c r="M156" s="650"/>
      <c r="N156" s="650"/>
      <c r="O156" s="650"/>
      <c r="P156" s="52"/>
      <c r="Q156" s="52"/>
    </row>
    <row r="157" spans="1:17">
      <c r="A157" s="53" t="s">
        <v>9496</v>
      </c>
      <c r="D157" s="650"/>
      <c r="E157" s="650"/>
      <c r="F157" s="650"/>
      <c r="G157" s="650"/>
      <c r="H157" s="650"/>
      <c r="I157" s="650"/>
      <c r="J157" s="650"/>
      <c r="K157" s="650"/>
      <c r="L157" s="650"/>
      <c r="M157" s="650"/>
      <c r="N157" s="650"/>
      <c r="O157" s="650"/>
      <c r="P157" s="52"/>
      <c r="Q157" s="52"/>
    </row>
    <row r="158" spans="1:17">
      <c r="A158" s="53" t="s">
        <v>14750</v>
      </c>
      <c r="D158" s="650"/>
      <c r="E158" s="650"/>
      <c r="F158" s="650"/>
      <c r="G158" s="650"/>
      <c r="H158" s="650"/>
      <c r="I158" s="650"/>
      <c r="J158" s="650"/>
      <c r="K158" s="650"/>
      <c r="L158" s="650"/>
      <c r="M158" s="650"/>
      <c r="N158" s="650"/>
      <c r="O158" s="650"/>
      <c r="P158" s="52"/>
      <c r="Q158" s="52"/>
    </row>
    <row r="159" spans="1:17">
      <c r="A159" s="54"/>
      <c r="B159" s="54"/>
      <c r="D159" s="650"/>
      <c r="E159" s="650"/>
      <c r="F159" s="650"/>
      <c r="G159" s="650"/>
      <c r="H159" s="650"/>
      <c r="I159" s="650"/>
      <c r="J159" s="650"/>
      <c r="K159" s="650"/>
      <c r="L159" s="650"/>
      <c r="M159" s="650"/>
      <c r="N159" s="650"/>
      <c r="O159" s="650"/>
      <c r="P159" s="52"/>
      <c r="Q159" s="52"/>
    </row>
    <row r="160" spans="1:17">
      <c r="A160" s="54"/>
      <c r="B160" s="54"/>
      <c r="D160" s="650"/>
      <c r="E160" s="650"/>
      <c r="F160" s="650"/>
      <c r="G160" s="650"/>
      <c r="H160" s="650"/>
      <c r="I160" s="650"/>
      <c r="J160" s="650"/>
      <c r="K160" s="650"/>
      <c r="L160" s="650"/>
      <c r="M160" s="650"/>
      <c r="N160" s="650"/>
      <c r="O160" s="650"/>
      <c r="P160" s="52"/>
      <c r="Q160" s="52"/>
    </row>
    <row r="161" spans="1:17">
      <c r="A161" s="52"/>
      <c r="B161" s="52"/>
      <c r="E161" s="51" t="s">
        <v>1526</v>
      </c>
      <c r="F161" s="51"/>
      <c r="G161" s="51"/>
      <c r="H161" s="51"/>
      <c r="I161" s="51"/>
      <c r="J161" s="51"/>
      <c r="K161" s="51"/>
      <c r="L161" s="51"/>
      <c r="M161" s="51"/>
      <c r="N161" s="51"/>
      <c r="O161" s="51"/>
      <c r="P161" s="276"/>
      <c r="Q161" s="11" t="s">
        <v>9479</v>
      </c>
    </row>
    <row r="162" spans="1:17">
      <c r="A162" s="52"/>
      <c r="B162" s="52"/>
      <c r="C162" s="52"/>
      <c r="D162" s="350">
        <v>2010</v>
      </c>
      <c r="E162" s="350">
        <v>2011</v>
      </c>
      <c r="F162" s="350">
        <v>2012</v>
      </c>
      <c r="G162" s="350">
        <v>2013</v>
      </c>
      <c r="H162" s="350">
        <v>2014</v>
      </c>
      <c r="I162" s="350">
        <v>2015</v>
      </c>
      <c r="J162" s="350">
        <v>2016</v>
      </c>
      <c r="K162" s="350">
        <v>2017</v>
      </c>
      <c r="L162" s="350">
        <v>2018</v>
      </c>
      <c r="M162" s="350">
        <v>2019</v>
      </c>
      <c r="N162" s="350">
        <v>2020</v>
      </c>
      <c r="O162" s="944" t="s">
        <v>14823</v>
      </c>
      <c r="P162" s="410"/>
      <c r="Q162" s="13" t="s">
        <v>1527</v>
      </c>
    </row>
    <row r="163" spans="1:17">
      <c r="A163" s="54" t="s">
        <v>4701</v>
      </c>
      <c r="C163" s="52"/>
      <c r="D163" s="642">
        <f t="shared" ref="D163:M163" si="102">SUM(D164:D179)</f>
        <v>69438</v>
      </c>
      <c r="E163" s="642">
        <f t="shared" si="102"/>
        <v>70772</v>
      </c>
      <c r="F163" s="642">
        <f t="shared" si="102"/>
        <v>71090</v>
      </c>
      <c r="G163" s="642">
        <f t="shared" si="102"/>
        <v>73045</v>
      </c>
      <c r="H163" s="642">
        <f t="shared" si="102"/>
        <v>75100</v>
      </c>
      <c r="I163" s="642">
        <f t="shared" si="102"/>
        <v>72528</v>
      </c>
      <c r="J163" s="642">
        <f t="shared" si="102"/>
        <v>69825</v>
      </c>
      <c r="K163" s="642">
        <f t="shared" si="102"/>
        <v>71816</v>
      </c>
      <c r="L163" s="642">
        <f t="shared" si="102"/>
        <v>72251</v>
      </c>
      <c r="M163" s="642">
        <f t="shared" si="102"/>
        <v>71293</v>
      </c>
      <c r="N163" s="642">
        <f>SUM(N164:N179)</f>
        <v>72094</v>
      </c>
      <c r="O163" s="642">
        <f>SUM(O164:O179)</f>
        <v>74114</v>
      </c>
      <c r="P163" s="52"/>
      <c r="Q163" s="52"/>
    </row>
    <row r="164" spans="1:17">
      <c r="A164" s="649">
        <v>1</v>
      </c>
      <c r="B164" s="53" t="s">
        <v>4702</v>
      </c>
      <c r="C164" s="53" t="s">
        <v>13958</v>
      </c>
      <c r="D164" s="642">
        <v>69438</v>
      </c>
      <c r="E164" s="642">
        <v>70772</v>
      </c>
      <c r="F164" s="642">
        <v>71090</v>
      </c>
      <c r="G164" s="63">
        <v>73045</v>
      </c>
      <c r="H164" s="63">
        <v>75100</v>
      </c>
      <c r="I164" s="63">
        <v>72528</v>
      </c>
      <c r="J164" s="63">
        <v>69825</v>
      </c>
      <c r="K164" s="63">
        <v>71816</v>
      </c>
      <c r="L164" s="63">
        <v>72251</v>
      </c>
      <c r="M164" s="63">
        <v>71293</v>
      </c>
      <c r="N164" s="63">
        <v>3737</v>
      </c>
      <c r="O164" s="63">
        <v>3821</v>
      </c>
      <c r="P164" s="52"/>
      <c r="Q164" s="54" t="s">
        <v>5317</v>
      </c>
    </row>
    <row r="165" spans="1:17">
      <c r="A165" s="649">
        <v>2</v>
      </c>
      <c r="B165" s="53" t="s">
        <v>4703</v>
      </c>
      <c r="C165" s="53" t="s">
        <v>13959</v>
      </c>
      <c r="D165" s="642">
        <v>0</v>
      </c>
      <c r="E165" s="642">
        <v>0</v>
      </c>
      <c r="F165" s="642">
        <v>0</v>
      </c>
      <c r="G165" s="642">
        <v>0</v>
      </c>
      <c r="H165" s="642">
        <v>0</v>
      </c>
      <c r="I165" s="642">
        <v>0</v>
      </c>
      <c r="J165" s="642">
        <v>0</v>
      </c>
      <c r="K165" s="642">
        <v>0</v>
      </c>
      <c r="L165" s="642">
        <v>0</v>
      </c>
      <c r="M165" s="642">
        <v>0</v>
      </c>
      <c r="N165" s="63">
        <v>3769</v>
      </c>
      <c r="O165" s="63">
        <v>3885</v>
      </c>
      <c r="P165" s="52"/>
      <c r="Q165" s="54" t="s">
        <v>5317</v>
      </c>
    </row>
    <row r="166" spans="1:17">
      <c r="A166" s="649">
        <v>3</v>
      </c>
      <c r="B166" s="53" t="s">
        <v>13961</v>
      </c>
      <c r="C166" s="53" t="s">
        <v>13960</v>
      </c>
      <c r="D166" s="642">
        <v>0</v>
      </c>
      <c r="E166" s="642">
        <v>0</v>
      </c>
      <c r="F166" s="642">
        <v>0</v>
      </c>
      <c r="G166" s="642">
        <v>0</v>
      </c>
      <c r="H166" s="642">
        <v>0</v>
      </c>
      <c r="I166" s="642">
        <v>0</v>
      </c>
      <c r="J166" s="642">
        <v>0</v>
      </c>
      <c r="K166" s="642">
        <v>0</v>
      </c>
      <c r="L166" s="642">
        <v>0</v>
      </c>
      <c r="M166" s="642">
        <v>0</v>
      </c>
      <c r="N166" s="63">
        <v>4311</v>
      </c>
      <c r="O166" s="63">
        <v>4396</v>
      </c>
      <c r="P166" s="52"/>
      <c r="Q166" s="54" t="s">
        <v>5317</v>
      </c>
    </row>
    <row r="167" spans="1:17">
      <c r="A167" s="649">
        <v>4</v>
      </c>
      <c r="B167" s="53" t="s">
        <v>4704</v>
      </c>
      <c r="C167" s="53" t="s">
        <v>13962</v>
      </c>
      <c r="D167" s="642">
        <v>0</v>
      </c>
      <c r="E167" s="642">
        <v>0</v>
      </c>
      <c r="F167" s="642">
        <v>0</v>
      </c>
      <c r="G167" s="642">
        <v>0</v>
      </c>
      <c r="H167" s="642">
        <v>0</v>
      </c>
      <c r="I167" s="642">
        <v>0</v>
      </c>
      <c r="J167" s="642">
        <v>0</v>
      </c>
      <c r="K167" s="642">
        <v>0</v>
      </c>
      <c r="L167" s="642">
        <v>0</v>
      </c>
      <c r="M167" s="642">
        <v>0</v>
      </c>
      <c r="N167" s="63">
        <v>5304</v>
      </c>
      <c r="O167" s="63">
        <v>5485</v>
      </c>
      <c r="P167" s="52"/>
      <c r="Q167" s="54" t="s">
        <v>5317</v>
      </c>
    </row>
    <row r="168" spans="1:17">
      <c r="A168" s="649">
        <v>5</v>
      </c>
      <c r="B168" s="53" t="s">
        <v>4705</v>
      </c>
      <c r="C168" s="53" t="s">
        <v>13963</v>
      </c>
      <c r="D168" s="642">
        <v>0</v>
      </c>
      <c r="E168" s="642">
        <v>0</v>
      </c>
      <c r="F168" s="642">
        <v>0</v>
      </c>
      <c r="G168" s="642">
        <v>0</v>
      </c>
      <c r="H168" s="642">
        <v>0</v>
      </c>
      <c r="I168" s="642">
        <v>0</v>
      </c>
      <c r="J168" s="642">
        <v>0</v>
      </c>
      <c r="K168" s="642">
        <v>0</v>
      </c>
      <c r="L168" s="642">
        <v>0</v>
      </c>
      <c r="M168" s="642">
        <v>0</v>
      </c>
      <c r="N168" s="63">
        <v>5453</v>
      </c>
      <c r="O168" s="63">
        <v>5648</v>
      </c>
      <c r="P168" s="52"/>
      <c r="Q168" s="54" t="s">
        <v>5317</v>
      </c>
    </row>
    <row r="169" spans="1:17">
      <c r="A169" s="649">
        <v>6</v>
      </c>
      <c r="B169" s="53" t="s">
        <v>4706</v>
      </c>
      <c r="C169" s="53" t="s">
        <v>13964</v>
      </c>
      <c r="D169" s="642">
        <v>0</v>
      </c>
      <c r="E169" s="642">
        <v>0</v>
      </c>
      <c r="F169" s="642">
        <v>0</v>
      </c>
      <c r="G169" s="642">
        <v>0</v>
      </c>
      <c r="H169" s="642">
        <v>0</v>
      </c>
      <c r="I169" s="642">
        <v>0</v>
      </c>
      <c r="J169" s="642">
        <v>0</v>
      </c>
      <c r="K169" s="642">
        <v>0</v>
      </c>
      <c r="L169" s="642">
        <v>0</v>
      </c>
      <c r="M169" s="642">
        <v>0</v>
      </c>
      <c r="N169" s="63">
        <v>4974</v>
      </c>
      <c r="O169" s="63">
        <v>5123</v>
      </c>
      <c r="P169" s="52"/>
      <c r="Q169" s="54" t="s">
        <v>5317</v>
      </c>
    </row>
    <row r="170" spans="1:17">
      <c r="A170" s="649">
        <v>7</v>
      </c>
      <c r="B170" s="53" t="s">
        <v>4707</v>
      </c>
      <c r="C170" s="53" t="s">
        <v>13965</v>
      </c>
      <c r="D170" s="642">
        <v>0</v>
      </c>
      <c r="E170" s="642">
        <v>0</v>
      </c>
      <c r="F170" s="642">
        <v>0</v>
      </c>
      <c r="G170" s="642">
        <v>0</v>
      </c>
      <c r="H170" s="642">
        <v>0</v>
      </c>
      <c r="I170" s="642">
        <v>0</v>
      </c>
      <c r="J170" s="642">
        <v>0</v>
      </c>
      <c r="K170" s="642">
        <v>0</v>
      </c>
      <c r="L170" s="642">
        <v>0</v>
      </c>
      <c r="M170" s="642">
        <v>0</v>
      </c>
      <c r="N170" s="63">
        <v>5804</v>
      </c>
      <c r="O170" s="63">
        <v>5971</v>
      </c>
      <c r="P170" s="52"/>
      <c r="Q170" s="54" t="s">
        <v>5317</v>
      </c>
    </row>
    <row r="171" spans="1:17">
      <c r="A171" s="649">
        <v>8</v>
      </c>
      <c r="B171" s="53" t="s">
        <v>4708</v>
      </c>
      <c r="C171" s="53" t="s">
        <v>13966</v>
      </c>
      <c r="D171" s="642">
        <v>0</v>
      </c>
      <c r="E171" s="642">
        <v>0</v>
      </c>
      <c r="F171" s="642">
        <v>0</v>
      </c>
      <c r="G171" s="642">
        <v>0</v>
      </c>
      <c r="H171" s="642">
        <v>0</v>
      </c>
      <c r="I171" s="642">
        <v>0</v>
      </c>
      <c r="J171" s="642">
        <v>0</v>
      </c>
      <c r="K171" s="642">
        <v>0</v>
      </c>
      <c r="L171" s="642">
        <v>0</v>
      </c>
      <c r="M171" s="642">
        <v>0</v>
      </c>
      <c r="N171" s="63">
        <v>3547</v>
      </c>
      <c r="O171" s="63">
        <v>3617</v>
      </c>
      <c r="P171" s="52"/>
      <c r="Q171" s="54" t="s">
        <v>5317</v>
      </c>
    </row>
    <row r="172" spans="1:17">
      <c r="A172" s="649">
        <v>9</v>
      </c>
      <c r="B172" s="53" t="s">
        <v>4709</v>
      </c>
      <c r="C172" s="53" t="s">
        <v>13967</v>
      </c>
      <c r="D172" s="642">
        <v>0</v>
      </c>
      <c r="E172" s="642">
        <v>0</v>
      </c>
      <c r="F172" s="642">
        <v>0</v>
      </c>
      <c r="G172" s="642">
        <v>0</v>
      </c>
      <c r="H172" s="642">
        <v>0</v>
      </c>
      <c r="I172" s="642">
        <v>0</v>
      </c>
      <c r="J172" s="642">
        <v>0</v>
      </c>
      <c r="K172" s="642">
        <v>0</v>
      </c>
      <c r="L172" s="642">
        <v>0</v>
      </c>
      <c r="M172" s="642">
        <v>0</v>
      </c>
      <c r="N172" s="63">
        <v>5425</v>
      </c>
      <c r="O172" s="63">
        <v>5612</v>
      </c>
      <c r="P172" s="52"/>
      <c r="Q172" s="54" t="s">
        <v>5317</v>
      </c>
    </row>
    <row r="173" spans="1:17">
      <c r="A173" s="649">
        <v>10</v>
      </c>
      <c r="B173" s="53" t="s">
        <v>4710</v>
      </c>
      <c r="C173" s="53" t="s">
        <v>13968</v>
      </c>
      <c r="D173" s="642">
        <v>0</v>
      </c>
      <c r="E173" s="642">
        <v>0</v>
      </c>
      <c r="F173" s="642">
        <v>0</v>
      </c>
      <c r="G173" s="642">
        <v>0</v>
      </c>
      <c r="H173" s="642">
        <v>0</v>
      </c>
      <c r="I173" s="642">
        <v>0</v>
      </c>
      <c r="J173" s="642">
        <v>0</v>
      </c>
      <c r="K173" s="642">
        <v>0</v>
      </c>
      <c r="L173" s="642">
        <v>0</v>
      </c>
      <c r="M173" s="642">
        <v>0</v>
      </c>
      <c r="N173" s="63">
        <v>5471</v>
      </c>
      <c r="O173" s="63">
        <v>5610</v>
      </c>
      <c r="P173" s="52"/>
      <c r="Q173" s="54" t="s">
        <v>5317</v>
      </c>
    </row>
    <row r="174" spans="1:17">
      <c r="A174" s="649">
        <v>11</v>
      </c>
      <c r="B174" s="53" t="s">
        <v>4711</v>
      </c>
      <c r="C174" s="53" t="s">
        <v>13969</v>
      </c>
      <c r="D174" s="642">
        <v>0</v>
      </c>
      <c r="E174" s="642">
        <v>0</v>
      </c>
      <c r="F174" s="642">
        <v>0</v>
      </c>
      <c r="G174" s="642">
        <v>0</v>
      </c>
      <c r="H174" s="642">
        <v>0</v>
      </c>
      <c r="I174" s="642">
        <v>0</v>
      </c>
      <c r="J174" s="642">
        <v>0</v>
      </c>
      <c r="K174" s="642">
        <v>0</v>
      </c>
      <c r="L174" s="642">
        <v>0</v>
      </c>
      <c r="M174" s="642">
        <v>0</v>
      </c>
      <c r="N174" s="63">
        <v>5110</v>
      </c>
      <c r="O174" s="63">
        <v>5265</v>
      </c>
      <c r="P174" s="52"/>
      <c r="Q174" s="54" t="s">
        <v>5317</v>
      </c>
    </row>
    <row r="175" spans="1:17">
      <c r="A175" s="649">
        <v>12</v>
      </c>
      <c r="B175" s="53" t="s">
        <v>4712</v>
      </c>
      <c r="C175" s="53" t="s">
        <v>13970</v>
      </c>
      <c r="D175" s="642">
        <v>0</v>
      </c>
      <c r="E175" s="642">
        <v>0</v>
      </c>
      <c r="F175" s="642">
        <v>0</v>
      </c>
      <c r="G175" s="642">
        <v>0</v>
      </c>
      <c r="H175" s="642">
        <v>0</v>
      </c>
      <c r="I175" s="642">
        <v>0</v>
      </c>
      <c r="J175" s="642">
        <v>0</v>
      </c>
      <c r="K175" s="642">
        <v>0</v>
      </c>
      <c r="L175" s="642">
        <v>0</v>
      </c>
      <c r="M175" s="642">
        <v>0</v>
      </c>
      <c r="N175" s="63">
        <v>3629</v>
      </c>
      <c r="O175" s="63">
        <v>3704</v>
      </c>
      <c r="P175" s="52"/>
      <c r="Q175" s="54" t="s">
        <v>5317</v>
      </c>
    </row>
    <row r="176" spans="1:17">
      <c r="A176" s="649">
        <v>13</v>
      </c>
      <c r="B176" s="53" t="s">
        <v>4713</v>
      </c>
      <c r="C176" s="53" t="s">
        <v>13971</v>
      </c>
      <c r="D176" s="642">
        <v>0</v>
      </c>
      <c r="E176" s="642">
        <v>0</v>
      </c>
      <c r="F176" s="642">
        <v>0</v>
      </c>
      <c r="G176" s="642">
        <v>0</v>
      </c>
      <c r="H176" s="642">
        <v>0</v>
      </c>
      <c r="I176" s="642">
        <v>0</v>
      </c>
      <c r="J176" s="642">
        <v>0</v>
      </c>
      <c r="K176" s="642">
        <v>0</v>
      </c>
      <c r="L176" s="642">
        <v>0</v>
      </c>
      <c r="M176" s="642">
        <v>0</v>
      </c>
      <c r="N176" s="63">
        <v>4071</v>
      </c>
      <c r="O176" s="63">
        <v>4188</v>
      </c>
      <c r="P176" s="52"/>
      <c r="Q176" s="54" t="s">
        <v>5317</v>
      </c>
    </row>
    <row r="177" spans="1:17">
      <c r="A177" s="649">
        <v>14</v>
      </c>
      <c r="B177" s="53" t="s">
        <v>4714</v>
      </c>
      <c r="C177" s="53" t="s">
        <v>13972</v>
      </c>
      <c r="D177" s="642">
        <v>0</v>
      </c>
      <c r="E177" s="642">
        <v>0</v>
      </c>
      <c r="F177" s="642">
        <v>0</v>
      </c>
      <c r="G177" s="642">
        <v>0</v>
      </c>
      <c r="H177" s="642">
        <v>0</v>
      </c>
      <c r="I177" s="642">
        <v>0</v>
      </c>
      <c r="J177" s="642">
        <v>0</v>
      </c>
      <c r="K177" s="642">
        <v>0</v>
      </c>
      <c r="L177" s="642">
        <v>0</v>
      </c>
      <c r="M177" s="642">
        <v>0</v>
      </c>
      <c r="N177" s="63">
        <v>4073</v>
      </c>
      <c r="O177" s="63">
        <v>4166</v>
      </c>
      <c r="P177" s="52"/>
      <c r="Q177" s="54" t="s">
        <v>5317</v>
      </c>
    </row>
    <row r="178" spans="1:17">
      <c r="A178" s="649">
        <v>15</v>
      </c>
      <c r="B178" s="53" t="s">
        <v>4731</v>
      </c>
      <c r="C178" s="53" t="s">
        <v>13973</v>
      </c>
      <c r="D178" s="642">
        <v>0</v>
      </c>
      <c r="E178" s="642">
        <v>0</v>
      </c>
      <c r="F178" s="642">
        <v>0</v>
      </c>
      <c r="G178" s="642">
        <v>0</v>
      </c>
      <c r="H178" s="642">
        <v>0</v>
      </c>
      <c r="I178" s="642">
        <v>0</v>
      </c>
      <c r="J178" s="642">
        <v>0</v>
      </c>
      <c r="K178" s="642">
        <v>0</v>
      </c>
      <c r="L178" s="642">
        <v>0</v>
      </c>
      <c r="M178" s="642">
        <v>0</v>
      </c>
      <c r="N178" s="63">
        <v>3603</v>
      </c>
      <c r="O178" s="63">
        <v>3680</v>
      </c>
      <c r="P178" s="52"/>
      <c r="Q178" s="54" t="s">
        <v>5317</v>
      </c>
    </row>
    <row r="179" spans="1:17">
      <c r="A179" s="649">
        <v>16</v>
      </c>
      <c r="B179" s="53" t="s">
        <v>4732</v>
      </c>
      <c r="C179" s="53" t="s">
        <v>13974</v>
      </c>
      <c r="D179" s="642">
        <v>0</v>
      </c>
      <c r="E179" s="642">
        <v>0</v>
      </c>
      <c r="F179" s="642">
        <v>0</v>
      </c>
      <c r="G179" s="642">
        <v>0</v>
      </c>
      <c r="H179" s="642">
        <v>0</v>
      </c>
      <c r="I179" s="642">
        <v>0</v>
      </c>
      <c r="J179" s="642">
        <v>0</v>
      </c>
      <c r="K179" s="642">
        <v>0</v>
      </c>
      <c r="L179" s="642">
        <v>0</v>
      </c>
      <c r="M179" s="642">
        <v>0</v>
      </c>
      <c r="N179" s="63">
        <v>3813</v>
      </c>
      <c r="O179" s="63">
        <v>3943</v>
      </c>
      <c r="P179" s="52"/>
      <c r="Q179" s="54" t="s">
        <v>5317</v>
      </c>
    </row>
    <row r="180" spans="1:17">
      <c r="A180" s="54"/>
      <c r="B180" s="54"/>
      <c r="D180" s="642"/>
      <c r="E180" s="642"/>
      <c r="F180" s="642"/>
      <c r="G180" s="642"/>
      <c r="H180" s="642"/>
      <c r="I180" s="642"/>
      <c r="J180" s="642"/>
      <c r="K180" s="642"/>
      <c r="L180" s="642"/>
      <c r="M180" s="642"/>
      <c r="N180" s="642"/>
      <c r="O180" s="642"/>
      <c r="P180" s="52"/>
      <c r="Q180" s="54"/>
    </row>
    <row r="181" spans="1:17">
      <c r="A181" s="54" t="s">
        <v>5317</v>
      </c>
      <c r="D181" s="642">
        <f t="shared" ref="D181:M181" si="103">SUM(D164:D179)</f>
        <v>69438</v>
      </c>
      <c r="E181" s="642">
        <f t="shared" si="103"/>
        <v>70772</v>
      </c>
      <c r="F181" s="642">
        <f t="shared" si="103"/>
        <v>71090</v>
      </c>
      <c r="G181" s="642">
        <f t="shared" si="103"/>
        <v>73045</v>
      </c>
      <c r="H181" s="642">
        <f t="shared" si="103"/>
        <v>75100</v>
      </c>
      <c r="I181" s="642">
        <f t="shared" si="103"/>
        <v>72528</v>
      </c>
      <c r="J181" s="642">
        <f t="shared" si="103"/>
        <v>69825</v>
      </c>
      <c r="K181" s="642">
        <f t="shared" si="103"/>
        <v>71816</v>
      </c>
      <c r="L181" s="642">
        <f t="shared" si="103"/>
        <v>72251</v>
      </c>
      <c r="M181" s="642">
        <f t="shared" si="103"/>
        <v>71293</v>
      </c>
      <c r="N181" s="642">
        <f>SUM(N164:N179)</f>
        <v>72094</v>
      </c>
      <c r="O181" s="642">
        <f>SUM(O164:O179)</f>
        <v>74114</v>
      </c>
      <c r="P181" s="52"/>
      <c r="Q181" s="54"/>
    </row>
    <row r="182" spans="1:17">
      <c r="A182" s="52"/>
      <c r="B182" s="52"/>
      <c r="D182" s="52"/>
      <c r="E182" s="52"/>
      <c r="F182" s="52"/>
      <c r="G182" s="52"/>
      <c r="H182" s="52"/>
      <c r="I182" s="52"/>
      <c r="J182" s="52"/>
      <c r="K182" s="52"/>
      <c r="L182" s="52"/>
      <c r="M182" s="52"/>
      <c r="N182" s="52"/>
      <c r="O182" s="52"/>
      <c r="P182" s="52"/>
      <c r="Q182" s="52"/>
    </row>
    <row r="183" spans="1:17">
      <c r="A183" s="53" t="s">
        <v>13975</v>
      </c>
      <c r="D183" s="650"/>
      <c r="E183" s="650"/>
      <c r="F183" s="650"/>
      <c r="G183" s="650"/>
      <c r="H183" s="650"/>
      <c r="I183" s="650"/>
      <c r="J183" s="650"/>
      <c r="K183" s="650"/>
      <c r="L183" s="650"/>
      <c r="M183" s="650"/>
      <c r="N183" s="650"/>
      <c r="O183" s="650"/>
      <c r="P183" s="52"/>
      <c r="Q183" s="52"/>
    </row>
    <row r="184" spans="1:17">
      <c r="A184" s="54"/>
      <c r="B184" s="54"/>
      <c r="D184" s="650"/>
      <c r="E184" s="650"/>
      <c r="F184" s="650"/>
      <c r="G184" s="650"/>
      <c r="H184" s="650"/>
      <c r="I184" s="650"/>
      <c r="J184" s="650"/>
      <c r="K184" s="650"/>
      <c r="L184" s="650"/>
      <c r="M184" s="650"/>
      <c r="N184" s="650"/>
      <c r="O184" s="650"/>
      <c r="P184" s="52"/>
      <c r="Q184" s="52"/>
    </row>
    <row r="185" spans="1:17">
      <c r="A185" s="54"/>
      <c r="B185" s="54"/>
      <c r="D185" s="650"/>
      <c r="E185" s="650"/>
      <c r="F185" s="650"/>
      <c r="G185" s="650"/>
      <c r="H185" s="650"/>
      <c r="I185" s="650"/>
      <c r="J185" s="650"/>
      <c r="K185" s="650"/>
      <c r="L185" s="650"/>
      <c r="M185" s="650"/>
      <c r="N185" s="650"/>
      <c r="O185" s="650"/>
      <c r="P185" s="52"/>
      <c r="Q185" s="52"/>
    </row>
    <row r="186" spans="1:17">
      <c r="A186" s="52"/>
      <c r="B186" s="52"/>
      <c r="E186" s="51" t="s">
        <v>1526</v>
      </c>
      <c r="F186" s="51"/>
      <c r="G186" s="51"/>
      <c r="H186" s="51"/>
      <c r="I186" s="51"/>
      <c r="J186" s="51"/>
      <c r="K186" s="51"/>
      <c r="L186" s="51"/>
      <c r="M186" s="51"/>
      <c r="N186" s="51"/>
      <c r="O186" s="51"/>
      <c r="P186" s="276"/>
      <c r="Q186" s="11" t="s">
        <v>9479</v>
      </c>
    </row>
    <row r="187" spans="1:17">
      <c r="A187" s="52"/>
      <c r="B187" s="52"/>
      <c r="D187" s="350">
        <v>2010</v>
      </c>
      <c r="E187" s="350">
        <v>2011</v>
      </c>
      <c r="F187" s="350">
        <v>2012</v>
      </c>
      <c r="G187" s="350">
        <v>2013</v>
      </c>
      <c r="H187" s="350">
        <v>2014</v>
      </c>
      <c r="I187" s="350">
        <v>2015</v>
      </c>
      <c r="J187" s="350">
        <v>2016</v>
      </c>
      <c r="K187" s="350">
        <v>2017</v>
      </c>
      <c r="L187" s="350">
        <v>2018</v>
      </c>
      <c r="M187" s="350" t="s">
        <v>12664</v>
      </c>
      <c r="N187" s="350" t="s">
        <v>14443</v>
      </c>
      <c r="O187" s="944" t="s">
        <v>14823</v>
      </c>
      <c r="P187" s="410"/>
      <c r="Q187" s="13" t="s">
        <v>1527</v>
      </c>
    </row>
    <row r="188" spans="1:17">
      <c r="A188" s="54" t="s">
        <v>4725</v>
      </c>
      <c r="D188" s="642">
        <f t="shared" ref="D188:I188" si="104">SUM(D189:D212)</f>
        <v>95970</v>
      </c>
      <c r="E188" s="642">
        <f t="shared" si="104"/>
        <v>96462</v>
      </c>
      <c r="F188" s="642">
        <f t="shared" si="104"/>
        <v>96772</v>
      </c>
      <c r="G188" s="642">
        <f t="shared" si="104"/>
        <v>96740</v>
      </c>
      <c r="H188" s="642">
        <f t="shared" si="104"/>
        <v>97721</v>
      </c>
      <c r="I188" s="642">
        <f t="shared" si="104"/>
        <v>96628</v>
      </c>
      <c r="J188" s="642">
        <f t="shared" ref="J188:O188" si="105">SUM(J189:J212)</f>
        <v>95635</v>
      </c>
      <c r="K188" s="642">
        <f t="shared" si="105"/>
        <v>97253</v>
      </c>
      <c r="L188" s="642">
        <f t="shared" si="105"/>
        <v>97645</v>
      </c>
      <c r="M188" s="642">
        <f t="shared" si="105"/>
        <v>96180</v>
      </c>
      <c r="N188" s="642">
        <f t="shared" si="105"/>
        <v>99559</v>
      </c>
      <c r="O188" s="642">
        <f t="shared" si="105"/>
        <v>98802</v>
      </c>
      <c r="P188" s="52"/>
      <c r="Q188" s="52"/>
    </row>
    <row r="189" spans="1:17">
      <c r="A189" s="649">
        <v>1</v>
      </c>
      <c r="B189" s="54" t="s">
        <v>6093</v>
      </c>
      <c r="C189" s="55" t="s">
        <v>8837</v>
      </c>
      <c r="D189" s="642">
        <v>2105</v>
      </c>
      <c r="E189" s="642">
        <v>2095</v>
      </c>
      <c r="F189" s="642">
        <v>2084</v>
      </c>
      <c r="G189" s="56">
        <v>2070</v>
      </c>
      <c r="H189" s="56">
        <v>2064</v>
      </c>
      <c r="I189" s="56">
        <v>2041</v>
      </c>
      <c r="J189" s="56">
        <v>2045</v>
      </c>
      <c r="K189" s="56">
        <v>2125</v>
      </c>
      <c r="L189" s="56">
        <v>2173</v>
      </c>
      <c r="M189" s="56">
        <v>50716</v>
      </c>
      <c r="N189" s="56">
        <v>52375</v>
      </c>
      <c r="O189" s="56">
        <v>2211</v>
      </c>
      <c r="P189" s="52"/>
      <c r="Q189" s="54" t="s">
        <v>5321</v>
      </c>
    </row>
    <row r="190" spans="1:17">
      <c r="A190" s="649">
        <v>2</v>
      </c>
      <c r="B190" s="54" t="s">
        <v>4726</v>
      </c>
      <c r="C190" s="55" t="s">
        <v>8838</v>
      </c>
      <c r="D190" s="642">
        <v>2219</v>
      </c>
      <c r="E190" s="642">
        <v>2231</v>
      </c>
      <c r="F190" s="642">
        <v>2211</v>
      </c>
      <c r="G190" s="56">
        <v>2242</v>
      </c>
      <c r="H190" s="56">
        <v>2244</v>
      </c>
      <c r="I190" s="56">
        <v>2237</v>
      </c>
      <c r="J190" s="56">
        <v>2251</v>
      </c>
      <c r="K190" s="56">
        <v>2241</v>
      </c>
      <c r="L190" s="56">
        <v>2243</v>
      </c>
      <c r="M190" s="56">
        <v>0</v>
      </c>
      <c r="N190" s="56">
        <v>0</v>
      </c>
      <c r="O190" s="56">
        <v>2311</v>
      </c>
      <c r="P190" s="52"/>
      <c r="Q190" s="54" t="s">
        <v>5321</v>
      </c>
    </row>
    <row r="191" spans="1:17">
      <c r="A191" s="649">
        <v>3</v>
      </c>
      <c r="B191" s="54" t="s">
        <v>4727</v>
      </c>
      <c r="C191" s="55" t="s">
        <v>8839</v>
      </c>
      <c r="D191" s="642">
        <v>5536</v>
      </c>
      <c r="E191" s="642">
        <v>5612</v>
      </c>
      <c r="F191" s="642">
        <v>5755</v>
      </c>
      <c r="G191" s="56">
        <v>5785</v>
      </c>
      <c r="H191" s="56">
        <v>5787</v>
      </c>
      <c r="I191" s="56">
        <v>5704</v>
      </c>
      <c r="J191" s="56">
        <v>5647</v>
      </c>
      <c r="K191" s="56">
        <v>5739</v>
      </c>
      <c r="L191" s="56">
        <v>5720</v>
      </c>
      <c r="M191" s="56">
        <v>0</v>
      </c>
      <c r="N191" s="56">
        <v>0</v>
      </c>
      <c r="O191" s="56">
        <v>5727</v>
      </c>
      <c r="P191" s="52"/>
      <c r="Q191" s="54" t="s">
        <v>5321</v>
      </c>
    </row>
    <row r="192" spans="1:17">
      <c r="A192" s="649">
        <v>4</v>
      </c>
      <c r="B192" s="54" t="s">
        <v>3216</v>
      </c>
      <c r="C192" s="55" t="s">
        <v>8840</v>
      </c>
      <c r="D192" s="642">
        <v>1779</v>
      </c>
      <c r="E192" s="642">
        <v>1765</v>
      </c>
      <c r="F192" s="642">
        <v>1780</v>
      </c>
      <c r="G192" s="56">
        <v>1795</v>
      </c>
      <c r="H192" s="56">
        <v>1782</v>
      </c>
      <c r="I192" s="56">
        <v>1793</v>
      </c>
      <c r="J192" s="56">
        <v>1772</v>
      </c>
      <c r="K192" s="56">
        <v>1783</v>
      </c>
      <c r="L192" s="56">
        <v>1763</v>
      </c>
      <c r="M192" s="56">
        <v>39294</v>
      </c>
      <c r="N192" s="56">
        <v>40784</v>
      </c>
      <c r="O192" s="56">
        <v>1829</v>
      </c>
      <c r="P192" s="52"/>
      <c r="Q192" s="54" t="s">
        <v>5318</v>
      </c>
    </row>
    <row r="193" spans="1:17">
      <c r="A193" s="649">
        <v>5</v>
      </c>
      <c r="B193" s="54" t="s">
        <v>3217</v>
      </c>
      <c r="C193" s="55" t="s">
        <v>8841</v>
      </c>
      <c r="D193" s="642">
        <v>4981</v>
      </c>
      <c r="E193" s="642">
        <v>5173</v>
      </c>
      <c r="F193" s="642">
        <v>5145</v>
      </c>
      <c r="G193" s="56">
        <v>5142</v>
      </c>
      <c r="H193" s="56">
        <v>5144</v>
      </c>
      <c r="I193" s="56">
        <v>5062</v>
      </c>
      <c r="J193" s="56">
        <v>5004</v>
      </c>
      <c r="K193" s="56">
        <v>5045</v>
      </c>
      <c r="L193" s="56">
        <v>5017</v>
      </c>
      <c r="M193" s="56">
        <v>0</v>
      </c>
      <c r="N193" s="56">
        <v>0</v>
      </c>
      <c r="O193" s="56">
        <v>5127</v>
      </c>
      <c r="P193" s="52"/>
      <c r="Q193" s="54" t="s">
        <v>5318</v>
      </c>
    </row>
    <row r="194" spans="1:17">
      <c r="A194" s="649">
        <v>6</v>
      </c>
      <c r="B194" s="53" t="s">
        <v>3218</v>
      </c>
      <c r="C194" s="55" t="s">
        <v>8842</v>
      </c>
      <c r="D194" s="642">
        <v>2127</v>
      </c>
      <c r="E194" s="642">
        <v>2095</v>
      </c>
      <c r="F194" s="642">
        <v>2113</v>
      </c>
      <c r="G194" s="58">
        <v>2106</v>
      </c>
      <c r="H194" s="58">
        <v>2128</v>
      </c>
      <c r="I194" s="58">
        <v>2088</v>
      </c>
      <c r="J194" s="58">
        <v>2107</v>
      </c>
      <c r="K194" s="58">
        <v>2136</v>
      </c>
      <c r="L194" s="58">
        <v>2103</v>
      </c>
      <c r="M194" s="56">
        <v>6170</v>
      </c>
      <c r="N194" s="56">
        <v>6400</v>
      </c>
      <c r="O194" s="56">
        <v>2150</v>
      </c>
      <c r="P194" s="52"/>
      <c r="Q194" s="54" t="s">
        <v>5325</v>
      </c>
    </row>
    <row r="195" spans="1:17">
      <c r="A195" s="649">
        <v>7</v>
      </c>
      <c r="B195" s="54" t="s">
        <v>3219</v>
      </c>
      <c r="C195" s="55" t="s">
        <v>8843</v>
      </c>
      <c r="D195" s="642">
        <v>2013</v>
      </c>
      <c r="E195" s="642">
        <v>2005</v>
      </c>
      <c r="F195" s="642">
        <v>1992</v>
      </c>
      <c r="G195" s="56">
        <v>1986</v>
      </c>
      <c r="H195" s="56">
        <v>2005</v>
      </c>
      <c r="I195" s="56">
        <v>1969</v>
      </c>
      <c r="J195" s="56">
        <v>1949</v>
      </c>
      <c r="K195" s="56">
        <v>2029</v>
      </c>
      <c r="L195" s="56">
        <v>2030</v>
      </c>
      <c r="M195" s="56">
        <v>0</v>
      </c>
      <c r="N195" s="56">
        <v>0</v>
      </c>
      <c r="O195" s="56">
        <v>2103</v>
      </c>
      <c r="P195" s="52"/>
      <c r="Q195" s="54" t="s">
        <v>5321</v>
      </c>
    </row>
    <row r="196" spans="1:17">
      <c r="A196" s="649">
        <v>8</v>
      </c>
      <c r="B196" s="54" t="s">
        <v>3220</v>
      </c>
      <c r="C196" s="55" t="s">
        <v>8844</v>
      </c>
      <c r="D196" s="642">
        <v>5787</v>
      </c>
      <c r="E196" s="642">
        <v>5929</v>
      </c>
      <c r="F196" s="642">
        <v>6002</v>
      </c>
      <c r="G196" s="56">
        <v>6043</v>
      </c>
      <c r="H196" s="56">
        <v>6137</v>
      </c>
      <c r="I196" s="56">
        <v>6045</v>
      </c>
      <c r="J196" s="56">
        <v>5971</v>
      </c>
      <c r="K196" s="56">
        <v>6076</v>
      </c>
      <c r="L196" s="56">
        <v>6120</v>
      </c>
      <c r="M196" s="56">
        <v>0</v>
      </c>
      <c r="N196" s="56">
        <v>0</v>
      </c>
      <c r="O196" s="56">
        <v>6271</v>
      </c>
      <c r="P196" s="52"/>
      <c r="Q196" s="54" t="s">
        <v>5318</v>
      </c>
    </row>
    <row r="197" spans="1:17">
      <c r="A197" s="649">
        <v>9</v>
      </c>
      <c r="B197" s="54" t="s">
        <v>3870</v>
      </c>
      <c r="C197" s="55" t="s">
        <v>8845</v>
      </c>
      <c r="D197" s="642">
        <v>5863</v>
      </c>
      <c r="E197" s="642">
        <v>5933</v>
      </c>
      <c r="F197" s="642">
        <v>5962</v>
      </c>
      <c r="G197" s="56">
        <v>5967</v>
      </c>
      <c r="H197" s="56">
        <v>6067</v>
      </c>
      <c r="I197" s="56">
        <v>5942</v>
      </c>
      <c r="J197" s="56">
        <v>5916</v>
      </c>
      <c r="K197" s="56">
        <v>6033</v>
      </c>
      <c r="L197" s="56">
        <v>6052</v>
      </c>
      <c r="M197" s="56">
        <v>0</v>
      </c>
      <c r="N197" s="56">
        <v>0</v>
      </c>
      <c r="O197" s="56">
        <v>6244</v>
      </c>
      <c r="P197" s="52"/>
      <c r="Q197" s="54" t="s">
        <v>5318</v>
      </c>
    </row>
    <row r="198" spans="1:17">
      <c r="A198" s="649">
        <v>10</v>
      </c>
      <c r="B198" s="54" t="s">
        <v>3871</v>
      </c>
      <c r="C198" s="55" t="s">
        <v>8846</v>
      </c>
      <c r="D198" s="642">
        <v>3705</v>
      </c>
      <c r="E198" s="642">
        <v>3609</v>
      </c>
      <c r="F198" s="642">
        <v>3550</v>
      </c>
      <c r="G198" s="56">
        <v>3526</v>
      </c>
      <c r="H198" s="56">
        <v>3569</v>
      </c>
      <c r="I198" s="56">
        <v>3606</v>
      </c>
      <c r="J198" s="56">
        <v>3546</v>
      </c>
      <c r="K198" s="56">
        <v>3575</v>
      </c>
      <c r="L198" s="56">
        <v>3596</v>
      </c>
      <c r="M198" s="56">
        <v>0</v>
      </c>
      <c r="N198" s="56">
        <v>0</v>
      </c>
      <c r="O198" s="56">
        <v>3552</v>
      </c>
      <c r="P198" s="52"/>
      <c r="Q198" s="54" t="s">
        <v>5318</v>
      </c>
    </row>
    <row r="199" spans="1:17">
      <c r="A199" s="649">
        <v>11</v>
      </c>
      <c r="B199" s="54" t="s">
        <v>3872</v>
      </c>
      <c r="C199" s="55" t="s">
        <v>8847</v>
      </c>
      <c r="D199" s="642">
        <v>3603</v>
      </c>
      <c r="E199" s="642">
        <v>3590</v>
      </c>
      <c r="F199" s="642">
        <v>3568</v>
      </c>
      <c r="G199" s="56">
        <v>3538</v>
      </c>
      <c r="H199" s="56">
        <v>3628</v>
      </c>
      <c r="I199" s="56">
        <v>3597</v>
      </c>
      <c r="J199" s="56">
        <v>3587</v>
      </c>
      <c r="K199" s="56">
        <v>3714</v>
      </c>
      <c r="L199" s="56">
        <v>3690</v>
      </c>
      <c r="M199" s="56">
        <v>0</v>
      </c>
      <c r="N199" s="56">
        <v>0</v>
      </c>
      <c r="O199" s="56">
        <v>3707</v>
      </c>
      <c r="P199" s="52"/>
      <c r="Q199" s="54" t="s">
        <v>5318</v>
      </c>
    </row>
    <row r="200" spans="1:17">
      <c r="A200" s="649">
        <v>12</v>
      </c>
      <c r="B200" s="54" t="s">
        <v>5413</v>
      </c>
      <c r="C200" s="55" t="s">
        <v>8848</v>
      </c>
      <c r="D200" s="642">
        <v>5958</v>
      </c>
      <c r="E200" s="642">
        <v>5987</v>
      </c>
      <c r="F200" s="642">
        <v>5986</v>
      </c>
      <c r="G200" s="56">
        <v>5941</v>
      </c>
      <c r="H200" s="56">
        <v>5957</v>
      </c>
      <c r="I200" s="56">
        <v>5925</v>
      </c>
      <c r="J200" s="56">
        <v>5829</v>
      </c>
      <c r="K200" s="56">
        <v>5895</v>
      </c>
      <c r="L200" s="56">
        <v>5899</v>
      </c>
      <c r="M200" s="56">
        <v>0</v>
      </c>
      <c r="N200" s="56">
        <v>0</v>
      </c>
      <c r="O200" s="56">
        <v>6051</v>
      </c>
      <c r="P200" s="52"/>
      <c r="Q200" s="54" t="s">
        <v>5318</v>
      </c>
    </row>
    <row r="201" spans="1:17">
      <c r="A201" s="649">
        <v>13</v>
      </c>
      <c r="B201" s="54" t="s">
        <v>5414</v>
      </c>
      <c r="C201" s="55" t="s">
        <v>8849</v>
      </c>
      <c r="D201" s="642">
        <v>5594</v>
      </c>
      <c r="E201" s="642">
        <v>5589</v>
      </c>
      <c r="F201" s="642">
        <v>5581</v>
      </c>
      <c r="G201" s="56">
        <v>5559</v>
      </c>
      <c r="H201" s="56">
        <v>5602</v>
      </c>
      <c r="I201" s="56">
        <v>5546</v>
      </c>
      <c r="J201" s="56">
        <v>5586</v>
      </c>
      <c r="K201" s="56">
        <v>5756</v>
      </c>
      <c r="L201" s="56">
        <v>5787</v>
      </c>
      <c r="M201" s="56">
        <v>0</v>
      </c>
      <c r="N201" s="56">
        <v>0</v>
      </c>
      <c r="O201" s="56">
        <v>5854</v>
      </c>
      <c r="P201" s="52"/>
      <c r="Q201" s="54" t="s">
        <v>5318</v>
      </c>
    </row>
    <row r="202" spans="1:17">
      <c r="A202" s="649">
        <v>14</v>
      </c>
      <c r="B202" s="54" t="s">
        <v>5415</v>
      </c>
      <c r="C202" s="55" t="s">
        <v>8850</v>
      </c>
      <c r="D202" s="642">
        <v>1765</v>
      </c>
      <c r="E202" s="642">
        <v>1752</v>
      </c>
      <c r="F202" s="642">
        <v>1736</v>
      </c>
      <c r="G202" s="56">
        <v>1711</v>
      </c>
      <c r="H202" s="56">
        <v>1709</v>
      </c>
      <c r="I202" s="56">
        <v>1696</v>
      </c>
      <c r="J202" s="56">
        <v>1714</v>
      </c>
      <c r="K202" s="56">
        <v>1730</v>
      </c>
      <c r="L202" s="56">
        <v>1783</v>
      </c>
      <c r="M202" s="56">
        <v>0</v>
      </c>
      <c r="N202" s="56">
        <v>0</v>
      </c>
      <c r="O202" s="56">
        <v>1822</v>
      </c>
      <c r="P202" s="52"/>
      <c r="Q202" s="54" t="s">
        <v>5318</v>
      </c>
    </row>
    <row r="203" spans="1:17">
      <c r="A203" s="649">
        <v>15</v>
      </c>
      <c r="B203" s="54" t="s">
        <v>3881</v>
      </c>
      <c r="C203" s="55" t="s">
        <v>8851</v>
      </c>
      <c r="D203" s="642">
        <v>4112</v>
      </c>
      <c r="E203" s="642">
        <v>4122</v>
      </c>
      <c r="F203" s="642">
        <v>4108</v>
      </c>
      <c r="G203" s="58">
        <v>4103</v>
      </c>
      <c r="H203" s="58">
        <v>4103</v>
      </c>
      <c r="I203" s="58">
        <v>4057</v>
      </c>
      <c r="J203" s="58">
        <v>3922</v>
      </c>
      <c r="K203" s="58">
        <v>4087</v>
      </c>
      <c r="L203" s="58">
        <v>4143</v>
      </c>
      <c r="M203" s="56">
        <v>0</v>
      </c>
      <c r="N203" s="56">
        <v>0</v>
      </c>
      <c r="O203" s="56">
        <v>4176</v>
      </c>
      <c r="P203" s="52"/>
      <c r="Q203" s="54" t="s">
        <v>5325</v>
      </c>
    </row>
    <row r="204" spans="1:17">
      <c r="A204" s="649">
        <v>16</v>
      </c>
      <c r="B204" s="54" t="s">
        <v>3882</v>
      </c>
      <c r="C204" s="55" t="s">
        <v>8852</v>
      </c>
      <c r="D204" s="642">
        <v>4003</v>
      </c>
      <c r="E204" s="642">
        <v>4133</v>
      </c>
      <c r="F204" s="642">
        <v>4177</v>
      </c>
      <c r="G204" s="56">
        <v>4177</v>
      </c>
      <c r="H204" s="56">
        <v>4312</v>
      </c>
      <c r="I204" s="56">
        <v>4237</v>
      </c>
      <c r="J204" s="56">
        <v>4222</v>
      </c>
      <c r="K204" s="56">
        <v>4288</v>
      </c>
      <c r="L204" s="56">
        <v>4362</v>
      </c>
      <c r="M204" s="56">
        <v>0</v>
      </c>
      <c r="N204" s="56">
        <v>0</v>
      </c>
      <c r="O204" s="56">
        <v>4370</v>
      </c>
      <c r="P204" s="52"/>
      <c r="Q204" s="54" t="s">
        <v>5321</v>
      </c>
    </row>
    <row r="205" spans="1:17">
      <c r="A205" s="649">
        <v>17</v>
      </c>
      <c r="B205" s="54" t="s">
        <v>3883</v>
      </c>
      <c r="C205" s="55" t="s">
        <v>8853</v>
      </c>
      <c r="D205" s="642">
        <v>5689</v>
      </c>
      <c r="E205" s="642">
        <v>5688</v>
      </c>
      <c r="F205" s="642">
        <v>5701</v>
      </c>
      <c r="G205" s="56">
        <v>5651</v>
      </c>
      <c r="H205" s="56">
        <v>5642</v>
      </c>
      <c r="I205" s="56">
        <v>5591</v>
      </c>
      <c r="J205" s="56">
        <v>5492</v>
      </c>
      <c r="K205" s="56">
        <v>5535</v>
      </c>
      <c r="L205" s="56">
        <v>5484</v>
      </c>
      <c r="M205" s="56">
        <v>0</v>
      </c>
      <c r="N205" s="56">
        <v>0</v>
      </c>
      <c r="O205" s="56">
        <v>5505</v>
      </c>
      <c r="P205" s="52"/>
      <c r="Q205" s="54" t="s">
        <v>5321</v>
      </c>
    </row>
    <row r="206" spans="1:17">
      <c r="A206" s="649">
        <v>18</v>
      </c>
      <c r="B206" s="54" t="s">
        <v>3884</v>
      </c>
      <c r="C206" s="55" t="s">
        <v>8854</v>
      </c>
      <c r="D206" s="642">
        <v>5639</v>
      </c>
      <c r="E206" s="642">
        <v>5632</v>
      </c>
      <c r="F206" s="642">
        <v>5636</v>
      </c>
      <c r="G206" s="58">
        <v>5592</v>
      </c>
      <c r="H206" s="58">
        <v>5626</v>
      </c>
      <c r="I206" s="58">
        <v>5586</v>
      </c>
      <c r="J206" s="58">
        <v>5415</v>
      </c>
      <c r="K206" s="58">
        <v>5466</v>
      </c>
      <c r="L206" s="58">
        <v>5429</v>
      </c>
      <c r="M206" s="56">
        <v>0</v>
      </c>
      <c r="N206" s="56">
        <v>0</v>
      </c>
      <c r="O206" s="56">
        <v>5343</v>
      </c>
      <c r="P206" s="52"/>
      <c r="Q206" s="54" t="s">
        <v>5321</v>
      </c>
    </row>
    <row r="207" spans="1:17">
      <c r="A207" s="649">
        <v>19</v>
      </c>
      <c r="B207" s="54" t="s">
        <v>3885</v>
      </c>
      <c r="C207" s="55" t="s">
        <v>8855</v>
      </c>
      <c r="D207" s="642">
        <v>5821</v>
      </c>
      <c r="E207" s="642">
        <v>5865</v>
      </c>
      <c r="F207" s="642">
        <v>5860</v>
      </c>
      <c r="G207" s="58">
        <v>5926</v>
      </c>
      <c r="H207" s="58">
        <v>6049</v>
      </c>
      <c r="I207" s="58">
        <v>5974</v>
      </c>
      <c r="J207" s="58">
        <v>5910</v>
      </c>
      <c r="K207" s="58">
        <v>5977</v>
      </c>
      <c r="L207" s="58">
        <v>5961</v>
      </c>
      <c r="M207" s="56">
        <v>0</v>
      </c>
      <c r="N207" s="56">
        <v>0</v>
      </c>
      <c r="O207" s="56">
        <v>5945</v>
      </c>
      <c r="P207" s="52"/>
      <c r="Q207" s="54" t="s">
        <v>5321</v>
      </c>
    </row>
    <row r="208" spans="1:17">
      <c r="A208" s="649">
        <v>20</v>
      </c>
      <c r="B208" s="54" t="s">
        <v>3886</v>
      </c>
      <c r="C208" s="55" t="s">
        <v>8856</v>
      </c>
      <c r="D208" s="646">
        <v>3939</v>
      </c>
      <c r="E208" s="646">
        <v>3947</v>
      </c>
      <c r="F208" s="646">
        <v>4034</v>
      </c>
      <c r="G208" s="58">
        <v>4132</v>
      </c>
      <c r="H208" s="58">
        <v>4130</v>
      </c>
      <c r="I208" s="58">
        <v>4038</v>
      </c>
      <c r="J208" s="58">
        <v>3905</v>
      </c>
      <c r="K208" s="58">
        <v>3939</v>
      </c>
      <c r="L208" s="58">
        <v>3971</v>
      </c>
      <c r="M208" s="56">
        <v>0</v>
      </c>
      <c r="N208" s="56">
        <v>0</v>
      </c>
      <c r="O208" s="56">
        <v>3946</v>
      </c>
      <c r="P208" s="52"/>
      <c r="Q208" s="54" t="s">
        <v>5321</v>
      </c>
    </row>
    <row r="209" spans="1:17">
      <c r="A209" s="649">
        <v>21</v>
      </c>
      <c r="B209" s="54" t="s">
        <v>3887</v>
      </c>
      <c r="C209" s="55" t="s">
        <v>8857</v>
      </c>
      <c r="D209" s="642">
        <v>4057</v>
      </c>
      <c r="E209" s="642">
        <v>4035</v>
      </c>
      <c r="F209" s="642">
        <v>4083</v>
      </c>
      <c r="G209" s="58">
        <v>4072</v>
      </c>
      <c r="H209" s="58">
        <v>4232</v>
      </c>
      <c r="I209" s="58">
        <v>4214</v>
      </c>
      <c r="J209" s="58">
        <v>4166</v>
      </c>
      <c r="K209" s="58">
        <v>4176</v>
      </c>
      <c r="L209" s="58">
        <v>4328</v>
      </c>
      <c r="M209" s="56">
        <v>0</v>
      </c>
      <c r="N209" s="56">
        <v>0</v>
      </c>
      <c r="O209" s="56">
        <v>4430</v>
      </c>
      <c r="P209" s="52"/>
      <c r="Q209" s="54" t="s">
        <v>5321</v>
      </c>
    </row>
    <row r="210" spans="1:17">
      <c r="A210" s="649">
        <v>22</v>
      </c>
      <c r="B210" s="54" t="s">
        <v>3888</v>
      </c>
      <c r="C210" s="55" t="s">
        <v>8858</v>
      </c>
      <c r="D210" s="642">
        <v>4106</v>
      </c>
      <c r="E210" s="642">
        <v>4114</v>
      </c>
      <c r="F210" s="642">
        <v>4123</v>
      </c>
      <c r="G210" s="58">
        <v>4087</v>
      </c>
      <c r="H210" s="58">
        <v>4085</v>
      </c>
      <c r="I210" s="58">
        <v>4038</v>
      </c>
      <c r="J210" s="58">
        <v>4078</v>
      </c>
      <c r="K210" s="58">
        <v>4091</v>
      </c>
      <c r="L210" s="58">
        <v>4081</v>
      </c>
      <c r="M210" s="56">
        <v>0</v>
      </c>
      <c r="N210" s="56">
        <v>0</v>
      </c>
      <c r="O210" s="56">
        <v>4139</v>
      </c>
      <c r="P210" s="52"/>
      <c r="Q210" s="54" t="s">
        <v>5321</v>
      </c>
    </row>
    <row r="211" spans="1:17">
      <c r="A211" s="649">
        <v>23</v>
      </c>
      <c r="B211" s="54" t="s">
        <v>3889</v>
      </c>
      <c r="C211" s="55" t="s">
        <v>8859</v>
      </c>
      <c r="D211" s="642">
        <v>3957</v>
      </c>
      <c r="E211" s="642">
        <v>3939</v>
      </c>
      <c r="F211" s="642">
        <v>3934</v>
      </c>
      <c r="G211" s="58">
        <v>3938</v>
      </c>
      <c r="H211" s="58">
        <v>4068</v>
      </c>
      <c r="I211" s="58">
        <v>4000</v>
      </c>
      <c r="J211" s="58">
        <v>3964</v>
      </c>
      <c r="K211" s="58">
        <v>4132</v>
      </c>
      <c r="L211" s="58">
        <v>4235</v>
      </c>
      <c r="M211" s="56">
        <v>0</v>
      </c>
      <c r="N211" s="56">
        <v>0</v>
      </c>
      <c r="O211" s="56">
        <v>4300</v>
      </c>
      <c r="P211" s="52"/>
      <c r="Q211" s="54" t="s">
        <v>5321</v>
      </c>
    </row>
    <row r="212" spans="1:17">
      <c r="A212" s="649">
        <v>24</v>
      </c>
      <c r="B212" s="54" t="s">
        <v>3890</v>
      </c>
      <c r="C212" s="55" t="s">
        <v>8860</v>
      </c>
      <c r="D212" s="642">
        <v>1612</v>
      </c>
      <c r="E212" s="642">
        <v>1622</v>
      </c>
      <c r="F212" s="642">
        <v>1651</v>
      </c>
      <c r="G212" s="58">
        <v>1651</v>
      </c>
      <c r="H212" s="58">
        <v>1651</v>
      </c>
      <c r="I212" s="58">
        <v>1642</v>
      </c>
      <c r="J212" s="58">
        <v>1637</v>
      </c>
      <c r="K212" s="58">
        <v>1685</v>
      </c>
      <c r="L212" s="58">
        <v>1675</v>
      </c>
      <c r="M212" s="56">
        <v>0</v>
      </c>
      <c r="N212" s="56">
        <v>0</v>
      </c>
      <c r="O212" s="56">
        <v>1689</v>
      </c>
      <c r="P212" s="52"/>
      <c r="Q212" s="54" t="s">
        <v>5321</v>
      </c>
    </row>
    <row r="213" spans="1:17">
      <c r="A213" s="652"/>
      <c r="B213" s="652"/>
      <c r="C213" s="54"/>
      <c r="D213" s="642"/>
      <c r="E213" s="642"/>
      <c r="F213" s="642"/>
      <c r="G213" s="653"/>
      <c r="H213" s="653"/>
      <c r="I213" s="653"/>
      <c r="J213" s="653"/>
      <c r="K213" s="653"/>
      <c r="L213" s="653"/>
      <c r="M213" s="653"/>
      <c r="N213" s="653"/>
      <c r="O213" s="653"/>
      <c r="P213" s="52"/>
      <c r="Q213" s="54"/>
    </row>
    <row r="214" spans="1:17">
      <c r="A214" s="54" t="s">
        <v>3891</v>
      </c>
      <c r="C214" s="54"/>
      <c r="D214" s="642">
        <f t="shared" ref="D214:I214" si="106">D192+D193+SUM(D196:D202)</f>
        <v>39035</v>
      </c>
      <c r="E214" s="642">
        <f t="shared" si="106"/>
        <v>39327</v>
      </c>
      <c r="F214" s="642">
        <f t="shared" si="106"/>
        <v>39310</v>
      </c>
      <c r="G214" s="642">
        <f t="shared" si="106"/>
        <v>39222</v>
      </c>
      <c r="H214" s="642">
        <f t="shared" si="106"/>
        <v>39595</v>
      </c>
      <c r="I214" s="642">
        <f t="shared" si="106"/>
        <v>39212</v>
      </c>
      <c r="J214" s="642">
        <f t="shared" ref="J214:O214" si="107">J192+J193+SUM(J196:J202)</f>
        <v>38925</v>
      </c>
      <c r="K214" s="642">
        <f t="shared" si="107"/>
        <v>39607</v>
      </c>
      <c r="L214" s="642">
        <f t="shared" si="107"/>
        <v>39707</v>
      </c>
      <c r="M214" s="642">
        <f t="shared" si="107"/>
        <v>39294</v>
      </c>
      <c r="N214" s="642">
        <f t="shared" si="107"/>
        <v>40784</v>
      </c>
      <c r="O214" s="642">
        <f t="shared" si="107"/>
        <v>40457</v>
      </c>
      <c r="P214" s="52"/>
      <c r="Q214" s="54"/>
    </row>
    <row r="215" spans="1:17" s="473" customFormat="1">
      <c r="A215" s="54" t="s">
        <v>4691</v>
      </c>
      <c r="B215" s="53"/>
      <c r="D215" s="642">
        <f t="shared" ref="D215:I215" si="108">SUM(D189:D191)+D195+SUM(D204:D212)</f>
        <v>50696</v>
      </c>
      <c r="E215" s="642">
        <f t="shared" si="108"/>
        <v>50918</v>
      </c>
      <c r="F215" s="642">
        <f t="shared" si="108"/>
        <v>51241</v>
      </c>
      <c r="G215" s="642">
        <f t="shared" si="108"/>
        <v>51309</v>
      </c>
      <c r="H215" s="642">
        <f t="shared" si="108"/>
        <v>51895</v>
      </c>
      <c r="I215" s="642">
        <f t="shared" si="108"/>
        <v>51271</v>
      </c>
      <c r="J215" s="642">
        <f t="shared" ref="J215:O215" si="109">SUM(J189:J191)+J195+SUM(J204:J212)</f>
        <v>50681</v>
      </c>
      <c r="K215" s="642">
        <f t="shared" si="109"/>
        <v>51423</v>
      </c>
      <c r="L215" s="642">
        <f t="shared" si="109"/>
        <v>51692</v>
      </c>
      <c r="M215" s="642">
        <f t="shared" si="109"/>
        <v>50716</v>
      </c>
      <c r="N215" s="642">
        <f t="shared" si="109"/>
        <v>52375</v>
      </c>
      <c r="O215" s="642">
        <f t="shared" si="109"/>
        <v>52019</v>
      </c>
      <c r="P215" s="652"/>
      <c r="Q215" s="652"/>
    </row>
    <row r="216" spans="1:17">
      <c r="A216" s="54" t="s">
        <v>4700</v>
      </c>
      <c r="D216" s="642">
        <f t="shared" ref="D216:I216" si="110">D194+D203</f>
        <v>6239</v>
      </c>
      <c r="E216" s="642">
        <f t="shared" si="110"/>
        <v>6217</v>
      </c>
      <c r="F216" s="642">
        <f t="shared" si="110"/>
        <v>6221</v>
      </c>
      <c r="G216" s="642">
        <f t="shared" si="110"/>
        <v>6209</v>
      </c>
      <c r="H216" s="642">
        <f t="shared" si="110"/>
        <v>6231</v>
      </c>
      <c r="I216" s="642">
        <f t="shared" si="110"/>
        <v>6145</v>
      </c>
      <c r="J216" s="642">
        <f t="shared" ref="J216:O216" si="111">J194+J203</f>
        <v>6029</v>
      </c>
      <c r="K216" s="642">
        <f t="shared" si="111"/>
        <v>6223</v>
      </c>
      <c r="L216" s="642">
        <f t="shared" si="111"/>
        <v>6246</v>
      </c>
      <c r="M216" s="642">
        <f t="shared" si="111"/>
        <v>6170</v>
      </c>
      <c r="N216" s="642">
        <f t="shared" si="111"/>
        <v>6400</v>
      </c>
      <c r="O216" s="642">
        <f t="shared" si="111"/>
        <v>6326</v>
      </c>
      <c r="P216" s="52"/>
      <c r="Q216" s="52"/>
    </row>
    <row r="217" spans="1:17">
      <c r="A217" s="54"/>
      <c r="B217" s="54"/>
      <c r="P217" s="52"/>
      <c r="Q217" s="52"/>
    </row>
    <row r="218" spans="1:17">
      <c r="A218" s="53" t="s">
        <v>3892</v>
      </c>
      <c r="P218" s="52"/>
      <c r="Q218" s="52"/>
    </row>
    <row r="219" spans="1:17">
      <c r="A219" s="54" t="s">
        <v>14822</v>
      </c>
      <c r="B219" s="54"/>
      <c r="D219" s="650"/>
      <c r="E219" s="650"/>
      <c r="F219" s="650"/>
      <c r="G219" s="650"/>
      <c r="H219" s="650"/>
      <c r="I219" s="650"/>
      <c r="J219" s="650"/>
      <c r="K219" s="650"/>
      <c r="L219" s="650"/>
      <c r="M219" s="650"/>
      <c r="N219" s="650"/>
      <c r="O219" s="650"/>
      <c r="P219" s="52"/>
      <c r="Q219" s="52"/>
    </row>
    <row r="220" spans="1:17">
      <c r="A220" s="54"/>
      <c r="B220" s="54"/>
      <c r="D220" s="650"/>
      <c r="E220" s="650"/>
      <c r="F220" s="650"/>
      <c r="G220" s="650"/>
      <c r="H220" s="650"/>
      <c r="I220" s="650"/>
      <c r="J220" s="650"/>
      <c r="K220" s="650"/>
      <c r="L220" s="650"/>
      <c r="M220" s="650"/>
      <c r="N220" s="650"/>
      <c r="O220" s="650"/>
      <c r="P220" s="52"/>
      <c r="Q220" s="52"/>
    </row>
    <row r="221" spans="1:17">
      <c r="A221" s="52"/>
      <c r="B221" s="52"/>
      <c r="E221" s="51" t="s">
        <v>1526</v>
      </c>
      <c r="F221" s="51"/>
      <c r="G221" s="51"/>
      <c r="H221" s="51"/>
      <c r="I221" s="51"/>
      <c r="J221" s="51"/>
      <c r="K221" s="51"/>
      <c r="L221" s="51"/>
      <c r="M221" s="51"/>
      <c r="N221" s="51"/>
      <c r="O221" s="51"/>
      <c r="P221" s="276"/>
      <c r="Q221" s="11" t="s">
        <v>9479</v>
      </c>
    </row>
    <row r="222" spans="1:17">
      <c r="A222" s="52"/>
      <c r="B222" s="52"/>
      <c r="D222" s="350">
        <v>2010</v>
      </c>
      <c r="E222" s="350">
        <v>2011</v>
      </c>
      <c r="F222" s="350">
        <v>2012</v>
      </c>
      <c r="G222" s="350">
        <v>2013</v>
      </c>
      <c r="H222" s="350">
        <v>2014</v>
      </c>
      <c r="I222" s="350">
        <v>2015</v>
      </c>
      <c r="J222" s="350">
        <v>2016</v>
      </c>
      <c r="K222" s="350">
        <v>2017</v>
      </c>
      <c r="L222" s="350">
        <v>2018</v>
      </c>
      <c r="M222" s="350">
        <v>2019</v>
      </c>
      <c r="N222" s="350">
        <v>2020</v>
      </c>
      <c r="O222" s="944" t="s">
        <v>14823</v>
      </c>
      <c r="P222" s="410"/>
      <c r="Q222" s="13" t="s">
        <v>1527</v>
      </c>
    </row>
    <row r="223" spans="1:17">
      <c r="A223" s="54" t="s">
        <v>3893</v>
      </c>
      <c r="D223" s="642">
        <f t="shared" ref="D223:O223" si="112">SUM(D224:D228)+SUM(D230:D245)</f>
        <v>101579</v>
      </c>
      <c r="E223" s="642">
        <f t="shared" si="112"/>
        <v>102152</v>
      </c>
      <c r="F223" s="642">
        <f t="shared" si="112"/>
        <v>102727</v>
      </c>
      <c r="G223" s="642">
        <f t="shared" si="112"/>
        <v>103311</v>
      </c>
      <c r="H223" s="642">
        <f t="shared" si="112"/>
        <v>103840</v>
      </c>
      <c r="I223" s="642">
        <f t="shared" si="112"/>
        <v>103176</v>
      </c>
      <c r="J223" s="642">
        <f t="shared" si="112"/>
        <v>101652</v>
      </c>
      <c r="K223" s="642">
        <f t="shared" si="112"/>
        <v>104112</v>
      </c>
      <c r="L223" s="642">
        <f t="shared" si="112"/>
        <v>104118</v>
      </c>
      <c r="M223" s="642">
        <f t="shared" si="112"/>
        <v>103039</v>
      </c>
      <c r="N223" s="642">
        <f t="shared" si="112"/>
        <v>106307</v>
      </c>
      <c r="O223" s="642">
        <f t="shared" si="112"/>
        <v>107017</v>
      </c>
      <c r="P223" s="52"/>
      <c r="Q223" s="52"/>
    </row>
    <row r="224" spans="1:17">
      <c r="A224" s="649">
        <v>1</v>
      </c>
      <c r="B224" s="54" t="s">
        <v>5501</v>
      </c>
      <c r="C224" s="55" t="s">
        <v>8861</v>
      </c>
      <c r="D224" s="642">
        <v>5297</v>
      </c>
      <c r="E224" s="642">
        <v>5314</v>
      </c>
      <c r="F224" s="642">
        <v>5334</v>
      </c>
      <c r="G224" s="642">
        <v>5434</v>
      </c>
      <c r="H224" s="56">
        <v>5450</v>
      </c>
      <c r="I224" s="552">
        <v>5453</v>
      </c>
      <c r="J224" s="56">
        <v>5344</v>
      </c>
      <c r="K224" s="56">
        <v>5433</v>
      </c>
      <c r="L224" s="56">
        <v>5509</v>
      </c>
      <c r="M224" s="56">
        <v>5496</v>
      </c>
      <c r="N224" s="56">
        <v>5751</v>
      </c>
      <c r="O224" s="56">
        <v>5783</v>
      </c>
      <c r="P224" s="52"/>
      <c r="Q224" s="54" t="s">
        <v>5324</v>
      </c>
    </row>
    <row r="225" spans="1:17">
      <c r="A225" s="649">
        <v>2</v>
      </c>
      <c r="B225" s="54" t="s">
        <v>3894</v>
      </c>
      <c r="C225" s="55" t="s">
        <v>8862</v>
      </c>
      <c r="D225" s="642">
        <v>5328</v>
      </c>
      <c r="E225" s="642">
        <v>5376</v>
      </c>
      <c r="F225" s="642">
        <v>5379</v>
      </c>
      <c r="G225" s="642">
        <v>5342</v>
      </c>
      <c r="H225" s="56">
        <v>5388</v>
      </c>
      <c r="I225" s="552">
        <v>5329</v>
      </c>
      <c r="J225" s="56">
        <v>5128</v>
      </c>
      <c r="K225" s="56">
        <v>5237</v>
      </c>
      <c r="L225" s="56">
        <v>5228</v>
      </c>
      <c r="M225" s="56">
        <v>5176</v>
      </c>
      <c r="N225" s="56">
        <v>5317</v>
      </c>
      <c r="O225" s="56">
        <v>5351</v>
      </c>
      <c r="P225" s="52"/>
      <c r="Q225" s="54" t="s">
        <v>5324</v>
      </c>
    </row>
    <row r="226" spans="1:17">
      <c r="A226" s="649">
        <v>3</v>
      </c>
      <c r="B226" s="54" t="s">
        <v>3895</v>
      </c>
      <c r="C226" s="55" t="s">
        <v>8863</v>
      </c>
      <c r="D226" s="642">
        <v>4674</v>
      </c>
      <c r="E226" s="642">
        <v>4730</v>
      </c>
      <c r="F226" s="642">
        <v>4945</v>
      </c>
      <c r="G226" s="642">
        <v>5009</v>
      </c>
      <c r="H226" s="56">
        <v>5036</v>
      </c>
      <c r="I226" s="552">
        <v>4970</v>
      </c>
      <c r="J226" s="56">
        <v>4887</v>
      </c>
      <c r="K226" s="56">
        <v>5018</v>
      </c>
      <c r="L226" s="56">
        <v>4947</v>
      </c>
      <c r="M226" s="56">
        <v>4911</v>
      </c>
      <c r="N226" s="56">
        <v>5135</v>
      </c>
      <c r="O226" s="56">
        <v>5192</v>
      </c>
      <c r="P226" s="52"/>
      <c r="Q226" s="54" t="s">
        <v>5324</v>
      </c>
    </row>
    <row r="227" spans="1:17">
      <c r="A227" s="649">
        <v>4</v>
      </c>
      <c r="B227" s="54" t="s">
        <v>3896</v>
      </c>
      <c r="C227" s="55" t="s">
        <v>9379</v>
      </c>
      <c r="D227" s="642">
        <v>4097</v>
      </c>
      <c r="E227" s="642">
        <v>4103</v>
      </c>
      <c r="F227" s="642">
        <v>4152</v>
      </c>
      <c r="G227" s="642">
        <v>4157</v>
      </c>
      <c r="H227" s="56">
        <v>4251</v>
      </c>
      <c r="I227" s="552">
        <v>4216</v>
      </c>
      <c r="J227" s="56">
        <v>4250</v>
      </c>
      <c r="K227" s="56">
        <v>4335</v>
      </c>
      <c r="L227" s="56">
        <v>4355</v>
      </c>
      <c r="M227" s="56">
        <v>4328</v>
      </c>
      <c r="N227" s="56">
        <v>4482</v>
      </c>
      <c r="O227" s="56">
        <v>4522</v>
      </c>
      <c r="P227" s="52"/>
      <c r="Q227" s="54" t="s">
        <v>5324</v>
      </c>
    </row>
    <row r="228" spans="1:17" ht="15.75" thickBot="1">
      <c r="A228" s="649"/>
      <c r="B228" s="54"/>
      <c r="C228" s="55" t="s">
        <v>9379</v>
      </c>
      <c r="D228" s="645">
        <v>0</v>
      </c>
      <c r="E228" s="645">
        <v>0</v>
      </c>
      <c r="F228" s="645">
        <v>0</v>
      </c>
      <c r="G228" s="645">
        <v>19</v>
      </c>
      <c r="H228" s="58">
        <v>20</v>
      </c>
      <c r="I228" s="551">
        <v>18</v>
      </c>
      <c r="J228" s="58">
        <v>16</v>
      </c>
      <c r="K228" s="58">
        <v>17</v>
      </c>
      <c r="L228" s="58">
        <v>17</v>
      </c>
      <c r="M228" s="58">
        <v>17</v>
      </c>
      <c r="N228" s="58">
        <v>20</v>
      </c>
      <c r="O228" s="58">
        <v>20</v>
      </c>
      <c r="P228" s="52"/>
      <c r="Q228" s="54" t="s">
        <v>5327</v>
      </c>
    </row>
    <row r="229" spans="1:17" ht="15.75" thickBot="1">
      <c r="A229" s="649"/>
      <c r="B229" s="54"/>
      <c r="C229" s="55" t="s">
        <v>9379</v>
      </c>
      <c r="D229" s="654">
        <f>D227+D228</f>
        <v>4097</v>
      </c>
      <c r="E229" s="654">
        <f t="shared" ref="E229:L229" si="113">E227+E228</f>
        <v>4103</v>
      </c>
      <c r="F229" s="654">
        <f t="shared" si="113"/>
        <v>4152</v>
      </c>
      <c r="G229" s="654">
        <f t="shared" si="113"/>
        <v>4176</v>
      </c>
      <c r="H229" s="654">
        <f t="shared" si="113"/>
        <v>4271</v>
      </c>
      <c r="I229" s="654">
        <f t="shared" si="113"/>
        <v>4234</v>
      </c>
      <c r="J229" s="654">
        <f t="shared" si="113"/>
        <v>4266</v>
      </c>
      <c r="K229" s="654">
        <f t="shared" si="113"/>
        <v>4352</v>
      </c>
      <c r="L229" s="654">
        <f t="shared" si="113"/>
        <v>4372</v>
      </c>
      <c r="M229" s="654">
        <f>M227+M228</f>
        <v>4345</v>
      </c>
      <c r="N229" s="654">
        <f>N227+N228</f>
        <v>4502</v>
      </c>
      <c r="O229" s="654">
        <f>O227+O228</f>
        <v>4542</v>
      </c>
      <c r="P229" s="52"/>
      <c r="Q229" s="54"/>
    </row>
    <row r="230" spans="1:17">
      <c r="A230" s="649">
        <v>5</v>
      </c>
      <c r="B230" s="54" t="s">
        <v>3897</v>
      </c>
      <c r="C230" s="55" t="s">
        <v>8864</v>
      </c>
      <c r="D230" s="642">
        <v>4699</v>
      </c>
      <c r="E230" s="642">
        <v>4608</v>
      </c>
      <c r="F230" s="642">
        <v>4678</v>
      </c>
      <c r="G230" s="642">
        <v>4657</v>
      </c>
      <c r="H230" s="56">
        <v>4700</v>
      </c>
      <c r="I230" s="56">
        <v>4671</v>
      </c>
      <c r="J230" s="56">
        <v>4525</v>
      </c>
      <c r="K230" s="56">
        <v>4534</v>
      </c>
      <c r="L230" s="56">
        <v>4581</v>
      </c>
      <c r="M230" s="56">
        <v>4520</v>
      </c>
      <c r="N230" s="56">
        <v>4662</v>
      </c>
      <c r="O230" s="56">
        <v>4704</v>
      </c>
      <c r="P230" s="52"/>
      <c r="Q230" s="54" t="s">
        <v>5324</v>
      </c>
    </row>
    <row r="231" spans="1:17">
      <c r="A231" s="649">
        <v>6</v>
      </c>
      <c r="B231" s="54" t="s">
        <v>3898</v>
      </c>
      <c r="C231" s="55" t="s">
        <v>8865</v>
      </c>
      <c r="D231" s="642">
        <v>5372</v>
      </c>
      <c r="E231" s="642">
        <v>5377</v>
      </c>
      <c r="F231" s="642">
        <v>5398</v>
      </c>
      <c r="G231" s="642">
        <v>5378</v>
      </c>
      <c r="H231" s="56">
        <v>5392</v>
      </c>
      <c r="I231" s="56">
        <v>5364</v>
      </c>
      <c r="J231" s="56">
        <v>5314</v>
      </c>
      <c r="K231" s="56">
        <v>5480</v>
      </c>
      <c r="L231" s="56">
        <v>5437</v>
      </c>
      <c r="M231" s="56">
        <v>5387</v>
      </c>
      <c r="N231" s="56">
        <v>5487</v>
      </c>
      <c r="O231" s="56">
        <v>5517</v>
      </c>
      <c r="P231" s="52"/>
      <c r="Q231" s="54" t="s">
        <v>5318</v>
      </c>
    </row>
    <row r="232" spans="1:17">
      <c r="A232" s="649">
        <v>7</v>
      </c>
      <c r="B232" s="54" t="s">
        <v>3899</v>
      </c>
      <c r="C232" s="55" t="s">
        <v>8866</v>
      </c>
      <c r="D232" s="642">
        <v>5181</v>
      </c>
      <c r="E232" s="642">
        <v>5211</v>
      </c>
      <c r="F232" s="642">
        <v>5234</v>
      </c>
      <c r="G232" s="642">
        <v>5257</v>
      </c>
      <c r="H232" s="56">
        <v>5198</v>
      </c>
      <c r="I232" s="56">
        <v>5206</v>
      </c>
      <c r="J232" s="56">
        <v>5236</v>
      </c>
      <c r="K232" s="56">
        <v>5405</v>
      </c>
      <c r="L232" s="56">
        <v>5506</v>
      </c>
      <c r="M232" s="56">
        <v>5488</v>
      </c>
      <c r="N232" s="56">
        <v>5609</v>
      </c>
      <c r="O232" s="56">
        <v>5660</v>
      </c>
      <c r="P232" s="52"/>
      <c r="Q232" s="54" t="s">
        <v>5318</v>
      </c>
    </row>
    <row r="233" spans="1:17">
      <c r="A233" s="649">
        <v>8</v>
      </c>
      <c r="B233" s="54" t="s">
        <v>3900</v>
      </c>
      <c r="C233" s="55" t="s">
        <v>8867</v>
      </c>
      <c r="D233" s="642">
        <v>5316</v>
      </c>
      <c r="E233" s="642">
        <v>5291</v>
      </c>
      <c r="F233" s="642">
        <v>5333</v>
      </c>
      <c r="G233" s="642">
        <v>5349</v>
      </c>
      <c r="H233" s="56">
        <v>5384</v>
      </c>
      <c r="I233" s="56">
        <v>5346</v>
      </c>
      <c r="J233" s="56">
        <v>5235</v>
      </c>
      <c r="K233" s="56">
        <v>5352</v>
      </c>
      <c r="L233" s="56">
        <v>5332</v>
      </c>
      <c r="M233" s="56">
        <v>5252</v>
      </c>
      <c r="N233" s="56">
        <v>5392</v>
      </c>
      <c r="O233" s="56">
        <v>5437</v>
      </c>
      <c r="P233" s="52"/>
      <c r="Q233" s="54" t="s">
        <v>5318</v>
      </c>
    </row>
    <row r="234" spans="1:17">
      <c r="A234" s="649">
        <v>9</v>
      </c>
      <c r="B234" s="54" t="s">
        <v>3901</v>
      </c>
      <c r="C234" s="55" t="s">
        <v>8868</v>
      </c>
      <c r="D234" s="642">
        <v>5672</v>
      </c>
      <c r="E234" s="642">
        <v>5656</v>
      </c>
      <c r="F234" s="642">
        <v>5642</v>
      </c>
      <c r="G234" s="642">
        <v>5629</v>
      </c>
      <c r="H234" s="56">
        <v>5629</v>
      </c>
      <c r="I234" s="56">
        <v>5583</v>
      </c>
      <c r="J234" s="56">
        <v>5561</v>
      </c>
      <c r="K234" s="56">
        <v>5719</v>
      </c>
      <c r="L234" s="56">
        <v>5719</v>
      </c>
      <c r="M234" s="56">
        <v>5735</v>
      </c>
      <c r="N234" s="56">
        <v>5924</v>
      </c>
      <c r="O234" s="56">
        <v>5983</v>
      </c>
      <c r="P234" s="52"/>
      <c r="Q234" s="54" t="s">
        <v>5318</v>
      </c>
    </row>
    <row r="235" spans="1:17">
      <c r="A235" s="649">
        <v>10</v>
      </c>
      <c r="B235" s="54" t="s">
        <v>3902</v>
      </c>
      <c r="C235" s="55" t="s">
        <v>8869</v>
      </c>
      <c r="D235" s="642">
        <v>6581</v>
      </c>
      <c r="E235" s="642">
        <v>6627</v>
      </c>
      <c r="F235" s="642">
        <v>6709</v>
      </c>
      <c r="G235" s="642">
        <v>6822</v>
      </c>
      <c r="H235" s="56">
        <v>6772</v>
      </c>
      <c r="I235" s="56">
        <v>6738</v>
      </c>
      <c r="J235" s="56">
        <v>6642</v>
      </c>
      <c r="K235" s="56">
        <v>6854</v>
      </c>
      <c r="L235" s="56">
        <v>6895</v>
      </c>
      <c r="M235" s="56">
        <v>6772</v>
      </c>
      <c r="N235" s="56">
        <v>6925</v>
      </c>
      <c r="O235" s="56">
        <v>6938</v>
      </c>
      <c r="P235" s="52"/>
      <c r="Q235" s="54" t="s">
        <v>5324</v>
      </c>
    </row>
    <row r="236" spans="1:17">
      <c r="A236" s="649">
        <v>11</v>
      </c>
      <c r="B236" s="54" t="s">
        <v>3903</v>
      </c>
      <c r="C236" s="55" t="s">
        <v>8870</v>
      </c>
      <c r="D236" s="642">
        <v>4889</v>
      </c>
      <c r="E236" s="642">
        <v>4887</v>
      </c>
      <c r="F236" s="642">
        <v>4914</v>
      </c>
      <c r="G236" s="642">
        <v>4906</v>
      </c>
      <c r="H236" s="56">
        <v>4872</v>
      </c>
      <c r="I236" s="56">
        <v>4825</v>
      </c>
      <c r="J236" s="56">
        <v>4820</v>
      </c>
      <c r="K236" s="56">
        <v>4891</v>
      </c>
      <c r="L236" s="56">
        <v>4880</v>
      </c>
      <c r="M236" s="56">
        <v>4797</v>
      </c>
      <c r="N236" s="56">
        <v>4911</v>
      </c>
      <c r="O236" s="56">
        <v>4955</v>
      </c>
      <c r="P236" s="52"/>
      <c r="Q236" s="54" t="s">
        <v>5324</v>
      </c>
    </row>
    <row r="237" spans="1:17">
      <c r="A237" s="649">
        <v>12</v>
      </c>
      <c r="B237" s="54" t="s">
        <v>5444</v>
      </c>
      <c r="C237" s="55" t="s">
        <v>8871</v>
      </c>
      <c r="D237" s="642">
        <v>5177</v>
      </c>
      <c r="E237" s="642">
        <v>5223</v>
      </c>
      <c r="F237" s="642">
        <v>5181</v>
      </c>
      <c r="G237" s="642">
        <v>5212</v>
      </c>
      <c r="H237" s="56">
        <v>5223</v>
      </c>
      <c r="I237" s="56">
        <v>5172</v>
      </c>
      <c r="J237" s="56">
        <v>5118</v>
      </c>
      <c r="K237" s="56">
        <v>5303</v>
      </c>
      <c r="L237" s="56">
        <v>5290</v>
      </c>
      <c r="M237" s="56">
        <v>5249</v>
      </c>
      <c r="N237" s="56">
        <v>5444</v>
      </c>
      <c r="O237" s="56">
        <v>5483</v>
      </c>
      <c r="P237" s="52"/>
      <c r="Q237" s="54" t="s">
        <v>5324</v>
      </c>
    </row>
    <row r="238" spans="1:17">
      <c r="A238" s="649">
        <v>13</v>
      </c>
      <c r="B238" s="54" t="s">
        <v>5492</v>
      </c>
      <c r="C238" s="55" t="s">
        <v>8872</v>
      </c>
      <c r="D238" s="642">
        <v>5387</v>
      </c>
      <c r="E238" s="642">
        <v>5536</v>
      </c>
      <c r="F238" s="642">
        <v>5613</v>
      </c>
      <c r="G238" s="642">
        <v>5673</v>
      </c>
      <c r="H238" s="58">
        <v>5647</v>
      </c>
      <c r="I238" s="58">
        <v>5612</v>
      </c>
      <c r="J238" s="58">
        <v>5464</v>
      </c>
      <c r="K238" s="58">
        <v>5651</v>
      </c>
      <c r="L238" s="58">
        <v>5612</v>
      </c>
      <c r="M238" s="58">
        <v>5529</v>
      </c>
      <c r="N238" s="58">
        <v>5657</v>
      </c>
      <c r="O238" s="58">
        <v>5673</v>
      </c>
      <c r="P238" s="52"/>
      <c r="Q238" s="54" t="s">
        <v>5324</v>
      </c>
    </row>
    <row r="239" spans="1:17">
      <c r="A239" s="649">
        <v>14</v>
      </c>
      <c r="B239" s="54" t="s">
        <v>5493</v>
      </c>
      <c r="C239" s="55" t="s">
        <v>8873</v>
      </c>
      <c r="D239" s="642">
        <v>4728</v>
      </c>
      <c r="E239" s="642">
        <v>4778</v>
      </c>
      <c r="F239" s="642">
        <v>4752</v>
      </c>
      <c r="G239" s="642">
        <v>4867</v>
      </c>
      <c r="H239" s="56">
        <v>4865</v>
      </c>
      <c r="I239" s="56">
        <v>4828</v>
      </c>
      <c r="J239" s="56">
        <v>4746</v>
      </c>
      <c r="K239" s="56">
        <v>4806</v>
      </c>
      <c r="L239" s="56">
        <v>4813</v>
      </c>
      <c r="M239" s="56">
        <v>4739</v>
      </c>
      <c r="N239" s="56">
        <v>4829</v>
      </c>
      <c r="O239" s="56">
        <v>4846</v>
      </c>
      <c r="P239" s="52"/>
      <c r="Q239" s="54" t="s">
        <v>5318</v>
      </c>
    </row>
    <row r="240" spans="1:17">
      <c r="A240" s="649">
        <v>15</v>
      </c>
      <c r="B240" s="54" t="s">
        <v>5494</v>
      </c>
      <c r="C240" s="55" t="s">
        <v>8874</v>
      </c>
      <c r="D240" s="642">
        <v>5338</v>
      </c>
      <c r="E240" s="642">
        <v>5514</v>
      </c>
      <c r="F240" s="642">
        <v>5443</v>
      </c>
      <c r="G240" s="642">
        <v>5502</v>
      </c>
      <c r="H240" s="58">
        <v>5717</v>
      </c>
      <c r="I240" s="58">
        <v>5673</v>
      </c>
      <c r="J240" s="58">
        <v>5512</v>
      </c>
      <c r="K240" s="58">
        <v>5690</v>
      </c>
      <c r="L240" s="58">
        <v>5704</v>
      </c>
      <c r="M240" s="58">
        <v>5590</v>
      </c>
      <c r="N240" s="58">
        <v>6021</v>
      </c>
      <c r="O240" s="58">
        <v>6144</v>
      </c>
      <c r="P240" s="52"/>
      <c r="Q240" s="54" t="s">
        <v>5324</v>
      </c>
    </row>
    <row r="241" spans="1:17">
      <c r="A241" s="649">
        <v>16</v>
      </c>
      <c r="B241" s="54" t="s">
        <v>5495</v>
      </c>
      <c r="C241" s="55" t="s">
        <v>8875</v>
      </c>
      <c r="D241" s="642">
        <v>5135</v>
      </c>
      <c r="E241" s="642">
        <v>5231</v>
      </c>
      <c r="F241" s="642">
        <v>5243</v>
      </c>
      <c r="G241" s="642">
        <v>5281</v>
      </c>
      <c r="H241" s="58">
        <v>5303</v>
      </c>
      <c r="I241" s="58">
        <v>5267</v>
      </c>
      <c r="J241" s="58">
        <v>5183</v>
      </c>
      <c r="K241" s="58">
        <v>5271</v>
      </c>
      <c r="L241" s="58">
        <v>5281</v>
      </c>
      <c r="M241" s="58">
        <v>5181</v>
      </c>
      <c r="N241" s="58">
        <v>5352</v>
      </c>
      <c r="O241" s="58">
        <v>5380</v>
      </c>
      <c r="P241" s="52"/>
      <c r="Q241" s="54" t="s">
        <v>5324</v>
      </c>
    </row>
    <row r="242" spans="1:17">
      <c r="A242" s="649">
        <v>17</v>
      </c>
      <c r="B242" s="54" t="s">
        <v>5496</v>
      </c>
      <c r="C242" s="55" t="s">
        <v>8876</v>
      </c>
      <c r="D242" s="642">
        <v>3807</v>
      </c>
      <c r="E242" s="642">
        <v>3844</v>
      </c>
      <c r="F242" s="642">
        <v>3799</v>
      </c>
      <c r="G242" s="642">
        <v>3791</v>
      </c>
      <c r="H242" s="56">
        <v>3713</v>
      </c>
      <c r="I242" s="56">
        <v>3708</v>
      </c>
      <c r="J242" s="56">
        <v>3628</v>
      </c>
      <c r="K242" s="56">
        <v>3671</v>
      </c>
      <c r="L242" s="56">
        <v>3651</v>
      </c>
      <c r="M242" s="56">
        <v>3632</v>
      </c>
      <c r="N242" s="56">
        <v>3727</v>
      </c>
      <c r="O242" s="56">
        <v>3734</v>
      </c>
      <c r="P242" s="52"/>
      <c r="Q242" s="54" t="s">
        <v>5318</v>
      </c>
    </row>
    <row r="243" spans="1:17">
      <c r="A243" s="649">
        <v>18</v>
      </c>
      <c r="B243" s="54" t="s">
        <v>5497</v>
      </c>
      <c r="C243" s="55" t="s">
        <v>8877</v>
      </c>
      <c r="D243" s="642">
        <v>5134</v>
      </c>
      <c r="E243" s="642">
        <v>5105</v>
      </c>
      <c r="F243" s="642">
        <v>5156</v>
      </c>
      <c r="G243" s="642">
        <v>5159</v>
      </c>
      <c r="H243" s="58">
        <v>5132</v>
      </c>
      <c r="I243" s="58">
        <v>5066</v>
      </c>
      <c r="J243" s="58">
        <v>4950</v>
      </c>
      <c r="K243" s="58">
        <v>5100</v>
      </c>
      <c r="L243" s="58">
        <v>5054</v>
      </c>
      <c r="M243" s="58">
        <v>5013</v>
      </c>
      <c r="N243" s="58">
        <v>5183</v>
      </c>
      <c r="O243" s="58">
        <v>5207</v>
      </c>
      <c r="P243" s="52"/>
      <c r="Q243" s="54" t="s">
        <v>5324</v>
      </c>
    </row>
    <row r="244" spans="1:17">
      <c r="A244" s="649">
        <v>19</v>
      </c>
      <c r="B244" s="54" t="s">
        <v>5498</v>
      </c>
      <c r="C244" s="55" t="s">
        <v>8878</v>
      </c>
      <c r="D244" s="642">
        <v>5067</v>
      </c>
      <c r="E244" s="642">
        <v>5036</v>
      </c>
      <c r="F244" s="642">
        <v>5048</v>
      </c>
      <c r="G244" s="642">
        <v>5007</v>
      </c>
      <c r="H244" s="58">
        <v>5298</v>
      </c>
      <c r="I244" s="58">
        <v>5305</v>
      </c>
      <c r="J244" s="58">
        <v>5260</v>
      </c>
      <c r="K244" s="58">
        <v>5457</v>
      </c>
      <c r="L244" s="58">
        <v>5419</v>
      </c>
      <c r="M244" s="58">
        <v>5380</v>
      </c>
      <c r="N244" s="58">
        <v>5539</v>
      </c>
      <c r="O244" s="58">
        <v>5529</v>
      </c>
      <c r="P244" s="52"/>
      <c r="Q244" s="54" t="s">
        <v>5324</v>
      </c>
    </row>
    <row r="245" spans="1:17">
      <c r="A245" s="649">
        <v>20</v>
      </c>
      <c r="B245" s="54" t="s">
        <v>5499</v>
      </c>
      <c r="C245" s="55" t="s">
        <v>8879</v>
      </c>
      <c r="D245" s="642">
        <v>4700</v>
      </c>
      <c r="E245" s="642">
        <v>4705</v>
      </c>
      <c r="F245" s="642">
        <v>4774</v>
      </c>
      <c r="G245" s="642">
        <v>4860</v>
      </c>
      <c r="H245" s="56">
        <v>4850</v>
      </c>
      <c r="I245" s="56">
        <v>4826</v>
      </c>
      <c r="J245" s="56">
        <v>4833</v>
      </c>
      <c r="K245" s="56">
        <v>4888</v>
      </c>
      <c r="L245" s="56">
        <v>4888</v>
      </c>
      <c r="M245" s="56">
        <v>4847</v>
      </c>
      <c r="N245" s="56">
        <v>4940</v>
      </c>
      <c r="O245" s="56">
        <v>4959</v>
      </c>
      <c r="P245" s="52"/>
      <c r="Q245" s="54" t="s">
        <v>5318</v>
      </c>
    </row>
    <row r="246" spans="1:17">
      <c r="A246" s="52"/>
      <c r="B246" s="52"/>
      <c r="D246" s="643"/>
      <c r="E246" s="643"/>
      <c r="F246" s="643"/>
      <c r="G246" s="643"/>
      <c r="H246" s="643"/>
      <c r="I246" s="643"/>
      <c r="J246" s="643"/>
      <c r="K246" s="643"/>
      <c r="L246" s="643"/>
      <c r="M246" s="643"/>
      <c r="N246" s="643"/>
      <c r="O246" s="643"/>
      <c r="P246" s="52"/>
      <c r="Q246" s="52"/>
    </row>
    <row r="247" spans="1:17">
      <c r="A247" s="54" t="s">
        <v>3891</v>
      </c>
      <c r="D247" s="642">
        <f t="shared" ref="D247:I247" si="114">SUM(D231:D234)+D239+D242+D245</f>
        <v>34776</v>
      </c>
      <c r="E247" s="642">
        <f t="shared" si="114"/>
        <v>34862</v>
      </c>
      <c r="F247" s="642">
        <f t="shared" si="114"/>
        <v>34932</v>
      </c>
      <c r="G247" s="642">
        <f t="shared" si="114"/>
        <v>35131</v>
      </c>
      <c r="H247" s="642">
        <f t="shared" si="114"/>
        <v>35031</v>
      </c>
      <c r="I247" s="642">
        <f t="shared" si="114"/>
        <v>34861</v>
      </c>
      <c r="J247" s="642">
        <f t="shared" ref="J247:O247" si="115">SUM(J231:J234)+J239+J242+J245</f>
        <v>34553</v>
      </c>
      <c r="K247" s="642">
        <f t="shared" si="115"/>
        <v>35321</v>
      </c>
      <c r="L247" s="642">
        <f t="shared" si="115"/>
        <v>35346</v>
      </c>
      <c r="M247" s="642">
        <f t="shared" si="115"/>
        <v>35080</v>
      </c>
      <c r="N247" s="642">
        <f t="shared" si="115"/>
        <v>35908</v>
      </c>
      <c r="O247" s="642">
        <f t="shared" si="115"/>
        <v>36136</v>
      </c>
      <c r="P247" s="52"/>
      <c r="Q247" s="52"/>
    </row>
    <row r="248" spans="1:17">
      <c r="A248" s="54" t="s">
        <v>5500</v>
      </c>
      <c r="D248" s="642">
        <f t="shared" ref="D248:O248" si="116">SUM(D224:D227)+D230+SUM(D235:D238)+D240+D241+D243+D244</f>
        <v>66803</v>
      </c>
      <c r="E248" s="642">
        <f t="shared" si="116"/>
        <v>67290</v>
      </c>
      <c r="F248" s="642">
        <f t="shared" si="116"/>
        <v>67795</v>
      </c>
      <c r="G248" s="642">
        <f t="shared" si="116"/>
        <v>68161</v>
      </c>
      <c r="H248" s="642">
        <f t="shared" si="116"/>
        <v>68789</v>
      </c>
      <c r="I248" s="642">
        <f t="shared" si="116"/>
        <v>68297</v>
      </c>
      <c r="J248" s="642">
        <f t="shared" si="116"/>
        <v>67083</v>
      </c>
      <c r="K248" s="642">
        <f t="shared" si="116"/>
        <v>68774</v>
      </c>
      <c r="L248" s="642">
        <f t="shared" si="116"/>
        <v>68755</v>
      </c>
      <c r="M248" s="642">
        <f t="shared" si="116"/>
        <v>67942</v>
      </c>
      <c r="N248" s="642">
        <f t="shared" si="116"/>
        <v>70379</v>
      </c>
      <c r="O248" s="642">
        <f t="shared" si="116"/>
        <v>70861</v>
      </c>
      <c r="P248" s="52"/>
      <c r="Q248" s="52"/>
    </row>
    <row r="249" spans="1:17">
      <c r="A249" s="54" t="s">
        <v>9323</v>
      </c>
      <c r="D249" s="642">
        <f t="shared" ref="D249:O249" si="117">D228</f>
        <v>0</v>
      </c>
      <c r="E249" s="642">
        <f t="shared" si="117"/>
        <v>0</v>
      </c>
      <c r="F249" s="642">
        <f t="shared" si="117"/>
        <v>0</v>
      </c>
      <c r="G249" s="642">
        <f t="shared" si="117"/>
        <v>19</v>
      </c>
      <c r="H249" s="642">
        <f t="shared" si="117"/>
        <v>20</v>
      </c>
      <c r="I249" s="642">
        <f t="shared" si="117"/>
        <v>18</v>
      </c>
      <c r="J249" s="642">
        <f t="shared" si="117"/>
        <v>16</v>
      </c>
      <c r="K249" s="642">
        <f t="shared" si="117"/>
        <v>17</v>
      </c>
      <c r="L249" s="642">
        <f t="shared" si="117"/>
        <v>17</v>
      </c>
      <c r="M249" s="642">
        <f t="shared" si="117"/>
        <v>17</v>
      </c>
      <c r="N249" s="642">
        <f t="shared" si="117"/>
        <v>20</v>
      </c>
      <c r="O249" s="642">
        <f t="shared" si="117"/>
        <v>20</v>
      </c>
      <c r="P249" s="52"/>
      <c r="Q249" s="52"/>
    </row>
    <row r="250" spans="1:17">
      <c r="A250" s="54"/>
      <c r="D250" s="642"/>
      <c r="E250" s="642"/>
      <c r="F250" s="642"/>
      <c r="G250" s="642"/>
      <c r="H250" s="642"/>
      <c r="I250" s="642"/>
      <c r="J250" s="642"/>
      <c r="K250" s="642"/>
      <c r="L250" s="642"/>
      <c r="M250" s="642"/>
      <c r="N250" s="642"/>
      <c r="O250" s="642"/>
      <c r="P250" s="52"/>
      <c r="Q250" s="52"/>
    </row>
    <row r="251" spans="1:17">
      <c r="A251" s="53" t="s">
        <v>9380</v>
      </c>
      <c r="B251" s="54"/>
      <c r="D251" s="650"/>
      <c r="E251" s="650"/>
      <c r="F251" s="650"/>
      <c r="G251" s="650"/>
      <c r="H251" s="650"/>
      <c r="I251" s="650"/>
      <c r="J251" s="650"/>
      <c r="K251" s="650"/>
      <c r="L251" s="650"/>
      <c r="M251" s="650"/>
      <c r="N251" s="650"/>
      <c r="O251" s="650"/>
      <c r="P251" s="52"/>
      <c r="Q251" s="52"/>
    </row>
    <row r="252" spans="1:17">
      <c r="A252" s="53" t="s">
        <v>9324</v>
      </c>
      <c r="D252" s="650"/>
      <c r="E252" s="650"/>
      <c r="F252" s="650"/>
      <c r="G252" s="650"/>
      <c r="H252" s="650"/>
      <c r="I252" s="650"/>
      <c r="J252" s="650"/>
      <c r="K252" s="650"/>
      <c r="L252" s="650"/>
      <c r="M252" s="650"/>
      <c r="N252" s="650"/>
      <c r="O252" s="650"/>
      <c r="P252" s="52"/>
      <c r="Q252" s="52"/>
    </row>
    <row r="253" spans="1:17">
      <c r="A253" s="53" t="s">
        <v>9325</v>
      </c>
      <c r="D253" s="650"/>
      <c r="E253" s="650"/>
      <c r="F253" s="650"/>
      <c r="G253" s="650"/>
      <c r="H253" s="650"/>
      <c r="I253" s="650"/>
      <c r="J253" s="650"/>
      <c r="K253" s="650"/>
      <c r="L253" s="650"/>
      <c r="M253" s="650"/>
      <c r="N253" s="650"/>
      <c r="O253" s="650"/>
      <c r="P253" s="52"/>
      <c r="Q253" s="52"/>
    </row>
    <row r="254" spans="1:17">
      <c r="A254" s="54"/>
      <c r="B254" s="54"/>
      <c r="D254" s="650"/>
      <c r="E254" s="650"/>
      <c r="F254" s="650"/>
      <c r="G254" s="650"/>
      <c r="H254" s="650"/>
      <c r="I254" s="650"/>
      <c r="J254" s="650"/>
      <c r="K254" s="650"/>
      <c r="L254" s="650"/>
      <c r="M254" s="650"/>
      <c r="N254" s="650"/>
      <c r="O254" s="650"/>
      <c r="P254" s="52"/>
      <c r="Q254" s="52"/>
    </row>
    <row r="255" spans="1:17">
      <c r="A255" s="54"/>
      <c r="B255" s="54"/>
      <c r="D255" s="650"/>
      <c r="E255" s="650"/>
      <c r="F255" s="650"/>
      <c r="G255" s="650"/>
      <c r="H255" s="650"/>
      <c r="I255" s="650"/>
      <c r="J255" s="650"/>
      <c r="K255" s="650"/>
      <c r="L255" s="650"/>
      <c r="M255" s="650"/>
      <c r="N255" s="650"/>
      <c r="O255" s="650"/>
      <c r="P255" s="52"/>
      <c r="Q255" s="52"/>
    </row>
    <row r="256" spans="1:17">
      <c r="A256" s="52"/>
      <c r="B256" s="52"/>
      <c r="E256" s="51" t="s">
        <v>1526</v>
      </c>
      <c r="F256" s="51"/>
      <c r="G256" s="51"/>
      <c r="H256" s="51"/>
      <c r="I256" s="51"/>
      <c r="J256" s="51"/>
      <c r="K256" s="51"/>
      <c r="L256" s="51"/>
      <c r="M256" s="51"/>
      <c r="N256" s="51"/>
      <c r="O256" s="51"/>
      <c r="P256" s="276"/>
      <c r="Q256" s="11" t="s">
        <v>9479</v>
      </c>
    </row>
    <row r="257" spans="1:17">
      <c r="A257" s="52"/>
      <c r="B257" s="52"/>
      <c r="D257" s="350">
        <v>2010</v>
      </c>
      <c r="E257" s="350">
        <v>2011</v>
      </c>
      <c r="F257" s="350">
        <v>2012</v>
      </c>
      <c r="G257" s="350">
        <v>2013</v>
      </c>
      <c r="H257" s="350">
        <v>2014</v>
      </c>
      <c r="I257" s="350">
        <v>2015</v>
      </c>
      <c r="J257" s="350">
        <v>2016</v>
      </c>
      <c r="K257" s="350">
        <v>2017</v>
      </c>
      <c r="L257" s="350">
        <v>2018</v>
      </c>
      <c r="M257" s="350">
        <v>2019</v>
      </c>
      <c r="N257" s="350">
        <v>2020</v>
      </c>
      <c r="O257" s="944" t="s">
        <v>14823</v>
      </c>
      <c r="P257" s="410"/>
      <c r="Q257" s="13" t="s">
        <v>1527</v>
      </c>
    </row>
    <row r="258" spans="1:17">
      <c r="A258" s="54" t="s">
        <v>5478</v>
      </c>
      <c r="D258" s="642">
        <f t="shared" ref="D258:O258" si="118">SUM(D259:D264)+SUM(D266:D273)</f>
        <v>59801</v>
      </c>
      <c r="E258" s="642">
        <f t="shared" si="118"/>
        <v>61203</v>
      </c>
      <c r="F258" s="642">
        <f t="shared" si="118"/>
        <v>61966</v>
      </c>
      <c r="G258" s="642">
        <f t="shared" si="118"/>
        <v>62835</v>
      </c>
      <c r="H258" s="642">
        <f t="shared" si="118"/>
        <v>62262</v>
      </c>
      <c r="I258" s="642">
        <f t="shared" si="118"/>
        <v>61680</v>
      </c>
      <c r="J258" s="642">
        <f t="shared" si="118"/>
        <v>59620</v>
      </c>
      <c r="K258" s="642">
        <f t="shared" si="118"/>
        <v>61384</v>
      </c>
      <c r="L258" s="642">
        <f t="shared" si="118"/>
        <v>61566</v>
      </c>
      <c r="M258" s="642">
        <f t="shared" si="118"/>
        <v>60898</v>
      </c>
      <c r="N258" s="642">
        <f t="shared" si="118"/>
        <v>62266</v>
      </c>
      <c r="O258" s="642">
        <f t="shared" si="118"/>
        <v>62071</v>
      </c>
      <c r="P258" s="52"/>
      <c r="Q258" s="52"/>
    </row>
    <row r="259" spans="1:17">
      <c r="A259" s="649">
        <v>1</v>
      </c>
      <c r="B259" s="54" t="s">
        <v>5479</v>
      </c>
      <c r="C259" s="55" t="s">
        <v>8880</v>
      </c>
      <c r="D259" s="642">
        <v>4839</v>
      </c>
      <c r="E259" s="642">
        <v>4865</v>
      </c>
      <c r="F259" s="642">
        <v>4909</v>
      </c>
      <c r="G259" s="63">
        <v>4938</v>
      </c>
      <c r="H259" s="63">
        <v>4987</v>
      </c>
      <c r="I259" s="63">
        <v>4923</v>
      </c>
      <c r="J259" s="63">
        <v>4833</v>
      </c>
      <c r="K259" s="63">
        <v>4898</v>
      </c>
      <c r="L259" s="63">
        <v>4908</v>
      </c>
      <c r="M259" s="63">
        <v>4880</v>
      </c>
      <c r="N259" s="63">
        <v>4977</v>
      </c>
      <c r="O259" s="63">
        <v>4905</v>
      </c>
      <c r="P259" s="52"/>
      <c r="Q259" s="54" t="s">
        <v>5325</v>
      </c>
    </row>
    <row r="260" spans="1:17">
      <c r="A260" s="649">
        <v>2</v>
      </c>
      <c r="B260" s="54" t="s">
        <v>5480</v>
      </c>
      <c r="C260" s="55" t="s">
        <v>8881</v>
      </c>
      <c r="D260" s="642">
        <v>4696</v>
      </c>
      <c r="E260" s="642">
        <v>4873</v>
      </c>
      <c r="F260" s="642">
        <v>4950</v>
      </c>
      <c r="G260" s="63">
        <v>5056</v>
      </c>
      <c r="H260" s="63">
        <v>4943</v>
      </c>
      <c r="I260" s="63">
        <v>4836</v>
      </c>
      <c r="J260" s="63">
        <v>4626</v>
      </c>
      <c r="K260" s="63">
        <v>4814</v>
      </c>
      <c r="L260" s="63">
        <v>4849</v>
      </c>
      <c r="M260" s="63">
        <v>4874</v>
      </c>
      <c r="N260" s="63">
        <v>5113</v>
      </c>
      <c r="O260" s="63">
        <v>5147</v>
      </c>
      <c r="P260" s="52"/>
      <c r="Q260" s="54" t="s">
        <v>5325</v>
      </c>
    </row>
    <row r="261" spans="1:17">
      <c r="A261" s="649">
        <v>3</v>
      </c>
      <c r="B261" s="54" t="s">
        <v>5481</v>
      </c>
      <c r="C261" s="55" t="s">
        <v>8882</v>
      </c>
      <c r="D261" s="642">
        <v>4846</v>
      </c>
      <c r="E261" s="642">
        <v>4899</v>
      </c>
      <c r="F261" s="642">
        <v>4972</v>
      </c>
      <c r="G261" s="63">
        <v>5025</v>
      </c>
      <c r="H261" s="63">
        <v>4979</v>
      </c>
      <c r="I261" s="63">
        <v>4967</v>
      </c>
      <c r="J261" s="63">
        <v>4775</v>
      </c>
      <c r="K261" s="63">
        <v>4882</v>
      </c>
      <c r="L261" s="63">
        <v>4800</v>
      </c>
      <c r="M261" s="63">
        <v>4733</v>
      </c>
      <c r="N261" s="63">
        <v>4791</v>
      </c>
      <c r="O261" s="63">
        <v>4761</v>
      </c>
      <c r="P261" s="52"/>
      <c r="Q261" s="54" t="s">
        <v>5325</v>
      </c>
    </row>
    <row r="262" spans="1:17">
      <c r="A262" s="649">
        <v>4</v>
      </c>
      <c r="B262" s="54" t="s">
        <v>5482</v>
      </c>
      <c r="C262" s="55" t="s">
        <v>8883</v>
      </c>
      <c r="D262" s="642">
        <v>4344</v>
      </c>
      <c r="E262" s="642">
        <v>4474</v>
      </c>
      <c r="F262" s="642">
        <v>4550</v>
      </c>
      <c r="G262" s="63">
        <v>4580</v>
      </c>
      <c r="H262" s="63">
        <v>4517</v>
      </c>
      <c r="I262" s="63">
        <v>4434</v>
      </c>
      <c r="J262" s="63">
        <v>4284</v>
      </c>
      <c r="K262" s="63">
        <v>4389</v>
      </c>
      <c r="L262" s="63">
        <v>4408</v>
      </c>
      <c r="M262" s="63">
        <v>4264</v>
      </c>
      <c r="N262" s="63">
        <v>4336</v>
      </c>
      <c r="O262" s="63">
        <v>4326</v>
      </c>
      <c r="P262" s="52"/>
      <c r="Q262" s="54" t="s">
        <v>5325</v>
      </c>
    </row>
    <row r="263" spans="1:17">
      <c r="A263" s="649">
        <v>5</v>
      </c>
      <c r="B263" s="54" t="s">
        <v>5920</v>
      </c>
      <c r="C263" s="62" t="s">
        <v>9559</v>
      </c>
      <c r="D263" s="642">
        <v>0</v>
      </c>
      <c r="E263" s="642">
        <v>0</v>
      </c>
      <c r="F263" s="642">
        <v>0</v>
      </c>
      <c r="G263" s="63">
        <v>0</v>
      </c>
      <c r="H263" s="63">
        <v>41</v>
      </c>
      <c r="I263" s="63">
        <v>37</v>
      </c>
      <c r="J263" s="63">
        <v>40</v>
      </c>
      <c r="K263" s="63">
        <v>37</v>
      </c>
      <c r="L263" s="63">
        <v>35</v>
      </c>
      <c r="M263" s="63">
        <v>0</v>
      </c>
      <c r="N263" s="63">
        <v>0</v>
      </c>
      <c r="O263" s="63">
        <v>0</v>
      </c>
      <c r="P263" s="52"/>
      <c r="Q263" s="54" t="s">
        <v>5321</v>
      </c>
    </row>
    <row r="264" spans="1:17" ht="15.75" thickBot="1">
      <c r="A264" s="649"/>
      <c r="B264" s="54"/>
      <c r="C264" s="62" t="s">
        <v>9559</v>
      </c>
      <c r="D264" s="645">
        <v>4872</v>
      </c>
      <c r="E264" s="645">
        <v>4969</v>
      </c>
      <c r="F264" s="645">
        <v>4982</v>
      </c>
      <c r="G264" s="185">
        <v>4970</v>
      </c>
      <c r="H264" s="63">
        <v>4886</v>
      </c>
      <c r="I264" s="63">
        <v>4871</v>
      </c>
      <c r="J264" s="63">
        <v>4695</v>
      </c>
      <c r="K264" s="63">
        <v>4875</v>
      </c>
      <c r="L264" s="63">
        <v>4845</v>
      </c>
      <c r="M264" s="63">
        <v>4811</v>
      </c>
      <c r="N264" s="63">
        <v>4934</v>
      </c>
      <c r="O264" s="63">
        <v>4929</v>
      </c>
      <c r="P264" s="52"/>
      <c r="Q264" s="54" t="s">
        <v>5325</v>
      </c>
    </row>
    <row r="265" spans="1:17" ht="15.75" thickBot="1">
      <c r="A265" s="649"/>
      <c r="B265" s="54"/>
      <c r="C265" s="62" t="s">
        <v>9559</v>
      </c>
      <c r="D265" s="654">
        <f>D263+D264</f>
        <v>4872</v>
      </c>
      <c r="E265" s="654">
        <f t="shared" ref="E265:L265" si="119">E263+E264</f>
        <v>4969</v>
      </c>
      <c r="F265" s="654">
        <f t="shared" si="119"/>
        <v>4982</v>
      </c>
      <c r="G265" s="654">
        <f t="shared" si="119"/>
        <v>4970</v>
      </c>
      <c r="H265" s="654">
        <f t="shared" si="119"/>
        <v>4927</v>
      </c>
      <c r="I265" s="654">
        <f t="shared" si="119"/>
        <v>4908</v>
      </c>
      <c r="J265" s="654">
        <f t="shared" si="119"/>
        <v>4735</v>
      </c>
      <c r="K265" s="654">
        <f t="shared" si="119"/>
        <v>4912</v>
      </c>
      <c r="L265" s="654">
        <f t="shared" si="119"/>
        <v>4880</v>
      </c>
      <c r="M265" s="654">
        <f>M263+M264</f>
        <v>4811</v>
      </c>
      <c r="N265" s="654">
        <f>N263+N264</f>
        <v>4934</v>
      </c>
      <c r="O265" s="654">
        <f>O263+O264</f>
        <v>4929</v>
      </c>
      <c r="P265" s="52"/>
      <c r="Q265" s="54"/>
    </row>
    <row r="266" spans="1:17">
      <c r="A266" s="649">
        <v>6</v>
      </c>
      <c r="B266" s="54" t="s">
        <v>5483</v>
      </c>
      <c r="C266" s="55" t="s">
        <v>8884</v>
      </c>
      <c r="D266" s="642">
        <v>4621</v>
      </c>
      <c r="E266" s="642">
        <v>4670</v>
      </c>
      <c r="F266" s="642">
        <v>4662</v>
      </c>
      <c r="G266" s="63">
        <v>4728</v>
      </c>
      <c r="H266" s="63">
        <v>4613</v>
      </c>
      <c r="I266" s="63">
        <v>4586</v>
      </c>
      <c r="J266" s="63">
        <v>4410</v>
      </c>
      <c r="K266" s="63">
        <v>4490</v>
      </c>
      <c r="L266" s="63">
        <v>4449</v>
      </c>
      <c r="M266" s="63">
        <v>4433</v>
      </c>
      <c r="N266" s="63">
        <v>4494</v>
      </c>
      <c r="O266" s="63">
        <v>4461</v>
      </c>
      <c r="P266" s="52"/>
      <c r="Q266" s="54" t="s">
        <v>5325</v>
      </c>
    </row>
    <row r="267" spans="1:17">
      <c r="A267" s="649">
        <v>7</v>
      </c>
      <c r="B267" s="54" t="s">
        <v>2635</v>
      </c>
      <c r="C267" s="55" t="s">
        <v>8885</v>
      </c>
      <c r="D267" s="642">
        <v>5530</v>
      </c>
      <c r="E267" s="642">
        <v>5858</v>
      </c>
      <c r="F267" s="642">
        <v>5967</v>
      </c>
      <c r="G267" s="63">
        <v>6099</v>
      </c>
      <c r="H267" s="63">
        <v>5970</v>
      </c>
      <c r="I267" s="63">
        <v>5934</v>
      </c>
      <c r="J267" s="63">
        <v>5719</v>
      </c>
      <c r="K267" s="63">
        <v>5967</v>
      </c>
      <c r="L267" s="63">
        <v>6034</v>
      </c>
      <c r="M267" s="63">
        <v>5979</v>
      </c>
      <c r="N267" s="63">
        <v>6164</v>
      </c>
      <c r="O267" s="63">
        <v>6148</v>
      </c>
      <c r="P267" s="52"/>
      <c r="Q267" s="54" t="s">
        <v>5325</v>
      </c>
    </row>
    <row r="268" spans="1:17">
      <c r="A268" s="649">
        <v>8</v>
      </c>
      <c r="B268" s="54" t="s">
        <v>5484</v>
      </c>
      <c r="C268" s="55" t="s">
        <v>8886</v>
      </c>
      <c r="D268" s="642">
        <v>4482</v>
      </c>
      <c r="E268" s="642">
        <v>4538</v>
      </c>
      <c r="F268" s="642">
        <v>4600</v>
      </c>
      <c r="G268" s="63">
        <v>4657</v>
      </c>
      <c r="H268" s="63">
        <v>4658</v>
      </c>
      <c r="I268" s="63">
        <v>4581</v>
      </c>
      <c r="J268" s="63">
        <v>4411</v>
      </c>
      <c r="K268" s="63">
        <v>4586</v>
      </c>
      <c r="L268" s="63">
        <v>4556</v>
      </c>
      <c r="M268" s="63">
        <v>4531</v>
      </c>
      <c r="N268" s="63">
        <v>4592</v>
      </c>
      <c r="O268" s="63">
        <v>4581</v>
      </c>
      <c r="P268" s="52"/>
      <c r="Q268" s="54" t="s">
        <v>5325</v>
      </c>
    </row>
    <row r="269" spans="1:17">
      <c r="A269" s="649">
        <v>9</v>
      </c>
      <c r="B269" s="54" t="s">
        <v>5485</v>
      </c>
      <c r="C269" s="55" t="s">
        <v>8887</v>
      </c>
      <c r="D269" s="642">
        <v>4585</v>
      </c>
      <c r="E269" s="642">
        <v>4681</v>
      </c>
      <c r="F269" s="642">
        <v>4704</v>
      </c>
      <c r="G269" s="63">
        <v>4804</v>
      </c>
      <c r="H269" s="63">
        <v>4865</v>
      </c>
      <c r="I269" s="63">
        <v>4814</v>
      </c>
      <c r="J269" s="63">
        <v>4691</v>
      </c>
      <c r="K269" s="63">
        <v>4737</v>
      </c>
      <c r="L269" s="63">
        <v>4889</v>
      </c>
      <c r="M269" s="63">
        <v>4825</v>
      </c>
      <c r="N269" s="63">
        <v>4900</v>
      </c>
      <c r="O269" s="63">
        <v>4857</v>
      </c>
      <c r="P269" s="52"/>
      <c r="Q269" s="54" t="s">
        <v>5325</v>
      </c>
    </row>
    <row r="270" spans="1:17">
      <c r="A270" s="649">
        <v>10</v>
      </c>
      <c r="B270" s="54" t="s">
        <v>6821</v>
      </c>
      <c r="C270" s="55" t="s">
        <v>8888</v>
      </c>
      <c r="D270" s="642">
        <v>4301</v>
      </c>
      <c r="E270" s="642">
        <v>4446</v>
      </c>
      <c r="F270" s="642">
        <v>4663</v>
      </c>
      <c r="G270" s="63">
        <v>4766</v>
      </c>
      <c r="H270" s="63">
        <v>4809</v>
      </c>
      <c r="I270" s="63">
        <v>4815</v>
      </c>
      <c r="J270" s="63">
        <v>4696</v>
      </c>
      <c r="K270" s="63">
        <v>4932</v>
      </c>
      <c r="L270" s="63">
        <v>5002</v>
      </c>
      <c r="M270" s="63">
        <v>4929</v>
      </c>
      <c r="N270" s="63">
        <v>5114</v>
      </c>
      <c r="O270" s="63">
        <v>5141</v>
      </c>
      <c r="P270" s="52"/>
      <c r="Q270" s="54" t="s">
        <v>5325</v>
      </c>
    </row>
    <row r="271" spans="1:17">
      <c r="A271" s="649">
        <v>11</v>
      </c>
      <c r="B271" s="54" t="s">
        <v>5486</v>
      </c>
      <c r="C271" s="55" t="s">
        <v>8889</v>
      </c>
      <c r="D271" s="642">
        <v>4324</v>
      </c>
      <c r="E271" s="642">
        <v>4408</v>
      </c>
      <c r="F271" s="642">
        <v>4483</v>
      </c>
      <c r="G271" s="63">
        <v>4600</v>
      </c>
      <c r="H271" s="63">
        <v>4564</v>
      </c>
      <c r="I271" s="63">
        <v>4513</v>
      </c>
      <c r="J271" s="63">
        <v>4324</v>
      </c>
      <c r="K271" s="63">
        <v>4427</v>
      </c>
      <c r="L271" s="63">
        <v>4396</v>
      </c>
      <c r="M271" s="63">
        <v>4355</v>
      </c>
      <c r="N271" s="63">
        <v>4376</v>
      </c>
      <c r="O271" s="63">
        <v>4345</v>
      </c>
      <c r="P271" s="52"/>
      <c r="Q271" s="54" t="s">
        <v>5325</v>
      </c>
    </row>
    <row r="272" spans="1:17">
      <c r="A272" s="649">
        <v>12</v>
      </c>
      <c r="B272" s="54" t="s">
        <v>3938</v>
      </c>
      <c r="C272" s="55" t="s">
        <v>8890</v>
      </c>
      <c r="D272" s="642">
        <v>4317</v>
      </c>
      <c r="E272" s="642">
        <v>4380</v>
      </c>
      <c r="F272" s="642">
        <v>4376</v>
      </c>
      <c r="G272" s="63">
        <v>4408</v>
      </c>
      <c r="H272" s="63">
        <v>4301</v>
      </c>
      <c r="I272" s="63">
        <v>4269</v>
      </c>
      <c r="J272" s="63">
        <v>4142</v>
      </c>
      <c r="K272" s="63">
        <v>4229</v>
      </c>
      <c r="L272" s="63">
        <v>4258</v>
      </c>
      <c r="M272" s="63">
        <v>4217</v>
      </c>
      <c r="N272" s="63">
        <v>4341</v>
      </c>
      <c r="O272" s="63">
        <v>4349</v>
      </c>
      <c r="P272" s="52"/>
      <c r="Q272" s="54" t="s">
        <v>5325</v>
      </c>
    </row>
    <row r="273" spans="1:17">
      <c r="A273" s="649">
        <v>13</v>
      </c>
      <c r="B273" s="54" t="s">
        <v>3939</v>
      </c>
      <c r="C273" s="55" t="s">
        <v>8891</v>
      </c>
      <c r="D273" s="642">
        <v>4044</v>
      </c>
      <c r="E273" s="642">
        <v>4142</v>
      </c>
      <c r="F273" s="642">
        <v>4148</v>
      </c>
      <c r="G273" s="63">
        <v>4204</v>
      </c>
      <c r="H273" s="63">
        <v>4129</v>
      </c>
      <c r="I273" s="63">
        <v>4100</v>
      </c>
      <c r="J273" s="63">
        <v>3974</v>
      </c>
      <c r="K273" s="63">
        <v>4121</v>
      </c>
      <c r="L273" s="63">
        <v>4137</v>
      </c>
      <c r="M273" s="63">
        <v>4067</v>
      </c>
      <c r="N273" s="63">
        <v>4134</v>
      </c>
      <c r="O273" s="63">
        <v>4121</v>
      </c>
      <c r="P273" s="52"/>
      <c r="Q273" s="54" t="s">
        <v>5325</v>
      </c>
    </row>
    <row r="274" spans="1:17">
      <c r="A274" s="52"/>
      <c r="B274" s="52"/>
      <c r="D274" s="643"/>
      <c r="E274" s="643"/>
      <c r="F274" s="643"/>
      <c r="G274" s="643"/>
      <c r="H274" s="643"/>
      <c r="I274" s="643"/>
      <c r="J274" s="643"/>
      <c r="K274" s="643"/>
      <c r="L274" s="643"/>
      <c r="M274" s="643"/>
      <c r="N274" s="643"/>
      <c r="O274" s="643"/>
      <c r="P274" s="52"/>
      <c r="Q274" s="52"/>
    </row>
    <row r="275" spans="1:17">
      <c r="A275" s="54" t="s">
        <v>4691</v>
      </c>
      <c r="B275" s="52"/>
      <c r="D275" s="643">
        <f t="shared" ref="D275:O275" si="120">D263</f>
        <v>0</v>
      </c>
      <c r="E275" s="643">
        <f t="shared" si="120"/>
        <v>0</v>
      </c>
      <c r="F275" s="643">
        <f t="shared" si="120"/>
        <v>0</v>
      </c>
      <c r="G275" s="643">
        <f t="shared" si="120"/>
        <v>0</v>
      </c>
      <c r="H275" s="643">
        <f t="shared" si="120"/>
        <v>41</v>
      </c>
      <c r="I275" s="643">
        <f t="shared" si="120"/>
        <v>37</v>
      </c>
      <c r="J275" s="643">
        <f t="shared" si="120"/>
        <v>40</v>
      </c>
      <c r="K275" s="643">
        <f t="shared" si="120"/>
        <v>37</v>
      </c>
      <c r="L275" s="643">
        <f t="shared" si="120"/>
        <v>35</v>
      </c>
      <c r="M275" s="643">
        <f t="shared" si="120"/>
        <v>0</v>
      </c>
      <c r="N275" s="643">
        <f t="shared" si="120"/>
        <v>0</v>
      </c>
      <c r="O275" s="643">
        <f t="shared" si="120"/>
        <v>0</v>
      </c>
      <c r="P275" s="52"/>
      <c r="Q275" s="52"/>
    </row>
    <row r="276" spans="1:17">
      <c r="A276" s="54" t="s">
        <v>4700</v>
      </c>
      <c r="C276" s="52"/>
      <c r="D276" s="642">
        <f t="shared" ref="D276:O276" si="121">SUM(D259:D262)+D264+SUM(D266:D273)</f>
        <v>59801</v>
      </c>
      <c r="E276" s="642">
        <f t="shared" si="121"/>
        <v>61203</v>
      </c>
      <c r="F276" s="642">
        <f t="shared" si="121"/>
        <v>61966</v>
      </c>
      <c r="G276" s="642">
        <f t="shared" si="121"/>
        <v>62835</v>
      </c>
      <c r="H276" s="642">
        <f t="shared" si="121"/>
        <v>62221</v>
      </c>
      <c r="I276" s="642">
        <f t="shared" si="121"/>
        <v>61643</v>
      </c>
      <c r="J276" s="642">
        <f t="shared" si="121"/>
        <v>59580</v>
      </c>
      <c r="K276" s="642">
        <f t="shared" si="121"/>
        <v>61347</v>
      </c>
      <c r="L276" s="642">
        <f t="shared" si="121"/>
        <v>61531</v>
      </c>
      <c r="M276" s="642">
        <f t="shared" si="121"/>
        <v>60898</v>
      </c>
      <c r="N276" s="642">
        <f t="shared" si="121"/>
        <v>62266</v>
      </c>
      <c r="O276" s="642">
        <f t="shared" si="121"/>
        <v>62071</v>
      </c>
      <c r="P276" s="52"/>
      <c r="Q276" s="52"/>
    </row>
    <row r="277" spans="1:17">
      <c r="A277" s="52"/>
      <c r="B277" s="52"/>
      <c r="C277" s="52"/>
      <c r="D277" s="52"/>
      <c r="E277" s="52"/>
      <c r="F277" s="52"/>
      <c r="G277" s="52"/>
      <c r="H277" s="52"/>
      <c r="I277" s="52"/>
      <c r="J277" s="52"/>
      <c r="K277" s="52"/>
      <c r="L277" s="52"/>
      <c r="M277" s="52"/>
      <c r="N277" s="52"/>
      <c r="O277" s="52"/>
      <c r="P277" s="52"/>
      <c r="Q277" s="52"/>
    </row>
    <row r="278" spans="1:17">
      <c r="A278" s="53" t="s">
        <v>9497</v>
      </c>
      <c r="C278" s="52"/>
      <c r="D278" s="650"/>
      <c r="E278" s="650"/>
      <c r="F278" s="650"/>
      <c r="G278" s="650"/>
      <c r="H278" s="650"/>
      <c r="I278" s="650"/>
      <c r="J278" s="650"/>
      <c r="K278" s="650"/>
      <c r="L278" s="650"/>
      <c r="M278" s="650"/>
      <c r="N278" s="650"/>
      <c r="O278" s="650"/>
      <c r="P278" s="52"/>
      <c r="Q278" s="52"/>
    </row>
    <row r="279" spans="1:17">
      <c r="A279" s="53" t="s">
        <v>9519</v>
      </c>
      <c r="B279" s="54"/>
      <c r="C279" s="52"/>
      <c r="D279" s="650"/>
      <c r="E279" s="650"/>
      <c r="F279" s="650"/>
      <c r="G279" s="650"/>
      <c r="H279" s="650"/>
      <c r="I279" s="650"/>
      <c r="J279" s="650"/>
      <c r="K279" s="650"/>
      <c r="L279" s="650"/>
      <c r="M279" s="650"/>
      <c r="N279" s="650"/>
      <c r="O279" s="650"/>
      <c r="P279" s="52"/>
      <c r="Q279" s="52"/>
    </row>
    <row r="280" spans="1:17">
      <c r="A280" s="21"/>
      <c r="B280" s="54"/>
      <c r="C280" s="52"/>
      <c r="D280" s="650"/>
      <c r="E280" s="650"/>
      <c r="F280" s="650"/>
      <c r="G280" s="650"/>
      <c r="H280" s="650"/>
      <c r="I280" s="650"/>
      <c r="J280" s="650"/>
      <c r="K280" s="650"/>
      <c r="L280" s="650"/>
      <c r="M280" s="650"/>
      <c r="N280" s="650"/>
      <c r="O280" s="650"/>
      <c r="P280" s="52"/>
      <c r="Q280" s="52"/>
    </row>
    <row r="281" spans="1:17">
      <c r="A281" s="54"/>
      <c r="B281" s="54"/>
      <c r="C281" s="52"/>
      <c r="D281" s="650"/>
      <c r="E281" s="650"/>
      <c r="F281" s="650"/>
      <c r="G281" s="650"/>
      <c r="H281" s="650"/>
      <c r="I281" s="650"/>
      <c r="J281" s="650"/>
      <c r="K281" s="650"/>
      <c r="L281" s="650"/>
      <c r="M281" s="650"/>
      <c r="N281" s="650"/>
      <c r="O281" s="650"/>
      <c r="P281" s="52"/>
      <c r="Q281" s="52"/>
    </row>
    <row r="282" spans="1:17">
      <c r="A282" s="52"/>
      <c r="B282" s="52"/>
      <c r="E282" s="51" t="s">
        <v>1526</v>
      </c>
      <c r="F282" s="51"/>
      <c r="G282" s="51"/>
      <c r="H282" s="51"/>
      <c r="I282" s="51"/>
      <c r="J282" s="51"/>
      <c r="K282" s="51"/>
      <c r="L282" s="51"/>
      <c r="M282" s="51"/>
      <c r="N282" s="51"/>
      <c r="O282" s="51"/>
      <c r="P282" s="276"/>
      <c r="Q282" s="11" t="s">
        <v>9479</v>
      </c>
    </row>
    <row r="283" spans="1:17">
      <c r="A283" s="52"/>
      <c r="B283" s="52"/>
      <c r="D283" s="350">
        <v>2010</v>
      </c>
      <c r="E283" s="350">
        <v>2011</v>
      </c>
      <c r="F283" s="350">
        <v>2012</v>
      </c>
      <c r="G283" s="350">
        <v>2013</v>
      </c>
      <c r="H283" s="350">
        <v>2014</v>
      </c>
      <c r="I283" s="350">
        <v>2015</v>
      </c>
      <c r="J283" s="350">
        <v>2016</v>
      </c>
      <c r="K283" s="350">
        <v>2017</v>
      </c>
      <c r="L283" s="350">
        <v>2018</v>
      </c>
      <c r="M283" s="350">
        <v>2019</v>
      </c>
      <c r="N283" s="350">
        <v>2020</v>
      </c>
      <c r="O283" s="944" t="s">
        <v>14823</v>
      </c>
      <c r="P283" s="410"/>
      <c r="Q283" s="13" t="s">
        <v>1527</v>
      </c>
    </row>
    <row r="284" spans="1:17">
      <c r="A284" s="54" t="s">
        <v>3940</v>
      </c>
      <c r="D284" s="642">
        <f>D285+D286+D288+D289+SUM(D291:D296)+SUM(D298:D301)+SUM(D303:D305)</f>
        <v>64499</v>
      </c>
      <c r="E284" s="642">
        <f>E285+E286+E288+E289+SUM(E291:E296)+SUM(E298:E301)+SUM(E303:E305)</f>
        <v>64926</v>
      </c>
      <c r="F284" s="642">
        <f>F285+F286+F288+F289+SUM(F291:F296)+SUM(F298:F301)+SUM(F303:F305)</f>
        <v>65668</v>
      </c>
      <c r="G284" s="642">
        <f>G285+G286+G288+G289+SUM(G291:G296)+SUM(G298:G301)+SUM(G303:G305)</f>
        <v>66415</v>
      </c>
      <c r="H284" s="642">
        <f>H285+H286+H288+H289+SUM(H291:H296)+SUM(H298:H301)+SUM(H303:H305)</f>
        <v>66463</v>
      </c>
      <c r="I284" s="642">
        <f t="shared" ref="I284:N284" si="122">I285+I286+I288+I289+SUM(I291:I296)+SUM(I298:I301)+SUM(I303:I305)</f>
        <v>65252</v>
      </c>
      <c r="J284" s="642">
        <f t="shared" si="122"/>
        <v>66161</v>
      </c>
      <c r="K284" s="642">
        <f t="shared" si="122"/>
        <v>66556</v>
      </c>
      <c r="L284" s="642">
        <f t="shared" si="122"/>
        <v>66644</v>
      </c>
      <c r="M284" s="642">
        <f t="shared" si="122"/>
        <v>65809</v>
      </c>
      <c r="N284" s="642">
        <f t="shared" si="122"/>
        <v>66741</v>
      </c>
      <c r="O284" s="642">
        <f>O285+O286+O288+O289+SUM(O291:O296)+SUM(O298:O301)+SUM(O303:O305)</f>
        <v>67500</v>
      </c>
      <c r="P284" s="52"/>
      <c r="Q284" s="52"/>
    </row>
    <row r="285" spans="1:17">
      <c r="A285" s="649">
        <v>1</v>
      </c>
      <c r="B285" s="62" t="s">
        <v>9747</v>
      </c>
      <c r="C285" s="62" t="s">
        <v>9746</v>
      </c>
      <c r="D285" s="642">
        <v>3033</v>
      </c>
      <c r="E285" s="642">
        <v>3008</v>
      </c>
      <c r="F285" s="642">
        <v>2995</v>
      </c>
      <c r="G285" s="642">
        <v>3059</v>
      </c>
      <c r="H285" s="56">
        <v>3098</v>
      </c>
      <c r="I285" s="56">
        <v>1092</v>
      </c>
      <c r="J285" s="56">
        <v>1111</v>
      </c>
      <c r="K285" s="56">
        <v>1106</v>
      </c>
      <c r="L285" s="56">
        <v>1124</v>
      </c>
      <c r="M285" s="56">
        <v>1134</v>
      </c>
      <c r="N285" s="56">
        <v>1128</v>
      </c>
      <c r="O285" s="56">
        <v>1134</v>
      </c>
      <c r="P285" s="52"/>
      <c r="Q285" s="54" t="s">
        <v>5324</v>
      </c>
    </row>
    <row r="286" spans="1:17" ht="15.75" thickBot="1">
      <c r="A286" s="649"/>
      <c r="B286" s="62"/>
      <c r="C286" s="62" t="s">
        <v>9746</v>
      </c>
      <c r="D286" s="642">
        <v>0</v>
      </c>
      <c r="E286" s="642">
        <v>0</v>
      </c>
      <c r="F286" s="642">
        <v>0</v>
      </c>
      <c r="G286" s="642">
        <v>0</v>
      </c>
      <c r="H286" s="58">
        <v>0</v>
      </c>
      <c r="I286" s="56">
        <v>3856</v>
      </c>
      <c r="J286" s="56">
        <v>3861</v>
      </c>
      <c r="K286" s="56">
        <v>3915</v>
      </c>
      <c r="L286" s="56">
        <v>3858</v>
      </c>
      <c r="M286" s="56">
        <v>3795</v>
      </c>
      <c r="N286" s="56">
        <v>3833</v>
      </c>
      <c r="O286" s="56">
        <v>3839</v>
      </c>
      <c r="P286" s="52"/>
      <c r="Q286" s="54" t="s">
        <v>5326</v>
      </c>
    </row>
    <row r="287" spans="1:17" ht="15.75" thickBot="1">
      <c r="A287" s="649"/>
      <c r="B287" s="62"/>
      <c r="C287" s="62" t="s">
        <v>9746</v>
      </c>
      <c r="D287" s="654">
        <f>D285+D286</f>
        <v>3033</v>
      </c>
      <c r="E287" s="654">
        <f t="shared" ref="E287:L287" si="123">E285+E286</f>
        <v>3008</v>
      </c>
      <c r="F287" s="654">
        <f t="shared" si="123"/>
        <v>2995</v>
      </c>
      <c r="G287" s="654">
        <f t="shared" si="123"/>
        <v>3059</v>
      </c>
      <c r="H287" s="654">
        <f t="shared" si="123"/>
        <v>3098</v>
      </c>
      <c r="I287" s="654">
        <f t="shared" si="123"/>
        <v>4948</v>
      </c>
      <c r="J287" s="654">
        <f t="shared" si="123"/>
        <v>4972</v>
      </c>
      <c r="K287" s="654">
        <f t="shared" si="123"/>
        <v>5021</v>
      </c>
      <c r="L287" s="654">
        <f t="shared" si="123"/>
        <v>4982</v>
      </c>
      <c r="M287" s="654">
        <f>M285+M286</f>
        <v>4929</v>
      </c>
      <c r="N287" s="654">
        <f>N285+N286</f>
        <v>4961</v>
      </c>
      <c r="O287" s="654">
        <f>O285+O286</f>
        <v>4973</v>
      </c>
      <c r="P287" s="52"/>
      <c r="Q287" s="54"/>
    </row>
    <row r="288" spans="1:17">
      <c r="A288" s="649">
        <v>2</v>
      </c>
      <c r="B288" s="62" t="s">
        <v>5400</v>
      </c>
      <c r="C288" s="62" t="s">
        <v>9748</v>
      </c>
      <c r="D288" s="642">
        <v>0</v>
      </c>
      <c r="E288" s="642">
        <v>0</v>
      </c>
      <c r="F288" s="642">
        <v>0</v>
      </c>
      <c r="G288" s="642">
        <v>0</v>
      </c>
      <c r="H288" s="56">
        <v>0</v>
      </c>
      <c r="I288" s="56">
        <v>1122</v>
      </c>
      <c r="J288" s="56">
        <v>1131</v>
      </c>
      <c r="K288" s="56">
        <v>1170</v>
      </c>
      <c r="L288" s="56">
        <v>1172</v>
      </c>
      <c r="M288" s="56">
        <v>1164</v>
      </c>
      <c r="N288" s="56">
        <v>1187</v>
      </c>
      <c r="O288" s="56">
        <v>1178</v>
      </c>
      <c r="Q288" s="53" t="s">
        <v>5322</v>
      </c>
    </row>
    <row r="289" spans="1:17" ht="15.75" thickBot="1">
      <c r="A289" s="649"/>
      <c r="B289" s="62"/>
      <c r="C289" s="62" t="s">
        <v>9748</v>
      </c>
      <c r="D289" s="642">
        <v>0</v>
      </c>
      <c r="E289" s="642">
        <v>0</v>
      </c>
      <c r="F289" s="642">
        <v>0</v>
      </c>
      <c r="G289" s="642">
        <v>0</v>
      </c>
      <c r="H289" s="56">
        <v>0</v>
      </c>
      <c r="I289" s="56">
        <v>3881</v>
      </c>
      <c r="J289" s="56">
        <v>3875</v>
      </c>
      <c r="K289" s="56">
        <v>3864</v>
      </c>
      <c r="L289" s="56">
        <v>3855</v>
      </c>
      <c r="M289" s="56">
        <v>3842</v>
      </c>
      <c r="N289" s="56">
        <v>3859</v>
      </c>
      <c r="O289" s="56">
        <v>3878</v>
      </c>
      <c r="P289" s="52"/>
      <c r="Q289" s="54" t="s">
        <v>5326</v>
      </c>
    </row>
    <row r="290" spans="1:17" ht="15.75" thickBot="1">
      <c r="A290" s="649"/>
      <c r="B290" s="62"/>
      <c r="C290" s="62" t="s">
        <v>9748</v>
      </c>
      <c r="D290" s="654">
        <f>D288+D289</f>
        <v>0</v>
      </c>
      <c r="E290" s="654">
        <f t="shared" ref="E290:L290" si="124">E288+E289</f>
        <v>0</v>
      </c>
      <c r="F290" s="654">
        <f t="shared" si="124"/>
        <v>0</v>
      </c>
      <c r="G290" s="654">
        <f t="shared" si="124"/>
        <v>0</v>
      </c>
      <c r="H290" s="654">
        <f t="shared" si="124"/>
        <v>0</v>
      </c>
      <c r="I290" s="654">
        <f t="shared" si="124"/>
        <v>5003</v>
      </c>
      <c r="J290" s="654">
        <f t="shared" si="124"/>
        <v>5006</v>
      </c>
      <c r="K290" s="654">
        <f t="shared" si="124"/>
        <v>5034</v>
      </c>
      <c r="L290" s="654">
        <f t="shared" si="124"/>
        <v>5027</v>
      </c>
      <c r="M290" s="654">
        <f>M288+M289</f>
        <v>5006</v>
      </c>
      <c r="N290" s="654">
        <f>N288+N289</f>
        <v>5046</v>
      </c>
      <c r="O290" s="654">
        <f>O288+O289</f>
        <v>5056</v>
      </c>
      <c r="P290" s="52"/>
      <c r="Q290" s="54"/>
    </row>
    <row r="291" spans="1:17">
      <c r="A291" s="649">
        <v>3</v>
      </c>
      <c r="B291" s="62" t="s">
        <v>9750</v>
      </c>
      <c r="C291" s="62" t="s">
        <v>9749</v>
      </c>
      <c r="D291" s="642">
        <v>43730</v>
      </c>
      <c r="E291" s="642">
        <v>43986</v>
      </c>
      <c r="F291" s="642">
        <v>44511</v>
      </c>
      <c r="G291" s="642">
        <v>45065</v>
      </c>
      <c r="H291" s="58">
        <v>45058</v>
      </c>
      <c r="I291" s="56">
        <v>5711</v>
      </c>
      <c r="J291" s="56">
        <v>5848</v>
      </c>
      <c r="K291" s="56">
        <v>5807</v>
      </c>
      <c r="L291" s="56">
        <v>5815</v>
      </c>
      <c r="M291" s="56">
        <v>5706</v>
      </c>
      <c r="N291" s="56">
        <v>5763</v>
      </c>
      <c r="O291" s="56">
        <v>5841</v>
      </c>
      <c r="Q291" s="53" t="s">
        <v>5322</v>
      </c>
    </row>
    <row r="292" spans="1:17">
      <c r="A292" s="649">
        <v>4</v>
      </c>
      <c r="B292" s="62" t="s">
        <v>9752</v>
      </c>
      <c r="C292" s="62" t="s">
        <v>9751</v>
      </c>
      <c r="D292" s="642">
        <v>0</v>
      </c>
      <c r="E292" s="642">
        <v>0</v>
      </c>
      <c r="F292" s="642">
        <v>0</v>
      </c>
      <c r="G292" s="642">
        <v>0</v>
      </c>
      <c r="H292" s="58">
        <v>0</v>
      </c>
      <c r="I292" s="56">
        <v>5605</v>
      </c>
      <c r="J292" s="56">
        <v>5728</v>
      </c>
      <c r="K292" s="56">
        <v>5784</v>
      </c>
      <c r="L292" s="56">
        <v>5757</v>
      </c>
      <c r="M292" s="56">
        <v>5639</v>
      </c>
      <c r="N292" s="56">
        <v>5703</v>
      </c>
      <c r="O292" s="56">
        <v>5793</v>
      </c>
      <c r="P292" s="52"/>
      <c r="Q292" s="54" t="s">
        <v>5322</v>
      </c>
    </row>
    <row r="293" spans="1:17">
      <c r="A293" s="649">
        <v>5</v>
      </c>
      <c r="B293" s="62" t="s">
        <v>9754</v>
      </c>
      <c r="C293" s="62" t="s">
        <v>9753</v>
      </c>
      <c r="D293" s="642">
        <v>0</v>
      </c>
      <c r="E293" s="642">
        <v>0</v>
      </c>
      <c r="F293" s="642">
        <v>0</v>
      </c>
      <c r="G293" s="642">
        <v>0</v>
      </c>
      <c r="H293" s="56">
        <v>0</v>
      </c>
      <c r="I293" s="56">
        <v>5080</v>
      </c>
      <c r="J293" s="56">
        <v>5147</v>
      </c>
      <c r="K293" s="56">
        <v>5109</v>
      </c>
      <c r="L293" s="56">
        <v>5089</v>
      </c>
      <c r="M293" s="56">
        <v>5026</v>
      </c>
      <c r="N293" s="56">
        <v>5068</v>
      </c>
      <c r="O293" s="56">
        <v>5103</v>
      </c>
      <c r="P293" s="52"/>
      <c r="Q293" s="54" t="s">
        <v>5322</v>
      </c>
    </row>
    <row r="294" spans="1:17">
      <c r="A294" s="649">
        <v>6</v>
      </c>
      <c r="B294" s="62" t="s">
        <v>9756</v>
      </c>
      <c r="C294" s="62" t="s">
        <v>9755</v>
      </c>
      <c r="D294" s="642">
        <v>0</v>
      </c>
      <c r="E294" s="642">
        <v>0</v>
      </c>
      <c r="F294" s="642">
        <v>0</v>
      </c>
      <c r="G294" s="642">
        <v>0</v>
      </c>
      <c r="H294" s="56">
        <v>0</v>
      </c>
      <c r="I294" s="56">
        <v>5001</v>
      </c>
      <c r="J294" s="56">
        <v>5026</v>
      </c>
      <c r="K294" s="56">
        <v>4965</v>
      </c>
      <c r="L294" s="56">
        <v>4957</v>
      </c>
      <c r="M294" s="56">
        <v>4957</v>
      </c>
      <c r="N294" s="56">
        <v>4985</v>
      </c>
      <c r="O294" s="56">
        <v>5041</v>
      </c>
      <c r="P294" s="52"/>
      <c r="Q294" s="54" t="s">
        <v>5322</v>
      </c>
    </row>
    <row r="295" spans="1:17">
      <c r="A295" s="649">
        <v>7</v>
      </c>
      <c r="B295" s="62" t="s">
        <v>9758</v>
      </c>
      <c r="C295" s="62" t="s">
        <v>9757</v>
      </c>
      <c r="D295" s="642">
        <v>0</v>
      </c>
      <c r="E295" s="642">
        <v>0</v>
      </c>
      <c r="F295" s="642">
        <v>0</v>
      </c>
      <c r="G295" s="642">
        <v>0</v>
      </c>
      <c r="H295" s="56">
        <v>0</v>
      </c>
      <c r="I295" s="56">
        <v>1931</v>
      </c>
      <c r="J295" s="56">
        <v>1998</v>
      </c>
      <c r="K295" s="56">
        <v>1981</v>
      </c>
      <c r="L295" s="56">
        <v>1977</v>
      </c>
      <c r="M295" s="56">
        <v>1950</v>
      </c>
      <c r="N295" s="56">
        <v>2036</v>
      </c>
      <c r="O295" s="56">
        <v>2063</v>
      </c>
      <c r="P295" s="52"/>
      <c r="Q295" s="54" t="s">
        <v>5324</v>
      </c>
    </row>
    <row r="296" spans="1:17" ht="15.75" thickBot="1">
      <c r="A296" s="649"/>
      <c r="B296" s="62"/>
      <c r="C296" s="62" t="s">
        <v>9757</v>
      </c>
      <c r="D296" s="642">
        <v>0</v>
      </c>
      <c r="E296" s="642">
        <v>0</v>
      </c>
      <c r="F296" s="642">
        <v>0</v>
      </c>
      <c r="G296" s="642">
        <v>0</v>
      </c>
      <c r="H296" s="56">
        <v>0</v>
      </c>
      <c r="I296" s="56">
        <v>2939</v>
      </c>
      <c r="J296" s="56">
        <v>2928</v>
      </c>
      <c r="K296" s="56">
        <v>2966</v>
      </c>
      <c r="L296" s="56">
        <v>2944</v>
      </c>
      <c r="M296" s="56">
        <v>2903</v>
      </c>
      <c r="N296" s="56">
        <v>2942</v>
      </c>
      <c r="O296" s="56">
        <v>2995</v>
      </c>
      <c r="P296" s="52"/>
      <c r="Q296" s="54" t="s">
        <v>5326</v>
      </c>
    </row>
    <row r="297" spans="1:17" ht="15.75" thickBot="1">
      <c r="A297" s="649"/>
      <c r="B297" s="62"/>
      <c r="C297" s="62" t="s">
        <v>9757</v>
      </c>
      <c r="D297" s="654">
        <f>D295+D296</f>
        <v>0</v>
      </c>
      <c r="E297" s="654">
        <f t="shared" ref="E297:L297" si="125">E295+E296</f>
        <v>0</v>
      </c>
      <c r="F297" s="654">
        <f t="shared" si="125"/>
        <v>0</v>
      </c>
      <c r="G297" s="654">
        <f t="shared" si="125"/>
        <v>0</v>
      </c>
      <c r="H297" s="654">
        <f t="shared" si="125"/>
        <v>0</v>
      </c>
      <c r="I297" s="654">
        <f t="shared" si="125"/>
        <v>4870</v>
      </c>
      <c r="J297" s="654">
        <f t="shared" si="125"/>
        <v>4926</v>
      </c>
      <c r="K297" s="654">
        <f t="shared" si="125"/>
        <v>4947</v>
      </c>
      <c r="L297" s="654">
        <f t="shared" si="125"/>
        <v>4921</v>
      </c>
      <c r="M297" s="654">
        <f>M295+M296</f>
        <v>4853</v>
      </c>
      <c r="N297" s="654">
        <f>N295+N296</f>
        <v>4978</v>
      </c>
      <c r="O297" s="654">
        <f>O295+O296</f>
        <v>5058</v>
      </c>
      <c r="P297" s="52"/>
    </row>
    <row r="298" spans="1:17">
      <c r="A298" s="649">
        <v>8</v>
      </c>
      <c r="B298" s="62" t="s">
        <v>4791</v>
      </c>
      <c r="C298" s="62" t="s">
        <v>9759</v>
      </c>
      <c r="D298" s="642">
        <v>17736</v>
      </c>
      <c r="E298" s="642">
        <v>17932</v>
      </c>
      <c r="F298" s="642">
        <v>18162</v>
      </c>
      <c r="G298" s="642">
        <v>18291</v>
      </c>
      <c r="H298" s="56">
        <v>18307</v>
      </c>
      <c r="I298" s="58">
        <v>4795</v>
      </c>
      <c r="J298" s="58">
        <v>5111</v>
      </c>
      <c r="K298" s="58">
        <v>5337</v>
      </c>
      <c r="L298" s="58">
        <v>5452</v>
      </c>
      <c r="M298" s="58">
        <v>5491</v>
      </c>
      <c r="N298" s="58">
        <v>5619</v>
      </c>
      <c r="O298" s="58">
        <v>5708</v>
      </c>
      <c r="P298" s="52"/>
      <c r="Q298" s="54" t="s">
        <v>5326</v>
      </c>
    </row>
    <row r="299" spans="1:17">
      <c r="A299" s="649">
        <v>9</v>
      </c>
      <c r="B299" s="62" t="s">
        <v>4779</v>
      </c>
      <c r="C299" s="62" t="s">
        <v>9760</v>
      </c>
      <c r="D299" s="642">
        <v>0</v>
      </c>
      <c r="E299" s="642">
        <v>0</v>
      </c>
      <c r="F299" s="642">
        <v>0</v>
      </c>
      <c r="G299" s="642">
        <v>0</v>
      </c>
      <c r="H299" s="56">
        <v>0</v>
      </c>
      <c r="I299" s="56">
        <v>4607</v>
      </c>
      <c r="J299" s="56">
        <v>4571</v>
      </c>
      <c r="K299" s="56">
        <v>4593</v>
      </c>
      <c r="L299" s="56">
        <v>4606</v>
      </c>
      <c r="M299" s="56">
        <v>4486</v>
      </c>
      <c r="N299" s="56">
        <v>4526</v>
      </c>
      <c r="O299" s="56">
        <v>4613</v>
      </c>
      <c r="P299" s="52"/>
      <c r="Q299" s="54" t="s">
        <v>5322</v>
      </c>
    </row>
    <row r="300" spans="1:17">
      <c r="A300" s="649">
        <v>10</v>
      </c>
      <c r="B300" s="62" t="s">
        <v>9762</v>
      </c>
      <c r="C300" s="62" t="s">
        <v>9761</v>
      </c>
      <c r="D300" s="642">
        <v>0</v>
      </c>
      <c r="E300" s="642">
        <v>0</v>
      </c>
      <c r="F300" s="642">
        <v>0</v>
      </c>
      <c r="G300" s="642">
        <v>0</v>
      </c>
      <c r="H300" s="56">
        <v>0</v>
      </c>
      <c r="I300" s="56">
        <v>2261</v>
      </c>
      <c r="J300" s="56">
        <v>2256</v>
      </c>
      <c r="K300" s="56">
        <v>2297</v>
      </c>
      <c r="L300" s="56">
        <v>2315</v>
      </c>
      <c r="M300" s="56">
        <v>2323</v>
      </c>
      <c r="N300" s="56">
        <v>2398</v>
      </c>
      <c r="O300" s="56">
        <v>2410</v>
      </c>
      <c r="P300" s="52"/>
      <c r="Q300" s="54" t="s">
        <v>5322</v>
      </c>
    </row>
    <row r="301" spans="1:17" ht="15.75" thickBot="1">
      <c r="A301" s="649"/>
      <c r="B301" s="62"/>
      <c r="C301" s="62" t="s">
        <v>9761</v>
      </c>
      <c r="D301" s="642">
        <v>0</v>
      </c>
      <c r="E301" s="642">
        <v>0</v>
      </c>
      <c r="F301" s="642">
        <v>0</v>
      </c>
      <c r="G301" s="642">
        <v>0</v>
      </c>
      <c r="H301" s="58">
        <v>0</v>
      </c>
      <c r="I301" s="58">
        <v>2543</v>
      </c>
      <c r="J301" s="58">
        <v>2601</v>
      </c>
      <c r="K301" s="58">
        <v>2574</v>
      </c>
      <c r="L301" s="58">
        <v>2597</v>
      </c>
      <c r="M301" s="58">
        <v>2565</v>
      </c>
      <c r="N301" s="58">
        <v>2571</v>
      </c>
      <c r="O301" s="58">
        <v>2562</v>
      </c>
      <c r="P301" s="52"/>
      <c r="Q301" s="54" t="s">
        <v>5326</v>
      </c>
    </row>
    <row r="302" spans="1:17" ht="15.75" thickBot="1">
      <c r="A302" s="649"/>
      <c r="B302" s="62"/>
      <c r="C302" s="62" t="s">
        <v>9761</v>
      </c>
      <c r="D302" s="654">
        <f>D300+D301</f>
        <v>0</v>
      </c>
      <c r="E302" s="654">
        <f t="shared" ref="E302:L302" si="126">E300+E301</f>
        <v>0</v>
      </c>
      <c r="F302" s="654">
        <f t="shared" si="126"/>
        <v>0</v>
      </c>
      <c r="G302" s="654">
        <f t="shared" si="126"/>
        <v>0</v>
      </c>
      <c r="H302" s="654">
        <f t="shared" si="126"/>
        <v>0</v>
      </c>
      <c r="I302" s="654">
        <f t="shared" si="126"/>
        <v>4804</v>
      </c>
      <c r="J302" s="654">
        <f t="shared" si="126"/>
        <v>4857</v>
      </c>
      <c r="K302" s="654">
        <f t="shared" si="126"/>
        <v>4871</v>
      </c>
      <c r="L302" s="654">
        <f t="shared" si="126"/>
        <v>4912</v>
      </c>
      <c r="M302" s="654">
        <f>M300+M301</f>
        <v>4888</v>
      </c>
      <c r="N302" s="654">
        <f>N300+N301</f>
        <v>4969</v>
      </c>
      <c r="O302" s="654">
        <f>O300+O301</f>
        <v>4972</v>
      </c>
      <c r="P302" s="52"/>
      <c r="Q302" s="54"/>
    </row>
    <row r="303" spans="1:17">
      <c r="A303" s="649">
        <v>11</v>
      </c>
      <c r="B303" s="62" t="s">
        <v>9764</v>
      </c>
      <c r="C303" s="62" t="s">
        <v>9763</v>
      </c>
      <c r="D303" s="642">
        <v>0</v>
      </c>
      <c r="E303" s="642">
        <v>0</v>
      </c>
      <c r="F303" s="642">
        <v>0</v>
      </c>
      <c r="G303" s="642">
        <v>0</v>
      </c>
      <c r="H303" s="58">
        <v>0</v>
      </c>
      <c r="I303" s="56">
        <v>5026</v>
      </c>
      <c r="J303" s="56">
        <v>5063</v>
      </c>
      <c r="K303" s="56">
        <v>5121</v>
      </c>
      <c r="L303" s="56">
        <v>5101</v>
      </c>
      <c r="M303" s="56">
        <v>5050</v>
      </c>
      <c r="N303" s="56">
        <v>5085</v>
      </c>
      <c r="O303" s="56">
        <v>5129</v>
      </c>
      <c r="P303" s="52"/>
      <c r="Q303" s="54" t="s">
        <v>5322</v>
      </c>
    </row>
    <row r="304" spans="1:17">
      <c r="A304" s="649">
        <v>12</v>
      </c>
      <c r="B304" s="62" t="s">
        <v>9766</v>
      </c>
      <c r="C304" s="62" t="s">
        <v>9765</v>
      </c>
      <c r="D304" s="642">
        <v>0</v>
      </c>
      <c r="E304" s="642">
        <v>0</v>
      </c>
      <c r="F304" s="642">
        <v>0</v>
      </c>
      <c r="G304" s="642">
        <v>0</v>
      </c>
      <c r="H304" s="58">
        <v>0</v>
      </c>
      <c r="I304" s="56">
        <v>5315</v>
      </c>
      <c r="J304" s="56">
        <v>5369</v>
      </c>
      <c r="K304" s="56">
        <v>5405</v>
      </c>
      <c r="L304" s="56">
        <v>5445</v>
      </c>
      <c r="M304" s="56">
        <v>5296</v>
      </c>
      <c r="N304" s="56">
        <v>5421</v>
      </c>
      <c r="O304" s="56">
        <v>5553</v>
      </c>
      <c r="P304" s="52"/>
      <c r="Q304" s="54" t="s">
        <v>5322</v>
      </c>
    </row>
    <row r="305" spans="1:17">
      <c r="A305" s="649">
        <v>13</v>
      </c>
      <c r="B305" s="62" t="s">
        <v>9768</v>
      </c>
      <c r="C305" s="62" t="s">
        <v>9767</v>
      </c>
      <c r="D305" s="642">
        <v>0</v>
      </c>
      <c r="E305" s="642">
        <v>0</v>
      </c>
      <c r="F305" s="642">
        <v>0</v>
      </c>
      <c r="G305" s="642">
        <v>0</v>
      </c>
      <c r="H305" s="56">
        <v>0</v>
      </c>
      <c r="I305" s="56">
        <v>4487</v>
      </c>
      <c r="J305" s="56">
        <v>4537</v>
      </c>
      <c r="K305" s="56">
        <v>4562</v>
      </c>
      <c r="L305" s="56">
        <v>4580</v>
      </c>
      <c r="M305" s="56">
        <v>4482</v>
      </c>
      <c r="N305" s="56">
        <v>4617</v>
      </c>
      <c r="O305" s="56">
        <v>4660</v>
      </c>
      <c r="P305" s="52"/>
      <c r="Q305" s="54" t="s">
        <v>5322</v>
      </c>
    </row>
    <row r="306" spans="1:17">
      <c r="A306" s="52"/>
      <c r="B306" s="52"/>
      <c r="D306" s="643"/>
      <c r="E306" s="643"/>
      <c r="F306" s="643"/>
      <c r="G306" s="643"/>
      <c r="H306" s="643"/>
      <c r="I306" s="643"/>
      <c r="J306" s="643"/>
      <c r="K306" s="643"/>
      <c r="L306" s="643"/>
      <c r="M306" s="643"/>
      <c r="N306" s="643"/>
      <c r="O306" s="643"/>
      <c r="P306" s="52"/>
      <c r="Q306" s="52"/>
    </row>
    <row r="307" spans="1:17">
      <c r="A307" s="54" t="s">
        <v>3869</v>
      </c>
      <c r="D307" s="642">
        <f>D288+SUM(D291:D294)+D299+D300+SUM(D303:D305)</f>
        <v>43730</v>
      </c>
      <c r="E307" s="642">
        <f>E288+SUM(E291:E294)+E299+E300+SUM(E303:E305)</f>
        <v>43986</v>
      </c>
      <c r="F307" s="642">
        <f>F288+SUM(F291:F294)+F299+F300+SUM(F303:F305)</f>
        <v>44511</v>
      </c>
      <c r="G307" s="642">
        <f>G288+SUM(G291:G294)+G299+G300+SUM(G303:G305)</f>
        <v>45065</v>
      </c>
      <c r="H307" s="642">
        <f>H288+SUM(H291:H294)+H299+H300+SUM(H303:H305)</f>
        <v>45058</v>
      </c>
      <c r="I307" s="642">
        <f t="shared" ref="I307:N307" si="127">I288+SUM(I291:I294)+I299+I300+SUM(I303:I305)</f>
        <v>44215</v>
      </c>
      <c r="J307" s="642">
        <f t="shared" si="127"/>
        <v>44676</v>
      </c>
      <c r="K307" s="642">
        <f t="shared" si="127"/>
        <v>44813</v>
      </c>
      <c r="L307" s="642">
        <f t="shared" si="127"/>
        <v>44837</v>
      </c>
      <c r="M307" s="642">
        <f t="shared" si="127"/>
        <v>44129</v>
      </c>
      <c r="N307" s="642">
        <f t="shared" si="127"/>
        <v>44753</v>
      </c>
      <c r="O307" s="642">
        <f>O288+SUM(O291:O294)+O299+O300+SUM(O303:O305)</f>
        <v>45321</v>
      </c>
      <c r="P307" s="52"/>
      <c r="Q307" s="52"/>
    </row>
    <row r="308" spans="1:17">
      <c r="A308" s="54" t="s">
        <v>5500</v>
      </c>
      <c r="D308" s="642">
        <f t="shared" ref="D308:O308" si="128">D285+D295</f>
        <v>3033</v>
      </c>
      <c r="E308" s="642">
        <f t="shared" si="128"/>
        <v>3008</v>
      </c>
      <c r="F308" s="642">
        <f t="shared" si="128"/>
        <v>2995</v>
      </c>
      <c r="G308" s="642">
        <f t="shared" si="128"/>
        <v>3059</v>
      </c>
      <c r="H308" s="642">
        <f t="shared" si="128"/>
        <v>3098</v>
      </c>
      <c r="I308" s="642">
        <f t="shared" si="128"/>
        <v>3023</v>
      </c>
      <c r="J308" s="642">
        <f t="shared" si="128"/>
        <v>3109</v>
      </c>
      <c r="K308" s="642">
        <f t="shared" si="128"/>
        <v>3087</v>
      </c>
      <c r="L308" s="642">
        <f t="shared" si="128"/>
        <v>3101</v>
      </c>
      <c r="M308" s="642">
        <f t="shared" si="128"/>
        <v>3084</v>
      </c>
      <c r="N308" s="642">
        <f t="shared" si="128"/>
        <v>3164</v>
      </c>
      <c r="O308" s="642">
        <f t="shared" si="128"/>
        <v>3197</v>
      </c>
      <c r="P308" s="52"/>
      <c r="Q308" s="52"/>
    </row>
    <row r="309" spans="1:17">
      <c r="A309" s="54" t="s">
        <v>4768</v>
      </c>
      <c r="D309" s="642">
        <f t="shared" ref="D309:I309" si="129">D286+D289+D296+D298+D301</f>
        <v>17736</v>
      </c>
      <c r="E309" s="642">
        <f t="shared" si="129"/>
        <v>17932</v>
      </c>
      <c r="F309" s="642">
        <f t="shared" si="129"/>
        <v>18162</v>
      </c>
      <c r="G309" s="642">
        <f t="shared" si="129"/>
        <v>18291</v>
      </c>
      <c r="H309" s="642">
        <f t="shared" si="129"/>
        <v>18307</v>
      </c>
      <c r="I309" s="642">
        <f t="shared" si="129"/>
        <v>18014</v>
      </c>
      <c r="J309" s="642">
        <f t="shared" ref="J309:O309" si="130">J286+J289+J296+J298+J301</f>
        <v>18376</v>
      </c>
      <c r="K309" s="642">
        <f t="shared" si="130"/>
        <v>18656</v>
      </c>
      <c r="L309" s="642">
        <f t="shared" si="130"/>
        <v>18706</v>
      </c>
      <c r="M309" s="642">
        <f t="shared" si="130"/>
        <v>18596</v>
      </c>
      <c r="N309" s="642">
        <f t="shared" si="130"/>
        <v>18824</v>
      </c>
      <c r="O309" s="642">
        <f t="shared" si="130"/>
        <v>18982</v>
      </c>
      <c r="P309" s="52"/>
      <c r="Q309" s="52"/>
    </row>
    <row r="310" spans="1:17">
      <c r="A310" s="54"/>
      <c r="B310" s="54"/>
      <c r="D310" s="650"/>
      <c r="E310" s="650"/>
      <c r="F310" s="650"/>
      <c r="G310" s="650"/>
      <c r="H310" s="650"/>
      <c r="I310" s="650"/>
      <c r="J310" s="650"/>
      <c r="K310" s="650"/>
      <c r="L310" s="650"/>
      <c r="M310" s="650"/>
      <c r="N310" s="650"/>
      <c r="O310" s="650"/>
      <c r="P310" s="52"/>
      <c r="Q310" s="52"/>
    </row>
    <row r="311" spans="1:17">
      <c r="A311" s="53" t="s">
        <v>9769</v>
      </c>
      <c r="D311" s="650"/>
      <c r="E311" s="650"/>
      <c r="F311" s="650"/>
      <c r="G311" s="650"/>
      <c r="H311" s="650"/>
      <c r="I311" s="650"/>
      <c r="J311" s="650"/>
      <c r="K311" s="650"/>
      <c r="L311" s="650"/>
      <c r="M311" s="650"/>
      <c r="N311" s="650"/>
      <c r="O311" s="650"/>
      <c r="P311" s="52"/>
      <c r="Q311" s="52"/>
    </row>
    <row r="312" spans="1:17">
      <c r="A312" s="54"/>
      <c r="B312" s="54"/>
      <c r="D312" s="650"/>
      <c r="E312" s="650"/>
      <c r="F312" s="650"/>
      <c r="G312" s="650"/>
      <c r="H312" s="650"/>
      <c r="I312" s="650"/>
      <c r="J312" s="650"/>
      <c r="K312" s="650"/>
      <c r="L312" s="650"/>
      <c r="M312" s="650"/>
      <c r="N312" s="650"/>
      <c r="O312" s="650"/>
      <c r="P312" s="52"/>
      <c r="Q312" s="52"/>
    </row>
    <row r="313" spans="1:17">
      <c r="A313" s="54"/>
      <c r="B313" s="54"/>
      <c r="D313" s="650"/>
      <c r="E313" s="650"/>
      <c r="F313" s="650"/>
      <c r="G313" s="650"/>
      <c r="H313" s="650"/>
      <c r="I313" s="650"/>
      <c r="J313" s="650"/>
      <c r="K313" s="650"/>
      <c r="L313" s="650"/>
      <c r="M313" s="650"/>
      <c r="N313" s="650"/>
      <c r="O313" s="650"/>
      <c r="P313" s="52"/>
      <c r="Q313" s="52"/>
    </row>
    <row r="314" spans="1:17">
      <c r="A314" s="52"/>
      <c r="B314" s="52"/>
      <c r="E314" s="51" t="s">
        <v>1526</v>
      </c>
      <c r="F314" s="51"/>
      <c r="G314" s="51"/>
      <c r="H314" s="51"/>
      <c r="I314" s="51"/>
      <c r="J314" s="51"/>
      <c r="K314" s="51"/>
      <c r="L314" s="51"/>
      <c r="M314" s="51"/>
      <c r="N314" s="51"/>
      <c r="O314" s="51"/>
      <c r="P314" s="276"/>
      <c r="Q314" s="11" t="s">
        <v>9479</v>
      </c>
    </row>
    <row r="315" spans="1:17">
      <c r="A315" s="52"/>
      <c r="B315" s="52"/>
      <c r="D315" s="350">
        <v>2010</v>
      </c>
      <c r="E315" s="350">
        <v>2011</v>
      </c>
      <c r="F315" s="350">
        <v>2012</v>
      </c>
      <c r="G315" s="350">
        <v>2013</v>
      </c>
      <c r="H315" s="350">
        <v>2014</v>
      </c>
      <c r="I315" s="350">
        <v>2015</v>
      </c>
      <c r="J315" s="350">
        <v>2016</v>
      </c>
      <c r="K315" s="350">
        <v>2017</v>
      </c>
      <c r="L315" s="350">
        <v>2018</v>
      </c>
      <c r="M315" s="350">
        <v>2019</v>
      </c>
      <c r="N315" s="350">
        <v>2020</v>
      </c>
      <c r="O315" s="944" t="s">
        <v>14823</v>
      </c>
      <c r="P315" s="410"/>
      <c r="Q315" s="13" t="s">
        <v>1527</v>
      </c>
    </row>
    <row r="316" spans="1:17">
      <c r="A316" s="54" t="s">
        <v>4769</v>
      </c>
      <c r="D316" s="642">
        <f t="shared" ref="D316:I316" si="131">SUM(D317:D328)</f>
        <v>62277</v>
      </c>
      <c r="E316" s="642">
        <f t="shared" si="131"/>
        <v>63007</v>
      </c>
      <c r="F316" s="642">
        <f t="shared" si="131"/>
        <v>64042</v>
      </c>
      <c r="G316" s="642">
        <f t="shared" si="131"/>
        <v>64822</v>
      </c>
      <c r="H316" s="642">
        <f t="shared" si="131"/>
        <v>65767</v>
      </c>
      <c r="I316" s="642">
        <f t="shared" si="131"/>
        <v>63950</v>
      </c>
      <c r="J316" s="642">
        <f t="shared" ref="J316:O316" si="132">SUM(J317:J328)</f>
        <v>63484</v>
      </c>
      <c r="K316" s="642">
        <f t="shared" si="132"/>
        <v>63683</v>
      </c>
      <c r="L316" s="642">
        <f t="shared" si="132"/>
        <v>63574</v>
      </c>
      <c r="M316" s="642">
        <f t="shared" si="132"/>
        <v>63011</v>
      </c>
      <c r="N316" s="642">
        <f t="shared" si="132"/>
        <v>64879</v>
      </c>
      <c r="O316" s="642">
        <f t="shared" si="132"/>
        <v>64964</v>
      </c>
      <c r="P316" s="52"/>
      <c r="Q316" s="52"/>
    </row>
    <row r="317" spans="1:17">
      <c r="A317" s="54" t="s">
        <v>5387</v>
      </c>
      <c r="B317" s="54" t="s">
        <v>4770</v>
      </c>
      <c r="C317" s="55" t="s">
        <v>11808</v>
      </c>
      <c r="D317" s="642">
        <v>62277</v>
      </c>
      <c r="E317" s="642">
        <v>63007</v>
      </c>
      <c r="F317" s="642">
        <v>64042</v>
      </c>
      <c r="G317" s="63">
        <v>64822</v>
      </c>
      <c r="H317" s="63">
        <v>65767</v>
      </c>
      <c r="I317" s="63">
        <v>63950</v>
      </c>
      <c r="J317" s="63">
        <v>63484</v>
      </c>
      <c r="K317" s="63">
        <v>4767</v>
      </c>
      <c r="L317" s="63">
        <v>4749</v>
      </c>
      <c r="M317" s="63">
        <v>4633</v>
      </c>
      <c r="N317" s="63">
        <v>4866</v>
      </c>
      <c r="O317" s="63">
        <v>4868</v>
      </c>
      <c r="P317" s="52"/>
      <c r="Q317" s="54" t="s">
        <v>5326</v>
      </c>
    </row>
    <row r="318" spans="1:17">
      <c r="A318" s="54" t="s">
        <v>5389</v>
      </c>
      <c r="B318" s="54" t="s">
        <v>6024</v>
      </c>
      <c r="C318" s="55" t="s">
        <v>11809</v>
      </c>
      <c r="D318" s="63">
        <v>0</v>
      </c>
      <c r="E318" s="63">
        <v>0</v>
      </c>
      <c r="F318" s="63">
        <v>0</v>
      </c>
      <c r="G318" s="63">
        <v>0</v>
      </c>
      <c r="H318" s="63">
        <v>0</v>
      </c>
      <c r="I318" s="63">
        <v>0</v>
      </c>
      <c r="J318" s="63">
        <v>0</v>
      </c>
      <c r="K318" s="63">
        <v>5004</v>
      </c>
      <c r="L318" s="63">
        <v>4925</v>
      </c>
      <c r="M318" s="63">
        <v>4845</v>
      </c>
      <c r="N318" s="63">
        <v>5149</v>
      </c>
      <c r="O318" s="63">
        <v>5160</v>
      </c>
      <c r="P318" s="52"/>
      <c r="Q318" s="54" t="s">
        <v>5326</v>
      </c>
    </row>
    <row r="319" spans="1:17">
      <c r="A319" s="54" t="s">
        <v>5391</v>
      </c>
      <c r="B319" s="54" t="s">
        <v>4771</v>
      </c>
      <c r="C319" s="55" t="s">
        <v>11810</v>
      </c>
      <c r="D319" s="63">
        <v>0</v>
      </c>
      <c r="E319" s="63">
        <v>0</v>
      </c>
      <c r="F319" s="63">
        <v>0</v>
      </c>
      <c r="G319" s="63">
        <v>0</v>
      </c>
      <c r="H319" s="63">
        <v>0</v>
      </c>
      <c r="I319" s="63">
        <v>0</v>
      </c>
      <c r="J319" s="63">
        <v>0</v>
      </c>
      <c r="K319" s="63">
        <v>5478</v>
      </c>
      <c r="L319" s="63">
        <v>5650</v>
      </c>
      <c r="M319" s="63">
        <v>5668</v>
      </c>
      <c r="N319" s="63">
        <v>5815</v>
      </c>
      <c r="O319" s="63">
        <v>5829</v>
      </c>
      <c r="P319" s="52"/>
      <c r="Q319" s="54" t="s">
        <v>5326</v>
      </c>
    </row>
    <row r="320" spans="1:17">
      <c r="A320" s="54" t="s">
        <v>5393</v>
      </c>
      <c r="B320" s="54" t="s">
        <v>4772</v>
      </c>
      <c r="C320" s="55" t="s">
        <v>11811</v>
      </c>
      <c r="D320" s="63">
        <v>0</v>
      </c>
      <c r="E320" s="63">
        <v>0</v>
      </c>
      <c r="F320" s="63">
        <v>0</v>
      </c>
      <c r="G320" s="63">
        <v>0</v>
      </c>
      <c r="H320" s="63">
        <v>0</v>
      </c>
      <c r="I320" s="63">
        <v>0</v>
      </c>
      <c r="J320" s="63">
        <v>0</v>
      </c>
      <c r="K320" s="63">
        <v>5273</v>
      </c>
      <c r="L320" s="63">
        <v>5250</v>
      </c>
      <c r="M320" s="63">
        <v>5231</v>
      </c>
      <c r="N320" s="63">
        <v>5369</v>
      </c>
      <c r="O320" s="63">
        <v>5377</v>
      </c>
      <c r="P320" s="52"/>
      <c r="Q320" s="54" t="s">
        <v>5326</v>
      </c>
    </row>
    <row r="321" spans="1:17">
      <c r="A321" s="54" t="s">
        <v>5394</v>
      </c>
      <c r="B321" s="54" t="s">
        <v>4773</v>
      </c>
      <c r="C321" s="55" t="s">
        <v>11812</v>
      </c>
      <c r="D321" s="63">
        <v>0</v>
      </c>
      <c r="E321" s="63">
        <v>0</v>
      </c>
      <c r="F321" s="63">
        <v>0</v>
      </c>
      <c r="G321" s="63">
        <v>0</v>
      </c>
      <c r="H321" s="63">
        <v>0</v>
      </c>
      <c r="I321" s="63">
        <v>0</v>
      </c>
      <c r="J321" s="63">
        <v>0</v>
      </c>
      <c r="K321" s="63">
        <v>5437</v>
      </c>
      <c r="L321" s="63">
        <v>5408</v>
      </c>
      <c r="M321" s="63">
        <v>5381</v>
      </c>
      <c r="N321" s="63">
        <v>5429</v>
      </c>
      <c r="O321" s="63">
        <v>5431</v>
      </c>
      <c r="P321" s="52"/>
      <c r="Q321" s="54" t="s">
        <v>5326</v>
      </c>
    </row>
    <row r="322" spans="1:17">
      <c r="A322" s="54" t="s">
        <v>5416</v>
      </c>
      <c r="B322" s="54" t="s">
        <v>4774</v>
      </c>
      <c r="C322" s="55" t="s">
        <v>11813</v>
      </c>
      <c r="D322" s="63">
        <v>0</v>
      </c>
      <c r="E322" s="63">
        <v>0</v>
      </c>
      <c r="F322" s="63">
        <v>0</v>
      </c>
      <c r="G322" s="63">
        <v>0</v>
      </c>
      <c r="H322" s="63">
        <v>0</v>
      </c>
      <c r="I322" s="63">
        <v>0</v>
      </c>
      <c r="J322" s="63">
        <v>0</v>
      </c>
      <c r="K322" s="63">
        <v>6133</v>
      </c>
      <c r="L322" s="63">
        <v>6128</v>
      </c>
      <c r="M322" s="63">
        <v>6047</v>
      </c>
      <c r="N322" s="63">
        <v>6301</v>
      </c>
      <c r="O322" s="63">
        <v>6315</v>
      </c>
      <c r="P322" s="52"/>
      <c r="Q322" s="54" t="s">
        <v>5326</v>
      </c>
    </row>
    <row r="323" spans="1:17">
      <c r="A323" s="54" t="s">
        <v>5418</v>
      </c>
      <c r="B323" s="54" t="s">
        <v>4775</v>
      </c>
      <c r="C323" s="55" t="s">
        <v>11814</v>
      </c>
      <c r="D323" s="63">
        <v>0</v>
      </c>
      <c r="E323" s="63">
        <v>0</v>
      </c>
      <c r="F323" s="63">
        <v>0</v>
      </c>
      <c r="G323" s="63">
        <v>0</v>
      </c>
      <c r="H323" s="63">
        <v>0</v>
      </c>
      <c r="I323" s="63">
        <v>0</v>
      </c>
      <c r="J323" s="63">
        <v>0</v>
      </c>
      <c r="K323" s="63">
        <v>5079</v>
      </c>
      <c r="L323" s="63">
        <v>5067</v>
      </c>
      <c r="M323" s="63">
        <v>5025</v>
      </c>
      <c r="N323" s="63">
        <v>5134</v>
      </c>
      <c r="O323" s="63">
        <v>5141</v>
      </c>
      <c r="P323" s="52"/>
      <c r="Q323" s="54" t="s">
        <v>5326</v>
      </c>
    </row>
    <row r="324" spans="1:17">
      <c r="A324" s="54" t="s">
        <v>5420</v>
      </c>
      <c r="B324" s="54" t="s">
        <v>1645</v>
      </c>
      <c r="C324" s="55" t="s">
        <v>11815</v>
      </c>
      <c r="D324" s="63">
        <v>0</v>
      </c>
      <c r="E324" s="63">
        <v>0</v>
      </c>
      <c r="F324" s="63">
        <v>0</v>
      </c>
      <c r="G324" s="63">
        <v>0</v>
      </c>
      <c r="H324" s="63">
        <v>0</v>
      </c>
      <c r="I324" s="63">
        <v>0</v>
      </c>
      <c r="J324" s="63">
        <v>0</v>
      </c>
      <c r="K324" s="63">
        <v>5992</v>
      </c>
      <c r="L324" s="63">
        <v>6009</v>
      </c>
      <c r="M324" s="63">
        <v>5942</v>
      </c>
      <c r="N324" s="63">
        <v>6118</v>
      </c>
      <c r="O324" s="63">
        <v>6129</v>
      </c>
      <c r="P324" s="52"/>
      <c r="Q324" s="54" t="s">
        <v>5326</v>
      </c>
    </row>
    <row r="325" spans="1:17">
      <c r="A325" s="54" t="s">
        <v>5422</v>
      </c>
      <c r="B325" s="54" t="s">
        <v>4776</v>
      </c>
      <c r="C325" s="55" t="s">
        <v>11816</v>
      </c>
      <c r="D325" s="63">
        <v>0</v>
      </c>
      <c r="E325" s="63">
        <v>0</v>
      </c>
      <c r="F325" s="63">
        <v>0</v>
      </c>
      <c r="G325" s="63">
        <v>0</v>
      </c>
      <c r="H325" s="63">
        <v>0</v>
      </c>
      <c r="I325" s="63">
        <v>0</v>
      </c>
      <c r="J325" s="63">
        <v>0</v>
      </c>
      <c r="K325" s="63">
        <v>5455</v>
      </c>
      <c r="L325" s="63">
        <v>5394</v>
      </c>
      <c r="M325" s="63">
        <v>5338</v>
      </c>
      <c r="N325" s="63">
        <v>5464</v>
      </c>
      <c r="O325" s="63">
        <v>5470</v>
      </c>
      <c r="P325" s="52"/>
      <c r="Q325" s="54" t="s">
        <v>5326</v>
      </c>
    </row>
    <row r="326" spans="1:17" ht="15" customHeight="1">
      <c r="A326" s="54" t="s">
        <v>5424</v>
      </c>
      <c r="B326" s="54" t="s">
        <v>4777</v>
      </c>
      <c r="C326" s="55" t="s">
        <v>11817</v>
      </c>
      <c r="D326" s="63">
        <v>0</v>
      </c>
      <c r="E326" s="63">
        <v>0</v>
      </c>
      <c r="F326" s="63">
        <v>0</v>
      </c>
      <c r="G326" s="63">
        <v>0</v>
      </c>
      <c r="H326" s="63">
        <v>0</v>
      </c>
      <c r="I326" s="63">
        <v>0</v>
      </c>
      <c r="J326" s="63">
        <v>0</v>
      </c>
      <c r="K326" s="63">
        <v>5006</v>
      </c>
      <c r="L326" s="63">
        <v>4990</v>
      </c>
      <c r="M326" s="63">
        <v>4865</v>
      </c>
      <c r="N326" s="63">
        <v>4940</v>
      </c>
      <c r="O326" s="63">
        <v>4942</v>
      </c>
      <c r="P326" s="52"/>
      <c r="Q326" s="54" t="s">
        <v>5326</v>
      </c>
    </row>
    <row r="327" spans="1:17" ht="15" customHeight="1">
      <c r="A327" s="54" t="s">
        <v>5426</v>
      </c>
      <c r="B327" s="54" t="s">
        <v>4778</v>
      </c>
      <c r="C327" s="55" t="s">
        <v>11818</v>
      </c>
      <c r="D327" s="63">
        <v>0</v>
      </c>
      <c r="E327" s="63">
        <v>0</v>
      </c>
      <c r="F327" s="63">
        <v>0</v>
      </c>
      <c r="G327" s="63">
        <v>0</v>
      </c>
      <c r="H327" s="63">
        <v>0</v>
      </c>
      <c r="I327" s="63">
        <v>0</v>
      </c>
      <c r="J327" s="63">
        <v>0</v>
      </c>
      <c r="K327" s="63">
        <v>4575</v>
      </c>
      <c r="L327" s="63">
        <v>4558</v>
      </c>
      <c r="M327" s="63">
        <v>4560</v>
      </c>
      <c r="N327" s="63">
        <v>4756</v>
      </c>
      <c r="O327" s="63">
        <v>4764</v>
      </c>
      <c r="P327" s="52"/>
      <c r="Q327" s="54" t="s">
        <v>5326</v>
      </c>
    </row>
    <row r="328" spans="1:17" ht="15" customHeight="1">
      <c r="A328" s="54" t="s">
        <v>5428</v>
      </c>
      <c r="B328" s="54" t="s">
        <v>4956</v>
      </c>
      <c r="C328" s="55" t="s">
        <v>11819</v>
      </c>
      <c r="D328" s="63">
        <v>0</v>
      </c>
      <c r="E328" s="63">
        <v>0</v>
      </c>
      <c r="F328" s="63">
        <v>0</v>
      </c>
      <c r="G328" s="63">
        <v>0</v>
      </c>
      <c r="H328" s="63">
        <v>0</v>
      </c>
      <c r="I328" s="63">
        <v>0</v>
      </c>
      <c r="J328" s="63">
        <v>0</v>
      </c>
      <c r="K328" s="63">
        <v>5484</v>
      </c>
      <c r="L328" s="63">
        <v>5446</v>
      </c>
      <c r="M328" s="63">
        <v>5476</v>
      </c>
      <c r="N328" s="63">
        <v>5538</v>
      </c>
      <c r="O328" s="63">
        <v>5538</v>
      </c>
      <c r="P328" s="52"/>
      <c r="Q328" s="54" t="s">
        <v>5326</v>
      </c>
    </row>
    <row r="329" spans="1:17" ht="15" customHeight="1">
      <c r="A329" s="52"/>
      <c r="B329" s="52"/>
      <c r="C329" s="52"/>
      <c r="D329" s="643"/>
      <c r="E329" s="643"/>
      <c r="F329" s="643"/>
      <c r="G329" s="643"/>
      <c r="H329" s="643"/>
      <c r="I329" s="643"/>
      <c r="J329" s="643"/>
      <c r="K329" s="643"/>
      <c r="L329" s="643"/>
      <c r="M329" s="643"/>
      <c r="N329" s="643"/>
      <c r="O329" s="643"/>
      <c r="P329" s="52"/>
      <c r="Q329" s="52"/>
    </row>
    <row r="330" spans="1:17" ht="15" customHeight="1">
      <c r="A330" s="54" t="s">
        <v>4768</v>
      </c>
      <c r="C330" s="52"/>
      <c r="D330" s="642">
        <f t="shared" ref="D330:I330" si="133">SUM(D317:D328)</f>
        <v>62277</v>
      </c>
      <c r="E330" s="642">
        <f t="shared" si="133"/>
        <v>63007</v>
      </c>
      <c r="F330" s="642">
        <f t="shared" si="133"/>
        <v>64042</v>
      </c>
      <c r="G330" s="642">
        <f t="shared" si="133"/>
        <v>64822</v>
      </c>
      <c r="H330" s="642">
        <f t="shared" si="133"/>
        <v>65767</v>
      </c>
      <c r="I330" s="642">
        <f t="shared" si="133"/>
        <v>63950</v>
      </c>
      <c r="J330" s="642">
        <f t="shared" ref="J330:O330" si="134">SUM(J317:J328)</f>
        <v>63484</v>
      </c>
      <c r="K330" s="642">
        <f t="shared" si="134"/>
        <v>63683</v>
      </c>
      <c r="L330" s="642">
        <f t="shared" si="134"/>
        <v>63574</v>
      </c>
      <c r="M330" s="642">
        <f t="shared" si="134"/>
        <v>63011</v>
      </c>
      <c r="N330" s="642">
        <f t="shared" si="134"/>
        <v>64879</v>
      </c>
      <c r="O330" s="642">
        <f t="shared" si="134"/>
        <v>64964</v>
      </c>
      <c r="P330" s="52"/>
      <c r="Q330" s="52"/>
    </row>
    <row r="331" spans="1:17" ht="15" customHeight="1">
      <c r="A331" s="52"/>
      <c r="B331" s="52"/>
      <c r="C331" s="52"/>
      <c r="D331" s="52"/>
      <c r="E331" s="52"/>
      <c r="F331" s="52"/>
      <c r="G331" s="52"/>
      <c r="H331" s="52"/>
      <c r="I331" s="52"/>
      <c r="J331" s="52"/>
      <c r="K331" s="52"/>
      <c r="L331" s="52"/>
      <c r="M331" s="52"/>
      <c r="N331" s="52"/>
      <c r="O331" s="52"/>
      <c r="P331" s="52"/>
      <c r="Q331" s="52"/>
    </row>
    <row r="332" spans="1:17" ht="15" customHeight="1">
      <c r="A332" s="53" t="s">
        <v>11820</v>
      </c>
      <c r="C332" s="52"/>
      <c r="D332" s="650"/>
      <c r="E332" s="650"/>
      <c r="F332" s="650"/>
      <c r="G332" s="650"/>
      <c r="H332" s="650"/>
      <c r="I332" s="650"/>
      <c r="J332" s="650"/>
      <c r="K332" s="650"/>
      <c r="L332" s="650"/>
      <c r="M332" s="650"/>
      <c r="N332" s="650"/>
      <c r="O332" s="650"/>
      <c r="P332" s="52"/>
      <c r="Q332" s="52"/>
    </row>
    <row r="333" spans="1:17">
      <c r="A333" s="54"/>
      <c r="B333" s="54"/>
      <c r="C333" s="52"/>
      <c r="D333" s="650"/>
      <c r="E333" s="650"/>
      <c r="F333" s="650"/>
      <c r="G333" s="650"/>
      <c r="H333" s="650"/>
      <c r="I333" s="650"/>
      <c r="J333" s="650"/>
      <c r="K333" s="650"/>
      <c r="L333" s="650"/>
      <c r="M333" s="650"/>
      <c r="N333" s="650"/>
      <c r="O333" s="650"/>
      <c r="P333" s="52"/>
      <c r="Q333" s="52"/>
    </row>
    <row r="334" spans="1:17">
      <c r="A334" s="54"/>
      <c r="B334" s="54"/>
      <c r="D334" s="650"/>
      <c r="E334" s="650"/>
      <c r="F334" s="650"/>
      <c r="G334" s="650"/>
      <c r="H334" s="650"/>
      <c r="I334" s="650"/>
      <c r="J334" s="650"/>
      <c r="K334" s="650"/>
      <c r="L334" s="650"/>
      <c r="M334" s="650"/>
      <c r="N334" s="650"/>
      <c r="O334" s="650"/>
      <c r="P334" s="52"/>
      <c r="Q334" s="52"/>
    </row>
    <row r="335" spans="1:17">
      <c r="A335" s="52"/>
      <c r="B335" s="52"/>
      <c r="E335" s="51" t="s">
        <v>1526</v>
      </c>
      <c r="F335" s="51"/>
      <c r="G335" s="51"/>
      <c r="H335" s="51"/>
      <c r="I335" s="51"/>
      <c r="J335" s="51"/>
      <c r="K335" s="51"/>
      <c r="L335" s="51"/>
      <c r="M335" s="51"/>
      <c r="N335" s="51"/>
      <c r="O335" s="51"/>
      <c r="P335" s="276"/>
      <c r="Q335" s="11" t="s">
        <v>9479</v>
      </c>
    </row>
    <row r="336" spans="1:17">
      <c r="A336" s="52"/>
      <c r="B336" s="52"/>
      <c r="C336" s="52"/>
      <c r="D336" s="350">
        <v>2010</v>
      </c>
      <c r="E336" s="350">
        <v>2011</v>
      </c>
      <c r="F336" s="350">
        <v>2012</v>
      </c>
      <c r="G336" s="350">
        <v>2013</v>
      </c>
      <c r="H336" s="350">
        <v>2014</v>
      </c>
      <c r="I336" s="350">
        <v>2015</v>
      </c>
      <c r="J336" s="350">
        <v>2016</v>
      </c>
      <c r="K336" s="350">
        <v>2017</v>
      </c>
      <c r="L336" s="350">
        <v>2018</v>
      </c>
      <c r="M336" s="350">
        <v>2019</v>
      </c>
      <c r="N336" s="350">
        <v>2020</v>
      </c>
      <c r="O336" s="944" t="s">
        <v>14823</v>
      </c>
      <c r="P336" s="410"/>
      <c r="Q336" s="13" t="s">
        <v>1527</v>
      </c>
    </row>
    <row r="337" spans="1:17">
      <c r="A337" s="54" t="s">
        <v>1888</v>
      </c>
      <c r="C337" s="52"/>
      <c r="D337" s="642">
        <f>SUM(D338:D348)+SUM(D350:D355)</f>
        <v>75980</v>
      </c>
      <c r="E337" s="642">
        <f t="shared" ref="E337:K337" si="135">SUM(E338:E348)+SUM(E350:E355)</f>
        <v>76030</v>
      </c>
      <c r="F337" s="642">
        <f t="shared" si="135"/>
        <v>77317</v>
      </c>
      <c r="G337" s="642">
        <f t="shared" si="135"/>
        <v>78108</v>
      </c>
      <c r="H337" s="642">
        <f t="shared" si="135"/>
        <v>78269</v>
      </c>
      <c r="I337" s="642">
        <f t="shared" si="135"/>
        <v>75463</v>
      </c>
      <c r="J337" s="642">
        <f t="shared" si="135"/>
        <v>73296</v>
      </c>
      <c r="K337" s="642">
        <f t="shared" si="135"/>
        <v>75807</v>
      </c>
      <c r="L337" s="642">
        <f>SUM(L338:L348)+SUM(L350:L355)</f>
        <v>76108</v>
      </c>
      <c r="M337" s="642">
        <f>SUM(M338:M348)+SUM(M350:M355)</f>
        <v>75368</v>
      </c>
      <c r="N337" s="642">
        <f>SUM(N338:N348)+SUM(N350:N355)</f>
        <v>75459</v>
      </c>
      <c r="O337" s="642">
        <f>SUM(O338:O348)+SUM(O350:O355)</f>
        <v>79289</v>
      </c>
      <c r="P337" s="52"/>
      <c r="Q337" s="52"/>
    </row>
    <row r="338" spans="1:17">
      <c r="A338" s="649">
        <v>1</v>
      </c>
      <c r="B338" s="54" t="s">
        <v>11838</v>
      </c>
      <c r="C338" s="55" t="s">
        <v>11822</v>
      </c>
      <c r="D338" s="642">
        <v>71731</v>
      </c>
      <c r="E338" s="642">
        <v>71766</v>
      </c>
      <c r="F338" s="642">
        <v>73008</v>
      </c>
      <c r="G338" s="63">
        <v>73711</v>
      </c>
      <c r="H338" s="63">
        <v>73848</v>
      </c>
      <c r="I338" s="63">
        <v>71118</v>
      </c>
      <c r="J338" s="63">
        <v>69026</v>
      </c>
      <c r="K338" s="63">
        <v>4927</v>
      </c>
      <c r="L338" s="63">
        <v>4999</v>
      </c>
      <c r="M338" s="63">
        <v>4958</v>
      </c>
      <c r="N338" s="63">
        <v>4949</v>
      </c>
      <c r="O338" s="63">
        <v>5102</v>
      </c>
      <c r="P338" s="52"/>
      <c r="Q338" s="54" t="s">
        <v>5327</v>
      </c>
    </row>
    <row r="339" spans="1:17">
      <c r="A339" s="649">
        <v>2</v>
      </c>
      <c r="B339" s="54" t="s">
        <v>1889</v>
      </c>
      <c r="C339" s="55" t="s">
        <v>11823</v>
      </c>
      <c r="D339" s="642">
        <v>0</v>
      </c>
      <c r="E339" s="642">
        <v>0</v>
      </c>
      <c r="F339" s="642">
        <v>0</v>
      </c>
      <c r="G339" s="63">
        <v>0</v>
      </c>
      <c r="H339" s="63">
        <v>0</v>
      </c>
      <c r="I339" s="63">
        <v>0</v>
      </c>
      <c r="J339" s="63">
        <v>0</v>
      </c>
      <c r="K339" s="63">
        <v>4837</v>
      </c>
      <c r="L339" s="63">
        <v>4827</v>
      </c>
      <c r="M339" s="63">
        <v>4790</v>
      </c>
      <c r="N339" s="63">
        <v>4766</v>
      </c>
      <c r="O339" s="63">
        <v>4852</v>
      </c>
      <c r="P339" s="52"/>
      <c r="Q339" s="54" t="s">
        <v>5327</v>
      </c>
    </row>
    <row r="340" spans="1:17">
      <c r="A340" s="649">
        <v>3</v>
      </c>
      <c r="B340" s="54" t="s">
        <v>1890</v>
      </c>
      <c r="C340" s="55" t="s">
        <v>11824</v>
      </c>
      <c r="D340" s="642">
        <v>0</v>
      </c>
      <c r="E340" s="642">
        <v>0</v>
      </c>
      <c r="F340" s="642">
        <v>0</v>
      </c>
      <c r="G340" s="63">
        <v>0</v>
      </c>
      <c r="H340" s="63">
        <v>0</v>
      </c>
      <c r="I340" s="63">
        <v>0</v>
      </c>
      <c r="J340" s="63">
        <v>0</v>
      </c>
      <c r="K340" s="63">
        <v>5231</v>
      </c>
      <c r="L340" s="63">
        <v>5296</v>
      </c>
      <c r="M340" s="63">
        <v>5276</v>
      </c>
      <c r="N340" s="63">
        <v>5257</v>
      </c>
      <c r="O340" s="63">
        <v>5359</v>
      </c>
      <c r="P340" s="52"/>
      <c r="Q340" s="54" t="s">
        <v>5327</v>
      </c>
    </row>
    <row r="341" spans="1:17">
      <c r="A341" s="649">
        <v>4</v>
      </c>
      <c r="B341" s="54" t="s">
        <v>3272</v>
      </c>
      <c r="C341" s="55" t="s">
        <v>11825</v>
      </c>
      <c r="D341" s="642">
        <v>0</v>
      </c>
      <c r="E341" s="642">
        <v>0</v>
      </c>
      <c r="F341" s="642">
        <v>0</v>
      </c>
      <c r="G341" s="63">
        <v>0</v>
      </c>
      <c r="H341" s="63">
        <v>0</v>
      </c>
      <c r="I341" s="63">
        <v>0</v>
      </c>
      <c r="J341" s="63">
        <v>0</v>
      </c>
      <c r="K341" s="63">
        <v>4606</v>
      </c>
      <c r="L341" s="63">
        <v>4601</v>
      </c>
      <c r="M341" s="63">
        <v>4517</v>
      </c>
      <c r="N341" s="63">
        <v>4494</v>
      </c>
      <c r="O341" s="63">
        <v>4767</v>
      </c>
      <c r="P341" s="52"/>
      <c r="Q341" s="54" t="s">
        <v>5327</v>
      </c>
    </row>
    <row r="342" spans="1:17">
      <c r="A342" s="649">
        <v>5</v>
      </c>
      <c r="B342" s="54" t="s">
        <v>3273</v>
      </c>
      <c r="C342" s="55" t="s">
        <v>11826</v>
      </c>
      <c r="D342" s="642">
        <v>0</v>
      </c>
      <c r="E342" s="642">
        <v>0</v>
      </c>
      <c r="F342" s="642">
        <v>0</v>
      </c>
      <c r="G342" s="63">
        <v>0</v>
      </c>
      <c r="H342" s="63">
        <v>0</v>
      </c>
      <c r="I342" s="63">
        <v>0</v>
      </c>
      <c r="J342" s="63">
        <v>0</v>
      </c>
      <c r="K342" s="63">
        <v>4793</v>
      </c>
      <c r="L342" s="63">
        <v>4889</v>
      </c>
      <c r="M342" s="63">
        <v>4801</v>
      </c>
      <c r="N342" s="63">
        <v>4802</v>
      </c>
      <c r="O342" s="63">
        <v>5063</v>
      </c>
      <c r="P342" s="52"/>
      <c r="Q342" s="54" t="s">
        <v>5327</v>
      </c>
    </row>
    <row r="343" spans="1:17">
      <c r="A343" s="649">
        <v>6</v>
      </c>
      <c r="B343" s="54" t="s">
        <v>11839</v>
      </c>
      <c r="C343" s="55" t="s">
        <v>11827</v>
      </c>
      <c r="D343" s="642">
        <v>0</v>
      </c>
      <c r="E343" s="642">
        <v>0</v>
      </c>
      <c r="F343" s="642">
        <v>0</v>
      </c>
      <c r="G343" s="63">
        <v>0</v>
      </c>
      <c r="H343" s="63">
        <v>0</v>
      </c>
      <c r="I343" s="63">
        <v>0</v>
      </c>
      <c r="J343" s="63">
        <v>0</v>
      </c>
      <c r="K343" s="63">
        <v>4588</v>
      </c>
      <c r="L343" s="63">
        <v>4489</v>
      </c>
      <c r="M343" s="63">
        <v>4295</v>
      </c>
      <c r="N343" s="63">
        <v>4319</v>
      </c>
      <c r="O343" s="63">
        <v>5248</v>
      </c>
      <c r="P343" s="52"/>
      <c r="Q343" s="54" t="s">
        <v>5327</v>
      </c>
    </row>
    <row r="344" spans="1:17">
      <c r="A344" s="649">
        <v>7</v>
      </c>
      <c r="B344" s="54" t="s">
        <v>1891</v>
      </c>
      <c r="C344" s="55" t="s">
        <v>11828</v>
      </c>
      <c r="D344" s="642">
        <v>0</v>
      </c>
      <c r="E344" s="642">
        <v>0</v>
      </c>
      <c r="F344" s="642">
        <v>0</v>
      </c>
      <c r="G344" s="63">
        <v>0</v>
      </c>
      <c r="H344" s="63">
        <v>0</v>
      </c>
      <c r="I344" s="63">
        <v>0</v>
      </c>
      <c r="J344" s="63">
        <v>0</v>
      </c>
      <c r="K344" s="63">
        <v>4608</v>
      </c>
      <c r="L344" s="63">
        <v>4700</v>
      </c>
      <c r="M344" s="63">
        <v>4594</v>
      </c>
      <c r="N344" s="63">
        <v>4650</v>
      </c>
      <c r="O344" s="63">
        <v>5471</v>
      </c>
      <c r="P344" s="52"/>
      <c r="Q344" s="54" t="s">
        <v>5327</v>
      </c>
    </row>
    <row r="345" spans="1:17">
      <c r="A345" s="649">
        <v>8</v>
      </c>
      <c r="B345" s="54" t="s">
        <v>1892</v>
      </c>
      <c r="C345" s="55" t="s">
        <v>11829</v>
      </c>
      <c r="D345" s="642">
        <v>0</v>
      </c>
      <c r="E345" s="642">
        <v>0</v>
      </c>
      <c r="F345" s="642">
        <v>0</v>
      </c>
      <c r="G345" s="63">
        <v>0</v>
      </c>
      <c r="H345" s="63">
        <v>0</v>
      </c>
      <c r="I345" s="63">
        <v>0</v>
      </c>
      <c r="J345" s="63">
        <v>0</v>
      </c>
      <c r="K345" s="63">
        <v>4787</v>
      </c>
      <c r="L345" s="63">
        <v>4745</v>
      </c>
      <c r="M345" s="63">
        <v>4709</v>
      </c>
      <c r="N345" s="63">
        <v>4623</v>
      </c>
      <c r="O345" s="63">
        <v>4748</v>
      </c>
      <c r="P345" s="52"/>
      <c r="Q345" s="54" t="s">
        <v>5327</v>
      </c>
    </row>
    <row r="346" spans="1:17">
      <c r="A346" s="649">
        <v>9</v>
      </c>
      <c r="B346" s="54" t="s">
        <v>1893</v>
      </c>
      <c r="C346" s="55" t="s">
        <v>11830</v>
      </c>
      <c r="D346" s="642">
        <v>0</v>
      </c>
      <c r="E346" s="642">
        <v>0</v>
      </c>
      <c r="F346" s="642">
        <v>0</v>
      </c>
      <c r="G346" s="63">
        <v>0</v>
      </c>
      <c r="H346" s="63">
        <v>0</v>
      </c>
      <c r="I346" s="63">
        <v>0</v>
      </c>
      <c r="J346" s="63">
        <v>0</v>
      </c>
      <c r="K346" s="63">
        <v>4907</v>
      </c>
      <c r="L346" s="63">
        <v>4905</v>
      </c>
      <c r="M346" s="63">
        <v>4955</v>
      </c>
      <c r="N346" s="63">
        <v>5062</v>
      </c>
      <c r="O346" s="63">
        <v>5208</v>
      </c>
      <c r="P346" s="52"/>
      <c r="Q346" s="54" t="s">
        <v>5327</v>
      </c>
    </row>
    <row r="347" spans="1:17">
      <c r="A347" s="649">
        <v>10</v>
      </c>
      <c r="B347" s="54" t="s">
        <v>1894</v>
      </c>
      <c r="C347" s="55" t="s">
        <v>11831</v>
      </c>
      <c r="D347" s="642">
        <v>4249</v>
      </c>
      <c r="E347" s="642">
        <v>4264</v>
      </c>
      <c r="F347" s="642">
        <v>4309</v>
      </c>
      <c r="G347" s="642">
        <v>4397</v>
      </c>
      <c r="H347" s="63">
        <v>4421</v>
      </c>
      <c r="I347" s="63">
        <v>4345</v>
      </c>
      <c r="J347" s="63">
        <v>4270</v>
      </c>
      <c r="K347" s="63">
        <v>4357</v>
      </c>
      <c r="L347" s="63">
        <v>4376</v>
      </c>
      <c r="M347" s="63">
        <v>4322</v>
      </c>
      <c r="N347" s="63">
        <v>4254</v>
      </c>
      <c r="O347" s="63">
        <v>4387</v>
      </c>
      <c r="P347" s="52"/>
      <c r="Q347" s="54" t="s">
        <v>5334</v>
      </c>
    </row>
    <row r="348" spans="1:17" ht="15.75" thickBot="1">
      <c r="A348" s="649"/>
      <c r="B348" s="54"/>
      <c r="C348" s="55" t="s">
        <v>11831</v>
      </c>
      <c r="D348" s="642">
        <v>0</v>
      </c>
      <c r="E348" s="642">
        <v>0</v>
      </c>
      <c r="F348" s="642">
        <v>0</v>
      </c>
      <c r="G348" s="63">
        <v>0</v>
      </c>
      <c r="H348" s="63">
        <v>0</v>
      </c>
      <c r="I348" s="63">
        <v>0</v>
      </c>
      <c r="J348" s="63">
        <v>0</v>
      </c>
      <c r="K348" s="63">
        <v>357</v>
      </c>
      <c r="L348" s="63">
        <v>356</v>
      </c>
      <c r="M348" s="63">
        <v>347</v>
      </c>
      <c r="N348" s="63">
        <v>358</v>
      </c>
      <c r="O348" s="63">
        <v>367</v>
      </c>
      <c r="P348" s="52"/>
      <c r="Q348" s="54" t="s">
        <v>5327</v>
      </c>
    </row>
    <row r="349" spans="1:17" ht="15.75" thickBot="1">
      <c r="A349" s="649"/>
      <c r="B349" s="54"/>
      <c r="C349" s="55" t="s">
        <v>11831</v>
      </c>
      <c r="D349" s="654">
        <f>D347+D348</f>
        <v>4249</v>
      </c>
      <c r="E349" s="654">
        <f t="shared" ref="E349:L349" si="136">E347+E348</f>
        <v>4264</v>
      </c>
      <c r="F349" s="654">
        <f t="shared" si="136"/>
        <v>4309</v>
      </c>
      <c r="G349" s="654">
        <f t="shared" si="136"/>
        <v>4397</v>
      </c>
      <c r="H349" s="654">
        <f t="shared" si="136"/>
        <v>4421</v>
      </c>
      <c r="I349" s="654">
        <f t="shared" si="136"/>
        <v>4345</v>
      </c>
      <c r="J349" s="654">
        <f t="shared" si="136"/>
        <v>4270</v>
      </c>
      <c r="K349" s="654">
        <f t="shared" si="136"/>
        <v>4714</v>
      </c>
      <c r="L349" s="654">
        <f t="shared" si="136"/>
        <v>4732</v>
      </c>
      <c r="M349" s="654">
        <f>M347+M348</f>
        <v>4669</v>
      </c>
      <c r="N349" s="654">
        <f>N347+N348</f>
        <v>4612</v>
      </c>
      <c r="O349" s="654">
        <f>O347+O348</f>
        <v>4754</v>
      </c>
      <c r="P349" s="52"/>
      <c r="Q349" s="54"/>
    </row>
    <row r="350" spans="1:17">
      <c r="A350" s="649">
        <v>11</v>
      </c>
      <c r="B350" s="54" t="s">
        <v>1895</v>
      </c>
      <c r="C350" s="55" t="s">
        <v>11832</v>
      </c>
      <c r="D350" s="642">
        <v>0</v>
      </c>
      <c r="E350" s="642">
        <v>0</v>
      </c>
      <c r="F350" s="642">
        <v>0</v>
      </c>
      <c r="G350" s="63">
        <v>0</v>
      </c>
      <c r="H350" s="63">
        <v>0</v>
      </c>
      <c r="I350" s="63">
        <v>0</v>
      </c>
      <c r="J350" s="63">
        <v>0</v>
      </c>
      <c r="K350" s="63">
        <v>4351</v>
      </c>
      <c r="L350" s="63">
        <v>4340</v>
      </c>
      <c r="M350" s="63">
        <v>4272</v>
      </c>
      <c r="N350" s="63">
        <v>4304</v>
      </c>
      <c r="O350" s="63">
        <v>4388</v>
      </c>
      <c r="P350" s="52"/>
      <c r="Q350" s="54" t="s">
        <v>5327</v>
      </c>
    </row>
    <row r="351" spans="1:17">
      <c r="A351" s="649">
        <v>12</v>
      </c>
      <c r="B351" s="54" t="s">
        <v>5012</v>
      </c>
      <c r="C351" s="55" t="s">
        <v>11833</v>
      </c>
      <c r="D351" s="642">
        <v>0</v>
      </c>
      <c r="E351" s="642">
        <v>0</v>
      </c>
      <c r="F351" s="642">
        <v>0</v>
      </c>
      <c r="G351" s="63">
        <v>0</v>
      </c>
      <c r="H351" s="63">
        <v>0</v>
      </c>
      <c r="I351" s="63">
        <v>0</v>
      </c>
      <c r="J351" s="63">
        <v>0</v>
      </c>
      <c r="K351" s="63">
        <v>4352</v>
      </c>
      <c r="L351" s="63">
        <v>4367</v>
      </c>
      <c r="M351" s="63">
        <v>4462</v>
      </c>
      <c r="N351" s="63">
        <v>4565</v>
      </c>
      <c r="O351" s="63">
        <v>4768</v>
      </c>
      <c r="P351" s="52"/>
      <c r="Q351" s="54" t="s">
        <v>5327</v>
      </c>
    </row>
    <row r="352" spans="1:17">
      <c r="A352" s="649">
        <v>13</v>
      </c>
      <c r="B352" s="54" t="s">
        <v>1896</v>
      </c>
      <c r="C352" s="55" t="s">
        <v>11834</v>
      </c>
      <c r="D352" s="642">
        <v>0</v>
      </c>
      <c r="E352" s="642">
        <v>0</v>
      </c>
      <c r="F352" s="642">
        <v>0</v>
      </c>
      <c r="G352" s="63">
        <v>0</v>
      </c>
      <c r="H352" s="63">
        <v>0</v>
      </c>
      <c r="I352" s="63">
        <v>0</v>
      </c>
      <c r="J352" s="63">
        <v>0</v>
      </c>
      <c r="K352" s="63">
        <v>4389</v>
      </c>
      <c r="L352" s="63">
        <v>4413</v>
      </c>
      <c r="M352" s="63">
        <v>4378</v>
      </c>
      <c r="N352" s="63">
        <v>4361</v>
      </c>
      <c r="O352" s="63">
        <v>4434</v>
      </c>
      <c r="P352" s="52"/>
      <c r="Q352" s="54" t="s">
        <v>5327</v>
      </c>
    </row>
    <row r="353" spans="1:17">
      <c r="A353" s="649">
        <v>14</v>
      </c>
      <c r="B353" s="54" t="s">
        <v>11840</v>
      </c>
      <c r="C353" s="55" t="s">
        <v>11835</v>
      </c>
      <c r="D353" s="642">
        <v>0</v>
      </c>
      <c r="E353" s="642">
        <v>0</v>
      </c>
      <c r="F353" s="642">
        <v>0</v>
      </c>
      <c r="G353" s="63">
        <v>0</v>
      </c>
      <c r="H353" s="63">
        <v>0</v>
      </c>
      <c r="I353" s="63">
        <v>0</v>
      </c>
      <c r="J353" s="63">
        <v>0</v>
      </c>
      <c r="K353" s="63">
        <v>5007</v>
      </c>
      <c r="L353" s="63">
        <v>5010</v>
      </c>
      <c r="M353" s="63">
        <v>4903</v>
      </c>
      <c r="N353" s="63">
        <v>4870</v>
      </c>
      <c r="O353" s="63">
        <v>5125</v>
      </c>
      <c r="P353" s="52"/>
      <c r="Q353" s="54" t="s">
        <v>5327</v>
      </c>
    </row>
    <row r="354" spans="1:17">
      <c r="A354" s="649">
        <v>15</v>
      </c>
      <c r="B354" s="54" t="s">
        <v>1897</v>
      </c>
      <c r="C354" s="55" t="s">
        <v>11836</v>
      </c>
      <c r="D354" s="642">
        <v>0</v>
      </c>
      <c r="E354" s="642">
        <v>0</v>
      </c>
      <c r="F354" s="642">
        <v>0</v>
      </c>
      <c r="G354" s="63">
        <v>0</v>
      </c>
      <c r="H354" s="63">
        <v>0</v>
      </c>
      <c r="I354" s="63">
        <v>0</v>
      </c>
      <c r="J354" s="63">
        <v>0</v>
      </c>
      <c r="K354" s="63">
        <v>5036</v>
      </c>
      <c r="L354" s="63">
        <v>5024</v>
      </c>
      <c r="M354" s="63">
        <v>4961</v>
      </c>
      <c r="N354" s="63">
        <v>4988</v>
      </c>
      <c r="O354" s="63">
        <v>5069</v>
      </c>
      <c r="P354" s="52"/>
      <c r="Q354" s="54" t="s">
        <v>5327</v>
      </c>
    </row>
    <row r="355" spans="1:17">
      <c r="A355" s="649">
        <v>16</v>
      </c>
      <c r="B355" s="54" t="s">
        <v>1898</v>
      </c>
      <c r="C355" s="55" t="s">
        <v>11837</v>
      </c>
      <c r="D355" s="642">
        <v>0</v>
      </c>
      <c r="E355" s="642">
        <v>0</v>
      </c>
      <c r="F355" s="642">
        <v>0</v>
      </c>
      <c r="G355" s="63">
        <v>0</v>
      </c>
      <c r="H355" s="63">
        <v>0</v>
      </c>
      <c r="I355" s="63">
        <v>0</v>
      </c>
      <c r="J355" s="63">
        <v>0</v>
      </c>
      <c r="K355" s="63">
        <v>4674</v>
      </c>
      <c r="L355" s="63">
        <v>4771</v>
      </c>
      <c r="M355" s="63">
        <v>4828</v>
      </c>
      <c r="N355" s="63">
        <v>4837</v>
      </c>
      <c r="O355" s="63">
        <v>4933</v>
      </c>
      <c r="P355" s="52"/>
      <c r="Q355" s="54" t="s">
        <v>5327</v>
      </c>
    </row>
    <row r="356" spans="1:17">
      <c r="A356" s="52"/>
      <c r="B356" s="52"/>
      <c r="C356" s="52"/>
      <c r="D356" s="643"/>
      <c r="E356" s="643"/>
      <c r="F356" s="643"/>
      <c r="G356" s="643"/>
      <c r="H356" s="643"/>
      <c r="I356" s="643"/>
      <c r="J356" s="643"/>
      <c r="K356" s="643"/>
      <c r="L356" s="643"/>
      <c r="M356" s="643"/>
      <c r="N356" s="643"/>
      <c r="O356" s="643"/>
      <c r="P356" s="52"/>
      <c r="Q356" s="52"/>
    </row>
    <row r="357" spans="1:17">
      <c r="A357" s="54" t="s">
        <v>5350</v>
      </c>
      <c r="D357" s="642">
        <f t="shared" ref="D357:K357" si="137">D347</f>
        <v>4249</v>
      </c>
      <c r="E357" s="642">
        <f t="shared" si="137"/>
        <v>4264</v>
      </c>
      <c r="F357" s="642">
        <f t="shared" si="137"/>
        <v>4309</v>
      </c>
      <c r="G357" s="642">
        <f t="shared" si="137"/>
        <v>4397</v>
      </c>
      <c r="H357" s="642">
        <f t="shared" si="137"/>
        <v>4421</v>
      </c>
      <c r="I357" s="642">
        <f t="shared" si="137"/>
        <v>4345</v>
      </c>
      <c r="J357" s="642">
        <f t="shared" si="137"/>
        <v>4270</v>
      </c>
      <c r="K357" s="642">
        <f t="shared" si="137"/>
        <v>4357</v>
      </c>
      <c r="L357" s="642">
        <f>L347</f>
        <v>4376</v>
      </c>
      <c r="M357" s="642">
        <f>M347</f>
        <v>4322</v>
      </c>
      <c r="N357" s="642">
        <f>N347</f>
        <v>4254</v>
      </c>
      <c r="O357" s="642">
        <f>O347</f>
        <v>4387</v>
      </c>
      <c r="P357" s="52"/>
      <c r="Q357" s="52"/>
    </row>
    <row r="358" spans="1:17">
      <c r="A358" s="54" t="s">
        <v>9323</v>
      </c>
      <c r="C358" s="52"/>
      <c r="D358" s="642">
        <f>SUM(D338:D346)+D348+SUM(D350:D355)</f>
        <v>71731</v>
      </c>
      <c r="E358" s="642">
        <f t="shared" ref="E358:K358" si="138">SUM(E338:E346)+E348+SUM(E350:E355)</f>
        <v>71766</v>
      </c>
      <c r="F358" s="642">
        <f t="shared" si="138"/>
        <v>73008</v>
      </c>
      <c r="G358" s="642">
        <f t="shared" si="138"/>
        <v>73711</v>
      </c>
      <c r="H358" s="642">
        <f t="shared" si="138"/>
        <v>73848</v>
      </c>
      <c r="I358" s="642">
        <f t="shared" si="138"/>
        <v>71118</v>
      </c>
      <c r="J358" s="642">
        <f t="shared" si="138"/>
        <v>69026</v>
      </c>
      <c r="K358" s="642">
        <f t="shared" si="138"/>
        <v>71450</v>
      </c>
      <c r="L358" s="642">
        <f>SUM(L338:L346)+L348+SUM(L350:L355)</f>
        <v>71732</v>
      </c>
      <c r="M358" s="642">
        <f>SUM(M338:M346)+M348+SUM(M350:M355)</f>
        <v>71046</v>
      </c>
      <c r="N358" s="642">
        <f>SUM(N338:N346)+N348+SUM(N350:N355)</f>
        <v>71205</v>
      </c>
      <c r="O358" s="642">
        <f>SUM(O338:O346)+O348+SUM(O350:O355)</f>
        <v>74902</v>
      </c>
      <c r="P358" s="52"/>
      <c r="Q358" s="52"/>
    </row>
    <row r="359" spans="1:17">
      <c r="A359" s="54"/>
      <c r="B359" s="54"/>
      <c r="C359" s="52"/>
      <c r="D359" s="650"/>
      <c r="E359" s="650"/>
      <c r="F359" s="650"/>
      <c r="G359" s="650"/>
      <c r="H359" s="650"/>
      <c r="I359" s="650"/>
      <c r="J359" s="650"/>
      <c r="K359" s="650"/>
      <c r="L359" s="650"/>
      <c r="M359" s="52"/>
      <c r="N359" s="52"/>
      <c r="O359" s="52"/>
      <c r="P359" s="52"/>
      <c r="Q359" s="52"/>
    </row>
    <row r="360" spans="1:17">
      <c r="A360" s="53" t="s">
        <v>11821</v>
      </c>
      <c r="C360" s="52"/>
      <c r="D360" s="650"/>
      <c r="E360" s="650"/>
      <c r="F360" s="650"/>
      <c r="G360" s="650"/>
      <c r="H360" s="650"/>
      <c r="I360" s="650"/>
      <c r="J360" s="650"/>
      <c r="K360" s="650"/>
      <c r="L360" s="650"/>
      <c r="M360" s="52"/>
      <c r="N360" s="52"/>
      <c r="O360" s="52"/>
      <c r="P360" s="52"/>
      <c r="Q360" s="52"/>
    </row>
    <row r="361" spans="1:17">
      <c r="B361" s="52"/>
      <c r="C361" s="52"/>
      <c r="D361" s="52"/>
      <c r="E361" s="52"/>
      <c r="F361" s="52"/>
      <c r="G361" s="52"/>
      <c r="H361" s="52"/>
      <c r="I361" s="52"/>
      <c r="J361" s="52"/>
      <c r="K361" s="52"/>
      <c r="L361" s="52"/>
      <c r="M361" s="52"/>
      <c r="N361" s="52"/>
      <c r="O361" s="52"/>
      <c r="P361" s="52"/>
      <c r="Q361" s="52"/>
    </row>
    <row r="362" spans="1:17">
      <c r="A362" s="52"/>
      <c r="B362" s="52"/>
      <c r="C362" s="52"/>
      <c r="D362" s="52"/>
      <c r="E362" s="52"/>
      <c r="F362" s="52"/>
      <c r="G362" s="52"/>
      <c r="H362" s="52"/>
      <c r="I362" s="52"/>
      <c r="J362" s="52"/>
      <c r="K362" s="52"/>
      <c r="L362" s="52"/>
      <c r="M362" s="52"/>
      <c r="N362" s="52"/>
      <c r="O362" s="52"/>
      <c r="P362" s="52"/>
      <c r="Q362" s="52"/>
    </row>
    <row r="363" spans="1:17">
      <c r="A363" s="52"/>
      <c r="B363" s="52"/>
      <c r="C363" s="52"/>
      <c r="D363" s="52"/>
      <c r="E363" s="52"/>
      <c r="F363" s="52"/>
      <c r="G363" s="52"/>
      <c r="H363" s="52"/>
      <c r="I363" s="52"/>
      <c r="J363" s="52"/>
      <c r="K363" s="52"/>
      <c r="L363" s="52"/>
      <c r="M363" s="52"/>
      <c r="N363" s="52"/>
      <c r="O363" s="52"/>
      <c r="P363" s="52"/>
      <c r="Q363" s="52"/>
    </row>
    <row r="364" spans="1:17">
      <c r="A364" s="52"/>
      <c r="B364" s="52"/>
      <c r="D364" s="52"/>
      <c r="E364" s="52"/>
      <c r="F364" s="52"/>
      <c r="G364" s="52"/>
      <c r="H364" s="52"/>
      <c r="I364" s="52"/>
      <c r="J364" s="52"/>
      <c r="K364" s="52"/>
      <c r="L364" s="52"/>
      <c r="M364" s="52"/>
      <c r="N364" s="52"/>
      <c r="O364" s="52"/>
      <c r="P364" s="52"/>
      <c r="Q364" s="52"/>
    </row>
    <row r="365" spans="1:17">
      <c r="A365" s="52"/>
      <c r="B365" s="52"/>
      <c r="D365" s="52"/>
      <c r="E365" s="52"/>
      <c r="F365" s="52"/>
      <c r="G365" s="52"/>
      <c r="H365" s="52"/>
      <c r="I365" s="52"/>
      <c r="J365" s="52"/>
      <c r="K365" s="52"/>
      <c r="L365" s="52"/>
      <c r="M365" s="52"/>
      <c r="N365" s="52"/>
      <c r="O365" s="52"/>
      <c r="P365" s="52"/>
      <c r="Q365" s="52"/>
    </row>
    <row r="366" spans="1:17">
      <c r="A366" s="52"/>
      <c r="B366" s="52"/>
      <c r="D366" s="52"/>
      <c r="E366" s="52"/>
      <c r="F366" s="52"/>
      <c r="G366" s="52"/>
      <c r="H366" s="52"/>
      <c r="I366" s="52"/>
      <c r="J366" s="52"/>
      <c r="K366" s="52"/>
      <c r="L366" s="52"/>
      <c r="M366" s="52"/>
      <c r="N366" s="52"/>
      <c r="O366" s="52"/>
      <c r="P366" s="52"/>
      <c r="Q366" s="52"/>
    </row>
  </sheetData>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rowBreaks count="1" manualBreakCount="1">
    <brk id="118" max="10" man="1"/>
  </rowBreaks>
  <ignoredErrors>
    <ignoredError sqref="D79:K79 D67:K67 D188:K188 D316:K316 D330:K330 D121:K121 D86:K86 D229:K229 D223:K223 D55:F62 D3:G35 D36:F53 G36:G62 D265:K265 D276:K276 D258:K258 D287:H287 D297:H297 D302:H302 H3:K62 D290:H290 D284:K284 I287:I306 J287:K287 J290:K290 J297:K297 J302:K302 D357:K358 D349:K349 D337:K337 D113:K114 D247:K249 D153:K155 D214:K216 D308:K309 L180 L221:L358 L3:L162 L182:L217" unlockedFormula="1"/>
    <ignoredError sqref="D307 E307:K307" formulaRange="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dimension ref="A1:Q55"/>
  <sheetViews>
    <sheetView showGridLines="0" topLeftCell="A31" zoomScale="90" zoomScaleNormal="90" workbookViewId="0">
      <selection activeCell="A54" sqref="A54:A55"/>
    </sheetView>
  </sheetViews>
  <sheetFormatPr defaultColWidth="12.5703125" defaultRowHeight="15"/>
  <cols>
    <col min="1" max="1" width="4.85546875" style="174" customWidth="1"/>
    <col min="2" max="2" width="35.7109375" style="174" customWidth="1"/>
    <col min="3" max="3" width="11.7109375" style="174" customWidth="1"/>
    <col min="4" max="15" width="10" style="174" customWidth="1"/>
    <col min="16" max="16" width="2.28515625" style="174" customWidth="1"/>
    <col min="17" max="17" width="30.7109375" style="174" customWidth="1"/>
    <col min="18" max="16384" width="12.5703125" style="174"/>
  </cols>
  <sheetData>
    <row r="1" spans="1:17">
      <c r="A1" s="904" t="s">
        <v>5719</v>
      </c>
      <c r="D1" s="398">
        <v>2010</v>
      </c>
      <c r="E1" s="398">
        <v>2011</v>
      </c>
      <c r="F1" s="398">
        <v>2012</v>
      </c>
      <c r="G1" s="398">
        <v>2013</v>
      </c>
      <c r="H1" s="398">
        <v>2014</v>
      </c>
      <c r="I1" s="398">
        <v>2015</v>
      </c>
      <c r="J1" s="398">
        <v>2016</v>
      </c>
      <c r="K1" s="398">
        <v>2017</v>
      </c>
      <c r="L1" s="398">
        <v>2018</v>
      </c>
      <c r="M1" s="398">
        <v>2019</v>
      </c>
      <c r="N1" s="398">
        <v>2020</v>
      </c>
      <c r="O1" s="943" t="s">
        <v>14823</v>
      </c>
    </row>
    <row r="3" spans="1:17">
      <c r="A3" s="904" t="s">
        <v>5381</v>
      </c>
      <c r="D3" s="905">
        <f t="shared" ref="D3:N3" si="0">SUM(D19:D32,D34:D41,D43:D48)</f>
        <v>215959</v>
      </c>
      <c r="E3" s="905">
        <f t="shared" si="0"/>
        <v>222379</v>
      </c>
      <c r="F3" s="905">
        <f t="shared" si="0"/>
        <v>222133</v>
      </c>
      <c r="G3" s="905">
        <f t="shared" si="0"/>
        <v>222777</v>
      </c>
      <c r="H3" s="905">
        <f t="shared" si="0"/>
        <v>211579</v>
      </c>
      <c r="I3" s="905">
        <f t="shared" si="0"/>
        <v>215372</v>
      </c>
      <c r="J3" s="905">
        <f t="shared" si="0"/>
        <v>208613</v>
      </c>
      <c r="K3" s="905">
        <f t="shared" si="0"/>
        <v>216673</v>
      </c>
      <c r="L3" s="905">
        <f t="shared" si="0"/>
        <v>231435</v>
      </c>
      <c r="M3" s="905">
        <f t="shared" si="0"/>
        <v>227555</v>
      </c>
      <c r="N3" s="905">
        <f t="shared" si="0"/>
        <v>228704</v>
      </c>
      <c r="O3" s="905">
        <f>SUM(O19:O32,O34:O41,O43:O48)</f>
        <v>235008</v>
      </c>
    </row>
    <row r="5" spans="1:17">
      <c r="A5" s="904" t="s">
        <v>5382</v>
      </c>
      <c r="D5" s="905">
        <f t="shared" ref="D5:N5" si="1">D3/3</f>
        <v>71986.333333333328</v>
      </c>
      <c r="E5" s="905">
        <f t="shared" si="1"/>
        <v>74126.333333333328</v>
      </c>
      <c r="F5" s="905">
        <f t="shared" si="1"/>
        <v>74044.333333333328</v>
      </c>
      <c r="G5" s="905">
        <f t="shared" si="1"/>
        <v>74259</v>
      </c>
      <c r="H5" s="905">
        <f t="shared" si="1"/>
        <v>70526.333333333328</v>
      </c>
      <c r="I5" s="905">
        <f t="shared" si="1"/>
        <v>71790.666666666672</v>
      </c>
      <c r="J5" s="905">
        <f t="shared" si="1"/>
        <v>69537.666666666672</v>
      </c>
      <c r="K5" s="905">
        <f t="shared" si="1"/>
        <v>72224.333333333328</v>
      </c>
      <c r="L5" s="905">
        <f t="shared" si="1"/>
        <v>77145</v>
      </c>
      <c r="M5" s="905">
        <f t="shared" si="1"/>
        <v>75851.666666666672</v>
      </c>
      <c r="N5" s="905">
        <f t="shared" si="1"/>
        <v>76234.666666666672</v>
      </c>
      <c r="O5" s="905">
        <f t="shared" ref="O5" si="2">O3/3</f>
        <v>78336</v>
      </c>
    </row>
    <row r="6" spans="1:17">
      <c r="D6" s="906"/>
      <c r="E6" s="906"/>
      <c r="F6" s="906"/>
      <c r="G6" s="906"/>
      <c r="H6" s="906"/>
      <c r="I6" s="906"/>
      <c r="J6" s="906"/>
      <c r="K6" s="906"/>
      <c r="L6" s="906"/>
      <c r="M6" s="906"/>
      <c r="N6" s="906"/>
      <c r="O6" s="906"/>
    </row>
    <row r="7" spans="1:17">
      <c r="A7" s="904" t="s">
        <v>5383</v>
      </c>
      <c r="D7" s="905">
        <f t="shared" ref="D7:N7" si="3">SUM(D19:D20,D26,D31,D37,D39,D43,D46:D47)</f>
        <v>73995</v>
      </c>
      <c r="E7" s="905">
        <f t="shared" si="3"/>
        <v>76455</v>
      </c>
      <c r="F7" s="905">
        <f t="shared" si="3"/>
        <v>76697</v>
      </c>
      <c r="G7" s="905">
        <f t="shared" si="3"/>
        <v>77375</v>
      </c>
      <c r="H7" s="905">
        <f t="shared" si="3"/>
        <v>74260</v>
      </c>
      <c r="I7" s="905">
        <f t="shared" si="3"/>
        <v>75124</v>
      </c>
      <c r="J7" s="905">
        <f t="shared" si="3"/>
        <v>72480</v>
      </c>
      <c r="K7" s="905">
        <f t="shared" si="3"/>
        <v>74356</v>
      </c>
      <c r="L7" s="905">
        <f t="shared" si="3"/>
        <v>78295</v>
      </c>
      <c r="M7" s="905">
        <f t="shared" si="3"/>
        <v>77041</v>
      </c>
      <c r="N7" s="905">
        <f t="shared" si="3"/>
        <v>77095</v>
      </c>
      <c r="O7" s="905">
        <f>SUM(O19:O20,O26,O31,O37,O39,O43,O46:O47)</f>
        <v>78388</v>
      </c>
      <c r="Q7" s="904" t="s">
        <v>5384</v>
      </c>
    </row>
    <row r="8" spans="1:17">
      <c r="D8" s="906"/>
      <c r="E8" s="906"/>
      <c r="F8" s="906"/>
      <c r="G8" s="906"/>
      <c r="H8" s="906"/>
      <c r="I8" s="906"/>
      <c r="J8" s="906"/>
      <c r="K8" s="906"/>
      <c r="L8" s="906"/>
      <c r="M8" s="906"/>
      <c r="N8" s="906"/>
      <c r="O8" s="906"/>
    </row>
    <row r="9" spans="1:17">
      <c r="A9" s="904" t="s">
        <v>5385</v>
      </c>
      <c r="D9" s="905">
        <f t="shared" ref="D9:N9" si="4">SUM(D22,D25,D27,D30,D32,D34,D35,D40,D44,D48)</f>
        <v>69862</v>
      </c>
      <c r="E9" s="905">
        <f t="shared" si="4"/>
        <v>71595</v>
      </c>
      <c r="F9" s="905">
        <f t="shared" si="4"/>
        <v>70918</v>
      </c>
      <c r="G9" s="905">
        <f t="shared" si="4"/>
        <v>70821</v>
      </c>
      <c r="H9" s="905">
        <f t="shared" si="4"/>
        <v>67340</v>
      </c>
      <c r="I9" s="905">
        <f t="shared" si="4"/>
        <v>68554</v>
      </c>
      <c r="J9" s="905">
        <f t="shared" si="4"/>
        <v>66631</v>
      </c>
      <c r="K9" s="905">
        <f t="shared" si="4"/>
        <v>69535</v>
      </c>
      <c r="L9" s="905">
        <f t="shared" si="4"/>
        <v>74821</v>
      </c>
      <c r="M9" s="905">
        <f t="shared" si="4"/>
        <v>73033</v>
      </c>
      <c r="N9" s="905">
        <f t="shared" si="4"/>
        <v>73533</v>
      </c>
      <c r="O9" s="905">
        <f>SUM(O22,O25,O27,O30,O32,O34,O35,O40,O44,O48)</f>
        <v>75594</v>
      </c>
      <c r="Q9" s="904" t="s">
        <v>5384</v>
      </c>
    </row>
    <row r="10" spans="1:17">
      <c r="D10" s="906"/>
      <c r="E10" s="906"/>
      <c r="F10" s="906"/>
      <c r="G10" s="906"/>
      <c r="H10" s="906"/>
      <c r="I10" s="906"/>
      <c r="J10" s="906"/>
      <c r="K10" s="906"/>
      <c r="L10" s="906"/>
      <c r="M10" s="906"/>
      <c r="N10" s="906"/>
      <c r="O10" s="906"/>
    </row>
    <row r="11" spans="1:17">
      <c r="A11" s="904" t="s">
        <v>5386</v>
      </c>
      <c r="D11" s="905">
        <f t="shared" ref="D11:N11" si="5">SUM(D21,D23:D24,D28:D29,D36,D38,D41,D45)</f>
        <v>72102</v>
      </c>
      <c r="E11" s="905">
        <f t="shared" si="5"/>
        <v>74329</v>
      </c>
      <c r="F11" s="905">
        <f t="shared" si="5"/>
        <v>74518</v>
      </c>
      <c r="G11" s="905">
        <f t="shared" si="5"/>
        <v>74581</v>
      </c>
      <c r="H11" s="905">
        <f t="shared" si="5"/>
        <v>69979</v>
      </c>
      <c r="I11" s="905">
        <f t="shared" si="5"/>
        <v>71694</v>
      </c>
      <c r="J11" s="905">
        <f t="shared" si="5"/>
        <v>69502</v>
      </c>
      <c r="K11" s="905">
        <f t="shared" si="5"/>
        <v>72782</v>
      </c>
      <c r="L11" s="905">
        <f t="shared" si="5"/>
        <v>78319</v>
      </c>
      <c r="M11" s="905">
        <f t="shared" si="5"/>
        <v>77481</v>
      </c>
      <c r="N11" s="905">
        <f t="shared" si="5"/>
        <v>78076</v>
      </c>
      <c r="O11" s="905">
        <f>SUM(O21,O23:O24,O28:O29,O36,O38,O41,O45)</f>
        <v>81026</v>
      </c>
      <c r="Q11" s="904" t="s">
        <v>5384</v>
      </c>
    </row>
    <row r="12" spans="1:17">
      <c r="D12" s="906"/>
      <c r="E12" s="906"/>
      <c r="F12" s="906"/>
      <c r="G12" s="906"/>
      <c r="H12" s="906"/>
      <c r="I12" s="906"/>
      <c r="J12" s="906"/>
      <c r="K12" s="906"/>
      <c r="L12" s="906"/>
      <c r="M12" s="906"/>
      <c r="N12" s="906"/>
      <c r="O12" s="906"/>
    </row>
    <row r="13" spans="1:17">
      <c r="A13" s="904" t="s">
        <v>6796</v>
      </c>
      <c r="D13" s="905">
        <f t="shared" ref="D13:I13" si="6">D7+D9+D11</f>
        <v>215959</v>
      </c>
      <c r="E13" s="905">
        <f t="shared" si="6"/>
        <v>222379</v>
      </c>
      <c r="F13" s="905">
        <f t="shared" si="6"/>
        <v>222133</v>
      </c>
      <c r="G13" s="905">
        <f t="shared" si="6"/>
        <v>222777</v>
      </c>
      <c r="H13" s="905">
        <f t="shared" si="6"/>
        <v>211579</v>
      </c>
      <c r="I13" s="905">
        <f t="shared" si="6"/>
        <v>215372</v>
      </c>
      <c r="J13" s="905">
        <f t="shared" ref="J13:O13" si="7">J7+J9+J11</f>
        <v>208613</v>
      </c>
      <c r="K13" s="905">
        <f t="shared" si="7"/>
        <v>216673</v>
      </c>
      <c r="L13" s="905">
        <f t="shared" si="7"/>
        <v>231435</v>
      </c>
      <c r="M13" s="905">
        <f t="shared" si="7"/>
        <v>227555</v>
      </c>
      <c r="N13" s="905">
        <f t="shared" si="7"/>
        <v>228704</v>
      </c>
      <c r="O13" s="905">
        <f t="shared" si="7"/>
        <v>235008</v>
      </c>
    </row>
    <row r="14" spans="1:17">
      <c r="D14" s="906"/>
      <c r="E14" s="906"/>
      <c r="F14" s="906"/>
      <c r="G14" s="906"/>
      <c r="H14" s="906"/>
      <c r="I14" s="906"/>
      <c r="J14" s="906"/>
      <c r="K14" s="906"/>
      <c r="L14" s="906"/>
      <c r="M14" s="906"/>
      <c r="N14" s="906"/>
      <c r="O14" s="906"/>
    </row>
    <row r="15" spans="1:17">
      <c r="A15" s="904" t="s">
        <v>6797</v>
      </c>
      <c r="D15" s="905">
        <f t="shared" ref="D15:I15" si="8">MAX(D7,D9,D11)-MIN(D7,D9,D11)</f>
        <v>4133</v>
      </c>
      <c r="E15" s="905">
        <f t="shared" si="8"/>
        <v>4860</v>
      </c>
      <c r="F15" s="905">
        <f t="shared" si="8"/>
        <v>5779</v>
      </c>
      <c r="G15" s="905">
        <f t="shared" si="8"/>
        <v>6554</v>
      </c>
      <c r="H15" s="905">
        <f t="shared" si="8"/>
        <v>6920</v>
      </c>
      <c r="I15" s="905">
        <f t="shared" si="8"/>
        <v>6570</v>
      </c>
      <c r="J15" s="905">
        <f t="shared" ref="J15:O15" si="9">MAX(J7,J9,J11)-MIN(J7,J9,J11)</f>
        <v>5849</v>
      </c>
      <c r="K15" s="905">
        <f t="shared" si="9"/>
        <v>4821</v>
      </c>
      <c r="L15" s="905">
        <f t="shared" si="9"/>
        <v>3498</v>
      </c>
      <c r="M15" s="905">
        <f t="shared" si="9"/>
        <v>4448</v>
      </c>
      <c r="N15" s="905">
        <f t="shared" si="9"/>
        <v>4543</v>
      </c>
      <c r="O15" s="905">
        <f t="shared" si="9"/>
        <v>5432</v>
      </c>
    </row>
    <row r="16" spans="1:17">
      <c r="D16" s="906"/>
      <c r="E16" s="906"/>
      <c r="F16" s="906"/>
      <c r="G16" s="906"/>
      <c r="H16" s="906"/>
      <c r="I16" s="906"/>
      <c r="J16" s="906"/>
      <c r="K16" s="906"/>
      <c r="L16" s="906"/>
      <c r="M16" s="906"/>
      <c r="N16" s="906"/>
      <c r="O16" s="906"/>
    </row>
    <row r="17" spans="1:17">
      <c r="A17" s="904" t="s">
        <v>6800</v>
      </c>
      <c r="D17" s="905">
        <f t="shared" ref="D17:I17" si="10">STDEVP(D7,D9,D11)</f>
        <v>1689.2713090429127</v>
      </c>
      <c r="E17" s="905">
        <f t="shared" si="10"/>
        <v>1989.2553604022007</v>
      </c>
      <c r="F17" s="905">
        <f t="shared" si="10"/>
        <v>2382.9226219544398</v>
      </c>
      <c r="G17" s="905">
        <f t="shared" si="10"/>
        <v>2685.3295266441078</v>
      </c>
      <c r="H17" s="905">
        <f t="shared" si="10"/>
        <v>2851.4651594497091</v>
      </c>
      <c r="I17" s="905">
        <f t="shared" si="10"/>
        <v>2683.0620980928156</v>
      </c>
      <c r="J17" s="905">
        <f t="shared" ref="J17:O17" si="11">STDEVP(J7,J9,J11)</f>
        <v>2387.9774333569871</v>
      </c>
      <c r="K17" s="905">
        <f t="shared" si="11"/>
        <v>2007.2791424103314</v>
      </c>
      <c r="L17" s="905">
        <f t="shared" si="11"/>
        <v>1643.3453684481542</v>
      </c>
      <c r="M17" s="905">
        <f t="shared" si="11"/>
        <v>2001.1765428256338</v>
      </c>
      <c r="N17" s="905">
        <f t="shared" si="11"/>
        <v>1951.8952043818565</v>
      </c>
      <c r="O17" s="905">
        <f t="shared" si="11"/>
        <v>2217.9095262581536</v>
      </c>
    </row>
    <row r="18" spans="1:17">
      <c r="D18" s="906"/>
      <c r="E18" s="906"/>
      <c r="F18" s="906"/>
      <c r="G18" s="906"/>
      <c r="H18" s="906"/>
      <c r="I18" s="906"/>
      <c r="J18" s="906"/>
      <c r="K18" s="906"/>
      <c r="L18" s="906"/>
    </row>
    <row r="19" spans="1:17">
      <c r="A19" s="904" t="s">
        <v>5387</v>
      </c>
      <c r="B19" s="904" t="s">
        <v>15856</v>
      </c>
      <c r="C19" s="55" t="s">
        <v>15857</v>
      </c>
      <c r="D19" s="907">
        <v>73995</v>
      </c>
      <c r="E19" s="907">
        <v>76455</v>
      </c>
      <c r="F19" s="907">
        <v>76697</v>
      </c>
      <c r="G19" s="907">
        <v>77375</v>
      </c>
      <c r="H19" s="907">
        <v>74260</v>
      </c>
      <c r="I19" s="907">
        <v>75124</v>
      </c>
      <c r="J19" s="907">
        <v>72480</v>
      </c>
      <c r="K19" s="907">
        <v>74356</v>
      </c>
      <c r="L19" s="907">
        <v>78295</v>
      </c>
      <c r="M19" s="907">
        <v>77041</v>
      </c>
      <c r="N19" s="907">
        <v>77095</v>
      </c>
      <c r="O19" s="56">
        <v>11578</v>
      </c>
      <c r="Q19" s="904" t="s">
        <v>5383</v>
      </c>
    </row>
    <row r="20" spans="1:17">
      <c r="A20" s="904" t="s">
        <v>5389</v>
      </c>
      <c r="B20" s="904" t="s">
        <v>5388</v>
      </c>
      <c r="C20" s="55" t="s">
        <v>15858</v>
      </c>
      <c r="D20" s="907">
        <v>0</v>
      </c>
      <c r="E20" s="907">
        <v>0</v>
      </c>
      <c r="F20" s="907">
        <v>0</v>
      </c>
      <c r="G20" s="907">
        <v>0</v>
      </c>
      <c r="H20" s="907">
        <v>0</v>
      </c>
      <c r="I20" s="907">
        <v>0</v>
      </c>
      <c r="J20" s="907">
        <v>0</v>
      </c>
      <c r="K20" s="907">
        <v>0</v>
      </c>
      <c r="L20" s="907">
        <v>0</v>
      </c>
      <c r="M20" s="907">
        <v>0</v>
      </c>
      <c r="N20" s="907">
        <v>0</v>
      </c>
      <c r="O20" s="56">
        <v>11029</v>
      </c>
      <c r="Q20" s="904" t="s">
        <v>5383</v>
      </c>
    </row>
    <row r="21" spans="1:17">
      <c r="A21" s="904" t="s">
        <v>5391</v>
      </c>
      <c r="B21" s="904" t="s">
        <v>5390</v>
      </c>
      <c r="C21" s="55" t="s">
        <v>15859</v>
      </c>
      <c r="D21" s="907">
        <v>72102</v>
      </c>
      <c r="E21" s="907">
        <v>74329</v>
      </c>
      <c r="F21" s="907">
        <v>74518</v>
      </c>
      <c r="G21" s="907">
        <v>74581</v>
      </c>
      <c r="H21" s="907">
        <v>69979</v>
      </c>
      <c r="I21" s="907">
        <v>71694</v>
      </c>
      <c r="J21" s="907">
        <v>69502</v>
      </c>
      <c r="K21" s="907">
        <v>72782</v>
      </c>
      <c r="L21" s="907">
        <v>78319</v>
      </c>
      <c r="M21" s="907">
        <v>77481</v>
      </c>
      <c r="N21" s="907">
        <v>78076</v>
      </c>
      <c r="O21" s="56">
        <v>11424</v>
      </c>
      <c r="Q21" s="174" t="s">
        <v>5386</v>
      </c>
    </row>
    <row r="22" spans="1:17">
      <c r="A22" s="904" t="s">
        <v>5393</v>
      </c>
      <c r="B22" s="904" t="s">
        <v>5392</v>
      </c>
      <c r="C22" s="55" t="s">
        <v>15860</v>
      </c>
      <c r="D22" s="907">
        <v>69862</v>
      </c>
      <c r="E22" s="907">
        <v>71595</v>
      </c>
      <c r="F22" s="907">
        <v>70918</v>
      </c>
      <c r="G22" s="907">
        <v>70821</v>
      </c>
      <c r="H22" s="907">
        <v>67340</v>
      </c>
      <c r="I22" s="907">
        <v>68554</v>
      </c>
      <c r="J22" s="907">
        <v>66631</v>
      </c>
      <c r="K22" s="907">
        <v>69535</v>
      </c>
      <c r="L22" s="907">
        <v>74821</v>
      </c>
      <c r="M22" s="907">
        <v>73033</v>
      </c>
      <c r="N22" s="907">
        <v>73533</v>
      </c>
      <c r="O22" s="56">
        <v>11014</v>
      </c>
      <c r="Q22" s="174" t="s">
        <v>5385</v>
      </c>
    </row>
    <row r="23" spans="1:17">
      <c r="A23" s="904" t="s">
        <v>5394</v>
      </c>
      <c r="B23" s="904" t="s">
        <v>15861</v>
      </c>
      <c r="C23" s="55" t="s">
        <v>15862</v>
      </c>
      <c r="D23" s="907">
        <v>0</v>
      </c>
      <c r="E23" s="907">
        <v>0</v>
      </c>
      <c r="F23" s="907">
        <v>0</v>
      </c>
      <c r="G23" s="907">
        <v>0</v>
      </c>
      <c r="H23" s="907">
        <v>0</v>
      </c>
      <c r="I23" s="907">
        <v>0</v>
      </c>
      <c r="J23" s="907">
        <v>0</v>
      </c>
      <c r="K23" s="907">
        <v>0</v>
      </c>
      <c r="L23" s="907">
        <v>0</v>
      </c>
      <c r="M23" s="907">
        <v>0</v>
      </c>
      <c r="N23" s="907">
        <v>0</v>
      </c>
      <c r="O23" s="56">
        <v>6254</v>
      </c>
      <c r="Q23" s="174" t="s">
        <v>5386</v>
      </c>
    </row>
    <row r="24" spans="1:17">
      <c r="A24" s="904" t="s">
        <v>5416</v>
      </c>
      <c r="B24" s="904" t="s">
        <v>15863</v>
      </c>
      <c r="C24" s="55" t="s">
        <v>15864</v>
      </c>
      <c r="D24" s="907">
        <v>0</v>
      </c>
      <c r="E24" s="907">
        <v>0</v>
      </c>
      <c r="F24" s="907">
        <v>0</v>
      </c>
      <c r="G24" s="907">
        <v>0</v>
      </c>
      <c r="H24" s="907">
        <v>0</v>
      </c>
      <c r="I24" s="907">
        <v>0</v>
      </c>
      <c r="J24" s="907">
        <v>0</v>
      </c>
      <c r="K24" s="907">
        <v>0</v>
      </c>
      <c r="L24" s="907">
        <v>0</v>
      </c>
      <c r="M24" s="907">
        <v>0</v>
      </c>
      <c r="N24" s="907">
        <v>0</v>
      </c>
      <c r="O24" s="56">
        <v>8814</v>
      </c>
      <c r="Q24" s="174" t="s">
        <v>5386</v>
      </c>
    </row>
    <row r="25" spans="1:17">
      <c r="A25" s="904" t="s">
        <v>5418</v>
      </c>
      <c r="B25" s="904" t="s">
        <v>15865</v>
      </c>
      <c r="C25" s="55" t="s">
        <v>15866</v>
      </c>
      <c r="D25" s="907">
        <v>0</v>
      </c>
      <c r="E25" s="907">
        <v>0</v>
      </c>
      <c r="F25" s="907">
        <v>0</v>
      </c>
      <c r="G25" s="907">
        <v>0</v>
      </c>
      <c r="H25" s="907">
        <v>0</v>
      </c>
      <c r="I25" s="907">
        <v>0</v>
      </c>
      <c r="J25" s="907">
        <v>0</v>
      </c>
      <c r="K25" s="907">
        <v>0</v>
      </c>
      <c r="L25" s="907">
        <v>0</v>
      </c>
      <c r="M25" s="907">
        <v>0</v>
      </c>
      <c r="N25" s="907">
        <v>0</v>
      </c>
      <c r="O25" s="56">
        <v>5177</v>
      </c>
      <c r="Q25" s="174" t="s">
        <v>5385</v>
      </c>
    </row>
    <row r="26" spans="1:17">
      <c r="A26" s="904" t="s">
        <v>5420</v>
      </c>
      <c r="B26" s="904" t="s">
        <v>5417</v>
      </c>
      <c r="C26" s="55" t="s">
        <v>15867</v>
      </c>
      <c r="D26" s="907">
        <v>0</v>
      </c>
      <c r="E26" s="907">
        <v>0</v>
      </c>
      <c r="F26" s="907">
        <v>0</v>
      </c>
      <c r="G26" s="907">
        <v>0</v>
      </c>
      <c r="H26" s="907">
        <v>0</v>
      </c>
      <c r="I26" s="907">
        <v>0</v>
      </c>
      <c r="J26" s="907">
        <v>0</v>
      </c>
      <c r="K26" s="907">
        <v>0</v>
      </c>
      <c r="L26" s="907">
        <v>0</v>
      </c>
      <c r="M26" s="907">
        <v>0</v>
      </c>
      <c r="N26" s="907">
        <v>0</v>
      </c>
      <c r="O26" s="56">
        <v>11818</v>
      </c>
      <c r="Q26" s="904" t="s">
        <v>5383</v>
      </c>
    </row>
    <row r="27" spans="1:17">
      <c r="A27" s="904" t="s">
        <v>5422</v>
      </c>
      <c r="B27" s="904" t="s">
        <v>5419</v>
      </c>
      <c r="C27" s="55" t="s">
        <v>15868</v>
      </c>
      <c r="D27" s="907">
        <v>0</v>
      </c>
      <c r="E27" s="907">
        <v>0</v>
      </c>
      <c r="F27" s="907">
        <v>0</v>
      </c>
      <c r="G27" s="907">
        <v>0</v>
      </c>
      <c r="H27" s="907">
        <v>0</v>
      </c>
      <c r="I27" s="907">
        <v>0</v>
      </c>
      <c r="J27" s="907">
        <v>0</v>
      </c>
      <c r="K27" s="907">
        <v>0</v>
      </c>
      <c r="L27" s="907">
        <v>0</v>
      </c>
      <c r="M27" s="907">
        <v>0</v>
      </c>
      <c r="N27" s="907">
        <v>0</v>
      </c>
      <c r="O27" s="56">
        <v>10487</v>
      </c>
      <c r="Q27" s="174" t="s">
        <v>5385</v>
      </c>
    </row>
    <row r="28" spans="1:17">
      <c r="A28" s="904" t="s">
        <v>5424</v>
      </c>
      <c r="B28" s="904" t="s">
        <v>5421</v>
      </c>
      <c r="C28" s="55" t="s">
        <v>15869</v>
      </c>
      <c r="D28" s="907">
        <v>0</v>
      </c>
      <c r="E28" s="907">
        <v>0</v>
      </c>
      <c r="F28" s="907">
        <v>0</v>
      </c>
      <c r="G28" s="907">
        <v>0</v>
      </c>
      <c r="H28" s="907">
        <v>0</v>
      </c>
      <c r="I28" s="907">
        <v>0</v>
      </c>
      <c r="J28" s="907">
        <v>0</v>
      </c>
      <c r="K28" s="907">
        <v>0</v>
      </c>
      <c r="L28" s="907">
        <v>0</v>
      </c>
      <c r="M28" s="907">
        <v>0</v>
      </c>
      <c r="N28" s="907">
        <v>0</v>
      </c>
      <c r="O28" s="56">
        <v>12391</v>
      </c>
      <c r="Q28" s="174" t="s">
        <v>5386</v>
      </c>
    </row>
    <row r="29" spans="1:17">
      <c r="A29" s="904" t="s">
        <v>5426</v>
      </c>
      <c r="B29" s="904" t="s">
        <v>15870</v>
      </c>
      <c r="C29" s="55" t="s">
        <v>15871</v>
      </c>
      <c r="D29" s="907">
        <v>0</v>
      </c>
      <c r="E29" s="907">
        <v>0</v>
      </c>
      <c r="F29" s="907">
        <v>0</v>
      </c>
      <c r="G29" s="907">
        <v>0</v>
      </c>
      <c r="H29" s="907">
        <v>0</v>
      </c>
      <c r="I29" s="907">
        <v>0</v>
      </c>
      <c r="J29" s="907">
        <v>0</v>
      </c>
      <c r="K29" s="907">
        <v>0</v>
      </c>
      <c r="L29" s="907">
        <v>0</v>
      </c>
      <c r="M29" s="907">
        <v>0</v>
      </c>
      <c r="N29" s="907">
        <v>0</v>
      </c>
      <c r="O29" s="56">
        <v>7927</v>
      </c>
      <c r="Q29" s="174" t="s">
        <v>5386</v>
      </c>
    </row>
    <row r="30" spans="1:17">
      <c r="A30" s="904" t="s">
        <v>5428</v>
      </c>
      <c r="B30" s="904" t="s">
        <v>5423</v>
      </c>
      <c r="C30" s="55" t="s">
        <v>15872</v>
      </c>
      <c r="D30" s="907">
        <v>0</v>
      </c>
      <c r="E30" s="907">
        <v>0</v>
      </c>
      <c r="F30" s="907">
        <v>0</v>
      </c>
      <c r="G30" s="907">
        <v>0</v>
      </c>
      <c r="H30" s="907">
        <v>0</v>
      </c>
      <c r="I30" s="907">
        <v>0</v>
      </c>
      <c r="J30" s="907">
        <v>0</v>
      </c>
      <c r="K30" s="907">
        <v>0</v>
      </c>
      <c r="L30" s="907">
        <v>0</v>
      </c>
      <c r="M30" s="907">
        <v>0</v>
      </c>
      <c r="N30" s="907">
        <v>0</v>
      </c>
      <c r="O30" s="56">
        <v>12036</v>
      </c>
      <c r="Q30" s="174" t="s">
        <v>5385</v>
      </c>
    </row>
    <row r="31" spans="1:17">
      <c r="A31" s="904" t="s">
        <v>5429</v>
      </c>
      <c r="B31" s="904" t="s">
        <v>15873</v>
      </c>
      <c r="C31" s="55" t="s">
        <v>15874</v>
      </c>
      <c r="D31" s="907">
        <v>0</v>
      </c>
      <c r="E31" s="907">
        <v>0</v>
      </c>
      <c r="F31" s="907">
        <v>0</v>
      </c>
      <c r="G31" s="907">
        <v>0</v>
      </c>
      <c r="H31" s="907">
        <v>0</v>
      </c>
      <c r="I31" s="907">
        <v>0</v>
      </c>
      <c r="J31" s="907">
        <v>0</v>
      </c>
      <c r="K31" s="907">
        <v>0</v>
      </c>
      <c r="L31" s="907">
        <v>0</v>
      </c>
      <c r="M31" s="907">
        <v>0</v>
      </c>
      <c r="N31" s="907">
        <v>0</v>
      </c>
      <c r="O31" s="56">
        <v>11478</v>
      </c>
      <c r="Q31" s="904" t="s">
        <v>5383</v>
      </c>
    </row>
    <row r="32" spans="1:17" ht="15.75" thickBot="1">
      <c r="A32" s="904"/>
      <c r="B32" s="904"/>
      <c r="C32" s="55" t="s">
        <v>15874</v>
      </c>
      <c r="D32" s="907">
        <v>0</v>
      </c>
      <c r="E32" s="907">
        <v>0</v>
      </c>
      <c r="F32" s="907">
        <v>0</v>
      </c>
      <c r="G32" s="907">
        <v>0</v>
      </c>
      <c r="H32" s="907">
        <v>0</v>
      </c>
      <c r="I32" s="907">
        <v>0</v>
      </c>
      <c r="J32" s="907">
        <v>0</v>
      </c>
      <c r="K32" s="907">
        <v>0</v>
      </c>
      <c r="L32" s="907">
        <v>0</v>
      </c>
      <c r="M32" s="907">
        <v>0</v>
      </c>
      <c r="N32" s="907">
        <v>0</v>
      </c>
      <c r="O32" s="56">
        <v>86</v>
      </c>
      <c r="Q32" s="174" t="s">
        <v>5385</v>
      </c>
    </row>
    <row r="33" spans="1:17" ht="15.75" thickBot="1">
      <c r="A33" s="904"/>
      <c r="B33" s="904"/>
      <c r="C33" s="55" t="s">
        <v>15874</v>
      </c>
      <c r="D33" s="915">
        <f>SUM(D31:D32)</f>
        <v>0</v>
      </c>
      <c r="E33" s="915">
        <f t="shared" ref="E33:O33" si="12">SUM(E31:E32)</f>
        <v>0</v>
      </c>
      <c r="F33" s="915">
        <f t="shared" si="12"/>
        <v>0</v>
      </c>
      <c r="G33" s="915">
        <f t="shared" si="12"/>
        <v>0</v>
      </c>
      <c r="H33" s="915">
        <f t="shared" si="12"/>
        <v>0</v>
      </c>
      <c r="I33" s="915">
        <f t="shared" si="12"/>
        <v>0</v>
      </c>
      <c r="J33" s="915">
        <f t="shared" si="12"/>
        <v>0</v>
      </c>
      <c r="K33" s="915">
        <f t="shared" si="12"/>
        <v>0</v>
      </c>
      <c r="L33" s="915">
        <f t="shared" si="12"/>
        <v>0</v>
      </c>
      <c r="M33" s="915">
        <f t="shared" si="12"/>
        <v>0</v>
      </c>
      <c r="N33" s="915">
        <f t="shared" si="12"/>
        <v>0</v>
      </c>
      <c r="O33" s="915">
        <f t="shared" si="12"/>
        <v>11564</v>
      </c>
      <c r="Q33" s="904"/>
    </row>
    <row r="34" spans="1:17">
      <c r="A34" s="904" t="s">
        <v>5431</v>
      </c>
      <c r="B34" s="904" t="s">
        <v>5425</v>
      </c>
      <c r="C34" s="55" t="s">
        <v>15875</v>
      </c>
      <c r="D34" s="907">
        <v>0</v>
      </c>
      <c r="E34" s="907">
        <v>0</v>
      </c>
      <c r="F34" s="907">
        <v>0</v>
      </c>
      <c r="G34" s="907">
        <v>0</v>
      </c>
      <c r="H34" s="907">
        <v>0</v>
      </c>
      <c r="I34" s="907">
        <v>0</v>
      </c>
      <c r="J34" s="907">
        <v>0</v>
      </c>
      <c r="K34" s="907">
        <v>0</v>
      </c>
      <c r="L34" s="907">
        <v>0</v>
      </c>
      <c r="M34" s="907">
        <v>0</v>
      </c>
      <c r="N34" s="907">
        <v>0</v>
      </c>
      <c r="O34" s="56">
        <v>8863</v>
      </c>
      <c r="Q34" s="174" t="s">
        <v>5385</v>
      </c>
    </row>
    <row r="35" spans="1:17">
      <c r="A35" s="904" t="s">
        <v>5433</v>
      </c>
      <c r="B35" s="904" t="s">
        <v>5427</v>
      </c>
      <c r="C35" s="55" t="s">
        <v>15876</v>
      </c>
      <c r="D35" s="907">
        <v>0</v>
      </c>
      <c r="E35" s="907">
        <v>0</v>
      </c>
      <c r="F35" s="907">
        <v>0</v>
      </c>
      <c r="G35" s="907">
        <v>0</v>
      </c>
      <c r="H35" s="907">
        <v>0</v>
      </c>
      <c r="I35" s="907">
        <v>0</v>
      </c>
      <c r="J35" s="907">
        <v>0</v>
      </c>
      <c r="K35" s="907">
        <v>0</v>
      </c>
      <c r="L35" s="907">
        <v>0</v>
      </c>
      <c r="M35" s="907">
        <v>0</v>
      </c>
      <c r="N35" s="907">
        <v>0</v>
      </c>
      <c r="O35" s="56">
        <v>7818</v>
      </c>
      <c r="Q35" s="174" t="s">
        <v>5385</v>
      </c>
    </row>
    <row r="36" spans="1:17">
      <c r="A36" s="904" t="s">
        <v>5435</v>
      </c>
      <c r="B36" s="904" t="s">
        <v>5430</v>
      </c>
      <c r="C36" s="55" t="s">
        <v>15877</v>
      </c>
      <c r="D36" s="907">
        <v>0</v>
      </c>
      <c r="E36" s="907">
        <v>0</v>
      </c>
      <c r="F36" s="907">
        <v>0</v>
      </c>
      <c r="G36" s="907">
        <v>0</v>
      </c>
      <c r="H36" s="907">
        <v>0</v>
      </c>
      <c r="I36" s="907">
        <v>0</v>
      </c>
      <c r="J36" s="907">
        <v>0</v>
      </c>
      <c r="K36" s="907">
        <v>0</v>
      </c>
      <c r="L36" s="907">
        <v>0</v>
      </c>
      <c r="M36" s="907">
        <v>0</v>
      </c>
      <c r="N36" s="907">
        <v>0</v>
      </c>
      <c r="O36" s="56">
        <v>11786</v>
      </c>
      <c r="Q36" s="174" t="s">
        <v>5386</v>
      </c>
    </row>
    <row r="37" spans="1:17">
      <c r="A37" s="904" t="s">
        <v>5436</v>
      </c>
      <c r="B37" s="904" t="s">
        <v>5432</v>
      </c>
      <c r="C37" s="55" t="s">
        <v>15878</v>
      </c>
      <c r="D37" s="907">
        <v>0</v>
      </c>
      <c r="E37" s="907">
        <v>0</v>
      </c>
      <c r="F37" s="907">
        <v>0</v>
      </c>
      <c r="G37" s="907">
        <v>0</v>
      </c>
      <c r="H37" s="907">
        <v>0</v>
      </c>
      <c r="I37" s="907">
        <v>0</v>
      </c>
      <c r="J37" s="907">
        <v>0</v>
      </c>
      <c r="K37" s="907">
        <v>0</v>
      </c>
      <c r="L37" s="907">
        <v>0</v>
      </c>
      <c r="M37" s="907">
        <v>0</v>
      </c>
      <c r="N37" s="907">
        <v>0</v>
      </c>
      <c r="O37" s="56">
        <v>8493</v>
      </c>
      <c r="Q37" s="904" t="s">
        <v>5383</v>
      </c>
    </row>
    <row r="38" spans="1:17">
      <c r="A38" s="904" t="s">
        <v>5437</v>
      </c>
      <c r="B38" s="904" t="s">
        <v>5434</v>
      </c>
      <c r="C38" s="55" t="s">
        <v>15879</v>
      </c>
      <c r="D38" s="907">
        <v>0</v>
      </c>
      <c r="E38" s="907">
        <v>0</v>
      </c>
      <c r="F38" s="907">
        <v>0</v>
      </c>
      <c r="G38" s="907">
        <v>0</v>
      </c>
      <c r="H38" s="907">
        <v>0</v>
      </c>
      <c r="I38" s="907">
        <v>0</v>
      </c>
      <c r="J38" s="907">
        <v>0</v>
      </c>
      <c r="K38" s="907">
        <v>0</v>
      </c>
      <c r="L38" s="907">
        <v>0</v>
      </c>
      <c r="M38" s="907">
        <v>0</v>
      </c>
      <c r="N38" s="907">
        <v>0</v>
      </c>
      <c r="O38" s="56">
        <v>11799</v>
      </c>
      <c r="Q38" s="174" t="s">
        <v>5386</v>
      </c>
    </row>
    <row r="39" spans="1:17">
      <c r="A39" s="904" t="s">
        <v>5439</v>
      </c>
      <c r="B39" s="904" t="s">
        <v>15880</v>
      </c>
      <c r="C39" s="55" t="s">
        <v>15881</v>
      </c>
      <c r="D39" s="907">
        <v>0</v>
      </c>
      <c r="E39" s="907">
        <v>0</v>
      </c>
      <c r="F39" s="907">
        <v>0</v>
      </c>
      <c r="G39" s="907">
        <v>0</v>
      </c>
      <c r="H39" s="907">
        <v>0</v>
      </c>
      <c r="I39" s="907">
        <v>0</v>
      </c>
      <c r="J39" s="907">
        <v>0</v>
      </c>
      <c r="K39" s="907">
        <v>0</v>
      </c>
      <c r="L39" s="907">
        <v>0</v>
      </c>
      <c r="M39" s="907">
        <v>0</v>
      </c>
      <c r="N39" s="907">
        <v>0</v>
      </c>
      <c r="O39" s="56">
        <v>7615</v>
      </c>
      <c r="Q39" s="904" t="s">
        <v>5383</v>
      </c>
    </row>
    <row r="40" spans="1:17">
      <c r="A40" s="904"/>
      <c r="B40" s="904"/>
      <c r="C40" s="55" t="s">
        <v>15881</v>
      </c>
      <c r="D40" s="907">
        <v>0</v>
      </c>
      <c r="E40" s="907">
        <v>0</v>
      </c>
      <c r="F40" s="907">
        <v>0</v>
      </c>
      <c r="G40" s="907">
        <v>0</v>
      </c>
      <c r="H40" s="907">
        <v>0</v>
      </c>
      <c r="I40" s="907">
        <v>0</v>
      </c>
      <c r="J40" s="907">
        <v>0</v>
      </c>
      <c r="K40" s="907">
        <v>0</v>
      </c>
      <c r="L40" s="907">
        <v>0</v>
      </c>
      <c r="M40" s="907">
        <v>0</v>
      </c>
      <c r="N40" s="907">
        <v>0</v>
      </c>
      <c r="O40" s="56">
        <v>263</v>
      </c>
      <c r="Q40" s="174" t="s">
        <v>5385</v>
      </c>
    </row>
    <row r="41" spans="1:17" ht="15.75" thickBot="1">
      <c r="A41" s="904"/>
      <c r="B41" s="904"/>
      <c r="C41" s="55" t="s">
        <v>15881</v>
      </c>
      <c r="D41" s="907">
        <v>0</v>
      </c>
      <c r="E41" s="907">
        <v>0</v>
      </c>
      <c r="F41" s="907">
        <v>0</v>
      </c>
      <c r="G41" s="907">
        <v>0</v>
      </c>
      <c r="H41" s="907">
        <v>0</v>
      </c>
      <c r="I41" s="907">
        <v>0</v>
      </c>
      <c r="J41" s="907">
        <v>0</v>
      </c>
      <c r="K41" s="907">
        <v>0</v>
      </c>
      <c r="L41" s="907">
        <v>0</v>
      </c>
      <c r="M41" s="907">
        <v>0</v>
      </c>
      <c r="N41" s="907">
        <v>0</v>
      </c>
      <c r="O41" s="56">
        <v>1603</v>
      </c>
      <c r="Q41" s="174" t="s">
        <v>5386</v>
      </c>
    </row>
    <row r="42" spans="1:17" ht="15.75" thickBot="1">
      <c r="A42" s="904"/>
      <c r="B42" s="904"/>
      <c r="C42" s="55" t="s">
        <v>15881</v>
      </c>
      <c r="D42" s="915">
        <f>SUM(D39:D41)</f>
        <v>0</v>
      </c>
      <c r="E42" s="915">
        <f t="shared" ref="E42:O42" si="13">SUM(E39:E41)</f>
        <v>0</v>
      </c>
      <c r="F42" s="915">
        <f t="shared" si="13"/>
        <v>0</v>
      </c>
      <c r="G42" s="915">
        <f t="shared" si="13"/>
        <v>0</v>
      </c>
      <c r="H42" s="915">
        <f t="shared" si="13"/>
        <v>0</v>
      </c>
      <c r="I42" s="915">
        <f t="shared" si="13"/>
        <v>0</v>
      </c>
      <c r="J42" s="915">
        <f t="shared" si="13"/>
        <v>0</v>
      </c>
      <c r="K42" s="915">
        <f t="shared" si="13"/>
        <v>0</v>
      </c>
      <c r="L42" s="915">
        <f t="shared" si="13"/>
        <v>0</v>
      </c>
      <c r="M42" s="915">
        <f t="shared" si="13"/>
        <v>0</v>
      </c>
      <c r="N42" s="915">
        <f t="shared" si="13"/>
        <v>0</v>
      </c>
      <c r="O42" s="915">
        <f t="shared" si="13"/>
        <v>9481</v>
      </c>
      <c r="Q42" s="904"/>
    </row>
    <row r="43" spans="1:17">
      <c r="A43" s="904" t="s">
        <v>5441</v>
      </c>
      <c r="B43" s="904" t="s">
        <v>5438</v>
      </c>
      <c r="C43" s="55" t="s">
        <v>15882</v>
      </c>
      <c r="D43" s="907">
        <v>0</v>
      </c>
      <c r="E43" s="907">
        <v>0</v>
      </c>
      <c r="F43" s="907">
        <v>0</v>
      </c>
      <c r="G43" s="907">
        <v>0</v>
      </c>
      <c r="H43" s="907">
        <v>0</v>
      </c>
      <c r="I43" s="907">
        <v>0</v>
      </c>
      <c r="J43" s="907">
        <v>0</v>
      </c>
      <c r="K43" s="907">
        <v>0</v>
      </c>
      <c r="L43" s="907">
        <v>0</v>
      </c>
      <c r="M43" s="907">
        <v>0</v>
      </c>
      <c r="N43" s="907">
        <v>0</v>
      </c>
      <c r="O43" s="56">
        <v>8491</v>
      </c>
      <c r="Q43" s="904" t="s">
        <v>5383</v>
      </c>
    </row>
    <row r="44" spans="1:17">
      <c r="A44" s="908">
        <v>21</v>
      </c>
      <c r="B44" s="904" t="s">
        <v>5440</v>
      </c>
      <c r="C44" s="55" t="s">
        <v>15883</v>
      </c>
      <c r="D44" s="907">
        <v>0</v>
      </c>
      <c r="E44" s="907">
        <v>0</v>
      </c>
      <c r="F44" s="907">
        <v>0</v>
      </c>
      <c r="G44" s="907">
        <v>0</v>
      </c>
      <c r="H44" s="907">
        <v>0</v>
      </c>
      <c r="I44" s="907">
        <v>0</v>
      </c>
      <c r="J44" s="907">
        <v>0</v>
      </c>
      <c r="K44" s="907">
        <v>0</v>
      </c>
      <c r="L44" s="907">
        <v>0</v>
      </c>
      <c r="M44" s="907">
        <v>0</v>
      </c>
      <c r="N44" s="907">
        <v>0</v>
      </c>
      <c r="O44" s="56">
        <v>11650</v>
      </c>
      <c r="Q44" s="174" t="s">
        <v>5385</v>
      </c>
    </row>
    <row r="45" spans="1:17">
      <c r="A45" s="908">
        <v>22</v>
      </c>
      <c r="B45" s="904" t="s">
        <v>5442</v>
      </c>
      <c r="C45" s="55" t="s">
        <v>15884</v>
      </c>
      <c r="D45" s="907">
        <v>0</v>
      </c>
      <c r="E45" s="907">
        <v>0</v>
      </c>
      <c r="F45" s="907">
        <v>0</v>
      </c>
      <c r="G45" s="907">
        <v>0</v>
      </c>
      <c r="H45" s="907">
        <v>0</v>
      </c>
      <c r="I45" s="907">
        <v>0</v>
      </c>
      <c r="J45" s="907">
        <v>0</v>
      </c>
      <c r="K45" s="907">
        <v>0</v>
      </c>
      <c r="L45" s="907">
        <v>0</v>
      </c>
      <c r="M45" s="907">
        <v>0</v>
      </c>
      <c r="N45" s="907">
        <v>0</v>
      </c>
      <c r="O45" s="56">
        <v>9028</v>
      </c>
      <c r="Q45" s="174" t="s">
        <v>5386</v>
      </c>
    </row>
    <row r="46" spans="1:17">
      <c r="A46" s="908">
        <v>23</v>
      </c>
      <c r="B46" s="904" t="s">
        <v>15885</v>
      </c>
      <c r="C46" s="55" t="s">
        <v>15886</v>
      </c>
      <c r="D46" s="907">
        <v>0</v>
      </c>
      <c r="E46" s="907">
        <v>0</v>
      </c>
      <c r="F46" s="907">
        <v>0</v>
      </c>
      <c r="G46" s="907">
        <v>0</v>
      </c>
      <c r="H46" s="907">
        <v>0</v>
      </c>
      <c r="I46" s="907">
        <v>0</v>
      </c>
      <c r="J46" s="907">
        <v>0</v>
      </c>
      <c r="K46" s="907">
        <v>0</v>
      </c>
      <c r="L46" s="907">
        <v>0</v>
      </c>
      <c r="M46" s="907">
        <v>0</v>
      </c>
      <c r="N46" s="907">
        <v>0</v>
      </c>
      <c r="O46" s="56">
        <v>7370</v>
      </c>
      <c r="Q46" s="904" t="s">
        <v>5383</v>
      </c>
    </row>
    <row r="47" spans="1:17">
      <c r="A47" s="908">
        <v>24</v>
      </c>
      <c r="B47" s="904" t="s">
        <v>5443</v>
      </c>
      <c r="C47" s="55" t="s">
        <v>15887</v>
      </c>
      <c r="D47" s="907">
        <v>0</v>
      </c>
      <c r="E47" s="907">
        <v>0</v>
      </c>
      <c r="F47" s="907">
        <v>0</v>
      </c>
      <c r="G47" s="907">
        <v>0</v>
      </c>
      <c r="H47" s="907">
        <v>0</v>
      </c>
      <c r="I47" s="907">
        <v>0</v>
      </c>
      <c r="J47" s="907">
        <v>0</v>
      </c>
      <c r="K47" s="907">
        <v>0</v>
      </c>
      <c r="L47" s="907">
        <v>0</v>
      </c>
      <c r="M47" s="907">
        <v>0</v>
      </c>
      <c r="N47" s="907">
        <v>0</v>
      </c>
      <c r="O47" s="56">
        <v>516</v>
      </c>
      <c r="Q47" s="904" t="s">
        <v>5383</v>
      </c>
    </row>
    <row r="48" spans="1:17" ht="15.75" thickBot="1">
      <c r="A48" s="908"/>
      <c r="B48" s="904"/>
      <c r="C48" s="55" t="s">
        <v>15887</v>
      </c>
      <c r="D48" s="907">
        <v>0</v>
      </c>
      <c r="E48" s="907">
        <v>0</v>
      </c>
      <c r="F48" s="907">
        <v>0</v>
      </c>
      <c r="G48" s="907">
        <v>0</v>
      </c>
      <c r="H48" s="907">
        <v>0</v>
      </c>
      <c r="I48" s="907">
        <v>0</v>
      </c>
      <c r="J48" s="907">
        <v>0</v>
      </c>
      <c r="K48" s="907">
        <v>0</v>
      </c>
      <c r="L48" s="907">
        <v>0</v>
      </c>
      <c r="M48" s="907">
        <v>0</v>
      </c>
      <c r="N48" s="907">
        <v>0</v>
      </c>
      <c r="O48" s="56">
        <v>8200</v>
      </c>
      <c r="Q48" s="174" t="s">
        <v>5385</v>
      </c>
    </row>
    <row r="49" spans="1:17" ht="15.75" thickBot="1">
      <c r="A49" s="908"/>
      <c r="B49" s="904"/>
      <c r="C49" s="55" t="s">
        <v>15887</v>
      </c>
      <c r="D49" s="915">
        <f>SUM(D47:D48)</f>
        <v>0</v>
      </c>
      <c r="E49" s="915">
        <f t="shared" ref="E49:O49" si="14">SUM(E47:E48)</f>
        <v>0</v>
      </c>
      <c r="F49" s="915">
        <f t="shared" si="14"/>
        <v>0</v>
      </c>
      <c r="G49" s="915">
        <f t="shared" si="14"/>
        <v>0</v>
      </c>
      <c r="H49" s="915">
        <f t="shared" si="14"/>
        <v>0</v>
      </c>
      <c r="I49" s="915">
        <f t="shared" si="14"/>
        <v>0</v>
      </c>
      <c r="J49" s="915">
        <f t="shared" si="14"/>
        <v>0</v>
      </c>
      <c r="K49" s="915">
        <f t="shared" si="14"/>
        <v>0</v>
      </c>
      <c r="L49" s="915">
        <f t="shared" si="14"/>
        <v>0</v>
      </c>
      <c r="M49" s="915">
        <f t="shared" si="14"/>
        <v>0</v>
      </c>
      <c r="N49" s="915">
        <f t="shared" si="14"/>
        <v>0</v>
      </c>
      <c r="O49" s="915">
        <f t="shared" si="14"/>
        <v>8716</v>
      </c>
      <c r="Q49" s="904"/>
    </row>
    <row r="51" spans="1:17">
      <c r="A51" s="174" t="s">
        <v>6923</v>
      </c>
    </row>
    <row r="52" spans="1:17">
      <c r="A52" s="174" t="s">
        <v>15888</v>
      </c>
    </row>
    <row r="54" spans="1:17">
      <c r="A54" s="1014" t="s">
        <v>16023</v>
      </c>
    </row>
    <row r="55" spans="1:17">
      <c r="A55" s="167" t="s">
        <v>16099</v>
      </c>
    </row>
  </sheetData>
  <sortState ref="R19:V46">
    <sortCondition ref="T19:T46"/>
    <sortCondition ref="R19:R46"/>
  </sortState>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12:D17 E12:E18 F12:F17 G12:G17 H12:H17 I12:I17 J12:J17 K12:K17 L12:L17"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dimension ref="A1:Q66"/>
  <sheetViews>
    <sheetView showGridLines="0" topLeftCell="A37" zoomScale="90" zoomScaleNormal="90" workbookViewId="0">
      <selection activeCell="E68" sqref="E68"/>
    </sheetView>
  </sheetViews>
  <sheetFormatPr defaultColWidth="12.5703125" defaultRowHeight="15"/>
  <cols>
    <col min="1" max="1" width="4.85546875" style="149" customWidth="1"/>
    <col min="2" max="2" width="35.85546875" style="149" customWidth="1"/>
    <col min="3" max="3" width="11.5703125" style="149" customWidth="1"/>
    <col min="4" max="15" width="10" style="149" customWidth="1"/>
    <col min="16" max="16" width="2.28515625" style="149" customWidth="1"/>
    <col min="17" max="17" width="32" style="149" bestFit="1" customWidth="1"/>
    <col min="18" max="16384" width="12.5703125" style="149"/>
  </cols>
  <sheetData>
    <row r="1" spans="1:17">
      <c r="A1" s="634" t="s">
        <v>5719</v>
      </c>
      <c r="D1" s="635">
        <v>2010</v>
      </c>
      <c r="E1" s="635">
        <v>2011</v>
      </c>
      <c r="F1" s="635">
        <v>2012</v>
      </c>
      <c r="G1" s="635">
        <v>2013</v>
      </c>
      <c r="H1" s="635">
        <v>2014</v>
      </c>
      <c r="I1" s="635">
        <v>2015</v>
      </c>
      <c r="J1" s="635">
        <v>2016</v>
      </c>
      <c r="K1" s="635">
        <v>2017</v>
      </c>
      <c r="L1" s="635">
        <v>2018</v>
      </c>
      <c r="M1" s="635">
        <v>2019</v>
      </c>
      <c r="N1" s="635">
        <v>2020</v>
      </c>
      <c r="O1" s="967" t="s">
        <v>14823</v>
      </c>
    </row>
    <row r="3" spans="1:17">
      <c r="A3" s="634" t="s">
        <v>6670</v>
      </c>
      <c r="D3" s="636">
        <f t="shared" ref="D3:N3" si="0">SUM(D25:D27,D29:D30,D32:D33,D35:D41,D43:D47,D49:D50,D52:D58)</f>
        <v>188436</v>
      </c>
      <c r="E3" s="636">
        <f t="shared" si="0"/>
        <v>190558</v>
      </c>
      <c r="F3" s="636">
        <f t="shared" si="0"/>
        <v>192960</v>
      </c>
      <c r="G3" s="636">
        <f t="shared" si="0"/>
        <v>194954</v>
      </c>
      <c r="H3" s="636">
        <f t="shared" si="0"/>
        <v>196374</v>
      </c>
      <c r="I3" s="636">
        <f t="shared" si="0"/>
        <v>194733</v>
      </c>
      <c r="J3" s="636">
        <f t="shared" si="0"/>
        <v>183803</v>
      </c>
      <c r="K3" s="636">
        <f t="shared" si="0"/>
        <v>188611</v>
      </c>
      <c r="L3" s="636">
        <f t="shared" si="0"/>
        <v>187706</v>
      </c>
      <c r="M3" s="636">
        <f t="shared" si="0"/>
        <v>183014</v>
      </c>
      <c r="N3" s="636">
        <f t="shared" si="0"/>
        <v>185194</v>
      </c>
      <c r="O3" s="636">
        <f>SUM(O25:O27,O29:O30,O32:O33,O35:O41,O43:O47,O49:O50,O52:O58)</f>
        <v>192475</v>
      </c>
    </row>
    <row r="5" spans="1:17">
      <c r="A5" s="634" t="s">
        <v>5382</v>
      </c>
      <c r="D5" s="636">
        <f t="shared" ref="D5:I5" si="1">D3/3</f>
        <v>62812</v>
      </c>
      <c r="E5" s="636">
        <f t="shared" si="1"/>
        <v>63519.333333333336</v>
      </c>
      <c r="F5" s="636">
        <f t="shared" si="1"/>
        <v>64320</v>
      </c>
      <c r="G5" s="636">
        <f t="shared" si="1"/>
        <v>64984.666666666664</v>
      </c>
      <c r="H5" s="636">
        <f t="shared" si="1"/>
        <v>65458</v>
      </c>
      <c r="I5" s="636">
        <f t="shared" si="1"/>
        <v>64911</v>
      </c>
      <c r="J5" s="636">
        <f t="shared" ref="J5:O5" si="2">J3/3</f>
        <v>61267.666666666664</v>
      </c>
      <c r="K5" s="636">
        <f t="shared" si="2"/>
        <v>62870.333333333336</v>
      </c>
      <c r="L5" s="636">
        <f t="shared" si="2"/>
        <v>62568.666666666664</v>
      </c>
      <c r="M5" s="636">
        <f t="shared" si="2"/>
        <v>61004.666666666664</v>
      </c>
      <c r="N5" s="636">
        <f t="shared" si="2"/>
        <v>61731.333333333336</v>
      </c>
      <c r="O5" s="636">
        <f t="shared" si="2"/>
        <v>64158.333333333336</v>
      </c>
    </row>
    <row r="6" spans="1:17">
      <c r="D6" s="637"/>
      <c r="E6" s="637"/>
      <c r="F6" s="637"/>
      <c r="G6" s="637"/>
      <c r="H6" s="637"/>
      <c r="I6" s="637"/>
      <c r="J6" s="637"/>
      <c r="K6" s="637"/>
      <c r="L6" s="637"/>
      <c r="M6" s="637"/>
      <c r="N6" s="637"/>
      <c r="O6" s="637"/>
    </row>
    <row r="7" spans="1:17">
      <c r="A7" s="634" t="s">
        <v>3710</v>
      </c>
      <c r="D7" s="636">
        <f t="shared" ref="D7:N7" si="3">SUM(D25:D26,D29,D36:D37,D45,D54:D57)</f>
        <v>69811</v>
      </c>
      <c r="E7" s="636">
        <f t="shared" si="3"/>
        <v>70589</v>
      </c>
      <c r="F7" s="636">
        <f t="shared" si="3"/>
        <v>71849</v>
      </c>
      <c r="G7" s="636">
        <f t="shared" si="3"/>
        <v>73191</v>
      </c>
      <c r="H7" s="636">
        <f t="shared" si="3"/>
        <v>74347</v>
      </c>
      <c r="I7" s="636">
        <f t="shared" si="3"/>
        <v>75090</v>
      </c>
      <c r="J7" s="636">
        <f t="shared" si="3"/>
        <v>69700</v>
      </c>
      <c r="K7" s="636">
        <f t="shared" si="3"/>
        <v>71756</v>
      </c>
      <c r="L7" s="636">
        <f t="shared" si="3"/>
        <v>71666</v>
      </c>
      <c r="M7" s="636">
        <f t="shared" si="3"/>
        <v>69422</v>
      </c>
      <c r="N7" s="636">
        <f t="shared" si="3"/>
        <v>70277</v>
      </c>
      <c r="O7" s="636">
        <f>SUM(O25:O26,O29,O36:O37,O45,O54:O57)</f>
        <v>72896</v>
      </c>
      <c r="Q7" s="634" t="s">
        <v>3691</v>
      </c>
    </row>
    <row r="8" spans="1:17">
      <c r="D8" s="637"/>
      <c r="E8" s="637"/>
      <c r="F8" s="637"/>
      <c r="G8" s="637"/>
      <c r="H8" s="637"/>
      <c r="I8" s="637"/>
      <c r="J8" s="637"/>
      <c r="K8" s="637"/>
      <c r="L8" s="637"/>
      <c r="M8" s="637"/>
      <c r="N8" s="637"/>
      <c r="O8" s="637"/>
    </row>
    <row r="9" spans="1:17">
      <c r="A9" s="151" t="s">
        <v>5190</v>
      </c>
      <c r="D9" s="637">
        <f>HARROW!D11</f>
        <v>23413</v>
      </c>
      <c r="E9" s="637">
        <f>HARROW!E11</f>
        <v>23691</v>
      </c>
      <c r="F9" s="637">
        <f>HARROW!F11</f>
        <v>23629</v>
      </c>
      <c r="G9" s="637">
        <f>HARROW!G11</f>
        <v>23635</v>
      </c>
      <c r="H9" s="637">
        <f>HARROW!H11</f>
        <v>23932</v>
      </c>
      <c r="I9" s="637">
        <f>HARROW!I11</f>
        <v>23468</v>
      </c>
      <c r="J9" s="637">
        <f>HARROW!J11</f>
        <v>23834</v>
      </c>
      <c r="K9" s="637">
        <f>HARROW!K11</f>
        <v>23711</v>
      </c>
      <c r="L9" s="637">
        <f>HARROW!L11</f>
        <v>24055</v>
      </c>
      <c r="M9" s="637">
        <f>HARROW!M11</f>
        <v>23739</v>
      </c>
      <c r="N9" s="637">
        <f>HARROW!N11</f>
        <v>24026</v>
      </c>
      <c r="O9" s="637">
        <f>HARROW!O11</f>
        <v>24034</v>
      </c>
      <c r="Q9" s="149" t="s">
        <v>5188</v>
      </c>
    </row>
    <row r="10" spans="1:17" ht="15.75" thickBot="1">
      <c r="A10" s="634"/>
      <c r="D10" s="638">
        <f t="shared" ref="D10:N10" si="4">SUM(D32,D35,D40,D43:D44,D46,D49)</f>
        <v>47566</v>
      </c>
      <c r="E10" s="638">
        <f t="shared" si="4"/>
        <v>48015</v>
      </c>
      <c r="F10" s="638">
        <f t="shared" si="4"/>
        <v>48519</v>
      </c>
      <c r="G10" s="638">
        <f t="shared" si="4"/>
        <v>49330</v>
      </c>
      <c r="H10" s="638">
        <f t="shared" si="4"/>
        <v>49559</v>
      </c>
      <c r="I10" s="638">
        <f t="shared" si="4"/>
        <v>49772</v>
      </c>
      <c r="J10" s="638">
        <f t="shared" si="4"/>
        <v>47497</v>
      </c>
      <c r="K10" s="638">
        <f t="shared" si="4"/>
        <v>48747</v>
      </c>
      <c r="L10" s="638">
        <f t="shared" si="4"/>
        <v>48302</v>
      </c>
      <c r="M10" s="638">
        <f t="shared" si="4"/>
        <v>47617</v>
      </c>
      <c r="N10" s="638">
        <f t="shared" si="4"/>
        <v>47817</v>
      </c>
      <c r="O10" s="638">
        <f>SUM(O32,O35,O40,O43:O44,O46,O49)</f>
        <v>49019</v>
      </c>
      <c r="Q10" s="634" t="s">
        <v>3691</v>
      </c>
    </row>
    <row r="11" spans="1:17" ht="15.75" thickBot="1">
      <c r="A11" s="634"/>
      <c r="D11" s="639">
        <f t="shared" ref="D11:I11" si="5">D9+D10</f>
        <v>70979</v>
      </c>
      <c r="E11" s="639">
        <f t="shared" si="5"/>
        <v>71706</v>
      </c>
      <c r="F11" s="639">
        <f t="shared" si="5"/>
        <v>72148</v>
      </c>
      <c r="G11" s="639">
        <f t="shared" si="5"/>
        <v>72965</v>
      </c>
      <c r="H11" s="639">
        <f t="shared" si="5"/>
        <v>73491</v>
      </c>
      <c r="I11" s="639">
        <f t="shared" si="5"/>
        <v>73240</v>
      </c>
      <c r="J11" s="639">
        <f t="shared" ref="J11:O11" si="6">J9+J10</f>
        <v>71331</v>
      </c>
      <c r="K11" s="639">
        <f t="shared" si="6"/>
        <v>72458</v>
      </c>
      <c r="L11" s="639">
        <f t="shared" si="6"/>
        <v>72357</v>
      </c>
      <c r="M11" s="639">
        <f t="shared" si="6"/>
        <v>71356</v>
      </c>
      <c r="N11" s="639">
        <f t="shared" si="6"/>
        <v>71843</v>
      </c>
      <c r="O11" s="639">
        <f t="shared" si="6"/>
        <v>73053</v>
      </c>
      <c r="Q11" s="634"/>
    </row>
    <row r="12" spans="1:17">
      <c r="D12" s="637"/>
      <c r="E12" s="637"/>
      <c r="F12" s="637"/>
      <c r="G12" s="637"/>
      <c r="H12" s="637"/>
      <c r="I12" s="637"/>
      <c r="J12" s="637"/>
      <c r="K12" s="637"/>
      <c r="L12" s="637"/>
      <c r="M12" s="637"/>
      <c r="N12" s="637"/>
      <c r="O12" s="637"/>
    </row>
    <row r="13" spans="1:17">
      <c r="A13" s="151" t="s">
        <v>3711</v>
      </c>
      <c r="C13" s="636"/>
      <c r="D13" s="636">
        <f t="shared" ref="D13:N13" si="7">SUM(D27,D30,D33,D38:D39,D41,D47,D50,D52:D53,D58)</f>
        <v>71059</v>
      </c>
      <c r="E13" s="636">
        <f t="shared" si="7"/>
        <v>71954</v>
      </c>
      <c r="F13" s="636">
        <f t="shared" si="7"/>
        <v>72592</v>
      </c>
      <c r="G13" s="636">
        <f t="shared" si="7"/>
        <v>72433</v>
      </c>
      <c r="H13" s="636">
        <f t="shared" si="7"/>
        <v>72468</v>
      </c>
      <c r="I13" s="636">
        <f t="shared" si="7"/>
        <v>69871</v>
      </c>
      <c r="J13" s="636">
        <f t="shared" si="7"/>
        <v>66606</v>
      </c>
      <c r="K13" s="636">
        <f t="shared" si="7"/>
        <v>68108</v>
      </c>
      <c r="L13" s="636">
        <f t="shared" si="7"/>
        <v>67738</v>
      </c>
      <c r="M13" s="636">
        <f t="shared" si="7"/>
        <v>65975</v>
      </c>
      <c r="N13" s="636">
        <f t="shared" si="7"/>
        <v>67100</v>
      </c>
      <c r="O13" s="636">
        <f>SUM(O27,O30,O33,O38:O39,O41,O47,O50,O52:O53,O58)</f>
        <v>70560</v>
      </c>
      <c r="Q13" s="634" t="s">
        <v>3691</v>
      </c>
    </row>
    <row r="14" spans="1:17">
      <c r="D14" s="637"/>
      <c r="E14" s="637"/>
      <c r="F14" s="637"/>
      <c r="G14" s="637"/>
      <c r="H14" s="637"/>
      <c r="I14" s="637"/>
      <c r="J14" s="637"/>
      <c r="K14" s="637"/>
      <c r="L14" s="637"/>
      <c r="M14" s="637"/>
      <c r="N14" s="637"/>
      <c r="O14" s="637"/>
    </row>
    <row r="15" spans="1:17">
      <c r="A15" s="149" t="s">
        <v>5187</v>
      </c>
      <c r="D15" s="637">
        <f>HARROW!D7</f>
        <v>71533</v>
      </c>
      <c r="E15" s="637">
        <f>HARROW!E7</f>
        <v>72537</v>
      </c>
      <c r="F15" s="637">
        <f>HARROW!F7</f>
        <v>72465</v>
      </c>
      <c r="G15" s="637">
        <f>HARROW!G7</f>
        <v>71564</v>
      </c>
      <c r="H15" s="637">
        <f>HARROW!H7</f>
        <v>72390</v>
      </c>
      <c r="I15" s="637">
        <f>HARROW!I7</f>
        <v>69382</v>
      </c>
      <c r="J15" s="637">
        <f>HARROW!J7</f>
        <v>69864</v>
      </c>
      <c r="K15" s="637">
        <f>HARROW!K7</f>
        <v>70779</v>
      </c>
      <c r="L15" s="637">
        <f>HARROW!L7</f>
        <v>71585</v>
      </c>
      <c r="M15" s="637">
        <f>HARROW!M7</f>
        <v>70662</v>
      </c>
      <c r="N15" s="637">
        <f>HARROW!N7</f>
        <v>71274</v>
      </c>
      <c r="O15" s="637">
        <f>HARROW!O7</f>
        <v>71791</v>
      </c>
      <c r="Q15" s="149" t="s">
        <v>5188</v>
      </c>
    </row>
    <row r="16" spans="1:17">
      <c r="D16" s="637"/>
      <c r="E16" s="637"/>
      <c r="F16" s="637"/>
      <c r="G16" s="637"/>
      <c r="H16" s="637"/>
      <c r="I16" s="637"/>
      <c r="J16" s="637"/>
      <c r="K16" s="637"/>
      <c r="L16" s="637"/>
      <c r="M16" s="637"/>
      <c r="N16" s="637"/>
      <c r="O16" s="637"/>
    </row>
    <row r="17" spans="1:17">
      <c r="A17" s="149" t="s">
        <v>5189</v>
      </c>
      <c r="D17" s="637">
        <f>HARROW!D9</f>
        <v>68264</v>
      </c>
      <c r="E17" s="637">
        <f>HARROW!E9</f>
        <v>69135</v>
      </c>
      <c r="F17" s="637">
        <f>HARROW!F9</f>
        <v>69701</v>
      </c>
      <c r="G17" s="637">
        <f>HARROW!G9</f>
        <v>69202</v>
      </c>
      <c r="H17" s="637">
        <f>HARROW!H9</f>
        <v>70487</v>
      </c>
      <c r="I17" s="637">
        <f>HARROW!I9</f>
        <v>67700</v>
      </c>
      <c r="J17" s="637">
        <f>HARROW!J9</f>
        <v>67425</v>
      </c>
      <c r="K17" s="637">
        <f>HARROW!K9</f>
        <v>68287</v>
      </c>
      <c r="L17" s="637">
        <f>HARROW!L9</f>
        <v>69370</v>
      </c>
      <c r="M17" s="637">
        <f>HARROW!M9</f>
        <v>68876</v>
      </c>
      <c r="N17" s="637">
        <f>HARROW!N9</f>
        <v>71055</v>
      </c>
      <c r="O17" s="637">
        <f>HARROW!O9</f>
        <v>72145</v>
      </c>
      <c r="Q17" s="149" t="s">
        <v>5188</v>
      </c>
    </row>
    <row r="18" spans="1:17">
      <c r="D18" s="637"/>
      <c r="E18" s="637"/>
      <c r="F18" s="637"/>
      <c r="G18" s="637"/>
      <c r="H18" s="637"/>
      <c r="I18" s="637"/>
      <c r="J18" s="637"/>
      <c r="K18" s="637"/>
      <c r="L18" s="637"/>
      <c r="M18" s="637"/>
      <c r="N18" s="637"/>
      <c r="O18" s="637"/>
    </row>
    <row r="19" spans="1:17">
      <c r="A19" s="634" t="s">
        <v>6796</v>
      </c>
      <c r="D19" s="636">
        <f t="shared" ref="D19:I19" si="8">D7+D10+D13</f>
        <v>188436</v>
      </c>
      <c r="E19" s="636">
        <f t="shared" si="8"/>
        <v>190558</v>
      </c>
      <c r="F19" s="636">
        <f t="shared" si="8"/>
        <v>192960</v>
      </c>
      <c r="G19" s="636">
        <f t="shared" si="8"/>
        <v>194954</v>
      </c>
      <c r="H19" s="636">
        <f t="shared" si="8"/>
        <v>196374</v>
      </c>
      <c r="I19" s="636">
        <f t="shared" si="8"/>
        <v>194733</v>
      </c>
      <c r="J19" s="636">
        <f t="shared" ref="J19:O19" si="9">J7+J10+J13</f>
        <v>183803</v>
      </c>
      <c r="K19" s="636">
        <f t="shared" si="9"/>
        <v>188611</v>
      </c>
      <c r="L19" s="636">
        <f t="shared" si="9"/>
        <v>187706</v>
      </c>
      <c r="M19" s="636">
        <f t="shared" si="9"/>
        <v>183014</v>
      </c>
      <c r="N19" s="636">
        <f t="shared" si="9"/>
        <v>185194</v>
      </c>
      <c r="O19" s="636">
        <f t="shared" si="9"/>
        <v>192475</v>
      </c>
    </row>
    <row r="20" spans="1:17">
      <c r="D20" s="637"/>
      <c r="E20" s="637"/>
      <c r="F20" s="637"/>
      <c r="G20" s="637"/>
      <c r="H20" s="637"/>
      <c r="I20" s="637"/>
      <c r="J20" s="637"/>
      <c r="K20" s="637"/>
      <c r="L20" s="637"/>
      <c r="M20" s="637"/>
      <c r="N20" s="637"/>
      <c r="O20" s="637"/>
    </row>
    <row r="21" spans="1:17">
      <c r="A21" s="634" t="s">
        <v>6797</v>
      </c>
      <c r="D21" s="636">
        <f t="shared" ref="D21:I21" si="10">MAX(D7,D11,D13,D15,D17)-MIN(D7,D11,D13,D15,D17)</f>
        <v>3269</v>
      </c>
      <c r="E21" s="636">
        <f t="shared" si="10"/>
        <v>3402</v>
      </c>
      <c r="F21" s="636">
        <f t="shared" si="10"/>
        <v>2891</v>
      </c>
      <c r="G21" s="636">
        <f t="shared" si="10"/>
        <v>3989</v>
      </c>
      <c r="H21" s="636">
        <f t="shared" si="10"/>
        <v>3860</v>
      </c>
      <c r="I21" s="636">
        <f t="shared" si="10"/>
        <v>7390</v>
      </c>
      <c r="J21" s="636">
        <f t="shared" ref="J21:O21" si="11">MAX(J7,J11,J13,J15,J17)-MIN(J7,J11,J13,J15,J17)</f>
        <v>4725</v>
      </c>
      <c r="K21" s="636">
        <f t="shared" si="11"/>
        <v>4350</v>
      </c>
      <c r="L21" s="636">
        <f t="shared" si="11"/>
        <v>4619</v>
      </c>
      <c r="M21" s="636">
        <f t="shared" si="11"/>
        <v>5381</v>
      </c>
      <c r="N21" s="636">
        <f t="shared" si="11"/>
        <v>4743</v>
      </c>
      <c r="O21" s="636">
        <f t="shared" si="11"/>
        <v>2493</v>
      </c>
    </row>
    <row r="22" spans="1:17">
      <c r="D22" s="637"/>
      <c r="E22" s="637"/>
      <c r="F22" s="637"/>
      <c r="G22" s="637"/>
      <c r="H22" s="637"/>
      <c r="I22" s="637"/>
      <c r="J22" s="637"/>
      <c r="K22" s="637"/>
      <c r="L22" s="637"/>
      <c r="M22" s="637"/>
      <c r="N22" s="637"/>
      <c r="O22" s="637"/>
    </row>
    <row r="23" spans="1:17">
      <c r="A23" s="640" t="s">
        <v>6800</v>
      </c>
      <c r="D23" s="636">
        <f t="shared" ref="D23:I23" si="12">STDEVP(D7,D11,D13,D15,D17)</f>
        <v>1177.9274001397539</v>
      </c>
      <c r="E23" s="636">
        <f t="shared" si="12"/>
        <v>1204.0281392060569</v>
      </c>
      <c r="F23" s="636">
        <f t="shared" si="12"/>
        <v>1057.0515597642341</v>
      </c>
      <c r="G23" s="636">
        <f t="shared" si="12"/>
        <v>1447.2656977901465</v>
      </c>
      <c r="H23" s="636">
        <f t="shared" si="12"/>
        <v>1293.4825240412026</v>
      </c>
      <c r="I23" s="636">
        <f t="shared" si="12"/>
        <v>2702.3044684120996</v>
      </c>
      <c r="J23" s="636">
        <f t="shared" ref="J23:O23" si="13">STDEVP(J7,J11,J13,J15,J17)</f>
        <v>1725.1563871139335</v>
      </c>
      <c r="K23" s="636">
        <f t="shared" si="13"/>
        <v>1781.0595273600486</v>
      </c>
      <c r="L23" s="636">
        <f t="shared" si="13"/>
        <v>1725.1923255104052</v>
      </c>
      <c r="M23" s="636">
        <f t="shared" si="13"/>
        <v>1861.3827548357699</v>
      </c>
      <c r="N23" s="636">
        <f t="shared" si="13"/>
        <v>1681.6419833008451</v>
      </c>
      <c r="O23" s="636">
        <f t="shared" si="13"/>
        <v>895.58092878309992</v>
      </c>
    </row>
    <row r="24" spans="1:17">
      <c r="D24" s="637"/>
      <c r="E24" s="637"/>
      <c r="F24" s="637"/>
      <c r="G24" s="637"/>
      <c r="H24" s="637"/>
      <c r="I24" s="637"/>
      <c r="J24" s="637"/>
      <c r="K24" s="637"/>
      <c r="L24" s="637"/>
      <c r="M24" s="637"/>
      <c r="N24" s="637"/>
      <c r="O24" s="637"/>
    </row>
    <row r="25" spans="1:17">
      <c r="A25" s="634" t="s">
        <v>5387</v>
      </c>
      <c r="B25" s="149" t="s">
        <v>15662</v>
      </c>
      <c r="C25" s="55" t="s">
        <v>15661</v>
      </c>
      <c r="D25" s="641">
        <v>69811</v>
      </c>
      <c r="E25" s="641">
        <v>70589</v>
      </c>
      <c r="F25" s="641">
        <v>71849</v>
      </c>
      <c r="G25" s="641">
        <v>73191</v>
      </c>
      <c r="H25" s="641">
        <v>74347</v>
      </c>
      <c r="I25" s="641">
        <v>75090</v>
      </c>
      <c r="J25" s="641">
        <v>69700</v>
      </c>
      <c r="K25" s="641">
        <v>71756</v>
      </c>
      <c r="L25" s="641">
        <v>71666</v>
      </c>
      <c r="M25" s="641">
        <v>69422</v>
      </c>
      <c r="N25" s="641">
        <v>70277</v>
      </c>
      <c r="O25" s="56">
        <v>10519</v>
      </c>
      <c r="Q25" s="634" t="s">
        <v>3710</v>
      </c>
    </row>
    <row r="26" spans="1:17">
      <c r="A26" s="634" t="s">
        <v>5389</v>
      </c>
      <c r="B26" s="149" t="s">
        <v>6655</v>
      </c>
      <c r="C26" s="55" t="s">
        <v>15663</v>
      </c>
      <c r="D26" s="641">
        <v>0</v>
      </c>
      <c r="E26" s="641">
        <v>0</v>
      </c>
      <c r="F26" s="641">
        <v>0</v>
      </c>
      <c r="G26" s="641">
        <v>0</v>
      </c>
      <c r="H26" s="641">
        <v>0</v>
      </c>
      <c r="I26" s="641">
        <v>0</v>
      </c>
      <c r="J26" s="641">
        <v>0</v>
      </c>
      <c r="K26" s="641">
        <v>0</v>
      </c>
      <c r="L26" s="641">
        <v>0</v>
      </c>
      <c r="M26" s="641">
        <v>0</v>
      </c>
      <c r="N26" s="641">
        <v>0</v>
      </c>
      <c r="O26" s="56">
        <v>7377</v>
      </c>
      <c r="Q26" s="634" t="s">
        <v>3710</v>
      </c>
    </row>
    <row r="27" spans="1:17" ht="15.75" thickBot="1">
      <c r="A27" s="634"/>
      <c r="C27" s="55" t="s">
        <v>15663</v>
      </c>
      <c r="D27" s="641">
        <v>0</v>
      </c>
      <c r="E27" s="641">
        <v>0</v>
      </c>
      <c r="F27" s="641">
        <v>0</v>
      </c>
      <c r="G27" s="641">
        <v>0</v>
      </c>
      <c r="H27" s="641">
        <v>0</v>
      </c>
      <c r="I27" s="641">
        <v>0</v>
      </c>
      <c r="J27" s="641">
        <v>0</v>
      </c>
      <c r="K27" s="641">
        <v>0</v>
      </c>
      <c r="L27" s="641">
        <v>0</v>
      </c>
      <c r="M27" s="641">
        <v>0</v>
      </c>
      <c r="N27" s="641">
        <v>0</v>
      </c>
      <c r="O27" s="56">
        <v>1</v>
      </c>
      <c r="Q27" s="151" t="s">
        <v>3711</v>
      </c>
    </row>
    <row r="28" spans="1:17" ht="15.75" thickBot="1">
      <c r="A28" s="634"/>
      <c r="C28" s="55" t="s">
        <v>15663</v>
      </c>
      <c r="D28" s="49">
        <f t="shared" ref="D28:O28" si="14">D26+D27</f>
        <v>0</v>
      </c>
      <c r="E28" s="49">
        <f t="shared" si="14"/>
        <v>0</v>
      </c>
      <c r="F28" s="49">
        <f t="shared" si="14"/>
        <v>0</v>
      </c>
      <c r="G28" s="49">
        <f t="shared" si="14"/>
        <v>0</v>
      </c>
      <c r="H28" s="49">
        <f t="shared" si="14"/>
        <v>0</v>
      </c>
      <c r="I28" s="49">
        <f t="shared" si="14"/>
        <v>0</v>
      </c>
      <c r="J28" s="49">
        <f t="shared" si="14"/>
        <v>0</v>
      </c>
      <c r="K28" s="49">
        <f t="shared" si="14"/>
        <v>0</v>
      </c>
      <c r="L28" s="49">
        <f t="shared" si="14"/>
        <v>0</v>
      </c>
      <c r="M28" s="49">
        <f t="shared" si="14"/>
        <v>0</v>
      </c>
      <c r="N28" s="49">
        <f t="shared" si="14"/>
        <v>0</v>
      </c>
      <c r="O28" s="49">
        <f t="shared" si="14"/>
        <v>7378</v>
      </c>
      <c r="Q28" s="634"/>
    </row>
    <row r="29" spans="1:17">
      <c r="A29" s="634" t="s">
        <v>5391</v>
      </c>
      <c r="B29" s="149" t="s">
        <v>15665</v>
      </c>
      <c r="C29" s="55" t="s">
        <v>15664</v>
      </c>
      <c r="D29" s="641">
        <v>0</v>
      </c>
      <c r="E29" s="641">
        <v>0</v>
      </c>
      <c r="F29" s="641">
        <v>0</v>
      </c>
      <c r="G29" s="641">
        <v>0</v>
      </c>
      <c r="H29" s="641">
        <v>0</v>
      </c>
      <c r="I29" s="641">
        <v>0</v>
      </c>
      <c r="J29" s="641">
        <v>0</v>
      </c>
      <c r="K29" s="641">
        <v>0</v>
      </c>
      <c r="L29" s="641">
        <v>0</v>
      </c>
      <c r="M29" s="641">
        <v>0</v>
      </c>
      <c r="N29" s="641">
        <v>0</v>
      </c>
      <c r="O29" s="56">
        <v>0</v>
      </c>
      <c r="Q29" s="634" t="s">
        <v>3710</v>
      </c>
    </row>
    <row r="30" spans="1:17" ht="15.75" thickBot="1">
      <c r="A30" s="634"/>
      <c r="C30" s="55" t="s">
        <v>15664</v>
      </c>
      <c r="D30" s="641">
        <v>0</v>
      </c>
      <c r="E30" s="641">
        <v>0</v>
      </c>
      <c r="F30" s="641">
        <v>0</v>
      </c>
      <c r="G30" s="641">
        <v>0</v>
      </c>
      <c r="H30" s="641">
        <v>0</v>
      </c>
      <c r="I30" s="641">
        <v>0</v>
      </c>
      <c r="J30" s="641">
        <v>0</v>
      </c>
      <c r="K30" s="641">
        <v>0</v>
      </c>
      <c r="L30" s="641">
        <v>0</v>
      </c>
      <c r="M30" s="641">
        <v>0</v>
      </c>
      <c r="N30" s="641">
        <v>0</v>
      </c>
      <c r="O30" s="56">
        <v>11417</v>
      </c>
      <c r="Q30" s="151" t="s">
        <v>3711</v>
      </c>
    </row>
    <row r="31" spans="1:17" ht="15.75" thickBot="1">
      <c r="A31" s="634"/>
      <c r="C31" s="55" t="s">
        <v>15664</v>
      </c>
      <c r="D31" s="49">
        <f t="shared" ref="D31:O31" si="15">D29+D30</f>
        <v>0</v>
      </c>
      <c r="E31" s="49">
        <f t="shared" si="15"/>
        <v>0</v>
      </c>
      <c r="F31" s="49">
        <f t="shared" si="15"/>
        <v>0</v>
      </c>
      <c r="G31" s="49">
        <f t="shared" si="15"/>
        <v>0</v>
      </c>
      <c r="H31" s="49">
        <f t="shared" si="15"/>
        <v>0</v>
      </c>
      <c r="I31" s="49">
        <f t="shared" si="15"/>
        <v>0</v>
      </c>
      <c r="J31" s="49">
        <f t="shared" si="15"/>
        <v>0</v>
      </c>
      <c r="K31" s="49">
        <f t="shared" si="15"/>
        <v>0</v>
      </c>
      <c r="L31" s="49">
        <f t="shared" si="15"/>
        <v>0</v>
      </c>
      <c r="M31" s="49">
        <f t="shared" si="15"/>
        <v>0</v>
      </c>
      <c r="N31" s="49">
        <f t="shared" si="15"/>
        <v>0</v>
      </c>
      <c r="O31" s="49">
        <f t="shared" si="15"/>
        <v>11417</v>
      </c>
      <c r="Q31" s="151"/>
    </row>
    <row r="32" spans="1:17">
      <c r="A32" s="634" t="s">
        <v>5393</v>
      </c>
      <c r="B32" s="149" t="s">
        <v>15667</v>
      </c>
      <c r="C32" s="55" t="s">
        <v>15666</v>
      </c>
      <c r="D32" s="641">
        <v>0</v>
      </c>
      <c r="E32" s="641">
        <v>0</v>
      </c>
      <c r="F32" s="641">
        <v>0</v>
      </c>
      <c r="G32" s="641">
        <v>0</v>
      </c>
      <c r="H32" s="641">
        <v>0</v>
      </c>
      <c r="I32" s="641">
        <v>0</v>
      </c>
      <c r="J32" s="641">
        <v>0</v>
      </c>
      <c r="K32" s="641">
        <v>0</v>
      </c>
      <c r="L32" s="641">
        <v>0</v>
      </c>
      <c r="M32" s="641">
        <v>0</v>
      </c>
      <c r="N32" s="641">
        <v>0</v>
      </c>
      <c r="O32" s="58">
        <v>6341</v>
      </c>
      <c r="Q32" s="151" t="s">
        <v>5190</v>
      </c>
    </row>
    <row r="33" spans="1:17" ht="15.75" thickBot="1">
      <c r="A33" s="634"/>
      <c r="C33" s="55" t="s">
        <v>15666</v>
      </c>
      <c r="D33" s="641">
        <v>0</v>
      </c>
      <c r="E33" s="641">
        <v>0</v>
      </c>
      <c r="F33" s="641">
        <v>0</v>
      </c>
      <c r="G33" s="641">
        <v>0</v>
      </c>
      <c r="H33" s="641">
        <v>0</v>
      </c>
      <c r="I33" s="641">
        <v>0</v>
      </c>
      <c r="J33" s="641">
        <v>0</v>
      </c>
      <c r="K33" s="641">
        <v>0</v>
      </c>
      <c r="L33" s="641">
        <v>0</v>
      </c>
      <c r="M33" s="641">
        <v>0</v>
      </c>
      <c r="N33" s="641">
        <v>0</v>
      </c>
      <c r="O33" s="58">
        <v>6084</v>
      </c>
      <c r="Q33" s="151" t="s">
        <v>3711</v>
      </c>
    </row>
    <row r="34" spans="1:17" ht="15.75" thickBot="1">
      <c r="A34" s="634"/>
      <c r="C34" s="55" t="s">
        <v>15666</v>
      </c>
      <c r="D34" s="49">
        <f t="shared" ref="D34:O34" si="16">D32+D33</f>
        <v>0</v>
      </c>
      <c r="E34" s="49">
        <f t="shared" si="16"/>
        <v>0</v>
      </c>
      <c r="F34" s="49">
        <f t="shared" si="16"/>
        <v>0</v>
      </c>
      <c r="G34" s="49">
        <f t="shared" si="16"/>
        <v>0</v>
      </c>
      <c r="H34" s="49">
        <f t="shared" si="16"/>
        <v>0</v>
      </c>
      <c r="I34" s="49">
        <f t="shared" si="16"/>
        <v>0</v>
      </c>
      <c r="J34" s="49">
        <f t="shared" si="16"/>
        <v>0</v>
      </c>
      <c r="K34" s="49">
        <f t="shared" si="16"/>
        <v>0</v>
      </c>
      <c r="L34" s="49">
        <f t="shared" si="16"/>
        <v>0</v>
      </c>
      <c r="M34" s="49">
        <f t="shared" si="16"/>
        <v>0</v>
      </c>
      <c r="N34" s="49">
        <f t="shared" si="16"/>
        <v>0</v>
      </c>
      <c r="O34" s="49">
        <f t="shared" si="16"/>
        <v>12425</v>
      </c>
      <c r="Q34" s="151"/>
    </row>
    <row r="35" spans="1:17">
      <c r="A35" s="634" t="s">
        <v>5394</v>
      </c>
      <c r="B35" s="149" t="s">
        <v>15669</v>
      </c>
      <c r="C35" s="55" t="s">
        <v>15668</v>
      </c>
      <c r="D35" s="641">
        <v>47566</v>
      </c>
      <c r="E35" s="641">
        <v>48015</v>
      </c>
      <c r="F35" s="641">
        <v>48519</v>
      </c>
      <c r="G35" s="641">
        <v>49330</v>
      </c>
      <c r="H35" s="641">
        <v>49559</v>
      </c>
      <c r="I35" s="641">
        <v>49772</v>
      </c>
      <c r="J35" s="641">
        <v>47497</v>
      </c>
      <c r="K35" s="641">
        <v>48747</v>
      </c>
      <c r="L35" s="641">
        <v>48302</v>
      </c>
      <c r="M35" s="641">
        <v>47617</v>
      </c>
      <c r="N35" s="641">
        <v>47817</v>
      </c>
      <c r="O35" s="56">
        <v>4147</v>
      </c>
      <c r="Q35" s="151" t="s">
        <v>5190</v>
      </c>
    </row>
    <row r="36" spans="1:17">
      <c r="A36" s="634" t="s">
        <v>5416</v>
      </c>
      <c r="B36" s="149" t="s">
        <v>15671</v>
      </c>
      <c r="C36" s="55" t="s">
        <v>15670</v>
      </c>
      <c r="D36" s="641">
        <v>0</v>
      </c>
      <c r="E36" s="641">
        <v>0</v>
      </c>
      <c r="F36" s="641">
        <v>0</v>
      </c>
      <c r="G36" s="641">
        <v>0</v>
      </c>
      <c r="H36" s="641">
        <v>0</v>
      </c>
      <c r="I36" s="641">
        <v>0</v>
      </c>
      <c r="J36" s="641">
        <v>0</v>
      </c>
      <c r="K36" s="641">
        <v>0</v>
      </c>
      <c r="L36" s="641">
        <v>0</v>
      </c>
      <c r="M36" s="641">
        <v>0</v>
      </c>
      <c r="N36" s="641">
        <v>0</v>
      </c>
      <c r="O36" s="56">
        <v>8355</v>
      </c>
      <c r="Q36" s="634" t="s">
        <v>3710</v>
      </c>
    </row>
    <row r="37" spans="1:17">
      <c r="A37" s="634" t="s">
        <v>5418</v>
      </c>
      <c r="B37" s="149" t="s">
        <v>6656</v>
      </c>
      <c r="C37" s="55" t="s">
        <v>15672</v>
      </c>
      <c r="D37" s="641">
        <v>0</v>
      </c>
      <c r="E37" s="641">
        <v>0</v>
      </c>
      <c r="F37" s="641">
        <v>0</v>
      </c>
      <c r="G37" s="641">
        <v>0</v>
      </c>
      <c r="H37" s="641">
        <v>0</v>
      </c>
      <c r="I37" s="641">
        <v>0</v>
      </c>
      <c r="J37" s="641">
        <v>0</v>
      </c>
      <c r="K37" s="641">
        <v>0</v>
      </c>
      <c r="L37" s="641">
        <v>0</v>
      </c>
      <c r="M37" s="641">
        <v>0</v>
      </c>
      <c r="N37" s="641">
        <v>0</v>
      </c>
      <c r="O37" s="56">
        <v>6936</v>
      </c>
      <c r="Q37" s="634" t="s">
        <v>3710</v>
      </c>
    </row>
    <row r="38" spans="1:17">
      <c r="A38" s="634" t="s">
        <v>5420</v>
      </c>
      <c r="B38" s="149" t="s">
        <v>6657</v>
      </c>
      <c r="C38" s="55" t="s">
        <v>15673</v>
      </c>
      <c r="D38" s="641">
        <v>71059</v>
      </c>
      <c r="E38" s="641">
        <v>71954</v>
      </c>
      <c r="F38" s="641">
        <v>72592</v>
      </c>
      <c r="G38" s="641">
        <v>72433</v>
      </c>
      <c r="H38" s="641">
        <v>72468</v>
      </c>
      <c r="I38" s="641">
        <v>69871</v>
      </c>
      <c r="J38" s="641">
        <v>66606</v>
      </c>
      <c r="K38" s="641">
        <v>68108</v>
      </c>
      <c r="L38" s="641">
        <v>67738</v>
      </c>
      <c r="M38" s="641">
        <v>65975</v>
      </c>
      <c r="N38" s="641">
        <v>67100</v>
      </c>
      <c r="O38" s="56">
        <v>10448</v>
      </c>
      <c r="Q38" s="151" t="s">
        <v>3711</v>
      </c>
    </row>
    <row r="39" spans="1:17">
      <c r="A39" s="634" t="s">
        <v>5422</v>
      </c>
      <c r="B39" s="149" t="s">
        <v>15675</v>
      </c>
      <c r="C39" s="55" t="s">
        <v>15674</v>
      </c>
      <c r="D39" s="641">
        <v>0</v>
      </c>
      <c r="E39" s="641">
        <v>0</v>
      </c>
      <c r="F39" s="641">
        <v>0</v>
      </c>
      <c r="G39" s="641">
        <v>0</v>
      </c>
      <c r="H39" s="641">
        <v>0</v>
      </c>
      <c r="I39" s="641">
        <v>0</v>
      </c>
      <c r="J39" s="641">
        <v>0</v>
      </c>
      <c r="K39" s="641">
        <v>0</v>
      </c>
      <c r="L39" s="641">
        <v>0</v>
      </c>
      <c r="M39" s="641">
        <v>0</v>
      </c>
      <c r="N39" s="641">
        <v>0</v>
      </c>
      <c r="O39" s="58">
        <v>5675</v>
      </c>
      <c r="Q39" s="151" t="s">
        <v>3711</v>
      </c>
    </row>
    <row r="40" spans="1:17">
      <c r="A40" s="634" t="s">
        <v>5424</v>
      </c>
      <c r="B40" s="149" t="s">
        <v>15677</v>
      </c>
      <c r="C40" s="55" t="s">
        <v>15676</v>
      </c>
      <c r="D40" s="641">
        <v>0</v>
      </c>
      <c r="E40" s="641">
        <v>0</v>
      </c>
      <c r="F40" s="641">
        <v>0</v>
      </c>
      <c r="G40" s="641">
        <v>0</v>
      </c>
      <c r="H40" s="641">
        <v>0</v>
      </c>
      <c r="I40" s="641">
        <v>0</v>
      </c>
      <c r="J40" s="641">
        <v>0</v>
      </c>
      <c r="K40" s="641">
        <v>0</v>
      </c>
      <c r="L40" s="641">
        <v>0</v>
      </c>
      <c r="M40" s="641">
        <v>0</v>
      </c>
      <c r="N40" s="641">
        <v>0</v>
      </c>
      <c r="O40" s="56">
        <v>11372</v>
      </c>
      <c r="Q40" s="151" t="s">
        <v>5190</v>
      </c>
    </row>
    <row r="41" spans="1:17" ht="15.75" thickBot="1">
      <c r="A41" s="634"/>
      <c r="C41" s="55" t="s">
        <v>15676</v>
      </c>
      <c r="D41" s="641">
        <v>0</v>
      </c>
      <c r="E41" s="641">
        <v>0</v>
      </c>
      <c r="F41" s="641">
        <v>0</v>
      </c>
      <c r="G41" s="641">
        <v>0</v>
      </c>
      <c r="H41" s="641">
        <v>0</v>
      </c>
      <c r="I41" s="641">
        <v>0</v>
      </c>
      <c r="J41" s="641">
        <v>0</v>
      </c>
      <c r="K41" s="641">
        <v>0</v>
      </c>
      <c r="L41" s="641">
        <v>0</v>
      </c>
      <c r="M41" s="641">
        <v>0</v>
      </c>
      <c r="N41" s="641">
        <v>0</v>
      </c>
      <c r="O41" s="56">
        <v>0</v>
      </c>
      <c r="Q41" s="151" t="s">
        <v>3711</v>
      </c>
    </row>
    <row r="42" spans="1:17" ht="15.75" thickBot="1">
      <c r="A42" s="634"/>
      <c r="C42" s="55" t="s">
        <v>15676</v>
      </c>
      <c r="D42" s="49">
        <f t="shared" ref="D42:O42" si="17">D40+D41</f>
        <v>0</v>
      </c>
      <c r="E42" s="49">
        <f t="shared" si="17"/>
        <v>0</v>
      </c>
      <c r="F42" s="49">
        <f t="shared" si="17"/>
        <v>0</v>
      </c>
      <c r="G42" s="49">
        <f t="shared" si="17"/>
        <v>0</v>
      </c>
      <c r="H42" s="49">
        <f t="shared" si="17"/>
        <v>0</v>
      </c>
      <c r="I42" s="49">
        <f t="shared" si="17"/>
        <v>0</v>
      </c>
      <c r="J42" s="49">
        <f t="shared" si="17"/>
        <v>0</v>
      </c>
      <c r="K42" s="49">
        <f t="shared" si="17"/>
        <v>0</v>
      </c>
      <c r="L42" s="49">
        <f t="shared" si="17"/>
        <v>0</v>
      </c>
      <c r="M42" s="49">
        <f t="shared" si="17"/>
        <v>0</v>
      </c>
      <c r="N42" s="49">
        <f t="shared" si="17"/>
        <v>0</v>
      </c>
      <c r="O42" s="49">
        <f t="shared" si="17"/>
        <v>11372</v>
      </c>
      <c r="Q42" s="151"/>
    </row>
    <row r="43" spans="1:17">
      <c r="A43" s="634" t="s">
        <v>5426</v>
      </c>
      <c r="B43" s="149" t="s">
        <v>6060</v>
      </c>
      <c r="C43" s="55" t="s">
        <v>15678</v>
      </c>
      <c r="D43" s="641">
        <v>0</v>
      </c>
      <c r="E43" s="641">
        <v>0</v>
      </c>
      <c r="F43" s="641">
        <v>0</v>
      </c>
      <c r="G43" s="641">
        <v>0</v>
      </c>
      <c r="H43" s="641">
        <v>0</v>
      </c>
      <c r="I43" s="641">
        <v>0</v>
      </c>
      <c r="J43" s="641">
        <v>0</v>
      </c>
      <c r="K43" s="641">
        <v>0</v>
      </c>
      <c r="L43" s="641">
        <v>0</v>
      </c>
      <c r="M43" s="641">
        <v>0</v>
      </c>
      <c r="N43" s="641">
        <v>0</v>
      </c>
      <c r="O43" s="58">
        <v>8042</v>
      </c>
      <c r="Q43" s="151" t="s">
        <v>5190</v>
      </c>
    </row>
    <row r="44" spans="1:17">
      <c r="A44" s="634" t="s">
        <v>5428</v>
      </c>
      <c r="B44" s="149" t="s">
        <v>6061</v>
      </c>
      <c r="C44" s="55" t="s">
        <v>15679</v>
      </c>
      <c r="D44" s="641">
        <v>0</v>
      </c>
      <c r="E44" s="641">
        <v>0</v>
      </c>
      <c r="F44" s="641">
        <v>0</v>
      </c>
      <c r="G44" s="641">
        <v>0</v>
      </c>
      <c r="H44" s="641">
        <v>0</v>
      </c>
      <c r="I44" s="641">
        <v>0</v>
      </c>
      <c r="J44" s="641">
        <v>0</v>
      </c>
      <c r="K44" s="641">
        <v>0</v>
      </c>
      <c r="L44" s="641">
        <v>0</v>
      </c>
      <c r="M44" s="641">
        <v>0</v>
      </c>
      <c r="N44" s="641">
        <v>0</v>
      </c>
      <c r="O44" s="56">
        <v>8107</v>
      </c>
      <c r="Q44" s="151" t="s">
        <v>5190</v>
      </c>
    </row>
    <row r="45" spans="1:17">
      <c r="A45" s="634" t="s">
        <v>5429</v>
      </c>
      <c r="B45" s="149" t="s">
        <v>6062</v>
      </c>
      <c r="C45" s="55" t="s">
        <v>15680</v>
      </c>
      <c r="D45" s="641">
        <v>0</v>
      </c>
      <c r="E45" s="641">
        <v>0</v>
      </c>
      <c r="F45" s="641">
        <v>0</v>
      </c>
      <c r="G45" s="641">
        <v>0</v>
      </c>
      <c r="H45" s="641">
        <v>0</v>
      </c>
      <c r="I45" s="641">
        <v>0</v>
      </c>
      <c r="J45" s="641">
        <v>0</v>
      </c>
      <c r="K45" s="641">
        <v>0</v>
      </c>
      <c r="L45" s="641">
        <v>0</v>
      </c>
      <c r="M45" s="641">
        <v>0</v>
      </c>
      <c r="N45" s="641">
        <v>0</v>
      </c>
      <c r="O45" s="56">
        <v>9958</v>
      </c>
      <c r="Q45" s="634" t="s">
        <v>3710</v>
      </c>
    </row>
    <row r="46" spans="1:17">
      <c r="A46" s="634" t="s">
        <v>5431</v>
      </c>
      <c r="B46" s="149" t="s">
        <v>15682</v>
      </c>
      <c r="C46" s="55" t="s">
        <v>15681</v>
      </c>
      <c r="D46" s="641">
        <v>0</v>
      </c>
      <c r="E46" s="641">
        <v>0</v>
      </c>
      <c r="F46" s="641">
        <v>0</v>
      </c>
      <c r="G46" s="641">
        <v>0</v>
      </c>
      <c r="H46" s="641">
        <v>0</v>
      </c>
      <c r="I46" s="641">
        <v>0</v>
      </c>
      <c r="J46" s="641">
        <v>0</v>
      </c>
      <c r="K46" s="641">
        <v>0</v>
      </c>
      <c r="L46" s="641">
        <v>0</v>
      </c>
      <c r="M46" s="641">
        <v>0</v>
      </c>
      <c r="N46" s="641">
        <v>0</v>
      </c>
      <c r="O46" s="56">
        <v>10827</v>
      </c>
      <c r="Q46" s="151" t="s">
        <v>5190</v>
      </c>
    </row>
    <row r="47" spans="1:17" ht="15.75" thickBot="1">
      <c r="A47" s="634"/>
      <c r="C47" s="55" t="s">
        <v>15681</v>
      </c>
      <c r="D47" s="641">
        <v>0</v>
      </c>
      <c r="E47" s="641">
        <v>0</v>
      </c>
      <c r="F47" s="641">
        <v>0</v>
      </c>
      <c r="G47" s="641">
        <v>0</v>
      </c>
      <c r="H47" s="641">
        <v>0</v>
      </c>
      <c r="I47" s="641">
        <v>0</v>
      </c>
      <c r="J47" s="641">
        <v>0</v>
      </c>
      <c r="K47" s="641">
        <v>0</v>
      </c>
      <c r="L47" s="641">
        <v>0</v>
      </c>
      <c r="M47" s="641">
        <v>0</v>
      </c>
      <c r="N47" s="641">
        <v>0</v>
      </c>
      <c r="O47" s="56">
        <v>988</v>
      </c>
      <c r="Q47" s="151" t="s">
        <v>3711</v>
      </c>
    </row>
    <row r="48" spans="1:17" ht="15.75" thickBot="1">
      <c r="A48" s="634"/>
      <c r="C48" s="55" t="s">
        <v>15681</v>
      </c>
      <c r="D48" s="49">
        <f t="shared" ref="D48:O48" si="18">D46+D47</f>
        <v>0</v>
      </c>
      <c r="E48" s="49">
        <f t="shared" si="18"/>
        <v>0</v>
      </c>
      <c r="F48" s="49">
        <f t="shared" si="18"/>
        <v>0</v>
      </c>
      <c r="G48" s="49">
        <f t="shared" si="18"/>
        <v>0</v>
      </c>
      <c r="H48" s="49">
        <f t="shared" si="18"/>
        <v>0</v>
      </c>
      <c r="I48" s="49">
        <f t="shared" si="18"/>
        <v>0</v>
      </c>
      <c r="J48" s="49">
        <f t="shared" si="18"/>
        <v>0</v>
      </c>
      <c r="K48" s="49">
        <f t="shared" si="18"/>
        <v>0</v>
      </c>
      <c r="L48" s="49">
        <f t="shared" si="18"/>
        <v>0</v>
      </c>
      <c r="M48" s="49">
        <f t="shared" si="18"/>
        <v>0</v>
      </c>
      <c r="N48" s="49">
        <f t="shared" si="18"/>
        <v>0</v>
      </c>
      <c r="O48" s="49">
        <f t="shared" si="18"/>
        <v>11815</v>
      </c>
      <c r="Q48" s="634"/>
    </row>
    <row r="49" spans="1:17">
      <c r="A49" s="634" t="s">
        <v>5433</v>
      </c>
      <c r="B49" s="149" t="s">
        <v>15684</v>
      </c>
      <c r="C49" s="55" t="s">
        <v>15683</v>
      </c>
      <c r="D49" s="641">
        <v>0</v>
      </c>
      <c r="E49" s="641">
        <v>0</v>
      </c>
      <c r="F49" s="641">
        <v>0</v>
      </c>
      <c r="G49" s="641">
        <v>0</v>
      </c>
      <c r="H49" s="641">
        <v>0</v>
      </c>
      <c r="I49" s="641">
        <v>0</v>
      </c>
      <c r="J49" s="641">
        <v>0</v>
      </c>
      <c r="K49" s="641">
        <v>0</v>
      </c>
      <c r="L49" s="641">
        <v>0</v>
      </c>
      <c r="M49" s="641">
        <v>0</v>
      </c>
      <c r="N49" s="641">
        <v>0</v>
      </c>
      <c r="O49" s="58">
        <v>183</v>
      </c>
      <c r="Q49" s="151" t="s">
        <v>5190</v>
      </c>
    </row>
    <row r="50" spans="1:17" ht="15.75" thickBot="1">
      <c r="A50" s="634"/>
      <c r="C50" s="55" t="s">
        <v>15683</v>
      </c>
      <c r="D50" s="641">
        <v>0</v>
      </c>
      <c r="E50" s="641">
        <v>0</v>
      </c>
      <c r="F50" s="641">
        <v>0</v>
      </c>
      <c r="G50" s="641">
        <v>0</v>
      </c>
      <c r="H50" s="641">
        <v>0</v>
      </c>
      <c r="I50" s="641">
        <v>0</v>
      </c>
      <c r="J50" s="641">
        <v>0</v>
      </c>
      <c r="K50" s="641">
        <v>0</v>
      </c>
      <c r="L50" s="641">
        <v>0</v>
      </c>
      <c r="M50" s="641">
        <v>0</v>
      </c>
      <c r="N50" s="641">
        <v>0</v>
      </c>
      <c r="O50" s="58">
        <v>7496</v>
      </c>
      <c r="Q50" s="151" t="s">
        <v>3711</v>
      </c>
    </row>
    <row r="51" spans="1:17" ht="15.75" thickBot="1">
      <c r="A51" s="634"/>
      <c r="C51" s="55" t="s">
        <v>15683</v>
      </c>
      <c r="D51" s="49">
        <f t="shared" ref="D51:O51" si="19">D49+D50</f>
        <v>0</v>
      </c>
      <c r="E51" s="49">
        <f t="shared" si="19"/>
        <v>0</v>
      </c>
      <c r="F51" s="49">
        <f t="shared" si="19"/>
        <v>0</v>
      </c>
      <c r="G51" s="49">
        <f t="shared" si="19"/>
        <v>0</v>
      </c>
      <c r="H51" s="49">
        <f t="shared" si="19"/>
        <v>0</v>
      </c>
      <c r="I51" s="49">
        <f t="shared" si="19"/>
        <v>0</v>
      </c>
      <c r="J51" s="49">
        <f t="shared" si="19"/>
        <v>0</v>
      </c>
      <c r="K51" s="49">
        <f t="shared" si="19"/>
        <v>0</v>
      </c>
      <c r="L51" s="49">
        <f t="shared" si="19"/>
        <v>0</v>
      </c>
      <c r="M51" s="49">
        <f t="shared" si="19"/>
        <v>0</v>
      </c>
      <c r="N51" s="49">
        <f t="shared" si="19"/>
        <v>0</v>
      </c>
      <c r="O51" s="49">
        <f t="shared" si="19"/>
        <v>7679</v>
      </c>
      <c r="Q51" s="151"/>
    </row>
    <row r="52" spans="1:17">
      <c r="A52" s="634" t="s">
        <v>5435</v>
      </c>
      <c r="B52" s="149" t="s">
        <v>6755</v>
      </c>
      <c r="C52" s="55" t="s">
        <v>15685</v>
      </c>
      <c r="D52" s="641">
        <v>0</v>
      </c>
      <c r="E52" s="641">
        <v>0</v>
      </c>
      <c r="F52" s="641">
        <v>0</v>
      </c>
      <c r="G52" s="641">
        <v>0</v>
      </c>
      <c r="H52" s="641">
        <v>0</v>
      </c>
      <c r="I52" s="641">
        <v>0</v>
      </c>
      <c r="J52" s="641">
        <v>0</v>
      </c>
      <c r="K52" s="641">
        <v>0</v>
      </c>
      <c r="L52" s="641">
        <v>0</v>
      </c>
      <c r="M52" s="641">
        <v>0</v>
      </c>
      <c r="N52" s="641">
        <v>0</v>
      </c>
      <c r="O52" s="56">
        <v>11403</v>
      </c>
      <c r="Q52" s="151" t="s">
        <v>3711</v>
      </c>
    </row>
    <row r="53" spans="1:17">
      <c r="A53" s="634" t="s">
        <v>5436</v>
      </c>
      <c r="B53" s="149" t="s">
        <v>15687</v>
      </c>
      <c r="C53" s="55" t="s">
        <v>15686</v>
      </c>
      <c r="D53" s="641">
        <v>0</v>
      </c>
      <c r="E53" s="641">
        <v>0</v>
      </c>
      <c r="F53" s="641">
        <v>0</v>
      </c>
      <c r="G53" s="641">
        <v>0</v>
      </c>
      <c r="H53" s="641">
        <v>0</v>
      </c>
      <c r="I53" s="641">
        <v>0</v>
      </c>
      <c r="J53" s="641">
        <v>0</v>
      </c>
      <c r="K53" s="641">
        <v>0</v>
      </c>
      <c r="L53" s="641">
        <v>0</v>
      </c>
      <c r="M53" s="641">
        <v>0</v>
      </c>
      <c r="N53" s="641">
        <v>0</v>
      </c>
      <c r="O53" s="58">
        <v>10624</v>
      </c>
      <c r="Q53" s="151" t="s">
        <v>3711</v>
      </c>
    </row>
    <row r="54" spans="1:17">
      <c r="A54" s="634" t="s">
        <v>5437</v>
      </c>
      <c r="B54" s="149" t="s">
        <v>6756</v>
      </c>
      <c r="C54" s="55" t="s">
        <v>15688</v>
      </c>
      <c r="D54" s="641">
        <v>0</v>
      </c>
      <c r="E54" s="641">
        <v>0</v>
      </c>
      <c r="F54" s="641">
        <v>0</v>
      </c>
      <c r="G54" s="641">
        <v>0</v>
      </c>
      <c r="H54" s="641">
        <v>0</v>
      </c>
      <c r="I54" s="641">
        <v>0</v>
      </c>
      <c r="J54" s="641">
        <v>0</v>
      </c>
      <c r="K54" s="641">
        <v>0</v>
      </c>
      <c r="L54" s="641">
        <v>0</v>
      </c>
      <c r="M54" s="641">
        <v>0</v>
      </c>
      <c r="N54" s="641">
        <v>0</v>
      </c>
      <c r="O54" s="58">
        <v>10733</v>
      </c>
      <c r="Q54" s="634" t="s">
        <v>3710</v>
      </c>
    </row>
    <row r="55" spans="1:17">
      <c r="A55" s="634" t="s">
        <v>5439</v>
      </c>
      <c r="B55" s="149" t="s">
        <v>15690</v>
      </c>
      <c r="C55" s="55" t="s">
        <v>15689</v>
      </c>
      <c r="D55" s="641">
        <v>0</v>
      </c>
      <c r="E55" s="641">
        <v>0</v>
      </c>
      <c r="F55" s="641">
        <v>0</v>
      </c>
      <c r="G55" s="641">
        <v>0</v>
      </c>
      <c r="H55" s="641">
        <v>0</v>
      </c>
      <c r="I55" s="641">
        <v>0</v>
      </c>
      <c r="J55" s="641">
        <v>0</v>
      </c>
      <c r="K55" s="641">
        <v>0</v>
      </c>
      <c r="L55" s="641">
        <v>0</v>
      </c>
      <c r="M55" s="641">
        <v>0</v>
      </c>
      <c r="N55" s="641">
        <v>0</v>
      </c>
      <c r="O55" s="56">
        <v>11221</v>
      </c>
      <c r="Q55" s="634" t="s">
        <v>3710</v>
      </c>
    </row>
    <row r="56" spans="1:17">
      <c r="A56" s="634" t="s">
        <v>5441</v>
      </c>
      <c r="B56" s="149" t="s">
        <v>6757</v>
      </c>
      <c r="C56" s="55" t="s">
        <v>15691</v>
      </c>
      <c r="D56" s="641">
        <v>0</v>
      </c>
      <c r="E56" s="641">
        <v>0</v>
      </c>
      <c r="F56" s="641">
        <v>0</v>
      </c>
      <c r="G56" s="641">
        <v>0</v>
      </c>
      <c r="H56" s="641">
        <v>0</v>
      </c>
      <c r="I56" s="641">
        <v>0</v>
      </c>
      <c r="J56" s="641">
        <v>0</v>
      </c>
      <c r="K56" s="641">
        <v>0</v>
      </c>
      <c r="L56" s="641">
        <v>0</v>
      </c>
      <c r="M56" s="641">
        <v>0</v>
      </c>
      <c r="N56" s="641">
        <v>0</v>
      </c>
      <c r="O56" s="56">
        <v>7797</v>
      </c>
      <c r="Q56" s="634" t="s">
        <v>3710</v>
      </c>
    </row>
    <row r="57" spans="1:17">
      <c r="A57" s="634" t="s">
        <v>5886</v>
      </c>
      <c r="B57" s="149" t="s">
        <v>6758</v>
      </c>
      <c r="C57" s="55" t="s">
        <v>15692</v>
      </c>
      <c r="D57" s="641">
        <v>0</v>
      </c>
      <c r="E57" s="641">
        <v>0</v>
      </c>
      <c r="F57" s="641">
        <v>0</v>
      </c>
      <c r="G57" s="641">
        <v>0</v>
      </c>
      <c r="H57" s="641">
        <v>0</v>
      </c>
      <c r="I57" s="641">
        <v>0</v>
      </c>
      <c r="J57" s="641">
        <v>0</v>
      </c>
      <c r="K57" s="641">
        <v>0</v>
      </c>
      <c r="L57" s="641">
        <v>0</v>
      </c>
      <c r="M57" s="641">
        <v>0</v>
      </c>
      <c r="N57" s="641">
        <v>0</v>
      </c>
      <c r="O57" s="56">
        <v>0</v>
      </c>
      <c r="Q57" s="634" t="s">
        <v>3710</v>
      </c>
    </row>
    <row r="58" spans="1:17" ht="15.75" thickBot="1">
      <c r="A58" s="634"/>
      <c r="C58" s="55" t="s">
        <v>15692</v>
      </c>
      <c r="D58" s="641">
        <v>0</v>
      </c>
      <c r="E58" s="641">
        <v>0</v>
      </c>
      <c r="F58" s="641">
        <v>0</v>
      </c>
      <c r="G58" s="641">
        <v>0</v>
      </c>
      <c r="H58" s="641">
        <v>0</v>
      </c>
      <c r="I58" s="641">
        <v>0</v>
      </c>
      <c r="J58" s="641">
        <v>0</v>
      </c>
      <c r="K58" s="641">
        <v>0</v>
      </c>
      <c r="L58" s="641">
        <v>0</v>
      </c>
      <c r="M58" s="641">
        <v>0</v>
      </c>
      <c r="N58" s="641">
        <v>0</v>
      </c>
      <c r="O58" s="56">
        <v>6424</v>
      </c>
      <c r="Q58" s="151" t="s">
        <v>3711</v>
      </c>
    </row>
    <row r="59" spans="1:17" ht="15.75" thickBot="1">
      <c r="A59" s="634"/>
      <c r="C59" s="55" t="s">
        <v>15692</v>
      </c>
      <c r="D59" s="49">
        <f t="shared" ref="D59:O59" si="20">D57+D58</f>
        <v>0</v>
      </c>
      <c r="E59" s="49">
        <f t="shared" si="20"/>
        <v>0</v>
      </c>
      <c r="F59" s="49">
        <f t="shared" si="20"/>
        <v>0</v>
      </c>
      <c r="G59" s="49">
        <f t="shared" si="20"/>
        <v>0</v>
      </c>
      <c r="H59" s="49">
        <f t="shared" si="20"/>
        <v>0</v>
      </c>
      <c r="I59" s="49">
        <f t="shared" si="20"/>
        <v>0</v>
      </c>
      <c r="J59" s="49">
        <f t="shared" si="20"/>
        <v>0</v>
      </c>
      <c r="K59" s="49">
        <f t="shared" si="20"/>
        <v>0</v>
      </c>
      <c r="L59" s="49">
        <f t="shared" si="20"/>
        <v>0</v>
      </c>
      <c r="M59" s="49">
        <f t="shared" si="20"/>
        <v>0</v>
      </c>
      <c r="N59" s="49">
        <f t="shared" si="20"/>
        <v>0</v>
      </c>
      <c r="O59" s="49">
        <f t="shared" si="20"/>
        <v>6424</v>
      </c>
      <c r="Q59" s="634"/>
    </row>
    <row r="61" spans="1:17">
      <c r="A61" s="149" t="s">
        <v>1742</v>
      </c>
    </row>
    <row r="62" spans="1:17">
      <c r="A62" s="149" t="s">
        <v>15660</v>
      </c>
    </row>
    <row r="63" spans="1:17">
      <c r="A63" s="149" t="s">
        <v>1743</v>
      </c>
    </row>
    <row r="65" spans="1:1">
      <c r="A65" s="1008" t="s">
        <v>16023</v>
      </c>
    </row>
    <row r="66" spans="1:1">
      <c r="A66" s="167" t="s">
        <v>16099</v>
      </c>
    </row>
  </sheetData>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ignoredErrors>
    <ignoredError sqref="D4 E4 F4 G4 D5:D6 E5:E6 F5:F6 G5:G6 H4 H5:H6 I4:I6 J4:J6 K4:K6 L4:L6 D8:D9 E8:E9 F8:F9 G8:G9 H8:H9 I8:I9 J8:J9 K8:K9 L8:L9 D11:D12 E11:E12 F11:F12 G11:G12 H11:H12 I11:I12 J11:J12 K11:K12 L11:L12 D14:D23 E14:E23 F14:F23 G14:G23 H14:H23 I14:I23 J14:J23 K14:K24 L14:L23"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dimension ref="A1:Q44"/>
  <sheetViews>
    <sheetView showGridLines="0" topLeftCell="A16" zoomScale="90" zoomScaleNormal="90" workbookViewId="0">
      <selection activeCell="A43" sqref="A43:A44"/>
    </sheetView>
  </sheetViews>
  <sheetFormatPr defaultColWidth="12.5703125" defaultRowHeight="15"/>
  <cols>
    <col min="1" max="1" width="4.85546875" style="148" customWidth="1"/>
    <col min="2" max="2" width="35.28515625" style="148" customWidth="1"/>
    <col min="3" max="3" width="11.42578125" style="148" customWidth="1"/>
    <col min="4" max="12" width="9.85546875" style="148" customWidth="1"/>
    <col min="13" max="15" width="10" style="148" customWidth="1"/>
    <col min="16" max="16" width="1.85546875" style="148" customWidth="1"/>
    <col min="17" max="17" width="30.7109375" style="148" customWidth="1"/>
    <col min="18" max="16384" width="12.5703125" style="148"/>
  </cols>
  <sheetData>
    <row r="1" spans="1:17">
      <c r="A1" s="628" t="s">
        <v>5719</v>
      </c>
      <c r="D1" s="629">
        <v>2010</v>
      </c>
      <c r="E1" s="629">
        <v>2011</v>
      </c>
      <c r="F1" s="629">
        <v>2012</v>
      </c>
      <c r="G1" s="629">
        <v>2013</v>
      </c>
      <c r="H1" s="629">
        <v>2014</v>
      </c>
      <c r="I1" s="629">
        <v>2015</v>
      </c>
      <c r="J1" s="629">
        <v>2016</v>
      </c>
      <c r="K1" s="629">
        <v>2017</v>
      </c>
      <c r="L1" s="629">
        <v>2018</v>
      </c>
      <c r="M1" s="629">
        <v>2019</v>
      </c>
      <c r="N1" s="629">
        <v>2020</v>
      </c>
      <c r="O1" s="966" t="s">
        <v>14823</v>
      </c>
    </row>
    <row r="3" spans="1:17">
      <c r="A3" s="628" t="s">
        <v>1899</v>
      </c>
      <c r="D3" s="630">
        <f t="shared" ref="D3:I3" si="0">SUM(D17:D38)</f>
        <v>163352</v>
      </c>
      <c r="E3" s="630">
        <f t="shared" si="0"/>
        <v>163769</v>
      </c>
      <c r="F3" s="630">
        <f t="shared" si="0"/>
        <v>165705</v>
      </c>
      <c r="G3" s="630">
        <f t="shared" si="0"/>
        <v>166433</v>
      </c>
      <c r="H3" s="630">
        <f t="shared" si="0"/>
        <v>168650</v>
      </c>
      <c r="I3" s="630">
        <f t="shared" si="0"/>
        <v>162922</v>
      </c>
      <c r="J3" s="630">
        <f t="shared" ref="J3:O3" si="1">SUM(J17:J38)</f>
        <v>159510</v>
      </c>
      <c r="K3" s="630">
        <f t="shared" si="1"/>
        <v>162860</v>
      </c>
      <c r="L3" s="630">
        <f t="shared" si="1"/>
        <v>163163</v>
      </c>
      <c r="M3" s="630">
        <f t="shared" si="1"/>
        <v>160344</v>
      </c>
      <c r="N3" s="630">
        <f t="shared" si="1"/>
        <v>162148</v>
      </c>
      <c r="O3" s="630">
        <f t="shared" si="1"/>
        <v>168726</v>
      </c>
    </row>
    <row r="5" spans="1:17">
      <c r="A5" s="628" t="s">
        <v>5720</v>
      </c>
      <c r="D5" s="630">
        <f t="shared" ref="D5:I5" si="2">D3/2</f>
        <v>81676</v>
      </c>
      <c r="E5" s="630">
        <f t="shared" si="2"/>
        <v>81884.5</v>
      </c>
      <c r="F5" s="630">
        <f t="shared" si="2"/>
        <v>82852.5</v>
      </c>
      <c r="G5" s="630">
        <f t="shared" si="2"/>
        <v>83216.5</v>
      </c>
      <c r="H5" s="630">
        <f t="shared" si="2"/>
        <v>84325</v>
      </c>
      <c r="I5" s="630">
        <f t="shared" si="2"/>
        <v>81461</v>
      </c>
      <c r="J5" s="630">
        <f t="shared" ref="J5:O5" si="3">J3/2</f>
        <v>79755</v>
      </c>
      <c r="K5" s="630">
        <f t="shared" si="3"/>
        <v>81430</v>
      </c>
      <c r="L5" s="630">
        <f t="shared" si="3"/>
        <v>81581.5</v>
      </c>
      <c r="M5" s="630">
        <f t="shared" si="3"/>
        <v>80172</v>
      </c>
      <c r="N5" s="630">
        <f t="shared" si="3"/>
        <v>81074</v>
      </c>
      <c r="O5" s="630">
        <f t="shared" si="3"/>
        <v>84363</v>
      </c>
    </row>
    <row r="6" spans="1:17">
      <c r="D6" s="631"/>
      <c r="E6" s="631"/>
      <c r="F6" s="631"/>
      <c r="G6" s="631"/>
      <c r="H6" s="631"/>
      <c r="I6" s="631"/>
      <c r="J6" s="631"/>
      <c r="K6" s="631"/>
      <c r="L6" s="631"/>
      <c r="M6" s="631"/>
      <c r="N6" s="631"/>
      <c r="O6" s="631"/>
    </row>
    <row r="7" spans="1:17">
      <c r="A7" s="628" t="s">
        <v>1900</v>
      </c>
      <c r="D7" s="630">
        <f t="shared" ref="D7:N7" si="4">SUM(D18:D22,D31:D34,D36:D38)</f>
        <v>82569</v>
      </c>
      <c r="E7" s="630">
        <f t="shared" si="4"/>
        <v>83332</v>
      </c>
      <c r="F7" s="630">
        <f t="shared" si="4"/>
        <v>84037</v>
      </c>
      <c r="G7" s="630">
        <f t="shared" si="4"/>
        <v>84288</v>
      </c>
      <c r="H7" s="630">
        <f t="shared" si="4"/>
        <v>85342</v>
      </c>
      <c r="I7" s="630">
        <f t="shared" si="4"/>
        <v>81974</v>
      </c>
      <c r="J7" s="630">
        <f t="shared" si="4"/>
        <v>80427</v>
      </c>
      <c r="K7" s="630">
        <f t="shared" si="4"/>
        <v>82482</v>
      </c>
      <c r="L7" s="630">
        <f t="shared" si="4"/>
        <v>82765</v>
      </c>
      <c r="M7" s="630">
        <f t="shared" si="4"/>
        <v>81242</v>
      </c>
      <c r="N7" s="630">
        <f t="shared" si="4"/>
        <v>82722</v>
      </c>
      <c r="O7" s="630">
        <f>SUM(O18:O22,O31:O34,O36:O38)</f>
        <v>86728</v>
      </c>
      <c r="Q7" s="628" t="s">
        <v>1901</v>
      </c>
    </row>
    <row r="8" spans="1:17">
      <c r="D8" s="631"/>
      <c r="E8" s="631"/>
      <c r="F8" s="631"/>
      <c r="G8" s="631"/>
      <c r="H8" s="631"/>
      <c r="I8" s="631"/>
      <c r="J8" s="631"/>
      <c r="K8" s="631"/>
      <c r="L8" s="631"/>
      <c r="M8" s="631"/>
      <c r="N8" s="631"/>
      <c r="O8" s="631"/>
    </row>
    <row r="9" spans="1:17">
      <c r="A9" s="628" t="s">
        <v>1902</v>
      </c>
      <c r="D9" s="630">
        <f t="shared" ref="D9:N9" si="5">SUM(D17,D23:D30,D35)</f>
        <v>80783</v>
      </c>
      <c r="E9" s="630">
        <f t="shared" si="5"/>
        <v>80437</v>
      </c>
      <c r="F9" s="630">
        <f t="shared" si="5"/>
        <v>81668</v>
      </c>
      <c r="G9" s="630">
        <f t="shared" si="5"/>
        <v>82145</v>
      </c>
      <c r="H9" s="630">
        <f t="shared" si="5"/>
        <v>83308</v>
      </c>
      <c r="I9" s="630">
        <f t="shared" si="5"/>
        <v>80948</v>
      </c>
      <c r="J9" s="630">
        <f t="shared" si="5"/>
        <v>79083</v>
      </c>
      <c r="K9" s="630">
        <f t="shared" si="5"/>
        <v>80378</v>
      </c>
      <c r="L9" s="630">
        <f t="shared" si="5"/>
        <v>80398</v>
      </c>
      <c r="M9" s="630">
        <f t="shared" si="5"/>
        <v>79102</v>
      </c>
      <c r="N9" s="630">
        <f t="shared" si="5"/>
        <v>79426</v>
      </c>
      <c r="O9" s="630">
        <f>SUM(O17,O23:O30,O35)</f>
        <v>81998</v>
      </c>
      <c r="Q9" s="628" t="s">
        <v>1901</v>
      </c>
    </row>
    <row r="10" spans="1:17">
      <c r="D10" s="631"/>
      <c r="E10" s="631"/>
      <c r="F10" s="631"/>
      <c r="G10" s="631"/>
      <c r="H10" s="631"/>
      <c r="I10" s="631"/>
      <c r="J10" s="631"/>
      <c r="K10" s="631"/>
      <c r="L10" s="631"/>
      <c r="M10" s="631"/>
      <c r="N10" s="631"/>
      <c r="O10" s="631"/>
    </row>
    <row r="11" spans="1:17">
      <c r="A11" s="628" t="s">
        <v>6796</v>
      </c>
      <c r="D11" s="630">
        <f t="shared" ref="D11:I11" si="6">D7+D9</f>
        <v>163352</v>
      </c>
      <c r="E11" s="630">
        <f t="shared" si="6"/>
        <v>163769</v>
      </c>
      <c r="F11" s="630">
        <f t="shared" si="6"/>
        <v>165705</v>
      </c>
      <c r="G11" s="630">
        <f t="shared" si="6"/>
        <v>166433</v>
      </c>
      <c r="H11" s="630">
        <f t="shared" si="6"/>
        <v>168650</v>
      </c>
      <c r="I11" s="630">
        <f t="shared" si="6"/>
        <v>162922</v>
      </c>
      <c r="J11" s="630">
        <f t="shared" ref="J11:O11" si="7">J7+J9</f>
        <v>159510</v>
      </c>
      <c r="K11" s="630">
        <f t="shared" si="7"/>
        <v>162860</v>
      </c>
      <c r="L11" s="630">
        <f t="shared" si="7"/>
        <v>163163</v>
      </c>
      <c r="M11" s="630">
        <f t="shared" si="7"/>
        <v>160344</v>
      </c>
      <c r="N11" s="630">
        <f t="shared" si="7"/>
        <v>162148</v>
      </c>
      <c r="O11" s="630">
        <f t="shared" si="7"/>
        <v>168726</v>
      </c>
    </row>
    <row r="12" spans="1:17">
      <c r="D12" s="631"/>
      <c r="E12" s="631"/>
      <c r="F12" s="631"/>
      <c r="G12" s="631"/>
      <c r="H12" s="631"/>
      <c r="I12" s="631"/>
      <c r="J12" s="631"/>
      <c r="K12" s="631"/>
      <c r="L12" s="631"/>
      <c r="M12" s="631"/>
      <c r="N12" s="631"/>
      <c r="O12" s="631"/>
    </row>
    <row r="13" spans="1:17">
      <c r="A13" s="628" t="s">
        <v>6797</v>
      </c>
      <c r="D13" s="630">
        <f t="shared" ref="D13:I13" si="8">MAX(D7,D9)-MIN(D7,D9)</f>
        <v>1786</v>
      </c>
      <c r="E13" s="630">
        <f t="shared" si="8"/>
        <v>2895</v>
      </c>
      <c r="F13" s="630">
        <f t="shared" si="8"/>
        <v>2369</v>
      </c>
      <c r="G13" s="630">
        <f t="shared" si="8"/>
        <v>2143</v>
      </c>
      <c r="H13" s="630">
        <f t="shared" si="8"/>
        <v>2034</v>
      </c>
      <c r="I13" s="630">
        <f t="shared" si="8"/>
        <v>1026</v>
      </c>
      <c r="J13" s="630">
        <f t="shared" ref="J13:O13" si="9">MAX(J7,J9)-MIN(J7,J9)</f>
        <v>1344</v>
      </c>
      <c r="K13" s="630">
        <f t="shared" si="9"/>
        <v>2104</v>
      </c>
      <c r="L13" s="630">
        <f t="shared" si="9"/>
        <v>2367</v>
      </c>
      <c r="M13" s="630">
        <f t="shared" si="9"/>
        <v>2140</v>
      </c>
      <c r="N13" s="630">
        <f t="shared" si="9"/>
        <v>3296</v>
      </c>
      <c r="O13" s="630">
        <f t="shared" si="9"/>
        <v>4730</v>
      </c>
    </row>
    <row r="14" spans="1:17">
      <c r="D14" s="631"/>
      <c r="E14" s="631"/>
      <c r="F14" s="631"/>
      <c r="G14" s="631"/>
      <c r="H14" s="631"/>
      <c r="I14" s="631"/>
      <c r="J14" s="631"/>
      <c r="K14" s="631"/>
      <c r="L14" s="631"/>
      <c r="M14" s="631"/>
      <c r="N14" s="631"/>
      <c r="O14" s="631"/>
    </row>
    <row r="15" spans="1:17">
      <c r="A15" s="632" t="s">
        <v>6800</v>
      </c>
      <c r="D15" s="630">
        <f t="shared" ref="D15:I15" si="10">STDEVP(D7,D9)</f>
        <v>893</v>
      </c>
      <c r="E15" s="630">
        <f t="shared" si="10"/>
        <v>1447.5</v>
      </c>
      <c r="F15" s="630">
        <f t="shared" si="10"/>
        <v>1184.5</v>
      </c>
      <c r="G15" s="630">
        <f t="shared" si="10"/>
        <v>1071.5</v>
      </c>
      <c r="H15" s="630">
        <f t="shared" si="10"/>
        <v>1017</v>
      </c>
      <c r="I15" s="630">
        <f t="shared" si="10"/>
        <v>513</v>
      </c>
      <c r="J15" s="630">
        <f t="shared" ref="J15:O15" si="11">STDEVP(J7,J9)</f>
        <v>672</v>
      </c>
      <c r="K15" s="630">
        <f t="shared" si="11"/>
        <v>1052</v>
      </c>
      <c r="L15" s="630">
        <f t="shared" si="11"/>
        <v>1183.5</v>
      </c>
      <c r="M15" s="630">
        <f t="shared" si="11"/>
        <v>1070</v>
      </c>
      <c r="N15" s="630">
        <f t="shared" si="11"/>
        <v>1648</v>
      </c>
      <c r="O15" s="630">
        <f t="shared" si="11"/>
        <v>2365</v>
      </c>
    </row>
    <row r="17" spans="1:17">
      <c r="A17" s="628" t="s">
        <v>5387</v>
      </c>
      <c r="B17" s="628" t="s">
        <v>1903</v>
      </c>
      <c r="C17" s="55" t="s">
        <v>16011</v>
      </c>
      <c r="D17" s="633">
        <v>80783</v>
      </c>
      <c r="E17" s="633">
        <v>80437</v>
      </c>
      <c r="F17" s="633">
        <v>81668</v>
      </c>
      <c r="G17" s="633">
        <v>82145</v>
      </c>
      <c r="H17" s="63">
        <v>83308</v>
      </c>
      <c r="I17" s="63">
        <v>80948</v>
      </c>
      <c r="J17" s="63">
        <v>79083</v>
      </c>
      <c r="K17" s="63">
        <v>80378</v>
      </c>
      <c r="L17" s="63">
        <v>80398</v>
      </c>
      <c r="M17" s="63">
        <v>79102</v>
      </c>
      <c r="N17" s="63">
        <v>79426</v>
      </c>
      <c r="O17" s="63">
        <v>8884</v>
      </c>
      <c r="Q17" s="628" t="s">
        <v>1902</v>
      </c>
    </row>
    <row r="18" spans="1:17">
      <c r="A18" s="628" t="s">
        <v>5389</v>
      </c>
      <c r="B18" s="628" t="s">
        <v>15994</v>
      </c>
      <c r="C18" s="55" t="s">
        <v>15993</v>
      </c>
      <c r="D18" s="633">
        <v>82569</v>
      </c>
      <c r="E18" s="633">
        <v>83332</v>
      </c>
      <c r="F18" s="633">
        <v>84037</v>
      </c>
      <c r="G18" s="633">
        <v>84288</v>
      </c>
      <c r="H18" s="63">
        <v>85342</v>
      </c>
      <c r="I18" s="63">
        <v>81974</v>
      </c>
      <c r="J18" s="63">
        <v>80427</v>
      </c>
      <c r="K18" s="63">
        <v>82482</v>
      </c>
      <c r="L18" s="63">
        <v>82765</v>
      </c>
      <c r="M18" s="63">
        <v>81242</v>
      </c>
      <c r="N18" s="63">
        <v>82722</v>
      </c>
      <c r="O18" s="63">
        <v>4874</v>
      </c>
      <c r="Q18" s="628" t="s">
        <v>1900</v>
      </c>
    </row>
    <row r="19" spans="1:17">
      <c r="A19" s="628" t="s">
        <v>5391</v>
      </c>
      <c r="B19" s="628" t="s">
        <v>15996</v>
      </c>
      <c r="C19" s="55" t="s">
        <v>15995</v>
      </c>
      <c r="D19" s="633">
        <v>0</v>
      </c>
      <c r="E19" s="633">
        <v>0</v>
      </c>
      <c r="F19" s="633">
        <v>0</v>
      </c>
      <c r="G19" s="633">
        <v>0</v>
      </c>
      <c r="H19" s="633">
        <v>0</v>
      </c>
      <c r="I19" s="633">
        <v>0</v>
      </c>
      <c r="J19" s="633">
        <v>0</v>
      </c>
      <c r="K19" s="633">
        <v>0</v>
      </c>
      <c r="L19" s="633">
        <v>0</v>
      </c>
      <c r="M19" s="633">
        <v>0</v>
      </c>
      <c r="N19" s="633">
        <v>0</v>
      </c>
      <c r="O19" s="63">
        <v>5651</v>
      </c>
      <c r="Q19" s="148" t="s">
        <v>1900</v>
      </c>
    </row>
    <row r="20" spans="1:17">
      <c r="A20" s="628" t="s">
        <v>5393</v>
      </c>
      <c r="B20" s="628" t="s">
        <v>15998</v>
      </c>
      <c r="C20" s="55" t="s">
        <v>15997</v>
      </c>
      <c r="D20" s="633">
        <v>0</v>
      </c>
      <c r="E20" s="633">
        <v>0</v>
      </c>
      <c r="F20" s="633">
        <v>0</v>
      </c>
      <c r="G20" s="633">
        <v>0</v>
      </c>
      <c r="H20" s="633">
        <v>0</v>
      </c>
      <c r="I20" s="633">
        <v>0</v>
      </c>
      <c r="J20" s="633">
        <v>0</v>
      </c>
      <c r="K20" s="633">
        <v>0</v>
      </c>
      <c r="L20" s="633">
        <v>0</v>
      </c>
      <c r="M20" s="633">
        <v>0</v>
      </c>
      <c r="N20" s="633">
        <v>0</v>
      </c>
      <c r="O20" s="63">
        <v>8159</v>
      </c>
      <c r="Q20" s="148" t="s">
        <v>1900</v>
      </c>
    </row>
    <row r="21" spans="1:17">
      <c r="A21" s="628" t="s">
        <v>5394</v>
      </c>
      <c r="B21" s="628" t="s">
        <v>1904</v>
      </c>
      <c r="C21" s="55" t="s">
        <v>15999</v>
      </c>
      <c r="D21" s="633">
        <v>0</v>
      </c>
      <c r="E21" s="633">
        <v>0</v>
      </c>
      <c r="F21" s="633">
        <v>0</v>
      </c>
      <c r="G21" s="633">
        <v>0</v>
      </c>
      <c r="H21" s="633">
        <v>0</v>
      </c>
      <c r="I21" s="633">
        <v>0</v>
      </c>
      <c r="J21" s="633">
        <v>0</v>
      </c>
      <c r="K21" s="633">
        <v>0</v>
      </c>
      <c r="L21" s="633">
        <v>0</v>
      </c>
      <c r="M21" s="633">
        <v>0</v>
      </c>
      <c r="N21" s="633">
        <v>0</v>
      </c>
      <c r="O21" s="63">
        <v>9565</v>
      </c>
      <c r="Q21" s="148" t="s">
        <v>1900</v>
      </c>
    </row>
    <row r="22" spans="1:17">
      <c r="A22" s="628" t="s">
        <v>5416</v>
      </c>
      <c r="B22" s="628" t="s">
        <v>1905</v>
      </c>
      <c r="C22" s="55" t="s">
        <v>16000</v>
      </c>
      <c r="D22" s="633">
        <v>0</v>
      </c>
      <c r="E22" s="633">
        <v>0</v>
      </c>
      <c r="F22" s="633">
        <v>0</v>
      </c>
      <c r="G22" s="633">
        <v>0</v>
      </c>
      <c r="H22" s="633">
        <v>0</v>
      </c>
      <c r="I22" s="633">
        <v>0</v>
      </c>
      <c r="J22" s="633">
        <v>0</v>
      </c>
      <c r="K22" s="633">
        <v>0</v>
      </c>
      <c r="L22" s="633">
        <v>0</v>
      </c>
      <c r="M22" s="633">
        <v>0</v>
      </c>
      <c r="N22" s="633">
        <v>0</v>
      </c>
      <c r="O22" s="63">
        <v>6797</v>
      </c>
      <c r="Q22" s="148" t="s">
        <v>1900</v>
      </c>
    </row>
    <row r="23" spans="1:17">
      <c r="A23" s="628" t="s">
        <v>5418</v>
      </c>
      <c r="B23" s="628" t="s">
        <v>1906</v>
      </c>
      <c r="C23" s="55" t="s">
        <v>16012</v>
      </c>
      <c r="D23" s="633">
        <v>0</v>
      </c>
      <c r="E23" s="633">
        <v>0</v>
      </c>
      <c r="F23" s="633">
        <v>0</v>
      </c>
      <c r="G23" s="633">
        <v>0</v>
      </c>
      <c r="H23" s="633">
        <v>0</v>
      </c>
      <c r="I23" s="633">
        <v>0</v>
      </c>
      <c r="J23" s="633">
        <v>0</v>
      </c>
      <c r="K23" s="633">
        <v>0</v>
      </c>
      <c r="L23" s="633">
        <v>0</v>
      </c>
      <c r="M23" s="633">
        <v>0</v>
      </c>
      <c r="N23" s="633">
        <v>0</v>
      </c>
      <c r="O23" s="63">
        <v>8638</v>
      </c>
      <c r="Q23" s="148" t="s">
        <v>1902</v>
      </c>
    </row>
    <row r="24" spans="1:17">
      <c r="A24" s="628" t="s">
        <v>5420</v>
      </c>
      <c r="B24" s="628" t="s">
        <v>1907</v>
      </c>
      <c r="C24" s="55" t="s">
        <v>16013</v>
      </c>
      <c r="D24" s="633">
        <v>0</v>
      </c>
      <c r="E24" s="633">
        <v>0</v>
      </c>
      <c r="F24" s="633">
        <v>0</v>
      </c>
      <c r="G24" s="633">
        <v>0</v>
      </c>
      <c r="H24" s="633">
        <v>0</v>
      </c>
      <c r="I24" s="633">
        <v>0</v>
      </c>
      <c r="J24" s="633">
        <v>0</v>
      </c>
      <c r="K24" s="633">
        <v>0</v>
      </c>
      <c r="L24" s="633">
        <v>0</v>
      </c>
      <c r="M24" s="633">
        <v>0</v>
      </c>
      <c r="N24" s="633">
        <v>0</v>
      </c>
      <c r="O24" s="63">
        <v>7018</v>
      </c>
      <c r="Q24" s="148" t="s">
        <v>1902</v>
      </c>
    </row>
    <row r="25" spans="1:17">
      <c r="A25" s="628" t="s">
        <v>5422</v>
      </c>
      <c r="B25" s="628" t="s">
        <v>1908</v>
      </c>
      <c r="C25" s="55" t="s">
        <v>16014</v>
      </c>
      <c r="D25" s="633">
        <v>0</v>
      </c>
      <c r="E25" s="633">
        <v>0</v>
      </c>
      <c r="F25" s="633">
        <v>0</v>
      </c>
      <c r="G25" s="633">
        <v>0</v>
      </c>
      <c r="H25" s="633">
        <v>0</v>
      </c>
      <c r="I25" s="633">
        <v>0</v>
      </c>
      <c r="J25" s="633">
        <v>0</v>
      </c>
      <c r="K25" s="633">
        <v>0</v>
      </c>
      <c r="L25" s="633">
        <v>0</v>
      </c>
      <c r="M25" s="633">
        <v>0</v>
      </c>
      <c r="N25" s="633">
        <v>0</v>
      </c>
      <c r="O25" s="63">
        <v>9430</v>
      </c>
      <c r="Q25" s="148" t="s">
        <v>1902</v>
      </c>
    </row>
    <row r="26" spans="1:17">
      <c r="A26" s="628" t="s">
        <v>5424</v>
      </c>
      <c r="B26" s="628" t="s">
        <v>6276</v>
      </c>
      <c r="C26" s="55" t="s">
        <v>16015</v>
      </c>
      <c r="D26" s="633">
        <v>0</v>
      </c>
      <c r="E26" s="633">
        <v>0</v>
      </c>
      <c r="F26" s="633">
        <v>0</v>
      </c>
      <c r="G26" s="633">
        <v>0</v>
      </c>
      <c r="H26" s="633">
        <v>0</v>
      </c>
      <c r="I26" s="633">
        <v>0</v>
      </c>
      <c r="J26" s="633">
        <v>0</v>
      </c>
      <c r="K26" s="633">
        <v>0</v>
      </c>
      <c r="L26" s="633">
        <v>0</v>
      </c>
      <c r="M26" s="633">
        <v>0</v>
      </c>
      <c r="N26" s="633">
        <v>0</v>
      </c>
      <c r="O26" s="63">
        <v>6012</v>
      </c>
      <c r="Q26" s="148" t="s">
        <v>1902</v>
      </c>
    </row>
    <row r="27" spans="1:17">
      <c r="A27" s="628" t="s">
        <v>5426</v>
      </c>
      <c r="B27" s="628" t="s">
        <v>16017</v>
      </c>
      <c r="C27" s="55" t="s">
        <v>16016</v>
      </c>
      <c r="D27" s="633">
        <v>0</v>
      </c>
      <c r="E27" s="633">
        <v>0</v>
      </c>
      <c r="F27" s="633">
        <v>0</v>
      </c>
      <c r="G27" s="633">
        <v>0</v>
      </c>
      <c r="H27" s="633">
        <v>0</v>
      </c>
      <c r="I27" s="633">
        <v>0</v>
      </c>
      <c r="J27" s="633">
        <v>0</v>
      </c>
      <c r="K27" s="633">
        <v>0</v>
      </c>
      <c r="L27" s="633">
        <v>0</v>
      </c>
      <c r="M27" s="633">
        <v>0</v>
      </c>
      <c r="N27" s="633">
        <v>0</v>
      </c>
      <c r="O27" s="63">
        <v>9705</v>
      </c>
      <c r="Q27" s="148" t="s">
        <v>1902</v>
      </c>
    </row>
    <row r="28" spans="1:17">
      <c r="A28" s="628" t="s">
        <v>5428</v>
      </c>
      <c r="B28" s="628" t="s">
        <v>6277</v>
      </c>
      <c r="C28" s="55" t="s">
        <v>16018</v>
      </c>
      <c r="D28" s="633">
        <v>0</v>
      </c>
      <c r="E28" s="633">
        <v>0</v>
      </c>
      <c r="F28" s="633">
        <v>0</v>
      </c>
      <c r="G28" s="633">
        <v>0</v>
      </c>
      <c r="H28" s="633">
        <v>0</v>
      </c>
      <c r="I28" s="633">
        <v>0</v>
      </c>
      <c r="J28" s="633">
        <v>0</v>
      </c>
      <c r="K28" s="633">
        <v>0</v>
      </c>
      <c r="L28" s="633">
        <v>0</v>
      </c>
      <c r="M28" s="633">
        <v>0</v>
      </c>
      <c r="N28" s="633">
        <v>0</v>
      </c>
      <c r="O28" s="63">
        <v>8139</v>
      </c>
      <c r="Q28" s="148" t="s">
        <v>1902</v>
      </c>
    </row>
    <row r="29" spans="1:17">
      <c r="A29" s="628" t="s">
        <v>5429</v>
      </c>
      <c r="B29" s="628" t="s">
        <v>6278</v>
      </c>
      <c r="C29" s="55" t="s">
        <v>16019</v>
      </c>
      <c r="D29" s="633">
        <v>0</v>
      </c>
      <c r="E29" s="633">
        <v>0</v>
      </c>
      <c r="F29" s="633">
        <v>0</v>
      </c>
      <c r="G29" s="633">
        <v>0</v>
      </c>
      <c r="H29" s="633">
        <v>0</v>
      </c>
      <c r="I29" s="633">
        <v>0</v>
      </c>
      <c r="J29" s="633">
        <v>0</v>
      </c>
      <c r="K29" s="633">
        <v>0</v>
      </c>
      <c r="L29" s="633">
        <v>0</v>
      </c>
      <c r="M29" s="633">
        <v>0</v>
      </c>
      <c r="N29" s="633">
        <v>0</v>
      </c>
      <c r="O29" s="63">
        <v>6772</v>
      </c>
      <c r="Q29" s="148" t="s">
        <v>1902</v>
      </c>
    </row>
    <row r="30" spans="1:17">
      <c r="A30" s="628" t="s">
        <v>5431</v>
      </c>
      <c r="B30" s="628" t="s">
        <v>6279</v>
      </c>
      <c r="C30" s="55" t="s">
        <v>16020</v>
      </c>
      <c r="D30" s="633">
        <v>0</v>
      </c>
      <c r="E30" s="633">
        <v>0</v>
      </c>
      <c r="F30" s="633">
        <v>0</v>
      </c>
      <c r="G30" s="633">
        <v>0</v>
      </c>
      <c r="H30" s="633">
        <v>0</v>
      </c>
      <c r="I30" s="633">
        <v>0</v>
      </c>
      <c r="J30" s="633">
        <v>0</v>
      </c>
      <c r="K30" s="633">
        <v>0</v>
      </c>
      <c r="L30" s="633">
        <v>0</v>
      </c>
      <c r="M30" s="633">
        <v>0</v>
      </c>
      <c r="N30" s="633">
        <v>0</v>
      </c>
      <c r="O30" s="63">
        <v>9269</v>
      </c>
      <c r="Q30" s="148" t="s">
        <v>1902</v>
      </c>
    </row>
    <row r="31" spans="1:17">
      <c r="A31" s="628" t="s">
        <v>5433</v>
      </c>
      <c r="B31" s="628" t="s">
        <v>6280</v>
      </c>
      <c r="C31" s="55" t="s">
        <v>16001</v>
      </c>
      <c r="D31" s="633">
        <v>0</v>
      </c>
      <c r="E31" s="633">
        <v>0</v>
      </c>
      <c r="F31" s="633">
        <v>0</v>
      </c>
      <c r="G31" s="633">
        <v>0</v>
      </c>
      <c r="H31" s="633">
        <v>0</v>
      </c>
      <c r="I31" s="633">
        <v>0</v>
      </c>
      <c r="J31" s="633">
        <v>0</v>
      </c>
      <c r="K31" s="633">
        <v>0</v>
      </c>
      <c r="L31" s="633">
        <v>0</v>
      </c>
      <c r="M31" s="633">
        <v>0</v>
      </c>
      <c r="N31" s="633">
        <v>0</v>
      </c>
      <c r="O31" s="63">
        <v>4872</v>
      </c>
      <c r="Q31" s="148" t="s">
        <v>1900</v>
      </c>
    </row>
    <row r="32" spans="1:17">
      <c r="A32" s="628" t="s">
        <v>5435</v>
      </c>
      <c r="B32" s="628" t="s">
        <v>16003</v>
      </c>
      <c r="C32" s="55" t="s">
        <v>16002</v>
      </c>
      <c r="D32" s="633">
        <v>0</v>
      </c>
      <c r="E32" s="633">
        <v>0</v>
      </c>
      <c r="F32" s="633">
        <v>0</v>
      </c>
      <c r="G32" s="633">
        <v>0</v>
      </c>
      <c r="H32" s="633">
        <v>0</v>
      </c>
      <c r="I32" s="633">
        <v>0</v>
      </c>
      <c r="J32" s="633">
        <v>0</v>
      </c>
      <c r="K32" s="633">
        <v>0</v>
      </c>
      <c r="L32" s="633">
        <v>0</v>
      </c>
      <c r="M32" s="633">
        <v>0</v>
      </c>
      <c r="N32" s="633">
        <v>0</v>
      </c>
      <c r="O32" s="63">
        <v>4475</v>
      </c>
      <c r="Q32" s="148" t="s">
        <v>1900</v>
      </c>
    </row>
    <row r="33" spans="1:17">
      <c r="A33" s="628" t="s">
        <v>5436</v>
      </c>
      <c r="B33" s="628" t="s">
        <v>6281</v>
      </c>
      <c r="C33" s="55" t="s">
        <v>16004</v>
      </c>
      <c r="D33" s="633">
        <v>0</v>
      </c>
      <c r="E33" s="633">
        <v>0</v>
      </c>
      <c r="F33" s="633">
        <v>0</v>
      </c>
      <c r="G33" s="633">
        <v>0</v>
      </c>
      <c r="H33" s="633">
        <v>0</v>
      </c>
      <c r="I33" s="633">
        <v>0</v>
      </c>
      <c r="J33" s="633">
        <v>0</v>
      </c>
      <c r="K33" s="633">
        <v>0</v>
      </c>
      <c r="L33" s="633">
        <v>0</v>
      </c>
      <c r="M33" s="633">
        <v>0</v>
      </c>
      <c r="N33" s="633">
        <v>0</v>
      </c>
      <c r="O33" s="63">
        <v>8584</v>
      </c>
      <c r="Q33" s="148" t="s">
        <v>1900</v>
      </c>
    </row>
    <row r="34" spans="1:17">
      <c r="A34" s="628" t="s">
        <v>5437</v>
      </c>
      <c r="B34" s="628" t="s">
        <v>6282</v>
      </c>
      <c r="C34" s="55" t="s">
        <v>16005</v>
      </c>
      <c r="D34" s="633">
        <v>0</v>
      </c>
      <c r="E34" s="633">
        <v>0</v>
      </c>
      <c r="F34" s="633">
        <v>0</v>
      </c>
      <c r="G34" s="633">
        <v>0</v>
      </c>
      <c r="H34" s="633">
        <v>0</v>
      </c>
      <c r="I34" s="633">
        <v>0</v>
      </c>
      <c r="J34" s="633">
        <v>0</v>
      </c>
      <c r="K34" s="633">
        <v>0</v>
      </c>
      <c r="L34" s="633">
        <v>0</v>
      </c>
      <c r="M34" s="633">
        <v>0</v>
      </c>
      <c r="N34" s="633">
        <v>0</v>
      </c>
      <c r="O34" s="63">
        <v>8864</v>
      </c>
      <c r="Q34" s="148" t="s">
        <v>1900</v>
      </c>
    </row>
    <row r="35" spans="1:17">
      <c r="A35" s="628" t="s">
        <v>5439</v>
      </c>
      <c r="B35" s="628" t="s">
        <v>6283</v>
      </c>
      <c r="C35" s="55" t="s">
        <v>16021</v>
      </c>
      <c r="D35" s="633">
        <v>0</v>
      </c>
      <c r="E35" s="633">
        <v>0</v>
      </c>
      <c r="F35" s="633">
        <v>0</v>
      </c>
      <c r="G35" s="633">
        <v>0</v>
      </c>
      <c r="H35" s="633">
        <v>0</v>
      </c>
      <c r="I35" s="633">
        <v>0</v>
      </c>
      <c r="J35" s="633">
        <v>0</v>
      </c>
      <c r="K35" s="633">
        <v>0</v>
      </c>
      <c r="L35" s="633">
        <v>0</v>
      </c>
      <c r="M35" s="633">
        <v>0</v>
      </c>
      <c r="N35" s="633">
        <v>0</v>
      </c>
      <c r="O35" s="63">
        <v>8131</v>
      </c>
      <c r="Q35" s="148" t="s">
        <v>1902</v>
      </c>
    </row>
    <row r="36" spans="1:17">
      <c r="A36" s="628" t="s">
        <v>5441</v>
      </c>
      <c r="B36" s="628" t="s">
        <v>6284</v>
      </c>
      <c r="C36" s="55" t="s">
        <v>16006</v>
      </c>
      <c r="D36" s="633">
        <v>0</v>
      </c>
      <c r="E36" s="633">
        <v>0</v>
      </c>
      <c r="F36" s="633">
        <v>0</v>
      </c>
      <c r="G36" s="633">
        <v>0</v>
      </c>
      <c r="H36" s="633">
        <v>0</v>
      </c>
      <c r="I36" s="633">
        <v>0</v>
      </c>
      <c r="J36" s="633">
        <v>0</v>
      </c>
      <c r="K36" s="633">
        <v>0</v>
      </c>
      <c r="L36" s="633">
        <v>0</v>
      </c>
      <c r="M36" s="633">
        <v>0</v>
      </c>
      <c r="N36" s="633">
        <v>0</v>
      </c>
      <c r="O36" s="63">
        <v>8551</v>
      </c>
      <c r="Q36" s="148" t="s">
        <v>1900</v>
      </c>
    </row>
    <row r="37" spans="1:17">
      <c r="A37" s="1007" t="s">
        <v>5886</v>
      </c>
      <c r="B37" s="628" t="s">
        <v>16008</v>
      </c>
      <c r="C37" s="55" t="s">
        <v>16007</v>
      </c>
      <c r="D37" s="633">
        <v>0</v>
      </c>
      <c r="E37" s="633">
        <v>0</v>
      </c>
      <c r="F37" s="633">
        <v>0</v>
      </c>
      <c r="G37" s="633">
        <v>0</v>
      </c>
      <c r="H37" s="633">
        <v>0</v>
      </c>
      <c r="I37" s="633">
        <v>0</v>
      </c>
      <c r="J37" s="633">
        <v>0</v>
      </c>
      <c r="K37" s="633">
        <v>0</v>
      </c>
      <c r="L37" s="633">
        <v>0</v>
      </c>
      <c r="M37" s="633">
        <v>0</v>
      </c>
      <c r="N37" s="633">
        <v>0</v>
      </c>
      <c r="O37" s="63">
        <v>9048</v>
      </c>
      <c r="Q37" s="148" t="s">
        <v>1900</v>
      </c>
    </row>
    <row r="38" spans="1:17">
      <c r="A38" s="1007" t="s">
        <v>5888</v>
      </c>
      <c r="B38" s="628" t="s">
        <v>16010</v>
      </c>
      <c r="C38" s="55" t="s">
        <v>16009</v>
      </c>
      <c r="D38" s="633">
        <v>0</v>
      </c>
      <c r="E38" s="633">
        <v>0</v>
      </c>
      <c r="F38" s="633">
        <v>0</v>
      </c>
      <c r="G38" s="633">
        <v>0</v>
      </c>
      <c r="H38" s="633">
        <v>0</v>
      </c>
      <c r="I38" s="633">
        <v>0</v>
      </c>
      <c r="J38" s="633">
        <v>0</v>
      </c>
      <c r="K38" s="633">
        <v>0</v>
      </c>
      <c r="L38" s="633">
        <v>0</v>
      </c>
      <c r="M38" s="633">
        <v>0</v>
      </c>
      <c r="N38" s="633">
        <v>0</v>
      </c>
      <c r="O38" s="63">
        <v>7288</v>
      </c>
      <c r="Q38" s="148" t="s">
        <v>1900</v>
      </c>
    </row>
    <row r="40" spans="1:17">
      <c r="A40" s="148" t="s">
        <v>4832</v>
      </c>
    </row>
    <row r="41" spans="1:17">
      <c r="A41" s="148" t="s">
        <v>16022</v>
      </c>
    </row>
    <row r="43" spans="1:17">
      <c r="A43" s="1008" t="s">
        <v>16023</v>
      </c>
    </row>
    <row r="44" spans="1:17">
      <c r="A44" s="167" t="s">
        <v>16099</v>
      </c>
    </row>
  </sheetData>
  <phoneticPr fontId="6" type="noConversion"/>
  <printOptions gridLinesSet="0"/>
  <pageMargins left="0.78740157480314965" right="0" top="0.51181102362204722" bottom="0.51181102362204722" header="0.51181102362204722" footer="0.51181102362204722"/>
  <pageSetup paperSize="9" scale="76" orientation="portrait" horizontalDpi="300" verticalDpi="300" r:id="rId1"/>
  <headerFooter alignWithMargins="0">
    <oddFooter>&amp;C&amp;"Times New Roman,Regular"&amp;8&amp;P of &amp;N</oddFooter>
  </headerFooter>
  <ignoredErrors>
    <ignoredError sqref="D3:E4 F3:F4 G3:G4 D5:E6 F5:F6 G5:G6 H3:H4 H5:H6 I3:I6 J3:J6 K3:K6 J10:J15 L3:L6 D10:E15 F10:F15 G10:G15 H10:H15 I10:I15 K10:K15 L10:L15"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dimension ref="A1:Q179"/>
  <sheetViews>
    <sheetView showGridLines="0" zoomScale="90" zoomScaleNormal="90" workbookViewId="0">
      <selection activeCell="Q155" sqref="Q155"/>
    </sheetView>
  </sheetViews>
  <sheetFormatPr defaultColWidth="12.5703125" defaultRowHeight="15"/>
  <cols>
    <col min="1" max="1" width="4.85546875" style="147" customWidth="1"/>
    <col min="2" max="2" width="51" style="147" customWidth="1"/>
    <col min="3" max="3" width="11.85546875" style="147" customWidth="1"/>
    <col min="4" max="15" width="10" style="147" customWidth="1"/>
    <col min="16" max="16" width="2.28515625" style="147" customWidth="1"/>
    <col min="17" max="17" width="36.28515625" style="147" bestFit="1" customWidth="1"/>
    <col min="18" max="16384" width="12.5703125" style="147"/>
  </cols>
  <sheetData>
    <row r="1" spans="1:17">
      <c r="A1" s="619" t="s">
        <v>6924</v>
      </c>
      <c r="D1" s="620">
        <v>2010</v>
      </c>
      <c r="E1" s="620">
        <v>2011</v>
      </c>
      <c r="F1" s="620">
        <v>2012</v>
      </c>
      <c r="G1" s="620">
        <v>2013</v>
      </c>
      <c r="H1" s="620">
        <v>2014</v>
      </c>
      <c r="I1" s="620">
        <v>2015</v>
      </c>
      <c r="J1" s="620">
        <v>2016</v>
      </c>
      <c r="K1" s="620">
        <v>2017</v>
      </c>
      <c r="L1" s="620">
        <v>2018</v>
      </c>
      <c r="M1" s="620">
        <v>2019</v>
      </c>
      <c r="N1" s="620">
        <v>2020</v>
      </c>
      <c r="O1" s="965" t="s">
        <v>14823</v>
      </c>
    </row>
    <row r="3" spans="1:17">
      <c r="A3" s="619" t="s">
        <v>3086</v>
      </c>
      <c r="C3" s="619"/>
      <c r="D3" s="621">
        <f t="shared" ref="D3:I3" si="0">D52</f>
        <v>265296</v>
      </c>
      <c r="E3" s="621">
        <f t="shared" si="0"/>
        <v>265356</v>
      </c>
      <c r="F3" s="621">
        <f t="shared" si="0"/>
        <v>265031</v>
      </c>
      <c r="G3" s="621">
        <f t="shared" si="0"/>
        <v>267415</v>
      </c>
      <c r="H3" s="621">
        <f t="shared" si="0"/>
        <v>266457</v>
      </c>
      <c r="I3" s="621">
        <f t="shared" si="0"/>
        <v>261259</v>
      </c>
      <c r="J3" s="621">
        <f t="shared" ref="J3:O3" si="1">J52</f>
        <v>254116</v>
      </c>
      <c r="K3" s="621">
        <f t="shared" si="1"/>
        <v>258789</v>
      </c>
      <c r="L3" s="621">
        <f t="shared" si="1"/>
        <v>261070</v>
      </c>
      <c r="M3" s="621">
        <f t="shared" si="1"/>
        <v>262734</v>
      </c>
      <c r="N3" s="621">
        <f t="shared" si="1"/>
        <v>261401</v>
      </c>
      <c r="O3" s="621">
        <f t="shared" si="1"/>
        <v>264293</v>
      </c>
    </row>
    <row r="4" spans="1:17">
      <c r="A4" s="619" t="s">
        <v>3087</v>
      </c>
      <c r="C4" s="619"/>
      <c r="D4" s="621">
        <f t="shared" ref="D4:I4" si="2">D91</f>
        <v>180755</v>
      </c>
      <c r="E4" s="621">
        <f t="shared" si="2"/>
        <v>182950</v>
      </c>
      <c r="F4" s="621">
        <f t="shared" si="2"/>
        <v>183658</v>
      </c>
      <c r="G4" s="621">
        <f t="shared" si="2"/>
        <v>183976</v>
      </c>
      <c r="H4" s="621">
        <f t="shared" si="2"/>
        <v>184098</v>
      </c>
      <c r="I4" s="621">
        <f t="shared" si="2"/>
        <v>174136</v>
      </c>
      <c r="J4" s="621">
        <f t="shared" ref="J4:O4" si="3">J91</f>
        <v>175422</v>
      </c>
      <c r="K4" s="621">
        <f t="shared" si="3"/>
        <v>178544</v>
      </c>
      <c r="L4" s="621">
        <f t="shared" si="3"/>
        <v>175412</v>
      </c>
      <c r="M4" s="621">
        <f t="shared" si="3"/>
        <v>173063</v>
      </c>
      <c r="N4" s="621">
        <f t="shared" si="3"/>
        <v>175645</v>
      </c>
      <c r="O4" s="621">
        <f t="shared" si="3"/>
        <v>178629</v>
      </c>
    </row>
    <row r="5" spans="1:17">
      <c r="A5" s="619" t="s">
        <v>3088</v>
      </c>
      <c r="C5" s="619"/>
      <c r="D5" s="621">
        <f t="shared" ref="D5:I5" si="4">D131</f>
        <v>115415</v>
      </c>
      <c r="E5" s="621">
        <f t="shared" si="4"/>
        <v>115806</v>
      </c>
      <c r="F5" s="621">
        <f t="shared" si="4"/>
        <v>116307</v>
      </c>
      <c r="G5" s="621">
        <f t="shared" si="4"/>
        <v>115755</v>
      </c>
      <c r="H5" s="621">
        <f t="shared" si="4"/>
        <v>114083</v>
      </c>
      <c r="I5" s="621">
        <f t="shared" si="4"/>
        <v>109553</v>
      </c>
      <c r="J5" s="621">
        <f t="shared" ref="J5:O5" si="5">J131</f>
        <v>112541</v>
      </c>
      <c r="K5" s="621">
        <f t="shared" si="5"/>
        <v>117081</v>
      </c>
      <c r="L5" s="621">
        <f t="shared" si="5"/>
        <v>115876</v>
      </c>
      <c r="M5" s="621">
        <f t="shared" si="5"/>
        <v>114786</v>
      </c>
      <c r="N5" s="621">
        <f t="shared" si="5"/>
        <v>114735</v>
      </c>
      <c r="O5" s="621">
        <f t="shared" si="5"/>
        <v>115996</v>
      </c>
    </row>
    <row r="6" spans="1:17" ht="15.75" thickBot="1">
      <c r="A6" s="619" t="s">
        <v>3089</v>
      </c>
      <c r="C6" s="619"/>
      <c r="D6" s="622">
        <f t="shared" ref="D6:I6" si="6">D156</f>
        <v>124476</v>
      </c>
      <c r="E6" s="622">
        <f t="shared" si="6"/>
        <v>124610</v>
      </c>
      <c r="F6" s="622">
        <f t="shared" si="6"/>
        <v>124626</v>
      </c>
      <c r="G6" s="622">
        <f t="shared" si="6"/>
        <v>125173</v>
      </c>
      <c r="H6" s="622">
        <f t="shared" si="6"/>
        <v>124636</v>
      </c>
      <c r="I6" s="622">
        <f t="shared" si="6"/>
        <v>121292</v>
      </c>
      <c r="J6" s="622">
        <f t="shared" ref="J6:O6" si="7">J156</f>
        <v>119916</v>
      </c>
      <c r="K6" s="622">
        <f t="shared" si="7"/>
        <v>122395</v>
      </c>
      <c r="L6" s="622">
        <f t="shared" si="7"/>
        <v>122502</v>
      </c>
      <c r="M6" s="622">
        <f t="shared" si="7"/>
        <v>126815</v>
      </c>
      <c r="N6" s="622">
        <f t="shared" si="7"/>
        <v>120988</v>
      </c>
      <c r="O6" s="622">
        <f t="shared" si="7"/>
        <v>125376</v>
      </c>
    </row>
    <row r="7" spans="1:17" ht="15.75" thickBot="1">
      <c r="D7" s="622">
        <f t="shared" ref="D7:I7" si="8">SUM(D3:D6)</f>
        <v>685942</v>
      </c>
      <c r="E7" s="622">
        <f t="shared" si="8"/>
        <v>688722</v>
      </c>
      <c r="F7" s="622">
        <f t="shared" si="8"/>
        <v>689622</v>
      </c>
      <c r="G7" s="622">
        <f t="shared" si="8"/>
        <v>692319</v>
      </c>
      <c r="H7" s="622">
        <f t="shared" si="8"/>
        <v>689274</v>
      </c>
      <c r="I7" s="622">
        <f t="shared" si="8"/>
        <v>666240</v>
      </c>
      <c r="J7" s="622">
        <f t="shared" ref="J7:O7" si="9">SUM(J3:J6)</f>
        <v>661995</v>
      </c>
      <c r="K7" s="622">
        <f t="shared" si="9"/>
        <v>676809</v>
      </c>
      <c r="L7" s="622">
        <f t="shared" si="9"/>
        <v>674860</v>
      </c>
      <c r="M7" s="622">
        <f t="shared" si="9"/>
        <v>677398</v>
      </c>
      <c r="N7" s="622">
        <f t="shared" si="9"/>
        <v>672769</v>
      </c>
      <c r="O7" s="622">
        <f t="shared" si="9"/>
        <v>684294</v>
      </c>
    </row>
    <row r="9" spans="1:17">
      <c r="A9" s="619" t="s">
        <v>3090</v>
      </c>
      <c r="D9" s="621">
        <f t="shared" ref="D9:I9" si="10">D3/4</f>
        <v>66324</v>
      </c>
      <c r="E9" s="621">
        <f t="shared" si="10"/>
        <v>66339</v>
      </c>
      <c r="F9" s="621">
        <f t="shared" si="10"/>
        <v>66257.75</v>
      </c>
      <c r="G9" s="621">
        <f t="shared" si="10"/>
        <v>66853.75</v>
      </c>
      <c r="H9" s="621">
        <f t="shared" si="10"/>
        <v>66614.25</v>
      </c>
      <c r="I9" s="621">
        <f t="shared" si="10"/>
        <v>65314.75</v>
      </c>
      <c r="J9" s="621">
        <f t="shared" ref="J9:O9" si="11">J3/4</f>
        <v>63529</v>
      </c>
      <c r="K9" s="621">
        <f t="shared" si="11"/>
        <v>64697.25</v>
      </c>
      <c r="L9" s="621">
        <f t="shared" si="11"/>
        <v>65267.5</v>
      </c>
      <c r="M9" s="621">
        <f t="shared" si="11"/>
        <v>65683.5</v>
      </c>
      <c r="N9" s="621">
        <f t="shared" si="11"/>
        <v>65350.25</v>
      </c>
      <c r="O9" s="621">
        <f t="shared" si="11"/>
        <v>66073.25</v>
      </c>
    </row>
    <row r="10" spans="1:17">
      <c r="A10" s="619" t="s">
        <v>3061</v>
      </c>
      <c r="D10" s="621">
        <f t="shared" ref="D10:I10" si="12">D4/3</f>
        <v>60251.666666666664</v>
      </c>
      <c r="E10" s="621">
        <f t="shared" si="12"/>
        <v>60983.333333333336</v>
      </c>
      <c r="F10" s="621">
        <f t="shared" si="12"/>
        <v>61219.333333333336</v>
      </c>
      <c r="G10" s="621">
        <f t="shared" si="12"/>
        <v>61325.333333333336</v>
      </c>
      <c r="H10" s="621">
        <f t="shared" si="12"/>
        <v>61366</v>
      </c>
      <c r="I10" s="621">
        <f t="shared" si="12"/>
        <v>58045.333333333336</v>
      </c>
      <c r="J10" s="621">
        <f t="shared" ref="J10:O10" si="13">J4/3</f>
        <v>58474</v>
      </c>
      <c r="K10" s="621">
        <f t="shared" si="13"/>
        <v>59514.666666666664</v>
      </c>
      <c r="L10" s="621">
        <f t="shared" si="13"/>
        <v>58470.666666666664</v>
      </c>
      <c r="M10" s="621">
        <f t="shared" si="13"/>
        <v>57687.666666666664</v>
      </c>
      <c r="N10" s="621">
        <f t="shared" si="13"/>
        <v>58548.333333333336</v>
      </c>
      <c r="O10" s="621">
        <f t="shared" si="13"/>
        <v>59543</v>
      </c>
    </row>
    <row r="11" spans="1:17">
      <c r="A11" s="619" t="s">
        <v>3062</v>
      </c>
      <c r="D11" s="621">
        <f t="shared" ref="D11:I12" si="14">D5/2</f>
        <v>57707.5</v>
      </c>
      <c r="E11" s="621">
        <f t="shared" si="14"/>
        <v>57903</v>
      </c>
      <c r="F11" s="621">
        <f t="shared" si="14"/>
        <v>58153.5</v>
      </c>
      <c r="G11" s="621">
        <f t="shared" si="14"/>
        <v>57877.5</v>
      </c>
      <c r="H11" s="621">
        <f t="shared" si="14"/>
        <v>57041.5</v>
      </c>
      <c r="I11" s="621">
        <f t="shared" si="14"/>
        <v>54776.5</v>
      </c>
      <c r="J11" s="621">
        <f t="shared" ref="J11:O12" si="15">J5/2</f>
        <v>56270.5</v>
      </c>
      <c r="K11" s="621">
        <f t="shared" si="15"/>
        <v>58540.5</v>
      </c>
      <c r="L11" s="621">
        <f t="shared" si="15"/>
        <v>57938</v>
      </c>
      <c r="M11" s="621">
        <f t="shared" si="15"/>
        <v>57393</v>
      </c>
      <c r="N11" s="621">
        <f t="shared" si="15"/>
        <v>57367.5</v>
      </c>
      <c r="O11" s="621">
        <f t="shared" si="15"/>
        <v>57998</v>
      </c>
    </row>
    <row r="12" spans="1:17">
      <c r="A12" s="619" t="s">
        <v>3063</v>
      </c>
      <c r="D12" s="621">
        <f t="shared" si="14"/>
        <v>62238</v>
      </c>
      <c r="E12" s="621">
        <f t="shared" si="14"/>
        <v>62305</v>
      </c>
      <c r="F12" s="621">
        <f t="shared" si="14"/>
        <v>62313</v>
      </c>
      <c r="G12" s="621">
        <f t="shared" si="14"/>
        <v>62586.5</v>
      </c>
      <c r="H12" s="621">
        <f t="shared" si="14"/>
        <v>62318</v>
      </c>
      <c r="I12" s="621">
        <f t="shared" si="14"/>
        <v>60646</v>
      </c>
      <c r="J12" s="621">
        <f t="shared" si="15"/>
        <v>59958</v>
      </c>
      <c r="K12" s="621">
        <f t="shared" si="15"/>
        <v>61197.5</v>
      </c>
      <c r="L12" s="621">
        <f t="shared" si="15"/>
        <v>61251</v>
      </c>
      <c r="M12" s="621">
        <f t="shared" si="15"/>
        <v>63407.5</v>
      </c>
      <c r="N12" s="621">
        <f t="shared" si="15"/>
        <v>60494</v>
      </c>
      <c r="O12" s="621">
        <f t="shared" si="15"/>
        <v>62688</v>
      </c>
    </row>
    <row r="13" spans="1:17">
      <c r="A13" s="619" t="s">
        <v>3583</v>
      </c>
      <c r="D13" s="621">
        <f t="shared" ref="D13:I13" si="16">D7/9</f>
        <v>76215.777777777781</v>
      </c>
      <c r="E13" s="621">
        <f t="shared" si="16"/>
        <v>76524.666666666672</v>
      </c>
      <c r="F13" s="621">
        <f t="shared" si="16"/>
        <v>76624.666666666672</v>
      </c>
      <c r="G13" s="621">
        <f t="shared" si="16"/>
        <v>76924.333333333328</v>
      </c>
      <c r="H13" s="621">
        <f t="shared" si="16"/>
        <v>76586</v>
      </c>
      <c r="I13" s="621">
        <f t="shared" si="16"/>
        <v>74026.666666666672</v>
      </c>
      <c r="J13" s="621">
        <f t="shared" ref="J13:O13" si="17">J7/9</f>
        <v>73555</v>
      </c>
      <c r="K13" s="621">
        <f t="shared" si="17"/>
        <v>75201</v>
      </c>
      <c r="L13" s="621">
        <f t="shared" si="17"/>
        <v>74984.444444444438</v>
      </c>
      <c r="M13" s="621">
        <f t="shared" si="17"/>
        <v>75266.444444444438</v>
      </c>
      <c r="N13" s="621">
        <f t="shared" si="17"/>
        <v>74752.111111111109</v>
      </c>
      <c r="O13" s="621">
        <f t="shared" si="17"/>
        <v>76032.666666666672</v>
      </c>
    </row>
    <row r="14" spans="1:17">
      <c r="D14" s="623"/>
      <c r="E14" s="623"/>
      <c r="F14" s="623"/>
      <c r="G14" s="623"/>
      <c r="H14" s="623"/>
      <c r="I14" s="623"/>
      <c r="J14" s="623"/>
      <c r="K14" s="623"/>
      <c r="L14" s="623"/>
      <c r="M14" s="623"/>
      <c r="N14" s="623"/>
      <c r="O14" s="623"/>
    </row>
    <row r="15" spans="1:17">
      <c r="A15" s="619" t="s">
        <v>3065</v>
      </c>
      <c r="D15" s="621">
        <f t="shared" ref="D15:I15" si="18">D80</f>
        <v>79788</v>
      </c>
      <c r="E15" s="621">
        <f t="shared" si="18"/>
        <v>79775</v>
      </c>
      <c r="F15" s="621">
        <f t="shared" si="18"/>
        <v>80082</v>
      </c>
      <c r="G15" s="621">
        <f t="shared" si="18"/>
        <v>80263</v>
      </c>
      <c r="H15" s="621">
        <f t="shared" si="18"/>
        <v>80289</v>
      </c>
      <c r="I15" s="621">
        <f t="shared" si="18"/>
        <v>79095</v>
      </c>
      <c r="J15" s="621">
        <f t="shared" ref="J15:O15" si="19">J80</f>
        <v>76641</v>
      </c>
      <c r="K15" s="621">
        <f t="shared" si="19"/>
        <v>78290</v>
      </c>
      <c r="L15" s="621">
        <f t="shared" si="19"/>
        <v>78817</v>
      </c>
      <c r="M15" s="621">
        <f t="shared" si="19"/>
        <v>79184</v>
      </c>
      <c r="N15" s="621">
        <f t="shared" si="19"/>
        <v>78645</v>
      </c>
      <c r="O15" s="621">
        <f t="shared" si="19"/>
        <v>79564</v>
      </c>
      <c r="Q15" s="619" t="s">
        <v>3066</v>
      </c>
    </row>
    <row r="16" spans="1:17">
      <c r="D16" s="623"/>
      <c r="E16" s="623"/>
      <c r="F16" s="623"/>
      <c r="G16" s="623"/>
      <c r="H16" s="623"/>
      <c r="I16" s="623"/>
      <c r="J16" s="623"/>
      <c r="K16" s="623"/>
      <c r="L16" s="623"/>
      <c r="M16" s="623"/>
      <c r="N16" s="623"/>
      <c r="O16" s="623"/>
    </row>
    <row r="17" spans="1:17">
      <c r="A17" s="619" t="s">
        <v>3067</v>
      </c>
      <c r="D17" s="621">
        <f t="shared" ref="D17:I17" si="20">D81</f>
        <v>22732</v>
      </c>
      <c r="E17" s="621">
        <f t="shared" si="20"/>
        <v>22631</v>
      </c>
      <c r="F17" s="621">
        <f t="shared" si="20"/>
        <v>22689</v>
      </c>
      <c r="G17" s="621">
        <f t="shared" si="20"/>
        <v>22849</v>
      </c>
      <c r="H17" s="621">
        <f t="shared" si="20"/>
        <v>22681</v>
      </c>
      <c r="I17" s="621">
        <f t="shared" si="20"/>
        <v>22217</v>
      </c>
      <c r="J17" s="621">
        <f t="shared" ref="J17:O17" si="21">J81</f>
        <v>21367</v>
      </c>
      <c r="K17" s="621">
        <f t="shared" si="21"/>
        <v>21559</v>
      </c>
      <c r="L17" s="621">
        <f t="shared" si="21"/>
        <v>21498</v>
      </c>
      <c r="M17" s="621">
        <f t="shared" si="21"/>
        <v>21599</v>
      </c>
      <c r="N17" s="621">
        <f t="shared" si="21"/>
        <v>21323</v>
      </c>
      <c r="O17" s="621">
        <f t="shared" si="21"/>
        <v>21565</v>
      </c>
      <c r="Q17" s="619" t="s">
        <v>3066</v>
      </c>
    </row>
    <row r="18" spans="1:17" ht="15.75" thickBot="1">
      <c r="D18" s="622">
        <f t="shared" ref="D18:I18" si="22">D175</f>
        <v>44089</v>
      </c>
      <c r="E18" s="622">
        <f t="shared" si="22"/>
        <v>44103</v>
      </c>
      <c r="F18" s="622">
        <f t="shared" si="22"/>
        <v>44186</v>
      </c>
      <c r="G18" s="622">
        <f t="shared" si="22"/>
        <v>44308</v>
      </c>
      <c r="H18" s="622">
        <f t="shared" si="22"/>
        <v>43972</v>
      </c>
      <c r="I18" s="622">
        <f t="shared" si="22"/>
        <v>42863</v>
      </c>
      <c r="J18" s="622">
        <f t="shared" ref="J18:O18" si="23">J175</f>
        <v>42492</v>
      </c>
      <c r="K18" s="622">
        <f t="shared" si="23"/>
        <v>43617</v>
      </c>
      <c r="L18" s="622">
        <f t="shared" si="23"/>
        <v>43756</v>
      </c>
      <c r="M18" s="622">
        <f t="shared" si="23"/>
        <v>45306</v>
      </c>
      <c r="N18" s="622">
        <f t="shared" si="23"/>
        <v>43042</v>
      </c>
      <c r="O18" s="622">
        <f t="shared" si="23"/>
        <v>44523</v>
      </c>
      <c r="Q18" s="619" t="s">
        <v>3068</v>
      </c>
    </row>
    <row r="19" spans="1:17" ht="15.75" thickBot="1">
      <c r="D19" s="622">
        <f t="shared" ref="D19:I19" si="24">D17+D18</f>
        <v>66821</v>
      </c>
      <c r="E19" s="622">
        <f t="shared" si="24"/>
        <v>66734</v>
      </c>
      <c r="F19" s="622">
        <f t="shared" si="24"/>
        <v>66875</v>
      </c>
      <c r="G19" s="622">
        <f t="shared" si="24"/>
        <v>67157</v>
      </c>
      <c r="H19" s="622">
        <f t="shared" si="24"/>
        <v>66653</v>
      </c>
      <c r="I19" s="622">
        <f t="shared" si="24"/>
        <v>65080</v>
      </c>
      <c r="J19" s="622">
        <f t="shared" ref="J19:O19" si="25">J17+J18</f>
        <v>63859</v>
      </c>
      <c r="K19" s="622">
        <f t="shared" si="25"/>
        <v>65176</v>
      </c>
      <c r="L19" s="622">
        <f t="shared" si="25"/>
        <v>65254</v>
      </c>
      <c r="M19" s="622">
        <f t="shared" si="25"/>
        <v>66905</v>
      </c>
      <c r="N19" s="622">
        <f t="shared" si="25"/>
        <v>64365</v>
      </c>
      <c r="O19" s="622">
        <f t="shared" si="25"/>
        <v>66088</v>
      </c>
    </row>
    <row r="20" spans="1:17">
      <c r="D20" s="623"/>
      <c r="E20" s="623"/>
      <c r="F20" s="623"/>
      <c r="G20" s="623"/>
      <c r="H20" s="623"/>
      <c r="I20" s="623"/>
      <c r="J20" s="623"/>
      <c r="K20" s="623"/>
      <c r="L20" s="623"/>
      <c r="M20" s="623"/>
      <c r="N20" s="623"/>
      <c r="O20" s="623"/>
    </row>
    <row r="21" spans="1:17">
      <c r="A21" s="619" t="s">
        <v>3069</v>
      </c>
      <c r="D21" s="621">
        <f t="shared" ref="D21:I21" si="26">D148</f>
        <v>53762</v>
      </c>
      <c r="E21" s="621">
        <f t="shared" si="26"/>
        <v>53877</v>
      </c>
      <c r="F21" s="621">
        <f t="shared" si="26"/>
        <v>54085</v>
      </c>
      <c r="G21" s="621">
        <f t="shared" si="26"/>
        <v>54047</v>
      </c>
      <c r="H21" s="621">
        <f t="shared" si="26"/>
        <v>53609</v>
      </c>
      <c r="I21" s="621">
        <f t="shared" si="26"/>
        <v>51958</v>
      </c>
      <c r="J21" s="621">
        <f t="shared" ref="J21:O21" si="27">J148</f>
        <v>53544</v>
      </c>
      <c r="K21" s="621">
        <f t="shared" si="27"/>
        <v>55504</v>
      </c>
      <c r="L21" s="621">
        <f t="shared" si="27"/>
        <v>54948</v>
      </c>
      <c r="M21" s="621">
        <f t="shared" si="27"/>
        <v>54452</v>
      </c>
      <c r="N21" s="621">
        <f t="shared" si="27"/>
        <v>54586</v>
      </c>
      <c r="O21" s="621">
        <f t="shared" si="27"/>
        <v>55088</v>
      </c>
      <c r="Q21" s="619" t="s">
        <v>3070</v>
      </c>
    </row>
    <row r="22" spans="1:17" ht="15.75" thickBot="1">
      <c r="D22" s="622">
        <f t="shared" ref="D22:I22" si="28">D176</f>
        <v>16960</v>
      </c>
      <c r="E22" s="622">
        <f t="shared" si="28"/>
        <v>17018</v>
      </c>
      <c r="F22" s="622">
        <f t="shared" si="28"/>
        <v>17111</v>
      </c>
      <c r="G22" s="622">
        <f t="shared" si="28"/>
        <v>17275</v>
      </c>
      <c r="H22" s="622">
        <f t="shared" si="28"/>
        <v>17367</v>
      </c>
      <c r="I22" s="622">
        <f t="shared" si="28"/>
        <v>16984</v>
      </c>
      <c r="J22" s="622">
        <f t="shared" ref="J22:O22" si="29">J176</f>
        <v>17013</v>
      </c>
      <c r="K22" s="622">
        <f t="shared" si="29"/>
        <v>17443</v>
      </c>
      <c r="L22" s="622">
        <f t="shared" si="29"/>
        <v>17608</v>
      </c>
      <c r="M22" s="622">
        <f t="shared" si="29"/>
        <v>18438</v>
      </c>
      <c r="N22" s="622">
        <f t="shared" si="29"/>
        <v>17601</v>
      </c>
      <c r="O22" s="622">
        <f t="shared" si="29"/>
        <v>18342</v>
      </c>
      <c r="Q22" s="619" t="s">
        <v>3068</v>
      </c>
    </row>
    <row r="23" spans="1:17" ht="15.75" thickBot="1">
      <c r="D23" s="622">
        <f t="shared" ref="D23:I23" si="30">D21+D22</f>
        <v>70722</v>
      </c>
      <c r="E23" s="622">
        <f t="shared" si="30"/>
        <v>70895</v>
      </c>
      <c r="F23" s="622">
        <f t="shared" si="30"/>
        <v>71196</v>
      </c>
      <c r="G23" s="622">
        <f t="shared" si="30"/>
        <v>71322</v>
      </c>
      <c r="H23" s="622">
        <f t="shared" si="30"/>
        <v>70976</v>
      </c>
      <c r="I23" s="622">
        <f t="shared" si="30"/>
        <v>68942</v>
      </c>
      <c r="J23" s="622">
        <f t="shared" ref="J23:O23" si="31">J21+J22</f>
        <v>70557</v>
      </c>
      <c r="K23" s="622">
        <f t="shared" si="31"/>
        <v>72947</v>
      </c>
      <c r="L23" s="622">
        <f t="shared" si="31"/>
        <v>72556</v>
      </c>
      <c r="M23" s="622">
        <f t="shared" si="31"/>
        <v>72890</v>
      </c>
      <c r="N23" s="622">
        <f t="shared" si="31"/>
        <v>72187</v>
      </c>
      <c r="O23" s="622">
        <f t="shared" si="31"/>
        <v>73430</v>
      </c>
    </row>
    <row r="24" spans="1:17">
      <c r="D24" s="623"/>
      <c r="E24" s="623"/>
      <c r="F24" s="623"/>
      <c r="G24" s="623"/>
      <c r="H24" s="623"/>
      <c r="I24" s="623"/>
      <c r="J24" s="623"/>
      <c r="K24" s="623"/>
      <c r="L24" s="623"/>
      <c r="M24" s="623"/>
      <c r="N24" s="623"/>
      <c r="O24" s="623"/>
    </row>
    <row r="25" spans="1:17">
      <c r="A25" s="619" t="s">
        <v>3071</v>
      </c>
      <c r="D25" s="621">
        <f t="shared" ref="D25:I25" si="32">D82</f>
        <v>80513</v>
      </c>
      <c r="E25" s="621">
        <f t="shared" si="32"/>
        <v>80435</v>
      </c>
      <c r="F25" s="621">
        <f t="shared" si="32"/>
        <v>80771</v>
      </c>
      <c r="G25" s="621">
        <f t="shared" si="32"/>
        <v>81234</v>
      </c>
      <c r="H25" s="621">
        <f t="shared" si="32"/>
        <v>80976</v>
      </c>
      <c r="I25" s="621">
        <f t="shared" si="32"/>
        <v>79250</v>
      </c>
      <c r="J25" s="621">
        <f t="shared" ref="J25:O25" si="33">J82</f>
        <v>77061</v>
      </c>
      <c r="K25" s="621">
        <f t="shared" si="33"/>
        <v>78344</v>
      </c>
      <c r="L25" s="621">
        <f t="shared" si="33"/>
        <v>79349</v>
      </c>
      <c r="M25" s="621">
        <f t="shared" si="33"/>
        <v>79849</v>
      </c>
      <c r="N25" s="621">
        <f t="shared" si="33"/>
        <v>79701</v>
      </c>
      <c r="O25" s="621">
        <f t="shared" si="33"/>
        <v>80713</v>
      </c>
      <c r="Q25" s="619" t="s">
        <v>3066</v>
      </c>
    </row>
    <row r="26" spans="1:17">
      <c r="D26" s="623"/>
      <c r="E26" s="623"/>
      <c r="F26" s="623"/>
      <c r="G26" s="623"/>
      <c r="H26" s="623"/>
      <c r="I26" s="623"/>
      <c r="J26" s="623"/>
      <c r="K26" s="623"/>
      <c r="L26" s="623"/>
      <c r="M26" s="623"/>
      <c r="N26" s="623"/>
      <c r="O26" s="623"/>
    </row>
    <row r="27" spans="1:17">
      <c r="A27" s="619" t="s">
        <v>3072</v>
      </c>
      <c r="D27" s="621">
        <f t="shared" ref="D27:I27" si="34">D149</f>
        <v>61653</v>
      </c>
      <c r="E27" s="621">
        <f t="shared" si="34"/>
        <v>61929</v>
      </c>
      <c r="F27" s="621">
        <f t="shared" si="34"/>
        <v>62222</v>
      </c>
      <c r="G27" s="621">
        <f t="shared" si="34"/>
        <v>61708</v>
      </c>
      <c r="H27" s="621">
        <f t="shared" si="34"/>
        <v>60474</v>
      </c>
      <c r="I27" s="621">
        <f t="shared" si="34"/>
        <v>57595</v>
      </c>
      <c r="J27" s="621">
        <f t="shared" ref="J27:O27" si="35">J149</f>
        <v>58997</v>
      </c>
      <c r="K27" s="621">
        <f t="shared" si="35"/>
        <v>61577</v>
      </c>
      <c r="L27" s="621">
        <f t="shared" si="35"/>
        <v>60928</v>
      </c>
      <c r="M27" s="621">
        <f t="shared" si="35"/>
        <v>60334</v>
      </c>
      <c r="N27" s="621">
        <f t="shared" si="35"/>
        <v>60149</v>
      </c>
      <c r="O27" s="621">
        <f t="shared" si="35"/>
        <v>60908</v>
      </c>
      <c r="Q27" s="619" t="s">
        <v>3070</v>
      </c>
    </row>
    <row r="28" spans="1:17">
      <c r="D28" s="623"/>
      <c r="E28" s="623"/>
      <c r="F28" s="623"/>
      <c r="G28" s="623"/>
      <c r="H28" s="623"/>
      <c r="I28" s="623"/>
      <c r="J28" s="623"/>
      <c r="K28" s="623"/>
      <c r="L28" s="623"/>
      <c r="M28" s="623"/>
      <c r="N28" s="623"/>
      <c r="O28" s="623"/>
    </row>
    <row r="29" spans="1:17">
      <c r="A29" s="619" t="s">
        <v>3073</v>
      </c>
      <c r="D29" s="621">
        <f t="shared" ref="D29:I29" si="36">D83</f>
        <v>70574</v>
      </c>
      <c r="E29" s="621">
        <f t="shared" si="36"/>
        <v>70864</v>
      </c>
      <c r="F29" s="621">
        <f t="shared" si="36"/>
        <v>69898</v>
      </c>
      <c r="G29" s="621">
        <f t="shared" si="36"/>
        <v>71467</v>
      </c>
      <c r="H29" s="621">
        <f t="shared" si="36"/>
        <v>70997</v>
      </c>
      <c r="I29" s="621">
        <f t="shared" si="36"/>
        <v>69392</v>
      </c>
      <c r="J29" s="621">
        <f t="shared" ref="J29:O29" si="37">J83</f>
        <v>68104</v>
      </c>
      <c r="K29" s="621">
        <f t="shared" si="37"/>
        <v>69345</v>
      </c>
      <c r="L29" s="621">
        <f t="shared" si="37"/>
        <v>69967</v>
      </c>
      <c r="M29" s="621">
        <f t="shared" si="37"/>
        <v>70534</v>
      </c>
      <c r="N29" s="621">
        <f t="shared" si="37"/>
        <v>70252</v>
      </c>
      <c r="O29" s="621">
        <f t="shared" si="37"/>
        <v>70736</v>
      </c>
      <c r="Q29" s="619" t="s">
        <v>3066</v>
      </c>
    </row>
    <row r="30" spans="1:17">
      <c r="D30" s="623"/>
      <c r="E30" s="623"/>
      <c r="F30" s="623"/>
      <c r="G30" s="623"/>
      <c r="H30" s="623"/>
      <c r="I30" s="623"/>
      <c r="J30" s="623"/>
      <c r="K30" s="623"/>
      <c r="L30" s="623"/>
      <c r="M30" s="623"/>
      <c r="N30" s="623"/>
      <c r="O30" s="623"/>
    </row>
    <row r="31" spans="1:17">
      <c r="A31" s="619" t="s">
        <v>3074</v>
      </c>
      <c r="D31" s="621">
        <f t="shared" ref="D31:I31" si="38">D122</f>
        <v>68024</v>
      </c>
      <c r="E31" s="621">
        <f t="shared" si="38"/>
        <v>68150</v>
      </c>
      <c r="F31" s="621">
        <f t="shared" si="38"/>
        <v>68361</v>
      </c>
      <c r="G31" s="621">
        <f t="shared" si="38"/>
        <v>68365</v>
      </c>
      <c r="H31" s="621">
        <f t="shared" si="38"/>
        <v>68101</v>
      </c>
      <c r="I31" s="621">
        <f t="shared" si="38"/>
        <v>65376</v>
      </c>
      <c r="J31" s="621">
        <f t="shared" ref="J31:O31" si="39">J122</f>
        <v>64970</v>
      </c>
      <c r="K31" s="621">
        <f t="shared" si="39"/>
        <v>66142</v>
      </c>
      <c r="L31" s="621">
        <f t="shared" si="39"/>
        <v>65032</v>
      </c>
      <c r="M31" s="621">
        <f t="shared" si="39"/>
        <v>64593</v>
      </c>
      <c r="N31" s="621">
        <f t="shared" si="39"/>
        <v>65116</v>
      </c>
      <c r="O31" s="621">
        <f t="shared" si="39"/>
        <v>65325</v>
      </c>
      <c r="Q31" s="619" t="s">
        <v>3075</v>
      </c>
    </row>
    <row r="32" spans="1:17">
      <c r="D32" s="623"/>
      <c r="E32" s="623"/>
      <c r="F32" s="623"/>
      <c r="G32" s="623"/>
      <c r="H32" s="623"/>
      <c r="I32" s="623"/>
      <c r="J32" s="623"/>
      <c r="K32" s="623"/>
      <c r="L32" s="623"/>
      <c r="M32" s="623"/>
      <c r="N32" s="623"/>
      <c r="O32" s="623"/>
    </row>
    <row r="33" spans="1:17">
      <c r="A33" s="619" t="s">
        <v>3076</v>
      </c>
      <c r="D33" s="621">
        <f t="shared" ref="D33:I33" si="40">D123</f>
        <v>63473</v>
      </c>
      <c r="E33" s="621">
        <f t="shared" si="40"/>
        <v>65219</v>
      </c>
      <c r="F33" s="621">
        <f t="shared" si="40"/>
        <v>65774</v>
      </c>
      <c r="G33" s="621">
        <f t="shared" si="40"/>
        <v>65976</v>
      </c>
      <c r="H33" s="621">
        <f t="shared" si="40"/>
        <v>66370</v>
      </c>
      <c r="I33" s="621">
        <f t="shared" si="40"/>
        <v>61831</v>
      </c>
      <c r="J33" s="621">
        <f t="shared" ref="J33:O33" si="41">J123</f>
        <v>63112</v>
      </c>
      <c r="K33" s="621">
        <f t="shared" si="41"/>
        <v>64085</v>
      </c>
      <c r="L33" s="621">
        <f t="shared" si="41"/>
        <v>62738</v>
      </c>
      <c r="M33" s="621">
        <f t="shared" si="41"/>
        <v>61400</v>
      </c>
      <c r="N33" s="621">
        <f t="shared" si="41"/>
        <v>62917</v>
      </c>
      <c r="O33" s="621">
        <f t="shared" si="41"/>
        <v>64940</v>
      </c>
      <c r="Q33" s="619" t="s">
        <v>3075</v>
      </c>
    </row>
    <row r="34" spans="1:17">
      <c r="D34" s="623"/>
      <c r="E34" s="623"/>
      <c r="F34" s="623"/>
      <c r="G34" s="623"/>
      <c r="H34" s="623"/>
      <c r="I34" s="623"/>
      <c r="J34" s="623"/>
      <c r="K34" s="623"/>
      <c r="L34" s="623"/>
      <c r="M34" s="623"/>
      <c r="N34" s="623"/>
      <c r="O34" s="623"/>
    </row>
    <row r="35" spans="1:17">
      <c r="A35" s="619" t="s">
        <v>3077</v>
      </c>
      <c r="D35" s="621">
        <f t="shared" ref="D35:I35" si="42">D84</f>
        <v>11689</v>
      </c>
      <c r="E35" s="621">
        <f t="shared" si="42"/>
        <v>11651</v>
      </c>
      <c r="F35" s="621">
        <f t="shared" si="42"/>
        <v>11591</v>
      </c>
      <c r="G35" s="621">
        <f t="shared" si="42"/>
        <v>11602</v>
      </c>
      <c r="H35" s="621">
        <f t="shared" si="42"/>
        <v>11514</v>
      </c>
      <c r="I35" s="621">
        <f t="shared" si="42"/>
        <v>11305</v>
      </c>
      <c r="J35" s="621">
        <f t="shared" ref="J35:O35" si="43">J84</f>
        <v>10943</v>
      </c>
      <c r="K35" s="621">
        <f t="shared" si="43"/>
        <v>11251</v>
      </c>
      <c r="L35" s="621">
        <f t="shared" si="43"/>
        <v>11439</v>
      </c>
      <c r="M35" s="621">
        <f t="shared" si="43"/>
        <v>11568</v>
      </c>
      <c r="N35" s="621">
        <f t="shared" si="43"/>
        <v>11480</v>
      </c>
      <c r="O35" s="621">
        <f t="shared" si="43"/>
        <v>11715</v>
      </c>
      <c r="Q35" s="619" t="s">
        <v>3066</v>
      </c>
    </row>
    <row r="36" spans="1:17" ht="15.75" thickBot="1">
      <c r="D36" s="622">
        <f t="shared" ref="D36:I36" si="44">D124</f>
        <v>49258</v>
      </c>
      <c r="E36" s="622">
        <f t="shared" si="44"/>
        <v>49581</v>
      </c>
      <c r="F36" s="622">
        <f t="shared" si="44"/>
        <v>49523</v>
      </c>
      <c r="G36" s="622">
        <f t="shared" si="44"/>
        <v>49635</v>
      </c>
      <c r="H36" s="622">
        <f t="shared" si="44"/>
        <v>49627</v>
      </c>
      <c r="I36" s="622">
        <f t="shared" si="44"/>
        <v>46929</v>
      </c>
      <c r="J36" s="622">
        <f t="shared" ref="J36:O36" si="45">J124</f>
        <v>47340</v>
      </c>
      <c r="K36" s="622">
        <f t="shared" si="45"/>
        <v>48317</v>
      </c>
      <c r="L36" s="622">
        <f t="shared" si="45"/>
        <v>47642</v>
      </c>
      <c r="M36" s="622">
        <f t="shared" si="45"/>
        <v>47070</v>
      </c>
      <c r="N36" s="622">
        <f t="shared" si="45"/>
        <v>47612</v>
      </c>
      <c r="O36" s="622">
        <f t="shared" si="45"/>
        <v>48364</v>
      </c>
      <c r="Q36" s="619" t="s">
        <v>3075</v>
      </c>
    </row>
    <row r="37" spans="1:17" ht="15.75" thickBot="1">
      <c r="D37" s="622">
        <f t="shared" ref="D37:I37" si="46">D35+D36</f>
        <v>60947</v>
      </c>
      <c r="E37" s="622">
        <f t="shared" si="46"/>
        <v>61232</v>
      </c>
      <c r="F37" s="622">
        <f t="shared" si="46"/>
        <v>61114</v>
      </c>
      <c r="G37" s="622">
        <f t="shared" si="46"/>
        <v>61237</v>
      </c>
      <c r="H37" s="622">
        <f t="shared" si="46"/>
        <v>61141</v>
      </c>
      <c r="I37" s="622">
        <f t="shared" si="46"/>
        <v>58234</v>
      </c>
      <c r="J37" s="622">
        <f t="shared" ref="J37:O37" si="47">J35+J36</f>
        <v>58283</v>
      </c>
      <c r="K37" s="622">
        <f t="shared" si="47"/>
        <v>59568</v>
      </c>
      <c r="L37" s="622">
        <f t="shared" si="47"/>
        <v>59081</v>
      </c>
      <c r="M37" s="622">
        <f t="shared" si="47"/>
        <v>58638</v>
      </c>
      <c r="N37" s="622">
        <f t="shared" si="47"/>
        <v>59092</v>
      </c>
      <c r="O37" s="622">
        <f t="shared" si="47"/>
        <v>60079</v>
      </c>
    </row>
    <row r="38" spans="1:17" ht="15" customHeight="1">
      <c r="D38" s="623"/>
      <c r="E38" s="623"/>
      <c r="F38" s="623"/>
      <c r="G38" s="623"/>
      <c r="H38" s="623"/>
      <c r="I38" s="623"/>
      <c r="J38" s="623"/>
      <c r="K38" s="623"/>
      <c r="L38" s="623"/>
      <c r="M38" s="623"/>
      <c r="N38" s="623"/>
      <c r="O38" s="623"/>
    </row>
    <row r="39" spans="1:17" ht="15" customHeight="1">
      <c r="A39" s="619" t="s">
        <v>4605</v>
      </c>
      <c r="D39" s="621">
        <f t="shared" ref="D39:I39" si="48">D177</f>
        <v>63427</v>
      </c>
      <c r="E39" s="621">
        <f t="shared" si="48"/>
        <v>63489</v>
      </c>
      <c r="F39" s="621">
        <f t="shared" si="48"/>
        <v>63329</v>
      </c>
      <c r="G39" s="621">
        <f t="shared" si="48"/>
        <v>63590</v>
      </c>
      <c r="H39" s="621">
        <f t="shared" si="48"/>
        <v>63297</v>
      </c>
      <c r="I39" s="621">
        <f t="shared" si="48"/>
        <v>61445</v>
      </c>
      <c r="J39" s="621">
        <f t="shared" ref="J39:O39" si="49">J177</f>
        <v>60411</v>
      </c>
      <c r="K39" s="621">
        <f t="shared" si="49"/>
        <v>61335</v>
      </c>
      <c r="L39" s="621">
        <f t="shared" si="49"/>
        <v>61138</v>
      </c>
      <c r="M39" s="621">
        <f t="shared" si="49"/>
        <v>63071</v>
      </c>
      <c r="N39" s="621">
        <f t="shared" si="49"/>
        <v>60345</v>
      </c>
      <c r="O39" s="621">
        <f t="shared" si="49"/>
        <v>62511</v>
      </c>
      <c r="Q39" s="619" t="s">
        <v>3068</v>
      </c>
    </row>
    <row r="40" spans="1:17" ht="15" customHeight="1">
      <c r="B40" s="76"/>
      <c r="C40" s="76"/>
      <c r="D40" s="623"/>
      <c r="E40" s="623"/>
      <c r="F40" s="623"/>
      <c r="G40" s="623"/>
      <c r="H40" s="623"/>
      <c r="I40" s="623"/>
      <c r="J40" s="623"/>
      <c r="K40" s="623"/>
      <c r="L40" s="623"/>
      <c r="M40" s="623"/>
      <c r="N40" s="623"/>
      <c r="O40" s="623"/>
    </row>
    <row r="41" spans="1:17" ht="15" customHeight="1">
      <c r="A41" s="619" t="s">
        <v>6796</v>
      </c>
      <c r="D41" s="621">
        <f t="shared" ref="D41:I41" si="50">D15+D19+D23+D25+D27+D29+D31+D33+D37+D39</f>
        <v>685942</v>
      </c>
      <c r="E41" s="621">
        <f t="shared" si="50"/>
        <v>688722</v>
      </c>
      <c r="F41" s="621">
        <f t="shared" si="50"/>
        <v>689622</v>
      </c>
      <c r="G41" s="621">
        <f t="shared" si="50"/>
        <v>692319</v>
      </c>
      <c r="H41" s="621">
        <f t="shared" si="50"/>
        <v>689274</v>
      </c>
      <c r="I41" s="621">
        <f t="shared" si="50"/>
        <v>666240</v>
      </c>
      <c r="J41" s="621">
        <f t="shared" ref="J41:O41" si="51">J15+J19+J23+J25+J27+J29+J31+J33+J37+J39</f>
        <v>661995</v>
      </c>
      <c r="K41" s="621">
        <f t="shared" si="51"/>
        <v>676809</v>
      </c>
      <c r="L41" s="621">
        <f t="shared" si="51"/>
        <v>674860</v>
      </c>
      <c r="M41" s="621">
        <f t="shared" si="51"/>
        <v>677398</v>
      </c>
      <c r="N41" s="621">
        <f t="shared" si="51"/>
        <v>672769</v>
      </c>
      <c r="O41" s="621">
        <f t="shared" si="51"/>
        <v>684294</v>
      </c>
    </row>
    <row r="42" spans="1:17">
      <c r="D42" s="623"/>
      <c r="E42" s="623"/>
      <c r="F42" s="623"/>
      <c r="G42" s="623"/>
      <c r="H42" s="623"/>
      <c r="I42" s="623"/>
      <c r="J42" s="623"/>
      <c r="K42" s="623"/>
      <c r="L42" s="623"/>
      <c r="M42" s="623"/>
      <c r="N42" s="623"/>
      <c r="O42" s="623"/>
    </row>
    <row r="43" spans="1:17">
      <c r="A43" s="619" t="s">
        <v>6797</v>
      </c>
      <c r="D43" s="621">
        <f t="shared" ref="D43:I43" si="52">MAXA(D15,D19,D23,D25,D27,D29,D31,D33,D37,D39)-MINA(D15,D19,D23,D25,D27,D29,D31,D33,D37,D39)</f>
        <v>19566</v>
      </c>
      <c r="E43" s="621">
        <f t="shared" si="52"/>
        <v>19203</v>
      </c>
      <c r="F43" s="621">
        <f t="shared" si="52"/>
        <v>19657</v>
      </c>
      <c r="G43" s="621">
        <f t="shared" si="52"/>
        <v>19997</v>
      </c>
      <c r="H43" s="621">
        <f t="shared" si="52"/>
        <v>20502</v>
      </c>
      <c r="I43" s="621">
        <f t="shared" si="52"/>
        <v>21655</v>
      </c>
      <c r="J43" s="621">
        <f t="shared" ref="J43:O43" si="53">MAXA(J15,J19,J23,J25,J27,J29,J31,J33,J37,J39)-MINA(J15,J19,J23,J25,J27,J29,J31,J33,J37,J39)</f>
        <v>18778</v>
      </c>
      <c r="K43" s="621">
        <f t="shared" si="53"/>
        <v>18776</v>
      </c>
      <c r="L43" s="621">
        <f t="shared" si="53"/>
        <v>20268</v>
      </c>
      <c r="M43" s="621">
        <f t="shared" si="53"/>
        <v>21211</v>
      </c>
      <c r="N43" s="621">
        <f t="shared" si="53"/>
        <v>20609</v>
      </c>
      <c r="O43" s="621">
        <f t="shared" si="53"/>
        <v>20634</v>
      </c>
    </row>
    <row r="44" spans="1:17">
      <c r="D44" s="623"/>
      <c r="E44" s="623"/>
      <c r="F44" s="623"/>
      <c r="G44" s="623"/>
      <c r="H44" s="623"/>
      <c r="I44" s="623"/>
      <c r="J44" s="623"/>
      <c r="K44" s="623"/>
      <c r="L44" s="623"/>
      <c r="M44" s="623"/>
      <c r="N44" s="623"/>
      <c r="O44" s="623"/>
    </row>
    <row r="45" spans="1:17">
      <c r="A45" s="619" t="s">
        <v>6800</v>
      </c>
      <c r="D45" s="621">
        <f t="shared" ref="D45:I45" si="54">STDEVPA(D15,D19,D23,D25,D27,D29,D31,D33,D37,D39)</f>
        <v>6624.6662527254921</v>
      </c>
      <c r="E45" s="621">
        <f t="shared" si="54"/>
        <v>6439.1555781794859</v>
      </c>
      <c r="F45" s="621">
        <f t="shared" si="54"/>
        <v>6500.7941022616606</v>
      </c>
      <c r="G45" s="621">
        <f t="shared" si="54"/>
        <v>6656.6951627665821</v>
      </c>
      <c r="H45" s="621">
        <f t="shared" si="54"/>
        <v>6774.3652868737454</v>
      </c>
      <c r="I45" s="621">
        <f t="shared" si="54"/>
        <v>7304.9841615160267</v>
      </c>
      <c r="J45" s="621">
        <f t="shared" ref="J45:O45" si="55">STDEVPA(J15,J19,J23,J25,J27,J29,J31,J33,J37,J39)</f>
        <v>6435.7440012791067</v>
      </c>
      <c r="K45" s="621">
        <f t="shared" si="55"/>
        <v>6493.6597146755385</v>
      </c>
      <c r="L45" s="621">
        <f t="shared" si="55"/>
        <v>6989.1238935935307</v>
      </c>
      <c r="M45" s="621">
        <f t="shared" si="55"/>
        <v>7226.4319522154219</v>
      </c>
      <c r="N45" s="621">
        <f t="shared" si="55"/>
        <v>7173.286714609977</v>
      </c>
      <c r="O45" s="621">
        <f t="shared" si="55"/>
        <v>7027.2043687372579</v>
      </c>
    </row>
    <row r="47" spans="1:17">
      <c r="A47" s="619" t="s">
        <v>4606</v>
      </c>
    </row>
    <row r="48" spans="1:17">
      <c r="A48" s="619"/>
    </row>
    <row r="50" spans="1:17">
      <c r="E50" s="51" t="s">
        <v>1526</v>
      </c>
      <c r="F50" s="51"/>
      <c r="G50" s="51"/>
      <c r="H50" s="51"/>
      <c r="I50" s="51"/>
      <c r="J50" s="51"/>
      <c r="K50" s="51"/>
      <c r="L50" s="51"/>
      <c r="M50" s="51"/>
      <c r="N50" s="51"/>
      <c r="O50" s="51"/>
      <c r="P50" s="52"/>
      <c r="Q50" s="53" t="s">
        <v>9479</v>
      </c>
    </row>
    <row r="51" spans="1:17">
      <c r="D51" s="40">
        <v>2010</v>
      </c>
      <c r="E51" s="40">
        <v>2011</v>
      </c>
      <c r="F51" s="40">
        <v>2012</v>
      </c>
      <c r="G51" s="40">
        <v>2013</v>
      </c>
      <c r="H51" s="40">
        <v>2014</v>
      </c>
      <c r="I51" s="40">
        <v>2015</v>
      </c>
      <c r="J51" s="40">
        <v>2016</v>
      </c>
      <c r="K51" s="40">
        <v>2017</v>
      </c>
      <c r="L51" s="40">
        <v>2018</v>
      </c>
      <c r="M51" s="40">
        <v>2019</v>
      </c>
      <c r="N51" s="40">
        <v>2020</v>
      </c>
      <c r="O51" s="965" t="s">
        <v>14823</v>
      </c>
      <c r="P51" s="52"/>
      <c r="Q51" s="54" t="s">
        <v>1527</v>
      </c>
    </row>
    <row r="52" spans="1:17" ht="15" customHeight="1">
      <c r="A52" s="619" t="s">
        <v>3086</v>
      </c>
      <c r="C52" s="619"/>
      <c r="D52" s="621">
        <f t="shared" ref="D52:I52" si="56">SUM(D53:D78)</f>
        <v>265296</v>
      </c>
      <c r="E52" s="621">
        <f t="shared" si="56"/>
        <v>265356</v>
      </c>
      <c r="F52" s="621">
        <f t="shared" si="56"/>
        <v>265031</v>
      </c>
      <c r="G52" s="621">
        <f t="shared" si="56"/>
        <v>267415</v>
      </c>
      <c r="H52" s="621">
        <f t="shared" si="56"/>
        <v>266457</v>
      </c>
      <c r="I52" s="621">
        <f t="shared" si="56"/>
        <v>261259</v>
      </c>
      <c r="J52" s="621">
        <f t="shared" ref="J52:O52" si="57">SUM(J53:J78)</f>
        <v>254116</v>
      </c>
      <c r="K52" s="621">
        <f t="shared" si="57"/>
        <v>258789</v>
      </c>
      <c r="L52" s="621">
        <f t="shared" si="57"/>
        <v>261070</v>
      </c>
      <c r="M52" s="621">
        <f t="shared" si="57"/>
        <v>262734</v>
      </c>
      <c r="N52" s="621">
        <f t="shared" si="57"/>
        <v>261401</v>
      </c>
      <c r="O52" s="621">
        <f t="shared" si="57"/>
        <v>264293</v>
      </c>
    </row>
    <row r="53" spans="1:17">
      <c r="A53" s="619" t="s">
        <v>5387</v>
      </c>
      <c r="B53" s="619" t="s">
        <v>4607</v>
      </c>
      <c r="C53" s="55" t="s">
        <v>291</v>
      </c>
      <c r="D53" s="621">
        <v>11506</v>
      </c>
      <c r="E53" s="621">
        <v>11441</v>
      </c>
      <c r="F53" s="621">
        <v>11587</v>
      </c>
      <c r="G53" s="621">
        <v>11491</v>
      </c>
      <c r="H53" s="63">
        <v>11494</v>
      </c>
      <c r="I53" s="63">
        <v>11141</v>
      </c>
      <c r="J53" s="63">
        <v>10789</v>
      </c>
      <c r="K53" s="63">
        <v>10993</v>
      </c>
      <c r="L53" s="63">
        <v>11126</v>
      </c>
      <c r="M53" s="63">
        <v>11106</v>
      </c>
      <c r="N53" s="63">
        <v>11040</v>
      </c>
      <c r="O53" s="63">
        <v>11158</v>
      </c>
      <c r="Q53" s="619" t="s">
        <v>3065</v>
      </c>
    </row>
    <row r="54" spans="1:17">
      <c r="A54" s="619" t="s">
        <v>5389</v>
      </c>
      <c r="B54" s="619" t="s">
        <v>4608</v>
      </c>
      <c r="C54" s="55" t="s">
        <v>292</v>
      </c>
      <c r="D54" s="621">
        <v>8524</v>
      </c>
      <c r="E54" s="621">
        <v>8549</v>
      </c>
      <c r="F54" s="621">
        <v>8530</v>
      </c>
      <c r="G54" s="63">
        <v>8510</v>
      </c>
      <c r="H54" s="63">
        <v>8534</v>
      </c>
      <c r="I54" s="63">
        <v>8229</v>
      </c>
      <c r="J54" s="63">
        <v>7947</v>
      </c>
      <c r="K54" s="63">
        <v>8060</v>
      </c>
      <c r="L54" s="63">
        <v>8143</v>
      </c>
      <c r="M54" s="63">
        <v>8070</v>
      </c>
      <c r="N54" s="63">
        <v>8008</v>
      </c>
      <c r="O54" s="63">
        <v>8109</v>
      </c>
      <c r="Q54" s="619" t="s">
        <v>3071</v>
      </c>
    </row>
    <row r="55" spans="1:17" ht="15" customHeight="1">
      <c r="A55" s="619" t="s">
        <v>5391</v>
      </c>
      <c r="B55" s="619" t="s">
        <v>3121</v>
      </c>
      <c r="C55" s="55" t="s">
        <v>293</v>
      </c>
      <c r="D55" s="621">
        <v>11657</v>
      </c>
      <c r="E55" s="621">
        <v>11677</v>
      </c>
      <c r="F55" s="621">
        <v>11748</v>
      </c>
      <c r="G55" s="63">
        <v>11715</v>
      </c>
      <c r="H55" s="63">
        <v>11825</v>
      </c>
      <c r="I55" s="63">
        <v>11574</v>
      </c>
      <c r="J55" s="63">
        <v>11217</v>
      </c>
      <c r="K55" s="63">
        <v>11454</v>
      </c>
      <c r="L55" s="63">
        <v>11455</v>
      </c>
      <c r="M55" s="63">
        <v>11536</v>
      </c>
      <c r="N55" s="63">
        <v>11412</v>
      </c>
      <c r="O55" s="63">
        <v>11459</v>
      </c>
      <c r="Q55" s="619" t="s">
        <v>3071</v>
      </c>
    </row>
    <row r="56" spans="1:17">
      <c r="A56" s="619" t="s">
        <v>5393</v>
      </c>
      <c r="B56" s="619" t="s">
        <v>3122</v>
      </c>
      <c r="C56" s="55" t="s">
        <v>294</v>
      </c>
      <c r="D56" s="621">
        <v>11600</v>
      </c>
      <c r="E56" s="621">
        <v>11381</v>
      </c>
      <c r="F56" s="621">
        <v>11327</v>
      </c>
      <c r="G56" s="63">
        <v>11380</v>
      </c>
      <c r="H56" s="63">
        <v>11260</v>
      </c>
      <c r="I56" s="63">
        <v>10482</v>
      </c>
      <c r="J56" s="63">
        <v>10027</v>
      </c>
      <c r="K56" s="63">
        <v>10424</v>
      </c>
      <c r="L56" s="63">
        <v>10578</v>
      </c>
      <c r="M56" s="63">
        <v>10486</v>
      </c>
      <c r="N56" s="63">
        <v>10390</v>
      </c>
      <c r="O56" s="63">
        <v>10485</v>
      </c>
      <c r="Q56" s="619" t="s">
        <v>3071</v>
      </c>
    </row>
    <row r="57" spans="1:17">
      <c r="A57" s="619" t="s">
        <v>5394</v>
      </c>
      <c r="B57" s="619" t="s">
        <v>3123</v>
      </c>
      <c r="C57" s="55" t="s">
        <v>295</v>
      </c>
      <c r="D57" s="621">
        <v>7408</v>
      </c>
      <c r="E57" s="621">
        <v>7316</v>
      </c>
      <c r="F57" s="621">
        <v>6216</v>
      </c>
      <c r="G57" s="63">
        <v>7435</v>
      </c>
      <c r="H57" s="63">
        <v>7311</v>
      </c>
      <c r="I57" s="63">
        <v>6407</v>
      </c>
      <c r="J57" s="63">
        <v>6534</v>
      </c>
      <c r="K57" s="63">
        <v>6590</v>
      </c>
      <c r="L57" s="63">
        <v>6683</v>
      </c>
      <c r="M57" s="63">
        <v>6598</v>
      </c>
      <c r="N57" s="63">
        <v>6562</v>
      </c>
      <c r="O57" s="63">
        <v>6283</v>
      </c>
      <c r="Q57" s="619" t="s">
        <v>3073</v>
      </c>
    </row>
    <row r="58" spans="1:17">
      <c r="A58" s="619" t="s">
        <v>5416</v>
      </c>
      <c r="B58" s="619" t="s">
        <v>3124</v>
      </c>
      <c r="C58" s="55" t="s">
        <v>296</v>
      </c>
      <c r="D58" s="621">
        <v>7295</v>
      </c>
      <c r="E58" s="621">
        <v>7338</v>
      </c>
      <c r="F58" s="621">
        <v>7133</v>
      </c>
      <c r="G58" s="63">
        <v>7311</v>
      </c>
      <c r="H58" s="63">
        <v>7141</v>
      </c>
      <c r="I58" s="63">
        <v>7067</v>
      </c>
      <c r="J58" s="63">
        <v>6917</v>
      </c>
      <c r="K58" s="63">
        <v>7023</v>
      </c>
      <c r="L58" s="63">
        <v>7228</v>
      </c>
      <c r="M58" s="63">
        <v>7259</v>
      </c>
      <c r="N58" s="63">
        <v>7271</v>
      </c>
      <c r="O58" s="63">
        <v>7368</v>
      </c>
      <c r="Q58" s="619" t="s">
        <v>3073</v>
      </c>
    </row>
    <row r="59" spans="1:17">
      <c r="A59" s="619" t="s">
        <v>5418</v>
      </c>
      <c r="B59" s="619" t="s">
        <v>3139</v>
      </c>
      <c r="C59" s="55" t="s">
        <v>297</v>
      </c>
      <c r="D59" s="621">
        <v>13396</v>
      </c>
      <c r="E59" s="621">
        <v>13605</v>
      </c>
      <c r="F59" s="621">
        <v>13732</v>
      </c>
      <c r="G59" s="63">
        <v>13716</v>
      </c>
      <c r="H59" s="63">
        <v>13589</v>
      </c>
      <c r="I59" s="63">
        <v>13391</v>
      </c>
      <c r="J59" s="63">
        <v>12994</v>
      </c>
      <c r="K59" s="63">
        <v>13369</v>
      </c>
      <c r="L59" s="63">
        <v>13479</v>
      </c>
      <c r="M59" s="63">
        <v>13642</v>
      </c>
      <c r="N59" s="63">
        <v>13518</v>
      </c>
      <c r="O59" s="63">
        <v>13670</v>
      </c>
      <c r="Q59" s="619" t="s">
        <v>3073</v>
      </c>
    </row>
    <row r="60" spans="1:17">
      <c r="A60" s="619" t="s">
        <v>5420</v>
      </c>
      <c r="B60" s="619" t="s">
        <v>6114</v>
      </c>
      <c r="C60" s="55" t="s">
        <v>298</v>
      </c>
      <c r="D60" s="621">
        <v>11994</v>
      </c>
      <c r="E60" s="621">
        <v>12045</v>
      </c>
      <c r="F60" s="621">
        <v>12104</v>
      </c>
      <c r="G60" s="63">
        <v>12228</v>
      </c>
      <c r="H60" s="63">
        <v>12049</v>
      </c>
      <c r="I60" s="63">
        <v>11883</v>
      </c>
      <c r="J60" s="63">
        <v>11555</v>
      </c>
      <c r="K60" s="63">
        <v>11591</v>
      </c>
      <c r="L60" s="63">
        <v>11676</v>
      </c>
      <c r="M60" s="63">
        <v>11765</v>
      </c>
      <c r="N60" s="63">
        <v>11664</v>
      </c>
      <c r="O60" s="63">
        <v>11841</v>
      </c>
      <c r="Q60" s="619" t="s">
        <v>3071</v>
      </c>
    </row>
    <row r="61" spans="1:17">
      <c r="A61" s="619" t="s">
        <v>5422</v>
      </c>
      <c r="B61" s="619" t="s">
        <v>6115</v>
      </c>
      <c r="C61" s="55" t="s">
        <v>299</v>
      </c>
      <c r="D61" s="621">
        <v>11771</v>
      </c>
      <c r="E61" s="621">
        <v>11797</v>
      </c>
      <c r="F61" s="621">
        <v>11803</v>
      </c>
      <c r="G61" s="63">
        <v>11908</v>
      </c>
      <c r="H61" s="63">
        <v>11913</v>
      </c>
      <c r="I61" s="63">
        <v>11796</v>
      </c>
      <c r="J61" s="63">
        <v>11727</v>
      </c>
      <c r="K61" s="63">
        <v>11646</v>
      </c>
      <c r="L61" s="63">
        <v>11799</v>
      </c>
      <c r="M61" s="63">
        <v>11853</v>
      </c>
      <c r="N61" s="63">
        <v>11773</v>
      </c>
      <c r="O61" s="63">
        <v>11901</v>
      </c>
      <c r="Q61" s="619" t="s">
        <v>3071</v>
      </c>
    </row>
    <row r="62" spans="1:17">
      <c r="A62" s="619" t="s">
        <v>5424</v>
      </c>
      <c r="B62" s="619" t="s">
        <v>6116</v>
      </c>
      <c r="C62" s="55" t="s">
        <v>300</v>
      </c>
      <c r="D62" s="621">
        <v>7978</v>
      </c>
      <c r="E62" s="621">
        <v>7867</v>
      </c>
      <c r="F62" s="621">
        <v>7971</v>
      </c>
      <c r="G62" s="63">
        <v>7987</v>
      </c>
      <c r="H62" s="63">
        <v>7974</v>
      </c>
      <c r="I62" s="63">
        <v>7850</v>
      </c>
      <c r="J62" s="63">
        <v>7623</v>
      </c>
      <c r="K62" s="63">
        <v>7578</v>
      </c>
      <c r="L62" s="63">
        <v>7567</v>
      </c>
      <c r="M62" s="63">
        <v>7661</v>
      </c>
      <c r="N62" s="63">
        <v>7573</v>
      </c>
      <c r="O62" s="63">
        <v>7642</v>
      </c>
      <c r="Q62" s="619" t="s">
        <v>3067</v>
      </c>
    </row>
    <row r="63" spans="1:17">
      <c r="A63" s="619" t="s">
        <v>5426</v>
      </c>
      <c r="B63" s="619" t="s">
        <v>6117</v>
      </c>
      <c r="C63" s="55" t="s">
        <v>301</v>
      </c>
      <c r="D63" s="621">
        <v>6832</v>
      </c>
      <c r="E63" s="621">
        <v>6861</v>
      </c>
      <c r="F63" s="621">
        <v>6813</v>
      </c>
      <c r="G63" s="63">
        <v>6927</v>
      </c>
      <c r="H63" s="63">
        <v>6794</v>
      </c>
      <c r="I63" s="63">
        <v>6526</v>
      </c>
      <c r="J63" s="63">
        <v>6209</v>
      </c>
      <c r="K63" s="63">
        <v>6278</v>
      </c>
      <c r="L63" s="63">
        <v>6139</v>
      </c>
      <c r="M63" s="63">
        <v>6145</v>
      </c>
      <c r="N63" s="63">
        <v>6009</v>
      </c>
      <c r="O63" s="63">
        <v>6069</v>
      </c>
      <c r="Q63" s="619" t="s">
        <v>3067</v>
      </c>
    </row>
    <row r="64" spans="1:17">
      <c r="A64" s="619" t="s">
        <v>5428</v>
      </c>
      <c r="B64" s="619" t="s">
        <v>6118</v>
      </c>
      <c r="C64" s="55" t="s">
        <v>302</v>
      </c>
      <c r="D64" s="621">
        <v>11689</v>
      </c>
      <c r="E64" s="621">
        <v>11651</v>
      </c>
      <c r="F64" s="621">
        <v>11591</v>
      </c>
      <c r="G64" s="63">
        <v>11602</v>
      </c>
      <c r="H64" s="63">
        <v>11514</v>
      </c>
      <c r="I64" s="63">
        <v>11305</v>
      </c>
      <c r="J64" s="63">
        <v>10943</v>
      </c>
      <c r="K64" s="63">
        <v>11251</v>
      </c>
      <c r="L64" s="63">
        <v>11439</v>
      </c>
      <c r="M64" s="63">
        <v>11568</v>
      </c>
      <c r="N64" s="63">
        <v>11480</v>
      </c>
      <c r="O64" s="63">
        <v>11715</v>
      </c>
      <c r="Q64" s="619" t="s">
        <v>3077</v>
      </c>
    </row>
    <row r="65" spans="1:17">
      <c r="A65" s="619" t="s">
        <v>5429</v>
      </c>
      <c r="B65" s="619" t="s">
        <v>6119</v>
      </c>
      <c r="C65" s="55" t="s">
        <v>303</v>
      </c>
      <c r="D65" s="621">
        <v>3942</v>
      </c>
      <c r="E65" s="621">
        <v>3930</v>
      </c>
      <c r="F65" s="621">
        <v>3909</v>
      </c>
      <c r="G65" s="63">
        <v>4011</v>
      </c>
      <c r="H65" s="63">
        <v>4061</v>
      </c>
      <c r="I65" s="63">
        <v>4024</v>
      </c>
      <c r="J65" s="63">
        <v>3955</v>
      </c>
      <c r="K65" s="63">
        <v>4015</v>
      </c>
      <c r="L65" s="63">
        <v>4036</v>
      </c>
      <c r="M65" s="63">
        <v>4074</v>
      </c>
      <c r="N65" s="63">
        <v>4070</v>
      </c>
      <c r="O65" s="63">
        <v>4144</v>
      </c>
      <c r="Q65" s="619" t="s">
        <v>3073</v>
      </c>
    </row>
    <row r="66" spans="1:17">
      <c r="A66" s="619" t="s">
        <v>5431</v>
      </c>
      <c r="B66" s="619" t="s">
        <v>6120</v>
      </c>
      <c r="C66" s="55" t="s">
        <v>304</v>
      </c>
      <c r="D66" s="621">
        <v>11922</v>
      </c>
      <c r="E66" s="621">
        <v>11985</v>
      </c>
      <c r="F66" s="621">
        <v>12094</v>
      </c>
      <c r="G66" s="63">
        <v>12047</v>
      </c>
      <c r="H66" s="63">
        <v>12031</v>
      </c>
      <c r="I66" s="63">
        <v>11887</v>
      </c>
      <c r="J66" s="63">
        <v>11526</v>
      </c>
      <c r="K66" s="63">
        <v>11827</v>
      </c>
      <c r="L66" s="63">
        <v>11821</v>
      </c>
      <c r="M66" s="63">
        <v>11962</v>
      </c>
      <c r="N66" s="63">
        <v>11810</v>
      </c>
      <c r="O66" s="63">
        <v>11943</v>
      </c>
      <c r="Q66" s="619" t="s">
        <v>3073</v>
      </c>
    </row>
    <row r="67" spans="1:17">
      <c r="A67" s="619" t="s">
        <v>5433</v>
      </c>
      <c r="B67" s="619" t="s">
        <v>2325</v>
      </c>
      <c r="C67" s="55" t="s">
        <v>305</v>
      </c>
      <c r="D67" s="621">
        <v>11396</v>
      </c>
      <c r="E67" s="621">
        <v>11339</v>
      </c>
      <c r="F67" s="621">
        <v>11399</v>
      </c>
      <c r="G67" s="63">
        <v>11385</v>
      </c>
      <c r="H67" s="63">
        <v>11380</v>
      </c>
      <c r="I67" s="63">
        <v>11326</v>
      </c>
      <c r="J67" s="63">
        <v>10973</v>
      </c>
      <c r="K67" s="63">
        <v>11067</v>
      </c>
      <c r="L67" s="63">
        <v>11130</v>
      </c>
      <c r="M67" s="63">
        <v>11194</v>
      </c>
      <c r="N67" s="63">
        <v>11128</v>
      </c>
      <c r="O67" s="63">
        <v>11264</v>
      </c>
      <c r="Q67" s="619" t="s">
        <v>3065</v>
      </c>
    </row>
    <row r="68" spans="1:17">
      <c r="A68" s="619" t="s">
        <v>5435</v>
      </c>
      <c r="B68" s="619" t="s">
        <v>2326</v>
      </c>
      <c r="C68" s="55" t="s">
        <v>306</v>
      </c>
      <c r="D68" s="621">
        <v>12222</v>
      </c>
      <c r="E68" s="621">
        <v>12289</v>
      </c>
      <c r="F68" s="621">
        <v>12408</v>
      </c>
      <c r="G68" s="63">
        <v>12522</v>
      </c>
      <c r="H68" s="63">
        <v>12690</v>
      </c>
      <c r="I68" s="63">
        <v>12494</v>
      </c>
      <c r="J68" s="63">
        <v>12089</v>
      </c>
      <c r="K68" s="63">
        <v>12333</v>
      </c>
      <c r="L68" s="63">
        <v>12461</v>
      </c>
      <c r="M68" s="63">
        <v>12602</v>
      </c>
      <c r="N68" s="63">
        <v>12648</v>
      </c>
      <c r="O68" s="63">
        <v>12759</v>
      </c>
      <c r="Q68" s="619" t="s">
        <v>3065</v>
      </c>
    </row>
    <row r="69" spans="1:17">
      <c r="A69" s="619" t="s">
        <v>5436</v>
      </c>
      <c r="B69" s="619" t="s">
        <v>2327</v>
      </c>
      <c r="C69" s="55" t="s">
        <v>307</v>
      </c>
      <c r="D69" s="621">
        <v>8338</v>
      </c>
      <c r="E69" s="621">
        <v>8350</v>
      </c>
      <c r="F69" s="621">
        <v>8386</v>
      </c>
      <c r="G69" s="63">
        <v>8435</v>
      </c>
      <c r="H69" s="63">
        <v>8417</v>
      </c>
      <c r="I69" s="63">
        <v>8275</v>
      </c>
      <c r="J69" s="63">
        <v>7981</v>
      </c>
      <c r="K69" s="63">
        <v>8226</v>
      </c>
      <c r="L69" s="63">
        <v>8302</v>
      </c>
      <c r="M69" s="63">
        <v>8393</v>
      </c>
      <c r="N69" s="63">
        <v>8333</v>
      </c>
      <c r="O69" s="63">
        <v>8462</v>
      </c>
      <c r="Q69" s="619" t="s">
        <v>3065</v>
      </c>
    </row>
    <row r="70" spans="1:17">
      <c r="A70" s="619" t="s">
        <v>5437</v>
      </c>
      <c r="B70" s="619" t="s">
        <v>2328</v>
      </c>
      <c r="C70" s="55" t="s">
        <v>308</v>
      </c>
      <c r="D70" s="621">
        <v>12773</v>
      </c>
      <c r="E70" s="621">
        <v>12820</v>
      </c>
      <c r="F70" s="621">
        <v>12987</v>
      </c>
      <c r="G70" s="63">
        <v>13025</v>
      </c>
      <c r="H70" s="63">
        <v>13052</v>
      </c>
      <c r="I70" s="63">
        <v>13018</v>
      </c>
      <c r="J70" s="63">
        <v>12648</v>
      </c>
      <c r="K70" s="63">
        <v>12962</v>
      </c>
      <c r="L70" s="63">
        <v>13241</v>
      </c>
      <c r="M70" s="63">
        <v>13504</v>
      </c>
      <c r="N70" s="63">
        <v>13735</v>
      </c>
      <c r="O70" s="63">
        <v>14067</v>
      </c>
      <c r="Q70" s="619" t="s">
        <v>3071</v>
      </c>
    </row>
    <row r="71" spans="1:17">
      <c r="A71" s="619" t="s">
        <v>5439</v>
      </c>
      <c r="B71" s="619" t="s">
        <v>6912</v>
      </c>
      <c r="C71" s="55" t="s">
        <v>309</v>
      </c>
      <c r="D71" s="621">
        <v>12805</v>
      </c>
      <c r="E71" s="621">
        <v>12853</v>
      </c>
      <c r="F71" s="621">
        <v>12830</v>
      </c>
      <c r="G71" s="63">
        <v>12815</v>
      </c>
      <c r="H71" s="63">
        <v>12697</v>
      </c>
      <c r="I71" s="63">
        <v>12571</v>
      </c>
      <c r="J71" s="63">
        <v>12317</v>
      </c>
      <c r="K71" s="63">
        <v>12664</v>
      </c>
      <c r="L71" s="63">
        <v>12879</v>
      </c>
      <c r="M71" s="63">
        <v>12880</v>
      </c>
      <c r="N71" s="63">
        <v>12769</v>
      </c>
      <c r="O71" s="63">
        <v>12972</v>
      </c>
      <c r="Q71" s="619" t="s">
        <v>3065</v>
      </c>
    </row>
    <row r="72" spans="1:17">
      <c r="A72" s="619" t="s">
        <v>5441</v>
      </c>
      <c r="B72" s="619" t="s">
        <v>2329</v>
      </c>
      <c r="C72" s="55" t="s">
        <v>310</v>
      </c>
      <c r="D72" s="624">
        <v>7922</v>
      </c>
      <c r="E72" s="624">
        <v>7903</v>
      </c>
      <c r="F72" s="624">
        <v>7905</v>
      </c>
      <c r="G72" s="63">
        <v>7935</v>
      </c>
      <c r="H72" s="63">
        <v>7913</v>
      </c>
      <c r="I72" s="63">
        <v>7841</v>
      </c>
      <c r="J72" s="63">
        <v>7535</v>
      </c>
      <c r="K72" s="63">
        <v>7703</v>
      </c>
      <c r="L72" s="63">
        <v>7792</v>
      </c>
      <c r="M72" s="63">
        <v>7793</v>
      </c>
      <c r="N72" s="63">
        <v>7741</v>
      </c>
      <c r="O72" s="63">
        <v>7854</v>
      </c>
      <c r="Q72" s="619" t="s">
        <v>3067</v>
      </c>
    </row>
    <row r="73" spans="1:17">
      <c r="A73" s="619" t="s">
        <v>5886</v>
      </c>
      <c r="B73" s="619" t="s">
        <v>2330</v>
      </c>
      <c r="C73" s="55" t="s">
        <v>311</v>
      </c>
      <c r="D73" s="624">
        <v>11922</v>
      </c>
      <c r="E73" s="624">
        <v>11869</v>
      </c>
      <c r="F73" s="624">
        <v>11831</v>
      </c>
      <c r="G73" s="63">
        <v>11887</v>
      </c>
      <c r="H73" s="63">
        <v>11872</v>
      </c>
      <c r="I73" s="63">
        <v>11641</v>
      </c>
      <c r="J73" s="63">
        <v>11245</v>
      </c>
      <c r="K73" s="63">
        <v>11503</v>
      </c>
      <c r="L73" s="63">
        <v>11420</v>
      </c>
      <c r="M73" s="63">
        <v>11496</v>
      </c>
      <c r="N73" s="63">
        <v>11380</v>
      </c>
      <c r="O73" s="63">
        <v>11495</v>
      </c>
      <c r="Q73" s="619" t="s">
        <v>3065</v>
      </c>
    </row>
    <row r="74" spans="1:17">
      <c r="A74" s="619" t="s">
        <v>5888</v>
      </c>
      <c r="B74" s="619" t="s">
        <v>2331</v>
      </c>
      <c r="C74" s="55" t="s">
        <v>312</v>
      </c>
      <c r="D74" s="621">
        <v>7794</v>
      </c>
      <c r="E74" s="621">
        <v>7903</v>
      </c>
      <c r="F74" s="621">
        <v>7934</v>
      </c>
      <c r="G74" s="63">
        <v>8024</v>
      </c>
      <c r="H74" s="63">
        <v>8082</v>
      </c>
      <c r="I74" s="63">
        <v>8071</v>
      </c>
      <c r="J74" s="63">
        <v>7983</v>
      </c>
      <c r="K74" s="63">
        <v>8110</v>
      </c>
      <c r="L74" s="63">
        <v>8136</v>
      </c>
      <c r="M74" s="63">
        <v>8224</v>
      </c>
      <c r="N74" s="63">
        <v>8234</v>
      </c>
      <c r="O74" s="63">
        <v>8341</v>
      </c>
      <c r="Q74" s="619" t="s">
        <v>3073</v>
      </c>
    </row>
    <row r="75" spans="1:17">
      <c r="A75" s="619" t="s">
        <v>5889</v>
      </c>
      <c r="B75" s="619" t="s">
        <v>2332</v>
      </c>
      <c r="C75" s="55" t="s">
        <v>313</v>
      </c>
      <c r="D75" s="621">
        <v>11599</v>
      </c>
      <c r="E75" s="621">
        <v>11634</v>
      </c>
      <c r="F75" s="621">
        <v>11641</v>
      </c>
      <c r="G75" s="63">
        <v>11728</v>
      </c>
      <c r="H75" s="63">
        <v>11739</v>
      </c>
      <c r="I75" s="63">
        <v>11647</v>
      </c>
      <c r="J75" s="63">
        <v>11247</v>
      </c>
      <c r="K75" s="63">
        <v>11504</v>
      </c>
      <c r="L75" s="63">
        <v>11499</v>
      </c>
      <c r="M75" s="63">
        <v>11513</v>
      </c>
      <c r="N75" s="63">
        <v>11347</v>
      </c>
      <c r="O75" s="63">
        <v>11454</v>
      </c>
      <c r="Q75" s="619" t="s">
        <v>3065</v>
      </c>
    </row>
    <row r="76" spans="1:17">
      <c r="A76" s="619" t="s">
        <v>4431</v>
      </c>
      <c r="B76" s="619" t="s">
        <v>2333</v>
      </c>
      <c r="C76" s="55" t="s">
        <v>314</v>
      </c>
      <c r="D76" s="621">
        <v>7751</v>
      </c>
      <c r="E76" s="621">
        <v>7768</v>
      </c>
      <c r="F76" s="621">
        <v>7821</v>
      </c>
      <c r="G76" s="63">
        <v>7828</v>
      </c>
      <c r="H76" s="63">
        <v>7767</v>
      </c>
      <c r="I76" s="63">
        <v>7628</v>
      </c>
      <c r="J76" s="63">
        <v>7475</v>
      </c>
      <c r="K76" s="63">
        <v>7542</v>
      </c>
      <c r="L76" s="63">
        <v>7629</v>
      </c>
      <c r="M76" s="63">
        <v>7790</v>
      </c>
      <c r="N76" s="63">
        <v>7837</v>
      </c>
      <c r="O76" s="63">
        <v>7945</v>
      </c>
      <c r="Q76" s="619" t="s">
        <v>3073</v>
      </c>
    </row>
    <row r="77" spans="1:17">
      <c r="A77" s="619" t="s">
        <v>4432</v>
      </c>
      <c r="B77" s="619" t="s">
        <v>2334</v>
      </c>
      <c r="C77" s="55" t="s">
        <v>315</v>
      </c>
      <c r="D77" s="621">
        <v>11066</v>
      </c>
      <c r="E77" s="621">
        <v>11019</v>
      </c>
      <c r="F77" s="621">
        <v>11059</v>
      </c>
      <c r="G77" s="63">
        <v>11095</v>
      </c>
      <c r="H77" s="63">
        <v>11015</v>
      </c>
      <c r="I77" s="63">
        <v>10917</v>
      </c>
      <c r="J77" s="63">
        <v>10720</v>
      </c>
      <c r="K77" s="63">
        <v>10869</v>
      </c>
      <c r="L77" s="63">
        <v>10955</v>
      </c>
      <c r="M77" s="63">
        <v>10985</v>
      </c>
      <c r="N77" s="63">
        <v>10950</v>
      </c>
      <c r="O77" s="63">
        <v>11042</v>
      </c>
      <c r="Q77" s="619" t="s">
        <v>3073</v>
      </c>
    </row>
    <row r="78" spans="1:17">
      <c r="A78" s="619" t="s">
        <v>4434</v>
      </c>
      <c r="B78" s="619" t="s">
        <v>1715</v>
      </c>
      <c r="C78" s="55" t="s">
        <v>316</v>
      </c>
      <c r="D78" s="621">
        <v>12194</v>
      </c>
      <c r="E78" s="621">
        <v>12166</v>
      </c>
      <c r="F78" s="621">
        <v>12272</v>
      </c>
      <c r="G78" s="63">
        <v>12468</v>
      </c>
      <c r="H78" s="63">
        <v>12343</v>
      </c>
      <c r="I78" s="63">
        <v>12268</v>
      </c>
      <c r="J78" s="63">
        <v>11940</v>
      </c>
      <c r="K78" s="63">
        <v>12207</v>
      </c>
      <c r="L78" s="63">
        <v>12457</v>
      </c>
      <c r="M78" s="63">
        <v>12635</v>
      </c>
      <c r="N78" s="63">
        <v>12719</v>
      </c>
      <c r="O78" s="63">
        <v>12851</v>
      </c>
      <c r="Q78" s="619" t="s">
        <v>3071</v>
      </c>
    </row>
    <row r="79" spans="1:17">
      <c r="A79" s="619"/>
      <c r="B79" s="619"/>
      <c r="D79" s="621"/>
      <c r="E79" s="621"/>
      <c r="F79" s="621"/>
      <c r="G79" s="621"/>
      <c r="H79" s="621"/>
      <c r="I79" s="621"/>
      <c r="J79" s="621"/>
      <c r="K79" s="621"/>
      <c r="L79" s="621"/>
      <c r="M79" s="621"/>
      <c r="N79" s="621"/>
      <c r="O79" s="621"/>
      <c r="Q79" s="619"/>
    </row>
    <row r="80" spans="1:17">
      <c r="A80" s="619" t="s">
        <v>3065</v>
      </c>
      <c r="D80" s="621">
        <f t="shared" ref="D80:I80" si="58">D53+SUM(D67:D69)+D71+D73+D75</f>
        <v>79788</v>
      </c>
      <c r="E80" s="621">
        <f t="shared" si="58"/>
        <v>79775</v>
      </c>
      <c r="F80" s="621">
        <f t="shared" si="58"/>
        <v>80082</v>
      </c>
      <c r="G80" s="621">
        <f t="shared" si="58"/>
        <v>80263</v>
      </c>
      <c r="H80" s="621">
        <f t="shared" si="58"/>
        <v>80289</v>
      </c>
      <c r="I80" s="621">
        <f t="shared" si="58"/>
        <v>79095</v>
      </c>
      <c r="J80" s="621">
        <f t="shared" ref="J80:O80" si="59">J53+SUM(J67:J69)+J71+J73+J75</f>
        <v>76641</v>
      </c>
      <c r="K80" s="621">
        <f t="shared" si="59"/>
        <v>78290</v>
      </c>
      <c r="L80" s="621">
        <f t="shared" si="59"/>
        <v>78817</v>
      </c>
      <c r="M80" s="621">
        <f t="shared" si="59"/>
        <v>79184</v>
      </c>
      <c r="N80" s="621">
        <f t="shared" si="59"/>
        <v>78645</v>
      </c>
      <c r="O80" s="621">
        <f t="shared" si="59"/>
        <v>79564</v>
      </c>
    </row>
    <row r="81" spans="1:17">
      <c r="A81" s="619" t="s">
        <v>1716</v>
      </c>
      <c r="D81" s="621">
        <f t="shared" ref="D81:I81" si="60">D62+D63+D72</f>
        <v>22732</v>
      </c>
      <c r="E81" s="621">
        <f t="shared" si="60"/>
        <v>22631</v>
      </c>
      <c r="F81" s="621">
        <f t="shared" si="60"/>
        <v>22689</v>
      </c>
      <c r="G81" s="621">
        <f t="shared" si="60"/>
        <v>22849</v>
      </c>
      <c r="H81" s="621">
        <f t="shared" si="60"/>
        <v>22681</v>
      </c>
      <c r="I81" s="621">
        <f t="shared" si="60"/>
        <v>22217</v>
      </c>
      <c r="J81" s="621">
        <f t="shared" ref="J81:O81" si="61">J62+J63+J72</f>
        <v>21367</v>
      </c>
      <c r="K81" s="621">
        <f t="shared" si="61"/>
        <v>21559</v>
      </c>
      <c r="L81" s="621">
        <f t="shared" si="61"/>
        <v>21498</v>
      </c>
      <c r="M81" s="621">
        <f t="shared" si="61"/>
        <v>21599</v>
      </c>
      <c r="N81" s="621">
        <f t="shared" si="61"/>
        <v>21323</v>
      </c>
      <c r="O81" s="621">
        <f t="shared" si="61"/>
        <v>21565</v>
      </c>
    </row>
    <row r="82" spans="1:17">
      <c r="A82" s="619" t="s">
        <v>3071</v>
      </c>
      <c r="D82" s="621">
        <f t="shared" ref="D82:I82" si="62">SUM(D54:D56)+D60+D61+D70+D78</f>
        <v>80513</v>
      </c>
      <c r="E82" s="621">
        <f t="shared" si="62"/>
        <v>80435</v>
      </c>
      <c r="F82" s="621">
        <f t="shared" si="62"/>
        <v>80771</v>
      </c>
      <c r="G82" s="621">
        <f t="shared" si="62"/>
        <v>81234</v>
      </c>
      <c r="H82" s="621">
        <f t="shared" si="62"/>
        <v>80976</v>
      </c>
      <c r="I82" s="621">
        <f t="shared" si="62"/>
        <v>79250</v>
      </c>
      <c r="J82" s="621">
        <f t="shared" ref="J82:O82" si="63">SUM(J54:J56)+J60+J61+J70+J78</f>
        <v>77061</v>
      </c>
      <c r="K82" s="621">
        <f t="shared" si="63"/>
        <v>78344</v>
      </c>
      <c r="L82" s="621">
        <f t="shared" si="63"/>
        <v>79349</v>
      </c>
      <c r="M82" s="621">
        <f t="shared" si="63"/>
        <v>79849</v>
      </c>
      <c r="N82" s="621">
        <f t="shared" si="63"/>
        <v>79701</v>
      </c>
      <c r="O82" s="621">
        <f t="shared" si="63"/>
        <v>80713</v>
      </c>
    </row>
    <row r="83" spans="1:17">
      <c r="A83" s="619" t="s">
        <v>3073</v>
      </c>
      <c r="D83" s="621">
        <f t="shared" ref="D83:I83" si="64">SUM(D57:D59)+D65+D66+D74+D76+D77</f>
        <v>70574</v>
      </c>
      <c r="E83" s="621">
        <f t="shared" si="64"/>
        <v>70864</v>
      </c>
      <c r="F83" s="621">
        <f t="shared" si="64"/>
        <v>69898</v>
      </c>
      <c r="G83" s="621">
        <f t="shared" si="64"/>
        <v>71467</v>
      </c>
      <c r="H83" s="621">
        <f t="shared" si="64"/>
        <v>70997</v>
      </c>
      <c r="I83" s="621">
        <f t="shared" si="64"/>
        <v>69392</v>
      </c>
      <c r="J83" s="621">
        <f t="shared" ref="J83:O83" si="65">SUM(J57:J59)+J65+J66+J74+J76+J77</f>
        <v>68104</v>
      </c>
      <c r="K83" s="621">
        <f t="shared" si="65"/>
        <v>69345</v>
      </c>
      <c r="L83" s="621">
        <f t="shared" si="65"/>
        <v>69967</v>
      </c>
      <c r="M83" s="621">
        <f t="shared" si="65"/>
        <v>70534</v>
      </c>
      <c r="N83" s="621">
        <f t="shared" si="65"/>
        <v>70252</v>
      </c>
      <c r="O83" s="621">
        <f t="shared" si="65"/>
        <v>70736</v>
      </c>
    </row>
    <row r="84" spans="1:17">
      <c r="A84" s="619" t="s">
        <v>1717</v>
      </c>
      <c r="D84" s="621">
        <f t="shared" ref="D84:I84" si="66">D64</f>
        <v>11689</v>
      </c>
      <c r="E84" s="621">
        <f t="shared" si="66"/>
        <v>11651</v>
      </c>
      <c r="F84" s="621">
        <f t="shared" si="66"/>
        <v>11591</v>
      </c>
      <c r="G84" s="621">
        <f t="shared" si="66"/>
        <v>11602</v>
      </c>
      <c r="H84" s="621">
        <f t="shared" si="66"/>
        <v>11514</v>
      </c>
      <c r="I84" s="621">
        <f t="shared" si="66"/>
        <v>11305</v>
      </c>
      <c r="J84" s="621">
        <f t="shared" ref="J84:O84" si="67">J64</f>
        <v>10943</v>
      </c>
      <c r="K84" s="621">
        <f t="shared" si="67"/>
        <v>11251</v>
      </c>
      <c r="L84" s="621">
        <f t="shared" si="67"/>
        <v>11439</v>
      </c>
      <c r="M84" s="621">
        <f t="shared" si="67"/>
        <v>11568</v>
      </c>
      <c r="N84" s="621">
        <f t="shared" si="67"/>
        <v>11480</v>
      </c>
      <c r="O84" s="621">
        <f t="shared" si="67"/>
        <v>11715</v>
      </c>
    </row>
    <row r="86" spans="1:17">
      <c r="A86" s="619" t="s">
        <v>1718</v>
      </c>
    </row>
    <row r="87" spans="1:17">
      <c r="A87" s="619"/>
    </row>
    <row r="88" spans="1:17">
      <c r="A88" s="619"/>
    </row>
    <row r="89" spans="1:17">
      <c r="E89" s="51" t="s">
        <v>1526</v>
      </c>
      <c r="F89" s="51"/>
      <c r="G89" s="51"/>
      <c r="H89" s="51"/>
      <c r="I89" s="51"/>
      <c r="J89" s="51"/>
      <c r="K89" s="51"/>
      <c r="L89" s="51"/>
      <c r="M89" s="51"/>
      <c r="N89" s="51"/>
      <c r="O89" s="51"/>
      <c r="P89" s="52"/>
      <c r="Q89" s="53" t="s">
        <v>9479</v>
      </c>
    </row>
    <row r="90" spans="1:17" ht="15" customHeight="1">
      <c r="D90" s="40">
        <v>2010</v>
      </c>
      <c r="E90" s="40">
        <v>2011</v>
      </c>
      <c r="F90" s="40">
        <v>2012</v>
      </c>
      <c r="G90" s="40">
        <v>2013</v>
      </c>
      <c r="H90" s="40">
        <v>2014</v>
      </c>
      <c r="I90" s="40">
        <v>2015</v>
      </c>
      <c r="J90" s="40">
        <v>2016</v>
      </c>
      <c r="K90" s="40">
        <v>2017</v>
      </c>
      <c r="L90" s="40">
        <v>2018</v>
      </c>
      <c r="M90" s="40">
        <v>2019</v>
      </c>
      <c r="N90" s="40">
        <v>2020</v>
      </c>
      <c r="O90" s="965" t="s">
        <v>14823</v>
      </c>
      <c r="P90" s="52"/>
      <c r="Q90" s="54" t="s">
        <v>1527</v>
      </c>
    </row>
    <row r="91" spans="1:17">
      <c r="A91" s="619" t="s">
        <v>1719</v>
      </c>
      <c r="D91" s="621">
        <f t="shared" ref="D91:I91" si="68">SUM(D92:D120)</f>
        <v>180755</v>
      </c>
      <c r="E91" s="621">
        <f t="shared" si="68"/>
        <v>182950</v>
      </c>
      <c r="F91" s="621">
        <f t="shared" si="68"/>
        <v>183658</v>
      </c>
      <c r="G91" s="621">
        <f t="shared" si="68"/>
        <v>183976</v>
      </c>
      <c r="H91" s="621">
        <f t="shared" si="68"/>
        <v>184098</v>
      </c>
      <c r="I91" s="621">
        <f t="shared" si="68"/>
        <v>174136</v>
      </c>
      <c r="J91" s="621">
        <f>SUM(J92:J120)</f>
        <v>175422</v>
      </c>
      <c r="K91" s="621">
        <f>SUM(K92:K120)</f>
        <v>178544</v>
      </c>
      <c r="L91" s="621">
        <f>SUM(L92:L120)</f>
        <v>175412</v>
      </c>
      <c r="M91" s="621">
        <f>SUM(M92:M93,M95:M99,M101:M115,M117:M119)</f>
        <v>173063</v>
      </c>
      <c r="N91" s="621">
        <f>SUM(N92:N93,N95:N99,N101:N115,N117:N119)</f>
        <v>175645</v>
      </c>
      <c r="O91" s="621">
        <f>SUM(O92:O93,O95:O99,O101:O115,O117:O119)</f>
        <v>178629</v>
      </c>
    </row>
    <row r="92" spans="1:17">
      <c r="A92" s="619" t="s">
        <v>5387</v>
      </c>
      <c r="B92" s="619" t="s">
        <v>1720</v>
      </c>
      <c r="C92" s="55" t="s">
        <v>12339</v>
      </c>
      <c r="D92" s="621">
        <v>0</v>
      </c>
      <c r="E92" s="621">
        <v>0</v>
      </c>
      <c r="F92" s="621">
        <v>0</v>
      </c>
      <c r="G92" s="56">
        <v>0</v>
      </c>
      <c r="H92" s="56">
        <v>0</v>
      </c>
      <c r="I92" s="56">
        <v>0</v>
      </c>
      <c r="J92" s="56">
        <v>0</v>
      </c>
      <c r="K92" s="56">
        <v>0</v>
      </c>
      <c r="L92" s="56">
        <v>0</v>
      </c>
      <c r="M92" s="58">
        <v>8101</v>
      </c>
      <c r="N92" s="58">
        <v>8324</v>
      </c>
      <c r="O92" s="58">
        <v>8584</v>
      </c>
      <c r="Q92" s="619" t="s">
        <v>3076</v>
      </c>
    </row>
    <row r="93" spans="1:17" ht="15.75" thickBot="1">
      <c r="B93" s="619"/>
      <c r="C93" s="55" t="s">
        <v>12339</v>
      </c>
      <c r="D93" s="621">
        <v>0</v>
      </c>
      <c r="E93" s="621">
        <v>0</v>
      </c>
      <c r="F93" s="621">
        <v>0</v>
      </c>
      <c r="G93" s="56">
        <v>0</v>
      </c>
      <c r="H93" s="56">
        <v>0</v>
      </c>
      <c r="I93" s="56">
        <v>0</v>
      </c>
      <c r="J93" s="56">
        <v>0</v>
      </c>
      <c r="K93" s="56">
        <v>0</v>
      </c>
      <c r="L93" s="56">
        <v>0</v>
      </c>
      <c r="M93" s="58">
        <v>296</v>
      </c>
      <c r="N93" s="58">
        <v>308</v>
      </c>
      <c r="O93" s="58">
        <v>323</v>
      </c>
      <c r="Q93" s="619" t="s">
        <v>3077</v>
      </c>
    </row>
    <row r="94" spans="1:17" ht="15.75" thickBot="1">
      <c r="B94" s="619"/>
      <c r="C94" s="55" t="s">
        <v>12339</v>
      </c>
      <c r="D94" s="625">
        <f t="shared" ref="D94:L94" si="69">SUM(D92:D93)</f>
        <v>0</v>
      </c>
      <c r="E94" s="625">
        <f t="shared" si="69"/>
        <v>0</v>
      </c>
      <c r="F94" s="625">
        <f t="shared" si="69"/>
        <v>0</v>
      </c>
      <c r="G94" s="625">
        <f t="shared" si="69"/>
        <v>0</v>
      </c>
      <c r="H94" s="625">
        <f t="shared" si="69"/>
        <v>0</v>
      </c>
      <c r="I94" s="625">
        <f t="shared" si="69"/>
        <v>0</v>
      </c>
      <c r="J94" s="625">
        <f t="shared" si="69"/>
        <v>0</v>
      </c>
      <c r="K94" s="625">
        <f t="shared" si="69"/>
        <v>0</v>
      </c>
      <c r="L94" s="625">
        <f t="shared" si="69"/>
        <v>0</v>
      </c>
      <c r="M94" s="625">
        <f>SUM(M92:M93)</f>
        <v>8397</v>
      </c>
      <c r="N94" s="625">
        <f>SUM(N92:N93)</f>
        <v>8632</v>
      </c>
      <c r="O94" s="625">
        <f>SUM(O92:O93)</f>
        <v>8907</v>
      </c>
      <c r="Q94" s="619"/>
    </row>
    <row r="95" spans="1:17">
      <c r="A95" s="619" t="s">
        <v>5389</v>
      </c>
      <c r="B95" s="619" t="s">
        <v>12335</v>
      </c>
      <c r="C95" s="55" t="s">
        <v>12340</v>
      </c>
      <c r="D95" s="621">
        <v>63473</v>
      </c>
      <c r="E95" s="621">
        <v>65219</v>
      </c>
      <c r="F95" s="621">
        <v>65774</v>
      </c>
      <c r="G95" s="56">
        <v>65976</v>
      </c>
      <c r="H95" s="56">
        <v>66370</v>
      </c>
      <c r="I95" s="56">
        <v>61831</v>
      </c>
      <c r="J95" s="56">
        <v>63112</v>
      </c>
      <c r="K95" s="56">
        <v>64085</v>
      </c>
      <c r="L95" s="56">
        <v>62738</v>
      </c>
      <c r="M95" s="58">
        <v>8636</v>
      </c>
      <c r="N95" s="58">
        <v>9020</v>
      </c>
      <c r="O95" s="58">
        <v>9713</v>
      </c>
      <c r="Q95" s="619" t="s">
        <v>3076</v>
      </c>
    </row>
    <row r="96" spans="1:17">
      <c r="A96" s="619" t="s">
        <v>5391</v>
      </c>
      <c r="B96" s="619" t="s">
        <v>1722</v>
      </c>
      <c r="C96" s="55" t="s">
        <v>12341</v>
      </c>
      <c r="D96" s="621">
        <v>49258</v>
      </c>
      <c r="E96" s="621">
        <v>49581</v>
      </c>
      <c r="F96" s="621">
        <v>49523</v>
      </c>
      <c r="G96" s="56">
        <v>49635</v>
      </c>
      <c r="H96" s="56">
        <v>49627</v>
      </c>
      <c r="I96" s="56">
        <v>46929</v>
      </c>
      <c r="J96" s="56">
        <v>47340</v>
      </c>
      <c r="K96" s="56">
        <v>48317</v>
      </c>
      <c r="L96" s="56">
        <v>47642</v>
      </c>
      <c r="M96" s="58">
        <v>9164</v>
      </c>
      <c r="N96" s="58">
        <v>9141</v>
      </c>
      <c r="O96" s="58">
        <v>9218</v>
      </c>
      <c r="Q96" s="619" t="s">
        <v>3077</v>
      </c>
    </row>
    <row r="97" spans="1:17">
      <c r="A97" s="619" t="s">
        <v>5393</v>
      </c>
      <c r="B97" s="619" t="s">
        <v>2443</v>
      </c>
      <c r="C97" s="55" t="s">
        <v>12342</v>
      </c>
      <c r="D97" s="621">
        <v>0</v>
      </c>
      <c r="E97" s="621">
        <v>0</v>
      </c>
      <c r="F97" s="621">
        <v>0</v>
      </c>
      <c r="G97" s="56">
        <v>0</v>
      </c>
      <c r="H97" s="56">
        <v>0</v>
      </c>
      <c r="I97" s="56">
        <v>0</v>
      </c>
      <c r="J97" s="56">
        <v>0</v>
      </c>
      <c r="K97" s="56">
        <v>0</v>
      </c>
      <c r="L97" s="56">
        <v>0</v>
      </c>
      <c r="M97" s="58">
        <v>6208</v>
      </c>
      <c r="N97" s="58">
        <v>6237</v>
      </c>
      <c r="O97" s="58">
        <v>6304</v>
      </c>
      <c r="Q97" s="619" t="s">
        <v>3076</v>
      </c>
    </row>
    <row r="98" spans="1:17">
      <c r="A98" s="619" t="s">
        <v>5394</v>
      </c>
      <c r="B98" s="619" t="s">
        <v>6024</v>
      </c>
      <c r="C98" s="55" t="s">
        <v>12343</v>
      </c>
      <c r="D98" s="621">
        <v>0</v>
      </c>
      <c r="E98" s="621">
        <v>0</v>
      </c>
      <c r="F98" s="621">
        <v>0</v>
      </c>
      <c r="G98" s="58">
        <v>0</v>
      </c>
      <c r="H98" s="58">
        <v>0</v>
      </c>
      <c r="I98" s="58">
        <v>0</v>
      </c>
      <c r="J98" s="58">
        <v>0</v>
      </c>
      <c r="K98" s="58">
        <v>0</v>
      </c>
      <c r="L98" s="58">
        <v>0</v>
      </c>
      <c r="M98" s="58">
        <v>945</v>
      </c>
      <c r="N98" s="58">
        <v>958</v>
      </c>
      <c r="O98" s="58">
        <v>977</v>
      </c>
      <c r="Q98" s="619" t="s">
        <v>3076</v>
      </c>
    </row>
    <row r="99" spans="1:17" ht="15.75" thickBot="1">
      <c r="B99" s="619"/>
      <c r="C99" s="55" t="s">
        <v>12343</v>
      </c>
      <c r="D99" s="621">
        <v>0</v>
      </c>
      <c r="E99" s="621">
        <v>0</v>
      </c>
      <c r="F99" s="621">
        <v>0</v>
      </c>
      <c r="G99" s="56">
        <v>0</v>
      </c>
      <c r="H99" s="56">
        <v>0</v>
      </c>
      <c r="I99" s="56">
        <v>0</v>
      </c>
      <c r="J99" s="56">
        <v>0</v>
      </c>
      <c r="K99" s="56">
        <v>0</v>
      </c>
      <c r="L99" s="56">
        <v>0</v>
      </c>
      <c r="M99" s="58">
        <v>4207</v>
      </c>
      <c r="N99" s="58">
        <v>4306</v>
      </c>
      <c r="O99" s="58">
        <v>4422</v>
      </c>
      <c r="Q99" s="619" t="s">
        <v>3077</v>
      </c>
    </row>
    <row r="100" spans="1:17" ht="15.75" thickBot="1">
      <c r="B100" s="619"/>
      <c r="C100" s="55" t="s">
        <v>12343</v>
      </c>
      <c r="D100" s="625">
        <f t="shared" ref="D100:L100" si="70">SUM(D98:D99)</f>
        <v>0</v>
      </c>
      <c r="E100" s="625">
        <f t="shared" si="70"/>
        <v>0</v>
      </c>
      <c r="F100" s="625">
        <f t="shared" si="70"/>
        <v>0</v>
      </c>
      <c r="G100" s="625">
        <f t="shared" si="70"/>
        <v>0</v>
      </c>
      <c r="H100" s="625">
        <f t="shared" si="70"/>
        <v>0</v>
      </c>
      <c r="I100" s="625">
        <f t="shared" si="70"/>
        <v>0</v>
      </c>
      <c r="J100" s="625">
        <f t="shared" si="70"/>
        <v>0</v>
      </c>
      <c r="K100" s="625">
        <f t="shared" si="70"/>
        <v>0</v>
      </c>
      <c r="L100" s="625">
        <f t="shared" si="70"/>
        <v>0</v>
      </c>
      <c r="M100" s="625">
        <f>SUM(M98:M99)</f>
        <v>5152</v>
      </c>
      <c r="N100" s="625">
        <f>SUM(N98:N99)</f>
        <v>5264</v>
      </c>
      <c r="O100" s="625">
        <f>SUM(O98:O99)</f>
        <v>5399</v>
      </c>
      <c r="Q100" s="619"/>
    </row>
    <row r="101" spans="1:17">
      <c r="A101" s="619" t="s">
        <v>5416</v>
      </c>
      <c r="B101" s="619" t="s">
        <v>2444</v>
      </c>
      <c r="C101" s="55" t="s">
        <v>12344</v>
      </c>
      <c r="D101" s="621">
        <v>0</v>
      </c>
      <c r="E101" s="621">
        <v>0</v>
      </c>
      <c r="F101" s="621">
        <v>0</v>
      </c>
      <c r="G101" s="56">
        <v>0</v>
      </c>
      <c r="H101" s="56">
        <v>0</v>
      </c>
      <c r="I101" s="56">
        <v>0</v>
      </c>
      <c r="J101" s="56">
        <v>0</v>
      </c>
      <c r="K101" s="56">
        <v>0</v>
      </c>
      <c r="L101" s="56">
        <v>0</v>
      </c>
      <c r="M101" s="58">
        <v>9177</v>
      </c>
      <c r="N101" s="58">
        <v>9293</v>
      </c>
      <c r="O101" s="58">
        <v>9386</v>
      </c>
      <c r="Q101" s="619" t="s">
        <v>3077</v>
      </c>
    </row>
    <row r="102" spans="1:17">
      <c r="A102" s="619" t="s">
        <v>5418</v>
      </c>
      <c r="B102" s="619" t="s">
        <v>2445</v>
      </c>
      <c r="C102" s="55" t="s">
        <v>12345</v>
      </c>
      <c r="D102" s="621">
        <v>68024</v>
      </c>
      <c r="E102" s="621">
        <v>68150</v>
      </c>
      <c r="F102" s="621">
        <v>68361</v>
      </c>
      <c r="G102" s="56">
        <v>68365</v>
      </c>
      <c r="H102" s="56">
        <v>68101</v>
      </c>
      <c r="I102" s="56">
        <v>65376</v>
      </c>
      <c r="J102" s="56">
        <v>64970</v>
      </c>
      <c r="K102" s="56">
        <v>66142</v>
      </c>
      <c r="L102" s="56">
        <v>65032</v>
      </c>
      <c r="M102" s="58">
        <v>8525</v>
      </c>
      <c r="N102" s="58">
        <v>8681</v>
      </c>
      <c r="O102" s="58">
        <v>8744</v>
      </c>
      <c r="Q102" s="619" t="s">
        <v>3074</v>
      </c>
    </row>
    <row r="103" spans="1:17">
      <c r="A103" s="619" t="s">
        <v>5420</v>
      </c>
      <c r="B103" s="619" t="s">
        <v>2446</v>
      </c>
      <c r="C103" s="55" t="s">
        <v>12346</v>
      </c>
      <c r="D103" s="621">
        <v>0</v>
      </c>
      <c r="E103" s="621">
        <v>0</v>
      </c>
      <c r="F103" s="621">
        <v>0</v>
      </c>
      <c r="G103" s="56">
        <v>0</v>
      </c>
      <c r="H103" s="56">
        <v>0</v>
      </c>
      <c r="I103" s="56">
        <v>0</v>
      </c>
      <c r="J103" s="56">
        <v>0</v>
      </c>
      <c r="K103" s="56">
        <v>0</v>
      </c>
      <c r="L103" s="56">
        <v>0</v>
      </c>
      <c r="M103" s="58">
        <v>8882</v>
      </c>
      <c r="N103" s="58">
        <v>8934</v>
      </c>
      <c r="O103" s="58">
        <v>9010</v>
      </c>
      <c r="Q103" s="619" t="s">
        <v>3074</v>
      </c>
    </row>
    <row r="104" spans="1:17">
      <c r="A104" s="619" t="s">
        <v>5422</v>
      </c>
      <c r="B104" s="619" t="s">
        <v>2447</v>
      </c>
      <c r="C104" s="55" t="s">
        <v>12347</v>
      </c>
      <c r="D104" s="621">
        <v>0</v>
      </c>
      <c r="E104" s="621">
        <v>0</v>
      </c>
      <c r="F104" s="621">
        <v>0</v>
      </c>
      <c r="G104" s="56">
        <v>0</v>
      </c>
      <c r="H104" s="56">
        <v>0</v>
      </c>
      <c r="I104" s="56">
        <v>0</v>
      </c>
      <c r="J104" s="56">
        <v>0</v>
      </c>
      <c r="K104" s="56">
        <v>0</v>
      </c>
      <c r="L104" s="56">
        <v>0</v>
      </c>
      <c r="M104" s="58">
        <v>7041</v>
      </c>
      <c r="N104" s="58">
        <v>7126</v>
      </c>
      <c r="O104" s="58">
        <v>7100</v>
      </c>
      <c r="Q104" s="619" t="s">
        <v>3074</v>
      </c>
    </row>
    <row r="105" spans="1:17">
      <c r="A105" s="619" t="s">
        <v>5424</v>
      </c>
      <c r="B105" s="619" t="s">
        <v>6065</v>
      </c>
      <c r="C105" s="55" t="s">
        <v>12348</v>
      </c>
      <c r="D105" s="621">
        <v>0</v>
      </c>
      <c r="E105" s="621">
        <v>0</v>
      </c>
      <c r="F105" s="621">
        <v>0</v>
      </c>
      <c r="G105" s="56">
        <v>0</v>
      </c>
      <c r="H105" s="56">
        <v>0</v>
      </c>
      <c r="I105" s="56">
        <v>0</v>
      </c>
      <c r="J105" s="56">
        <v>0</v>
      </c>
      <c r="K105" s="56">
        <v>0</v>
      </c>
      <c r="L105" s="56">
        <v>0</v>
      </c>
      <c r="M105" s="58">
        <v>5862</v>
      </c>
      <c r="N105" s="58">
        <v>6147</v>
      </c>
      <c r="O105" s="58">
        <v>6286</v>
      </c>
      <c r="Q105" s="619" t="s">
        <v>3076</v>
      </c>
    </row>
    <row r="106" spans="1:17">
      <c r="A106" s="619" t="s">
        <v>5426</v>
      </c>
      <c r="B106" s="619" t="s">
        <v>12332</v>
      </c>
      <c r="C106" s="55" t="s">
        <v>12349</v>
      </c>
      <c r="D106" s="621">
        <v>0</v>
      </c>
      <c r="E106" s="621">
        <v>0</v>
      </c>
      <c r="F106" s="621">
        <v>0</v>
      </c>
      <c r="G106" s="56">
        <v>0</v>
      </c>
      <c r="H106" s="56">
        <v>0</v>
      </c>
      <c r="I106" s="56">
        <v>0</v>
      </c>
      <c r="J106" s="56">
        <v>0</v>
      </c>
      <c r="K106" s="56">
        <v>0</v>
      </c>
      <c r="L106" s="56">
        <v>0</v>
      </c>
      <c r="M106" s="58">
        <v>8984</v>
      </c>
      <c r="N106" s="58">
        <v>9065</v>
      </c>
      <c r="O106" s="58">
        <v>9098</v>
      </c>
      <c r="Q106" s="619" t="s">
        <v>3074</v>
      </c>
    </row>
    <row r="107" spans="1:17">
      <c r="A107" s="619" t="s">
        <v>5428</v>
      </c>
      <c r="B107" s="619" t="s">
        <v>1782</v>
      </c>
      <c r="C107" s="55" t="s">
        <v>12350</v>
      </c>
      <c r="D107" s="621">
        <v>0</v>
      </c>
      <c r="E107" s="621">
        <v>0</v>
      </c>
      <c r="F107" s="621">
        <v>0</v>
      </c>
      <c r="G107" s="56">
        <v>0</v>
      </c>
      <c r="H107" s="56">
        <v>0</v>
      </c>
      <c r="I107" s="56">
        <v>0</v>
      </c>
      <c r="J107" s="56">
        <v>0</v>
      </c>
      <c r="K107" s="56">
        <v>0</v>
      </c>
      <c r="L107" s="56">
        <v>0</v>
      </c>
      <c r="M107" s="58">
        <v>8719</v>
      </c>
      <c r="N107" s="58">
        <v>8736</v>
      </c>
      <c r="O107" s="58">
        <v>8710</v>
      </c>
      <c r="Q107" s="619" t="s">
        <v>3074</v>
      </c>
    </row>
    <row r="108" spans="1:17">
      <c r="A108" s="619" t="s">
        <v>5429</v>
      </c>
      <c r="B108" s="147" t="s">
        <v>12338</v>
      </c>
      <c r="C108" s="55" t="s">
        <v>12351</v>
      </c>
      <c r="D108" s="621">
        <v>0</v>
      </c>
      <c r="E108" s="621">
        <v>0</v>
      </c>
      <c r="F108" s="621">
        <v>0</v>
      </c>
      <c r="G108" s="56">
        <v>0</v>
      </c>
      <c r="H108" s="56">
        <v>0</v>
      </c>
      <c r="I108" s="56">
        <v>0</v>
      </c>
      <c r="J108" s="56">
        <v>0</v>
      </c>
      <c r="K108" s="56">
        <v>0</v>
      </c>
      <c r="L108" s="56">
        <v>0</v>
      </c>
      <c r="M108" s="58">
        <v>9396</v>
      </c>
      <c r="N108" s="58">
        <v>9446</v>
      </c>
      <c r="O108" s="58">
        <v>9611</v>
      </c>
      <c r="Q108" s="619" t="s">
        <v>3077</v>
      </c>
    </row>
    <row r="109" spans="1:17">
      <c r="A109" s="619" t="s">
        <v>5431</v>
      </c>
      <c r="B109" s="619" t="s">
        <v>12336</v>
      </c>
      <c r="C109" s="55" t="s">
        <v>12352</v>
      </c>
      <c r="D109" s="621">
        <v>0</v>
      </c>
      <c r="E109" s="621">
        <v>0</v>
      </c>
      <c r="F109" s="621">
        <v>0</v>
      </c>
      <c r="G109" s="56">
        <v>0</v>
      </c>
      <c r="H109" s="56">
        <v>0</v>
      </c>
      <c r="I109" s="56">
        <v>0</v>
      </c>
      <c r="J109" s="56">
        <v>0</v>
      </c>
      <c r="K109" s="56">
        <v>0</v>
      </c>
      <c r="L109" s="56">
        <v>0</v>
      </c>
      <c r="M109" s="58">
        <v>9310</v>
      </c>
      <c r="N109" s="58">
        <v>9542</v>
      </c>
      <c r="O109" s="58">
        <v>9632</v>
      </c>
      <c r="Q109" s="619" t="s">
        <v>3076</v>
      </c>
    </row>
    <row r="110" spans="1:17">
      <c r="A110" s="619" t="s">
        <v>5433</v>
      </c>
      <c r="B110" s="619" t="s">
        <v>12337</v>
      </c>
      <c r="C110" s="55" t="s">
        <v>12353</v>
      </c>
      <c r="D110" s="621">
        <v>0</v>
      </c>
      <c r="E110" s="621">
        <v>0</v>
      </c>
      <c r="F110" s="621">
        <v>0</v>
      </c>
      <c r="G110" s="56">
        <v>0</v>
      </c>
      <c r="H110" s="56">
        <v>0</v>
      </c>
      <c r="I110" s="56">
        <v>0</v>
      </c>
      <c r="J110" s="56">
        <v>0</v>
      </c>
      <c r="K110" s="56">
        <v>0</v>
      </c>
      <c r="L110" s="56">
        <v>0</v>
      </c>
      <c r="M110" s="58">
        <v>9611</v>
      </c>
      <c r="N110" s="58">
        <v>9767</v>
      </c>
      <c r="O110" s="58">
        <v>9716</v>
      </c>
      <c r="Q110" s="619" t="s">
        <v>3076</v>
      </c>
    </row>
    <row r="111" spans="1:17">
      <c r="A111" s="619" t="s">
        <v>5435</v>
      </c>
      <c r="B111" s="619" t="s">
        <v>1784</v>
      </c>
      <c r="C111" s="55" t="s">
        <v>12354</v>
      </c>
      <c r="D111" s="621">
        <v>0</v>
      </c>
      <c r="E111" s="621">
        <v>0</v>
      </c>
      <c r="F111" s="621">
        <v>0</v>
      </c>
      <c r="G111" s="58">
        <v>0</v>
      </c>
      <c r="H111" s="58">
        <v>0</v>
      </c>
      <c r="I111" s="58">
        <v>0</v>
      </c>
      <c r="J111" s="58">
        <v>0</v>
      </c>
      <c r="K111" s="58">
        <v>0</v>
      </c>
      <c r="L111" s="58">
        <v>0</v>
      </c>
      <c r="M111" s="58">
        <v>6467</v>
      </c>
      <c r="N111" s="58">
        <v>6482</v>
      </c>
      <c r="O111" s="58">
        <v>6511</v>
      </c>
      <c r="Q111" s="619" t="s">
        <v>3077</v>
      </c>
    </row>
    <row r="112" spans="1:17">
      <c r="A112" s="619" t="s">
        <v>5436</v>
      </c>
      <c r="B112" s="619" t="s">
        <v>14442</v>
      </c>
      <c r="C112" s="55" t="s">
        <v>12355</v>
      </c>
      <c r="D112" s="621">
        <v>0</v>
      </c>
      <c r="E112" s="621">
        <v>0</v>
      </c>
      <c r="F112" s="621">
        <v>0</v>
      </c>
      <c r="G112" s="58">
        <v>0</v>
      </c>
      <c r="H112" s="58">
        <v>0</v>
      </c>
      <c r="I112" s="58">
        <v>0</v>
      </c>
      <c r="J112" s="58">
        <v>0</v>
      </c>
      <c r="K112" s="58">
        <v>0</v>
      </c>
      <c r="L112" s="58">
        <v>0</v>
      </c>
      <c r="M112" s="58">
        <v>8363</v>
      </c>
      <c r="N112" s="58">
        <v>8636</v>
      </c>
      <c r="O112" s="58">
        <v>8893</v>
      </c>
      <c r="Q112" s="619" t="s">
        <v>3077</v>
      </c>
    </row>
    <row r="113" spans="1:17">
      <c r="A113" s="619" t="s">
        <v>5437</v>
      </c>
      <c r="B113" s="619" t="s">
        <v>12333</v>
      </c>
      <c r="C113" s="55" t="s">
        <v>12356</v>
      </c>
      <c r="D113" s="621">
        <v>0</v>
      </c>
      <c r="E113" s="621">
        <v>0</v>
      </c>
      <c r="F113" s="621">
        <v>0</v>
      </c>
      <c r="G113" s="56">
        <v>0</v>
      </c>
      <c r="H113" s="56">
        <v>0</v>
      </c>
      <c r="I113" s="56">
        <v>0</v>
      </c>
      <c r="J113" s="56">
        <v>0</v>
      </c>
      <c r="K113" s="56">
        <v>0</v>
      </c>
      <c r="L113" s="56">
        <v>0</v>
      </c>
      <c r="M113" s="58">
        <v>9923</v>
      </c>
      <c r="N113" s="58">
        <v>10028</v>
      </c>
      <c r="O113" s="58">
        <v>10059</v>
      </c>
      <c r="Q113" s="619" t="s">
        <v>3074</v>
      </c>
    </row>
    <row r="114" spans="1:17">
      <c r="A114" s="619" t="s">
        <v>5439</v>
      </c>
      <c r="B114" s="619" t="s">
        <v>6890</v>
      </c>
      <c r="C114" s="55" t="s">
        <v>12357</v>
      </c>
      <c r="D114" s="621">
        <v>0</v>
      </c>
      <c r="E114" s="621">
        <v>0</v>
      </c>
      <c r="F114" s="621">
        <v>0</v>
      </c>
      <c r="G114" s="58">
        <v>0</v>
      </c>
      <c r="H114" s="58">
        <v>0</v>
      </c>
      <c r="I114" s="58">
        <v>0</v>
      </c>
      <c r="J114" s="58">
        <v>0</v>
      </c>
      <c r="K114" s="58">
        <v>0</v>
      </c>
      <c r="L114" s="58">
        <v>0</v>
      </c>
      <c r="M114" s="58">
        <v>10028</v>
      </c>
      <c r="N114" s="58">
        <v>10063</v>
      </c>
      <c r="O114" s="58">
        <v>10101</v>
      </c>
      <c r="Q114" s="619" t="s">
        <v>3074</v>
      </c>
    </row>
    <row r="115" spans="1:17" ht="15.75" thickBot="1">
      <c r="B115" s="619"/>
      <c r="C115" s="55" t="s">
        <v>12357</v>
      </c>
      <c r="D115" s="621">
        <v>0</v>
      </c>
      <c r="E115" s="621">
        <v>0</v>
      </c>
      <c r="F115" s="621">
        <v>0</v>
      </c>
      <c r="G115" s="58">
        <v>0</v>
      </c>
      <c r="H115" s="58">
        <v>0</v>
      </c>
      <c r="I115" s="58">
        <v>0</v>
      </c>
      <c r="J115" s="58">
        <v>0</v>
      </c>
      <c r="K115" s="58">
        <v>0</v>
      </c>
      <c r="L115" s="58">
        <v>0</v>
      </c>
      <c r="M115" s="58">
        <v>169</v>
      </c>
      <c r="N115" s="58">
        <v>168</v>
      </c>
      <c r="O115" s="58">
        <v>168</v>
      </c>
      <c r="Q115" s="619" t="s">
        <v>3076</v>
      </c>
    </row>
    <row r="116" spans="1:17" ht="15.75" thickBot="1">
      <c r="B116" s="619"/>
      <c r="C116" s="55" t="s">
        <v>12357</v>
      </c>
      <c r="D116" s="625">
        <f t="shared" ref="D116:L116" si="71">SUM(D114:D115)</f>
        <v>0</v>
      </c>
      <c r="E116" s="625">
        <f t="shared" si="71"/>
        <v>0</v>
      </c>
      <c r="F116" s="625">
        <f t="shared" si="71"/>
        <v>0</v>
      </c>
      <c r="G116" s="625">
        <f t="shared" si="71"/>
        <v>0</v>
      </c>
      <c r="H116" s="625">
        <f t="shared" si="71"/>
        <v>0</v>
      </c>
      <c r="I116" s="625">
        <f t="shared" si="71"/>
        <v>0</v>
      </c>
      <c r="J116" s="625">
        <f t="shared" si="71"/>
        <v>0</v>
      </c>
      <c r="K116" s="625">
        <f t="shared" si="71"/>
        <v>0</v>
      </c>
      <c r="L116" s="625">
        <f t="shared" si="71"/>
        <v>0</v>
      </c>
      <c r="M116" s="625">
        <f>SUM(M114:M115)</f>
        <v>10197</v>
      </c>
      <c r="N116" s="625">
        <f>SUM(N114:N115)</f>
        <v>10231</v>
      </c>
      <c r="O116" s="625">
        <f>SUM(O114:O115)</f>
        <v>10269</v>
      </c>
      <c r="Q116" s="619"/>
    </row>
    <row r="117" spans="1:17">
      <c r="A117" s="619" t="s">
        <v>5441</v>
      </c>
      <c r="B117" s="619" t="s">
        <v>1878</v>
      </c>
      <c r="C117" s="55" t="s">
        <v>12358</v>
      </c>
      <c r="D117" s="621">
        <v>0</v>
      </c>
      <c r="E117" s="621">
        <v>0</v>
      </c>
      <c r="F117" s="621">
        <v>0</v>
      </c>
      <c r="G117" s="56">
        <v>0</v>
      </c>
      <c r="H117" s="56">
        <v>0</v>
      </c>
      <c r="I117" s="56">
        <v>0</v>
      </c>
      <c r="J117" s="56">
        <v>0</v>
      </c>
      <c r="K117" s="56">
        <v>0</v>
      </c>
      <c r="L117" s="56">
        <v>0</v>
      </c>
      <c r="M117" s="58">
        <v>5592</v>
      </c>
      <c r="N117" s="58">
        <v>5807</v>
      </c>
      <c r="O117" s="58">
        <v>6569</v>
      </c>
      <c r="Q117" s="619" t="s">
        <v>3076</v>
      </c>
    </row>
    <row r="118" spans="1:17">
      <c r="A118" s="626">
        <v>21</v>
      </c>
      <c r="B118" s="619" t="s">
        <v>12334</v>
      </c>
      <c r="C118" s="55" t="s">
        <v>12359</v>
      </c>
      <c r="D118" s="621">
        <v>0</v>
      </c>
      <c r="E118" s="621">
        <v>0</v>
      </c>
      <c r="F118" s="621">
        <v>0</v>
      </c>
      <c r="G118" s="56">
        <v>0</v>
      </c>
      <c r="H118" s="56">
        <v>0</v>
      </c>
      <c r="I118" s="56">
        <v>0</v>
      </c>
      <c r="J118" s="56">
        <v>0</v>
      </c>
      <c r="K118" s="56">
        <v>0</v>
      </c>
      <c r="L118" s="56">
        <v>0</v>
      </c>
      <c r="M118" s="58">
        <v>2491</v>
      </c>
      <c r="N118" s="58">
        <v>2483</v>
      </c>
      <c r="O118" s="58">
        <v>2503</v>
      </c>
      <c r="Q118" s="619" t="s">
        <v>3074</v>
      </c>
    </row>
    <row r="119" spans="1:17" ht="15.75" thickBot="1">
      <c r="A119" s="626"/>
      <c r="B119" s="619"/>
      <c r="C119" s="55" t="s">
        <v>12359</v>
      </c>
      <c r="D119" s="621">
        <v>0</v>
      </c>
      <c r="E119" s="621">
        <v>0</v>
      </c>
      <c r="F119" s="621">
        <v>0</v>
      </c>
      <c r="G119" s="56">
        <v>0</v>
      </c>
      <c r="H119" s="56">
        <v>0</v>
      </c>
      <c r="I119" s="56">
        <v>0</v>
      </c>
      <c r="J119" s="56">
        <v>0</v>
      </c>
      <c r="K119" s="56">
        <v>0</v>
      </c>
      <c r="L119" s="56">
        <v>0</v>
      </c>
      <c r="M119" s="58">
        <v>6966</v>
      </c>
      <c r="N119" s="58">
        <v>6947</v>
      </c>
      <c r="O119" s="58">
        <v>6991</v>
      </c>
      <c r="Q119" s="619" t="s">
        <v>3076</v>
      </c>
    </row>
    <row r="120" spans="1:17" ht="15.75" thickBot="1">
      <c r="A120" s="626"/>
      <c r="B120" s="619"/>
      <c r="C120" s="55" t="s">
        <v>12359</v>
      </c>
      <c r="D120" s="625">
        <f t="shared" ref="D120:L120" si="72">SUM(D118:D119)</f>
        <v>0</v>
      </c>
      <c r="E120" s="625">
        <f t="shared" si="72"/>
        <v>0</v>
      </c>
      <c r="F120" s="625">
        <f t="shared" si="72"/>
        <v>0</v>
      </c>
      <c r="G120" s="625">
        <f t="shared" si="72"/>
        <v>0</v>
      </c>
      <c r="H120" s="625">
        <f t="shared" si="72"/>
        <v>0</v>
      </c>
      <c r="I120" s="625">
        <f t="shared" si="72"/>
        <v>0</v>
      </c>
      <c r="J120" s="625">
        <f t="shared" si="72"/>
        <v>0</v>
      </c>
      <c r="K120" s="625">
        <f t="shared" si="72"/>
        <v>0</v>
      </c>
      <c r="L120" s="625">
        <f t="shared" si="72"/>
        <v>0</v>
      </c>
      <c r="M120" s="625">
        <f>SUM(M118:M119)</f>
        <v>9457</v>
      </c>
      <c r="N120" s="625">
        <f>SUM(N118:N119)</f>
        <v>9430</v>
      </c>
      <c r="O120" s="625">
        <f>SUM(O118:O119)</f>
        <v>9494</v>
      </c>
      <c r="Q120" s="619"/>
    </row>
    <row r="121" spans="1:17">
      <c r="D121" s="623"/>
      <c r="E121" s="623"/>
      <c r="F121" s="623"/>
      <c r="G121" s="623"/>
      <c r="H121" s="623"/>
      <c r="I121" s="623"/>
      <c r="J121" s="623"/>
      <c r="K121" s="623"/>
      <c r="L121" s="623"/>
      <c r="M121" s="623"/>
      <c r="N121" s="623"/>
      <c r="O121" s="623"/>
    </row>
    <row r="122" spans="1:17">
      <c r="A122" s="619" t="s">
        <v>3074</v>
      </c>
      <c r="D122" s="621">
        <f t="shared" ref="D122:L122" si="73">SUM(D102:D104,D106:D107,D113:D114,D118)</f>
        <v>68024</v>
      </c>
      <c r="E122" s="621">
        <f t="shared" si="73"/>
        <v>68150</v>
      </c>
      <c r="F122" s="621">
        <f t="shared" si="73"/>
        <v>68361</v>
      </c>
      <c r="G122" s="621">
        <f t="shared" si="73"/>
        <v>68365</v>
      </c>
      <c r="H122" s="621">
        <f t="shared" si="73"/>
        <v>68101</v>
      </c>
      <c r="I122" s="621">
        <f t="shared" si="73"/>
        <v>65376</v>
      </c>
      <c r="J122" s="621">
        <f t="shared" si="73"/>
        <v>64970</v>
      </c>
      <c r="K122" s="621">
        <f t="shared" si="73"/>
        <v>66142</v>
      </c>
      <c r="L122" s="621">
        <f t="shared" si="73"/>
        <v>65032</v>
      </c>
      <c r="M122" s="621">
        <f>SUM(M102:M104,M106:M107,M113:M114,M118)</f>
        <v>64593</v>
      </c>
      <c r="N122" s="621">
        <f>SUM(N102:N104,N106:N107,N113:N114,N118)</f>
        <v>65116</v>
      </c>
      <c r="O122" s="621">
        <f>SUM(O102:O104,O106:O107,O113:O114,O118)</f>
        <v>65325</v>
      </c>
    </row>
    <row r="123" spans="1:17">
      <c r="A123" s="619" t="s">
        <v>3076</v>
      </c>
      <c r="D123" s="621">
        <f t="shared" ref="D123:L123" si="74">SUM(D92,D95,D97:D98,D105,D109:D110,D115,D117,D119)</f>
        <v>63473</v>
      </c>
      <c r="E123" s="621">
        <f t="shared" si="74"/>
        <v>65219</v>
      </c>
      <c r="F123" s="621">
        <f t="shared" si="74"/>
        <v>65774</v>
      </c>
      <c r="G123" s="621">
        <f t="shared" si="74"/>
        <v>65976</v>
      </c>
      <c r="H123" s="621">
        <f t="shared" si="74"/>
        <v>66370</v>
      </c>
      <c r="I123" s="621">
        <f t="shared" si="74"/>
        <v>61831</v>
      </c>
      <c r="J123" s="621">
        <f t="shared" si="74"/>
        <v>63112</v>
      </c>
      <c r="K123" s="621">
        <f t="shared" si="74"/>
        <v>64085</v>
      </c>
      <c r="L123" s="621">
        <f t="shared" si="74"/>
        <v>62738</v>
      </c>
      <c r="M123" s="621">
        <f>SUM(M92,M95,M97:M98,M105,M109:M110,M115,M117,M119)</f>
        <v>61400</v>
      </c>
      <c r="N123" s="621">
        <f>SUM(N92,N95,N97:N98,N105,N109:N110,N115,N117,N119)</f>
        <v>62917</v>
      </c>
      <c r="O123" s="621">
        <f>SUM(O92,O95,O97:O98,O105,O109:O110,O115,O117,O119)</f>
        <v>64940</v>
      </c>
    </row>
    <row r="124" spans="1:17">
      <c r="A124" s="619" t="s">
        <v>1717</v>
      </c>
      <c r="D124" s="621">
        <f t="shared" ref="D124:L124" si="75">SUM(D93,D96,D99,D101,D108,D111:D112)</f>
        <v>49258</v>
      </c>
      <c r="E124" s="621">
        <f t="shared" si="75"/>
        <v>49581</v>
      </c>
      <c r="F124" s="621">
        <f t="shared" si="75"/>
        <v>49523</v>
      </c>
      <c r="G124" s="621">
        <f t="shared" si="75"/>
        <v>49635</v>
      </c>
      <c r="H124" s="621">
        <f t="shared" si="75"/>
        <v>49627</v>
      </c>
      <c r="I124" s="621">
        <f t="shared" si="75"/>
        <v>46929</v>
      </c>
      <c r="J124" s="621">
        <f t="shared" si="75"/>
        <v>47340</v>
      </c>
      <c r="K124" s="621">
        <f t="shared" si="75"/>
        <v>48317</v>
      </c>
      <c r="L124" s="621">
        <f t="shared" si="75"/>
        <v>47642</v>
      </c>
      <c r="M124" s="621">
        <f>SUM(M93,M96,M99,M101,M108,M111:M112)</f>
        <v>47070</v>
      </c>
      <c r="N124" s="621">
        <f>SUM(N93,N96,N99,N101,N108,N111:N112)</f>
        <v>47612</v>
      </c>
      <c r="O124" s="621">
        <f>SUM(O93,O96,O99,O101,O108,O111:O112)</f>
        <v>48364</v>
      </c>
    </row>
    <row r="125" spans="1:17">
      <c r="A125" s="619"/>
      <c r="B125" s="619"/>
      <c r="D125" s="627"/>
      <c r="E125" s="627"/>
      <c r="F125" s="627"/>
      <c r="G125" s="627"/>
      <c r="H125" s="627"/>
      <c r="I125" s="627"/>
      <c r="J125" s="627"/>
      <c r="K125" s="627"/>
      <c r="L125" s="627"/>
      <c r="M125" s="627"/>
      <c r="N125" s="627"/>
      <c r="O125" s="627"/>
    </row>
    <row r="126" spans="1:17">
      <c r="A126" s="619" t="s">
        <v>1800</v>
      </c>
    </row>
    <row r="127" spans="1:17">
      <c r="A127" s="619" t="s">
        <v>12360</v>
      </c>
    </row>
    <row r="128" spans="1:17">
      <c r="A128" s="619"/>
    </row>
    <row r="129" spans="1:17">
      <c r="E129" s="51" t="s">
        <v>1526</v>
      </c>
      <c r="F129" s="51"/>
      <c r="G129" s="51"/>
      <c r="H129" s="51"/>
      <c r="I129" s="51"/>
      <c r="J129" s="51"/>
      <c r="K129" s="51"/>
      <c r="L129" s="51"/>
      <c r="M129" s="51"/>
      <c r="N129" s="51"/>
      <c r="O129" s="51"/>
      <c r="P129" s="52"/>
      <c r="Q129" s="53" t="s">
        <v>9479</v>
      </c>
    </row>
    <row r="130" spans="1:17">
      <c r="D130" s="40">
        <v>2010</v>
      </c>
      <c r="E130" s="40">
        <v>2011</v>
      </c>
      <c r="F130" s="40">
        <v>2012</v>
      </c>
      <c r="G130" s="40">
        <v>2013</v>
      </c>
      <c r="H130" s="40">
        <v>2014</v>
      </c>
      <c r="I130" s="40">
        <v>2015</v>
      </c>
      <c r="J130" s="40">
        <v>2016</v>
      </c>
      <c r="K130" s="40">
        <v>2017</v>
      </c>
      <c r="L130" s="40">
        <v>2018</v>
      </c>
      <c r="M130" s="40">
        <v>2019</v>
      </c>
      <c r="N130" s="40">
        <v>2020</v>
      </c>
      <c r="O130" s="965" t="s">
        <v>14823</v>
      </c>
      <c r="P130" s="52"/>
      <c r="Q130" s="54" t="s">
        <v>1527</v>
      </c>
    </row>
    <row r="131" spans="1:17">
      <c r="A131" s="619" t="s">
        <v>3088</v>
      </c>
      <c r="D131" s="621">
        <f t="shared" ref="D131:I131" si="76">SUM(D132:D146)</f>
        <v>115415</v>
      </c>
      <c r="E131" s="621">
        <f t="shared" si="76"/>
        <v>115806</v>
      </c>
      <c r="F131" s="621">
        <f t="shared" si="76"/>
        <v>116307</v>
      </c>
      <c r="G131" s="621">
        <f t="shared" si="76"/>
        <v>115755</v>
      </c>
      <c r="H131" s="621">
        <f t="shared" si="76"/>
        <v>114083</v>
      </c>
      <c r="I131" s="621">
        <f t="shared" si="76"/>
        <v>109553</v>
      </c>
      <c r="J131" s="621">
        <f t="shared" ref="J131:O131" si="77">SUM(J132:J146)</f>
        <v>112541</v>
      </c>
      <c r="K131" s="621">
        <f t="shared" si="77"/>
        <v>117081</v>
      </c>
      <c r="L131" s="621">
        <f t="shared" si="77"/>
        <v>115876</v>
      </c>
      <c r="M131" s="621">
        <f t="shared" si="77"/>
        <v>114786</v>
      </c>
      <c r="N131" s="621">
        <f t="shared" si="77"/>
        <v>114735</v>
      </c>
      <c r="O131" s="621">
        <f t="shared" si="77"/>
        <v>115996</v>
      </c>
    </row>
    <row r="132" spans="1:17">
      <c r="A132" s="619" t="s">
        <v>5387</v>
      </c>
      <c r="B132" s="619" t="s">
        <v>1801</v>
      </c>
      <c r="C132" s="55" t="s">
        <v>317</v>
      </c>
      <c r="D132" s="621">
        <v>8625</v>
      </c>
      <c r="E132" s="621">
        <v>8653</v>
      </c>
      <c r="F132" s="621">
        <v>8642</v>
      </c>
      <c r="G132" s="621">
        <v>8661</v>
      </c>
      <c r="H132" s="63">
        <v>8591</v>
      </c>
      <c r="I132" s="63">
        <v>8186</v>
      </c>
      <c r="J132" s="63">
        <v>8502</v>
      </c>
      <c r="K132" s="63">
        <v>8892</v>
      </c>
      <c r="L132" s="63">
        <v>8790</v>
      </c>
      <c r="M132" s="63">
        <v>8633</v>
      </c>
      <c r="N132" s="63">
        <v>8613</v>
      </c>
      <c r="O132" s="63">
        <v>8660</v>
      </c>
      <c r="Q132" s="619" t="s">
        <v>3069</v>
      </c>
    </row>
    <row r="133" spans="1:17">
      <c r="A133" s="619" t="s">
        <v>5389</v>
      </c>
      <c r="B133" s="619" t="s">
        <v>1802</v>
      </c>
      <c r="C133" s="55" t="s">
        <v>318</v>
      </c>
      <c r="D133" s="621">
        <v>7342</v>
      </c>
      <c r="E133" s="621">
        <v>7364</v>
      </c>
      <c r="F133" s="621">
        <v>7318</v>
      </c>
      <c r="G133" s="621">
        <v>7196</v>
      </c>
      <c r="H133" s="63">
        <v>7065</v>
      </c>
      <c r="I133" s="63">
        <v>6420</v>
      </c>
      <c r="J133" s="63">
        <v>6268</v>
      </c>
      <c r="K133" s="63">
        <v>6511</v>
      </c>
      <c r="L133" s="63">
        <v>6539</v>
      </c>
      <c r="M133" s="63">
        <v>6366</v>
      </c>
      <c r="N133" s="63">
        <v>6335</v>
      </c>
      <c r="O133" s="63">
        <v>6369</v>
      </c>
      <c r="Q133" s="619" t="s">
        <v>3072</v>
      </c>
    </row>
    <row r="134" spans="1:17">
      <c r="A134" s="619" t="s">
        <v>5391</v>
      </c>
      <c r="B134" s="619" t="s">
        <v>1803</v>
      </c>
      <c r="C134" s="55" t="s">
        <v>319</v>
      </c>
      <c r="D134" s="621">
        <v>7502</v>
      </c>
      <c r="E134" s="621">
        <v>7479</v>
      </c>
      <c r="F134" s="621">
        <v>7421</v>
      </c>
      <c r="G134" s="621">
        <v>7421</v>
      </c>
      <c r="H134" s="63">
        <v>7375</v>
      </c>
      <c r="I134" s="63">
        <v>7113</v>
      </c>
      <c r="J134" s="63">
        <v>7204</v>
      </c>
      <c r="K134" s="63">
        <v>7415</v>
      </c>
      <c r="L134" s="63">
        <v>7307</v>
      </c>
      <c r="M134" s="63">
        <v>7230</v>
      </c>
      <c r="N134" s="63">
        <v>7243</v>
      </c>
      <c r="O134" s="63">
        <v>7210</v>
      </c>
      <c r="Q134" s="619" t="s">
        <v>3072</v>
      </c>
    </row>
    <row r="135" spans="1:17">
      <c r="A135" s="619" t="s">
        <v>5393</v>
      </c>
      <c r="B135" s="619" t="s">
        <v>1804</v>
      </c>
      <c r="C135" s="55" t="s">
        <v>320</v>
      </c>
      <c r="D135" s="621">
        <v>8181</v>
      </c>
      <c r="E135" s="621">
        <v>8140</v>
      </c>
      <c r="F135" s="621">
        <v>8192</v>
      </c>
      <c r="G135" s="621">
        <v>8193</v>
      </c>
      <c r="H135" s="63">
        <v>8203</v>
      </c>
      <c r="I135" s="63">
        <v>8098</v>
      </c>
      <c r="J135" s="63">
        <v>8218</v>
      </c>
      <c r="K135" s="63">
        <v>8332</v>
      </c>
      <c r="L135" s="63">
        <v>8252</v>
      </c>
      <c r="M135" s="63">
        <v>8219</v>
      </c>
      <c r="N135" s="63">
        <v>8134</v>
      </c>
      <c r="O135" s="63">
        <v>8195</v>
      </c>
      <c r="Q135" s="619" t="s">
        <v>3069</v>
      </c>
    </row>
    <row r="136" spans="1:17">
      <c r="A136" s="619" t="s">
        <v>5394</v>
      </c>
      <c r="B136" s="619" t="s">
        <v>1805</v>
      </c>
      <c r="C136" s="55" t="s">
        <v>321</v>
      </c>
      <c r="D136" s="621">
        <v>8148</v>
      </c>
      <c r="E136" s="621">
        <v>8255</v>
      </c>
      <c r="F136" s="621">
        <v>8283</v>
      </c>
      <c r="G136" s="621">
        <v>8198</v>
      </c>
      <c r="H136" s="63">
        <v>7984</v>
      </c>
      <c r="I136" s="63">
        <v>7552</v>
      </c>
      <c r="J136" s="63">
        <v>7717</v>
      </c>
      <c r="K136" s="63">
        <v>8053</v>
      </c>
      <c r="L136" s="63">
        <v>7959</v>
      </c>
      <c r="M136" s="63">
        <v>7840</v>
      </c>
      <c r="N136" s="63">
        <v>7813</v>
      </c>
      <c r="O136" s="63">
        <v>8013</v>
      </c>
      <c r="Q136" s="619" t="s">
        <v>3072</v>
      </c>
    </row>
    <row r="137" spans="1:17">
      <c r="A137" s="619" t="s">
        <v>5416</v>
      </c>
      <c r="B137" s="619" t="s">
        <v>1071</v>
      </c>
      <c r="C137" s="55" t="s">
        <v>322</v>
      </c>
      <c r="D137" s="621">
        <v>8740</v>
      </c>
      <c r="E137" s="621">
        <v>8711</v>
      </c>
      <c r="F137" s="621">
        <v>8769</v>
      </c>
      <c r="G137" s="621">
        <v>8819</v>
      </c>
      <c r="H137" s="63">
        <v>8838</v>
      </c>
      <c r="I137" s="63">
        <v>8668</v>
      </c>
      <c r="J137" s="63">
        <v>8953</v>
      </c>
      <c r="K137" s="63">
        <v>9225</v>
      </c>
      <c r="L137" s="63">
        <v>9054</v>
      </c>
      <c r="M137" s="63">
        <v>9026</v>
      </c>
      <c r="N137" s="63">
        <v>9303</v>
      </c>
      <c r="O137" s="63">
        <v>9471</v>
      </c>
      <c r="Q137" s="619" t="s">
        <v>3069</v>
      </c>
    </row>
    <row r="138" spans="1:17">
      <c r="A138" s="619" t="s">
        <v>5418</v>
      </c>
      <c r="B138" s="619" t="s">
        <v>1072</v>
      </c>
      <c r="C138" s="55" t="s">
        <v>323</v>
      </c>
      <c r="D138" s="621">
        <v>8568</v>
      </c>
      <c r="E138" s="621">
        <v>8577</v>
      </c>
      <c r="F138" s="621">
        <v>8596</v>
      </c>
      <c r="G138" s="621">
        <v>8595</v>
      </c>
      <c r="H138" s="63">
        <v>8537</v>
      </c>
      <c r="I138" s="63">
        <v>8230</v>
      </c>
      <c r="J138" s="63">
        <v>8529</v>
      </c>
      <c r="K138" s="63">
        <v>8847</v>
      </c>
      <c r="L138" s="63">
        <v>8782</v>
      </c>
      <c r="M138" s="63">
        <v>8723</v>
      </c>
      <c r="N138" s="63">
        <v>8773</v>
      </c>
      <c r="O138" s="63">
        <v>8771</v>
      </c>
      <c r="Q138" s="619" t="s">
        <v>3069</v>
      </c>
    </row>
    <row r="139" spans="1:17">
      <c r="A139" s="619" t="s">
        <v>5420</v>
      </c>
      <c r="B139" s="619" t="s">
        <v>1645</v>
      </c>
      <c r="C139" s="55" t="s">
        <v>324</v>
      </c>
      <c r="D139" s="621">
        <v>8781</v>
      </c>
      <c r="E139" s="621">
        <v>8960</v>
      </c>
      <c r="F139" s="621">
        <v>8982</v>
      </c>
      <c r="G139" s="621">
        <v>8829</v>
      </c>
      <c r="H139" s="63">
        <v>8675</v>
      </c>
      <c r="I139" s="63">
        <v>8402</v>
      </c>
      <c r="J139" s="63">
        <v>8587</v>
      </c>
      <c r="K139" s="63">
        <v>8931</v>
      </c>
      <c r="L139" s="63">
        <v>8828</v>
      </c>
      <c r="M139" s="63">
        <v>8747</v>
      </c>
      <c r="N139" s="63">
        <v>8723</v>
      </c>
      <c r="O139" s="63">
        <v>8967</v>
      </c>
      <c r="Q139" s="619" t="s">
        <v>3072</v>
      </c>
    </row>
    <row r="140" spans="1:17">
      <c r="A140" s="619" t="s">
        <v>5422</v>
      </c>
      <c r="B140" s="619" t="s">
        <v>1073</v>
      </c>
      <c r="C140" s="55" t="s">
        <v>325</v>
      </c>
      <c r="D140" s="621">
        <v>7997</v>
      </c>
      <c r="E140" s="621">
        <v>8081</v>
      </c>
      <c r="F140" s="621">
        <v>8244</v>
      </c>
      <c r="G140" s="621">
        <v>8362</v>
      </c>
      <c r="H140" s="63">
        <v>8377</v>
      </c>
      <c r="I140" s="63">
        <v>8184</v>
      </c>
      <c r="J140" s="63">
        <v>8526</v>
      </c>
      <c r="K140" s="63">
        <v>8902</v>
      </c>
      <c r="L140" s="63">
        <v>8886</v>
      </c>
      <c r="M140" s="63">
        <v>8768</v>
      </c>
      <c r="N140" s="63">
        <v>8753</v>
      </c>
      <c r="O140" s="63">
        <v>8929</v>
      </c>
      <c r="Q140" s="619" t="s">
        <v>3072</v>
      </c>
    </row>
    <row r="141" spans="1:17">
      <c r="A141" s="619" t="s">
        <v>5424</v>
      </c>
      <c r="B141" s="619" t="s">
        <v>1074</v>
      </c>
      <c r="C141" s="55" t="s">
        <v>326</v>
      </c>
      <c r="D141" s="621">
        <v>8338</v>
      </c>
      <c r="E141" s="621">
        <v>8338</v>
      </c>
      <c r="F141" s="621">
        <v>8358</v>
      </c>
      <c r="G141" s="621">
        <v>8354</v>
      </c>
      <c r="H141" s="63">
        <v>8092</v>
      </c>
      <c r="I141" s="63">
        <v>7536</v>
      </c>
      <c r="J141" s="63">
        <v>7837</v>
      </c>
      <c r="K141" s="63">
        <v>8382</v>
      </c>
      <c r="L141" s="63">
        <v>8284</v>
      </c>
      <c r="M141" s="63">
        <v>8161</v>
      </c>
      <c r="N141" s="63">
        <v>8078</v>
      </c>
      <c r="O141" s="63">
        <v>8216</v>
      </c>
      <c r="Q141" s="619" t="s">
        <v>3069</v>
      </c>
    </row>
    <row r="142" spans="1:17">
      <c r="A142" s="619" t="s">
        <v>5426</v>
      </c>
      <c r="B142" s="619" t="s">
        <v>2964</v>
      </c>
      <c r="C142" s="55" t="s">
        <v>327</v>
      </c>
      <c r="D142" s="621">
        <v>8404</v>
      </c>
      <c r="E142" s="621">
        <v>8394</v>
      </c>
      <c r="F142" s="621">
        <v>8476</v>
      </c>
      <c r="G142" s="621">
        <v>8318</v>
      </c>
      <c r="H142" s="63">
        <v>7888</v>
      </c>
      <c r="I142" s="63">
        <v>7491</v>
      </c>
      <c r="J142" s="63">
        <v>7679</v>
      </c>
      <c r="K142" s="63">
        <v>8080</v>
      </c>
      <c r="L142" s="63">
        <v>8091</v>
      </c>
      <c r="M142" s="63">
        <v>8130</v>
      </c>
      <c r="N142" s="63">
        <v>8131</v>
      </c>
      <c r="O142" s="63">
        <v>8315</v>
      </c>
      <c r="Q142" s="619" t="s">
        <v>3072</v>
      </c>
    </row>
    <row r="143" spans="1:17">
      <c r="A143" s="619" t="s">
        <v>5428</v>
      </c>
      <c r="B143" s="619" t="s">
        <v>1075</v>
      </c>
      <c r="C143" s="55" t="s">
        <v>328</v>
      </c>
      <c r="D143" s="621">
        <v>5596</v>
      </c>
      <c r="E143" s="621">
        <v>5650</v>
      </c>
      <c r="F143" s="621">
        <v>5688</v>
      </c>
      <c r="G143" s="621">
        <v>5662</v>
      </c>
      <c r="H143" s="63">
        <v>5637</v>
      </c>
      <c r="I143" s="63">
        <v>5593</v>
      </c>
      <c r="J143" s="63">
        <v>5714</v>
      </c>
      <c r="K143" s="63">
        <v>5831</v>
      </c>
      <c r="L143" s="63">
        <v>5763</v>
      </c>
      <c r="M143" s="63">
        <v>5683</v>
      </c>
      <c r="N143" s="63">
        <v>5649</v>
      </c>
      <c r="O143" s="63">
        <v>5683</v>
      </c>
      <c r="Q143" s="619" t="s">
        <v>3069</v>
      </c>
    </row>
    <row r="144" spans="1:17">
      <c r="A144" s="619" t="s">
        <v>5429</v>
      </c>
      <c r="B144" s="619" t="s">
        <v>4641</v>
      </c>
      <c r="C144" s="55" t="s">
        <v>329</v>
      </c>
      <c r="D144" s="621">
        <v>5037</v>
      </c>
      <c r="E144" s="621">
        <v>4940</v>
      </c>
      <c r="F144" s="621">
        <v>4846</v>
      </c>
      <c r="G144" s="621">
        <v>4826</v>
      </c>
      <c r="H144" s="63">
        <v>4686</v>
      </c>
      <c r="I144" s="63">
        <v>4327</v>
      </c>
      <c r="J144" s="63">
        <v>4495</v>
      </c>
      <c r="K144" s="63">
        <v>4831</v>
      </c>
      <c r="L144" s="63">
        <v>4660</v>
      </c>
      <c r="M144" s="63">
        <v>4631</v>
      </c>
      <c r="N144" s="63">
        <v>4644</v>
      </c>
      <c r="O144" s="63">
        <v>4661</v>
      </c>
      <c r="Q144" s="619" t="s">
        <v>3072</v>
      </c>
    </row>
    <row r="145" spans="1:17">
      <c r="A145" s="619" t="s">
        <v>5431</v>
      </c>
      <c r="B145" s="619" t="s">
        <v>4642</v>
      </c>
      <c r="C145" s="55" t="s">
        <v>330</v>
      </c>
      <c r="D145" s="621">
        <v>5714</v>
      </c>
      <c r="E145" s="621">
        <v>5808</v>
      </c>
      <c r="F145" s="621">
        <v>5840</v>
      </c>
      <c r="G145" s="621">
        <v>5763</v>
      </c>
      <c r="H145" s="63">
        <v>5711</v>
      </c>
      <c r="I145" s="63">
        <v>5647</v>
      </c>
      <c r="J145" s="63">
        <v>5791</v>
      </c>
      <c r="K145" s="63">
        <v>5995</v>
      </c>
      <c r="L145" s="63">
        <v>6023</v>
      </c>
      <c r="M145" s="63">
        <v>6007</v>
      </c>
      <c r="N145" s="63">
        <v>6036</v>
      </c>
      <c r="O145" s="63">
        <v>6092</v>
      </c>
      <c r="Q145" s="619" t="s">
        <v>3069</v>
      </c>
    </row>
    <row r="146" spans="1:17">
      <c r="A146" s="626">
        <v>15</v>
      </c>
      <c r="B146" s="619" t="s">
        <v>4643</v>
      </c>
      <c r="C146" s="55" t="s">
        <v>331</v>
      </c>
      <c r="D146" s="623">
        <v>8442</v>
      </c>
      <c r="E146" s="623">
        <v>8456</v>
      </c>
      <c r="F146" s="623">
        <v>8652</v>
      </c>
      <c r="G146" s="623">
        <v>8558</v>
      </c>
      <c r="H146" s="63">
        <v>8424</v>
      </c>
      <c r="I146" s="63">
        <v>8106</v>
      </c>
      <c r="J146" s="63">
        <v>8521</v>
      </c>
      <c r="K146" s="63">
        <v>8854</v>
      </c>
      <c r="L146" s="63">
        <v>8658</v>
      </c>
      <c r="M146" s="63">
        <v>8622</v>
      </c>
      <c r="N146" s="63">
        <v>8507</v>
      </c>
      <c r="O146" s="63">
        <v>8444</v>
      </c>
      <c r="Q146" s="619" t="s">
        <v>3072</v>
      </c>
    </row>
    <row r="147" spans="1:17">
      <c r="D147" s="623"/>
      <c r="E147" s="623"/>
      <c r="F147" s="623"/>
      <c r="G147" s="623"/>
      <c r="H147" s="623"/>
      <c r="I147" s="623"/>
      <c r="J147" s="623"/>
      <c r="K147" s="623"/>
      <c r="L147" s="623"/>
      <c r="M147" s="623"/>
      <c r="N147" s="623"/>
      <c r="O147" s="623"/>
    </row>
    <row r="148" spans="1:17">
      <c r="A148" s="619" t="s">
        <v>4644</v>
      </c>
      <c r="D148" s="621">
        <f t="shared" ref="D148:I148" si="78">D132+D135+D137+D138+D141+D143+D145</f>
        <v>53762</v>
      </c>
      <c r="E148" s="621">
        <f t="shared" si="78"/>
        <v>53877</v>
      </c>
      <c r="F148" s="621">
        <f t="shared" si="78"/>
        <v>54085</v>
      </c>
      <c r="G148" s="621">
        <f t="shared" si="78"/>
        <v>54047</v>
      </c>
      <c r="H148" s="621">
        <f t="shared" si="78"/>
        <v>53609</v>
      </c>
      <c r="I148" s="621">
        <f t="shared" si="78"/>
        <v>51958</v>
      </c>
      <c r="J148" s="621">
        <f t="shared" ref="J148:O148" si="79">J132+J135+J137+J138+J141+J143+J145</f>
        <v>53544</v>
      </c>
      <c r="K148" s="621">
        <f t="shared" si="79"/>
        <v>55504</v>
      </c>
      <c r="L148" s="621">
        <f t="shared" si="79"/>
        <v>54948</v>
      </c>
      <c r="M148" s="621">
        <f t="shared" si="79"/>
        <v>54452</v>
      </c>
      <c r="N148" s="621">
        <f t="shared" si="79"/>
        <v>54586</v>
      </c>
      <c r="O148" s="621">
        <f t="shared" si="79"/>
        <v>55088</v>
      </c>
    </row>
    <row r="149" spans="1:17">
      <c r="A149" s="619" t="s">
        <v>3072</v>
      </c>
      <c r="D149" s="621">
        <f t="shared" ref="D149:I149" si="80">D133+D134+D136+D139+D140+D142+D144+D146</f>
        <v>61653</v>
      </c>
      <c r="E149" s="621">
        <f t="shared" si="80"/>
        <v>61929</v>
      </c>
      <c r="F149" s="621">
        <f t="shared" si="80"/>
        <v>62222</v>
      </c>
      <c r="G149" s="621">
        <f t="shared" si="80"/>
        <v>61708</v>
      </c>
      <c r="H149" s="621">
        <f t="shared" si="80"/>
        <v>60474</v>
      </c>
      <c r="I149" s="621">
        <f t="shared" si="80"/>
        <v>57595</v>
      </c>
      <c r="J149" s="621">
        <f t="shared" ref="J149:O149" si="81">J133+J134+J136+J139+J140+J142+J144+J146</f>
        <v>58997</v>
      </c>
      <c r="K149" s="621">
        <f t="shared" si="81"/>
        <v>61577</v>
      </c>
      <c r="L149" s="621">
        <f t="shared" si="81"/>
        <v>60928</v>
      </c>
      <c r="M149" s="621">
        <f t="shared" si="81"/>
        <v>60334</v>
      </c>
      <c r="N149" s="621">
        <f t="shared" si="81"/>
        <v>60149</v>
      </c>
      <c r="O149" s="621">
        <f t="shared" si="81"/>
        <v>60908</v>
      </c>
    </row>
    <row r="151" spans="1:17">
      <c r="A151" s="619" t="s">
        <v>1790</v>
      </c>
    </row>
    <row r="152" spans="1:17">
      <c r="A152" s="619"/>
    </row>
    <row r="153" spans="1:17">
      <c r="A153" s="619"/>
    </row>
    <row r="154" spans="1:17">
      <c r="E154" s="51" t="s">
        <v>1526</v>
      </c>
      <c r="F154" s="51"/>
      <c r="G154" s="51"/>
      <c r="H154" s="51"/>
      <c r="I154" s="51"/>
      <c r="J154" s="51"/>
      <c r="K154" s="51"/>
      <c r="L154" s="51"/>
      <c r="M154" s="51"/>
      <c r="N154" s="51"/>
      <c r="O154" s="51"/>
      <c r="P154" s="52"/>
      <c r="Q154" s="53" t="s">
        <v>9479</v>
      </c>
    </row>
    <row r="155" spans="1:17">
      <c r="D155" s="40">
        <v>2010</v>
      </c>
      <c r="E155" s="40">
        <v>2011</v>
      </c>
      <c r="F155" s="40">
        <v>2012</v>
      </c>
      <c r="G155" s="40">
        <v>2013</v>
      </c>
      <c r="H155" s="40">
        <v>2014</v>
      </c>
      <c r="I155" s="40">
        <v>2015</v>
      </c>
      <c r="J155" s="40">
        <v>2016</v>
      </c>
      <c r="K155" s="40">
        <v>2017</v>
      </c>
      <c r="L155" s="40">
        <v>2018</v>
      </c>
      <c r="M155" s="40">
        <v>2019</v>
      </c>
      <c r="N155" s="40">
        <v>2020</v>
      </c>
      <c r="O155" s="965" t="s">
        <v>14823</v>
      </c>
      <c r="P155" s="52"/>
      <c r="Q155" s="54" t="s">
        <v>1527</v>
      </c>
    </row>
    <row r="156" spans="1:17" ht="15" customHeight="1">
      <c r="A156" s="619" t="s">
        <v>3089</v>
      </c>
      <c r="D156" s="621">
        <f t="shared" ref="D156:I156" si="82">SUM(D157:D173)</f>
        <v>124476</v>
      </c>
      <c r="E156" s="621">
        <f t="shared" si="82"/>
        <v>124610</v>
      </c>
      <c r="F156" s="621">
        <f t="shared" si="82"/>
        <v>124626</v>
      </c>
      <c r="G156" s="621">
        <f t="shared" si="82"/>
        <v>125173</v>
      </c>
      <c r="H156" s="621">
        <f t="shared" si="82"/>
        <v>124636</v>
      </c>
      <c r="I156" s="621">
        <f t="shared" si="82"/>
        <v>121292</v>
      </c>
      <c r="J156" s="621">
        <f t="shared" ref="J156:O156" si="83">SUM(J157:J173)</f>
        <v>119916</v>
      </c>
      <c r="K156" s="621">
        <f t="shared" si="83"/>
        <v>122395</v>
      </c>
      <c r="L156" s="621">
        <f t="shared" si="83"/>
        <v>122502</v>
      </c>
      <c r="M156" s="621">
        <f t="shared" si="83"/>
        <v>126815</v>
      </c>
      <c r="N156" s="621">
        <f t="shared" si="83"/>
        <v>120988</v>
      </c>
      <c r="O156" s="621">
        <f t="shared" si="83"/>
        <v>125376</v>
      </c>
    </row>
    <row r="157" spans="1:17">
      <c r="A157" s="619" t="s">
        <v>5387</v>
      </c>
      <c r="B157" s="619" t="s">
        <v>1791</v>
      </c>
      <c r="C157" s="55" t="s">
        <v>332</v>
      </c>
      <c r="D157" s="621">
        <v>8319</v>
      </c>
      <c r="E157" s="621">
        <v>8592</v>
      </c>
      <c r="F157" s="621">
        <v>8742</v>
      </c>
      <c r="G157" s="63">
        <v>8862</v>
      </c>
      <c r="H157" s="63">
        <v>9005</v>
      </c>
      <c r="I157" s="63">
        <v>8735</v>
      </c>
      <c r="J157" s="63">
        <v>8808</v>
      </c>
      <c r="K157" s="63">
        <v>9006</v>
      </c>
      <c r="L157" s="63">
        <v>9018</v>
      </c>
      <c r="M157" s="63">
        <v>9526</v>
      </c>
      <c r="N157" s="63">
        <v>8992</v>
      </c>
      <c r="O157" s="63">
        <v>9386</v>
      </c>
      <c r="Q157" s="619" t="s">
        <v>4605</v>
      </c>
    </row>
    <row r="158" spans="1:17">
      <c r="A158" s="619" t="s">
        <v>5389</v>
      </c>
      <c r="B158" s="147" t="s">
        <v>1792</v>
      </c>
      <c r="C158" s="55" t="s">
        <v>333</v>
      </c>
      <c r="D158" s="621">
        <v>5658</v>
      </c>
      <c r="E158" s="621">
        <v>5610</v>
      </c>
      <c r="F158" s="621">
        <v>5687</v>
      </c>
      <c r="G158" s="63">
        <v>5790</v>
      </c>
      <c r="H158" s="63">
        <v>5730</v>
      </c>
      <c r="I158" s="63">
        <v>5642</v>
      </c>
      <c r="J158" s="63">
        <v>5618</v>
      </c>
      <c r="K158" s="63">
        <v>5861</v>
      </c>
      <c r="L158" s="63">
        <v>5876</v>
      </c>
      <c r="M158" s="63">
        <v>6113</v>
      </c>
      <c r="N158" s="63">
        <v>5833</v>
      </c>
      <c r="O158" s="63">
        <v>6077</v>
      </c>
      <c r="Q158" s="147" t="s">
        <v>3067</v>
      </c>
    </row>
    <row r="159" spans="1:17">
      <c r="A159" s="619" t="s">
        <v>5391</v>
      </c>
      <c r="B159" s="147" t="s">
        <v>1793</v>
      </c>
      <c r="C159" s="55" t="s">
        <v>334</v>
      </c>
      <c r="D159" s="621">
        <v>6338</v>
      </c>
      <c r="E159" s="621">
        <v>6448</v>
      </c>
      <c r="F159" s="621">
        <v>6515</v>
      </c>
      <c r="G159" s="63">
        <v>6512</v>
      </c>
      <c r="H159" s="63">
        <v>6512</v>
      </c>
      <c r="I159" s="63">
        <v>6308</v>
      </c>
      <c r="J159" s="63">
        <v>6187</v>
      </c>
      <c r="K159" s="63">
        <v>6388</v>
      </c>
      <c r="L159" s="63">
        <v>6355</v>
      </c>
      <c r="M159" s="63">
        <v>6542</v>
      </c>
      <c r="N159" s="63">
        <v>6256</v>
      </c>
      <c r="O159" s="63">
        <v>6436</v>
      </c>
      <c r="Q159" s="147" t="s">
        <v>3067</v>
      </c>
    </row>
    <row r="160" spans="1:17">
      <c r="A160" s="619" t="s">
        <v>5393</v>
      </c>
      <c r="B160" s="147" t="s">
        <v>1794</v>
      </c>
      <c r="C160" s="55" t="s">
        <v>335</v>
      </c>
      <c r="D160" s="621">
        <v>5707</v>
      </c>
      <c r="E160" s="621">
        <v>5711</v>
      </c>
      <c r="F160" s="621">
        <v>5694</v>
      </c>
      <c r="G160" s="63">
        <v>5719</v>
      </c>
      <c r="H160" s="63">
        <v>5708</v>
      </c>
      <c r="I160" s="63">
        <v>5602</v>
      </c>
      <c r="J160" s="63">
        <v>5629</v>
      </c>
      <c r="K160" s="63">
        <v>5814</v>
      </c>
      <c r="L160" s="63">
        <v>5803</v>
      </c>
      <c r="M160" s="63">
        <v>5997</v>
      </c>
      <c r="N160" s="63">
        <v>5710</v>
      </c>
      <c r="O160" s="63">
        <v>5903</v>
      </c>
      <c r="Q160" s="147" t="s">
        <v>3067</v>
      </c>
    </row>
    <row r="161" spans="1:17">
      <c r="A161" s="619" t="s">
        <v>5394</v>
      </c>
      <c r="B161" s="147" t="s">
        <v>4440</v>
      </c>
      <c r="C161" s="55" t="s">
        <v>336</v>
      </c>
      <c r="D161" s="621">
        <v>8194</v>
      </c>
      <c r="E161" s="621">
        <v>8252</v>
      </c>
      <c r="F161" s="621">
        <v>8368</v>
      </c>
      <c r="G161" s="63">
        <v>8507</v>
      </c>
      <c r="H161" s="63">
        <v>8612</v>
      </c>
      <c r="I161" s="63">
        <v>8466</v>
      </c>
      <c r="J161" s="63">
        <v>8430</v>
      </c>
      <c r="K161" s="63">
        <v>8727</v>
      </c>
      <c r="L161" s="63">
        <v>8862</v>
      </c>
      <c r="M161" s="63">
        <v>9334</v>
      </c>
      <c r="N161" s="63">
        <v>8957</v>
      </c>
      <c r="O161" s="63">
        <v>9367</v>
      </c>
      <c r="Q161" s="619" t="s">
        <v>3069</v>
      </c>
    </row>
    <row r="162" spans="1:17">
      <c r="A162" s="619" t="s">
        <v>5416</v>
      </c>
      <c r="B162" s="619" t="s">
        <v>1795</v>
      </c>
      <c r="C162" s="55" t="s">
        <v>337</v>
      </c>
      <c r="D162" s="621">
        <v>9178</v>
      </c>
      <c r="E162" s="621">
        <v>9111</v>
      </c>
      <c r="F162" s="621">
        <v>9096</v>
      </c>
      <c r="G162" s="63">
        <v>9103</v>
      </c>
      <c r="H162" s="63">
        <v>8974</v>
      </c>
      <c r="I162" s="63">
        <v>8874</v>
      </c>
      <c r="J162" s="63">
        <v>8835</v>
      </c>
      <c r="K162" s="63">
        <v>8891</v>
      </c>
      <c r="L162" s="63">
        <v>8837</v>
      </c>
      <c r="M162" s="63">
        <v>9000</v>
      </c>
      <c r="N162" s="63">
        <v>8638</v>
      </c>
      <c r="O162" s="63">
        <v>8869</v>
      </c>
      <c r="Q162" s="619" t="s">
        <v>4605</v>
      </c>
    </row>
    <row r="163" spans="1:17">
      <c r="A163" s="619" t="s">
        <v>5418</v>
      </c>
      <c r="B163" s="147" t="s">
        <v>1796</v>
      </c>
      <c r="C163" s="55" t="s">
        <v>338</v>
      </c>
      <c r="D163" s="621">
        <v>9091</v>
      </c>
      <c r="E163" s="621">
        <v>9132</v>
      </c>
      <c r="F163" s="621">
        <v>9091</v>
      </c>
      <c r="G163" s="63">
        <v>9133</v>
      </c>
      <c r="H163" s="63">
        <v>8970</v>
      </c>
      <c r="I163" s="63">
        <v>8734</v>
      </c>
      <c r="J163" s="63">
        <v>8632</v>
      </c>
      <c r="K163" s="63">
        <v>8928</v>
      </c>
      <c r="L163" s="63">
        <v>8991</v>
      </c>
      <c r="M163" s="63">
        <v>9334</v>
      </c>
      <c r="N163" s="63">
        <v>8839</v>
      </c>
      <c r="O163" s="63">
        <v>9152</v>
      </c>
      <c r="Q163" s="147" t="s">
        <v>3067</v>
      </c>
    </row>
    <row r="164" spans="1:17">
      <c r="A164" s="619" t="s">
        <v>5420</v>
      </c>
      <c r="B164" s="147" t="s">
        <v>1797</v>
      </c>
      <c r="C164" s="55" t="s">
        <v>339</v>
      </c>
      <c r="D164" s="624">
        <v>5324</v>
      </c>
      <c r="E164" s="624">
        <v>5290</v>
      </c>
      <c r="F164" s="624">
        <v>5301</v>
      </c>
      <c r="G164" s="63">
        <v>5263</v>
      </c>
      <c r="H164" s="63">
        <v>5246</v>
      </c>
      <c r="I164" s="63">
        <v>5101</v>
      </c>
      <c r="J164" s="63">
        <v>5017</v>
      </c>
      <c r="K164" s="63">
        <v>5119</v>
      </c>
      <c r="L164" s="63">
        <v>5159</v>
      </c>
      <c r="M164" s="63">
        <v>5310</v>
      </c>
      <c r="N164" s="63">
        <v>5009</v>
      </c>
      <c r="O164" s="63">
        <v>5188</v>
      </c>
      <c r="Q164" s="147" t="s">
        <v>3067</v>
      </c>
    </row>
    <row r="165" spans="1:17">
      <c r="A165" s="619" t="s">
        <v>5422</v>
      </c>
      <c r="B165" s="619" t="s">
        <v>1798</v>
      </c>
      <c r="C165" s="55" t="s">
        <v>340</v>
      </c>
      <c r="D165" s="624">
        <v>8177</v>
      </c>
      <c r="E165" s="624">
        <v>8122</v>
      </c>
      <c r="F165" s="624">
        <v>8201</v>
      </c>
      <c r="G165" s="63">
        <v>8186</v>
      </c>
      <c r="H165" s="63">
        <v>8102</v>
      </c>
      <c r="I165" s="63">
        <v>7854</v>
      </c>
      <c r="J165" s="63">
        <v>7458</v>
      </c>
      <c r="K165" s="63">
        <v>7582</v>
      </c>
      <c r="L165" s="63">
        <v>7466</v>
      </c>
      <c r="M165" s="63">
        <v>7838</v>
      </c>
      <c r="N165" s="63">
        <v>7551</v>
      </c>
      <c r="O165" s="63">
        <v>7853</v>
      </c>
      <c r="Q165" s="619" t="s">
        <v>4605</v>
      </c>
    </row>
    <row r="166" spans="1:17">
      <c r="A166" s="619" t="s">
        <v>5424</v>
      </c>
      <c r="B166" s="147" t="s">
        <v>6130</v>
      </c>
      <c r="C166" s="55" t="s">
        <v>341</v>
      </c>
      <c r="D166" s="621">
        <v>3086</v>
      </c>
      <c r="E166" s="621">
        <v>3042</v>
      </c>
      <c r="F166" s="621">
        <v>3017</v>
      </c>
      <c r="G166" s="63">
        <v>2971</v>
      </c>
      <c r="H166" s="63">
        <v>2972</v>
      </c>
      <c r="I166" s="63">
        <v>2888</v>
      </c>
      <c r="J166" s="63">
        <v>2747</v>
      </c>
      <c r="K166" s="63">
        <v>2790</v>
      </c>
      <c r="L166" s="63">
        <v>2829</v>
      </c>
      <c r="M166" s="63">
        <v>2967</v>
      </c>
      <c r="N166" s="63">
        <v>2823</v>
      </c>
      <c r="O166" s="63">
        <v>2924</v>
      </c>
      <c r="Q166" s="147" t="s">
        <v>3067</v>
      </c>
    </row>
    <row r="167" spans="1:17">
      <c r="A167" s="619" t="s">
        <v>5426</v>
      </c>
      <c r="B167" s="619" t="s">
        <v>6131</v>
      </c>
      <c r="C167" s="55" t="s">
        <v>342</v>
      </c>
      <c r="D167" s="621">
        <v>8885</v>
      </c>
      <c r="E167" s="621">
        <v>8870</v>
      </c>
      <c r="F167" s="621">
        <v>8881</v>
      </c>
      <c r="G167" s="63">
        <v>8920</v>
      </c>
      <c r="H167" s="63">
        <v>8834</v>
      </c>
      <c r="I167" s="63">
        <v>8588</v>
      </c>
      <c r="J167" s="63">
        <v>8662</v>
      </c>
      <c r="K167" s="63">
        <v>8717</v>
      </c>
      <c r="L167" s="63">
        <v>8743</v>
      </c>
      <c r="M167" s="63">
        <v>9043</v>
      </c>
      <c r="N167" s="63">
        <v>8572</v>
      </c>
      <c r="O167" s="63">
        <v>8843</v>
      </c>
      <c r="Q167" s="619" t="s">
        <v>3067</v>
      </c>
    </row>
    <row r="168" spans="1:17">
      <c r="A168" s="619" t="s">
        <v>5428</v>
      </c>
      <c r="B168" s="619" t="s">
        <v>4621</v>
      </c>
      <c r="C168" s="55" t="s">
        <v>343</v>
      </c>
      <c r="D168" s="621">
        <v>8423</v>
      </c>
      <c r="E168" s="621">
        <v>8310</v>
      </c>
      <c r="F168" s="621">
        <v>8260</v>
      </c>
      <c r="G168" s="63">
        <v>8299</v>
      </c>
      <c r="H168" s="63">
        <v>8282</v>
      </c>
      <c r="I168" s="63">
        <v>7951</v>
      </c>
      <c r="J168" s="63">
        <v>7726</v>
      </c>
      <c r="K168" s="63">
        <v>7797</v>
      </c>
      <c r="L168" s="63">
        <v>7668</v>
      </c>
      <c r="M168" s="63">
        <v>7801</v>
      </c>
      <c r="N168" s="63">
        <v>7537</v>
      </c>
      <c r="O168" s="63">
        <v>7795</v>
      </c>
      <c r="Q168" s="619" t="s">
        <v>4605</v>
      </c>
    </row>
    <row r="169" spans="1:17">
      <c r="A169" s="619" t="s">
        <v>5429</v>
      </c>
      <c r="B169" s="619" t="s">
        <v>4622</v>
      </c>
      <c r="C169" s="55" t="s">
        <v>344</v>
      </c>
      <c r="D169" s="621">
        <v>8766</v>
      </c>
      <c r="E169" s="621">
        <v>8766</v>
      </c>
      <c r="F169" s="621">
        <v>8743</v>
      </c>
      <c r="G169" s="63">
        <v>8768</v>
      </c>
      <c r="H169" s="63">
        <v>8755</v>
      </c>
      <c r="I169" s="63">
        <v>8518</v>
      </c>
      <c r="J169" s="63">
        <v>8583</v>
      </c>
      <c r="K169" s="63">
        <v>8716</v>
      </c>
      <c r="L169" s="63">
        <v>8746</v>
      </c>
      <c r="M169" s="63">
        <v>9104</v>
      </c>
      <c r="N169" s="63">
        <v>8644</v>
      </c>
      <c r="O169" s="63">
        <v>8975</v>
      </c>
      <c r="Q169" s="619" t="s">
        <v>3069</v>
      </c>
    </row>
    <row r="170" spans="1:17">
      <c r="A170" s="619" t="s">
        <v>5431</v>
      </c>
      <c r="B170" s="619" t="s">
        <v>4623</v>
      </c>
      <c r="C170" s="55" t="s">
        <v>345</v>
      </c>
      <c r="D170" s="621">
        <v>5662</v>
      </c>
      <c r="E170" s="621">
        <v>5641</v>
      </c>
      <c r="F170" s="621">
        <v>5487</v>
      </c>
      <c r="G170" s="63">
        <v>5469</v>
      </c>
      <c r="H170" s="63">
        <v>5494</v>
      </c>
      <c r="I170" s="63">
        <v>5334</v>
      </c>
      <c r="J170" s="63">
        <v>5169</v>
      </c>
      <c r="K170" s="63">
        <v>5218</v>
      </c>
      <c r="L170" s="63">
        <v>5221</v>
      </c>
      <c r="M170" s="63">
        <v>5377</v>
      </c>
      <c r="N170" s="63">
        <v>5122</v>
      </c>
      <c r="O170" s="63">
        <v>5311</v>
      </c>
      <c r="Q170" s="619" t="s">
        <v>4605</v>
      </c>
    </row>
    <row r="171" spans="1:17">
      <c r="A171" s="619" t="s">
        <v>5433</v>
      </c>
      <c r="B171" s="619" t="s">
        <v>4624</v>
      </c>
      <c r="C171" s="55" t="s">
        <v>346</v>
      </c>
      <c r="D171" s="621">
        <v>8323</v>
      </c>
      <c r="E171" s="621">
        <v>8328</v>
      </c>
      <c r="F171" s="621">
        <v>8213</v>
      </c>
      <c r="G171" s="63">
        <v>8172</v>
      </c>
      <c r="H171" s="63">
        <v>8135</v>
      </c>
      <c r="I171" s="63">
        <v>7908</v>
      </c>
      <c r="J171" s="63">
        <v>7728</v>
      </c>
      <c r="K171" s="63">
        <v>7908</v>
      </c>
      <c r="L171" s="63">
        <v>7936</v>
      </c>
      <c r="M171" s="63">
        <v>8151</v>
      </c>
      <c r="N171" s="63">
        <v>7696</v>
      </c>
      <c r="O171" s="63">
        <v>7971</v>
      </c>
      <c r="Q171" s="619" t="s">
        <v>4605</v>
      </c>
    </row>
    <row r="172" spans="1:17">
      <c r="A172" s="626">
        <v>16</v>
      </c>
      <c r="B172" s="147" t="s">
        <v>4625</v>
      </c>
      <c r="C172" s="55" t="s">
        <v>347</v>
      </c>
      <c r="D172" s="624">
        <v>10186</v>
      </c>
      <c r="E172" s="624">
        <v>10253</v>
      </c>
      <c r="F172" s="624">
        <v>10202</v>
      </c>
      <c r="G172" s="63">
        <v>10276</v>
      </c>
      <c r="H172" s="63">
        <v>10210</v>
      </c>
      <c r="I172" s="63">
        <v>9942</v>
      </c>
      <c r="J172" s="63">
        <v>9947</v>
      </c>
      <c r="K172" s="63">
        <v>10159</v>
      </c>
      <c r="L172" s="63">
        <v>10224</v>
      </c>
      <c r="M172" s="63">
        <v>10417</v>
      </c>
      <c r="N172" s="63">
        <v>10048</v>
      </c>
      <c r="O172" s="63">
        <v>10365</v>
      </c>
      <c r="Q172" s="619" t="s">
        <v>4605</v>
      </c>
    </row>
    <row r="173" spans="1:17">
      <c r="A173" s="626">
        <v>17</v>
      </c>
      <c r="B173" s="147" t="s">
        <v>3229</v>
      </c>
      <c r="C173" s="55" t="s">
        <v>348</v>
      </c>
      <c r="D173" s="621">
        <v>5159</v>
      </c>
      <c r="E173" s="621">
        <v>5132</v>
      </c>
      <c r="F173" s="621">
        <v>5128</v>
      </c>
      <c r="G173" s="63">
        <v>5223</v>
      </c>
      <c r="H173" s="63">
        <v>5095</v>
      </c>
      <c r="I173" s="63">
        <v>4847</v>
      </c>
      <c r="J173" s="63">
        <v>4740</v>
      </c>
      <c r="K173" s="63">
        <v>4774</v>
      </c>
      <c r="L173" s="63">
        <v>4768</v>
      </c>
      <c r="M173" s="63">
        <v>4961</v>
      </c>
      <c r="N173" s="63">
        <v>4761</v>
      </c>
      <c r="O173" s="63">
        <v>4961</v>
      </c>
      <c r="Q173" s="147" t="s">
        <v>4605</v>
      </c>
    </row>
    <row r="175" spans="1:17">
      <c r="A175" s="619" t="s">
        <v>1716</v>
      </c>
      <c r="D175" s="621">
        <f t="shared" ref="D175:I175" si="84">SUM(D158:D160)+D163+D164+D166+D167</f>
        <v>44089</v>
      </c>
      <c r="E175" s="621">
        <f t="shared" si="84"/>
        <v>44103</v>
      </c>
      <c r="F175" s="621">
        <f t="shared" si="84"/>
        <v>44186</v>
      </c>
      <c r="G175" s="621">
        <f t="shared" si="84"/>
        <v>44308</v>
      </c>
      <c r="H175" s="621">
        <f t="shared" si="84"/>
        <v>43972</v>
      </c>
      <c r="I175" s="621">
        <f t="shared" si="84"/>
        <v>42863</v>
      </c>
      <c r="J175" s="621">
        <f t="shared" ref="J175:O175" si="85">SUM(J158:J160)+J163+J164+J166+J167</f>
        <v>42492</v>
      </c>
      <c r="K175" s="621">
        <f t="shared" si="85"/>
        <v>43617</v>
      </c>
      <c r="L175" s="621">
        <f t="shared" si="85"/>
        <v>43756</v>
      </c>
      <c r="M175" s="621">
        <f t="shared" si="85"/>
        <v>45306</v>
      </c>
      <c r="N175" s="621">
        <f t="shared" si="85"/>
        <v>43042</v>
      </c>
      <c r="O175" s="621">
        <f t="shared" si="85"/>
        <v>44523</v>
      </c>
    </row>
    <row r="176" spans="1:17">
      <c r="A176" s="619" t="s">
        <v>4644</v>
      </c>
      <c r="D176" s="621">
        <f t="shared" ref="D176:I176" si="86">D161+D169</f>
        <v>16960</v>
      </c>
      <c r="E176" s="621">
        <f t="shared" si="86"/>
        <v>17018</v>
      </c>
      <c r="F176" s="621">
        <f t="shared" si="86"/>
        <v>17111</v>
      </c>
      <c r="G176" s="621">
        <f t="shared" si="86"/>
        <v>17275</v>
      </c>
      <c r="H176" s="621">
        <f t="shared" si="86"/>
        <v>17367</v>
      </c>
      <c r="I176" s="621">
        <f t="shared" si="86"/>
        <v>16984</v>
      </c>
      <c r="J176" s="621">
        <f t="shared" ref="J176:O176" si="87">J161+J169</f>
        <v>17013</v>
      </c>
      <c r="K176" s="621">
        <f t="shared" si="87"/>
        <v>17443</v>
      </c>
      <c r="L176" s="621">
        <f t="shared" si="87"/>
        <v>17608</v>
      </c>
      <c r="M176" s="621">
        <f t="shared" si="87"/>
        <v>18438</v>
      </c>
      <c r="N176" s="621">
        <f t="shared" si="87"/>
        <v>17601</v>
      </c>
      <c r="O176" s="621">
        <f t="shared" si="87"/>
        <v>18342</v>
      </c>
    </row>
    <row r="177" spans="1:15">
      <c r="A177" s="619" t="s">
        <v>4605</v>
      </c>
      <c r="D177" s="621">
        <f t="shared" ref="D177:I177" si="88">D157+D162+D165+D168+SUM(D170:D173)</f>
        <v>63427</v>
      </c>
      <c r="E177" s="621">
        <f t="shared" si="88"/>
        <v>63489</v>
      </c>
      <c r="F177" s="621">
        <f t="shared" si="88"/>
        <v>63329</v>
      </c>
      <c r="G177" s="621">
        <f t="shared" si="88"/>
        <v>63590</v>
      </c>
      <c r="H177" s="621">
        <f t="shared" si="88"/>
        <v>63297</v>
      </c>
      <c r="I177" s="621">
        <f t="shared" si="88"/>
        <v>61445</v>
      </c>
      <c r="J177" s="621">
        <f t="shared" ref="J177:O177" si="89">J157+J162+J165+J168+SUM(J170:J173)</f>
        <v>60411</v>
      </c>
      <c r="K177" s="621">
        <f t="shared" si="89"/>
        <v>61335</v>
      </c>
      <c r="L177" s="621">
        <f t="shared" si="89"/>
        <v>61138</v>
      </c>
      <c r="M177" s="621">
        <f t="shared" si="89"/>
        <v>63071</v>
      </c>
      <c r="N177" s="621">
        <f t="shared" si="89"/>
        <v>60345</v>
      </c>
      <c r="O177" s="621">
        <f t="shared" si="89"/>
        <v>62511</v>
      </c>
    </row>
    <row r="179" spans="1:15">
      <c r="A179" s="619" t="s">
        <v>2133</v>
      </c>
    </row>
  </sheetData>
  <phoneticPr fontId="6" type="noConversion"/>
  <printOptions gridLinesSet="0"/>
  <pageMargins left="0.78740157480314965" right="0" top="0.51181102362204722" bottom="0.51181102362204722" header="0.51181102362204722" footer="0.51181102362204722"/>
  <pageSetup paperSize="9" scale="62" orientation="portrait" horizontalDpi="300" verticalDpi="300" r:id="rId1"/>
  <headerFooter alignWithMargins="0">
    <oddFooter>&amp;C&amp;"Times New Roman,Regular"&amp;8&amp;P of &amp;N</oddFooter>
  </headerFooter>
  <ignoredErrors>
    <ignoredError sqref="D131:E131 D156:E156 D52:E52 D91:E91 D148:E149 D80:E84 F148:F156 F80:F91 G91:K91 G131:K131 G156:K156 G52:K52 D3:G13 D14:E45 F14:F52 G14:G45 H3:K45 G80:K84 G148:K149 D175:K177 L121 L3:L91 F128:F131 L128:L17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dimension ref="A1:Q54"/>
  <sheetViews>
    <sheetView showGridLines="0" topLeftCell="A4" zoomScale="90" zoomScaleNormal="90" workbookViewId="0">
      <selection activeCell="A53" sqref="A53:A54"/>
    </sheetView>
  </sheetViews>
  <sheetFormatPr defaultColWidth="14.5703125" defaultRowHeight="15"/>
  <cols>
    <col min="1" max="1" width="4.85546875" style="146" customWidth="1"/>
    <col min="2" max="2" width="39.5703125" style="146" customWidth="1"/>
    <col min="3" max="3" width="11.7109375" style="146" customWidth="1"/>
    <col min="4" max="15" width="10" style="146" customWidth="1"/>
    <col min="16" max="16" width="2.28515625" style="146" customWidth="1"/>
    <col min="17" max="17" width="25.7109375" style="146" customWidth="1"/>
    <col min="18" max="16384" width="14.5703125" style="146"/>
  </cols>
  <sheetData>
    <row r="1" spans="1:17">
      <c r="A1" s="615" t="s">
        <v>6924</v>
      </c>
      <c r="B1" s="616"/>
      <c r="C1" s="616"/>
      <c r="D1" s="398">
        <v>2010</v>
      </c>
      <c r="E1" s="398">
        <v>2011</v>
      </c>
      <c r="F1" s="398">
        <v>2012</v>
      </c>
      <c r="G1" s="398">
        <v>2013</v>
      </c>
      <c r="H1" s="398">
        <v>2014</v>
      </c>
      <c r="I1" s="398">
        <v>2015</v>
      </c>
      <c r="J1" s="398">
        <v>2016</v>
      </c>
      <c r="K1" s="398">
        <v>2017</v>
      </c>
      <c r="L1" s="398">
        <v>2018</v>
      </c>
      <c r="M1" s="398">
        <v>2019</v>
      </c>
      <c r="N1" s="398">
        <v>2020</v>
      </c>
      <c r="O1" s="943" t="s">
        <v>14823</v>
      </c>
      <c r="P1" s="616"/>
    </row>
    <row r="2" spans="1:17">
      <c r="A2" s="616"/>
      <c r="B2" s="616"/>
      <c r="C2" s="616"/>
      <c r="D2" s="616"/>
      <c r="E2" s="616"/>
      <c r="F2" s="616"/>
      <c r="G2" s="616"/>
      <c r="H2" s="616"/>
      <c r="I2" s="616"/>
      <c r="J2" s="616"/>
      <c r="K2" s="616"/>
      <c r="L2" s="616"/>
      <c r="M2" s="616"/>
      <c r="N2" s="616"/>
      <c r="O2" s="616"/>
      <c r="P2" s="616"/>
      <c r="Q2" s="616"/>
    </row>
    <row r="3" spans="1:17">
      <c r="A3" s="615" t="s">
        <v>2134</v>
      </c>
      <c r="B3" s="616"/>
      <c r="C3" s="616"/>
      <c r="D3" s="617">
        <f t="shared" ref="D3:I3" si="0">SUM(D10:D48)</f>
        <v>110228</v>
      </c>
      <c r="E3" s="617">
        <f t="shared" si="0"/>
        <v>110924</v>
      </c>
      <c r="F3" s="617">
        <f t="shared" si="0"/>
        <v>110900</v>
      </c>
      <c r="G3" s="617">
        <f t="shared" si="0"/>
        <v>111109</v>
      </c>
      <c r="H3" s="617">
        <f t="shared" si="0"/>
        <v>111800</v>
      </c>
      <c r="I3" s="617">
        <f t="shared" si="0"/>
        <v>107572</v>
      </c>
      <c r="J3" s="617">
        <f t="shared" ref="J3:O3" si="1">SUM(J10:J48)</f>
        <v>105448</v>
      </c>
      <c r="K3" s="617">
        <f t="shared" si="1"/>
        <v>108591</v>
      </c>
      <c r="L3" s="617">
        <f t="shared" si="1"/>
        <v>109938</v>
      </c>
      <c r="M3" s="617">
        <f t="shared" si="1"/>
        <v>108125</v>
      </c>
      <c r="N3" s="617">
        <f t="shared" si="1"/>
        <v>111440</v>
      </c>
      <c r="O3" s="617">
        <f t="shared" si="1"/>
        <v>111716</v>
      </c>
      <c r="P3" s="616"/>
    </row>
    <row r="4" spans="1:17">
      <c r="A4" s="616"/>
      <c r="B4" s="616"/>
      <c r="C4" s="616"/>
      <c r="D4" s="616"/>
      <c r="E4" s="616"/>
      <c r="F4" s="616"/>
      <c r="G4" s="616"/>
      <c r="H4" s="616"/>
      <c r="I4" s="616"/>
      <c r="J4" s="616"/>
      <c r="K4" s="616"/>
      <c r="L4" s="616"/>
      <c r="M4" s="616"/>
      <c r="N4" s="616"/>
      <c r="O4" s="616"/>
      <c r="P4" s="616"/>
      <c r="Q4" s="616"/>
    </row>
    <row r="5" spans="1:17">
      <c r="A5" s="615" t="s">
        <v>6830</v>
      </c>
      <c r="B5" s="616"/>
      <c r="C5" s="616"/>
      <c r="D5" s="617">
        <f t="shared" ref="D5:I5" si="2">D3</f>
        <v>110228</v>
      </c>
      <c r="E5" s="617">
        <f t="shared" si="2"/>
        <v>110924</v>
      </c>
      <c r="F5" s="617">
        <f t="shared" si="2"/>
        <v>110900</v>
      </c>
      <c r="G5" s="617">
        <f t="shared" si="2"/>
        <v>111109</v>
      </c>
      <c r="H5" s="617">
        <f t="shared" si="2"/>
        <v>111800</v>
      </c>
      <c r="I5" s="617">
        <f t="shared" si="2"/>
        <v>107572</v>
      </c>
      <c r="J5" s="617">
        <f t="shared" ref="J5:O5" si="3">J3</f>
        <v>105448</v>
      </c>
      <c r="K5" s="617">
        <f t="shared" si="3"/>
        <v>108591</v>
      </c>
      <c r="L5" s="617">
        <f t="shared" si="3"/>
        <v>109938</v>
      </c>
      <c r="M5" s="617">
        <f t="shared" si="3"/>
        <v>108125</v>
      </c>
      <c r="N5" s="617">
        <f t="shared" si="3"/>
        <v>111440</v>
      </c>
      <c r="O5" s="617">
        <f t="shared" si="3"/>
        <v>111716</v>
      </c>
      <c r="P5" s="616"/>
      <c r="Q5" s="616"/>
    </row>
    <row r="6" spans="1:17">
      <c r="A6" s="615" t="s">
        <v>2476</v>
      </c>
      <c r="B6" s="616"/>
      <c r="C6" s="616"/>
      <c r="D6" s="617">
        <f t="shared" ref="D6:I6" si="4">D3/2</f>
        <v>55114</v>
      </c>
      <c r="E6" s="617">
        <f t="shared" si="4"/>
        <v>55462</v>
      </c>
      <c r="F6" s="617">
        <f t="shared" si="4"/>
        <v>55450</v>
      </c>
      <c r="G6" s="617">
        <f t="shared" si="4"/>
        <v>55554.5</v>
      </c>
      <c r="H6" s="617">
        <f t="shared" si="4"/>
        <v>55900</v>
      </c>
      <c r="I6" s="617">
        <f t="shared" si="4"/>
        <v>53786</v>
      </c>
      <c r="J6" s="617">
        <f t="shared" ref="J6:O6" si="5">J3/2</f>
        <v>52724</v>
      </c>
      <c r="K6" s="617">
        <f t="shared" si="5"/>
        <v>54295.5</v>
      </c>
      <c r="L6" s="617">
        <f t="shared" si="5"/>
        <v>54969</v>
      </c>
      <c r="M6" s="617">
        <f t="shared" si="5"/>
        <v>54062.5</v>
      </c>
      <c r="N6" s="617">
        <f t="shared" si="5"/>
        <v>55720</v>
      </c>
      <c r="O6" s="617">
        <f t="shared" si="5"/>
        <v>55858</v>
      </c>
      <c r="P6" s="616"/>
      <c r="Q6" s="616"/>
    </row>
    <row r="7" spans="1:17">
      <c r="A7" s="616"/>
      <c r="B7" s="616"/>
      <c r="C7" s="616"/>
      <c r="D7" s="618"/>
      <c r="E7" s="618"/>
      <c r="F7" s="618"/>
      <c r="G7" s="618"/>
      <c r="H7" s="618"/>
      <c r="I7" s="618"/>
      <c r="J7" s="618"/>
      <c r="K7" s="618"/>
      <c r="L7" s="618"/>
      <c r="M7" s="618"/>
      <c r="N7" s="618"/>
      <c r="O7" s="618"/>
      <c r="P7" s="616"/>
      <c r="Q7" s="616"/>
    </row>
    <row r="8" spans="1:17">
      <c r="A8" s="615" t="s">
        <v>2135</v>
      </c>
      <c r="D8" s="617">
        <f t="shared" ref="D8:I8" si="6">SUM(D10:D50)</f>
        <v>110228</v>
      </c>
      <c r="E8" s="617">
        <f t="shared" si="6"/>
        <v>110924</v>
      </c>
      <c r="F8" s="617">
        <f t="shared" si="6"/>
        <v>110900</v>
      </c>
      <c r="G8" s="617">
        <f t="shared" si="6"/>
        <v>111109</v>
      </c>
      <c r="H8" s="617">
        <f t="shared" si="6"/>
        <v>111800</v>
      </c>
      <c r="I8" s="617">
        <f t="shared" si="6"/>
        <v>107572</v>
      </c>
      <c r="J8" s="617">
        <f t="shared" ref="J8:O8" si="7">SUM(J10:J50)</f>
        <v>105448</v>
      </c>
      <c r="K8" s="617">
        <f t="shared" si="7"/>
        <v>108591</v>
      </c>
      <c r="L8" s="617">
        <f t="shared" si="7"/>
        <v>109938</v>
      </c>
      <c r="M8" s="617">
        <f t="shared" si="7"/>
        <v>108125</v>
      </c>
      <c r="N8" s="617">
        <f t="shared" si="7"/>
        <v>111440</v>
      </c>
      <c r="O8" s="617">
        <f t="shared" si="7"/>
        <v>111716</v>
      </c>
      <c r="P8" s="616"/>
      <c r="Q8" s="615" t="s">
        <v>2136</v>
      </c>
    </row>
    <row r="9" spans="1:17">
      <c r="A9" s="615"/>
      <c r="D9" s="617"/>
      <c r="E9" s="617"/>
      <c r="F9" s="617"/>
      <c r="G9" s="617"/>
      <c r="H9" s="617"/>
      <c r="I9" s="617"/>
      <c r="J9" s="617"/>
      <c r="K9" s="617"/>
      <c r="L9" s="617"/>
      <c r="M9" s="617"/>
      <c r="N9" s="617"/>
      <c r="O9" s="617"/>
      <c r="P9" s="616"/>
      <c r="Q9" s="615"/>
    </row>
    <row r="10" spans="1:17">
      <c r="A10" s="615" t="s">
        <v>5387</v>
      </c>
      <c r="B10" s="615" t="s">
        <v>15359</v>
      </c>
      <c r="C10" s="55" t="s">
        <v>15383</v>
      </c>
      <c r="D10" s="617">
        <v>110228</v>
      </c>
      <c r="E10" s="617">
        <v>110924</v>
      </c>
      <c r="F10" s="617">
        <v>110900</v>
      </c>
      <c r="G10" s="56">
        <v>111109</v>
      </c>
      <c r="H10" s="56">
        <v>111800</v>
      </c>
      <c r="I10" s="56">
        <v>107572</v>
      </c>
      <c r="J10" s="56">
        <v>105448</v>
      </c>
      <c r="K10" s="56">
        <v>108591</v>
      </c>
      <c r="L10" s="56">
        <v>109938</v>
      </c>
      <c r="M10" s="56">
        <v>108125</v>
      </c>
      <c r="N10" s="56">
        <v>111440</v>
      </c>
      <c r="O10" s="56">
        <v>3223</v>
      </c>
      <c r="P10" s="616"/>
      <c r="Q10" s="615" t="s">
        <v>2135</v>
      </c>
    </row>
    <row r="11" spans="1:17">
      <c r="A11" s="615" t="s">
        <v>5389</v>
      </c>
      <c r="B11" s="615" t="s">
        <v>15360</v>
      </c>
      <c r="C11" s="55" t="s">
        <v>15384</v>
      </c>
      <c r="D11" s="617">
        <v>0</v>
      </c>
      <c r="E11" s="617">
        <v>0</v>
      </c>
      <c r="F11" s="617">
        <v>0</v>
      </c>
      <c r="G11" s="617">
        <v>0</v>
      </c>
      <c r="H11" s="617">
        <v>0</v>
      </c>
      <c r="I11" s="617">
        <v>0</v>
      </c>
      <c r="J11" s="617">
        <v>0</v>
      </c>
      <c r="K11" s="617">
        <v>0</v>
      </c>
      <c r="L11" s="617">
        <v>0</v>
      </c>
      <c r="M11" s="617">
        <v>0</v>
      </c>
      <c r="N11" s="617">
        <v>0</v>
      </c>
      <c r="O11" s="56">
        <v>2909</v>
      </c>
      <c r="P11" s="616"/>
      <c r="Q11" s="615" t="s">
        <v>2135</v>
      </c>
    </row>
    <row r="12" spans="1:17">
      <c r="A12" s="615" t="s">
        <v>5391</v>
      </c>
      <c r="B12" s="615" t="s">
        <v>15361</v>
      </c>
      <c r="C12" s="55" t="s">
        <v>15385</v>
      </c>
      <c r="D12" s="617">
        <v>0</v>
      </c>
      <c r="E12" s="617">
        <v>0</v>
      </c>
      <c r="F12" s="617">
        <v>0</v>
      </c>
      <c r="G12" s="617">
        <v>0</v>
      </c>
      <c r="H12" s="617">
        <v>0</v>
      </c>
      <c r="I12" s="617">
        <v>0</v>
      </c>
      <c r="J12" s="617">
        <v>0</v>
      </c>
      <c r="K12" s="617">
        <v>0</v>
      </c>
      <c r="L12" s="617">
        <v>0</v>
      </c>
      <c r="M12" s="617">
        <v>0</v>
      </c>
      <c r="N12" s="617">
        <v>0</v>
      </c>
      <c r="O12" s="56">
        <v>2811</v>
      </c>
      <c r="P12" s="616"/>
      <c r="Q12" s="615" t="s">
        <v>2135</v>
      </c>
    </row>
    <row r="13" spans="1:17">
      <c r="A13" s="615" t="s">
        <v>5393</v>
      </c>
      <c r="B13" s="615" t="s">
        <v>15362</v>
      </c>
      <c r="C13" s="55" t="s">
        <v>15386</v>
      </c>
      <c r="D13" s="617">
        <v>0</v>
      </c>
      <c r="E13" s="617">
        <v>0</v>
      </c>
      <c r="F13" s="617">
        <v>0</v>
      </c>
      <c r="G13" s="617">
        <v>0</v>
      </c>
      <c r="H13" s="617">
        <v>0</v>
      </c>
      <c r="I13" s="617">
        <v>0</v>
      </c>
      <c r="J13" s="617">
        <v>0</v>
      </c>
      <c r="K13" s="617">
        <v>0</v>
      </c>
      <c r="L13" s="617">
        <v>0</v>
      </c>
      <c r="M13" s="617">
        <v>0</v>
      </c>
      <c r="N13" s="617">
        <v>0</v>
      </c>
      <c r="O13" s="56">
        <v>2613</v>
      </c>
      <c r="P13" s="616"/>
      <c r="Q13" s="615" t="s">
        <v>2135</v>
      </c>
    </row>
    <row r="14" spans="1:17">
      <c r="A14" s="615" t="s">
        <v>5394</v>
      </c>
      <c r="B14" s="615" t="s">
        <v>15363</v>
      </c>
      <c r="C14" s="55" t="s">
        <v>15387</v>
      </c>
      <c r="D14" s="617">
        <v>0</v>
      </c>
      <c r="E14" s="617">
        <v>0</v>
      </c>
      <c r="F14" s="617">
        <v>0</v>
      </c>
      <c r="G14" s="617">
        <v>0</v>
      </c>
      <c r="H14" s="617">
        <v>0</v>
      </c>
      <c r="I14" s="617">
        <v>0</v>
      </c>
      <c r="J14" s="617">
        <v>0</v>
      </c>
      <c r="K14" s="617">
        <v>0</v>
      </c>
      <c r="L14" s="617">
        <v>0</v>
      </c>
      <c r="M14" s="617">
        <v>0</v>
      </c>
      <c r="N14" s="617">
        <v>0</v>
      </c>
      <c r="O14" s="56">
        <v>2764</v>
      </c>
      <c r="P14" s="616"/>
      <c r="Q14" s="615" t="s">
        <v>2135</v>
      </c>
    </row>
    <row r="15" spans="1:17">
      <c r="A15" s="615" t="s">
        <v>5416</v>
      </c>
      <c r="B15" s="615" t="s">
        <v>15364</v>
      </c>
      <c r="C15" s="55" t="s">
        <v>15388</v>
      </c>
      <c r="D15" s="617">
        <v>0</v>
      </c>
      <c r="E15" s="617">
        <v>0</v>
      </c>
      <c r="F15" s="617">
        <v>0</v>
      </c>
      <c r="G15" s="617">
        <v>0</v>
      </c>
      <c r="H15" s="617">
        <v>0</v>
      </c>
      <c r="I15" s="617">
        <v>0</v>
      </c>
      <c r="J15" s="617">
        <v>0</v>
      </c>
      <c r="K15" s="617">
        <v>0</v>
      </c>
      <c r="L15" s="617">
        <v>0</v>
      </c>
      <c r="M15" s="617">
        <v>0</v>
      </c>
      <c r="N15" s="617">
        <v>0</v>
      </c>
      <c r="O15" s="56">
        <v>2881</v>
      </c>
      <c r="P15" s="616"/>
      <c r="Q15" s="615" t="s">
        <v>2135</v>
      </c>
    </row>
    <row r="16" spans="1:17">
      <c r="A16" s="615" t="s">
        <v>5418</v>
      </c>
      <c r="B16" s="615" t="s">
        <v>15365</v>
      </c>
      <c r="C16" s="55" t="s">
        <v>15389</v>
      </c>
      <c r="D16" s="617">
        <v>0</v>
      </c>
      <c r="E16" s="617">
        <v>0</v>
      </c>
      <c r="F16" s="617">
        <v>0</v>
      </c>
      <c r="G16" s="617">
        <v>0</v>
      </c>
      <c r="H16" s="617">
        <v>0</v>
      </c>
      <c r="I16" s="617">
        <v>0</v>
      </c>
      <c r="J16" s="617">
        <v>0</v>
      </c>
      <c r="K16" s="617">
        <v>0</v>
      </c>
      <c r="L16" s="617">
        <v>0</v>
      </c>
      <c r="M16" s="617">
        <v>0</v>
      </c>
      <c r="N16" s="617">
        <v>0</v>
      </c>
      <c r="O16" s="56">
        <v>2947</v>
      </c>
      <c r="P16" s="616"/>
      <c r="Q16" s="615" t="s">
        <v>2135</v>
      </c>
    </row>
    <row r="17" spans="1:17">
      <c r="A17" s="615" t="s">
        <v>5420</v>
      </c>
      <c r="B17" s="615" t="s">
        <v>765</v>
      </c>
      <c r="C17" s="55" t="s">
        <v>15390</v>
      </c>
      <c r="D17" s="617">
        <v>0</v>
      </c>
      <c r="E17" s="617">
        <v>0</v>
      </c>
      <c r="F17" s="617">
        <v>0</v>
      </c>
      <c r="G17" s="617">
        <v>0</v>
      </c>
      <c r="H17" s="617">
        <v>0</v>
      </c>
      <c r="I17" s="617">
        <v>0</v>
      </c>
      <c r="J17" s="617">
        <v>0</v>
      </c>
      <c r="K17" s="617">
        <v>0</v>
      </c>
      <c r="L17" s="617">
        <v>0</v>
      </c>
      <c r="M17" s="617">
        <v>0</v>
      </c>
      <c r="N17" s="617">
        <v>0</v>
      </c>
      <c r="O17" s="56">
        <v>3082</v>
      </c>
      <c r="P17" s="616"/>
      <c r="Q17" s="615" t="s">
        <v>2135</v>
      </c>
    </row>
    <row r="18" spans="1:17">
      <c r="A18" s="615" t="s">
        <v>5422</v>
      </c>
      <c r="B18" s="615" t="s">
        <v>766</v>
      </c>
      <c r="C18" s="55" t="s">
        <v>15391</v>
      </c>
      <c r="D18" s="617">
        <v>0</v>
      </c>
      <c r="E18" s="617">
        <v>0</v>
      </c>
      <c r="F18" s="617">
        <v>0</v>
      </c>
      <c r="G18" s="617">
        <v>0</v>
      </c>
      <c r="H18" s="617">
        <v>0</v>
      </c>
      <c r="I18" s="617">
        <v>0</v>
      </c>
      <c r="J18" s="617">
        <v>0</v>
      </c>
      <c r="K18" s="617">
        <v>0</v>
      </c>
      <c r="L18" s="617">
        <v>0</v>
      </c>
      <c r="M18" s="617">
        <v>0</v>
      </c>
      <c r="N18" s="617">
        <v>0</v>
      </c>
      <c r="O18" s="56">
        <v>2809</v>
      </c>
      <c r="P18" s="616"/>
      <c r="Q18" s="615" t="s">
        <v>2135</v>
      </c>
    </row>
    <row r="19" spans="1:17">
      <c r="A19" s="615" t="s">
        <v>5424</v>
      </c>
      <c r="B19" s="615" t="s">
        <v>15366</v>
      </c>
      <c r="C19" s="55" t="s">
        <v>15392</v>
      </c>
      <c r="D19" s="617">
        <v>0</v>
      </c>
      <c r="E19" s="617">
        <v>0</v>
      </c>
      <c r="F19" s="617">
        <v>0</v>
      </c>
      <c r="G19" s="617">
        <v>0</v>
      </c>
      <c r="H19" s="617">
        <v>0</v>
      </c>
      <c r="I19" s="617">
        <v>0</v>
      </c>
      <c r="J19" s="617">
        <v>0</v>
      </c>
      <c r="K19" s="617">
        <v>0</v>
      </c>
      <c r="L19" s="617">
        <v>0</v>
      </c>
      <c r="M19" s="617">
        <v>0</v>
      </c>
      <c r="N19" s="617">
        <v>0</v>
      </c>
      <c r="O19" s="56">
        <v>2914</v>
      </c>
      <c r="P19" s="616"/>
      <c r="Q19" s="615" t="s">
        <v>2135</v>
      </c>
    </row>
    <row r="20" spans="1:17">
      <c r="A20" s="615" t="s">
        <v>5426</v>
      </c>
      <c r="B20" s="615" t="s">
        <v>15367</v>
      </c>
      <c r="C20" s="55" t="s">
        <v>15393</v>
      </c>
      <c r="D20" s="617">
        <v>0</v>
      </c>
      <c r="E20" s="617">
        <v>0</v>
      </c>
      <c r="F20" s="617">
        <v>0</v>
      </c>
      <c r="G20" s="617">
        <v>0</v>
      </c>
      <c r="H20" s="617">
        <v>0</v>
      </c>
      <c r="I20" s="617">
        <v>0</v>
      </c>
      <c r="J20" s="617">
        <v>0</v>
      </c>
      <c r="K20" s="617">
        <v>0</v>
      </c>
      <c r="L20" s="617">
        <v>0</v>
      </c>
      <c r="M20" s="617">
        <v>0</v>
      </c>
      <c r="N20" s="617">
        <v>0</v>
      </c>
      <c r="O20" s="56">
        <v>2903</v>
      </c>
      <c r="P20" s="616"/>
      <c r="Q20" s="615" t="s">
        <v>2135</v>
      </c>
    </row>
    <row r="21" spans="1:17">
      <c r="A21" s="615" t="s">
        <v>5428</v>
      </c>
      <c r="B21" s="615" t="s">
        <v>767</v>
      </c>
      <c r="C21" s="55" t="s">
        <v>15394</v>
      </c>
      <c r="D21" s="617">
        <v>0</v>
      </c>
      <c r="E21" s="617">
        <v>0</v>
      </c>
      <c r="F21" s="617">
        <v>0</v>
      </c>
      <c r="G21" s="617">
        <v>0</v>
      </c>
      <c r="H21" s="617">
        <v>0</v>
      </c>
      <c r="I21" s="617">
        <v>0</v>
      </c>
      <c r="J21" s="617">
        <v>0</v>
      </c>
      <c r="K21" s="617">
        <v>0</v>
      </c>
      <c r="L21" s="617">
        <v>0</v>
      </c>
      <c r="M21" s="617">
        <v>0</v>
      </c>
      <c r="N21" s="617">
        <v>0</v>
      </c>
      <c r="O21" s="56">
        <v>3154</v>
      </c>
      <c r="P21" s="616"/>
      <c r="Q21" s="615" t="s">
        <v>2135</v>
      </c>
    </row>
    <row r="22" spans="1:17">
      <c r="A22" s="615" t="s">
        <v>5429</v>
      </c>
      <c r="B22" s="615" t="s">
        <v>15368</v>
      </c>
      <c r="C22" s="55" t="s">
        <v>15395</v>
      </c>
      <c r="D22" s="617">
        <v>0</v>
      </c>
      <c r="E22" s="617">
        <v>0</v>
      </c>
      <c r="F22" s="617">
        <v>0</v>
      </c>
      <c r="G22" s="617">
        <v>0</v>
      </c>
      <c r="H22" s="617">
        <v>0</v>
      </c>
      <c r="I22" s="617">
        <v>0</v>
      </c>
      <c r="J22" s="617">
        <v>0</v>
      </c>
      <c r="K22" s="617">
        <v>0</v>
      </c>
      <c r="L22" s="617">
        <v>0</v>
      </c>
      <c r="M22" s="617">
        <v>0</v>
      </c>
      <c r="N22" s="617">
        <v>0</v>
      </c>
      <c r="O22" s="56">
        <v>2973</v>
      </c>
      <c r="P22" s="616"/>
      <c r="Q22" s="615" t="s">
        <v>2135</v>
      </c>
    </row>
    <row r="23" spans="1:17">
      <c r="A23" s="615" t="s">
        <v>5431</v>
      </c>
      <c r="B23" s="615" t="s">
        <v>15369</v>
      </c>
      <c r="C23" s="55" t="s">
        <v>15396</v>
      </c>
      <c r="D23" s="617">
        <v>0</v>
      </c>
      <c r="E23" s="617">
        <v>0</v>
      </c>
      <c r="F23" s="617">
        <v>0</v>
      </c>
      <c r="G23" s="617">
        <v>0</v>
      </c>
      <c r="H23" s="617">
        <v>0</v>
      </c>
      <c r="I23" s="617">
        <v>0</v>
      </c>
      <c r="J23" s="617">
        <v>0</v>
      </c>
      <c r="K23" s="617">
        <v>0</v>
      </c>
      <c r="L23" s="617">
        <v>0</v>
      </c>
      <c r="M23" s="617">
        <v>0</v>
      </c>
      <c r="N23" s="617">
        <v>0</v>
      </c>
      <c r="O23" s="56">
        <v>2620</v>
      </c>
      <c r="P23" s="616"/>
      <c r="Q23" s="615" t="s">
        <v>2135</v>
      </c>
    </row>
    <row r="24" spans="1:17">
      <c r="A24" s="615" t="s">
        <v>5433</v>
      </c>
      <c r="B24" s="615" t="s">
        <v>768</v>
      </c>
      <c r="C24" s="55" t="s">
        <v>15397</v>
      </c>
      <c r="D24" s="617">
        <v>0</v>
      </c>
      <c r="E24" s="617">
        <v>0</v>
      </c>
      <c r="F24" s="617">
        <v>0</v>
      </c>
      <c r="G24" s="617">
        <v>0</v>
      </c>
      <c r="H24" s="617">
        <v>0</v>
      </c>
      <c r="I24" s="617">
        <v>0</v>
      </c>
      <c r="J24" s="617">
        <v>0</v>
      </c>
      <c r="K24" s="617">
        <v>0</v>
      </c>
      <c r="L24" s="617">
        <v>0</v>
      </c>
      <c r="M24" s="617">
        <v>0</v>
      </c>
      <c r="N24" s="617">
        <v>0</v>
      </c>
      <c r="O24" s="56">
        <v>3132</v>
      </c>
      <c r="P24" s="616"/>
      <c r="Q24" s="615" t="s">
        <v>2135</v>
      </c>
    </row>
    <row r="25" spans="1:17">
      <c r="A25" s="615" t="s">
        <v>5435</v>
      </c>
      <c r="B25" s="615" t="s">
        <v>15370</v>
      </c>
      <c r="C25" s="55" t="s">
        <v>15398</v>
      </c>
      <c r="D25" s="617">
        <v>0</v>
      </c>
      <c r="E25" s="617">
        <v>0</v>
      </c>
      <c r="F25" s="617">
        <v>0</v>
      </c>
      <c r="G25" s="617">
        <v>0</v>
      </c>
      <c r="H25" s="617">
        <v>0</v>
      </c>
      <c r="I25" s="617">
        <v>0</v>
      </c>
      <c r="J25" s="617">
        <v>0</v>
      </c>
      <c r="K25" s="617">
        <v>0</v>
      </c>
      <c r="L25" s="617">
        <v>0</v>
      </c>
      <c r="M25" s="617">
        <v>0</v>
      </c>
      <c r="N25" s="617">
        <v>0</v>
      </c>
      <c r="O25" s="58">
        <v>2700</v>
      </c>
      <c r="P25" s="616"/>
      <c r="Q25" s="615" t="s">
        <v>2135</v>
      </c>
    </row>
    <row r="26" spans="1:17">
      <c r="A26" s="615" t="s">
        <v>5436</v>
      </c>
      <c r="B26" s="615" t="s">
        <v>769</v>
      </c>
      <c r="C26" s="55" t="s">
        <v>15399</v>
      </c>
      <c r="D26" s="617">
        <v>0</v>
      </c>
      <c r="E26" s="617">
        <v>0</v>
      </c>
      <c r="F26" s="617">
        <v>0</v>
      </c>
      <c r="G26" s="617">
        <v>0</v>
      </c>
      <c r="H26" s="617">
        <v>0</v>
      </c>
      <c r="I26" s="617">
        <v>0</v>
      </c>
      <c r="J26" s="617">
        <v>0</v>
      </c>
      <c r="K26" s="617">
        <v>0</v>
      </c>
      <c r="L26" s="617">
        <v>0</v>
      </c>
      <c r="M26" s="617">
        <v>0</v>
      </c>
      <c r="N26" s="617">
        <v>0</v>
      </c>
      <c r="O26" s="58">
        <v>2858</v>
      </c>
      <c r="P26" s="616"/>
      <c r="Q26" s="615" t="s">
        <v>2135</v>
      </c>
    </row>
    <row r="27" spans="1:17">
      <c r="A27" s="615" t="s">
        <v>5437</v>
      </c>
      <c r="B27" s="615" t="s">
        <v>770</v>
      </c>
      <c r="C27" s="55" t="s">
        <v>15400</v>
      </c>
      <c r="D27" s="617">
        <v>0</v>
      </c>
      <c r="E27" s="617">
        <v>0</v>
      </c>
      <c r="F27" s="617">
        <v>0</v>
      </c>
      <c r="G27" s="617">
        <v>0</v>
      </c>
      <c r="H27" s="617">
        <v>0</v>
      </c>
      <c r="I27" s="617">
        <v>0</v>
      </c>
      <c r="J27" s="617">
        <v>0</v>
      </c>
      <c r="K27" s="617">
        <v>0</v>
      </c>
      <c r="L27" s="617">
        <v>0</v>
      </c>
      <c r="M27" s="617">
        <v>0</v>
      </c>
      <c r="N27" s="617">
        <v>0</v>
      </c>
      <c r="O27" s="58">
        <v>2926</v>
      </c>
      <c r="P27" s="616"/>
      <c r="Q27" s="615" t="s">
        <v>2135</v>
      </c>
    </row>
    <row r="28" spans="1:17">
      <c r="A28" s="615" t="s">
        <v>5439</v>
      </c>
      <c r="B28" s="615" t="s">
        <v>15371</v>
      </c>
      <c r="C28" s="55" t="s">
        <v>15401</v>
      </c>
      <c r="D28" s="617">
        <v>0</v>
      </c>
      <c r="E28" s="617">
        <v>0</v>
      </c>
      <c r="F28" s="617">
        <v>0</v>
      </c>
      <c r="G28" s="617">
        <v>0</v>
      </c>
      <c r="H28" s="617">
        <v>0</v>
      </c>
      <c r="I28" s="617">
        <v>0</v>
      </c>
      <c r="J28" s="617">
        <v>0</v>
      </c>
      <c r="K28" s="617">
        <v>0</v>
      </c>
      <c r="L28" s="617">
        <v>0</v>
      </c>
      <c r="M28" s="617">
        <v>0</v>
      </c>
      <c r="N28" s="617">
        <v>0</v>
      </c>
      <c r="O28" s="58">
        <v>2752</v>
      </c>
      <c r="P28" s="616"/>
      <c r="Q28" s="615" t="s">
        <v>2135</v>
      </c>
    </row>
    <row r="29" spans="1:17">
      <c r="A29" s="615" t="s">
        <v>5441</v>
      </c>
      <c r="B29" s="615" t="s">
        <v>15372</v>
      </c>
      <c r="C29" s="55" t="s">
        <v>15402</v>
      </c>
      <c r="D29" s="617">
        <v>0</v>
      </c>
      <c r="E29" s="617">
        <v>0</v>
      </c>
      <c r="F29" s="617">
        <v>0</v>
      </c>
      <c r="G29" s="617">
        <v>0</v>
      </c>
      <c r="H29" s="617">
        <v>0</v>
      </c>
      <c r="I29" s="617">
        <v>0</v>
      </c>
      <c r="J29" s="617">
        <v>0</v>
      </c>
      <c r="K29" s="617">
        <v>0</v>
      </c>
      <c r="L29" s="617">
        <v>0</v>
      </c>
      <c r="M29" s="617">
        <v>0</v>
      </c>
      <c r="N29" s="617">
        <v>0</v>
      </c>
      <c r="O29" s="58">
        <v>2456</v>
      </c>
      <c r="P29" s="616"/>
      <c r="Q29" s="615" t="s">
        <v>2135</v>
      </c>
    </row>
    <row r="30" spans="1:17">
      <c r="A30" s="615" t="s">
        <v>5886</v>
      </c>
      <c r="B30" s="615" t="s">
        <v>15373</v>
      </c>
      <c r="C30" s="55" t="s">
        <v>15403</v>
      </c>
      <c r="D30" s="617">
        <v>0</v>
      </c>
      <c r="E30" s="617">
        <v>0</v>
      </c>
      <c r="F30" s="617">
        <v>0</v>
      </c>
      <c r="G30" s="617">
        <v>0</v>
      </c>
      <c r="H30" s="617">
        <v>0</v>
      </c>
      <c r="I30" s="617">
        <v>0</v>
      </c>
      <c r="J30" s="617">
        <v>0</v>
      </c>
      <c r="K30" s="617">
        <v>0</v>
      </c>
      <c r="L30" s="617">
        <v>0</v>
      </c>
      <c r="M30" s="617">
        <v>0</v>
      </c>
      <c r="N30" s="617">
        <v>0</v>
      </c>
      <c r="O30" s="58">
        <v>2904</v>
      </c>
      <c r="P30" s="616"/>
      <c r="Q30" s="615" t="s">
        <v>2135</v>
      </c>
    </row>
    <row r="31" spans="1:17">
      <c r="A31" s="615" t="s">
        <v>5888</v>
      </c>
      <c r="B31" s="615" t="s">
        <v>771</v>
      </c>
      <c r="C31" s="55" t="s">
        <v>15404</v>
      </c>
      <c r="D31" s="617">
        <v>0</v>
      </c>
      <c r="E31" s="617">
        <v>0</v>
      </c>
      <c r="F31" s="617">
        <v>0</v>
      </c>
      <c r="G31" s="617">
        <v>0</v>
      </c>
      <c r="H31" s="617">
        <v>0</v>
      </c>
      <c r="I31" s="617">
        <v>0</v>
      </c>
      <c r="J31" s="617">
        <v>0</v>
      </c>
      <c r="K31" s="617">
        <v>0</v>
      </c>
      <c r="L31" s="617">
        <v>0</v>
      </c>
      <c r="M31" s="617">
        <v>0</v>
      </c>
      <c r="N31" s="617">
        <v>0</v>
      </c>
      <c r="O31" s="58">
        <v>2705</v>
      </c>
      <c r="P31" s="616"/>
      <c r="Q31" s="615" t="s">
        <v>2135</v>
      </c>
    </row>
    <row r="32" spans="1:17">
      <c r="A32" s="615" t="s">
        <v>5889</v>
      </c>
      <c r="B32" s="615" t="s">
        <v>817</v>
      </c>
      <c r="C32" s="55" t="s">
        <v>15405</v>
      </c>
      <c r="D32" s="617">
        <v>0</v>
      </c>
      <c r="E32" s="617">
        <v>0</v>
      </c>
      <c r="F32" s="617">
        <v>0</v>
      </c>
      <c r="G32" s="617">
        <v>0</v>
      </c>
      <c r="H32" s="617">
        <v>0</v>
      </c>
      <c r="I32" s="617">
        <v>0</v>
      </c>
      <c r="J32" s="617">
        <v>0</v>
      </c>
      <c r="K32" s="617">
        <v>0</v>
      </c>
      <c r="L32" s="617">
        <v>0</v>
      </c>
      <c r="M32" s="617">
        <v>0</v>
      </c>
      <c r="N32" s="617">
        <v>0</v>
      </c>
      <c r="O32" s="58">
        <v>2906</v>
      </c>
      <c r="P32" s="616"/>
      <c r="Q32" s="615" t="s">
        <v>2135</v>
      </c>
    </row>
    <row r="33" spans="1:17">
      <c r="A33" s="615" t="s">
        <v>4431</v>
      </c>
      <c r="B33" s="615" t="s">
        <v>15374</v>
      </c>
      <c r="C33" s="55" t="s">
        <v>15406</v>
      </c>
      <c r="D33" s="617">
        <v>0</v>
      </c>
      <c r="E33" s="617">
        <v>0</v>
      </c>
      <c r="F33" s="617">
        <v>0</v>
      </c>
      <c r="G33" s="617">
        <v>0</v>
      </c>
      <c r="H33" s="617">
        <v>0</v>
      </c>
      <c r="I33" s="617">
        <v>0</v>
      </c>
      <c r="J33" s="617">
        <v>0</v>
      </c>
      <c r="K33" s="617">
        <v>0</v>
      </c>
      <c r="L33" s="617">
        <v>0</v>
      </c>
      <c r="M33" s="617">
        <v>0</v>
      </c>
      <c r="N33" s="617">
        <v>0</v>
      </c>
      <c r="O33" s="58">
        <v>3128</v>
      </c>
      <c r="P33" s="616"/>
      <c r="Q33" s="615" t="s">
        <v>2135</v>
      </c>
    </row>
    <row r="34" spans="1:17">
      <c r="A34" s="615" t="s">
        <v>4432</v>
      </c>
      <c r="B34" s="615" t="s">
        <v>15375</v>
      </c>
      <c r="C34" s="55" t="s">
        <v>15407</v>
      </c>
      <c r="D34" s="617">
        <v>0</v>
      </c>
      <c r="E34" s="617">
        <v>0</v>
      </c>
      <c r="F34" s="617">
        <v>0</v>
      </c>
      <c r="G34" s="617">
        <v>0</v>
      </c>
      <c r="H34" s="617">
        <v>0</v>
      </c>
      <c r="I34" s="617">
        <v>0</v>
      </c>
      <c r="J34" s="617">
        <v>0</v>
      </c>
      <c r="K34" s="617">
        <v>0</v>
      </c>
      <c r="L34" s="617">
        <v>0</v>
      </c>
      <c r="M34" s="617">
        <v>0</v>
      </c>
      <c r="N34" s="617">
        <v>0</v>
      </c>
      <c r="O34" s="58">
        <v>2723</v>
      </c>
      <c r="P34" s="616"/>
      <c r="Q34" s="615" t="s">
        <v>2135</v>
      </c>
    </row>
    <row r="35" spans="1:17">
      <c r="A35" s="615" t="s">
        <v>4434</v>
      </c>
      <c r="B35" s="615" t="s">
        <v>15376</v>
      </c>
      <c r="C35" s="55" t="s">
        <v>15408</v>
      </c>
      <c r="D35" s="617">
        <v>0</v>
      </c>
      <c r="E35" s="617">
        <v>0</v>
      </c>
      <c r="F35" s="617">
        <v>0</v>
      </c>
      <c r="G35" s="617">
        <v>0</v>
      </c>
      <c r="H35" s="617">
        <v>0</v>
      </c>
      <c r="I35" s="617">
        <v>0</v>
      </c>
      <c r="J35" s="617">
        <v>0</v>
      </c>
      <c r="K35" s="617">
        <v>0</v>
      </c>
      <c r="L35" s="617">
        <v>0</v>
      </c>
      <c r="M35" s="617">
        <v>0</v>
      </c>
      <c r="N35" s="617">
        <v>0</v>
      </c>
      <c r="O35" s="58">
        <v>2759</v>
      </c>
      <c r="P35" s="616"/>
      <c r="Q35" s="615" t="s">
        <v>2135</v>
      </c>
    </row>
    <row r="36" spans="1:17">
      <c r="A36" s="615" t="s">
        <v>4533</v>
      </c>
      <c r="B36" s="615" t="s">
        <v>15377</v>
      </c>
      <c r="C36" s="55" t="s">
        <v>15409</v>
      </c>
      <c r="D36" s="617">
        <v>0</v>
      </c>
      <c r="E36" s="617">
        <v>0</v>
      </c>
      <c r="F36" s="617">
        <v>0</v>
      </c>
      <c r="G36" s="617">
        <v>0</v>
      </c>
      <c r="H36" s="617">
        <v>0</v>
      </c>
      <c r="I36" s="617">
        <v>0</v>
      </c>
      <c r="J36" s="617">
        <v>0</v>
      </c>
      <c r="K36" s="617">
        <v>0</v>
      </c>
      <c r="L36" s="617">
        <v>0</v>
      </c>
      <c r="M36" s="617">
        <v>0</v>
      </c>
      <c r="N36" s="617">
        <v>0</v>
      </c>
      <c r="O36" s="58">
        <v>3025</v>
      </c>
      <c r="P36" s="616"/>
      <c r="Q36" s="615" t="s">
        <v>2135</v>
      </c>
    </row>
    <row r="37" spans="1:17">
      <c r="A37" s="615" t="s">
        <v>4535</v>
      </c>
      <c r="B37" s="615" t="s">
        <v>15378</v>
      </c>
      <c r="C37" s="55" t="s">
        <v>15410</v>
      </c>
      <c r="D37" s="617">
        <v>0</v>
      </c>
      <c r="E37" s="617">
        <v>0</v>
      </c>
      <c r="F37" s="617">
        <v>0</v>
      </c>
      <c r="G37" s="617">
        <v>0</v>
      </c>
      <c r="H37" s="617">
        <v>0</v>
      </c>
      <c r="I37" s="617">
        <v>0</v>
      </c>
      <c r="J37" s="617">
        <v>0</v>
      </c>
      <c r="K37" s="617">
        <v>0</v>
      </c>
      <c r="L37" s="617">
        <v>0</v>
      </c>
      <c r="M37" s="617">
        <v>0</v>
      </c>
      <c r="N37" s="617">
        <v>0</v>
      </c>
      <c r="O37" s="58">
        <v>3056</v>
      </c>
      <c r="P37" s="616"/>
      <c r="Q37" s="615" t="s">
        <v>2135</v>
      </c>
    </row>
    <row r="38" spans="1:17">
      <c r="A38" s="615" t="s">
        <v>4537</v>
      </c>
      <c r="B38" s="615" t="s">
        <v>818</v>
      </c>
      <c r="C38" s="55" t="s">
        <v>15411</v>
      </c>
      <c r="D38" s="617">
        <v>0</v>
      </c>
      <c r="E38" s="617">
        <v>0</v>
      </c>
      <c r="F38" s="617">
        <v>0</v>
      </c>
      <c r="G38" s="617">
        <v>0</v>
      </c>
      <c r="H38" s="617">
        <v>0</v>
      </c>
      <c r="I38" s="617">
        <v>0</v>
      </c>
      <c r="J38" s="617">
        <v>0</v>
      </c>
      <c r="K38" s="617">
        <v>0</v>
      </c>
      <c r="L38" s="617">
        <v>0</v>
      </c>
      <c r="M38" s="617">
        <v>0</v>
      </c>
      <c r="N38" s="617">
        <v>0</v>
      </c>
      <c r="O38" s="58">
        <v>3071</v>
      </c>
      <c r="P38" s="616"/>
      <c r="Q38" s="615" t="s">
        <v>2135</v>
      </c>
    </row>
    <row r="39" spans="1:17">
      <c r="A39" s="615" t="s">
        <v>4539</v>
      </c>
      <c r="B39" s="615" t="s">
        <v>15379</v>
      </c>
      <c r="C39" s="55" t="s">
        <v>15412</v>
      </c>
      <c r="D39" s="617">
        <v>0</v>
      </c>
      <c r="E39" s="617">
        <v>0</v>
      </c>
      <c r="F39" s="617">
        <v>0</v>
      </c>
      <c r="G39" s="617">
        <v>0</v>
      </c>
      <c r="H39" s="617">
        <v>0</v>
      </c>
      <c r="I39" s="617">
        <v>0</v>
      </c>
      <c r="J39" s="617">
        <v>0</v>
      </c>
      <c r="K39" s="617">
        <v>0</v>
      </c>
      <c r="L39" s="617">
        <v>0</v>
      </c>
      <c r="M39" s="617">
        <v>0</v>
      </c>
      <c r="N39" s="617">
        <v>0</v>
      </c>
      <c r="O39" s="58">
        <v>1735</v>
      </c>
      <c r="P39" s="616"/>
      <c r="Q39" s="615" t="s">
        <v>2135</v>
      </c>
    </row>
    <row r="40" spans="1:17">
      <c r="A40" s="615" t="s">
        <v>6158</v>
      </c>
      <c r="B40" s="615" t="s">
        <v>819</v>
      </c>
      <c r="C40" s="55" t="s">
        <v>15413</v>
      </c>
      <c r="D40" s="617">
        <v>0</v>
      </c>
      <c r="E40" s="617">
        <v>0</v>
      </c>
      <c r="F40" s="617">
        <v>0</v>
      </c>
      <c r="G40" s="617">
        <v>0</v>
      </c>
      <c r="H40" s="617">
        <v>0</v>
      </c>
      <c r="I40" s="617">
        <v>0</v>
      </c>
      <c r="J40" s="617">
        <v>0</v>
      </c>
      <c r="K40" s="617">
        <v>0</v>
      </c>
      <c r="L40" s="617">
        <v>0</v>
      </c>
      <c r="M40" s="617">
        <v>0</v>
      </c>
      <c r="N40" s="617">
        <v>0</v>
      </c>
      <c r="O40" s="58">
        <v>2708</v>
      </c>
      <c r="P40" s="616"/>
      <c r="Q40" s="615" t="s">
        <v>2135</v>
      </c>
    </row>
    <row r="41" spans="1:17">
      <c r="A41" s="615" t="s">
        <v>6159</v>
      </c>
      <c r="B41" s="615" t="s">
        <v>3559</v>
      </c>
      <c r="C41" s="55" t="s">
        <v>15414</v>
      </c>
      <c r="D41" s="617">
        <v>0</v>
      </c>
      <c r="E41" s="617">
        <v>0</v>
      </c>
      <c r="F41" s="617">
        <v>0</v>
      </c>
      <c r="G41" s="617">
        <v>0</v>
      </c>
      <c r="H41" s="617">
        <v>0</v>
      </c>
      <c r="I41" s="617">
        <v>0</v>
      </c>
      <c r="J41" s="617">
        <v>0</v>
      </c>
      <c r="K41" s="617">
        <v>0</v>
      </c>
      <c r="L41" s="617">
        <v>0</v>
      </c>
      <c r="M41" s="617">
        <v>0</v>
      </c>
      <c r="N41" s="617">
        <v>0</v>
      </c>
      <c r="O41" s="58">
        <v>2660</v>
      </c>
      <c r="P41" s="616"/>
      <c r="Q41" s="615" t="s">
        <v>2135</v>
      </c>
    </row>
    <row r="42" spans="1:17">
      <c r="A42" s="615" t="s">
        <v>6160</v>
      </c>
      <c r="B42" s="615" t="s">
        <v>3560</v>
      </c>
      <c r="C42" s="55" t="s">
        <v>15415</v>
      </c>
      <c r="D42" s="617">
        <v>0</v>
      </c>
      <c r="E42" s="617">
        <v>0</v>
      </c>
      <c r="F42" s="617">
        <v>0</v>
      </c>
      <c r="G42" s="617">
        <v>0</v>
      </c>
      <c r="H42" s="617">
        <v>0</v>
      </c>
      <c r="I42" s="617">
        <v>0</v>
      </c>
      <c r="J42" s="617">
        <v>0</v>
      </c>
      <c r="K42" s="617">
        <v>0</v>
      </c>
      <c r="L42" s="617">
        <v>0</v>
      </c>
      <c r="M42" s="617">
        <v>0</v>
      </c>
      <c r="N42" s="617">
        <v>0</v>
      </c>
      <c r="O42" s="58">
        <v>2869</v>
      </c>
      <c r="P42" s="616"/>
      <c r="Q42" s="615" t="s">
        <v>2135</v>
      </c>
    </row>
    <row r="43" spans="1:17">
      <c r="A43" s="615" t="s">
        <v>6162</v>
      </c>
      <c r="B43" s="615" t="s">
        <v>2166</v>
      </c>
      <c r="C43" s="55" t="s">
        <v>15416</v>
      </c>
      <c r="D43" s="617">
        <v>0</v>
      </c>
      <c r="E43" s="617">
        <v>0</v>
      </c>
      <c r="F43" s="617">
        <v>0</v>
      </c>
      <c r="G43" s="617">
        <v>0</v>
      </c>
      <c r="H43" s="617">
        <v>0</v>
      </c>
      <c r="I43" s="617">
        <v>0</v>
      </c>
      <c r="J43" s="617">
        <v>0</v>
      </c>
      <c r="K43" s="617">
        <v>0</v>
      </c>
      <c r="L43" s="617">
        <v>0</v>
      </c>
      <c r="M43" s="617">
        <v>0</v>
      </c>
      <c r="N43" s="617">
        <v>0</v>
      </c>
      <c r="O43" s="58">
        <v>2923</v>
      </c>
      <c r="P43" s="616"/>
      <c r="Q43" s="615" t="s">
        <v>2135</v>
      </c>
    </row>
    <row r="44" spans="1:17">
      <c r="A44" s="615" t="s">
        <v>2157</v>
      </c>
      <c r="B44" s="615" t="s">
        <v>2167</v>
      </c>
      <c r="C44" s="55" t="s">
        <v>15417</v>
      </c>
      <c r="D44" s="617">
        <v>0</v>
      </c>
      <c r="E44" s="617">
        <v>0</v>
      </c>
      <c r="F44" s="617">
        <v>0</v>
      </c>
      <c r="G44" s="617">
        <v>0</v>
      </c>
      <c r="H44" s="617">
        <v>0</v>
      </c>
      <c r="I44" s="617">
        <v>0</v>
      </c>
      <c r="J44" s="617">
        <v>0</v>
      </c>
      <c r="K44" s="617">
        <v>0</v>
      </c>
      <c r="L44" s="617">
        <v>0</v>
      </c>
      <c r="M44" s="617">
        <v>0</v>
      </c>
      <c r="N44" s="617">
        <v>0</v>
      </c>
      <c r="O44" s="58">
        <v>2969</v>
      </c>
      <c r="P44" s="616"/>
      <c r="Q44" s="615" t="s">
        <v>2135</v>
      </c>
    </row>
    <row r="45" spans="1:17">
      <c r="A45" s="615" t="s">
        <v>2158</v>
      </c>
      <c r="B45" s="615" t="s">
        <v>15380</v>
      </c>
      <c r="C45" s="55" t="s">
        <v>15418</v>
      </c>
      <c r="D45" s="617">
        <v>0</v>
      </c>
      <c r="E45" s="617">
        <v>0</v>
      </c>
      <c r="F45" s="617">
        <v>0</v>
      </c>
      <c r="G45" s="617">
        <v>0</v>
      </c>
      <c r="H45" s="617">
        <v>0</v>
      </c>
      <c r="I45" s="617">
        <v>0</v>
      </c>
      <c r="J45" s="617">
        <v>0</v>
      </c>
      <c r="K45" s="617">
        <v>0</v>
      </c>
      <c r="L45" s="617">
        <v>0</v>
      </c>
      <c r="M45" s="617">
        <v>0</v>
      </c>
      <c r="N45" s="617">
        <v>0</v>
      </c>
      <c r="O45" s="58">
        <v>3146</v>
      </c>
      <c r="P45" s="616"/>
      <c r="Q45" s="615" t="s">
        <v>2135</v>
      </c>
    </row>
    <row r="46" spans="1:17">
      <c r="A46" s="615" t="s">
        <v>1838</v>
      </c>
      <c r="B46" s="615" t="s">
        <v>15381</v>
      </c>
      <c r="C46" s="55" t="s">
        <v>15419</v>
      </c>
      <c r="D46" s="617">
        <v>0</v>
      </c>
      <c r="E46" s="617">
        <v>0</v>
      </c>
      <c r="F46" s="617">
        <v>0</v>
      </c>
      <c r="G46" s="617">
        <v>0</v>
      </c>
      <c r="H46" s="617">
        <v>0</v>
      </c>
      <c r="I46" s="617">
        <v>0</v>
      </c>
      <c r="J46" s="617">
        <v>0</v>
      </c>
      <c r="K46" s="617">
        <v>0</v>
      </c>
      <c r="L46" s="617">
        <v>0</v>
      </c>
      <c r="M46" s="617">
        <v>0</v>
      </c>
      <c r="N46" s="617">
        <v>0</v>
      </c>
      <c r="O46" s="58">
        <v>3027</v>
      </c>
      <c r="P46" s="616"/>
      <c r="Q46" s="615" t="s">
        <v>2135</v>
      </c>
    </row>
    <row r="47" spans="1:17">
      <c r="A47" s="615" t="s">
        <v>1839</v>
      </c>
      <c r="B47" s="615" t="s">
        <v>2168</v>
      </c>
      <c r="C47" s="55" t="s">
        <v>15420</v>
      </c>
      <c r="D47" s="617">
        <v>0</v>
      </c>
      <c r="E47" s="617">
        <v>0</v>
      </c>
      <c r="F47" s="617">
        <v>0</v>
      </c>
      <c r="G47" s="617">
        <v>0</v>
      </c>
      <c r="H47" s="617">
        <v>0</v>
      </c>
      <c r="I47" s="617">
        <v>0</v>
      </c>
      <c r="J47" s="617">
        <v>0</v>
      </c>
      <c r="K47" s="617">
        <v>0</v>
      </c>
      <c r="L47" s="617">
        <v>0</v>
      </c>
      <c r="M47" s="617">
        <v>0</v>
      </c>
      <c r="N47" s="617">
        <v>0</v>
      </c>
      <c r="O47" s="58">
        <v>2850</v>
      </c>
      <c r="P47" s="616"/>
      <c r="Q47" s="615" t="s">
        <v>2135</v>
      </c>
    </row>
    <row r="48" spans="1:17">
      <c r="A48" s="615" t="s">
        <v>1841</v>
      </c>
      <c r="B48" s="615" t="s">
        <v>15382</v>
      </c>
      <c r="C48" s="55" t="s">
        <v>15421</v>
      </c>
      <c r="D48" s="617">
        <v>0</v>
      </c>
      <c r="E48" s="617">
        <v>0</v>
      </c>
      <c r="F48" s="617">
        <v>0</v>
      </c>
      <c r="G48" s="617">
        <v>0</v>
      </c>
      <c r="H48" s="617">
        <v>0</v>
      </c>
      <c r="I48" s="617">
        <v>0</v>
      </c>
      <c r="J48" s="617">
        <v>0</v>
      </c>
      <c r="K48" s="617">
        <v>0</v>
      </c>
      <c r="L48" s="617">
        <v>0</v>
      </c>
      <c r="M48" s="617">
        <v>0</v>
      </c>
      <c r="N48" s="617">
        <v>0</v>
      </c>
      <c r="O48" s="58">
        <v>3125</v>
      </c>
      <c r="P48" s="616"/>
      <c r="Q48" s="615" t="s">
        <v>2135</v>
      </c>
    </row>
    <row r="49" spans="1:17">
      <c r="A49" s="616"/>
      <c r="B49" s="616"/>
      <c r="C49" s="616"/>
      <c r="D49" s="617"/>
      <c r="E49" s="617"/>
      <c r="F49" s="617"/>
      <c r="G49" s="617"/>
      <c r="H49" s="617"/>
      <c r="I49" s="617"/>
      <c r="J49" s="617"/>
      <c r="K49" s="617"/>
      <c r="L49" s="617"/>
      <c r="M49" s="616"/>
      <c r="N49" s="616"/>
      <c r="O49" s="616"/>
      <c r="P49" s="616"/>
      <c r="Q49" s="615"/>
    </row>
    <row r="50" spans="1:17">
      <c r="A50" s="615" t="s">
        <v>5044</v>
      </c>
      <c r="B50" s="616"/>
      <c r="C50" s="616"/>
      <c r="D50" s="617"/>
      <c r="E50" s="617"/>
      <c r="F50" s="617"/>
      <c r="G50" s="617"/>
      <c r="H50" s="617"/>
      <c r="I50" s="617"/>
      <c r="J50" s="617"/>
      <c r="K50" s="617"/>
      <c r="L50" s="617"/>
      <c r="M50" s="616"/>
      <c r="N50" s="616"/>
      <c r="O50" s="616"/>
      <c r="P50" s="616"/>
      <c r="Q50" s="615"/>
    </row>
    <row r="51" spans="1:17">
      <c r="A51" s="146" t="s">
        <v>15358</v>
      </c>
    </row>
    <row r="53" spans="1:17">
      <c r="A53" s="1008" t="s">
        <v>16023</v>
      </c>
    </row>
    <row r="54" spans="1:17">
      <c r="A54" s="167" t="s">
        <v>16099</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3:D4 E3:E4 F3:F4 G3:G4 D5:D8 E5:E8 F5:F8 G5:G8 H3:H4 H5:H8 I3:I8 J3:J8 K3:K8 L3:L8"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dimension ref="A1:Q39"/>
  <sheetViews>
    <sheetView showGridLines="0" topLeftCell="A13" zoomScale="90" zoomScaleNormal="90" workbookViewId="0">
      <selection activeCell="A38" sqref="A38:A39"/>
    </sheetView>
  </sheetViews>
  <sheetFormatPr defaultColWidth="12.5703125" defaultRowHeight="15"/>
  <cols>
    <col min="1" max="1" width="4.85546875" style="145" customWidth="1"/>
    <col min="2" max="2" width="36.140625" style="145" customWidth="1"/>
    <col min="3" max="3" width="11.5703125" style="145" customWidth="1"/>
    <col min="4" max="15" width="10" style="145" customWidth="1"/>
    <col min="16" max="16" width="2.28515625" style="145" customWidth="1"/>
    <col min="17" max="17" width="29.28515625" style="145" customWidth="1"/>
    <col min="18" max="16384" width="12.5703125" style="145"/>
  </cols>
  <sheetData>
    <row r="1" spans="1:17">
      <c r="A1" s="610" t="s">
        <v>5719</v>
      </c>
      <c r="D1" s="611">
        <v>2010</v>
      </c>
      <c r="E1" s="611">
        <v>2011</v>
      </c>
      <c r="F1" s="611">
        <v>2012</v>
      </c>
      <c r="G1" s="611">
        <v>2013</v>
      </c>
      <c r="H1" s="611">
        <v>2014</v>
      </c>
      <c r="I1" s="611">
        <v>2015</v>
      </c>
      <c r="J1" s="611">
        <v>2016</v>
      </c>
      <c r="K1" s="611">
        <v>2017</v>
      </c>
      <c r="L1" s="611">
        <v>2018</v>
      </c>
      <c r="M1" s="611">
        <v>2019</v>
      </c>
      <c r="N1" s="611">
        <v>2020</v>
      </c>
      <c r="O1" s="964" t="s">
        <v>14823</v>
      </c>
    </row>
    <row r="3" spans="1:17">
      <c r="A3" s="610" t="s">
        <v>5045</v>
      </c>
      <c r="D3" s="612">
        <f t="shared" ref="D3:N3" si="0">SUM(D17:D33)</f>
        <v>132656</v>
      </c>
      <c r="E3" s="612">
        <f t="shared" si="0"/>
        <v>136390</v>
      </c>
      <c r="F3" s="612">
        <f t="shared" si="0"/>
        <v>136813</v>
      </c>
      <c r="G3" s="612">
        <f t="shared" si="0"/>
        <v>137447</v>
      </c>
      <c r="H3" s="612">
        <f t="shared" si="0"/>
        <v>137624</v>
      </c>
      <c r="I3" s="612">
        <f t="shared" si="0"/>
        <v>134007</v>
      </c>
      <c r="J3" s="612">
        <f t="shared" si="0"/>
        <v>134137</v>
      </c>
      <c r="K3" s="612">
        <f t="shared" si="0"/>
        <v>138920</v>
      </c>
      <c r="L3" s="612">
        <f t="shared" si="0"/>
        <v>136903</v>
      </c>
      <c r="M3" s="612">
        <f t="shared" si="0"/>
        <v>133176</v>
      </c>
      <c r="N3" s="612">
        <f t="shared" si="0"/>
        <v>136792</v>
      </c>
      <c r="O3" s="612">
        <f>SUM(O17:O33)</f>
        <v>143426</v>
      </c>
    </row>
    <row r="5" spans="1:17">
      <c r="A5" s="610" t="s">
        <v>5720</v>
      </c>
      <c r="D5" s="612">
        <f t="shared" ref="D5:I5" si="1">D3/2</f>
        <v>66328</v>
      </c>
      <c r="E5" s="612">
        <f t="shared" si="1"/>
        <v>68195</v>
      </c>
      <c r="F5" s="612">
        <f t="shared" si="1"/>
        <v>68406.5</v>
      </c>
      <c r="G5" s="612">
        <f t="shared" si="1"/>
        <v>68723.5</v>
      </c>
      <c r="H5" s="612">
        <f t="shared" si="1"/>
        <v>68812</v>
      </c>
      <c r="I5" s="612">
        <f t="shared" si="1"/>
        <v>67003.5</v>
      </c>
      <c r="J5" s="612">
        <f t="shared" ref="J5:O5" si="2">J3/2</f>
        <v>67068.5</v>
      </c>
      <c r="K5" s="612">
        <f t="shared" si="2"/>
        <v>69460</v>
      </c>
      <c r="L5" s="612">
        <f t="shared" si="2"/>
        <v>68451.5</v>
      </c>
      <c r="M5" s="612">
        <f t="shared" si="2"/>
        <v>66588</v>
      </c>
      <c r="N5" s="612">
        <f t="shared" si="2"/>
        <v>68396</v>
      </c>
      <c r="O5" s="612">
        <f t="shared" si="2"/>
        <v>71713</v>
      </c>
    </row>
    <row r="6" spans="1:17">
      <c r="D6" s="613"/>
      <c r="E6" s="613"/>
      <c r="F6" s="613"/>
      <c r="G6" s="613"/>
      <c r="H6" s="613"/>
      <c r="I6" s="613"/>
      <c r="J6" s="613"/>
      <c r="K6" s="613"/>
      <c r="L6" s="613"/>
      <c r="M6" s="613"/>
      <c r="N6" s="613"/>
      <c r="O6" s="613"/>
    </row>
    <row r="7" spans="1:17">
      <c r="A7" s="610" t="s">
        <v>5046</v>
      </c>
      <c r="D7" s="612">
        <f t="shared" ref="D7:N7" si="3">SUM(D17,D23:D25,D27,D29,D32:D33)</f>
        <v>66472</v>
      </c>
      <c r="E7" s="612">
        <f t="shared" si="3"/>
        <v>68777</v>
      </c>
      <c r="F7" s="612">
        <f t="shared" si="3"/>
        <v>69416</v>
      </c>
      <c r="G7" s="612">
        <f t="shared" si="3"/>
        <v>69886</v>
      </c>
      <c r="H7" s="612">
        <f t="shared" si="3"/>
        <v>70382</v>
      </c>
      <c r="I7" s="612">
        <f t="shared" si="3"/>
        <v>68969</v>
      </c>
      <c r="J7" s="612">
        <f t="shared" si="3"/>
        <v>69208</v>
      </c>
      <c r="K7" s="612">
        <f t="shared" si="3"/>
        <v>71596</v>
      </c>
      <c r="L7" s="612">
        <f t="shared" si="3"/>
        <v>71051</v>
      </c>
      <c r="M7" s="612">
        <f t="shared" si="3"/>
        <v>68908</v>
      </c>
      <c r="N7" s="612">
        <f t="shared" si="3"/>
        <v>70696</v>
      </c>
      <c r="O7" s="612">
        <f>SUM(O17,O23:O25,O27,O29,O32:O33)</f>
        <v>73970</v>
      </c>
      <c r="Q7" s="610" t="s">
        <v>5047</v>
      </c>
    </row>
    <row r="8" spans="1:17">
      <c r="D8" s="613"/>
      <c r="E8" s="613"/>
      <c r="F8" s="613"/>
      <c r="G8" s="613"/>
      <c r="H8" s="613"/>
      <c r="I8" s="613"/>
      <c r="J8" s="613"/>
      <c r="K8" s="613"/>
      <c r="L8" s="613"/>
      <c r="M8" s="613"/>
      <c r="N8" s="613"/>
      <c r="O8" s="613"/>
    </row>
    <row r="9" spans="1:17">
      <c r="A9" s="610" t="s">
        <v>3573</v>
      </c>
      <c r="D9" s="612">
        <f t="shared" ref="D9:N9" si="4">SUM(D18:D22,D26,D28,D30:D31)</f>
        <v>66184</v>
      </c>
      <c r="E9" s="612">
        <f t="shared" si="4"/>
        <v>67613</v>
      </c>
      <c r="F9" s="612">
        <f t="shared" si="4"/>
        <v>67397</v>
      </c>
      <c r="G9" s="612">
        <f t="shared" si="4"/>
        <v>67561</v>
      </c>
      <c r="H9" s="612">
        <f t="shared" si="4"/>
        <v>67242</v>
      </c>
      <c r="I9" s="612">
        <f t="shared" si="4"/>
        <v>65038</v>
      </c>
      <c r="J9" s="612">
        <f t="shared" si="4"/>
        <v>64929</v>
      </c>
      <c r="K9" s="612">
        <f t="shared" si="4"/>
        <v>67324</v>
      </c>
      <c r="L9" s="612">
        <f t="shared" si="4"/>
        <v>65852</v>
      </c>
      <c r="M9" s="612">
        <f t="shared" si="4"/>
        <v>64268</v>
      </c>
      <c r="N9" s="612">
        <f t="shared" si="4"/>
        <v>66096</v>
      </c>
      <c r="O9" s="612">
        <f>SUM(O18:O22,O26,O28,O30:O31)</f>
        <v>69456</v>
      </c>
      <c r="Q9" s="610" t="s">
        <v>5047</v>
      </c>
    </row>
    <row r="10" spans="1:17">
      <c r="D10" s="613"/>
      <c r="E10" s="613"/>
      <c r="F10" s="613"/>
      <c r="G10" s="613"/>
      <c r="H10" s="613"/>
      <c r="I10" s="613"/>
      <c r="J10" s="613"/>
      <c r="K10" s="613"/>
      <c r="L10" s="613"/>
      <c r="M10" s="613"/>
      <c r="N10" s="613"/>
      <c r="O10" s="613"/>
    </row>
    <row r="11" spans="1:17">
      <c r="A11" s="610" t="s">
        <v>6796</v>
      </c>
      <c r="D11" s="612">
        <f t="shared" ref="D11:I11" si="5">D7+D9</f>
        <v>132656</v>
      </c>
      <c r="E11" s="612">
        <f t="shared" si="5"/>
        <v>136390</v>
      </c>
      <c r="F11" s="612">
        <f t="shared" si="5"/>
        <v>136813</v>
      </c>
      <c r="G11" s="612">
        <f t="shared" si="5"/>
        <v>137447</v>
      </c>
      <c r="H11" s="612">
        <f t="shared" si="5"/>
        <v>137624</v>
      </c>
      <c r="I11" s="612">
        <f t="shared" si="5"/>
        <v>134007</v>
      </c>
      <c r="J11" s="612">
        <f t="shared" ref="J11:O11" si="6">J7+J9</f>
        <v>134137</v>
      </c>
      <c r="K11" s="612">
        <f t="shared" si="6"/>
        <v>138920</v>
      </c>
      <c r="L11" s="612">
        <f t="shared" si="6"/>
        <v>136903</v>
      </c>
      <c r="M11" s="612">
        <f t="shared" si="6"/>
        <v>133176</v>
      </c>
      <c r="N11" s="612">
        <f t="shared" si="6"/>
        <v>136792</v>
      </c>
      <c r="O11" s="612">
        <f t="shared" si="6"/>
        <v>143426</v>
      </c>
    </row>
    <row r="12" spans="1:17">
      <c r="D12" s="613"/>
      <c r="E12" s="613"/>
      <c r="F12" s="613"/>
      <c r="G12" s="613"/>
      <c r="H12" s="613"/>
      <c r="I12" s="613"/>
      <c r="J12" s="613"/>
      <c r="K12" s="613"/>
      <c r="L12" s="613"/>
      <c r="M12" s="613"/>
      <c r="N12" s="613"/>
      <c r="O12" s="613"/>
    </row>
    <row r="13" spans="1:17">
      <c r="A13" s="610" t="s">
        <v>6797</v>
      </c>
      <c r="D13" s="612">
        <f t="shared" ref="D13:I13" si="7">MAXA(D7,D9)-MINA(D7,D9)</f>
        <v>288</v>
      </c>
      <c r="E13" s="612">
        <f t="shared" si="7"/>
        <v>1164</v>
      </c>
      <c r="F13" s="612">
        <f t="shared" si="7"/>
        <v>2019</v>
      </c>
      <c r="G13" s="612">
        <f t="shared" si="7"/>
        <v>2325</v>
      </c>
      <c r="H13" s="612">
        <f t="shared" si="7"/>
        <v>3140</v>
      </c>
      <c r="I13" s="612">
        <f t="shared" si="7"/>
        <v>3931</v>
      </c>
      <c r="J13" s="612">
        <f t="shared" ref="J13:O13" si="8">MAXA(J7,J9)-MINA(J7,J9)</f>
        <v>4279</v>
      </c>
      <c r="K13" s="612">
        <f t="shared" si="8"/>
        <v>4272</v>
      </c>
      <c r="L13" s="612">
        <f t="shared" si="8"/>
        <v>5199</v>
      </c>
      <c r="M13" s="612">
        <f t="shared" si="8"/>
        <v>4640</v>
      </c>
      <c r="N13" s="612">
        <f t="shared" si="8"/>
        <v>4600</v>
      </c>
      <c r="O13" s="612">
        <f t="shared" si="8"/>
        <v>4514</v>
      </c>
    </row>
    <row r="14" spans="1:17">
      <c r="D14" s="613"/>
      <c r="E14" s="613"/>
      <c r="F14" s="613"/>
      <c r="G14" s="613"/>
      <c r="H14" s="613"/>
      <c r="I14" s="613"/>
      <c r="J14" s="613"/>
      <c r="K14" s="613"/>
      <c r="L14" s="613"/>
      <c r="M14" s="613"/>
      <c r="N14" s="613"/>
      <c r="O14" s="613"/>
    </row>
    <row r="15" spans="1:17">
      <c r="A15" s="610" t="s">
        <v>6800</v>
      </c>
      <c r="D15" s="612">
        <f t="shared" ref="D15:I15" si="9">STDEVPA(D7,D9)</f>
        <v>144</v>
      </c>
      <c r="E15" s="612">
        <f t="shared" si="9"/>
        <v>582</v>
      </c>
      <c r="F15" s="612">
        <f t="shared" si="9"/>
        <v>1009.5</v>
      </c>
      <c r="G15" s="612">
        <f t="shared" si="9"/>
        <v>1162.5</v>
      </c>
      <c r="H15" s="612">
        <f t="shared" si="9"/>
        <v>1570</v>
      </c>
      <c r="I15" s="612">
        <f t="shared" si="9"/>
        <v>1965.5</v>
      </c>
      <c r="J15" s="612">
        <f t="shared" ref="J15:O15" si="10">STDEVPA(J7,J9)</f>
        <v>2139.5</v>
      </c>
      <c r="K15" s="612">
        <f t="shared" si="10"/>
        <v>2136</v>
      </c>
      <c r="L15" s="612">
        <f t="shared" si="10"/>
        <v>2599.5</v>
      </c>
      <c r="M15" s="612">
        <f t="shared" si="10"/>
        <v>2320</v>
      </c>
      <c r="N15" s="612">
        <f t="shared" si="10"/>
        <v>2300</v>
      </c>
      <c r="O15" s="612">
        <f t="shared" si="10"/>
        <v>2257</v>
      </c>
    </row>
    <row r="16" spans="1:17">
      <c r="D16" s="613"/>
      <c r="E16" s="613"/>
      <c r="F16" s="613"/>
      <c r="G16" s="613"/>
      <c r="H16" s="613"/>
      <c r="I16" s="613"/>
      <c r="J16" s="613"/>
      <c r="K16" s="613"/>
      <c r="L16" s="613"/>
      <c r="M16" s="613"/>
      <c r="N16" s="613"/>
      <c r="O16" s="613"/>
    </row>
    <row r="17" spans="1:17">
      <c r="A17" s="610" t="s">
        <v>5387</v>
      </c>
      <c r="B17" s="610" t="s">
        <v>15832</v>
      </c>
      <c r="C17" s="55" t="s">
        <v>15836</v>
      </c>
      <c r="D17" s="614">
        <v>66472</v>
      </c>
      <c r="E17" s="614">
        <v>68777</v>
      </c>
      <c r="F17" s="614">
        <v>69416</v>
      </c>
      <c r="G17" s="614">
        <v>69886</v>
      </c>
      <c r="H17" s="614">
        <v>70382</v>
      </c>
      <c r="I17" s="614">
        <v>68969</v>
      </c>
      <c r="J17" s="614">
        <v>69208</v>
      </c>
      <c r="K17" s="614">
        <v>71596</v>
      </c>
      <c r="L17" s="614">
        <v>71051</v>
      </c>
      <c r="M17" s="614">
        <v>68908</v>
      </c>
      <c r="N17" s="614">
        <v>70696</v>
      </c>
      <c r="O17" s="56">
        <v>8808</v>
      </c>
      <c r="Q17" s="610" t="s">
        <v>5046</v>
      </c>
    </row>
    <row r="18" spans="1:17">
      <c r="A18" s="610" t="s">
        <v>5389</v>
      </c>
      <c r="B18" s="610" t="s">
        <v>3574</v>
      </c>
      <c r="C18" s="55" t="s">
        <v>15837</v>
      </c>
      <c r="D18" s="614">
        <v>66184</v>
      </c>
      <c r="E18" s="614">
        <v>67613</v>
      </c>
      <c r="F18" s="614">
        <v>67397</v>
      </c>
      <c r="G18" s="614">
        <v>67561</v>
      </c>
      <c r="H18" s="614">
        <v>67242</v>
      </c>
      <c r="I18" s="614">
        <v>65038</v>
      </c>
      <c r="J18" s="614">
        <v>64929</v>
      </c>
      <c r="K18" s="614">
        <v>67324</v>
      </c>
      <c r="L18" s="614">
        <v>65852</v>
      </c>
      <c r="M18" s="614">
        <v>64268</v>
      </c>
      <c r="N18" s="614">
        <v>66096</v>
      </c>
      <c r="O18" s="56">
        <v>8330</v>
      </c>
      <c r="Q18" s="610" t="s">
        <v>3573</v>
      </c>
    </row>
    <row r="19" spans="1:17">
      <c r="A19" s="610" t="s">
        <v>5391</v>
      </c>
      <c r="B19" s="610" t="s">
        <v>3575</v>
      </c>
      <c r="C19" s="55" t="s">
        <v>15838</v>
      </c>
      <c r="D19" s="614">
        <v>0</v>
      </c>
      <c r="E19" s="614">
        <v>0</v>
      </c>
      <c r="F19" s="614">
        <v>0</v>
      </c>
      <c r="G19" s="614">
        <v>0</v>
      </c>
      <c r="H19" s="614">
        <v>0</v>
      </c>
      <c r="I19" s="614">
        <v>0</v>
      </c>
      <c r="J19" s="614">
        <v>0</v>
      </c>
      <c r="K19" s="614">
        <v>0</v>
      </c>
      <c r="L19" s="614">
        <v>0</v>
      </c>
      <c r="M19" s="614">
        <v>0</v>
      </c>
      <c r="N19" s="614">
        <v>0</v>
      </c>
      <c r="O19" s="56">
        <v>7002</v>
      </c>
      <c r="Q19" s="610" t="s">
        <v>3573</v>
      </c>
    </row>
    <row r="20" spans="1:17">
      <c r="A20" s="610" t="s">
        <v>5393</v>
      </c>
      <c r="B20" s="610" t="s">
        <v>3576</v>
      </c>
      <c r="C20" s="55" t="s">
        <v>15839</v>
      </c>
      <c r="D20" s="614">
        <v>0</v>
      </c>
      <c r="E20" s="614">
        <v>0</v>
      </c>
      <c r="F20" s="614">
        <v>0</v>
      </c>
      <c r="G20" s="614">
        <v>0</v>
      </c>
      <c r="H20" s="614">
        <v>0</v>
      </c>
      <c r="I20" s="614">
        <v>0</v>
      </c>
      <c r="J20" s="614">
        <v>0</v>
      </c>
      <c r="K20" s="614">
        <v>0</v>
      </c>
      <c r="L20" s="614">
        <v>0</v>
      </c>
      <c r="M20" s="614">
        <v>0</v>
      </c>
      <c r="N20" s="614">
        <v>0</v>
      </c>
      <c r="O20" s="56">
        <v>6835</v>
      </c>
      <c r="Q20" s="610" t="s">
        <v>3573</v>
      </c>
    </row>
    <row r="21" spans="1:17">
      <c r="A21" s="610" t="s">
        <v>5394</v>
      </c>
      <c r="B21" s="610" t="s">
        <v>3577</v>
      </c>
      <c r="C21" s="55" t="s">
        <v>15840</v>
      </c>
      <c r="D21" s="614">
        <v>0</v>
      </c>
      <c r="E21" s="614">
        <v>0</v>
      </c>
      <c r="F21" s="614">
        <v>0</v>
      </c>
      <c r="G21" s="614">
        <v>0</v>
      </c>
      <c r="H21" s="614">
        <v>0</v>
      </c>
      <c r="I21" s="614">
        <v>0</v>
      </c>
      <c r="J21" s="614">
        <v>0</v>
      </c>
      <c r="K21" s="614">
        <v>0</v>
      </c>
      <c r="L21" s="614">
        <v>0</v>
      </c>
      <c r="M21" s="614">
        <v>0</v>
      </c>
      <c r="N21" s="614">
        <v>0</v>
      </c>
      <c r="O21" s="56">
        <v>8834</v>
      </c>
      <c r="Q21" s="610" t="s">
        <v>3573</v>
      </c>
    </row>
    <row r="22" spans="1:17">
      <c r="A22" s="610" t="s">
        <v>5416</v>
      </c>
      <c r="B22" s="610" t="s">
        <v>3578</v>
      </c>
      <c r="C22" s="55" t="s">
        <v>15841</v>
      </c>
      <c r="D22" s="614">
        <v>0</v>
      </c>
      <c r="E22" s="614">
        <v>0</v>
      </c>
      <c r="F22" s="614">
        <v>0</v>
      </c>
      <c r="G22" s="614">
        <v>0</v>
      </c>
      <c r="H22" s="614">
        <v>0</v>
      </c>
      <c r="I22" s="614">
        <v>0</v>
      </c>
      <c r="J22" s="614">
        <v>0</v>
      </c>
      <c r="K22" s="614">
        <v>0</v>
      </c>
      <c r="L22" s="614">
        <v>0</v>
      </c>
      <c r="M22" s="614">
        <v>0</v>
      </c>
      <c r="N22" s="614">
        <v>0</v>
      </c>
      <c r="O22" s="56">
        <v>7518</v>
      </c>
      <c r="Q22" s="610" t="s">
        <v>3573</v>
      </c>
    </row>
    <row r="23" spans="1:17">
      <c r="A23" s="610" t="s">
        <v>5418</v>
      </c>
      <c r="B23" s="610" t="s">
        <v>3579</v>
      </c>
      <c r="C23" s="55" t="s">
        <v>15842</v>
      </c>
      <c r="D23" s="614">
        <v>0</v>
      </c>
      <c r="E23" s="614">
        <v>0</v>
      </c>
      <c r="F23" s="614">
        <v>0</v>
      </c>
      <c r="G23" s="614">
        <v>0</v>
      </c>
      <c r="H23" s="614">
        <v>0</v>
      </c>
      <c r="I23" s="614">
        <v>0</v>
      </c>
      <c r="J23" s="614">
        <v>0</v>
      </c>
      <c r="K23" s="614">
        <v>0</v>
      </c>
      <c r="L23" s="614">
        <v>0</v>
      </c>
      <c r="M23" s="614">
        <v>0</v>
      </c>
      <c r="N23" s="614">
        <v>0</v>
      </c>
      <c r="O23" s="56">
        <v>8690</v>
      </c>
      <c r="Q23" s="610" t="s">
        <v>5046</v>
      </c>
    </row>
    <row r="24" spans="1:17">
      <c r="A24" s="610" t="s">
        <v>5420</v>
      </c>
      <c r="B24" s="610" t="s">
        <v>15835</v>
      </c>
      <c r="C24" s="55" t="s">
        <v>15843</v>
      </c>
      <c r="D24" s="614">
        <v>0</v>
      </c>
      <c r="E24" s="614">
        <v>0</v>
      </c>
      <c r="F24" s="614">
        <v>0</v>
      </c>
      <c r="G24" s="614">
        <v>0</v>
      </c>
      <c r="H24" s="614">
        <v>0</v>
      </c>
      <c r="I24" s="614">
        <v>0</v>
      </c>
      <c r="J24" s="614">
        <v>0</v>
      </c>
      <c r="K24" s="614">
        <v>0</v>
      </c>
      <c r="L24" s="614">
        <v>0</v>
      </c>
      <c r="M24" s="614">
        <v>0</v>
      </c>
      <c r="N24" s="614">
        <v>0</v>
      </c>
      <c r="O24" s="56">
        <v>9851</v>
      </c>
      <c r="Q24" s="610" t="s">
        <v>5046</v>
      </c>
    </row>
    <row r="25" spans="1:17">
      <c r="A25" s="610" t="s">
        <v>5422</v>
      </c>
      <c r="B25" s="610" t="s">
        <v>1098</v>
      </c>
      <c r="C25" s="55" t="s">
        <v>15844</v>
      </c>
      <c r="D25" s="614">
        <v>0</v>
      </c>
      <c r="E25" s="614">
        <v>0</v>
      </c>
      <c r="F25" s="614">
        <v>0</v>
      </c>
      <c r="G25" s="614">
        <v>0</v>
      </c>
      <c r="H25" s="614">
        <v>0</v>
      </c>
      <c r="I25" s="614">
        <v>0</v>
      </c>
      <c r="J25" s="614">
        <v>0</v>
      </c>
      <c r="K25" s="614">
        <v>0</v>
      </c>
      <c r="L25" s="614">
        <v>0</v>
      </c>
      <c r="M25" s="614">
        <v>0</v>
      </c>
      <c r="N25" s="614">
        <v>0</v>
      </c>
      <c r="O25" s="56">
        <v>10288</v>
      </c>
      <c r="Q25" s="610" t="s">
        <v>5046</v>
      </c>
    </row>
    <row r="26" spans="1:17">
      <c r="A26" s="610" t="s">
        <v>5424</v>
      </c>
      <c r="B26" s="610" t="s">
        <v>1099</v>
      </c>
      <c r="C26" s="55" t="s">
        <v>15845</v>
      </c>
      <c r="D26" s="614">
        <v>0</v>
      </c>
      <c r="E26" s="614">
        <v>0</v>
      </c>
      <c r="F26" s="614">
        <v>0</v>
      </c>
      <c r="G26" s="614">
        <v>0</v>
      </c>
      <c r="H26" s="614">
        <v>0</v>
      </c>
      <c r="I26" s="614">
        <v>0</v>
      </c>
      <c r="J26" s="614">
        <v>0</v>
      </c>
      <c r="K26" s="614">
        <v>0</v>
      </c>
      <c r="L26" s="614">
        <v>0</v>
      </c>
      <c r="M26" s="614">
        <v>0</v>
      </c>
      <c r="N26" s="614">
        <v>0</v>
      </c>
      <c r="O26" s="56">
        <v>7916</v>
      </c>
      <c r="Q26" s="610" t="s">
        <v>3573</v>
      </c>
    </row>
    <row r="27" spans="1:17">
      <c r="A27" s="610" t="s">
        <v>5426</v>
      </c>
      <c r="B27" s="610" t="s">
        <v>1100</v>
      </c>
      <c r="C27" s="55" t="s">
        <v>15846</v>
      </c>
      <c r="D27" s="614">
        <v>0</v>
      </c>
      <c r="E27" s="614">
        <v>0</v>
      </c>
      <c r="F27" s="614">
        <v>0</v>
      </c>
      <c r="G27" s="614">
        <v>0</v>
      </c>
      <c r="H27" s="614">
        <v>0</v>
      </c>
      <c r="I27" s="614">
        <v>0</v>
      </c>
      <c r="J27" s="614">
        <v>0</v>
      </c>
      <c r="K27" s="614">
        <v>0</v>
      </c>
      <c r="L27" s="614">
        <v>0</v>
      </c>
      <c r="M27" s="614">
        <v>0</v>
      </c>
      <c r="N27" s="614">
        <v>0</v>
      </c>
      <c r="O27" s="56">
        <v>8702</v>
      </c>
      <c r="Q27" s="610" t="s">
        <v>5046</v>
      </c>
    </row>
    <row r="28" spans="1:17">
      <c r="A28" s="610" t="s">
        <v>5428</v>
      </c>
      <c r="B28" s="610" t="s">
        <v>15834</v>
      </c>
      <c r="C28" s="55" t="s">
        <v>15847</v>
      </c>
      <c r="D28" s="614">
        <v>0</v>
      </c>
      <c r="E28" s="614">
        <v>0</v>
      </c>
      <c r="F28" s="614">
        <v>0</v>
      </c>
      <c r="G28" s="614">
        <v>0</v>
      </c>
      <c r="H28" s="614">
        <v>0</v>
      </c>
      <c r="I28" s="614">
        <v>0</v>
      </c>
      <c r="J28" s="614">
        <v>0</v>
      </c>
      <c r="K28" s="614">
        <v>0</v>
      </c>
      <c r="L28" s="614">
        <v>0</v>
      </c>
      <c r="M28" s="614">
        <v>0</v>
      </c>
      <c r="N28" s="614">
        <v>0</v>
      </c>
      <c r="O28" s="56">
        <v>8190</v>
      </c>
      <c r="Q28" s="610" t="s">
        <v>3573</v>
      </c>
    </row>
    <row r="29" spans="1:17">
      <c r="A29" s="610" t="s">
        <v>5429</v>
      </c>
      <c r="B29" s="610" t="s">
        <v>1101</v>
      </c>
      <c r="C29" s="55" t="s">
        <v>15848</v>
      </c>
      <c r="D29" s="614">
        <v>0</v>
      </c>
      <c r="E29" s="614">
        <v>0</v>
      </c>
      <c r="F29" s="614">
        <v>0</v>
      </c>
      <c r="G29" s="614">
        <v>0</v>
      </c>
      <c r="H29" s="614">
        <v>0</v>
      </c>
      <c r="I29" s="614">
        <v>0</v>
      </c>
      <c r="J29" s="614">
        <v>0</v>
      </c>
      <c r="K29" s="614">
        <v>0</v>
      </c>
      <c r="L29" s="614">
        <v>0</v>
      </c>
      <c r="M29" s="614">
        <v>0</v>
      </c>
      <c r="N29" s="614">
        <v>0</v>
      </c>
      <c r="O29" s="56">
        <v>9556</v>
      </c>
      <c r="Q29" s="610" t="s">
        <v>5046</v>
      </c>
    </row>
    <row r="30" spans="1:17">
      <c r="A30" s="610" t="s">
        <v>5431</v>
      </c>
      <c r="B30" s="610" t="s">
        <v>15850</v>
      </c>
      <c r="C30" s="55" t="s">
        <v>15849</v>
      </c>
      <c r="D30" s="614">
        <v>0</v>
      </c>
      <c r="E30" s="614">
        <v>0</v>
      </c>
      <c r="F30" s="614">
        <v>0</v>
      </c>
      <c r="G30" s="614">
        <v>0</v>
      </c>
      <c r="H30" s="614">
        <v>0</v>
      </c>
      <c r="I30" s="614">
        <v>0</v>
      </c>
      <c r="J30" s="614">
        <v>0</v>
      </c>
      <c r="K30" s="614">
        <v>0</v>
      </c>
      <c r="L30" s="614">
        <v>0</v>
      </c>
      <c r="M30" s="614">
        <v>0</v>
      </c>
      <c r="N30" s="614">
        <v>0</v>
      </c>
      <c r="O30" s="56">
        <v>7840</v>
      </c>
      <c r="Q30" s="610" t="s">
        <v>3573</v>
      </c>
    </row>
    <row r="31" spans="1:17">
      <c r="A31" s="610" t="s">
        <v>5433</v>
      </c>
      <c r="B31" s="610" t="s">
        <v>15852</v>
      </c>
      <c r="C31" s="55" t="s">
        <v>15851</v>
      </c>
      <c r="D31" s="614">
        <v>0</v>
      </c>
      <c r="E31" s="614">
        <v>0</v>
      </c>
      <c r="F31" s="614">
        <v>0</v>
      </c>
      <c r="G31" s="614">
        <v>0</v>
      </c>
      <c r="H31" s="614">
        <v>0</v>
      </c>
      <c r="I31" s="614">
        <v>0</v>
      </c>
      <c r="J31" s="614">
        <v>0</v>
      </c>
      <c r="K31" s="614">
        <v>0</v>
      </c>
      <c r="L31" s="614">
        <v>0</v>
      </c>
      <c r="M31" s="614">
        <v>0</v>
      </c>
      <c r="N31" s="614">
        <v>0</v>
      </c>
      <c r="O31" s="58">
        <v>6991</v>
      </c>
      <c r="Q31" s="610" t="s">
        <v>3573</v>
      </c>
    </row>
    <row r="32" spans="1:17">
      <c r="A32" s="610" t="s">
        <v>5435</v>
      </c>
      <c r="B32" s="610" t="s">
        <v>1102</v>
      </c>
      <c r="C32" s="55" t="s">
        <v>15853</v>
      </c>
      <c r="D32" s="614">
        <v>0</v>
      </c>
      <c r="E32" s="614">
        <v>0</v>
      </c>
      <c r="F32" s="614">
        <v>0</v>
      </c>
      <c r="G32" s="614">
        <v>0</v>
      </c>
      <c r="H32" s="614">
        <v>0</v>
      </c>
      <c r="I32" s="614">
        <v>0</v>
      </c>
      <c r="J32" s="614">
        <v>0</v>
      </c>
      <c r="K32" s="614">
        <v>0</v>
      </c>
      <c r="L32" s="614">
        <v>0</v>
      </c>
      <c r="M32" s="614">
        <v>0</v>
      </c>
      <c r="N32" s="614">
        <v>0</v>
      </c>
      <c r="O32" s="56">
        <v>9569</v>
      </c>
      <c r="Q32" s="610" t="s">
        <v>5046</v>
      </c>
    </row>
    <row r="33" spans="1:17">
      <c r="A33" s="1006" t="s">
        <v>5436</v>
      </c>
      <c r="B33" s="145" t="s">
        <v>15833</v>
      </c>
      <c r="C33" s="55" t="s">
        <v>15854</v>
      </c>
      <c r="D33" s="614">
        <v>0</v>
      </c>
      <c r="E33" s="614">
        <v>0</v>
      </c>
      <c r="F33" s="614">
        <v>0</v>
      </c>
      <c r="G33" s="614">
        <v>0</v>
      </c>
      <c r="H33" s="614">
        <v>0</v>
      </c>
      <c r="I33" s="614">
        <v>0</v>
      </c>
      <c r="J33" s="614">
        <v>0</v>
      </c>
      <c r="K33" s="614">
        <v>0</v>
      </c>
      <c r="L33" s="614">
        <v>0</v>
      </c>
      <c r="M33" s="614">
        <v>0</v>
      </c>
      <c r="N33" s="614">
        <v>0</v>
      </c>
      <c r="O33" s="56">
        <v>8506</v>
      </c>
      <c r="Q33" s="610" t="s">
        <v>5046</v>
      </c>
    </row>
    <row r="35" spans="1:17">
      <c r="A35" s="145" t="s">
        <v>1103</v>
      </c>
    </row>
    <row r="36" spans="1:17">
      <c r="A36" s="145" t="s">
        <v>15855</v>
      </c>
    </row>
    <row r="38" spans="1:17">
      <c r="A38" s="1008" t="s">
        <v>16023</v>
      </c>
    </row>
    <row r="39" spans="1:17">
      <c r="A39" s="167" t="s">
        <v>16099</v>
      </c>
    </row>
  </sheetData>
  <phoneticPr fontId="6" type="noConversion"/>
  <printOptions gridLinesSet="0"/>
  <pageMargins left="0.78740157480314965" right="0" top="0.51181102362204722" bottom="0.51181102362204722" header="0.51181102362204722" footer="0.51181102362204722"/>
  <pageSetup paperSize="9" scale="78" orientation="portrait" horizontalDpi="300" verticalDpi="300" r:id="rId1"/>
  <headerFooter alignWithMargins="0">
    <oddFooter>&amp;C&amp;"Times New Roman,Regular"&amp;8&amp;P of &amp;N</oddFooter>
  </headerFooter>
  <ignoredErrors>
    <ignoredError sqref="D4 E4 F4 G4 D5:D6 E5:E6 F5:F6 G5:G6 H4 H5:H6 I4:I6 J4:J6 K4:K6 L4:L6 D10:D15 E10:E15 F10:F15 G10:G15 H10:H15 I10:I15 J10:J15 K10:K15 L10:L15"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dimension ref="A1:Q47"/>
  <sheetViews>
    <sheetView showGridLines="0" topLeftCell="A10" zoomScale="90" zoomScaleNormal="90" workbookViewId="0">
      <selection activeCell="S16" sqref="S16"/>
    </sheetView>
  </sheetViews>
  <sheetFormatPr defaultColWidth="12.5703125" defaultRowHeight="15"/>
  <cols>
    <col min="1" max="1" width="5" style="113" customWidth="1"/>
    <col min="2" max="2" width="40.7109375" style="113" customWidth="1"/>
    <col min="3" max="3" width="11.42578125" style="113" customWidth="1"/>
    <col min="4" max="15" width="10" style="113" customWidth="1"/>
    <col min="16" max="16" width="2.28515625" style="113" customWidth="1"/>
    <col min="17" max="17" width="34.28515625" style="113" customWidth="1"/>
    <col min="18" max="16384" width="12.5703125" style="113"/>
  </cols>
  <sheetData>
    <row r="1" spans="1:17">
      <c r="A1" s="250" t="s">
        <v>5719</v>
      </c>
      <c r="D1" s="251">
        <v>2010</v>
      </c>
      <c r="E1" s="251">
        <v>2011</v>
      </c>
      <c r="F1" s="251">
        <v>2012</v>
      </c>
      <c r="G1" s="251">
        <v>2013</v>
      </c>
      <c r="H1" s="251">
        <v>2014</v>
      </c>
      <c r="I1" s="251">
        <v>2015</v>
      </c>
      <c r="J1" s="251">
        <v>2016</v>
      </c>
      <c r="K1" s="251">
        <v>2017</v>
      </c>
      <c r="L1" s="251">
        <v>2018</v>
      </c>
      <c r="M1" s="251">
        <v>2019</v>
      </c>
      <c r="N1" s="251">
        <v>2020</v>
      </c>
      <c r="O1" s="929" t="s">
        <v>14823</v>
      </c>
    </row>
    <row r="3" spans="1:17">
      <c r="A3" s="250" t="s">
        <v>1179</v>
      </c>
      <c r="D3" s="255">
        <f>SUM(D21:D23)+SUM(D25:D38)+SUM(D40:D43)</f>
        <v>87299</v>
      </c>
      <c r="E3" s="255">
        <f>SUM(E21:E23)+SUM(E25:E38)+SUM(E40:E43)</f>
        <v>86412</v>
      </c>
      <c r="F3" s="255">
        <f>SUM(F21:F23)+SUM(F25:F38)+SUM(F40:F43)</f>
        <v>85673</v>
      </c>
      <c r="G3" s="255">
        <f>SUM(G21:G23)+SUM(G25:G38)+SUM(G40:G43)</f>
        <v>85063</v>
      </c>
      <c r="H3" s="255">
        <f>SUM(H21:H23)+SUM(H25:H38)+SUM(H40:H43)</f>
        <v>84674</v>
      </c>
      <c r="I3" s="255">
        <f t="shared" ref="I3:N3" si="0">SUM(I21:I23)+SUM(I25:I38)+SUM(I40:I43)</f>
        <v>80182</v>
      </c>
      <c r="J3" s="255">
        <f t="shared" si="0"/>
        <v>76454</v>
      </c>
      <c r="K3" s="255">
        <f t="shared" si="0"/>
        <v>78829</v>
      </c>
      <c r="L3" s="255">
        <f t="shared" si="0"/>
        <v>83410</v>
      </c>
      <c r="M3" s="255">
        <f t="shared" si="0"/>
        <v>79114</v>
      </c>
      <c r="N3" s="255">
        <f t="shared" si="0"/>
        <v>85967</v>
      </c>
      <c r="O3" s="255">
        <f>SUM(O21:O23)+SUM(O25:O38)+SUM(O40:O43)</f>
        <v>84606</v>
      </c>
    </row>
    <row r="5" spans="1:17">
      <c r="A5" s="254" t="s">
        <v>1180</v>
      </c>
      <c r="D5" s="255">
        <f t="shared" ref="D5:I5" si="1">D3/1</f>
        <v>87299</v>
      </c>
      <c r="E5" s="255">
        <f t="shared" si="1"/>
        <v>86412</v>
      </c>
      <c r="F5" s="255">
        <f t="shared" si="1"/>
        <v>85673</v>
      </c>
      <c r="G5" s="255">
        <f t="shared" si="1"/>
        <v>85063</v>
      </c>
      <c r="H5" s="255">
        <f t="shared" si="1"/>
        <v>84674</v>
      </c>
      <c r="I5" s="255">
        <f t="shared" si="1"/>
        <v>80182</v>
      </c>
      <c r="J5" s="255">
        <f t="shared" ref="J5:O5" si="2">J3/1</f>
        <v>76454</v>
      </c>
      <c r="K5" s="255">
        <f t="shared" si="2"/>
        <v>78829</v>
      </c>
      <c r="L5" s="255">
        <f t="shared" si="2"/>
        <v>83410</v>
      </c>
      <c r="M5" s="255">
        <f t="shared" si="2"/>
        <v>79114</v>
      </c>
      <c r="N5" s="255">
        <f t="shared" si="2"/>
        <v>85967</v>
      </c>
      <c r="O5" s="255">
        <f t="shared" si="2"/>
        <v>84606</v>
      </c>
    </row>
    <row r="6" spans="1:17">
      <c r="D6" s="256"/>
      <c r="E6" s="256"/>
      <c r="F6" s="256"/>
      <c r="G6" s="256"/>
      <c r="H6" s="256"/>
      <c r="I6" s="256"/>
      <c r="J6" s="256"/>
      <c r="K6" s="256"/>
      <c r="L6" s="256"/>
      <c r="M6" s="256"/>
      <c r="N6" s="256"/>
      <c r="O6" s="256"/>
    </row>
    <row r="7" spans="1:17">
      <c r="A7" s="250" t="s">
        <v>4325</v>
      </c>
      <c r="D7" s="256">
        <f>HAMMERSMITH!D7</f>
        <v>39542</v>
      </c>
      <c r="E7" s="256">
        <f>HAMMERSMITH!E7</f>
        <v>39330</v>
      </c>
      <c r="F7" s="256">
        <f>HAMMERSMITH!F7</f>
        <v>39502</v>
      </c>
      <c r="G7" s="256">
        <f>HAMMERSMITH!G7</f>
        <v>39494</v>
      </c>
      <c r="H7" s="256">
        <f>HAMMERSMITH!H7</f>
        <v>39896</v>
      </c>
      <c r="I7" s="256">
        <f>HAMMERSMITH!I7</f>
        <v>38737</v>
      </c>
      <c r="J7" s="256">
        <f>HAMMERSMITH!J7</f>
        <v>37905</v>
      </c>
      <c r="K7" s="256">
        <f>HAMMERSMITH!K7</f>
        <v>39529</v>
      </c>
      <c r="L7" s="256">
        <f>HAMMERSMITH!L7</f>
        <v>39712</v>
      </c>
      <c r="M7" s="256">
        <f>HAMMERSMITH!M7</f>
        <v>38554</v>
      </c>
      <c r="N7" s="256">
        <f>HAMMERSMITH!N7</f>
        <v>42525</v>
      </c>
      <c r="O7" s="256">
        <f>HAMMERSMITH!O7</f>
        <v>42168</v>
      </c>
      <c r="Q7" s="113" t="s">
        <v>4326</v>
      </c>
    </row>
    <row r="8" spans="1:17" ht="15.75" thickBot="1">
      <c r="A8" s="250"/>
      <c r="D8" s="257">
        <f>D22+D26+D37+D40+D42</f>
        <v>24165</v>
      </c>
      <c r="E8" s="257">
        <f>E22+E26+E37+E40+E42</f>
        <v>23628</v>
      </c>
      <c r="F8" s="257">
        <f>F22+F26+F37+F40+F42</f>
        <v>23327</v>
      </c>
      <c r="G8" s="257">
        <f>G22+G26+G37+G40+G42</f>
        <v>23260</v>
      </c>
      <c r="H8" s="257">
        <f>H22+H26+H37+H40+H42</f>
        <v>23167</v>
      </c>
      <c r="I8" s="257">
        <f t="shared" ref="I8:N8" si="3">I22+I26+I37+I40+I42</f>
        <v>21866</v>
      </c>
      <c r="J8" s="257">
        <f t="shared" si="3"/>
        <v>21022</v>
      </c>
      <c r="K8" s="257">
        <f t="shared" si="3"/>
        <v>21608</v>
      </c>
      <c r="L8" s="257">
        <f t="shared" si="3"/>
        <v>22736</v>
      </c>
      <c r="M8" s="257">
        <f t="shared" si="3"/>
        <v>21487</v>
      </c>
      <c r="N8" s="257">
        <f t="shared" si="3"/>
        <v>23281</v>
      </c>
      <c r="O8" s="257">
        <f>O22+O26+O37+O40+O42</f>
        <v>22845</v>
      </c>
      <c r="Q8" s="250" t="s">
        <v>4327</v>
      </c>
    </row>
    <row r="9" spans="1:17" ht="15.75" thickBot="1">
      <c r="A9" s="250"/>
      <c r="D9" s="605">
        <f t="shared" ref="D9:O9" si="4">D7+D8</f>
        <v>63707</v>
      </c>
      <c r="E9" s="605">
        <f t="shared" si="4"/>
        <v>62958</v>
      </c>
      <c r="F9" s="605">
        <f t="shared" si="4"/>
        <v>62829</v>
      </c>
      <c r="G9" s="605">
        <f t="shared" si="4"/>
        <v>62754</v>
      </c>
      <c r="H9" s="605">
        <f t="shared" si="4"/>
        <v>63063</v>
      </c>
      <c r="I9" s="605">
        <f t="shared" si="4"/>
        <v>60603</v>
      </c>
      <c r="J9" s="605">
        <f t="shared" si="4"/>
        <v>58927</v>
      </c>
      <c r="K9" s="605">
        <f t="shared" si="4"/>
        <v>61137</v>
      </c>
      <c r="L9" s="605">
        <f t="shared" si="4"/>
        <v>62448</v>
      </c>
      <c r="M9" s="605">
        <f t="shared" si="4"/>
        <v>60041</v>
      </c>
      <c r="N9" s="605">
        <f t="shared" si="4"/>
        <v>65806</v>
      </c>
      <c r="O9" s="605">
        <f t="shared" si="4"/>
        <v>65013</v>
      </c>
      <c r="Q9" s="250"/>
    </row>
    <row r="10" spans="1:17">
      <c r="D10" s="256"/>
      <c r="E10" s="256"/>
      <c r="F10" s="256"/>
      <c r="G10" s="256"/>
      <c r="H10" s="256"/>
      <c r="I10" s="256"/>
      <c r="J10" s="256"/>
      <c r="K10" s="256"/>
      <c r="L10" s="256"/>
      <c r="M10" s="256"/>
      <c r="N10" s="256"/>
      <c r="O10" s="256"/>
    </row>
    <row r="11" spans="1:17">
      <c r="A11" s="250" t="s">
        <v>4329</v>
      </c>
      <c r="D11" s="255">
        <f>D21+D23+D25+SUM(D27:D36)+D38+D41+D43</f>
        <v>63134</v>
      </c>
      <c r="E11" s="255">
        <f>E21+E23+E25+SUM(E27:E36)+E38+E41+E43</f>
        <v>62784</v>
      </c>
      <c r="F11" s="255">
        <f>F21+F23+F25+SUM(F27:F36)+F38+F41+F43</f>
        <v>62346</v>
      </c>
      <c r="G11" s="255">
        <f>G21+G23+G25+SUM(G27:G36)+G38+G41+G43</f>
        <v>61803</v>
      </c>
      <c r="H11" s="255">
        <f>H21+H23+H25+SUM(H27:H36)+H38+H41+H43</f>
        <v>61507</v>
      </c>
      <c r="I11" s="255">
        <f t="shared" ref="I11:N11" si="5">I21+I23+I25+SUM(I27:I36)+I38+I41+I43</f>
        <v>58316</v>
      </c>
      <c r="J11" s="255">
        <f t="shared" si="5"/>
        <v>55432</v>
      </c>
      <c r="K11" s="255">
        <f t="shared" si="5"/>
        <v>57221</v>
      </c>
      <c r="L11" s="255">
        <f t="shared" si="5"/>
        <v>60674</v>
      </c>
      <c r="M11" s="255">
        <f t="shared" si="5"/>
        <v>57627</v>
      </c>
      <c r="N11" s="255">
        <f t="shared" si="5"/>
        <v>62686</v>
      </c>
      <c r="O11" s="255">
        <f>O21+O23+O25+SUM(O27:O36)+O38+O41+O43</f>
        <v>61761</v>
      </c>
      <c r="Q11" s="250" t="s">
        <v>4327</v>
      </c>
    </row>
    <row r="12" spans="1:17">
      <c r="D12" s="256"/>
      <c r="E12" s="256"/>
      <c r="F12" s="256"/>
      <c r="G12" s="256"/>
      <c r="H12" s="256"/>
      <c r="I12" s="256"/>
      <c r="J12" s="256"/>
      <c r="K12" s="256"/>
      <c r="L12" s="256"/>
      <c r="M12" s="256"/>
      <c r="N12" s="256"/>
      <c r="O12" s="256"/>
    </row>
    <row r="13" spans="1:17">
      <c r="A13" s="250" t="s">
        <v>4328</v>
      </c>
      <c r="D13" s="255">
        <f>HAMMERSMITH!D11</f>
        <v>69774</v>
      </c>
      <c r="E13" s="255">
        <f>HAMMERSMITH!E11</f>
        <v>70008</v>
      </c>
      <c r="F13" s="255">
        <f>HAMMERSMITH!F11</f>
        <v>70769</v>
      </c>
      <c r="G13" s="255">
        <f>HAMMERSMITH!G11</f>
        <v>70814</v>
      </c>
      <c r="H13" s="255">
        <f>HAMMERSMITH!H11</f>
        <v>70860</v>
      </c>
      <c r="I13" s="255">
        <f>HAMMERSMITH!I11</f>
        <v>69449</v>
      </c>
      <c r="J13" s="255">
        <f>HAMMERSMITH!J11</f>
        <v>67526</v>
      </c>
      <c r="K13" s="255">
        <f>HAMMERSMITH!K11</f>
        <v>70277</v>
      </c>
      <c r="L13" s="255">
        <f>HAMMERSMITH!L11</f>
        <v>70233</v>
      </c>
      <c r="M13" s="255">
        <f>HAMMERSMITH!M11</f>
        <v>68846</v>
      </c>
      <c r="N13" s="255">
        <f>HAMMERSMITH!N11</f>
        <v>74105</v>
      </c>
      <c r="O13" s="255">
        <f>HAMMERSMITH!O11</f>
        <v>73582</v>
      </c>
      <c r="Q13" s="113" t="s">
        <v>4326</v>
      </c>
    </row>
    <row r="14" spans="1:17" s="76" customFormat="1">
      <c r="D14" s="199"/>
      <c r="E14" s="199"/>
      <c r="F14" s="199"/>
      <c r="G14" s="199"/>
      <c r="H14" s="199"/>
      <c r="I14" s="199"/>
      <c r="J14" s="199"/>
      <c r="K14" s="199"/>
      <c r="L14" s="199"/>
      <c r="M14" s="199"/>
      <c r="N14" s="199"/>
      <c r="O14" s="199"/>
    </row>
    <row r="15" spans="1:17">
      <c r="A15" s="250" t="s">
        <v>6796</v>
      </c>
      <c r="D15" s="255">
        <f t="shared" ref="D15:O15" si="6">D8+D11</f>
        <v>87299</v>
      </c>
      <c r="E15" s="255">
        <f t="shared" si="6"/>
        <v>86412</v>
      </c>
      <c r="F15" s="255">
        <f t="shared" si="6"/>
        <v>85673</v>
      </c>
      <c r="G15" s="255">
        <f t="shared" si="6"/>
        <v>85063</v>
      </c>
      <c r="H15" s="255">
        <f t="shared" si="6"/>
        <v>84674</v>
      </c>
      <c r="I15" s="255">
        <f t="shared" si="6"/>
        <v>80182</v>
      </c>
      <c r="J15" s="255">
        <f t="shared" si="6"/>
        <v>76454</v>
      </c>
      <c r="K15" s="255">
        <f t="shared" si="6"/>
        <v>78829</v>
      </c>
      <c r="L15" s="255">
        <f t="shared" si="6"/>
        <v>83410</v>
      </c>
      <c r="M15" s="255">
        <f t="shared" si="6"/>
        <v>79114</v>
      </c>
      <c r="N15" s="255">
        <f t="shared" si="6"/>
        <v>85967</v>
      </c>
      <c r="O15" s="255">
        <f t="shared" si="6"/>
        <v>84606</v>
      </c>
    </row>
    <row r="16" spans="1:17">
      <c r="D16" s="256"/>
      <c r="E16" s="256"/>
      <c r="F16" s="256"/>
      <c r="G16" s="256"/>
      <c r="H16" s="256"/>
      <c r="I16" s="256"/>
      <c r="J16" s="256"/>
      <c r="K16" s="256"/>
      <c r="L16" s="256"/>
      <c r="M16" s="256"/>
      <c r="N16" s="256"/>
      <c r="O16" s="256"/>
    </row>
    <row r="17" spans="1:17">
      <c r="A17" s="250" t="s">
        <v>6797</v>
      </c>
      <c r="D17" s="255">
        <f t="shared" ref="D17:O17" si="7">MAX(D9,D11,D13)-MIN(D9,D11,D13)</f>
        <v>6640</v>
      </c>
      <c r="E17" s="255">
        <f t="shared" si="7"/>
        <v>7224</v>
      </c>
      <c r="F17" s="255">
        <f t="shared" si="7"/>
        <v>8423</v>
      </c>
      <c r="G17" s="255">
        <f t="shared" si="7"/>
        <v>9011</v>
      </c>
      <c r="H17" s="255">
        <f t="shared" si="7"/>
        <v>9353</v>
      </c>
      <c r="I17" s="255">
        <f t="shared" si="7"/>
        <v>11133</v>
      </c>
      <c r="J17" s="255">
        <f t="shared" si="7"/>
        <v>12094</v>
      </c>
      <c r="K17" s="255">
        <f t="shared" si="7"/>
        <v>13056</v>
      </c>
      <c r="L17" s="255">
        <f t="shared" si="7"/>
        <v>9559</v>
      </c>
      <c r="M17" s="255">
        <f t="shared" si="7"/>
        <v>11219</v>
      </c>
      <c r="N17" s="255">
        <f t="shared" si="7"/>
        <v>11419</v>
      </c>
      <c r="O17" s="255">
        <f t="shared" si="7"/>
        <v>11821</v>
      </c>
    </row>
    <row r="18" spans="1:17">
      <c r="D18" s="255"/>
      <c r="E18" s="255"/>
      <c r="F18" s="255"/>
      <c r="G18" s="255"/>
      <c r="H18" s="255"/>
      <c r="I18" s="255"/>
      <c r="J18" s="255"/>
      <c r="K18" s="255"/>
      <c r="L18" s="255"/>
      <c r="M18" s="255"/>
      <c r="N18" s="255"/>
      <c r="O18" s="255"/>
    </row>
    <row r="19" spans="1:17">
      <c r="A19" s="254" t="s">
        <v>6800</v>
      </c>
      <c r="D19" s="255">
        <f t="shared" ref="D19:O19" si="8">STDEVP(D9,D11,D13)</f>
        <v>3004.1899999093857</v>
      </c>
      <c r="E19" s="255">
        <f t="shared" si="8"/>
        <v>3365.1638890253175</v>
      </c>
      <c r="F19" s="255">
        <f t="shared" si="8"/>
        <v>3861.833444823269</v>
      </c>
      <c r="G19" s="255">
        <f t="shared" si="8"/>
        <v>4042.3607239114899</v>
      </c>
      <c r="H19" s="255">
        <f t="shared" si="8"/>
        <v>4091.9019484288183</v>
      </c>
      <c r="I19" s="255">
        <f t="shared" si="8"/>
        <v>4800.7612127893035</v>
      </c>
      <c r="J19" s="255">
        <f t="shared" si="8"/>
        <v>5081.8048193749264</v>
      </c>
      <c r="K19" s="255">
        <f t="shared" si="8"/>
        <v>5470.4640469423512</v>
      </c>
      <c r="L19" s="255">
        <f t="shared" si="8"/>
        <v>4151.6767964549235</v>
      </c>
      <c r="M19" s="255">
        <f t="shared" si="8"/>
        <v>4821.4956416263849</v>
      </c>
      <c r="N19" s="255">
        <f t="shared" si="8"/>
        <v>4818.9598001597351</v>
      </c>
      <c r="O19" s="255">
        <f t="shared" si="8"/>
        <v>4985.9726121278372</v>
      </c>
    </row>
    <row r="20" spans="1:17">
      <c r="D20" s="256"/>
      <c r="E20" s="256"/>
      <c r="F20" s="256"/>
      <c r="G20" s="256"/>
      <c r="H20" s="256"/>
      <c r="I20" s="256"/>
      <c r="J20" s="256"/>
      <c r="K20" s="256"/>
      <c r="L20" s="256"/>
      <c r="M20" s="256"/>
      <c r="N20" s="256"/>
      <c r="O20" s="256"/>
    </row>
    <row r="21" spans="1:17">
      <c r="A21" s="250" t="s">
        <v>5387</v>
      </c>
      <c r="B21" s="250" t="s">
        <v>1181</v>
      </c>
      <c r="C21" s="62" t="s">
        <v>9659</v>
      </c>
      <c r="D21" s="606">
        <v>63134</v>
      </c>
      <c r="E21" s="606">
        <v>62784</v>
      </c>
      <c r="F21" s="606">
        <v>62346</v>
      </c>
      <c r="G21" s="606">
        <v>61803</v>
      </c>
      <c r="H21" s="63">
        <v>61507</v>
      </c>
      <c r="I21" s="63">
        <v>4261</v>
      </c>
      <c r="J21" s="56">
        <v>4115</v>
      </c>
      <c r="K21" s="56">
        <v>4139</v>
      </c>
      <c r="L21" s="56">
        <v>4382</v>
      </c>
      <c r="M21" s="56">
        <v>4189</v>
      </c>
      <c r="N21" s="56">
        <v>4597</v>
      </c>
      <c r="O21" s="56">
        <v>4547</v>
      </c>
      <c r="Q21" s="250" t="s">
        <v>4329</v>
      </c>
    </row>
    <row r="22" spans="1:17">
      <c r="A22" s="250" t="s">
        <v>5389</v>
      </c>
      <c r="B22" s="250" t="s">
        <v>9660</v>
      </c>
      <c r="C22" s="62" t="s">
        <v>9661</v>
      </c>
      <c r="D22" s="607">
        <v>0</v>
      </c>
      <c r="E22" s="607">
        <v>0</v>
      </c>
      <c r="F22" s="607">
        <v>0</v>
      </c>
      <c r="G22" s="607">
        <v>0</v>
      </c>
      <c r="H22" s="63">
        <v>0</v>
      </c>
      <c r="I22" s="63">
        <v>2674</v>
      </c>
      <c r="J22" s="56">
        <v>2454</v>
      </c>
      <c r="K22" s="56">
        <v>2431</v>
      </c>
      <c r="L22" s="56">
        <v>2616</v>
      </c>
      <c r="M22" s="56">
        <v>2468</v>
      </c>
      <c r="N22" s="56">
        <v>2626</v>
      </c>
      <c r="O22" s="56">
        <v>2567</v>
      </c>
      <c r="Q22" s="250" t="s">
        <v>4325</v>
      </c>
    </row>
    <row r="23" spans="1:17" ht="15.75" thickBot="1">
      <c r="A23" s="250"/>
      <c r="B23" s="250"/>
      <c r="C23" s="62" t="s">
        <v>9661</v>
      </c>
      <c r="D23" s="606">
        <v>0</v>
      </c>
      <c r="E23" s="606">
        <v>0</v>
      </c>
      <c r="F23" s="606">
        <v>0</v>
      </c>
      <c r="G23" s="606">
        <v>0</v>
      </c>
      <c r="H23" s="63">
        <v>0</v>
      </c>
      <c r="I23" s="63">
        <v>1977</v>
      </c>
      <c r="J23" s="56">
        <v>1830</v>
      </c>
      <c r="K23" s="56">
        <v>1915</v>
      </c>
      <c r="L23" s="56">
        <v>2046</v>
      </c>
      <c r="M23" s="56">
        <v>1867</v>
      </c>
      <c r="N23" s="56">
        <v>2015</v>
      </c>
      <c r="O23" s="56">
        <v>2019</v>
      </c>
      <c r="Q23" s="250" t="s">
        <v>4329</v>
      </c>
    </row>
    <row r="24" spans="1:17" ht="15.75" thickBot="1">
      <c r="A24" s="250"/>
      <c r="B24" s="250"/>
      <c r="C24" s="62" t="s">
        <v>9661</v>
      </c>
      <c r="D24" s="608">
        <f>D22+D23</f>
        <v>0</v>
      </c>
      <c r="E24" s="608">
        <f>E22+E23</f>
        <v>0</v>
      </c>
      <c r="F24" s="608">
        <f>F22+F23</f>
        <v>0</v>
      </c>
      <c r="G24" s="608">
        <f>G22+G23</f>
        <v>0</v>
      </c>
      <c r="H24" s="608">
        <f>H22+H23</f>
        <v>0</v>
      </c>
      <c r="I24" s="608">
        <f t="shared" ref="I24:N24" si="9">I22+I23</f>
        <v>4651</v>
      </c>
      <c r="J24" s="608">
        <f t="shared" si="9"/>
        <v>4284</v>
      </c>
      <c r="K24" s="608">
        <f t="shared" si="9"/>
        <v>4346</v>
      </c>
      <c r="L24" s="608">
        <f t="shared" si="9"/>
        <v>4662</v>
      </c>
      <c r="M24" s="608">
        <f t="shared" si="9"/>
        <v>4335</v>
      </c>
      <c r="N24" s="608">
        <f t="shared" si="9"/>
        <v>4641</v>
      </c>
      <c r="O24" s="608">
        <f>O22+O23</f>
        <v>4586</v>
      </c>
      <c r="Q24" s="250"/>
    </row>
    <row r="25" spans="1:17">
      <c r="A25" s="250" t="s">
        <v>5391</v>
      </c>
      <c r="B25" s="250" t="s">
        <v>1182</v>
      </c>
      <c r="C25" s="62" t="s">
        <v>9662</v>
      </c>
      <c r="D25" s="606">
        <v>0</v>
      </c>
      <c r="E25" s="606">
        <v>0</v>
      </c>
      <c r="F25" s="606">
        <v>0</v>
      </c>
      <c r="G25" s="606">
        <v>0</v>
      </c>
      <c r="H25" s="63">
        <v>0</v>
      </c>
      <c r="I25" s="63">
        <v>4418</v>
      </c>
      <c r="J25" s="56">
        <v>4218</v>
      </c>
      <c r="K25" s="56">
        <v>4408</v>
      </c>
      <c r="L25" s="56">
        <v>4616</v>
      </c>
      <c r="M25" s="56">
        <v>4419</v>
      </c>
      <c r="N25" s="56">
        <v>4885</v>
      </c>
      <c r="O25" s="56">
        <v>4808</v>
      </c>
      <c r="Q25" s="250" t="s">
        <v>4329</v>
      </c>
    </row>
    <row r="26" spans="1:17">
      <c r="A26" s="250" t="s">
        <v>5393</v>
      </c>
      <c r="B26" s="250" t="s">
        <v>9663</v>
      </c>
      <c r="C26" s="62" t="s">
        <v>9664</v>
      </c>
      <c r="D26" s="606">
        <v>24165</v>
      </c>
      <c r="E26" s="606">
        <v>23628</v>
      </c>
      <c r="F26" s="606">
        <v>23327</v>
      </c>
      <c r="G26" s="606">
        <v>23260</v>
      </c>
      <c r="H26" s="63">
        <v>23167</v>
      </c>
      <c r="I26" s="63">
        <v>5193</v>
      </c>
      <c r="J26" s="56">
        <v>5036</v>
      </c>
      <c r="K26" s="56">
        <v>5205</v>
      </c>
      <c r="L26" s="56">
        <v>5399</v>
      </c>
      <c r="M26" s="56">
        <v>5166</v>
      </c>
      <c r="N26" s="56">
        <v>5445</v>
      </c>
      <c r="O26" s="56">
        <v>5365</v>
      </c>
      <c r="Q26" s="250" t="s">
        <v>4325</v>
      </c>
    </row>
    <row r="27" spans="1:17">
      <c r="A27" s="250" t="s">
        <v>5394</v>
      </c>
      <c r="B27" s="250" t="s">
        <v>1183</v>
      </c>
      <c r="C27" s="62" t="s">
        <v>9665</v>
      </c>
      <c r="D27" s="606">
        <v>0</v>
      </c>
      <c r="E27" s="606">
        <v>0</v>
      </c>
      <c r="F27" s="606">
        <v>0</v>
      </c>
      <c r="G27" s="606">
        <v>0</v>
      </c>
      <c r="H27" s="606">
        <v>0</v>
      </c>
      <c r="I27" s="63">
        <v>5274</v>
      </c>
      <c r="J27" s="56">
        <v>5093</v>
      </c>
      <c r="K27" s="56">
        <v>5344</v>
      </c>
      <c r="L27" s="56">
        <v>5568</v>
      </c>
      <c r="M27" s="56">
        <v>5384</v>
      </c>
      <c r="N27" s="56">
        <v>5764</v>
      </c>
      <c r="O27" s="56">
        <v>5701</v>
      </c>
      <c r="Q27" s="250" t="s">
        <v>4329</v>
      </c>
    </row>
    <row r="28" spans="1:17">
      <c r="A28" s="250" t="s">
        <v>5416</v>
      </c>
      <c r="B28" s="250" t="s">
        <v>1184</v>
      </c>
      <c r="C28" s="62" t="s">
        <v>9666</v>
      </c>
      <c r="D28" s="606">
        <v>0</v>
      </c>
      <c r="E28" s="606">
        <v>0</v>
      </c>
      <c r="F28" s="606">
        <v>0</v>
      </c>
      <c r="G28" s="606">
        <v>0</v>
      </c>
      <c r="H28" s="606">
        <v>0</v>
      </c>
      <c r="I28" s="63">
        <v>4255</v>
      </c>
      <c r="J28" s="56">
        <v>3758</v>
      </c>
      <c r="K28" s="56">
        <v>3887</v>
      </c>
      <c r="L28" s="56">
        <v>4175</v>
      </c>
      <c r="M28" s="56">
        <v>3846</v>
      </c>
      <c r="N28" s="56">
        <v>4362</v>
      </c>
      <c r="O28" s="56">
        <v>4236</v>
      </c>
      <c r="Q28" s="250" t="s">
        <v>4329</v>
      </c>
    </row>
    <row r="29" spans="1:17">
      <c r="A29" s="250" t="s">
        <v>5418</v>
      </c>
      <c r="B29" s="250" t="s">
        <v>9667</v>
      </c>
      <c r="C29" s="62" t="s">
        <v>9668</v>
      </c>
      <c r="D29" s="606">
        <v>0</v>
      </c>
      <c r="E29" s="606">
        <v>0</v>
      </c>
      <c r="F29" s="606">
        <v>0</v>
      </c>
      <c r="G29" s="606">
        <v>0</v>
      </c>
      <c r="H29" s="606">
        <v>0</v>
      </c>
      <c r="I29" s="63">
        <v>3853</v>
      </c>
      <c r="J29" s="56">
        <v>3898</v>
      </c>
      <c r="K29" s="56">
        <v>3927</v>
      </c>
      <c r="L29" s="56">
        <v>4209</v>
      </c>
      <c r="M29" s="56">
        <v>4088</v>
      </c>
      <c r="N29" s="56">
        <v>4289</v>
      </c>
      <c r="O29" s="56">
        <v>4244</v>
      </c>
      <c r="Q29" s="250" t="s">
        <v>4329</v>
      </c>
    </row>
    <row r="30" spans="1:17">
      <c r="A30" s="250" t="s">
        <v>5420</v>
      </c>
      <c r="B30" s="250" t="s">
        <v>1185</v>
      </c>
      <c r="C30" s="62" t="s">
        <v>9669</v>
      </c>
      <c r="D30" s="606">
        <v>0</v>
      </c>
      <c r="E30" s="606">
        <v>0</v>
      </c>
      <c r="F30" s="606">
        <v>0</v>
      </c>
      <c r="G30" s="606">
        <v>0</v>
      </c>
      <c r="H30" s="606">
        <v>0</v>
      </c>
      <c r="I30" s="63">
        <v>4506</v>
      </c>
      <c r="J30" s="56">
        <v>4288</v>
      </c>
      <c r="K30" s="56">
        <v>4431</v>
      </c>
      <c r="L30" s="56">
        <v>4794</v>
      </c>
      <c r="M30" s="56">
        <v>4496</v>
      </c>
      <c r="N30" s="56">
        <v>4926</v>
      </c>
      <c r="O30" s="56">
        <v>4820</v>
      </c>
      <c r="Q30" s="250" t="s">
        <v>4329</v>
      </c>
    </row>
    <row r="31" spans="1:17">
      <c r="A31" s="250" t="s">
        <v>5422</v>
      </c>
      <c r="B31" s="250" t="s">
        <v>1186</v>
      </c>
      <c r="C31" s="62" t="s">
        <v>9670</v>
      </c>
      <c r="D31" s="255">
        <v>0</v>
      </c>
      <c r="E31" s="255">
        <v>0</v>
      </c>
      <c r="F31" s="255">
        <v>0</v>
      </c>
      <c r="G31" s="255">
        <v>0</v>
      </c>
      <c r="H31" s="255">
        <v>0</v>
      </c>
      <c r="I31" s="63">
        <v>5157</v>
      </c>
      <c r="J31" s="56">
        <v>4709</v>
      </c>
      <c r="K31" s="56">
        <v>4913</v>
      </c>
      <c r="L31" s="56">
        <v>5332</v>
      </c>
      <c r="M31" s="56">
        <v>5092</v>
      </c>
      <c r="N31" s="56">
        <v>5488</v>
      </c>
      <c r="O31" s="56">
        <v>5470</v>
      </c>
      <c r="Q31" s="250" t="s">
        <v>4329</v>
      </c>
    </row>
    <row r="32" spans="1:17">
      <c r="A32" s="250" t="s">
        <v>5424</v>
      </c>
      <c r="B32" s="250" t="s">
        <v>1187</v>
      </c>
      <c r="C32" s="62" t="s">
        <v>9671</v>
      </c>
      <c r="D32" s="606">
        <v>0</v>
      </c>
      <c r="E32" s="606">
        <v>0</v>
      </c>
      <c r="F32" s="606">
        <v>0</v>
      </c>
      <c r="G32" s="606">
        <v>0</v>
      </c>
      <c r="H32" s="606">
        <v>0</v>
      </c>
      <c r="I32" s="63">
        <v>4240</v>
      </c>
      <c r="J32" s="56">
        <v>4107</v>
      </c>
      <c r="K32" s="56">
        <v>4351</v>
      </c>
      <c r="L32" s="56">
        <v>4638</v>
      </c>
      <c r="M32" s="56">
        <v>4459</v>
      </c>
      <c r="N32" s="56">
        <v>4872</v>
      </c>
      <c r="O32" s="56">
        <v>4776</v>
      </c>
      <c r="Q32" s="250" t="s">
        <v>4329</v>
      </c>
    </row>
    <row r="33" spans="1:17">
      <c r="A33" s="250" t="s">
        <v>5426</v>
      </c>
      <c r="B33" s="250" t="s">
        <v>1188</v>
      </c>
      <c r="C33" s="62" t="s">
        <v>9672</v>
      </c>
      <c r="D33" s="607">
        <v>0</v>
      </c>
      <c r="E33" s="607">
        <v>0</v>
      </c>
      <c r="F33" s="607">
        <v>0</v>
      </c>
      <c r="G33" s="607">
        <v>0</v>
      </c>
      <c r="H33" s="607">
        <v>0</v>
      </c>
      <c r="I33" s="63">
        <v>3587</v>
      </c>
      <c r="J33" s="56">
        <v>3391</v>
      </c>
      <c r="K33" s="56">
        <v>3416</v>
      </c>
      <c r="L33" s="56">
        <v>3560</v>
      </c>
      <c r="M33" s="56">
        <v>3396</v>
      </c>
      <c r="N33" s="56">
        <v>3744</v>
      </c>
      <c r="O33" s="56">
        <v>3665</v>
      </c>
      <c r="Q33" s="250" t="s">
        <v>4329</v>
      </c>
    </row>
    <row r="34" spans="1:17">
      <c r="A34" s="250" t="s">
        <v>5428</v>
      </c>
      <c r="B34" s="250" t="s">
        <v>9673</v>
      </c>
      <c r="C34" s="62" t="s">
        <v>9674</v>
      </c>
      <c r="D34" s="607">
        <v>0</v>
      </c>
      <c r="E34" s="607">
        <v>0</v>
      </c>
      <c r="F34" s="607">
        <v>0</v>
      </c>
      <c r="G34" s="607">
        <v>0</v>
      </c>
      <c r="H34" s="607">
        <v>0</v>
      </c>
      <c r="I34" s="63">
        <v>5322</v>
      </c>
      <c r="J34" s="58">
        <v>5185</v>
      </c>
      <c r="K34" s="58">
        <v>5327</v>
      </c>
      <c r="L34" s="58">
        <v>5474</v>
      </c>
      <c r="M34" s="58">
        <v>5270</v>
      </c>
      <c r="N34" s="58">
        <v>5467</v>
      </c>
      <c r="O34" s="58">
        <v>5388</v>
      </c>
      <c r="Q34" s="250" t="s">
        <v>4329</v>
      </c>
    </row>
    <row r="35" spans="1:17">
      <c r="A35" s="250" t="s">
        <v>5429</v>
      </c>
      <c r="B35" s="250" t="s">
        <v>2559</v>
      </c>
      <c r="C35" s="62" t="s">
        <v>9675</v>
      </c>
      <c r="D35" s="606">
        <v>0</v>
      </c>
      <c r="E35" s="606">
        <v>0</v>
      </c>
      <c r="F35" s="606">
        <v>0</v>
      </c>
      <c r="G35" s="606">
        <v>0</v>
      </c>
      <c r="H35" s="606">
        <v>0</v>
      </c>
      <c r="I35" s="63">
        <v>3059</v>
      </c>
      <c r="J35" s="58">
        <v>2872</v>
      </c>
      <c r="K35" s="58">
        <v>2957</v>
      </c>
      <c r="L35" s="58">
        <v>3155</v>
      </c>
      <c r="M35" s="58">
        <v>2871</v>
      </c>
      <c r="N35" s="58">
        <v>3233</v>
      </c>
      <c r="O35" s="58">
        <v>3124</v>
      </c>
      <c r="Q35" s="250" t="s">
        <v>4329</v>
      </c>
    </row>
    <row r="36" spans="1:17">
      <c r="A36" s="250" t="s">
        <v>5431</v>
      </c>
      <c r="B36" s="250" t="s">
        <v>2560</v>
      </c>
      <c r="C36" s="62" t="s">
        <v>9676</v>
      </c>
      <c r="D36" s="606">
        <v>0</v>
      </c>
      <c r="E36" s="606">
        <v>0</v>
      </c>
      <c r="F36" s="606">
        <v>0</v>
      </c>
      <c r="G36" s="606">
        <v>0</v>
      </c>
      <c r="H36" s="606">
        <v>0</v>
      </c>
      <c r="I36" s="63">
        <v>3795</v>
      </c>
      <c r="J36" s="58">
        <v>3537</v>
      </c>
      <c r="K36" s="58">
        <v>3614</v>
      </c>
      <c r="L36" s="58">
        <v>3844</v>
      </c>
      <c r="M36" s="58">
        <v>3651</v>
      </c>
      <c r="N36" s="58">
        <v>4076</v>
      </c>
      <c r="O36" s="58">
        <v>4040</v>
      </c>
      <c r="Q36" s="250" t="s">
        <v>4329</v>
      </c>
    </row>
    <row r="37" spans="1:17">
      <c r="A37" s="250" t="s">
        <v>5433</v>
      </c>
      <c r="B37" s="250" t="s">
        <v>2561</v>
      </c>
      <c r="C37" s="62" t="s">
        <v>9677</v>
      </c>
      <c r="D37" s="606">
        <v>0</v>
      </c>
      <c r="E37" s="606">
        <v>0</v>
      </c>
      <c r="F37" s="606">
        <v>0</v>
      </c>
      <c r="G37" s="606">
        <v>0</v>
      </c>
      <c r="H37" s="606">
        <v>0</v>
      </c>
      <c r="I37" s="63">
        <v>4245</v>
      </c>
      <c r="J37" s="56">
        <v>3986</v>
      </c>
      <c r="K37" s="56">
        <v>4204</v>
      </c>
      <c r="L37" s="56">
        <v>4487</v>
      </c>
      <c r="M37" s="56">
        <v>4267</v>
      </c>
      <c r="N37" s="56">
        <v>4759</v>
      </c>
      <c r="O37" s="56">
        <v>4653</v>
      </c>
      <c r="Q37" s="250" t="s">
        <v>4325</v>
      </c>
    </row>
    <row r="38" spans="1:17" ht="15.75" thickBot="1">
      <c r="A38" s="250"/>
      <c r="B38" s="250"/>
      <c r="C38" s="62" t="s">
        <v>9677</v>
      </c>
      <c r="D38" s="606">
        <v>0</v>
      </c>
      <c r="E38" s="606">
        <v>0</v>
      </c>
      <c r="F38" s="606">
        <v>0</v>
      </c>
      <c r="G38" s="606">
        <v>0</v>
      </c>
      <c r="H38" s="606">
        <v>0</v>
      </c>
      <c r="I38" s="63">
        <v>190</v>
      </c>
      <c r="J38" s="58">
        <v>172</v>
      </c>
      <c r="K38" s="58">
        <v>174</v>
      </c>
      <c r="L38" s="58">
        <v>192</v>
      </c>
      <c r="M38" s="58">
        <v>192</v>
      </c>
      <c r="N38" s="58">
        <v>197</v>
      </c>
      <c r="O38" s="58">
        <v>187</v>
      </c>
      <c r="Q38" s="250" t="s">
        <v>4329</v>
      </c>
    </row>
    <row r="39" spans="1:17" ht="15.75" thickBot="1">
      <c r="A39" s="250"/>
      <c r="B39" s="250"/>
      <c r="C39" s="62" t="s">
        <v>9677</v>
      </c>
      <c r="D39" s="608">
        <f>D37+D38</f>
        <v>0</v>
      </c>
      <c r="E39" s="608">
        <f>E37+E38</f>
        <v>0</v>
      </c>
      <c r="F39" s="608">
        <f>F37+F38</f>
        <v>0</v>
      </c>
      <c r="G39" s="608">
        <f>G37+G38</f>
        <v>0</v>
      </c>
      <c r="H39" s="608">
        <f>H37+H38</f>
        <v>0</v>
      </c>
      <c r="I39" s="608">
        <f t="shared" ref="I39:N39" si="10">I37+I38</f>
        <v>4435</v>
      </c>
      <c r="J39" s="608">
        <f t="shared" si="10"/>
        <v>4158</v>
      </c>
      <c r="K39" s="608">
        <f t="shared" si="10"/>
        <v>4378</v>
      </c>
      <c r="L39" s="608">
        <f t="shared" si="10"/>
        <v>4679</v>
      </c>
      <c r="M39" s="608">
        <f t="shared" si="10"/>
        <v>4459</v>
      </c>
      <c r="N39" s="608">
        <f t="shared" si="10"/>
        <v>4956</v>
      </c>
      <c r="O39" s="608">
        <f>O37+O38</f>
        <v>4840</v>
      </c>
      <c r="Q39" s="250"/>
    </row>
    <row r="40" spans="1:17">
      <c r="A40" s="250" t="s">
        <v>5435</v>
      </c>
      <c r="B40" s="250" t="s">
        <v>2562</v>
      </c>
      <c r="C40" s="62" t="s">
        <v>9678</v>
      </c>
      <c r="D40" s="609">
        <v>0</v>
      </c>
      <c r="E40" s="609">
        <v>0</v>
      </c>
      <c r="F40" s="609">
        <v>0</v>
      </c>
      <c r="G40" s="609">
        <v>0</v>
      </c>
      <c r="H40" s="609">
        <v>0</v>
      </c>
      <c r="I40" s="63">
        <v>5334</v>
      </c>
      <c r="J40" s="56">
        <v>5151</v>
      </c>
      <c r="K40" s="56">
        <v>5262</v>
      </c>
      <c r="L40" s="56">
        <v>5503</v>
      </c>
      <c r="M40" s="56">
        <v>5198</v>
      </c>
      <c r="N40" s="56">
        <v>5670</v>
      </c>
      <c r="O40" s="56">
        <v>5545</v>
      </c>
      <c r="Q40" s="250" t="s">
        <v>4325</v>
      </c>
    </row>
    <row r="41" spans="1:17">
      <c r="A41" s="250" t="s">
        <v>5436</v>
      </c>
      <c r="B41" s="250" t="s">
        <v>4029</v>
      </c>
      <c r="C41" s="62" t="s">
        <v>9679</v>
      </c>
      <c r="D41" s="609">
        <v>0</v>
      </c>
      <c r="E41" s="609">
        <v>0</v>
      </c>
      <c r="F41" s="609">
        <v>0</v>
      </c>
      <c r="G41" s="609">
        <v>0</v>
      </c>
      <c r="H41" s="609">
        <v>0</v>
      </c>
      <c r="I41" s="63">
        <v>3760</v>
      </c>
      <c r="J41" s="58">
        <v>3610</v>
      </c>
      <c r="K41" s="58">
        <v>3772</v>
      </c>
      <c r="L41" s="58">
        <v>4020</v>
      </c>
      <c r="M41" s="58">
        <v>3760</v>
      </c>
      <c r="N41" s="58">
        <v>4091</v>
      </c>
      <c r="O41" s="58">
        <v>4069</v>
      </c>
      <c r="Q41" s="250" t="s">
        <v>4329</v>
      </c>
    </row>
    <row r="42" spans="1:17">
      <c r="A42" s="250" t="s">
        <v>5437</v>
      </c>
      <c r="B42" s="250" t="s">
        <v>4058</v>
      </c>
      <c r="C42" s="62" t="s">
        <v>9680</v>
      </c>
      <c r="D42" s="609">
        <v>0</v>
      </c>
      <c r="E42" s="609">
        <v>0</v>
      </c>
      <c r="F42" s="609">
        <v>0</v>
      </c>
      <c r="G42" s="609">
        <v>0</v>
      </c>
      <c r="H42" s="609">
        <v>0</v>
      </c>
      <c r="I42" s="63">
        <v>4420</v>
      </c>
      <c r="J42" s="56">
        <v>4395</v>
      </c>
      <c r="K42" s="56">
        <v>4506</v>
      </c>
      <c r="L42" s="56">
        <v>4731</v>
      </c>
      <c r="M42" s="56">
        <v>4388</v>
      </c>
      <c r="N42" s="56">
        <v>4781</v>
      </c>
      <c r="O42" s="56">
        <v>4715</v>
      </c>
      <c r="Q42" s="250" t="s">
        <v>4325</v>
      </c>
    </row>
    <row r="43" spans="1:17" ht="15.75" thickBot="1">
      <c r="A43" s="250"/>
      <c r="B43" s="250"/>
      <c r="C43" s="62" t="s">
        <v>9680</v>
      </c>
      <c r="D43" s="609">
        <v>0</v>
      </c>
      <c r="E43" s="609">
        <v>0</v>
      </c>
      <c r="F43" s="609">
        <v>0</v>
      </c>
      <c r="G43" s="609">
        <v>0</v>
      </c>
      <c r="H43" s="609">
        <v>0</v>
      </c>
      <c r="I43" s="63">
        <v>662</v>
      </c>
      <c r="J43" s="58">
        <v>649</v>
      </c>
      <c r="K43" s="58">
        <v>646</v>
      </c>
      <c r="L43" s="58">
        <v>669</v>
      </c>
      <c r="M43" s="58">
        <v>647</v>
      </c>
      <c r="N43" s="58">
        <v>680</v>
      </c>
      <c r="O43" s="58">
        <v>667</v>
      </c>
      <c r="Q43" s="250" t="s">
        <v>4329</v>
      </c>
    </row>
    <row r="44" spans="1:17" ht="15.75" thickBot="1">
      <c r="A44" s="250"/>
      <c r="B44" s="250"/>
      <c r="C44" s="62" t="s">
        <v>9680</v>
      </c>
      <c r="D44" s="608">
        <f>D42+D43</f>
        <v>0</v>
      </c>
      <c r="E44" s="608">
        <f>E42+E43</f>
        <v>0</v>
      </c>
      <c r="F44" s="608">
        <f>F42+F43</f>
        <v>0</v>
      </c>
      <c r="G44" s="608">
        <f>G42+G43</f>
        <v>0</v>
      </c>
      <c r="H44" s="608">
        <f>H42+H43</f>
        <v>0</v>
      </c>
      <c r="I44" s="608">
        <f t="shared" ref="I44:N44" si="11">I42+I43</f>
        <v>5082</v>
      </c>
      <c r="J44" s="608">
        <f t="shared" si="11"/>
        <v>5044</v>
      </c>
      <c r="K44" s="608">
        <f t="shared" si="11"/>
        <v>5152</v>
      </c>
      <c r="L44" s="608">
        <f t="shared" si="11"/>
        <v>5400</v>
      </c>
      <c r="M44" s="608">
        <f t="shared" si="11"/>
        <v>5035</v>
      </c>
      <c r="N44" s="608">
        <f t="shared" si="11"/>
        <v>5461</v>
      </c>
      <c r="O44" s="608">
        <f>O42+O43</f>
        <v>5382</v>
      </c>
      <c r="Q44" s="250"/>
    </row>
    <row r="46" spans="1:17">
      <c r="A46" s="250" t="s">
        <v>9681</v>
      </c>
    </row>
    <row r="47" spans="1:17">
      <c r="A47" s="113" t="s">
        <v>9513</v>
      </c>
    </row>
  </sheetData>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ignoredErrors>
    <ignoredError sqref="D12:D19 E12:E19 F12:F19 G12:G19 H12:H19 H9:H10 H5:H7 D9:D10 E9:E10 F9:F10 G9:G10 G5:G7 F5:F7 E5:E7 D5:D7 G4 F4 E4 D4 D3:H3 H4 D8:H8 D11:H11 D24:H44 I24:L24 I39:K39 I44:K44 I3:I7 I12:I19 I9:I10 I8 I11 J3:J19 K3:K19 L3:L19 L39:L44" unlocked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Q581"/>
  <sheetViews>
    <sheetView showGridLines="0" topLeftCell="A223" zoomScale="90" zoomScaleNormal="90" workbookViewId="0">
      <selection activeCell="S484" sqref="S484"/>
    </sheetView>
  </sheetViews>
  <sheetFormatPr defaultColWidth="12.5703125" defaultRowHeight="15"/>
  <cols>
    <col min="1" max="1" width="4.85546875" style="70" customWidth="1"/>
    <col min="2" max="2" width="46.28515625" style="70" customWidth="1"/>
    <col min="3" max="3" width="11.5703125" style="70" customWidth="1"/>
    <col min="4" max="12" width="11.5703125" style="91" customWidth="1"/>
    <col min="13" max="15" width="11.5703125" style="70" customWidth="1"/>
    <col min="16" max="16" width="2.28515625" style="70" customWidth="1"/>
    <col min="17" max="17" width="28.28515625" style="70" bestFit="1" customWidth="1"/>
    <col min="18" max="16384" width="12.5703125" style="70"/>
  </cols>
  <sheetData>
    <row r="1" spans="1:17">
      <c r="A1" s="66" t="s">
        <v>6924</v>
      </c>
      <c r="B1" s="67"/>
      <c r="C1" s="67"/>
      <c r="D1" s="68">
        <v>2010</v>
      </c>
      <c r="E1" s="68">
        <v>2011</v>
      </c>
      <c r="F1" s="68">
        <v>2012</v>
      </c>
      <c r="G1" s="68">
        <v>2013</v>
      </c>
      <c r="H1" s="68">
        <v>2014</v>
      </c>
      <c r="I1" s="68">
        <v>2015</v>
      </c>
      <c r="J1" s="68">
        <v>2016</v>
      </c>
      <c r="K1" s="68">
        <v>2017</v>
      </c>
      <c r="L1" s="68">
        <v>2018</v>
      </c>
      <c r="M1" s="69">
        <v>2019</v>
      </c>
      <c r="N1" s="69">
        <v>2020</v>
      </c>
      <c r="O1" s="963" t="s">
        <v>14823</v>
      </c>
      <c r="P1" s="67"/>
    </row>
    <row r="2" spans="1:17">
      <c r="A2" s="67"/>
      <c r="B2" s="67"/>
      <c r="C2" s="67"/>
      <c r="D2" s="71"/>
      <c r="E2" s="71"/>
      <c r="F2" s="71"/>
      <c r="G2" s="71"/>
      <c r="H2" s="71"/>
      <c r="I2" s="71"/>
      <c r="J2" s="71"/>
      <c r="K2" s="71"/>
      <c r="L2" s="71"/>
      <c r="M2" s="67"/>
      <c r="N2" s="67"/>
      <c r="O2" s="67"/>
      <c r="P2" s="67"/>
      <c r="Q2" s="67"/>
    </row>
    <row r="3" spans="1:17">
      <c r="A3" s="66" t="s">
        <v>1291</v>
      </c>
      <c r="C3" s="66"/>
      <c r="D3" s="72">
        <f t="shared" ref="D3:M3" si="0">SUM(D7:D18)</f>
        <v>1044549</v>
      </c>
      <c r="E3" s="72">
        <f t="shared" si="0"/>
        <v>1049072</v>
      </c>
      <c r="F3" s="72">
        <f t="shared" si="0"/>
        <v>1063161</v>
      </c>
      <c r="G3" s="72">
        <f t="shared" si="0"/>
        <v>1076700</v>
      </c>
      <c r="H3" s="72">
        <f t="shared" si="0"/>
        <v>1064219</v>
      </c>
      <c r="I3" s="72">
        <f t="shared" si="0"/>
        <v>1051482</v>
      </c>
      <c r="J3" s="72">
        <f t="shared" si="0"/>
        <v>1044763</v>
      </c>
      <c r="K3" s="72">
        <f t="shared" si="0"/>
        <v>1080616</v>
      </c>
      <c r="L3" s="72">
        <f t="shared" si="0"/>
        <v>1086361</v>
      </c>
      <c r="M3" s="73">
        <f t="shared" si="0"/>
        <v>1087498</v>
      </c>
      <c r="N3" s="73">
        <f>SUM(N7:N18)</f>
        <v>1123340</v>
      </c>
      <c r="O3" s="73">
        <f>SUM(O7:O18)</f>
        <v>1127470</v>
      </c>
      <c r="P3" s="67"/>
    </row>
    <row r="4" spans="1:17" ht="15.75" thickBot="1">
      <c r="A4" s="66" t="s">
        <v>1292</v>
      </c>
      <c r="C4" s="66"/>
      <c r="D4" s="74">
        <f t="shared" ref="D4:I4" si="1">D85</f>
        <v>185837</v>
      </c>
      <c r="E4" s="74">
        <f t="shared" si="1"/>
        <v>186433</v>
      </c>
      <c r="F4" s="74">
        <f t="shared" si="1"/>
        <v>189356</v>
      </c>
      <c r="G4" s="74">
        <f t="shared" si="1"/>
        <v>189930</v>
      </c>
      <c r="H4" s="74">
        <f t="shared" si="1"/>
        <v>193662</v>
      </c>
      <c r="I4" s="74">
        <f t="shared" si="1"/>
        <v>186805</v>
      </c>
      <c r="J4" s="74">
        <f t="shared" ref="J4:O4" si="2">J85</f>
        <v>182325</v>
      </c>
      <c r="K4" s="74">
        <f t="shared" si="2"/>
        <v>190863</v>
      </c>
      <c r="L4" s="74">
        <f t="shared" si="2"/>
        <v>191406</v>
      </c>
      <c r="M4" s="75">
        <f t="shared" si="2"/>
        <v>194433</v>
      </c>
      <c r="N4" s="75">
        <f t="shared" si="2"/>
        <v>191100</v>
      </c>
      <c r="O4" s="75">
        <f t="shared" si="2"/>
        <v>197530</v>
      </c>
      <c r="P4" s="67"/>
    </row>
    <row r="5" spans="1:17" s="76" customFormat="1" ht="15.75" thickBot="1">
      <c r="A5" s="50"/>
      <c r="C5" s="50"/>
      <c r="D5" s="77">
        <f t="shared" ref="D5:I5" si="3">D3+D4</f>
        <v>1230386</v>
      </c>
      <c r="E5" s="77">
        <f t="shared" si="3"/>
        <v>1235505</v>
      </c>
      <c r="F5" s="77">
        <f t="shared" si="3"/>
        <v>1252517</v>
      </c>
      <c r="G5" s="77">
        <f t="shared" si="3"/>
        <v>1266630</v>
      </c>
      <c r="H5" s="77">
        <f t="shared" si="3"/>
        <v>1257881</v>
      </c>
      <c r="I5" s="77">
        <f t="shared" si="3"/>
        <v>1238287</v>
      </c>
      <c r="J5" s="77">
        <f t="shared" ref="J5:O5" si="4">J3+J4</f>
        <v>1227088</v>
      </c>
      <c r="K5" s="77">
        <f t="shared" si="4"/>
        <v>1271479</v>
      </c>
      <c r="L5" s="77">
        <f t="shared" si="4"/>
        <v>1277767</v>
      </c>
      <c r="M5" s="78">
        <f t="shared" si="4"/>
        <v>1281931</v>
      </c>
      <c r="N5" s="78">
        <f t="shared" si="4"/>
        <v>1314440</v>
      </c>
      <c r="O5" s="78">
        <f t="shared" si="4"/>
        <v>1325000</v>
      </c>
      <c r="P5" s="50"/>
    </row>
    <row r="6" spans="1:17" s="76" customFormat="1">
      <c r="A6" s="50"/>
      <c r="C6" s="50"/>
      <c r="D6" s="79"/>
      <c r="E6" s="79"/>
      <c r="F6" s="79"/>
      <c r="G6" s="79"/>
      <c r="H6" s="79"/>
      <c r="I6" s="79"/>
      <c r="J6" s="79"/>
      <c r="K6" s="79"/>
      <c r="L6" s="79"/>
      <c r="M6" s="80"/>
      <c r="N6" s="80"/>
      <c r="O6" s="80"/>
      <c r="P6" s="50"/>
      <c r="Q6" s="50"/>
    </row>
    <row r="7" spans="1:17">
      <c r="A7" s="66" t="s">
        <v>1293</v>
      </c>
      <c r="C7" s="66"/>
      <c r="D7" s="72">
        <f t="shared" ref="D7:I7" si="5">D118</f>
        <v>85182</v>
      </c>
      <c r="E7" s="72">
        <f t="shared" si="5"/>
        <v>86043</v>
      </c>
      <c r="F7" s="72">
        <f t="shared" si="5"/>
        <v>87420</v>
      </c>
      <c r="G7" s="72">
        <f t="shared" si="5"/>
        <v>88804</v>
      </c>
      <c r="H7" s="72">
        <f t="shared" si="5"/>
        <v>89111</v>
      </c>
      <c r="I7" s="72">
        <f t="shared" si="5"/>
        <v>88043</v>
      </c>
      <c r="J7" s="72">
        <f t="shared" ref="J7:O7" si="6">J118</f>
        <v>86610</v>
      </c>
      <c r="K7" s="72">
        <f t="shared" si="6"/>
        <v>89236</v>
      </c>
      <c r="L7" s="72">
        <f t="shared" si="6"/>
        <v>90894</v>
      </c>
      <c r="M7" s="73">
        <f t="shared" si="6"/>
        <v>91352</v>
      </c>
      <c r="N7" s="73">
        <f t="shared" si="6"/>
        <v>94734</v>
      </c>
      <c r="O7" s="73">
        <f t="shared" si="6"/>
        <v>94045</v>
      </c>
      <c r="P7" s="67"/>
      <c r="Q7" s="81"/>
    </row>
    <row r="8" spans="1:17">
      <c r="A8" s="66" t="s">
        <v>1294</v>
      </c>
      <c r="C8" s="66"/>
      <c r="D8" s="72">
        <f t="shared" ref="D8:I8" si="7">D167</f>
        <v>104420</v>
      </c>
      <c r="E8" s="72">
        <f t="shared" si="7"/>
        <v>104803</v>
      </c>
      <c r="F8" s="72">
        <f t="shared" si="7"/>
        <v>107231</v>
      </c>
      <c r="G8" s="72">
        <f t="shared" si="7"/>
        <v>110594</v>
      </c>
      <c r="H8" s="72">
        <f t="shared" si="7"/>
        <v>110929</v>
      </c>
      <c r="I8" s="72">
        <f t="shared" si="7"/>
        <v>111301</v>
      </c>
      <c r="J8" s="72">
        <f t="shared" ref="J8:O8" si="8">J167</f>
        <v>100437</v>
      </c>
      <c r="K8" s="72">
        <f t="shared" si="8"/>
        <v>103642</v>
      </c>
      <c r="L8" s="72">
        <f t="shared" si="8"/>
        <v>105777</v>
      </c>
      <c r="M8" s="73">
        <f t="shared" si="8"/>
        <v>104466</v>
      </c>
      <c r="N8" s="73">
        <f t="shared" si="8"/>
        <v>113587</v>
      </c>
      <c r="O8" s="73">
        <f t="shared" si="8"/>
        <v>113509</v>
      </c>
      <c r="P8" s="67"/>
      <c r="Q8" s="81"/>
    </row>
    <row r="9" spans="1:17">
      <c r="A9" s="66" t="s">
        <v>1295</v>
      </c>
      <c r="C9" s="66"/>
      <c r="D9" s="72">
        <f t="shared" ref="D9:I9" si="9">D202</f>
        <v>70176</v>
      </c>
      <c r="E9" s="72">
        <f t="shared" si="9"/>
        <v>69972</v>
      </c>
      <c r="F9" s="72">
        <f t="shared" si="9"/>
        <v>70539</v>
      </c>
      <c r="G9" s="72">
        <f t="shared" si="9"/>
        <v>70841</v>
      </c>
      <c r="H9" s="72">
        <f t="shared" si="9"/>
        <v>71396</v>
      </c>
      <c r="I9" s="72">
        <f t="shared" si="9"/>
        <v>70507</v>
      </c>
      <c r="J9" s="72">
        <f t="shared" ref="J9:O9" si="10">J202</f>
        <v>72180</v>
      </c>
      <c r="K9" s="72">
        <f t="shared" si="10"/>
        <v>73292</v>
      </c>
      <c r="L9" s="72">
        <f t="shared" si="10"/>
        <v>74276</v>
      </c>
      <c r="M9" s="73">
        <f t="shared" si="10"/>
        <v>76077</v>
      </c>
      <c r="N9" s="73">
        <f t="shared" si="10"/>
        <v>76166</v>
      </c>
      <c r="O9" s="73">
        <f t="shared" si="10"/>
        <v>78179</v>
      </c>
      <c r="P9" s="67"/>
      <c r="Q9" s="81"/>
    </row>
    <row r="10" spans="1:17">
      <c r="A10" s="66" t="s">
        <v>1296</v>
      </c>
      <c r="C10" s="66"/>
      <c r="D10" s="72">
        <f t="shared" ref="D10:I10" si="11">D231</f>
        <v>82433</v>
      </c>
      <c r="E10" s="72">
        <f t="shared" si="11"/>
        <v>82962</v>
      </c>
      <c r="F10" s="72">
        <f t="shared" si="11"/>
        <v>83385</v>
      </c>
      <c r="G10" s="72">
        <f t="shared" si="11"/>
        <v>83800</v>
      </c>
      <c r="H10" s="72">
        <f t="shared" si="11"/>
        <v>84296</v>
      </c>
      <c r="I10" s="72">
        <f t="shared" si="11"/>
        <v>83480</v>
      </c>
      <c r="J10" s="72">
        <f t="shared" ref="J10:O10" si="12">J231</f>
        <v>84023</v>
      </c>
      <c r="K10" s="72">
        <f t="shared" si="12"/>
        <v>85899</v>
      </c>
      <c r="L10" s="72">
        <f t="shared" si="12"/>
        <v>85530</v>
      </c>
      <c r="M10" s="73">
        <f t="shared" si="12"/>
        <v>84790</v>
      </c>
      <c r="N10" s="73">
        <f t="shared" si="12"/>
        <v>87671</v>
      </c>
      <c r="O10" s="73">
        <f t="shared" si="12"/>
        <v>86792</v>
      </c>
      <c r="P10" s="67"/>
      <c r="Q10" s="81"/>
    </row>
    <row r="11" spans="1:17">
      <c r="A11" s="66" t="s">
        <v>12660</v>
      </c>
      <c r="C11" s="66"/>
      <c r="D11" s="72">
        <f t="shared" ref="D11:M11" si="13">D260</f>
        <v>73479</v>
      </c>
      <c r="E11" s="72">
        <f t="shared" si="13"/>
        <v>80060</v>
      </c>
      <c r="F11" s="72">
        <f t="shared" si="13"/>
        <v>80849</v>
      </c>
      <c r="G11" s="72">
        <f t="shared" si="13"/>
        <v>81387</v>
      </c>
      <c r="H11" s="72">
        <f t="shared" si="13"/>
        <v>80513</v>
      </c>
      <c r="I11" s="72">
        <f t="shared" si="13"/>
        <v>77897</v>
      </c>
      <c r="J11" s="72">
        <f t="shared" si="13"/>
        <v>77333</v>
      </c>
      <c r="K11" s="72">
        <f t="shared" si="13"/>
        <v>79886</v>
      </c>
      <c r="L11" s="72">
        <f t="shared" si="13"/>
        <v>81245</v>
      </c>
      <c r="M11" s="73">
        <f t="shared" si="13"/>
        <v>81605</v>
      </c>
      <c r="N11" s="73">
        <f>N260</f>
        <v>84604</v>
      </c>
      <c r="O11" s="73">
        <f>O260</f>
        <v>84230</v>
      </c>
      <c r="P11" s="67"/>
      <c r="Q11" s="81"/>
    </row>
    <row r="12" spans="1:17">
      <c r="A12" s="66" t="s">
        <v>1297</v>
      </c>
      <c r="C12" s="66"/>
      <c r="D12" s="72">
        <f t="shared" ref="D12:M12" si="14">D282</f>
        <v>69898</v>
      </c>
      <c r="E12" s="72">
        <f t="shared" si="14"/>
        <v>70412</v>
      </c>
      <c r="F12" s="72">
        <f t="shared" si="14"/>
        <v>71521</v>
      </c>
      <c r="G12" s="72">
        <f t="shared" si="14"/>
        <v>72182</v>
      </c>
      <c r="H12" s="72">
        <f t="shared" si="14"/>
        <v>72466</v>
      </c>
      <c r="I12" s="72">
        <f t="shared" si="14"/>
        <v>70140</v>
      </c>
      <c r="J12" s="72">
        <f t="shared" si="14"/>
        <v>70477</v>
      </c>
      <c r="K12" s="72">
        <f t="shared" si="14"/>
        <v>73088</v>
      </c>
      <c r="L12" s="72">
        <f t="shared" si="14"/>
        <v>71601</v>
      </c>
      <c r="M12" s="73">
        <f t="shared" si="14"/>
        <v>71123</v>
      </c>
      <c r="N12" s="73">
        <f>N282</f>
        <v>72423</v>
      </c>
      <c r="O12" s="73">
        <f>O282</f>
        <v>72866</v>
      </c>
      <c r="P12" s="67"/>
      <c r="Q12" s="81"/>
    </row>
    <row r="13" spans="1:17">
      <c r="A13" s="66" t="s">
        <v>1298</v>
      </c>
      <c r="C13" s="66"/>
      <c r="D13" s="72">
        <f t="shared" ref="D13:I13" si="15">D309</f>
        <v>113017</v>
      </c>
      <c r="E13" s="72">
        <f t="shared" si="15"/>
        <v>111822</v>
      </c>
      <c r="F13" s="72">
        <f t="shared" si="15"/>
        <v>115949</v>
      </c>
      <c r="G13" s="72">
        <f t="shared" si="15"/>
        <v>117140</v>
      </c>
      <c r="H13" s="72">
        <f t="shared" si="15"/>
        <v>108059</v>
      </c>
      <c r="I13" s="72">
        <f t="shared" si="15"/>
        <v>109871</v>
      </c>
      <c r="J13" s="72">
        <f t="shared" ref="J13:O13" si="16">J309</f>
        <v>108432</v>
      </c>
      <c r="K13" s="72">
        <f t="shared" si="16"/>
        <v>115012</v>
      </c>
      <c r="L13" s="72">
        <f t="shared" si="16"/>
        <v>113830</v>
      </c>
      <c r="M13" s="73">
        <f t="shared" si="16"/>
        <v>116014</v>
      </c>
      <c r="N13" s="73">
        <f t="shared" si="16"/>
        <v>121445</v>
      </c>
      <c r="O13" s="73">
        <f t="shared" si="16"/>
        <v>120657</v>
      </c>
      <c r="P13" s="67"/>
      <c r="Q13" s="81"/>
    </row>
    <row r="14" spans="1:17">
      <c r="A14" s="66" t="s">
        <v>1299</v>
      </c>
      <c r="C14" s="66"/>
      <c r="D14" s="72">
        <f t="shared" ref="D14:I14" si="17">D346</f>
        <v>86849</v>
      </c>
      <c r="E14" s="72">
        <f t="shared" si="17"/>
        <v>86547</v>
      </c>
      <c r="F14" s="72">
        <f t="shared" si="17"/>
        <v>87289</v>
      </c>
      <c r="G14" s="72">
        <f t="shared" si="17"/>
        <v>87556</v>
      </c>
      <c r="H14" s="72">
        <f t="shared" si="17"/>
        <v>85648</v>
      </c>
      <c r="I14" s="72">
        <f t="shared" si="17"/>
        <v>85835</v>
      </c>
      <c r="J14" s="72">
        <f t="shared" ref="J14:O14" si="18">J346</f>
        <v>85867</v>
      </c>
      <c r="K14" s="72">
        <f t="shared" si="18"/>
        <v>87056</v>
      </c>
      <c r="L14" s="72">
        <f t="shared" si="18"/>
        <v>87537</v>
      </c>
      <c r="M14" s="73">
        <f t="shared" si="18"/>
        <v>87034</v>
      </c>
      <c r="N14" s="73">
        <f t="shared" si="18"/>
        <v>88080</v>
      </c>
      <c r="O14" s="73">
        <f t="shared" si="18"/>
        <v>89422</v>
      </c>
      <c r="P14" s="67"/>
      <c r="Q14" s="81"/>
    </row>
    <row r="15" spans="1:17">
      <c r="A15" s="66" t="s">
        <v>1300</v>
      </c>
      <c r="C15" s="66"/>
      <c r="D15" s="72">
        <f t="shared" ref="D15:I15" si="19">D384</f>
        <v>95947</v>
      </c>
      <c r="E15" s="72">
        <f t="shared" si="19"/>
        <v>95264</v>
      </c>
      <c r="F15" s="72">
        <f t="shared" si="19"/>
        <v>96360</v>
      </c>
      <c r="G15" s="72">
        <f t="shared" si="19"/>
        <v>96760</v>
      </c>
      <c r="H15" s="72">
        <f t="shared" si="19"/>
        <v>97494</v>
      </c>
      <c r="I15" s="72">
        <f t="shared" si="19"/>
        <v>92331</v>
      </c>
      <c r="J15" s="72">
        <f t="shared" ref="J15:O15" si="20">J384</f>
        <v>96025</v>
      </c>
      <c r="K15" s="72">
        <f t="shared" si="20"/>
        <v>101034</v>
      </c>
      <c r="L15" s="72">
        <f t="shared" si="20"/>
        <v>102276</v>
      </c>
      <c r="M15" s="73">
        <f t="shared" si="20"/>
        <v>102639</v>
      </c>
      <c r="N15" s="73">
        <f t="shared" si="20"/>
        <v>103216</v>
      </c>
      <c r="O15" s="73">
        <f t="shared" si="20"/>
        <v>105492</v>
      </c>
      <c r="P15" s="67"/>
      <c r="Q15" s="81"/>
    </row>
    <row r="16" spans="1:17">
      <c r="A16" s="66" t="s">
        <v>1301</v>
      </c>
      <c r="C16" s="66"/>
      <c r="D16" s="72">
        <f t="shared" ref="D16:I16" si="21">D418</f>
        <v>97254</v>
      </c>
      <c r="E16" s="72">
        <f t="shared" si="21"/>
        <v>93087</v>
      </c>
      <c r="F16" s="72">
        <f t="shared" si="21"/>
        <v>93568</v>
      </c>
      <c r="G16" s="72">
        <f t="shared" si="21"/>
        <v>96861</v>
      </c>
      <c r="H16" s="72">
        <f t="shared" si="21"/>
        <v>99158</v>
      </c>
      <c r="I16" s="72">
        <f t="shared" si="21"/>
        <v>95394</v>
      </c>
      <c r="J16" s="72">
        <f t="shared" ref="J16:O16" si="22">J418</f>
        <v>96967</v>
      </c>
      <c r="K16" s="72">
        <f t="shared" si="22"/>
        <v>97551</v>
      </c>
      <c r="L16" s="72">
        <f t="shared" si="22"/>
        <v>98389</v>
      </c>
      <c r="M16" s="73">
        <f t="shared" si="22"/>
        <v>97846</v>
      </c>
      <c r="N16" s="73">
        <f t="shared" si="22"/>
        <v>102427</v>
      </c>
      <c r="O16" s="73">
        <f t="shared" si="22"/>
        <v>100871</v>
      </c>
      <c r="P16" s="67"/>
      <c r="Q16" s="81"/>
    </row>
    <row r="17" spans="1:17">
      <c r="A17" s="66" t="s">
        <v>1302</v>
      </c>
      <c r="C17" s="66"/>
      <c r="D17" s="72">
        <f t="shared" ref="D17:I17" si="23">D451</f>
        <v>86711</v>
      </c>
      <c r="E17" s="72">
        <f t="shared" si="23"/>
        <v>88265</v>
      </c>
      <c r="F17" s="72">
        <f t="shared" si="23"/>
        <v>89315</v>
      </c>
      <c r="G17" s="72">
        <f t="shared" si="23"/>
        <v>90368</v>
      </c>
      <c r="H17" s="72">
        <f t="shared" si="23"/>
        <v>84991</v>
      </c>
      <c r="I17" s="72">
        <f t="shared" si="23"/>
        <v>88590</v>
      </c>
      <c r="J17" s="72">
        <f t="shared" ref="J17:O17" si="24">J451</f>
        <v>90032</v>
      </c>
      <c r="K17" s="72">
        <f t="shared" si="24"/>
        <v>94397</v>
      </c>
      <c r="L17" s="72">
        <f t="shared" si="24"/>
        <v>95384</v>
      </c>
      <c r="M17" s="73">
        <f t="shared" si="24"/>
        <v>95479</v>
      </c>
      <c r="N17" s="73">
        <f t="shared" si="24"/>
        <v>96561</v>
      </c>
      <c r="O17" s="73">
        <f t="shared" si="24"/>
        <v>99159</v>
      </c>
      <c r="P17" s="67"/>
      <c r="Q17" s="81"/>
    </row>
    <row r="18" spans="1:17">
      <c r="A18" s="66" t="s">
        <v>1303</v>
      </c>
      <c r="C18" s="66"/>
      <c r="D18" s="72">
        <f t="shared" ref="D18:I18" si="25">D485</f>
        <v>79183</v>
      </c>
      <c r="E18" s="72">
        <f t="shared" si="25"/>
        <v>79835</v>
      </c>
      <c r="F18" s="72">
        <f t="shared" si="25"/>
        <v>79735</v>
      </c>
      <c r="G18" s="72">
        <f t="shared" si="25"/>
        <v>80407</v>
      </c>
      <c r="H18" s="72">
        <f t="shared" si="25"/>
        <v>80158</v>
      </c>
      <c r="I18" s="72">
        <f t="shared" si="25"/>
        <v>78093</v>
      </c>
      <c r="J18" s="72">
        <f t="shared" ref="J18:O18" si="26">J485</f>
        <v>76380</v>
      </c>
      <c r="K18" s="72">
        <f t="shared" si="26"/>
        <v>80523</v>
      </c>
      <c r="L18" s="72">
        <f t="shared" si="26"/>
        <v>79622</v>
      </c>
      <c r="M18" s="73">
        <f t="shared" si="26"/>
        <v>79073</v>
      </c>
      <c r="N18" s="73">
        <f t="shared" si="26"/>
        <v>82426</v>
      </c>
      <c r="O18" s="73">
        <f t="shared" si="26"/>
        <v>82248</v>
      </c>
      <c r="P18" s="67"/>
      <c r="Q18" s="81"/>
    </row>
    <row r="19" spans="1:17">
      <c r="A19" s="67"/>
      <c r="B19" s="67"/>
      <c r="C19" s="67"/>
      <c r="D19" s="71"/>
      <c r="E19" s="71"/>
      <c r="F19" s="71"/>
      <c r="G19" s="71"/>
      <c r="H19" s="71"/>
      <c r="I19" s="71"/>
      <c r="J19" s="71"/>
      <c r="K19" s="71"/>
      <c r="L19" s="71"/>
      <c r="M19" s="67"/>
      <c r="N19" s="67"/>
      <c r="O19" s="67"/>
      <c r="P19" s="67"/>
      <c r="Q19" s="67"/>
    </row>
    <row r="20" spans="1:17">
      <c r="A20" s="66" t="s">
        <v>2886</v>
      </c>
      <c r="B20" s="67"/>
      <c r="C20" s="67"/>
      <c r="D20" s="72">
        <f t="shared" ref="D20:M20" si="27">D3/14</f>
        <v>74610.642857142855</v>
      </c>
      <c r="E20" s="72">
        <f t="shared" si="27"/>
        <v>74933.71428571429</v>
      </c>
      <c r="F20" s="72">
        <f t="shared" si="27"/>
        <v>75940.071428571435</v>
      </c>
      <c r="G20" s="72">
        <f t="shared" si="27"/>
        <v>76907.142857142855</v>
      </c>
      <c r="H20" s="72">
        <f t="shared" si="27"/>
        <v>76015.642857142855</v>
      </c>
      <c r="I20" s="72">
        <f t="shared" si="27"/>
        <v>75105.857142857145</v>
      </c>
      <c r="J20" s="72">
        <f t="shared" si="27"/>
        <v>74625.928571428565</v>
      </c>
      <c r="K20" s="72">
        <f t="shared" si="27"/>
        <v>77186.857142857145</v>
      </c>
      <c r="L20" s="72">
        <f t="shared" si="27"/>
        <v>77597.21428571429</v>
      </c>
      <c r="M20" s="73">
        <f t="shared" si="27"/>
        <v>77678.428571428565</v>
      </c>
      <c r="N20" s="73">
        <f>N3/14</f>
        <v>80238.571428571435</v>
      </c>
      <c r="O20" s="73">
        <f>O3/14</f>
        <v>80533.571428571435</v>
      </c>
      <c r="P20" s="67"/>
      <c r="Q20" s="67"/>
    </row>
    <row r="21" spans="1:17">
      <c r="A21" s="66" t="s">
        <v>2887</v>
      </c>
      <c r="B21" s="67"/>
      <c r="C21" s="67"/>
      <c r="D21" s="72">
        <f t="shared" ref="D21:M21" si="28">D4/3</f>
        <v>61945.666666666664</v>
      </c>
      <c r="E21" s="72">
        <f t="shared" si="28"/>
        <v>62144.333333333336</v>
      </c>
      <c r="F21" s="72">
        <f t="shared" si="28"/>
        <v>63118.666666666664</v>
      </c>
      <c r="G21" s="72">
        <f t="shared" si="28"/>
        <v>63310</v>
      </c>
      <c r="H21" s="72">
        <f t="shared" si="28"/>
        <v>64554</v>
      </c>
      <c r="I21" s="72">
        <f t="shared" si="28"/>
        <v>62268.333333333336</v>
      </c>
      <c r="J21" s="72">
        <f t="shared" si="28"/>
        <v>60775</v>
      </c>
      <c r="K21" s="72">
        <f t="shared" si="28"/>
        <v>63621</v>
      </c>
      <c r="L21" s="72">
        <f t="shared" si="28"/>
        <v>63802</v>
      </c>
      <c r="M21" s="73">
        <f t="shared" si="28"/>
        <v>64811</v>
      </c>
      <c r="N21" s="73">
        <f>N4/3</f>
        <v>63700</v>
      </c>
      <c r="O21" s="73">
        <f>O4/3</f>
        <v>65843.333333333328</v>
      </c>
      <c r="P21" s="67"/>
      <c r="Q21" s="67"/>
    </row>
    <row r="22" spans="1:17">
      <c r="A22" s="66" t="s">
        <v>3407</v>
      </c>
      <c r="B22" s="67"/>
      <c r="C22" s="67"/>
      <c r="D22" s="72">
        <f t="shared" ref="D22:M22" si="29">D5/16</f>
        <v>76899.125</v>
      </c>
      <c r="E22" s="72">
        <f t="shared" si="29"/>
        <v>77219.0625</v>
      </c>
      <c r="F22" s="72">
        <f t="shared" si="29"/>
        <v>78282.3125</v>
      </c>
      <c r="G22" s="72">
        <f t="shared" si="29"/>
        <v>79164.375</v>
      </c>
      <c r="H22" s="72">
        <f t="shared" si="29"/>
        <v>78617.5625</v>
      </c>
      <c r="I22" s="72">
        <f t="shared" si="29"/>
        <v>77392.9375</v>
      </c>
      <c r="J22" s="72">
        <f t="shared" si="29"/>
        <v>76693</v>
      </c>
      <c r="K22" s="72">
        <f t="shared" si="29"/>
        <v>79467.4375</v>
      </c>
      <c r="L22" s="72">
        <f t="shared" si="29"/>
        <v>79860.4375</v>
      </c>
      <c r="M22" s="73">
        <f t="shared" si="29"/>
        <v>80120.6875</v>
      </c>
      <c r="N22" s="73">
        <f>N5/16</f>
        <v>82152.5</v>
      </c>
      <c r="O22" s="73">
        <f>O5/16</f>
        <v>82812.5</v>
      </c>
      <c r="P22" s="67"/>
      <c r="Q22" s="67"/>
    </row>
    <row r="23" spans="1:17">
      <c r="A23" s="66"/>
      <c r="B23" s="67"/>
      <c r="C23" s="67"/>
      <c r="D23" s="82"/>
      <c r="E23" s="82"/>
      <c r="F23" s="82"/>
      <c r="G23" s="82"/>
      <c r="H23" s="82"/>
      <c r="I23" s="82"/>
      <c r="J23" s="82"/>
      <c r="K23" s="82"/>
      <c r="L23" s="82"/>
      <c r="M23" s="83"/>
      <c r="N23" s="83"/>
      <c r="O23" s="83"/>
      <c r="P23" s="67"/>
      <c r="Q23" s="67"/>
    </row>
    <row r="24" spans="1:17">
      <c r="A24" s="66" t="s">
        <v>1504</v>
      </c>
      <c r="D24" s="72">
        <f t="shared" ref="D24:I24" si="30">D159</f>
        <v>81088</v>
      </c>
      <c r="E24" s="72">
        <f t="shared" si="30"/>
        <v>81947</v>
      </c>
      <c r="F24" s="72">
        <f t="shared" si="30"/>
        <v>83339</v>
      </c>
      <c r="G24" s="72">
        <f t="shared" si="30"/>
        <v>84643</v>
      </c>
      <c r="H24" s="72">
        <f t="shared" si="30"/>
        <v>84941</v>
      </c>
      <c r="I24" s="72">
        <f t="shared" si="30"/>
        <v>83940</v>
      </c>
      <c r="J24" s="72">
        <f t="shared" ref="J24:O24" si="31">J159</f>
        <v>82527</v>
      </c>
      <c r="K24" s="72">
        <f t="shared" si="31"/>
        <v>85127</v>
      </c>
      <c r="L24" s="72">
        <f t="shared" si="31"/>
        <v>86621</v>
      </c>
      <c r="M24" s="73">
        <f t="shared" si="31"/>
        <v>87102</v>
      </c>
      <c r="N24" s="73">
        <f t="shared" si="31"/>
        <v>90380</v>
      </c>
      <c r="O24" s="73">
        <f t="shared" si="31"/>
        <v>89712</v>
      </c>
      <c r="P24" s="67"/>
      <c r="Q24" s="66" t="s">
        <v>1505</v>
      </c>
    </row>
    <row r="25" spans="1:17">
      <c r="A25" s="67"/>
      <c r="D25" s="72"/>
      <c r="E25" s="72"/>
      <c r="F25" s="72"/>
      <c r="G25" s="72"/>
      <c r="H25" s="72"/>
      <c r="I25" s="72"/>
      <c r="J25" s="72"/>
      <c r="K25" s="72"/>
      <c r="L25" s="72"/>
      <c r="M25" s="84"/>
      <c r="N25" s="84"/>
      <c r="O25" s="84"/>
      <c r="P25" s="67"/>
      <c r="Q25" s="67"/>
    </row>
    <row r="26" spans="1:17">
      <c r="A26" s="66" t="s">
        <v>1506</v>
      </c>
      <c r="D26" s="85">
        <f t="shared" ref="D26:I26" si="32">D194</f>
        <v>73637</v>
      </c>
      <c r="E26" s="85">
        <f t="shared" si="32"/>
        <v>73779</v>
      </c>
      <c r="F26" s="85">
        <f t="shared" si="32"/>
        <v>76030</v>
      </c>
      <c r="G26" s="85">
        <f t="shared" si="32"/>
        <v>78826</v>
      </c>
      <c r="H26" s="85">
        <f t="shared" si="32"/>
        <v>78781</v>
      </c>
      <c r="I26" s="85">
        <f t="shared" si="32"/>
        <v>78850</v>
      </c>
      <c r="J26" s="85">
        <f t="shared" ref="J26:O26" si="33">J194</f>
        <v>68695</v>
      </c>
      <c r="K26" s="85">
        <f t="shared" si="33"/>
        <v>71009</v>
      </c>
      <c r="L26" s="85">
        <f t="shared" si="33"/>
        <v>72949</v>
      </c>
      <c r="M26" s="86">
        <f t="shared" si="33"/>
        <v>71821</v>
      </c>
      <c r="N26" s="86">
        <f t="shared" si="33"/>
        <v>80062</v>
      </c>
      <c r="O26" s="86">
        <f t="shared" si="33"/>
        <v>80061</v>
      </c>
      <c r="P26" s="67"/>
      <c r="Q26" s="66" t="s">
        <v>1507</v>
      </c>
    </row>
    <row r="27" spans="1:17">
      <c r="A27" s="67"/>
      <c r="D27" s="72"/>
      <c r="E27" s="72"/>
      <c r="F27" s="72"/>
      <c r="G27" s="72"/>
      <c r="H27" s="72"/>
      <c r="I27" s="72"/>
      <c r="J27" s="72"/>
      <c r="K27" s="72"/>
      <c r="L27" s="72"/>
      <c r="M27" s="84"/>
      <c r="N27" s="84"/>
      <c r="O27" s="84"/>
      <c r="P27" s="67"/>
      <c r="Q27" s="67"/>
    </row>
    <row r="28" spans="1:17">
      <c r="A28" s="66" t="s">
        <v>1508</v>
      </c>
      <c r="D28" s="72">
        <f t="shared" ref="D28:I28" si="34">D109</f>
        <v>40266</v>
      </c>
      <c r="E28" s="72">
        <f t="shared" si="34"/>
        <v>40323</v>
      </c>
      <c r="F28" s="72">
        <f t="shared" si="34"/>
        <v>41018</v>
      </c>
      <c r="G28" s="72">
        <f t="shared" si="34"/>
        <v>40695</v>
      </c>
      <c r="H28" s="72">
        <f t="shared" si="34"/>
        <v>41086</v>
      </c>
      <c r="I28" s="72">
        <f t="shared" si="34"/>
        <v>38702</v>
      </c>
      <c r="J28" s="72">
        <f t="shared" ref="J28:O28" si="35">J109</f>
        <v>38118</v>
      </c>
      <c r="K28" s="72">
        <f t="shared" si="35"/>
        <v>39960</v>
      </c>
      <c r="L28" s="72">
        <f t="shared" si="35"/>
        <v>39986</v>
      </c>
      <c r="M28" s="73">
        <f t="shared" si="35"/>
        <v>40879</v>
      </c>
      <c r="N28" s="73">
        <f t="shared" si="35"/>
        <v>39712</v>
      </c>
      <c r="O28" s="73">
        <f t="shared" si="35"/>
        <v>41086</v>
      </c>
      <c r="P28" s="67"/>
      <c r="Q28" s="66" t="s">
        <v>1509</v>
      </c>
    </row>
    <row r="29" spans="1:17" ht="15.75" thickBot="1">
      <c r="A29" s="67"/>
      <c r="D29" s="74">
        <f t="shared" ref="D29:I29" si="36">D477</f>
        <v>27563</v>
      </c>
      <c r="E29" s="74">
        <f t="shared" si="36"/>
        <v>28114</v>
      </c>
      <c r="F29" s="74">
        <f t="shared" si="36"/>
        <v>28408</v>
      </c>
      <c r="G29" s="74">
        <f t="shared" si="36"/>
        <v>28783</v>
      </c>
      <c r="H29" s="74">
        <f t="shared" si="36"/>
        <v>26601</v>
      </c>
      <c r="I29" s="74">
        <f t="shared" si="36"/>
        <v>27838</v>
      </c>
      <c r="J29" s="74">
        <f t="shared" ref="J29:O29" si="37">J477</f>
        <v>28263</v>
      </c>
      <c r="K29" s="74">
        <f t="shared" si="37"/>
        <v>29681</v>
      </c>
      <c r="L29" s="74">
        <f t="shared" si="37"/>
        <v>29925</v>
      </c>
      <c r="M29" s="75">
        <f t="shared" si="37"/>
        <v>30112</v>
      </c>
      <c r="N29" s="75">
        <f t="shared" si="37"/>
        <v>30405</v>
      </c>
      <c r="O29" s="75">
        <f t="shared" si="37"/>
        <v>31198</v>
      </c>
      <c r="P29" s="67"/>
      <c r="Q29" s="66" t="s">
        <v>1510</v>
      </c>
    </row>
    <row r="30" spans="1:17" ht="15.75" thickBot="1">
      <c r="A30" s="67"/>
      <c r="D30" s="74">
        <f t="shared" ref="D30:I30" si="38">SUM(D28:D29)</f>
        <v>67829</v>
      </c>
      <c r="E30" s="74">
        <f t="shared" si="38"/>
        <v>68437</v>
      </c>
      <c r="F30" s="74">
        <f t="shared" si="38"/>
        <v>69426</v>
      </c>
      <c r="G30" s="74">
        <f t="shared" si="38"/>
        <v>69478</v>
      </c>
      <c r="H30" s="74">
        <f t="shared" si="38"/>
        <v>67687</v>
      </c>
      <c r="I30" s="74">
        <f t="shared" si="38"/>
        <v>66540</v>
      </c>
      <c r="J30" s="74">
        <f t="shared" ref="J30:O30" si="39">SUM(J28:J29)</f>
        <v>66381</v>
      </c>
      <c r="K30" s="74">
        <f t="shared" si="39"/>
        <v>69641</v>
      </c>
      <c r="L30" s="74">
        <f t="shared" si="39"/>
        <v>69911</v>
      </c>
      <c r="M30" s="75">
        <f t="shared" si="39"/>
        <v>70991</v>
      </c>
      <c r="N30" s="75">
        <f t="shared" si="39"/>
        <v>70117</v>
      </c>
      <c r="O30" s="75">
        <f t="shared" si="39"/>
        <v>72284</v>
      </c>
      <c r="P30" s="67"/>
      <c r="Q30" s="67"/>
    </row>
    <row r="31" spans="1:17">
      <c r="A31" s="67"/>
      <c r="D31" s="72"/>
      <c r="E31" s="72"/>
      <c r="F31" s="72"/>
      <c r="G31" s="72"/>
      <c r="H31" s="72"/>
      <c r="I31" s="72"/>
      <c r="J31" s="72"/>
      <c r="K31" s="72"/>
      <c r="L31" s="72"/>
      <c r="M31" s="84"/>
      <c r="N31" s="84"/>
      <c r="O31" s="84"/>
      <c r="P31" s="67"/>
      <c r="Q31" s="67"/>
    </row>
    <row r="32" spans="1:17">
      <c r="A32" s="66" t="s">
        <v>1511</v>
      </c>
      <c r="D32" s="72">
        <f t="shared" ref="D32:I32" si="40">D224</f>
        <v>70176</v>
      </c>
      <c r="E32" s="72">
        <f t="shared" si="40"/>
        <v>69972</v>
      </c>
      <c r="F32" s="72">
        <f t="shared" si="40"/>
        <v>70539</v>
      </c>
      <c r="G32" s="72">
        <f t="shared" si="40"/>
        <v>70841</v>
      </c>
      <c r="H32" s="72">
        <f t="shared" si="40"/>
        <v>71396</v>
      </c>
      <c r="I32" s="72">
        <f t="shared" si="40"/>
        <v>70507</v>
      </c>
      <c r="J32" s="72">
        <f t="shared" ref="J32:O32" si="41">J224</f>
        <v>72180</v>
      </c>
      <c r="K32" s="72">
        <f t="shared" si="41"/>
        <v>73292</v>
      </c>
      <c r="L32" s="72">
        <f t="shared" si="41"/>
        <v>74276</v>
      </c>
      <c r="M32" s="73">
        <f t="shared" si="41"/>
        <v>76077</v>
      </c>
      <c r="N32" s="73">
        <f t="shared" si="41"/>
        <v>76166</v>
      </c>
      <c r="O32" s="73">
        <f t="shared" si="41"/>
        <v>78179</v>
      </c>
      <c r="P32" s="67"/>
      <c r="Q32" s="66" t="s">
        <v>3765</v>
      </c>
    </row>
    <row r="33" spans="1:17" ht="15.75" thickBot="1">
      <c r="A33" s="67"/>
      <c r="D33" s="74">
        <f t="shared" ref="D33:I33" si="42">D374</f>
        <v>4909</v>
      </c>
      <c r="E33" s="74">
        <f t="shared" si="42"/>
        <v>4784</v>
      </c>
      <c r="F33" s="74">
        <f t="shared" si="42"/>
        <v>4827</v>
      </c>
      <c r="G33" s="74">
        <f t="shared" si="42"/>
        <v>4845</v>
      </c>
      <c r="H33" s="74">
        <f t="shared" si="42"/>
        <v>4768</v>
      </c>
      <c r="I33" s="74">
        <f t="shared" si="42"/>
        <v>4758</v>
      </c>
      <c r="J33" s="74">
        <f t="shared" ref="J33:O33" si="43">J374</f>
        <v>4731</v>
      </c>
      <c r="K33" s="74">
        <f t="shared" si="43"/>
        <v>4794</v>
      </c>
      <c r="L33" s="74">
        <f t="shared" si="43"/>
        <v>4831</v>
      </c>
      <c r="M33" s="75">
        <f t="shared" si="43"/>
        <v>4747</v>
      </c>
      <c r="N33" s="75">
        <f t="shared" si="43"/>
        <v>4804</v>
      </c>
      <c r="O33" s="75">
        <f t="shared" si="43"/>
        <v>4842</v>
      </c>
      <c r="P33" s="67"/>
      <c r="Q33" s="66" t="s">
        <v>1512</v>
      </c>
    </row>
    <row r="34" spans="1:17" ht="15.75" thickBot="1">
      <c r="A34" s="67"/>
      <c r="D34" s="74">
        <f t="shared" ref="D34:I34" si="44">SUM(D32:D33)</f>
        <v>75085</v>
      </c>
      <c r="E34" s="74">
        <f t="shared" si="44"/>
        <v>74756</v>
      </c>
      <c r="F34" s="74">
        <f t="shared" si="44"/>
        <v>75366</v>
      </c>
      <c r="G34" s="74">
        <f t="shared" si="44"/>
        <v>75686</v>
      </c>
      <c r="H34" s="74">
        <f t="shared" si="44"/>
        <v>76164</v>
      </c>
      <c r="I34" s="74">
        <f t="shared" si="44"/>
        <v>75265</v>
      </c>
      <c r="J34" s="74">
        <f t="shared" ref="J34:O34" si="45">SUM(J32:J33)</f>
        <v>76911</v>
      </c>
      <c r="K34" s="74">
        <f t="shared" si="45"/>
        <v>78086</v>
      </c>
      <c r="L34" s="74">
        <f t="shared" si="45"/>
        <v>79107</v>
      </c>
      <c r="M34" s="75">
        <f t="shared" si="45"/>
        <v>80824</v>
      </c>
      <c r="N34" s="75">
        <f t="shared" si="45"/>
        <v>80970</v>
      </c>
      <c r="O34" s="75">
        <f t="shared" si="45"/>
        <v>83021</v>
      </c>
      <c r="P34" s="67"/>
      <c r="Q34" s="67"/>
    </row>
    <row r="35" spans="1:17" ht="15" customHeight="1">
      <c r="A35" s="67"/>
      <c r="D35" s="72"/>
      <c r="E35" s="72"/>
      <c r="F35" s="72"/>
      <c r="G35" s="72"/>
      <c r="H35" s="72"/>
      <c r="I35" s="72"/>
      <c r="J35" s="72"/>
      <c r="K35" s="72"/>
      <c r="L35" s="72"/>
      <c r="M35" s="84"/>
      <c r="N35" s="84"/>
      <c r="O35" s="84"/>
      <c r="P35" s="67"/>
      <c r="Q35" s="67"/>
    </row>
    <row r="36" spans="1:17" ht="15" customHeight="1">
      <c r="A36" s="66" t="s">
        <v>1513</v>
      </c>
      <c r="D36" s="72">
        <f t="shared" ref="D36:I36" si="46">D252</f>
        <v>71535</v>
      </c>
      <c r="E36" s="72">
        <f t="shared" si="46"/>
        <v>71993</v>
      </c>
      <c r="F36" s="72">
        <f t="shared" si="46"/>
        <v>72490</v>
      </c>
      <c r="G36" s="72">
        <f t="shared" si="46"/>
        <v>72898</v>
      </c>
      <c r="H36" s="72">
        <f t="shared" si="46"/>
        <v>73248</v>
      </c>
      <c r="I36" s="72">
        <f t="shared" si="46"/>
        <v>72478</v>
      </c>
      <c r="J36" s="72">
        <f t="shared" ref="J36:O36" si="47">J252</f>
        <v>72940</v>
      </c>
      <c r="K36" s="72">
        <f t="shared" si="47"/>
        <v>74600</v>
      </c>
      <c r="L36" s="72">
        <f t="shared" si="47"/>
        <v>74304</v>
      </c>
      <c r="M36" s="73">
        <f t="shared" si="47"/>
        <v>73570</v>
      </c>
      <c r="N36" s="73">
        <f t="shared" si="47"/>
        <v>75978</v>
      </c>
      <c r="O36" s="73">
        <f t="shared" si="47"/>
        <v>75230</v>
      </c>
      <c r="P36" s="67"/>
      <c r="Q36" s="66" t="s">
        <v>1514</v>
      </c>
    </row>
    <row r="37" spans="1:17" ht="15" customHeight="1">
      <c r="A37" s="67"/>
      <c r="D37" s="72"/>
      <c r="E37" s="72"/>
      <c r="F37" s="72"/>
      <c r="G37" s="72"/>
      <c r="H37" s="72"/>
      <c r="I37" s="72"/>
      <c r="J37" s="72"/>
      <c r="K37" s="72"/>
      <c r="L37" s="72"/>
      <c r="M37" s="84"/>
      <c r="N37" s="84"/>
      <c r="O37" s="84"/>
      <c r="P37" s="67"/>
      <c r="Q37" s="67"/>
    </row>
    <row r="38" spans="1:17">
      <c r="A38" s="66" t="s">
        <v>3610</v>
      </c>
      <c r="D38" s="72">
        <f t="shared" ref="D38:I38" si="48">D337</f>
        <v>48637</v>
      </c>
      <c r="E38" s="72">
        <f t="shared" si="48"/>
        <v>48053</v>
      </c>
      <c r="F38" s="72">
        <f t="shared" si="48"/>
        <v>49810</v>
      </c>
      <c r="G38" s="72">
        <f t="shared" si="48"/>
        <v>50257</v>
      </c>
      <c r="H38" s="72">
        <f t="shared" si="48"/>
        <v>46199</v>
      </c>
      <c r="I38" s="72">
        <f t="shared" si="48"/>
        <v>46914</v>
      </c>
      <c r="J38" s="72">
        <f t="shared" ref="J38:O38" si="49">J337</f>
        <v>46260</v>
      </c>
      <c r="K38" s="72">
        <f t="shared" si="49"/>
        <v>49226</v>
      </c>
      <c r="L38" s="72">
        <f t="shared" si="49"/>
        <v>48770</v>
      </c>
      <c r="M38" s="73">
        <f t="shared" si="49"/>
        <v>49650</v>
      </c>
      <c r="N38" s="73">
        <f t="shared" si="49"/>
        <v>51994</v>
      </c>
      <c r="O38" s="73">
        <f t="shared" si="49"/>
        <v>51830</v>
      </c>
      <c r="P38" s="67"/>
      <c r="Q38" s="66" t="s">
        <v>3611</v>
      </c>
    </row>
    <row r="39" spans="1:17" ht="15.75" thickBot="1">
      <c r="A39" s="67"/>
      <c r="D39" s="74">
        <f t="shared" ref="D39:I39" si="50">D410</f>
        <v>20438</v>
      </c>
      <c r="E39" s="74">
        <f t="shared" si="50"/>
        <v>20468</v>
      </c>
      <c r="F39" s="74">
        <f t="shared" si="50"/>
        <v>20590</v>
      </c>
      <c r="G39" s="74">
        <f t="shared" si="50"/>
        <v>20649</v>
      </c>
      <c r="H39" s="74">
        <f t="shared" si="50"/>
        <v>20655</v>
      </c>
      <c r="I39" s="74">
        <f t="shared" si="50"/>
        <v>19716</v>
      </c>
      <c r="J39" s="74">
        <f t="shared" ref="J39:O39" si="51">J410</f>
        <v>20387</v>
      </c>
      <c r="K39" s="74">
        <f t="shared" si="51"/>
        <v>21068</v>
      </c>
      <c r="L39" s="74">
        <f t="shared" si="51"/>
        <v>21184</v>
      </c>
      <c r="M39" s="75">
        <f t="shared" si="51"/>
        <v>21087</v>
      </c>
      <c r="N39" s="75">
        <f t="shared" si="51"/>
        <v>21171</v>
      </c>
      <c r="O39" s="75">
        <f t="shared" si="51"/>
        <v>21647</v>
      </c>
      <c r="P39" s="67"/>
      <c r="Q39" s="66" t="s">
        <v>3612</v>
      </c>
    </row>
    <row r="40" spans="1:17" ht="15.75" thickBot="1">
      <c r="A40" s="67"/>
      <c r="D40" s="74">
        <f t="shared" ref="D40:I40" si="52">SUM(D38:D39)</f>
        <v>69075</v>
      </c>
      <c r="E40" s="74">
        <f t="shared" si="52"/>
        <v>68521</v>
      </c>
      <c r="F40" s="74">
        <f t="shared" si="52"/>
        <v>70400</v>
      </c>
      <c r="G40" s="74">
        <f t="shared" si="52"/>
        <v>70906</v>
      </c>
      <c r="H40" s="74">
        <f t="shared" si="52"/>
        <v>66854</v>
      </c>
      <c r="I40" s="74">
        <f t="shared" si="52"/>
        <v>66630</v>
      </c>
      <c r="J40" s="74">
        <f t="shared" ref="J40:O40" si="53">SUM(J38:J39)</f>
        <v>66647</v>
      </c>
      <c r="K40" s="74">
        <f t="shared" si="53"/>
        <v>70294</v>
      </c>
      <c r="L40" s="74">
        <f t="shared" si="53"/>
        <v>69954</v>
      </c>
      <c r="M40" s="75">
        <f t="shared" si="53"/>
        <v>70737</v>
      </c>
      <c r="N40" s="75">
        <f t="shared" si="53"/>
        <v>73165</v>
      </c>
      <c r="O40" s="75">
        <f t="shared" si="53"/>
        <v>73477</v>
      </c>
      <c r="P40" s="67"/>
      <c r="Q40" s="67"/>
    </row>
    <row r="41" spans="1:17">
      <c r="A41" s="67"/>
      <c r="D41" s="72"/>
      <c r="E41" s="72"/>
      <c r="F41" s="72"/>
      <c r="G41" s="72"/>
      <c r="H41" s="72"/>
      <c r="I41" s="72"/>
      <c r="J41" s="72"/>
      <c r="K41" s="72"/>
      <c r="L41" s="72"/>
      <c r="M41" s="84"/>
      <c r="N41" s="84"/>
      <c r="O41" s="84"/>
      <c r="P41" s="67"/>
      <c r="Q41" s="67"/>
    </row>
    <row r="42" spans="1:17">
      <c r="A42" s="66" t="s">
        <v>3613</v>
      </c>
      <c r="D42" s="87">
        <f t="shared" ref="D42:I42" si="54">D160</f>
        <v>4094</v>
      </c>
      <c r="E42" s="87">
        <f t="shared" si="54"/>
        <v>4096</v>
      </c>
      <c r="F42" s="87">
        <f t="shared" si="54"/>
        <v>4081</v>
      </c>
      <c r="G42" s="87">
        <f t="shared" si="54"/>
        <v>4161</v>
      </c>
      <c r="H42" s="87">
        <f t="shared" si="54"/>
        <v>4170</v>
      </c>
      <c r="I42" s="87">
        <f t="shared" si="54"/>
        <v>4103</v>
      </c>
      <c r="J42" s="87">
        <f t="shared" ref="J42:O42" si="55">J160</f>
        <v>4083</v>
      </c>
      <c r="K42" s="87">
        <f t="shared" si="55"/>
        <v>4109</v>
      </c>
      <c r="L42" s="87">
        <f t="shared" si="55"/>
        <v>4273</v>
      </c>
      <c r="M42" s="88">
        <f t="shared" si="55"/>
        <v>4250</v>
      </c>
      <c r="N42" s="88">
        <f t="shared" si="55"/>
        <v>4354</v>
      </c>
      <c r="O42" s="88">
        <f t="shared" si="55"/>
        <v>4333</v>
      </c>
      <c r="Q42" s="66" t="s">
        <v>1505</v>
      </c>
    </row>
    <row r="43" spans="1:17" ht="15.75" thickBot="1">
      <c r="A43" s="66"/>
      <c r="D43" s="74">
        <f t="shared" ref="D43:M43" si="56">D275</f>
        <v>73479</v>
      </c>
      <c r="E43" s="74">
        <f t="shared" si="56"/>
        <v>80060</v>
      </c>
      <c r="F43" s="74">
        <f t="shared" si="56"/>
        <v>80849</v>
      </c>
      <c r="G43" s="74">
        <f t="shared" si="56"/>
        <v>81387</v>
      </c>
      <c r="H43" s="74">
        <f t="shared" si="56"/>
        <v>80513</v>
      </c>
      <c r="I43" s="74">
        <f t="shared" si="56"/>
        <v>77897</v>
      </c>
      <c r="J43" s="74">
        <f t="shared" si="56"/>
        <v>77333</v>
      </c>
      <c r="K43" s="74">
        <f t="shared" si="56"/>
        <v>79886</v>
      </c>
      <c r="L43" s="74">
        <f t="shared" si="56"/>
        <v>81245</v>
      </c>
      <c r="M43" s="75">
        <f t="shared" si="56"/>
        <v>81605</v>
      </c>
      <c r="N43" s="75">
        <f>N275</f>
        <v>84604</v>
      </c>
      <c r="O43" s="75">
        <f>O275</f>
        <v>84230</v>
      </c>
      <c r="P43" s="67"/>
      <c r="Q43" s="66" t="s">
        <v>12661</v>
      </c>
    </row>
    <row r="44" spans="1:17" ht="15.75" thickBot="1">
      <c r="A44" s="66"/>
      <c r="D44" s="89">
        <f t="shared" ref="D44:I44" si="57">D42+D43</f>
        <v>77573</v>
      </c>
      <c r="E44" s="89">
        <f t="shared" si="57"/>
        <v>84156</v>
      </c>
      <c r="F44" s="89">
        <f t="shared" si="57"/>
        <v>84930</v>
      </c>
      <c r="G44" s="89">
        <f t="shared" si="57"/>
        <v>85548</v>
      </c>
      <c r="H44" s="89">
        <f t="shared" si="57"/>
        <v>84683</v>
      </c>
      <c r="I44" s="89">
        <f t="shared" si="57"/>
        <v>82000</v>
      </c>
      <c r="J44" s="89">
        <f t="shared" ref="J44:O44" si="58">J42+J43</f>
        <v>81416</v>
      </c>
      <c r="K44" s="89">
        <f t="shared" si="58"/>
        <v>83995</v>
      </c>
      <c r="L44" s="89">
        <f t="shared" si="58"/>
        <v>85518</v>
      </c>
      <c r="M44" s="90">
        <f t="shared" si="58"/>
        <v>85855</v>
      </c>
      <c r="N44" s="90">
        <f t="shared" si="58"/>
        <v>88958</v>
      </c>
      <c r="O44" s="90">
        <f t="shared" si="58"/>
        <v>88563</v>
      </c>
      <c r="P44" s="67"/>
      <c r="Q44" s="66"/>
    </row>
    <row r="45" spans="1:17">
      <c r="A45" s="67"/>
      <c r="D45" s="72"/>
      <c r="E45" s="72"/>
      <c r="F45" s="72"/>
      <c r="G45" s="72"/>
      <c r="H45" s="72"/>
      <c r="I45" s="72"/>
      <c r="J45" s="72"/>
      <c r="K45" s="72"/>
      <c r="L45" s="72"/>
      <c r="M45" s="84"/>
      <c r="N45" s="84"/>
      <c r="O45" s="84"/>
      <c r="P45" s="67"/>
      <c r="Q45" s="67"/>
    </row>
    <row r="46" spans="1:17">
      <c r="A46" s="66" t="s">
        <v>3614</v>
      </c>
      <c r="D46" s="72">
        <f t="shared" ref="D46:I46" si="59">D110</f>
        <v>71302</v>
      </c>
      <c r="E46" s="72">
        <f t="shared" si="59"/>
        <v>71109</v>
      </c>
      <c r="F46" s="72">
        <f t="shared" si="59"/>
        <v>72004</v>
      </c>
      <c r="G46" s="72">
        <f t="shared" si="59"/>
        <v>72528</v>
      </c>
      <c r="H46" s="72">
        <f t="shared" si="59"/>
        <v>73724</v>
      </c>
      <c r="I46" s="72">
        <f t="shared" si="59"/>
        <v>70984</v>
      </c>
      <c r="J46" s="72">
        <f t="shared" ref="J46:O46" si="60">J110</f>
        <v>68890</v>
      </c>
      <c r="K46" s="72">
        <f t="shared" si="60"/>
        <v>71819</v>
      </c>
      <c r="L46" s="72">
        <f t="shared" si="60"/>
        <v>71936</v>
      </c>
      <c r="M46" s="73">
        <f t="shared" si="60"/>
        <v>73283</v>
      </c>
      <c r="N46" s="73">
        <f t="shared" si="60"/>
        <v>71644</v>
      </c>
      <c r="O46" s="73">
        <f t="shared" si="60"/>
        <v>73951</v>
      </c>
      <c r="P46" s="67"/>
      <c r="Q46" s="66" t="s">
        <v>1509</v>
      </c>
    </row>
    <row r="47" spans="1:17">
      <c r="A47" s="67"/>
      <c r="D47" s="72"/>
      <c r="E47" s="72"/>
      <c r="F47" s="72"/>
      <c r="G47" s="72"/>
      <c r="H47" s="72"/>
      <c r="I47" s="72"/>
      <c r="J47" s="72"/>
      <c r="K47" s="72"/>
      <c r="L47" s="72"/>
      <c r="M47" s="84"/>
      <c r="N47" s="84"/>
      <c r="O47" s="84"/>
      <c r="P47" s="67"/>
      <c r="Q47" s="67"/>
    </row>
    <row r="48" spans="1:17">
      <c r="A48" s="66" t="s">
        <v>3615</v>
      </c>
      <c r="D48" s="72">
        <f t="shared" ref="D48:I48" si="61">D302</f>
        <v>69898</v>
      </c>
      <c r="E48" s="72">
        <f t="shared" si="61"/>
        <v>70412</v>
      </c>
      <c r="F48" s="72">
        <f t="shared" si="61"/>
        <v>71521</v>
      </c>
      <c r="G48" s="72">
        <f t="shared" si="61"/>
        <v>72182</v>
      </c>
      <c r="H48" s="72">
        <f t="shared" si="61"/>
        <v>72466</v>
      </c>
      <c r="I48" s="72">
        <f t="shared" si="61"/>
        <v>70140</v>
      </c>
      <c r="J48" s="72">
        <f t="shared" ref="J48:O48" si="62">J302</f>
        <v>70477</v>
      </c>
      <c r="K48" s="72">
        <f t="shared" si="62"/>
        <v>73088</v>
      </c>
      <c r="L48" s="72">
        <f t="shared" si="62"/>
        <v>71601</v>
      </c>
      <c r="M48" s="73">
        <f t="shared" si="62"/>
        <v>71123</v>
      </c>
      <c r="N48" s="73">
        <f t="shared" si="62"/>
        <v>72423</v>
      </c>
      <c r="O48" s="73">
        <f t="shared" si="62"/>
        <v>72866</v>
      </c>
      <c r="P48" s="67"/>
      <c r="Q48" s="66" t="s">
        <v>3767</v>
      </c>
    </row>
    <row r="49" spans="1:17">
      <c r="A49" s="67"/>
      <c r="D49" s="72"/>
      <c r="E49" s="72"/>
      <c r="F49" s="72"/>
      <c r="G49" s="72"/>
      <c r="H49" s="72"/>
      <c r="I49" s="72"/>
      <c r="J49" s="72"/>
      <c r="K49" s="72"/>
      <c r="L49" s="72"/>
      <c r="M49" s="84"/>
      <c r="N49" s="84"/>
      <c r="O49" s="84"/>
      <c r="P49" s="67"/>
      <c r="Q49" s="67"/>
    </row>
    <row r="50" spans="1:17">
      <c r="A50" s="66" t="s">
        <v>874</v>
      </c>
      <c r="D50" s="72">
        <f t="shared" ref="D50:I50" si="63">D338</f>
        <v>64380</v>
      </c>
      <c r="E50" s="72">
        <f t="shared" si="63"/>
        <v>63769</v>
      </c>
      <c r="F50" s="72">
        <f t="shared" si="63"/>
        <v>66139</v>
      </c>
      <c r="G50" s="72">
        <f t="shared" si="63"/>
        <v>66883</v>
      </c>
      <c r="H50" s="72">
        <f t="shared" si="63"/>
        <v>61860</v>
      </c>
      <c r="I50" s="72">
        <f t="shared" si="63"/>
        <v>62957</v>
      </c>
      <c r="J50" s="72">
        <f t="shared" ref="J50:O50" si="64">J338</f>
        <v>62172</v>
      </c>
      <c r="K50" s="72">
        <f t="shared" si="64"/>
        <v>65786</v>
      </c>
      <c r="L50" s="72">
        <f t="shared" si="64"/>
        <v>65060</v>
      </c>
      <c r="M50" s="73">
        <f t="shared" si="64"/>
        <v>66364</v>
      </c>
      <c r="N50" s="73">
        <f t="shared" si="64"/>
        <v>69451</v>
      </c>
      <c r="O50" s="73">
        <f t="shared" si="64"/>
        <v>68827</v>
      </c>
      <c r="P50" s="67"/>
      <c r="Q50" s="66" t="s">
        <v>3611</v>
      </c>
    </row>
    <row r="51" spans="1:17" ht="15.75" thickBot="1">
      <c r="A51" s="66"/>
      <c r="D51" s="74">
        <f t="shared" ref="D51:I51" si="65">D507</f>
        <v>6819</v>
      </c>
      <c r="E51" s="74">
        <f t="shared" si="65"/>
        <v>6807</v>
      </c>
      <c r="F51" s="74">
        <f t="shared" si="65"/>
        <v>6833</v>
      </c>
      <c r="G51" s="74">
        <f t="shared" si="65"/>
        <v>6908</v>
      </c>
      <c r="H51" s="74">
        <f t="shared" si="65"/>
        <v>6966</v>
      </c>
      <c r="I51" s="74">
        <f t="shared" si="65"/>
        <v>6858</v>
      </c>
      <c r="J51" s="74">
        <f t="shared" ref="J51:O51" si="66">J507</f>
        <v>6615</v>
      </c>
      <c r="K51" s="74">
        <f t="shared" si="66"/>
        <v>6927</v>
      </c>
      <c r="L51" s="74">
        <f t="shared" si="66"/>
        <v>6896</v>
      </c>
      <c r="M51" s="75">
        <f t="shared" si="66"/>
        <v>6802</v>
      </c>
      <c r="N51" s="75">
        <f t="shared" si="66"/>
        <v>7044</v>
      </c>
      <c r="O51" s="75">
        <f t="shared" si="66"/>
        <v>7035</v>
      </c>
      <c r="P51" s="67"/>
      <c r="Q51" s="66" t="s">
        <v>875</v>
      </c>
    </row>
    <row r="52" spans="1:17" ht="15.75" thickBot="1">
      <c r="A52" s="67"/>
      <c r="D52" s="74">
        <f t="shared" ref="D52:I52" si="67">SUM(D50:D51)</f>
        <v>71199</v>
      </c>
      <c r="E52" s="74">
        <f t="shared" si="67"/>
        <v>70576</v>
      </c>
      <c r="F52" s="74">
        <f t="shared" si="67"/>
        <v>72972</v>
      </c>
      <c r="G52" s="74">
        <f t="shared" si="67"/>
        <v>73791</v>
      </c>
      <c r="H52" s="74">
        <f t="shared" si="67"/>
        <v>68826</v>
      </c>
      <c r="I52" s="74">
        <f t="shared" si="67"/>
        <v>69815</v>
      </c>
      <c r="J52" s="74">
        <f t="shared" ref="J52:O52" si="68">SUM(J50:J51)</f>
        <v>68787</v>
      </c>
      <c r="K52" s="74">
        <f t="shared" si="68"/>
        <v>72713</v>
      </c>
      <c r="L52" s="74">
        <f t="shared" si="68"/>
        <v>71956</v>
      </c>
      <c r="M52" s="75">
        <f t="shared" si="68"/>
        <v>73166</v>
      </c>
      <c r="N52" s="75">
        <f t="shared" si="68"/>
        <v>76495</v>
      </c>
      <c r="O52" s="75">
        <f t="shared" si="68"/>
        <v>75862</v>
      </c>
      <c r="P52" s="67"/>
      <c r="Q52" s="67"/>
    </row>
    <row r="53" spans="1:17">
      <c r="A53" s="67"/>
      <c r="D53" s="72"/>
      <c r="E53" s="72"/>
      <c r="F53" s="72"/>
      <c r="G53" s="72"/>
      <c r="H53" s="72"/>
      <c r="I53" s="72"/>
      <c r="J53" s="72"/>
      <c r="K53" s="72"/>
      <c r="L53" s="72"/>
      <c r="M53" s="84"/>
      <c r="N53" s="84"/>
      <c r="O53" s="84"/>
      <c r="P53" s="67"/>
      <c r="Q53" s="67"/>
    </row>
    <row r="54" spans="1:17">
      <c r="A54" s="66" t="s">
        <v>876</v>
      </c>
      <c r="D54" s="72">
        <f t="shared" ref="D54:I54" si="69">D195</f>
        <v>30783</v>
      </c>
      <c r="E54" s="72">
        <f t="shared" si="69"/>
        <v>31024</v>
      </c>
      <c r="F54" s="72">
        <f t="shared" si="69"/>
        <v>31201</v>
      </c>
      <c r="G54" s="72">
        <f t="shared" si="69"/>
        <v>31768</v>
      </c>
      <c r="H54" s="72">
        <f t="shared" si="69"/>
        <v>32148</v>
      </c>
      <c r="I54" s="72">
        <f t="shared" si="69"/>
        <v>32451</v>
      </c>
      <c r="J54" s="72">
        <f t="shared" ref="J54:O54" si="70">J195</f>
        <v>31742</v>
      </c>
      <c r="K54" s="72">
        <f t="shared" si="70"/>
        <v>32633</v>
      </c>
      <c r="L54" s="72">
        <f t="shared" si="70"/>
        <v>32828</v>
      </c>
      <c r="M54" s="73">
        <f t="shared" si="70"/>
        <v>32645</v>
      </c>
      <c r="N54" s="73">
        <f t="shared" si="70"/>
        <v>33525</v>
      </c>
      <c r="O54" s="73">
        <f t="shared" si="70"/>
        <v>33448</v>
      </c>
      <c r="P54" s="67"/>
      <c r="Q54" s="66" t="s">
        <v>1507</v>
      </c>
    </row>
    <row r="55" spans="1:17" ht="15.75" thickBot="1">
      <c r="A55" s="67"/>
      <c r="D55" s="74">
        <f t="shared" ref="D55:I55" si="71">D443</f>
        <v>37785</v>
      </c>
      <c r="E55" s="74">
        <f t="shared" si="71"/>
        <v>36086</v>
      </c>
      <c r="F55" s="74">
        <f t="shared" si="71"/>
        <v>36472</v>
      </c>
      <c r="G55" s="74">
        <f t="shared" si="71"/>
        <v>38426</v>
      </c>
      <c r="H55" s="74">
        <f t="shared" si="71"/>
        <v>38994</v>
      </c>
      <c r="I55" s="74">
        <f t="shared" si="71"/>
        <v>37413</v>
      </c>
      <c r="J55" s="74">
        <f t="shared" ref="J55:O55" si="72">J443</f>
        <v>38038</v>
      </c>
      <c r="K55" s="74">
        <f t="shared" si="72"/>
        <v>38437</v>
      </c>
      <c r="L55" s="74">
        <f t="shared" si="72"/>
        <v>38724</v>
      </c>
      <c r="M55" s="75">
        <f t="shared" si="72"/>
        <v>38616</v>
      </c>
      <c r="N55" s="75">
        <f t="shared" si="72"/>
        <v>40395</v>
      </c>
      <c r="O55" s="75">
        <f t="shared" si="72"/>
        <v>39822</v>
      </c>
      <c r="P55" s="67"/>
      <c r="Q55" s="66" t="s">
        <v>877</v>
      </c>
    </row>
    <row r="56" spans="1:17" ht="15.75" thickBot="1">
      <c r="A56" s="67"/>
      <c r="D56" s="74">
        <f t="shared" ref="D56:I56" si="73">D54+D55</f>
        <v>68568</v>
      </c>
      <c r="E56" s="74">
        <f t="shared" si="73"/>
        <v>67110</v>
      </c>
      <c r="F56" s="74">
        <f t="shared" si="73"/>
        <v>67673</v>
      </c>
      <c r="G56" s="74">
        <f t="shared" si="73"/>
        <v>70194</v>
      </c>
      <c r="H56" s="74">
        <f t="shared" si="73"/>
        <v>71142</v>
      </c>
      <c r="I56" s="74">
        <f t="shared" si="73"/>
        <v>69864</v>
      </c>
      <c r="J56" s="74">
        <f t="shared" ref="J56:O56" si="74">J54+J55</f>
        <v>69780</v>
      </c>
      <c r="K56" s="74">
        <f t="shared" si="74"/>
        <v>71070</v>
      </c>
      <c r="L56" s="74">
        <f t="shared" si="74"/>
        <v>71552</v>
      </c>
      <c r="M56" s="75">
        <f t="shared" si="74"/>
        <v>71261</v>
      </c>
      <c r="N56" s="75">
        <f t="shared" si="74"/>
        <v>73920</v>
      </c>
      <c r="O56" s="75">
        <f t="shared" si="74"/>
        <v>73270</v>
      </c>
      <c r="P56" s="67"/>
      <c r="Q56" s="67"/>
    </row>
    <row r="57" spans="1:17">
      <c r="A57" s="67"/>
      <c r="D57" s="72"/>
      <c r="E57" s="72"/>
      <c r="F57" s="72"/>
      <c r="G57" s="72"/>
      <c r="H57" s="72"/>
      <c r="I57" s="72"/>
      <c r="J57" s="72"/>
      <c r="K57" s="72"/>
      <c r="L57" s="72"/>
      <c r="M57" s="84"/>
      <c r="N57" s="84"/>
      <c r="O57" s="84"/>
      <c r="P57" s="67"/>
      <c r="Q57" s="67"/>
    </row>
    <row r="58" spans="1:17">
      <c r="A58" s="66" t="s">
        <v>878</v>
      </c>
      <c r="D58" s="72">
        <f t="shared" ref="D58:I58" si="75">D111</f>
        <v>74269</v>
      </c>
      <c r="E58" s="72">
        <f t="shared" si="75"/>
        <v>75001</v>
      </c>
      <c r="F58" s="72">
        <f t="shared" si="75"/>
        <v>76334</v>
      </c>
      <c r="G58" s="72">
        <f t="shared" si="75"/>
        <v>76707</v>
      </c>
      <c r="H58" s="72">
        <f t="shared" si="75"/>
        <v>78852</v>
      </c>
      <c r="I58" s="72">
        <f t="shared" si="75"/>
        <v>77119</v>
      </c>
      <c r="J58" s="72">
        <f t="shared" ref="J58:O58" si="76">J111</f>
        <v>75317</v>
      </c>
      <c r="K58" s="72">
        <f t="shared" si="76"/>
        <v>79084</v>
      </c>
      <c r="L58" s="72">
        <f t="shared" si="76"/>
        <v>79484</v>
      </c>
      <c r="M58" s="73">
        <f t="shared" si="76"/>
        <v>80271</v>
      </c>
      <c r="N58" s="73">
        <f t="shared" si="76"/>
        <v>79744</v>
      </c>
      <c r="O58" s="73">
        <f t="shared" si="76"/>
        <v>82493</v>
      </c>
      <c r="P58" s="67"/>
      <c r="Q58" s="66" t="s">
        <v>1509</v>
      </c>
    </row>
    <row r="59" spans="1:17">
      <c r="A59" s="67"/>
      <c r="D59" s="72"/>
      <c r="E59" s="72"/>
      <c r="F59" s="72"/>
      <c r="G59" s="72"/>
      <c r="H59" s="72"/>
      <c r="I59" s="72"/>
      <c r="J59" s="72"/>
      <c r="K59" s="72"/>
      <c r="L59" s="72"/>
      <c r="M59" s="84"/>
      <c r="N59" s="84"/>
      <c r="O59" s="84"/>
      <c r="P59" s="67"/>
      <c r="Q59" s="67"/>
    </row>
    <row r="60" spans="1:17">
      <c r="A60" s="66" t="s">
        <v>879</v>
      </c>
      <c r="D60" s="72">
        <f t="shared" ref="D60:I60" si="77">D375</f>
        <v>70079</v>
      </c>
      <c r="E60" s="72">
        <f t="shared" si="77"/>
        <v>69925</v>
      </c>
      <c r="F60" s="72">
        <f t="shared" si="77"/>
        <v>70533</v>
      </c>
      <c r="G60" s="72">
        <f t="shared" si="77"/>
        <v>70689</v>
      </c>
      <c r="H60" s="72">
        <f t="shared" si="77"/>
        <v>69071</v>
      </c>
      <c r="I60" s="72">
        <f t="shared" si="77"/>
        <v>69158</v>
      </c>
      <c r="J60" s="72">
        <f t="shared" ref="J60:O60" si="78">J375</f>
        <v>69288</v>
      </c>
      <c r="K60" s="72">
        <f t="shared" si="78"/>
        <v>70289</v>
      </c>
      <c r="L60" s="72">
        <f t="shared" si="78"/>
        <v>70620</v>
      </c>
      <c r="M60" s="73">
        <f t="shared" si="78"/>
        <v>70271</v>
      </c>
      <c r="N60" s="73">
        <f t="shared" si="78"/>
        <v>71060</v>
      </c>
      <c r="O60" s="73">
        <f t="shared" si="78"/>
        <v>72173</v>
      </c>
      <c r="P60" s="67"/>
      <c r="Q60" s="66" t="s">
        <v>1512</v>
      </c>
    </row>
    <row r="61" spans="1:17">
      <c r="A61" s="67"/>
      <c r="D61" s="72"/>
      <c r="E61" s="72"/>
      <c r="F61" s="72"/>
      <c r="G61" s="72"/>
      <c r="H61" s="72"/>
      <c r="I61" s="72"/>
      <c r="J61" s="72"/>
      <c r="K61" s="72"/>
      <c r="L61" s="72"/>
      <c r="M61" s="84"/>
      <c r="N61" s="84"/>
      <c r="O61" s="84"/>
      <c r="P61" s="67"/>
      <c r="Q61" s="67"/>
    </row>
    <row r="62" spans="1:17">
      <c r="A62" s="66" t="s">
        <v>880</v>
      </c>
      <c r="D62" s="72">
        <f t="shared" ref="D62:I62" si="79">D411</f>
        <v>75509</v>
      </c>
      <c r="E62" s="72">
        <f t="shared" si="79"/>
        <v>74796</v>
      </c>
      <c r="F62" s="72">
        <f t="shared" si="79"/>
        <v>75770</v>
      </c>
      <c r="G62" s="72">
        <f t="shared" si="79"/>
        <v>76111</v>
      </c>
      <c r="H62" s="72">
        <f t="shared" si="79"/>
        <v>76839</v>
      </c>
      <c r="I62" s="72">
        <f t="shared" si="79"/>
        <v>72615</v>
      </c>
      <c r="J62" s="72">
        <f t="shared" ref="J62:O62" si="80">J411</f>
        <v>75638</v>
      </c>
      <c r="K62" s="72">
        <f t="shared" si="80"/>
        <v>79966</v>
      </c>
      <c r="L62" s="72">
        <f t="shared" si="80"/>
        <v>81092</v>
      </c>
      <c r="M62" s="73">
        <f t="shared" si="80"/>
        <v>81552</v>
      </c>
      <c r="N62" s="73">
        <f t="shared" si="80"/>
        <v>82045</v>
      </c>
      <c r="O62" s="73">
        <f t="shared" si="80"/>
        <v>83845</v>
      </c>
      <c r="P62" s="67"/>
      <c r="Q62" s="66" t="s">
        <v>3612</v>
      </c>
    </row>
    <row r="63" spans="1:17">
      <c r="A63" s="67"/>
      <c r="D63" s="72"/>
      <c r="E63" s="72"/>
      <c r="F63" s="72"/>
      <c r="G63" s="72"/>
      <c r="H63" s="72"/>
      <c r="I63" s="72"/>
      <c r="J63" s="72"/>
      <c r="K63" s="72"/>
      <c r="L63" s="72"/>
      <c r="M63" s="84"/>
      <c r="N63" s="84"/>
      <c r="O63" s="84"/>
      <c r="P63" s="67"/>
      <c r="Q63" s="67"/>
    </row>
    <row r="64" spans="1:17">
      <c r="A64" s="66" t="s">
        <v>881</v>
      </c>
      <c r="D64" s="72">
        <f t="shared" ref="D64:I64" si="81">D253</f>
        <v>10898</v>
      </c>
      <c r="E64" s="72">
        <f t="shared" si="81"/>
        <v>10969</v>
      </c>
      <c r="F64" s="72">
        <f t="shared" si="81"/>
        <v>10895</v>
      </c>
      <c r="G64" s="72">
        <f t="shared" si="81"/>
        <v>10902</v>
      </c>
      <c r="H64" s="72">
        <f t="shared" si="81"/>
        <v>11048</v>
      </c>
      <c r="I64" s="72">
        <f t="shared" si="81"/>
        <v>11002</v>
      </c>
      <c r="J64" s="72">
        <f t="shared" ref="J64:O64" si="82">J253</f>
        <v>11083</v>
      </c>
      <c r="K64" s="72">
        <f t="shared" si="82"/>
        <v>11299</v>
      </c>
      <c r="L64" s="72">
        <f t="shared" si="82"/>
        <v>11226</v>
      </c>
      <c r="M64" s="73">
        <f t="shared" si="82"/>
        <v>11220</v>
      </c>
      <c r="N64" s="73">
        <f t="shared" si="82"/>
        <v>11693</v>
      </c>
      <c r="O64" s="73">
        <f t="shared" si="82"/>
        <v>11562</v>
      </c>
      <c r="P64" s="67"/>
      <c r="Q64" s="66" t="s">
        <v>1514</v>
      </c>
    </row>
    <row r="65" spans="1:17" ht="15.75" thickBot="1">
      <c r="A65" s="67"/>
      <c r="D65" s="74">
        <f t="shared" ref="D65:I65" si="83">D444</f>
        <v>59469</v>
      </c>
      <c r="E65" s="74">
        <f t="shared" si="83"/>
        <v>57001</v>
      </c>
      <c r="F65" s="74">
        <f t="shared" si="83"/>
        <v>57096</v>
      </c>
      <c r="G65" s="74">
        <f t="shared" si="83"/>
        <v>58435</v>
      </c>
      <c r="H65" s="74">
        <f t="shared" si="83"/>
        <v>60164</v>
      </c>
      <c r="I65" s="74">
        <f t="shared" si="83"/>
        <v>57981</v>
      </c>
      <c r="J65" s="74">
        <f t="shared" ref="J65:O65" si="84">J444</f>
        <v>58929</v>
      </c>
      <c r="K65" s="74">
        <f t="shared" si="84"/>
        <v>59114</v>
      </c>
      <c r="L65" s="74">
        <f t="shared" si="84"/>
        <v>59665</v>
      </c>
      <c r="M65" s="75">
        <f t="shared" si="84"/>
        <v>59230</v>
      </c>
      <c r="N65" s="75">
        <f t="shared" si="84"/>
        <v>62032</v>
      </c>
      <c r="O65" s="75">
        <f t="shared" si="84"/>
        <v>61049</v>
      </c>
      <c r="P65" s="67"/>
      <c r="Q65" s="66" t="s">
        <v>877</v>
      </c>
    </row>
    <row r="66" spans="1:17" ht="15.75" thickBot="1">
      <c r="A66" s="67"/>
      <c r="D66" s="74">
        <f t="shared" ref="D66:I66" si="85">D64+D65</f>
        <v>70367</v>
      </c>
      <c r="E66" s="74">
        <f t="shared" si="85"/>
        <v>67970</v>
      </c>
      <c r="F66" s="74">
        <f t="shared" si="85"/>
        <v>67991</v>
      </c>
      <c r="G66" s="74">
        <f t="shared" si="85"/>
        <v>69337</v>
      </c>
      <c r="H66" s="74">
        <f t="shared" si="85"/>
        <v>71212</v>
      </c>
      <c r="I66" s="74">
        <f t="shared" si="85"/>
        <v>68983</v>
      </c>
      <c r="J66" s="74">
        <f t="shared" ref="J66:O66" si="86">J64+J65</f>
        <v>70012</v>
      </c>
      <c r="K66" s="74">
        <f t="shared" si="86"/>
        <v>70413</v>
      </c>
      <c r="L66" s="74">
        <f t="shared" si="86"/>
        <v>70891</v>
      </c>
      <c r="M66" s="75">
        <f t="shared" si="86"/>
        <v>70450</v>
      </c>
      <c r="N66" s="75">
        <f t="shared" si="86"/>
        <v>73725</v>
      </c>
      <c r="O66" s="75">
        <f t="shared" si="86"/>
        <v>72611</v>
      </c>
      <c r="P66" s="67"/>
      <c r="Q66" s="67"/>
    </row>
    <row r="67" spans="1:17">
      <c r="A67" s="67"/>
      <c r="D67" s="72"/>
      <c r="E67" s="72"/>
      <c r="F67" s="72"/>
      <c r="G67" s="72"/>
      <c r="H67" s="72"/>
      <c r="I67" s="72"/>
      <c r="J67" s="72"/>
      <c r="K67" s="72"/>
      <c r="L67" s="72"/>
      <c r="M67" s="84"/>
      <c r="N67" s="84"/>
      <c r="O67" s="84"/>
      <c r="P67" s="67"/>
      <c r="Q67" s="67"/>
    </row>
    <row r="68" spans="1:17">
      <c r="A68" s="66" t="s">
        <v>882</v>
      </c>
      <c r="D68" s="72">
        <f t="shared" ref="D68:I68" si="87">D376</f>
        <v>11861</v>
      </c>
      <c r="E68" s="72">
        <f t="shared" si="87"/>
        <v>11838</v>
      </c>
      <c r="F68" s="72">
        <f t="shared" si="87"/>
        <v>11929</v>
      </c>
      <c r="G68" s="72">
        <f t="shared" si="87"/>
        <v>12022</v>
      </c>
      <c r="H68" s="72">
        <f t="shared" si="87"/>
        <v>11809</v>
      </c>
      <c r="I68" s="72">
        <f t="shared" si="87"/>
        <v>11919</v>
      </c>
      <c r="J68" s="72">
        <f t="shared" ref="J68:O68" si="88">J376</f>
        <v>11848</v>
      </c>
      <c r="K68" s="72">
        <f t="shared" si="88"/>
        <v>11973</v>
      </c>
      <c r="L68" s="72">
        <f t="shared" si="88"/>
        <v>12086</v>
      </c>
      <c r="M68" s="73">
        <f t="shared" si="88"/>
        <v>12016</v>
      </c>
      <c r="N68" s="73">
        <f t="shared" si="88"/>
        <v>12216</v>
      </c>
      <c r="O68" s="73">
        <f t="shared" si="88"/>
        <v>12407</v>
      </c>
      <c r="P68" s="67"/>
      <c r="Q68" s="66" t="s">
        <v>1512</v>
      </c>
    </row>
    <row r="69" spans="1:17" ht="15.75" thickBot="1">
      <c r="A69" s="67"/>
      <c r="D69" s="74">
        <f t="shared" ref="D69:I69" si="89">D478</f>
        <v>59148</v>
      </c>
      <c r="E69" s="74">
        <f t="shared" si="89"/>
        <v>60151</v>
      </c>
      <c r="F69" s="74">
        <f t="shared" si="89"/>
        <v>60907</v>
      </c>
      <c r="G69" s="74">
        <f t="shared" si="89"/>
        <v>61585</v>
      </c>
      <c r="H69" s="74">
        <f t="shared" si="89"/>
        <v>58390</v>
      </c>
      <c r="I69" s="74">
        <f t="shared" si="89"/>
        <v>60752</v>
      </c>
      <c r="J69" s="74">
        <f t="shared" ref="J69:O69" si="90">J478</f>
        <v>61769</v>
      </c>
      <c r="K69" s="74">
        <f t="shared" si="90"/>
        <v>64716</v>
      </c>
      <c r="L69" s="74">
        <f t="shared" si="90"/>
        <v>65459</v>
      </c>
      <c r="M69" s="75">
        <f t="shared" si="90"/>
        <v>65367</v>
      </c>
      <c r="N69" s="75">
        <f t="shared" si="90"/>
        <v>66156</v>
      </c>
      <c r="O69" s="75">
        <f t="shared" si="90"/>
        <v>67961</v>
      </c>
      <c r="P69" s="67"/>
      <c r="Q69" s="66" t="s">
        <v>1510</v>
      </c>
    </row>
    <row r="70" spans="1:17" ht="15.75" thickBot="1">
      <c r="A70" s="67"/>
      <c r="D70" s="74">
        <f t="shared" ref="D70:I70" si="91">D68+D69</f>
        <v>71009</v>
      </c>
      <c r="E70" s="74">
        <f t="shared" si="91"/>
        <v>71989</v>
      </c>
      <c r="F70" s="74">
        <f t="shared" si="91"/>
        <v>72836</v>
      </c>
      <c r="G70" s="74">
        <f t="shared" si="91"/>
        <v>73607</v>
      </c>
      <c r="H70" s="74">
        <f t="shared" si="91"/>
        <v>70199</v>
      </c>
      <c r="I70" s="74">
        <f t="shared" si="91"/>
        <v>72671</v>
      </c>
      <c r="J70" s="74">
        <f t="shared" ref="J70:O70" si="92">J68+J69</f>
        <v>73617</v>
      </c>
      <c r="K70" s="74">
        <f t="shared" si="92"/>
        <v>76689</v>
      </c>
      <c r="L70" s="74">
        <f t="shared" si="92"/>
        <v>77545</v>
      </c>
      <c r="M70" s="75">
        <f t="shared" si="92"/>
        <v>77383</v>
      </c>
      <c r="N70" s="75">
        <f t="shared" si="92"/>
        <v>78372</v>
      </c>
      <c r="O70" s="75">
        <f t="shared" si="92"/>
        <v>80368</v>
      </c>
      <c r="P70" s="67"/>
      <c r="Q70" s="67"/>
    </row>
    <row r="71" spans="1:17">
      <c r="A71" s="67"/>
      <c r="D71" s="72"/>
      <c r="E71" s="72"/>
      <c r="F71" s="72"/>
      <c r="G71" s="72"/>
      <c r="H71" s="72"/>
      <c r="I71" s="72"/>
      <c r="J71" s="72"/>
      <c r="K71" s="72"/>
      <c r="L71" s="72"/>
      <c r="M71" s="84"/>
      <c r="N71" s="84"/>
      <c r="O71" s="84"/>
      <c r="P71" s="67"/>
      <c r="Q71" s="67"/>
    </row>
    <row r="72" spans="1:17">
      <c r="A72" s="66" t="s">
        <v>883</v>
      </c>
      <c r="D72" s="72">
        <f t="shared" ref="D72:I72" si="93">D508</f>
        <v>72364</v>
      </c>
      <c r="E72" s="72">
        <f t="shared" si="93"/>
        <v>73028</v>
      </c>
      <c r="F72" s="72">
        <f t="shared" si="93"/>
        <v>72902</v>
      </c>
      <c r="G72" s="72">
        <f t="shared" si="93"/>
        <v>73499</v>
      </c>
      <c r="H72" s="72">
        <f t="shared" si="93"/>
        <v>73192</v>
      </c>
      <c r="I72" s="72">
        <f t="shared" si="93"/>
        <v>71235</v>
      </c>
      <c r="J72" s="72">
        <f t="shared" ref="J72:O72" si="94">J508</f>
        <v>69765</v>
      </c>
      <c r="K72" s="72">
        <f t="shared" si="94"/>
        <v>73596</v>
      </c>
      <c r="L72" s="72">
        <f t="shared" si="94"/>
        <v>72726</v>
      </c>
      <c r="M72" s="73">
        <f t="shared" si="94"/>
        <v>72271</v>
      </c>
      <c r="N72" s="73">
        <f t="shared" si="94"/>
        <v>75382</v>
      </c>
      <c r="O72" s="73">
        <f t="shared" si="94"/>
        <v>75213</v>
      </c>
      <c r="P72" s="67"/>
      <c r="Q72" s="66" t="s">
        <v>875</v>
      </c>
    </row>
    <row r="73" spans="1:17">
      <c r="A73" s="67"/>
      <c r="B73" s="67"/>
      <c r="C73" s="67"/>
      <c r="D73" s="72"/>
      <c r="E73" s="72"/>
      <c r="F73" s="72"/>
      <c r="G73" s="72"/>
      <c r="H73" s="72"/>
      <c r="I73" s="72"/>
      <c r="J73" s="72"/>
      <c r="K73" s="72"/>
      <c r="L73" s="72"/>
      <c r="M73" s="84"/>
      <c r="N73" s="84"/>
      <c r="O73" s="84"/>
      <c r="P73" s="67"/>
      <c r="Q73" s="67"/>
    </row>
    <row r="74" spans="1:17">
      <c r="A74" s="66" t="s">
        <v>6796</v>
      </c>
      <c r="B74" s="67"/>
      <c r="C74" s="67"/>
      <c r="D74" s="72">
        <f t="shared" ref="D74:I74" si="95">D24+D26+D30+D34+D36+D40+D44+D46+D48+D52+D56+D58+D60+D62+D66+D70+D72</f>
        <v>1230386</v>
      </c>
      <c r="E74" s="72">
        <f t="shared" si="95"/>
        <v>1235505</v>
      </c>
      <c r="F74" s="72">
        <f t="shared" si="95"/>
        <v>1252517</v>
      </c>
      <c r="G74" s="72">
        <f t="shared" si="95"/>
        <v>1266630</v>
      </c>
      <c r="H74" s="72">
        <f t="shared" si="95"/>
        <v>1257881</v>
      </c>
      <c r="I74" s="72">
        <f t="shared" si="95"/>
        <v>1238287</v>
      </c>
      <c r="J74" s="72">
        <f t="shared" ref="J74:O74" si="96">J24+J26+J30+J34+J36+J40+J44+J46+J48+J52+J56+J58+J60+J62+J66+J70+J72</f>
        <v>1227088</v>
      </c>
      <c r="K74" s="72">
        <f t="shared" si="96"/>
        <v>1271479</v>
      </c>
      <c r="L74" s="72">
        <f t="shared" si="96"/>
        <v>1277767</v>
      </c>
      <c r="M74" s="73">
        <f t="shared" si="96"/>
        <v>1281931</v>
      </c>
      <c r="N74" s="73">
        <f t="shared" si="96"/>
        <v>1314440</v>
      </c>
      <c r="O74" s="73">
        <f t="shared" si="96"/>
        <v>1325000</v>
      </c>
      <c r="P74" s="67"/>
      <c r="Q74" s="67"/>
    </row>
    <row r="75" spans="1:17">
      <c r="A75" s="67"/>
      <c r="B75" s="67"/>
      <c r="C75" s="67"/>
      <c r="D75" s="72"/>
      <c r="E75" s="72"/>
      <c r="F75" s="72"/>
      <c r="G75" s="72"/>
      <c r="H75" s="72"/>
      <c r="I75" s="72"/>
      <c r="J75" s="72"/>
      <c r="K75" s="72"/>
      <c r="L75" s="72"/>
      <c r="M75" s="84"/>
      <c r="N75" s="84"/>
      <c r="O75" s="84"/>
      <c r="P75" s="67"/>
      <c r="Q75" s="67"/>
    </row>
    <row r="76" spans="1:17">
      <c r="A76" s="66" t="s">
        <v>6797</v>
      </c>
      <c r="B76" s="67"/>
      <c r="C76" s="67"/>
      <c r="D76" s="72">
        <f t="shared" ref="D76:I76" si="97">MAX(D24,D26,D30,D34,D36,D40,D44,D46,D48,D52,D56,D58,D60,D62,D66,D70,D72)-MIN(D24,D26,D30,D34,D36,D40,D44,D46,D48,D52,D56,D58,D60,D62,D66,D70,D72)</f>
        <v>13259</v>
      </c>
      <c r="E76" s="72">
        <f t="shared" si="97"/>
        <v>17046</v>
      </c>
      <c r="F76" s="72">
        <f t="shared" si="97"/>
        <v>17257</v>
      </c>
      <c r="G76" s="72">
        <f t="shared" si="97"/>
        <v>16211</v>
      </c>
      <c r="H76" s="72">
        <f t="shared" si="97"/>
        <v>18087</v>
      </c>
      <c r="I76" s="72">
        <f t="shared" si="97"/>
        <v>17400</v>
      </c>
      <c r="J76" s="72">
        <f t="shared" ref="J76:O76" si="98">MAX(J24,J26,J30,J34,J36,J40,J44,J46,J48,J52,J56,J58,J60,J62,J66,J70,J72)-MIN(J24,J26,J30,J34,J36,J40,J44,J46,J48,J52,J56,J58,J60,J62,J66,J70,J72)</f>
        <v>16146</v>
      </c>
      <c r="K76" s="72">
        <f t="shared" si="98"/>
        <v>15486</v>
      </c>
      <c r="L76" s="72">
        <f t="shared" si="98"/>
        <v>16710</v>
      </c>
      <c r="M76" s="73">
        <f t="shared" si="98"/>
        <v>16831</v>
      </c>
      <c r="N76" s="73">
        <f t="shared" si="98"/>
        <v>20263</v>
      </c>
      <c r="O76" s="73">
        <f t="shared" si="98"/>
        <v>17539</v>
      </c>
      <c r="P76" s="67"/>
      <c r="Q76" s="67"/>
    </row>
    <row r="77" spans="1:17">
      <c r="A77" s="67"/>
      <c r="B77" s="67"/>
      <c r="C77" s="67"/>
      <c r="D77" s="72"/>
      <c r="E77" s="72"/>
      <c r="F77" s="72"/>
      <c r="G77" s="72"/>
      <c r="H77" s="72"/>
      <c r="I77" s="72"/>
      <c r="J77" s="72"/>
      <c r="K77" s="72"/>
      <c r="L77" s="72"/>
      <c r="M77" s="84"/>
      <c r="N77" s="84"/>
      <c r="O77" s="84"/>
      <c r="P77" s="67"/>
      <c r="Q77" s="67"/>
    </row>
    <row r="78" spans="1:17">
      <c r="A78" s="66" t="s">
        <v>6800</v>
      </c>
      <c r="B78" s="67"/>
      <c r="C78" s="67"/>
      <c r="D78" s="72">
        <f t="shared" ref="D78:I78" si="99">STDEVP(D24,D26,D30,D34,D36,D40,D44,D46,D48,D52,D56,D58,D60,D62,D66,D70,D72)</f>
        <v>3359.5873160636943</v>
      </c>
      <c r="E78" s="72">
        <f t="shared" si="99"/>
        <v>4486.3607094419995</v>
      </c>
      <c r="F78" s="72">
        <f t="shared" si="99"/>
        <v>4586.0922763047411</v>
      </c>
      <c r="G78" s="72">
        <f t="shared" si="99"/>
        <v>4630.5538347598331</v>
      </c>
      <c r="H78" s="72">
        <f t="shared" si="99"/>
        <v>5252.4214583818948</v>
      </c>
      <c r="I78" s="72">
        <f t="shared" si="99"/>
        <v>4884.8025314874603</v>
      </c>
      <c r="J78" s="72">
        <f t="shared" ref="J78:O78" si="100">STDEVP(J24,J26,J30,J34,J36,J40,J44,J46,J48,J52,J56,J58,J60,J62,J66,J70,J72)</f>
        <v>4636.6069483060119</v>
      </c>
      <c r="K78" s="72">
        <f t="shared" si="100"/>
        <v>4746.8980569030291</v>
      </c>
      <c r="L78" s="72">
        <f t="shared" si="100"/>
        <v>5230.9887551400243</v>
      </c>
      <c r="M78" s="73">
        <f t="shared" si="100"/>
        <v>5444.9431344160266</v>
      </c>
      <c r="N78" s="73">
        <f t="shared" si="100"/>
        <v>5695.2492586055496</v>
      </c>
      <c r="O78" s="73">
        <f t="shared" si="100"/>
        <v>5632.7182575429897</v>
      </c>
      <c r="P78" s="67"/>
      <c r="Q78" s="67"/>
    </row>
    <row r="79" spans="1:17">
      <c r="A79" s="66"/>
      <c r="B79" s="67"/>
      <c r="C79" s="67"/>
      <c r="D79" s="72"/>
      <c r="E79" s="72"/>
      <c r="F79" s="72"/>
      <c r="G79" s="72"/>
      <c r="H79" s="72"/>
      <c r="I79" s="72"/>
      <c r="J79" s="72"/>
      <c r="K79" s="72"/>
      <c r="L79" s="72"/>
      <c r="M79" s="73"/>
      <c r="N79" s="73"/>
      <c r="O79" s="73"/>
      <c r="P79" s="67"/>
      <c r="Q79" s="67"/>
    </row>
    <row r="80" spans="1:17">
      <c r="A80" s="66" t="s">
        <v>1503</v>
      </c>
      <c r="B80" s="67"/>
      <c r="C80" s="67"/>
      <c r="D80" s="72"/>
      <c r="E80" s="72"/>
      <c r="F80" s="72"/>
      <c r="G80" s="72"/>
      <c r="H80" s="72"/>
      <c r="I80" s="72"/>
      <c r="J80" s="72"/>
      <c r="K80" s="72"/>
      <c r="L80" s="72"/>
      <c r="M80" s="73"/>
      <c r="N80" s="73"/>
      <c r="O80" s="73"/>
      <c r="P80" s="67"/>
      <c r="Q80" s="67"/>
    </row>
    <row r="81" spans="1:17">
      <c r="A81" s="66"/>
      <c r="B81" s="67"/>
      <c r="C81" s="67"/>
      <c r="D81" s="82"/>
      <c r="E81" s="82"/>
      <c r="F81" s="82"/>
      <c r="G81" s="82"/>
      <c r="H81" s="82"/>
      <c r="I81" s="82"/>
      <c r="J81" s="82"/>
      <c r="K81" s="82"/>
      <c r="L81" s="82"/>
      <c r="M81" s="83"/>
      <c r="N81" s="83"/>
      <c r="O81" s="83"/>
      <c r="P81" s="67"/>
      <c r="Q81" s="67"/>
    </row>
    <row r="82" spans="1:17">
      <c r="A82" s="50"/>
      <c r="B82" s="67"/>
      <c r="C82" s="67"/>
      <c r="D82" s="82"/>
      <c r="E82" s="82"/>
      <c r="F82" s="82"/>
      <c r="G82" s="82"/>
      <c r="H82" s="82"/>
      <c r="I82" s="82"/>
      <c r="J82" s="82"/>
      <c r="K82" s="82"/>
      <c r="L82" s="82"/>
      <c r="M82" s="83"/>
      <c r="N82" s="83"/>
      <c r="O82" s="83"/>
      <c r="P82" s="67"/>
      <c r="Q82" s="67"/>
    </row>
    <row r="83" spans="1:17">
      <c r="A83" s="67"/>
      <c r="B83" s="67"/>
      <c r="C83" s="67"/>
      <c r="E83" s="92" t="s">
        <v>1526</v>
      </c>
      <c r="F83" s="92"/>
      <c r="G83" s="92"/>
      <c r="H83" s="92"/>
      <c r="I83" s="92"/>
      <c r="J83" s="92"/>
      <c r="K83" s="92"/>
      <c r="L83" s="92"/>
      <c r="M83" s="51"/>
      <c r="N83" s="51"/>
      <c r="O83" s="51"/>
      <c r="P83" s="52"/>
      <c r="Q83" s="53" t="s">
        <v>9479</v>
      </c>
    </row>
    <row r="84" spans="1:17">
      <c r="A84" s="67"/>
      <c r="B84" s="67"/>
      <c r="C84" s="67"/>
      <c r="D84" s="93">
        <v>2010</v>
      </c>
      <c r="E84" s="93">
        <v>2011</v>
      </c>
      <c r="F84" s="93">
        <v>2012</v>
      </c>
      <c r="G84" s="93">
        <v>2013</v>
      </c>
      <c r="H84" s="93">
        <v>2014</v>
      </c>
      <c r="I84" s="93">
        <v>2015</v>
      </c>
      <c r="J84" s="93">
        <v>2016</v>
      </c>
      <c r="K84" s="93">
        <v>2017</v>
      </c>
      <c r="L84" s="93">
        <v>2018</v>
      </c>
      <c r="M84" s="40">
        <v>2019</v>
      </c>
      <c r="N84" s="40">
        <v>2020</v>
      </c>
      <c r="O84" s="963" t="s">
        <v>14823</v>
      </c>
      <c r="P84" s="67"/>
      <c r="Q84" s="54" t="s">
        <v>1527</v>
      </c>
    </row>
    <row r="85" spans="1:17">
      <c r="A85" s="66" t="s">
        <v>1292</v>
      </c>
      <c r="C85" s="66"/>
      <c r="D85" s="72">
        <f t="shared" ref="D85:I85" si="101">SUM(D86:D107)</f>
        <v>185837</v>
      </c>
      <c r="E85" s="72">
        <f t="shared" si="101"/>
        <v>186433</v>
      </c>
      <c r="F85" s="72">
        <f t="shared" si="101"/>
        <v>189356</v>
      </c>
      <c r="G85" s="72">
        <f t="shared" si="101"/>
        <v>189930</v>
      </c>
      <c r="H85" s="72">
        <f t="shared" si="101"/>
        <v>193662</v>
      </c>
      <c r="I85" s="72">
        <f t="shared" si="101"/>
        <v>186805</v>
      </c>
      <c r="J85" s="72">
        <f t="shared" ref="J85:O85" si="102">SUM(J86:J107)</f>
        <v>182325</v>
      </c>
      <c r="K85" s="72">
        <f t="shared" si="102"/>
        <v>190863</v>
      </c>
      <c r="L85" s="72">
        <f t="shared" si="102"/>
        <v>191406</v>
      </c>
      <c r="M85" s="73">
        <f t="shared" si="102"/>
        <v>194433</v>
      </c>
      <c r="N85" s="73">
        <f t="shared" si="102"/>
        <v>191100</v>
      </c>
      <c r="O85" s="73">
        <f t="shared" si="102"/>
        <v>197530</v>
      </c>
      <c r="P85" s="67"/>
      <c r="Q85" s="67"/>
    </row>
    <row r="86" spans="1:17">
      <c r="A86" s="94">
        <v>1</v>
      </c>
      <c r="B86" s="66" t="s">
        <v>884</v>
      </c>
      <c r="C86" s="55" t="s">
        <v>7640</v>
      </c>
      <c r="D86" s="72">
        <v>9557</v>
      </c>
      <c r="E86" s="72">
        <v>9913</v>
      </c>
      <c r="F86" s="72">
        <v>10130</v>
      </c>
      <c r="G86" s="72">
        <v>10072</v>
      </c>
      <c r="H86" s="95">
        <v>10018</v>
      </c>
      <c r="I86" s="95">
        <v>9069</v>
      </c>
      <c r="J86" s="95">
        <v>8996</v>
      </c>
      <c r="K86" s="96">
        <v>9601</v>
      </c>
      <c r="L86" s="96">
        <v>9593</v>
      </c>
      <c r="M86" s="97">
        <v>9807</v>
      </c>
      <c r="N86" s="97">
        <v>9388</v>
      </c>
      <c r="O86" s="97">
        <v>9929</v>
      </c>
      <c r="P86" s="67"/>
      <c r="Q86" s="66" t="s">
        <v>1508</v>
      </c>
    </row>
    <row r="87" spans="1:17">
      <c r="A87" s="94">
        <v>2</v>
      </c>
      <c r="B87" s="66" t="s">
        <v>3596</v>
      </c>
      <c r="C87" s="55" t="s">
        <v>7641</v>
      </c>
      <c r="D87" s="72">
        <v>4083</v>
      </c>
      <c r="E87" s="72">
        <v>4228</v>
      </c>
      <c r="F87" s="72">
        <v>4291</v>
      </c>
      <c r="G87" s="72">
        <v>4325</v>
      </c>
      <c r="H87" s="95">
        <v>4396</v>
      </c>
      <c r="I87" s="95">
        <v>4289</v>
      </c>
      <c r="J87" s="95">
        <v>4384</v>
      </c>
      <c r="K87" s="96">
        <v>4743</v>
      </c>
      <c r="L87" s="96">
        <v>4909</v>
      </c>
      <c r="M87" s="97">
        <v>5057</v>
      </c>
      <c r="N87" s="97">
        <v>5003</v>
      </c>
      <c r="O87" s="97">
        <v>5151</v>
      </c>
      <c r="P87" s="67"/>
      <c r="Q87" s="66" t="s">
        <v>878</v>
      </c>
    </row>
    <row r="88" spans="1:17">
      <c r="A88" s="94">
        <v>3</v>
      </c>
      <c r="B88" s="66" t="s">
        <v>5053</v>
      </c>
      <c r="C88" s="55" t="s">
        <v>7642</v>
      </c>
      <c r="D88" s="72">
        <v>10869</v>
      </c>
      <c r="E88" s="72">
        <v>10714</v>
      </c>
      <c r="F88" s="72">
        <v>11017</v>
      </c>
      <c r="G88" s="72">
        <v>10981</v>
      </c>
      <c r="H88" s="95">
        <v>11454</v>
      </c>
      <c r="I88" s="95">
        <v>10743</v>
      </c>
      <c r="J88" s="95">
        <v>10351</v>
      </c>
      <c r="K88" s="96">
        <v>10940</v>
      </c>
      <c r="L88" s="96">
        <v>11006</v>
      </c>
      <c r="M88" s="97">
        <v>11267</v>
      </c>
      <c r="N88" s="97">
        <v>11037</v>
      </c>
      <c r="O88" s="97">
        <v>11879</v>
      </c>
      <c r="P88" s="67"/>
      <c r="Q88" s="66" t="s">
        <v>3614</v>
      </c>
    </row>
    <row r="89" spans="1:17">
      <c r="A89" s="94">
        <v>4</v>
      </c>
      <c r="B89" s="66" t="s">
        <v>5054</v>
      </c>
      <c r="C89" s="55" t="s">
        <v>7643</v>
      </c>
      <c r="D89" s="85">
        <v>10776</v>
      </c>
      <c r="E89" s="85">
        <v>10463</v>
      </c>
      <c r="F89" s="85">
        <v>10738</v>
      </c>
      <c r="G89" s="85">
        <v>10648</v>
      </c>
      <c r="H89" s="95">
        <v>11012</v>
      </c>
      <c r="I89" s="95">
        <v>10608</v>
      </c>
      <c r="J89" s="95">
        <v>10137</v>
      </c>
      <c r="K89" s="96">
        <v>10413</v>
      </c>
      <c r="L89" s="96">
        <v>10534</v>
      </c>
      <c r="M89" s="97">
        <v>10605</v>
      </c>
      <c r="N89" s="97">
        <v>10298</v>
      </c>
      <c r="O89" s="97">
        <v>10677</v>
      </c>
      <c r="P89" s="67"/>
      <c r="Q89" s="66" t="s">
        <v>3614</v>
      </c>
    </row>
    <row r="90" spans="1:17">
      <c r="A90" s="94">
        <v>5</v>
      </c>
      <c r="B90" s="66" t="s">
        <v>5055</v>
      </c>
      <c r="C90" s="55" t="s">
        <v>7644</v>
      </c>
      <c r="D90" s="72">
        <v>6455</v>
      </c>
      <c r="E90" s="72">
        <v>6481</v>
      </c>
      <c r="F90" s="72">
        <v>6482</v>
      </c>
      <c r="G90" s="72">
        <v>6575</v>
      </c>
      <c r="H90" s="95">
        <v>6534</v>
      </c>
      <c r="I90" s="95">
        <v>6328</v>
      </c>
      <c r="J90" s="95">
        <v>6269</v>
      </c>
      <c r="K90" s="96">
        <v>6463</v>
      </c>
      <c r="L90" s="96">
        <v>6460</v>
      </c>
      <c r="M90" s="97">
        <v>6586</v>
      </c>
      <c r="N90" s="97">
        <v>6486</v>
      </c>
      <c r="O90" s="97">
        <v>6610</v>
      </c>
      <c r="P90" s="67"/>
      <c r="Q90" s="66" t="s">
        <v>3614</v>
      </c>
    </row>
    <row r="91" spans="1:17">
      <c r="A91" s="94">
        <v>6</v>
      </c>
      <c r="B91" s="66" t="s">
        <v>5056</v>
      </c>
      <c r="C91" s="55" t="s">
        <v>7645</v>
      </c>
      <c r="D91" s="85">
        <v>6852</v>
      </c>
      <c r="E91" s="85">
        <v>6904</v>
      </c>
      <c r="F91" s="85">
        <v>6946</v>
      </c>
      <c r="G91" s="85">
        <v>6748</v>
      </c>
      <c r="H91" s="95">
        <v>6731</v>
      </c>
      <c r="I91" s="95">
        <v>6327</v>
      </c>
      <c r="J91" s="95">
        <v>6393</v>
      </c>
      <c r="K91" s="96">
        <v>6732</v>
      </c>
      <c r="L91" s="96">
        <v>6788</v>
      </c>
      <c r="M91" s="97">
        <v>6988</v>
      </c>
      <c r="N91" s="97">
        <v>6731</v>
      </c>
      <c r="O91" s="97">
        <v>6820</v>
      </c>
      <c r="P91" s="67"/>
      <c r="Q91" s="66" t="s">
        <v>1508</v>
      </c>
    </row>
    <row r="92" spans="1:17">
      <c r="A92" s="94">
        <v>7</v>
      </c>
      <c r="B92" s="66" t="s">
        <v>5057</v>
      </c>
      <c r="C92" s="55" t="s">
        <v>7646</v>
      </c>
      <c r="D92" s="72">
        <v>9306</v>
      </c>
      <c r="E92" s="72">
        <v>9169</v>
      </c>
      <c r="F92" s="72">
        <v>9470</v>
      </c>
      <c r="G92" s="72">
        <v>9319</v>
      </c>
      <c r="H92" s="95">
        <v>9663</v>
      </c>
      <c r="I92" s="95">
        <v>9335</v>
      </c>
      <c r="J92" s="95">
        <v>8936</v>
      </c>
      <c r="K92" s="96">
        <v>9160</v>
      </c>
      <c r="L92" s="96">
        <v>9135</v>
      </c>
      <c r="M92" s="97">
        <v>9312</v>
      </c>
      <c r="N92" s="97">
        <v>9119</v>
      </c>
      <c r="O92" s="97">
        <v>9502</v>
      </c>
      <c r="P92" s="67"/>
      <c r="Q92" s="66" t="s">
        <v>1508</v>
      </c>
    </row>
    <row r="93" spans="1:17">
      <c r="A93" s="94">
        <v>8</v>
      </c>
      <c r="B93" s="66" t="s">
        <v>4739</v>
      </c>
      <c r="C93" s="55" t="s">
        <v>7647</v>
      </c>
      <c r="D93" s="72">
        <v>10031</v>
      </c>
      <c r="E93" s="72">
        <v>9925</v>
      </c>
      <c r="F93" s="72">
        <v>10253</v>
      </c>
      <c r="G93" s="72">
        <v>10272</v>
      </c>
      <c r="H93" s="95">
        <v>10753</v>
      </c>
      <c r="I93" s="95">
        <v>10518</v>
      </c>
      <c r="J93" s="95">
        <v>10544</v>
      </c>
      <c r="K93" s="96">
        <v>11148</v>
      </c>
      <c r="L93" s="96">
        <v>11259</v>
      </c>
      <c r="M93" s="97">
        <v>11329</v>
      </c>
      <c r="N93" s="97">
        <v>11420</v>
      </c>
      <c r="O93" s="97">
        <v>11729</v>
      </c>
      <c r="P93" s="67"/>
      <c r="Q93" s="66" t="s">
        <v>878</v>
      </c>
    </row>
    <row r="94" spans="1:17">
      <c r="A94" s="94">
        <v>9</v>
      </c>
      <c r="B94" s="66" t="s">
        <v>5058</v>
      </c>
      <c r="C94" s="55" t="s">
        <v>7648</v>
      </c>
      <c r="D94" s="72">
        <v>7365</v>
      </c>
      <c r="E94" s="72">
        <v>7122</v>
      </c>
      <c r="F94" s="72">
        <v>7267</v>
      </c>
      <c r="G94" s="72">
        <v>7320</v>
      </c>
      <c r="H94" s="95">
        <v>7290</v>
      </c>
      <c r="I94" s="95">
        <v>6787</v>
      </c>
      <c r="J94" s="95">
        <v>6837</v>
      </c>
      <c r="K94" s="96">
        <v>7291</v>
      </c>
      <c r="L94" s="96">
        <v>7309</v>
      </c>
      <c r="M94" s="97">
        <v>7532</v>
      </c>
      <c r="N94" s="97">
        <v>7368</v>
      </c>
      <c r="O94" s="97">
        <v>7502</v>
      </c>
      <c r="P94" s="67"/>
      <c r="Q94" s="66" t="s">
        <v>1508</v>
      </c>
    </row>
    <row r="95" spans="1:17">
      <c r="A95" s="94">
        <v>10</v>
      </c>
      <c r="B95" s="66" t="s">
        <v>5059</v>
      </c>
      <c r="C95" s="55" t="s">
        <v>7649</v>
      </c>
      <c r="D95" s="72">
        <v>9843</v>
      </c>
      <c r="E95" s="72">
        <v>9815</v>
      </c>
      <c r="F95" s="72">
        <v>9884</v>
      </c>
      <c r="G95" s="72">
        <v>9969</v>
      </c>
      <c r="H95" s="95">
        <v>9988</v>
      </c>
      <c r="I95" s="95">
        <v>9703</v>
      </c>
      <c r="J95" s="95">
        <v>9488</v>
      </c>
      <c r="K95" s="96">
        <v>9814</v>
      </c>
      <c r="L95" s="96">
        <v>9768</v>
      </c>
      <c r="M95" s="97">
        <v>9984</v>
      </c>
      <c r="N95" s="97">
        <v>9785</v>
      </c>
      <c r="O95" s="97">
        <v>9939</v>
      </c>
      <c r="P95" s="67"/>
      <c r="Q95" s="66" t="s">
        <v>3614</v>
      </c>
    </row>
    <row r="96" spans="1:17">
      <c r="A96" s="94">
        <v>11</v>
      </c>
      <c r="B96" s="66" t="s">
        <v>5060</v>
      </c>
      <c r="C96" s="55" t="s">
        <v>7650</v>
      </c>
      <c r="D96" s="72">
        <v>6756</v>
      </c>
      <c r="E96" s="72">
        <v>6693</v>
      </c>
      <c r="F96" s="72">
        <v>6750</v>
      </c>
      <c r="G96" s="72">
        <v>6817</v>
      </c>
      <c r="H96" s="95">
        <v>6888</v>
      </c>
      <c r="I96" s="95">
        <v>6665</v>
      </c>
      <c r="J96" s="95">
        <v>6546</v>
      </c>
      <c r="K96" s="96">
        <v>6861</v>
      </c>
      <c r="L96" s="96">
        <v>6882</v>
      </c>
      <c r="M96" s="97">
        <v>7105</v>
      </c>
      <c r="N96" s="97">
        <v>6886</v>
      </c>
      <c r="O96" s="97">
        <v>7063</v>
      </c>
      <c r="P96" s="67"/>
      <c r="Q96" s="66" t="s">
        <v>3614</v>
      </c>
    </row>
    <row r="97" spans="1:17">
      <c r="A97" s="94">
        <v>12</v>
      </c>
      <c r="B97" s="66" t="s">
        <v>5061</v>
      </c>
      <c r="C97" s="55" t="s">
        <v>7651</v>
      </c>
      <c r="D97" s="72">
        <v>10051</v>
      </c>
      <c r="E97" s="72">
        <v>10106</v>
      </c>
      <c r="F97" s="72">
        <v>10174</v>
      </c>
      <c r="G97" s="72">
        <v>10185</v>
      </c>
      <c r="H97" s="95">
        <v>10216</v>
      </c>
      <c r="I97" s="95">
        <v>9856</v>
      </c>
      <c r="J97" s="95">
        <v>9613</v>
      </c>
      <c r="K97" s="96">
        <v>10118</v>
      </c>
      <c r="L97" s="96">
        <v>10099</v>
      </c>
      <c r="M97" s="97">
        <v>10308</v>
      </c>
      <c r="N97" s="97">
        <v>10119</v>
      </c>
      <c r="O97" s="97">
        <v>10369</v>
      </c>
      <c r="P97" s="67"/>
      <c r="Q97" s="66" t="s">
        <v>3614</v>
      </c>
    </row>
    <row r="98" spans="1:17">
      <c r="A98" s="94">
        <v>13</v>
      </c>
      <c r="B98" s="66" t="s">
        <v>6414</v>
      </c>
      <c r="C98" s="55" t="s">
        <v>7652</v>
      </c>
      <c r="D98" s="85">
        <v>5177</v>
      </c>
      <c r="E98" s="85">
        <v>5378</v>
      </c>
      <c r="F98" s="85">
        <v>5575</v>
      </c>
      <c r="G98" s="85">
        <v>5387</v>
      </c>
      <c r="H98" s="95">
        <v>5990</v>
      </c>
      <c r="I98" s="95">
        <v>5961</v>
      </c>
      <c r="J98" s="95">
        <v>5741</v>
      </c>
      <c r="K98" s="96">
        <v>6263</v>
      </c>
      <c r="L98" s="96">
        <v>6257</v>
      </c>
      <c r="M98" s="97">
        <v>6390</v>
      </c>
      <c r="N98" s="97">
        <v>6423</v>
      </c>
      <c r="O98" s="97">
        <v>6972</v>
      </c>
      <c r="P98" s="67"/>
      <c r="Q98" s="66" t="s">
        <v>878</v>
      </c>
    </row>
    <row r="99" spans="1:17">
      <c r="A99" s="94">
        <v>14</v>
      </c>
      <c r="B99" s="66" t="s">
        <v>5062</v>
      </c>
      <c r="C99" s="55" t="s">
        <v>7653</v>
      </c>
      <c r="D99" s="72">
        <v>6943</v>
      </c>
      <c r="E99" s="72">
        <v>7142</v>
      </c>
      <c r="F99" s="72">
        <v>7391</v>
      </c>
      <c r="G99" s="72">
        <v>7579</v>
      </c>
      <c r="H99" s="95">
        <v>7656</v>
      </c>
      <c r="I99" s="95">
        <v>7528</v>
      </c>
      <c r="J99" s="95">
        <v>7181</v>
      </c>
      <c r="K99" s="96">
        <v>7397</v>
      </c>
      <c r="L99" s="96">
        <v>7355</v>
      </c>
      <c r="M99" s="97">
        <v>7364</v>
      </c>
      <c r="N99" s="97">
        <v>7168</v>
      </c>
      <c r="O99" s="97">
        <v>7370</v>
      </c>
      <c r="P99" s="67"/>
      <c r="Q99" s="66" t="s">
        <v>878</v>
      </c>
    </row>
    <row r="100" spans="1:17">
      <c r="A100" s="94">
        <v>15</v>
      </c>
      <c r="B100" s="66" t="s">
        <v>5063</v>
      </c>
      <c r="C100" s="55" t="s">
        <v>7654</v>
      </c>
      <c r="D100" s="85">
        <v>9674</v>
      </c>
      <c r="E100" s="85">
        <v>9730</v>
      </c>
      <c r="F100" s="85">
        <v>9794</v>
      </c>
      <c r="G100" s="85">
        <v>9870</v>
      </c>
      <c r="H100" s="95">
        <v>10011</v>
      </c>
      <c r="I100" s="95">
        <v>9819</v>
      </c>
      <c r="J100" s="95">
        <v>9509</v>
      </c>
      <c r="K100" s="96">
        <v>9774</v>
      </c>
      <c r="L100" s="96">
        <v>9933</v>
      </c>
      <c r="M100" s="97">
        <v>10110</v>
      </c>
      <c r="N100" s="97">
        <v>10031</v>
      </c>
      <c r="O100" s="97">
        <v>10338</v>
      </c>
      <c r="P100" s="67"/>
      <c r="Q100" s="66" t="s">
        <v>878</v>
      </c>
    </row>
    <row r="101" spans="1:17">
      <c r="A101" s="94">
        <v>16</v>
      </c>
      <c r="B101" s="66" t="s">
        <v>5064</v>
      </c>
      <c r="C101" s="55" t="s">
        <v>7655</v>
      </c>
      <c r="D101" s="72">
        <v>7434</v>
      </c>
      <c r="E101" s="72">
        <v>7431</v>
      </c>
      <c r="F101" s="72">
        <v>7574</v>
      </c>
      <c r="G101" s="72">
        <v>7624</v>
      </c>
      <c r="H101" s="95">
        <v>7655</v>
      </c>
      <c r="I101" s="95">
        <v>7656</v>
      </c>
      <c r="J101" s="95">
        <v>7318</v>
      </c>
      <c r="K101" s="96">
        <v>7601</v>
      </c>
      <c r="L101" s="96">
        <v>7543</v>
      </c>
      <c r="M101" s="97">
        <v>7509</v>
      </c>
      <c r="N101" s="97">
        <v>7381</v>
      </c>
      <c r="O101" s="97">
        <v>7723</v>
      </c>
      <c r="P101" s="67"/>
      <c r="Q101" s="66" t="s">
        <v>878</v>
      </c>
    </row>
    <row r="102" spans="1:17">
      <c r="A102" s="94">
        <v>17</v>
      </c>
      <c r="B102" s="66" t="s">
        <v>5065</v>
      </c>
      <c r="C102" s="55" t="s">
        <v>7656</v>
      </c>
      <c r="D102" s="72">
        <v>10180</v>
      </c>
      <c r="E102" s="72">
        <v>10039</v>
      </c>
      <c r="F102" s="72">
        <v>10192</v>
      </c>
      <c r="G102" s="72">
        <v>10146</v>
      </c>
      <c r="H102" s="95">
        <v>10333</v>
      </c>
      <c r="I102" s="95">
        <v>9955</v>
      </c>
      <c r="J102" s="95">
        <v>9674</v>
      </c>
      <c r="K102" s="96">
        <v>10042</v>
      </c>
      <c r="L102" s="96">
        <v>10067</v>
      </c>
      <c r="M102" s="97">
        <v>10187</v>
      </c>
      <c r="N102" s="97">
        <v>10065</v>
      </c>
      <c r="O102" s="97">
        <v>10288</v>
      </c>
      <c r="P102" s="67"/>
      <c r="Q102" s="66" t="s">
        <v>878</v>
      </c>
    </row>
    <row r="103" spans="1:17">
      <c r="A103" s="94">
        <v>18</v>
      </c>
      <c r="B103" s="66" t="s">
        <v>5066</v>
      </c>
      <c r="C103" s="55" t="s">
        <v>7657</v>
      </c>
      <c r="D103" s="72">
        <v>10205</v>
      </c>
      <c r="E103" s="72">
        <v>10440</v>
      </c>
      <c r="F103" s="72">
        <v>10539</v>
      </c>
      <c r="G103" s="72">
        <v>10789</v>
      </c>
      <c r="H103" s="95">
        <v>10945</v>
      </c>
      <c r="I103" s="95">
        <v>10827</v>
      </c>
      <c r="J103" s="95">
        <v>10681</v>
      </c>
      <c r="K103" s="96">
        <v>11268</v>
      </c>
      <c r="L103" s="96">
        <v>11376</v>
      </c>
      <c r="M103" s="97">
        <v>11502</v>
      </c>
      <c r="N103" s="97">
        <v>11425</v>
      </c>
      <c r="O103" s="97">
        <v>11787</v>
      </c>
      <c r="P103" s="67"/>
      <c r="Q103" s="66" t="s">
        <v>878</v>
      </c>
    </row>
    <row r="104" spans="1:17">
      <c r="A104" s="94">
        <v>19</v>
      </c>
      <c r="B104" s="66" t="s">
        <v>5067</v>
      </c>
      <c r="C104" s="55" t="s">
        <v>7658</v>
      </c>
      <c r="D104" s="72">
        <v>10542</v>
      </c>
      <c r="E104" s="72">
        <v>10688</v>
      </c>
      <c r="F104" s="72">
        <v>10725</v>
      </c>
      <c r="G104" s="72">
        <v>10715</v>
      </c>
      <c r="H104" s="95">
        <v>11113</v>
      </c>
      <c r="I104" s="95">
        <v>10566</v>
      </c>
      <c r="J104" s="95">
        <v>10285</v>
      </c>
      <c r="K104" s="96">
        <v>10848</v>
      </c>
      <c r="L104" s="96">
        <v>10785</v>
      </c>
      <c r="M104" s="97">
        <v>10823</v>
      </c>
      <c r="N104" s="97">
        <v>10828</v>
      </c>
      <c r="O104" s="97">
        <v>11135</v>
      </c>
      <c r="P104" s="67"/>
      <c r="Q104" s="66" t="s">
        <v>878</v>
      </c>
    </row>
    <row r="105" spans="1:17">
      <c r="A105" s="94">
        <v>20</v>
      </c>
      <c r="B105" s="66" t="s">
        <v>5068</v>
      </c>
      <c r="C105" s="55" t="s">
        <v>7659</v>
      </c>
      <c r="D105" s="72">
        <v>9662</v>
      </c>
      <c r="E105" s="72">
        <v>9909</v>
      </c>
      <c r="F105" s="72">
        <v>9946</v>
      </c>
      <c r="G105" s="72">
        <v>10150</v>
      </c>
      <c r="H105" s="95">
        <v>10279</v>
      </c>
      <c r="I105" s="95">
        <v>10024</v>
      </c>
      <c r="J105" s="95">
        <v>9642</v>
      </c>
      <c r="K105" s="96">
        <v>10033</v>
      </c>
      <c r="L105" s="96">
        <v>10080</v>
      </c>
      <c r="M105" s="97">
        <v>10252</v>
      </c>
      <c r="N105" s="97">
        <v>9879</v>
      </c>
      <c r="O105" s="97">
        <v>10058</v>
      </c>
      <c r="P105" s="67"/>
      <c r="Q105" s="66" t="s">
        <v>3614</v>
      </c>
    </row>
    <row r="106" spans="1:17">
      <c r="A106" s="94">
        <v>21</v>
      </c>
      <c r="B106" s="66" t="s">
        <v>5069</v>
      </c>
      <c r="C106" s="55" t="s">
        <v>7660</v>
      </c>
      <c r="D106" s="72">
        <v>7186</v>
      </c>
      <c r="E106" s="72">
        <v>7215</v>
      </c>
      <c r="F106" s="72">
        <v>7205</v>
      </c>
      <c r="G106" s="72">
        <v>7236</v>
      </c>
      <c r="H106" s="95">
        <v>7384</v>
      </c>
      <c r="I106" s="95">
        <v>7184</v>
      </c>
      <c r="J106" s="95">
        <v>6956</v>
      </c>
      <c r="K106" s="96">
        <v>7176</v>
      </c>
      <c r="L106" s="96">
        <v>7161</v>
      </c>
      <c r="M106" s="97">
        <v>7240</v>
      </c>
      <c r="N106" s="97">
        <v>7106</v>
      </c>
      <c r="O106" s="97">
        <v>7333</v>
      </c>
      <c r="P106" s="67"/>
      <c r="Q106" s="66" t="s">
        <v>1508</v>
      </c>
    </row>
    <row r="107" spans="1:17">
      <c r="A107" s="94">
        <v>22</v>
      </c>
      <c r="B107" s="66" t="s">
        <v>5934</v>
      </c>
      <c r="C107" s="55" t="s">
        <v>7661</v>
      </c>
      <c r="D107" s="85">
        <v>6890</v>
      </c>
      <c r="E107" s="85">
        <v>6928</v>
      </c>
      <c r="F107" s="85">
        <v>7013</v>
      </c>
      <c r="G107" s="85">
        <v>7203</v>
      </c>
      <c r="H107" s="95">
        <v>7353</v>
      </c>
      <c r="I107" s="95">
        <v>7057</v>
      </c>
      <c r="J107" s="95">
        <v>6844</v>
      </c>
      <c r="K107" s="96">
        <v>7177</v>
      </c>
      <c r="L107" s="96">
        <v>7107</v>
      </c>
      <c r="M107" s="97">
        <v>7176</v>
      </c>
      <c r="N107" s="97">
        <v>7154</v>
      </c>
      <c r="O107" s="97">
        <v>7356</v>
      </c>
      <c r="P107" s="67"/>
      <c r="Q107" s="66" t="s">
        <v>3614</v>
      </c>
    </row>
    <row r="108" spans="1:17">
      <c r="A108" s="50"/>
      <c r="B108" s="50"/>
      <c r="C108" s="67"/>
      <c r="D108" s="23"/>
      <c r="E108" s="23"/>
      <c r="F108" s="23"/>
      <c r="G108" s="23"/>
      <c r="H108" s="23"/>
      <c r="I108" s="23"/>
      <c r="J108" s="23"/>
      <c r="K108" s="23"/>
      <c r="L108" s="23"/>
      <c r="M108" s="98"/>
      <c r="N108" s="98"/>
      <c r="O108" s="98"/>
      <c r="P108" s="50"/>
      <c r="Q108" s="50"/>
    </row>
    <row r="109" spans="1:17">
      <c r="A109" s="66" t="s">
        <v>5070</v>
      </c>
      <c r="C109" s="67"/>
      <c r="D109" s="72">
        <f t="shared" ref="D109:I109" si="103">D86+D91+D92+D94+D106</f>
        <v>40266</v>
      </c>
      <c r="E109" s="72">
        <f t="shared" si="103"/>
        <v>40323</v>
      </c>
      <c r="F109" s="72">
        <f t="shared" si="103"/>
        <v>41018</v>
      </c>
      <c r="G109" s="72">
        <f t="shared" si="103"/>
        <v>40695</v>
      </c>
      <c r="H109" s="72">
        <f t="shared" si="103"/>
        <v>41086</v>
      </c>
      <c r="I109" s="72">
        <f t="shared" si="103"/>
        <v>38702</v>
      </c>
      <c r="J109" s="72">
        <f t="shared" ref="J109:O109" si="104">J86+J91+J92+J94+J106</f>
        <v>38118</v>
      </c>
      <c r="K109" s="72">
        <f t="shared" si="104"/>
        <v>39960</v>
      </c>
      <c r="L109" s="72">
        <f t="shared" si="104"/>
        <v>39986</v>
      </c>
      <c r="M109" s="73">
        <f t="shared" si="104"/>
        <v>40879</v>
      </c>
      <c r="N109" s="73">
        <f t="shared" si="104"/>
        <v>39712</v>
      </c>
      <c r="O109" s="73">
        <f t="shared" si="104"/>
        <v>41086</v>
      </c>
      <c r="P109" s="67"/>
      <c r="Q109" s="67"/>
    </row>
    <row r="110" spans="1:17">
      <c r="A110" s="66" t="s">
        <v>3614</v>
      </c>
      <c r="C110" s="67"/>
      <c r="D110" s="72">
        <f t="shared" ref="D110:I110" si="105">SUM(D88:D90)+SUM(D95:D97)+D105+D107</f>
        <v>71302</v>
      </c>
      <c r="E110" s="72">
        <f t="shared" si="105"/>
        <v>71109</v>
      </c>
      <c r="F110" s="72">
        <f t="shared" si="105"/>
        <v>72004</v>
      </c>
      <c r="G110" s="72">
        <f t="shared" si="105"/>
        <v>72528</v>
      </c>
      <c r="H110" s="72">
        <f t="shared" si="105"/>
        <v>73724</v>
      </c>
      <c r="I110" s="72">
        <f t="shared" si="105"/>
        <v>70984</v>
      </c>
      <c r="J110" s="72">
        <f t="shared" ref="J110:O110" si="106">SUM(J88:J90)+SUM(J95:J97)+J105+J107</f>
        <v>68890</v>
      </c>
      <c r="K110" s="72">
        <f t="shared" si="106"/>
        <v>71819</v>
      </c>
      <c r="L110" s="72">
        <f t="shared" si="106"/>
        <v>71936</v>
      </c>
      <c r="M110" s="73">
        <f t="shared" si="106"/>
        <v>73283</v>
      </c>
      <c r="N110" s="73">
        <f t="shared" si="106"/>
        <v>71644</v>
      </c>
      <c r="O110" s="73">
        <f t="shared" si="106"/>
        <v>73951</v>
      </c>
      <c r="P110" s="50"/>
      <c r="Q110" s="67"/>
    </row>
    <row r="111" spans="1:17">
      <c r="A111" s="66" t="s">
        <v>878</v>
      </c>
      <c r="C111" s="67"/>
      <c r="D111" s="72">
        <f t="shared" ref="D111:I111" si="107">D87+D93+SUM(D98:D104)</f>
        <v>74269</v>
      </c>
      <c r="E111" s="72">
        <f t="shared" si="107"/>
        <v>75001</v>
      </c>
      <c r="F111" s="72">
        <f t="shared" si="107"/>
        <v>76334</v>
      </c>
      <c r="G111" s="72">
        <f t="shared" si="107"/>
        <v>76707</v>
      </c>
      <c r="H111" s="72">
        <f t="shared" si="107"/>
        <v>78852</v>
      </c>
      <c r="I111" s="72">
        <f t="shared" si="107"/>
        <v>77119</v>
      </c>
      <c r="J111" s="72">
        <f t="shared" ref="J111:O111" si="108">J87+J93+SUM(J98:J104)</f>
        <v>75317</v>
      </c>
      <c r="K111" s="72">
        <f t="shared" si="108"/>
        <v>79084</v>
      </c>
      <c r="L111" s="72">
        <f t="shared" si="108"/>
        <v>79484</v>
      </c>
      <c r="M111" s="73">
        <f t="shared" si="108"/>
        <v>80271</v>
      </c>
      <c r="N111" s="73">
        <f t="shared" si="108"/>
        <v>79744</v>
      </c>
      <c r="O111" s="73">
        <f t="shared" si="108"/>
        <v>82493</v>
      </c>
      <c r="P111" s="73"/>
      <c r="Q111" s="67"/>
    </row>
    <row r="112" spans="1:17">
      <c r="A112" s="66"/>
      <c r="B112" s="66"/>
      <c r="C112" s="67"/>
      <c r="D112" s="71"/>
      <c r="E112" s="71"/>
      <c r="F112" s="71"/>
      <c r="G112" s="71"/>
      <c r="H112" s="71"/>
      <c r="I112" s="71"/>
      <c r="J112" s="71"/>
      <c r="K112" s="71"/>
      <c r="L112" s="71"/>
      <c r="M112" s="99"/>
      <c r="N112" s="99"/>
      <c r="O112" s="99"/>
      <c r="P112" s="67"/>
      <c r="Q112" s="67"/>
    </row>
    <row r="113" spans="1:17">
      <c r="A113" s="66" t="s">
        <v>5071</v>
      </c>
      <c r="B113" s="66"/>
      <c r="C113" s="67"/>
      <c r="D113" s="71"/>
      <c r="E113" s="71"/>
      <c r="F113" s="71"/>
      <c r="G113" s="71"/>
      <c r="H113" s="71"/>
      <c r="I113" s="71"/>
      <c r="J113" s="71"/>
      <c r="K113" s="71"/>
      <c r="L113" s="71"/>
      <c r="M113" s="99"/>
      <c r="N113" s="99"/>
      <c r="O113" s="99"/>
      <c r="P113" s="67"/>
      <c r="Q113" s="67"/>
    </row>
    <row r="114" spans="1:17">
      <c r="B114" s="66"/>
      <c r="C114" s="67"/>
      <c r="D114" s="71"/>
      <c r="E114" s="71"/>
      <c r="F114" s="71"/>
      <c r="G114" s="71"/>
      <c r="H114" s="71"/>
      <c r="I114" s="71"/>
      <c r="J114" s="71"/>
      <c r="K114" s="71"/>
      <c r="L114" s="71"/>
      <c r="M114" s="99"/>
      <c r="N114" s="99"/>
      <c r="O114" s="99"/>
      <c r="P114" s="67"/>
      <c r="Q114" s="67"/>
    </row>
    <row r="115" spans="1:17">
      <c r="B115" s="66"/>
      <c r="C115" s="67"/>
      <c r="D115" s="71"/>
      <c r="E115" s="71"/>
      <c r="F115" s="71"/>
      <c r="G115" s="71"/>
      <c r="H115" s="71"/>
      <c r="I115" s="71"/>
      <c r="J115" s="71"/>
      <c r="K115" s="71"/>
      <c r="L115" s="71"/>
      <c r="M115" s="99"/>
      <c r="N115" s="99"/>
      <c r="O115" s="99"/>
      <c r="P115" s="67"/>
      <c r="Q115" s="67"/>
    </row>
    <row r="116" spans="1:17">
      <c r="A116" s="67"/>
      <c r="B116" s="67"/>
      <c r="C116" s="67"/>
      <c r="E116" s="92" t="s">
        <v>1526</v>
      </c>
      <c r="F116" s="92"/>
      <c r="G116" s="92"/>
      <c r="H116" s="92"/>
      <c r="I116" s="92"/>
      <c r="J116" s="92"/>
      <c r="K116" s="92"/>
      <c r="L116" s="92"/>
      <c r="M116" s="51"/>
      <c r="N116" s="51"/>
      <c r="O116" s="51"/>
      <c r="P116" s="52"/>
      <c r="Q116" s="53" t="s">
        <v>9479</v>
      </c>
    </row>
    <row r="117" spans="1:17">
      <c r="A117" s="67"/>
      <c r="B117" s="67"/>
      <c r="C117" s="67"/>
      <c r="D117" s="93">
        <v>2010</v>
      </c>
      <c r="E117" s="93">
        <v>2011</v>
      </c>
      <c r="F117" s="93">
        <v>2012</v>
      </c>
      <c r="G117" s="93">
        <v>2013</v>
      </c>
      <c r="H117" s="93">
        <v>2014</v>
      </c>
      <c r="I117" s="93">
        <v>2015</v>
      </c>
      <c r="J117" s="93">
        <v>2016</v>
      </c>
      <c r="K117" s="93">
        <v>2017</v>
      </c>
      <c r="L117" s="93">
        <v>2018</v>
      </c>
      <c r="M117" s="40">
        <v>2019</v>
      </c>
      <c r="N117" s="40">
        <v>2020</v>
      </c>
      <c r="O117" s="963" t="s">
        <v>14823</v>
      </c>
      <c r="P117" s="67"/>
      <c r="Q117" s="54" t="s">
        <v>1527</v>
      </c>
    </row>
    <row r="118" spans="1:17">
      <c r="A118" s="66" t="s">
        <v>5072</v>
      </c>
      <c r="C118" s="67"/>
      <c r="D118" s="72">
        <f t="shared" ref="D118:M118" si="109">SUM(D119:D157)</f>
        <v>85182</v>
      </c>
      <c r="E118" s="72">
        <f t="shared" si="109"/>
        <v>86043</v>
      </c>
      <c r="F118" s="72">
        <f t="shared" si="109"/>
        <v>87420</v>
      </c>
      <c r="G118" s="72">
        <f t="shared" si="109"/>
        <v>88804</v>
      </c>
      <c r="H118" s="72">
        <f t="shared" si="109"/>
        <v>89111</v>
      </c>
      <c r="I118" s="72">
        <f t="shared" si="109"/>
        <v>88043</v>
      </c>
      <c r="J118" s="72">
        <f t="shared" si="109"/>
        <v>86610</v>
      </c>
      <c r="K118" s="72">
        <f t="shared" si="109"/>
        <v>89236</v>
      </c>
      <c r="L118" s="72">
        <f t="shared" si="109"/>
        <v>90894</v>
      </c>
      <c r="M118" s="73">
        <f t="shared" si="109"/>
        <v>91352</v>
      </c>
      <c r="N118" s="73">
        <f>SUM(N119:N157)</f>
        <v>94734</v>
      </c>
      <c r="O118" s="73">
        <f>SUM(O119:O157)</f>
        <v>94045</v>
      </c>
      <c r="P118" s="67"/>
      <c r="Q118" s="67"/>
    </row>
    <row r="119" spans="1:17">
      <c r="A119" s="66" t="s">
        <v>5387</v>
      </c>
      <c r="B119" s="66" t="s">
        <v>12219</v>
      </c>
      <c r="C119" s="55" t="s">
        <v>14606</v>
      </c>
      <c r="D119" s="72">
        <v>81088</v>
      </c>
      <c r="E119" s="72">
        <v>81947</v>
      </c>
      <c r="F119" s="72">
        <v>83339</v>
      </c>
      <c r="G119" s="100">
        <v>84643</v>
      </c>
      <c r="H119" s="100">
        <v>84941</v>
      </c>
      <c r="I119" s="100">
        <v>83940</v>
      </c>
      <c r="J119" s="100">
        <v>82527</v>
      </c>
      <c r="K119" s="100">
        <v>85127</v>
      </c>
      <c r="L119" s="100">
        <v>86621</v>
      </c>
      <c r="M119" s="56">
        <v>4254</v>
      </c>
      <c r="N119" s="56">
        <v>4406</v>
      </c>
      <c r="O119" s="56">
        <v>4356</v>
      </c>
      <c r="P119" s="67"/>
      <c r="Q119" s="66" t="s">
        <v>1504</v>
      </c>
    </row>
    <row r="120" spans="1:17">
      <c r="A120" s="66" t="s">
        <v>5389</v>
      </c>
      <c r="B120" s="66" t="s">
        <v>3581</v>
      </c>
      <c r="C120" s="55" t="s">
        <v>14607</v>
      </c>
      <c r="D120" s="72">
        <v>0</v>
      </c>
      <c r="E120" s="72">
        <v>0</v>
      </c>
      <c r="F120" s="72">
        <v>0</v>
      </c>
      <c r="G120" s="72">
        <v>0</v>
      </c>
      <c r="H120" s="72">
        <v>0</v>
      </c>
      <c r="I120" s="72">
        <v>0</v>
      </c>
      <c r="J120" s="72">
        <v>0</v>
      </c>
      <c r="K120" s="72">
        <v>0</v>
      </c>
      <c r="L120" s="72">
        <v>0</v>
      </c>
      <c r="M120" s="56">
        <v>4364</v>
      </c>
      <c r="N120" s="56">
        <v>4463</v>
      </c>
      <c r="O120" s="56">
        <v>4435</v>
      </c>
      <c r="P120" s="67"/>
      <c r="Q120" s="66" t="s">
        <v>1504</v>
      </c>
    </row>
    <row r="121" spans="1:17">
      <c r="A121" s="66" t="s">
        <v>5391</v>
      </c>
      <c r="B121" s="66" t="s">
        <v>3621</v>
      </c>
      <c r="C121" s="55" t="s">
        <v>14608</v>
      </c>
      <c r="D121" s="72">
        <v>0</v>
      </c>
      <c r="E121" s="72">
        <v>0</v>
      </c>
      <c r="F121" s="72">
        <v>0</v>
      </c>
      <c r="G121" s="72">
        <v>0</v>
      </c>
      <c r="H121" s="72">
        <v>0</v>
      </c>
      <c r="I121" s="72">
        <v>0</v>
      </c>
      <c r="J121" s="72">
        <v>0</v>
      </c>
      <c r="K121" s="72">
        <v>0</v>
      </c>
      <c r="L121" s="72">
        <v>0</v>
      </c>
      <c r="M121" s="56">
        <v>2289</v>
      </c>
      <c r="N121" s="56">
        <v>2368</v>
      </c>
      <c r="O121" s="56">
        <v>2348</v>
      </c>
      <c r="P121" s="67"/>
      <c r="Q121" s="66" t="s">
        <v>1504</v>
      </c>
    </row>
    <row r="122" spans="1:17">
      <c r="A122" s="66" t="s">
        <v>5393</v>
      </c>
      <c r="B122" s="66" t="s">
        <v>12232</v>
      </c>
      <c r="C122" s="55" t="s">
        <v>14609</v>
      </c>
      <c r="D122" s="72">
        <v>4094</v>
      </c>
      <c r="E122" s="72">
        <v>4096</v>
      </c>
      <c r="F122" s="72">
        <v>4081</v>
      </c>
      <c r="G122" s="100">
        <v>4161</v>
      </c>
      <c r="H122" s="100">
        <v>4170</v>
      </c>
      <c r="I122" s="100">
        <v>4103</v>
      </c>
      <c r="J122" s="100">
        <v>4083</v>
      </c>
      <c r="K122" s="100">
        <v>4109</v>
      </c>
      <c r="L122" s="100">
        <v>4273</v>
      </c>
      <c r="M122" s="56">
        <v>2230</v>
      </c>
      <c r="N122" s="56">
        <v>2268</v>
      </c>
      <c r="O122" s="56">
        <v>2251</v>
      </c>
      <c r="P122" s="67"/>
      <c r="Q122" s="66" t="s">
        <v>3613</v>
      </c>
    </row>
    <row r="123" spans="1:17">
      <c r="A123" s="66" t="s">
        <v>5394</v>
      </c>
      <c r="B123" s="66" t="s">
        <v>3622</v>
      </c>
      <c r="C123" s="55" t="s">
        <v>14610</v>
      </c>
      <c r="D123" s="72">
        <v>0</v>
      </c>
      <c r="E123" s="72">
        <v>0</v>
      </c>
      <c r="F123" s="72">
        <v>0</v>
      </c>
      <c r="G123" s="72">
        <v>0</v>
      </c>
      <c r="H123" s="72">
        <v>0</v>
      </c>
      <c r="I123" s="72">
        <v>0</v>
      </c>
      <c r="J123" s="72">
        <v>0</v>
      </c>
      <c r="K123" s="72">
        <v>0</v>
      </c>
      <c r="L123" s="72">
        <v>0</v>
      </c>
      <c r="M123" s="56">
        <v>2038</v>
      </c>
      <c r="N123" s="56">
        <v>2072</v>
      </c>
      <c r="O123" s="56">
        <v>2054</v>
      </c>
      <c r="P123" s="67"/>
      <c r="Q123" s="66" t="s">
        <v>1504</v>
      </c>
    </row>
    <row r="124" spans="1:17">
      <c r="A124" s="66" t="s">
        <v>5416</v>
      </c>
      <c r="B124" s="66" t="s">
        <v>3623</v>
      </c>
      <c r="C124" s="55" t="s">
        <v>14611</v>
      </c>
      <c r="D124" s="72">
        <v>0</v>
      </c>
      <c r="E124" s="72">
        <v>0</v>
      </c>
      <c r="F124" s="72">
        <v>0</v>
      </c>
      <c r="G124" s="72">
        <v>0</v>
      </c>
      <c r="H124" s="72">
        <v>0</v>
      </c>
      <c r="I124" s="72">
        <v>0</v>
      </c>
      <c r="J124" s="72">
        <v>0</v>
      </c>
      <c r="K124" s="72">
        <v>0</v>
      </c>
      <c r="L124" s="72">
        <v>0</v>
      </c>
      <c r="M124" s="56">
        <v>2038</v>
      </c>
      <c r="N124" s="56">
        <v>2057</v>
      </c>
      <c r="O124" s="56">
        <v>2047</v>
      </c>
      <c r="P124" s="67"/>
      <c r="Q124" s="66" t="s">
        <v>1504</v>
      </c>
    </row>
    <row r="125" spans="1:17">
      <c r="A125" s="66" t="s">
        <v>5418</v>
      </c>
      <c r="B125" s="66" t="s">
        <v>3624</v>
      </c>
      <c r="C125" s="55" t="s">
        <v>14612</v>
      </c>
      <c r="D125" s="72">
        <v>0</v>
      </c>
      <c r="E125" s="72">
        <v>0</v>
      </c>
      <c r="F125" s="72">
        <v>0</v>
      </c>
      <c r="G125" s="72">
        <v>0</v>
      </c>
      <c r="H125" s="72">
        <v>0</v>
      </c>
      <c r="I125" s="72">
        <v>0</v>
      </c>
      <c r="J125" s="72">
        <v>0</v>
      </c>
      <c r="K125" s="72">
        <v>0</v>
      </c>
      <c r="L125" s="72">
        <v>0</v>
      </c>
      <c r="M125" s="56">
        <v>2098</v>
      </c>
      <c r="N125" s="56">
        <v>2179</v>
      </c>
      <c r="O125" s="56">
        <v>2169</v>
      </c>
      <c r="P125" s="67"/>
      <c r="Q125" s="66" t="s">
        <v>1504</v>
      </c>
    </row>
    <row r="126" spans="1:17">
      <c r="A126" s="66" t="s">
        <v>5420</v>
      </c>
      <c r="B126" s="66" t="s">
        <v>12220</v>
      </c>
      <c r="C126" s="55" t="s">
        <v>14613</v>
      </c>
      <c r="D126" s="72">
        <v>0</v>
      </c>
      <c r="E126" s="72">
        <v>0</v>
      </c>
      <c r="F126" s="72">
        <v>0</v>
      </c>
      <c r="G126" s="72">
        <v>0</v>
      </c>
      <c r="H126" s="72">
        <v>0</v>
      </c>
      <c r="I126" s="72">
        <v>0</v>
      </c>
      <c r="J126" s="72">
        <v>0</v>
      </c>
      <c r="K126" s="72">
        <v>0</v>
      </c>
      <c r="L126" s="72">
        <v>0</v>
      </c>
      <c r="M126" s="56">
        <v>1428</v>
      </c>
      <c r="N126" s="56">
        <v>1549</v>
      </c>
      <c r="O126" s="56">
        <v>1536</v>
      </c>
      <c r="P126" s="67"/>
      <c r="Q126" s="66" t="s">
        <v>1504</v>
      </c>
    </row>
    <row r="127" spans="1:17">
      <c r="A127" s="66" t="s">
        <v>5422</v>
      </c>
      <c r="B127" s="66" t="s">
        <v>3625</v>
      </c>
      <c r="C127" s="55" t="s">
        <v>14614</v>
      </c>
      <c r="D127" s="72">
        <v>0</v>
      </c>
      <c r="E127" s="72">
        <v>0</v>
      </c>
      <c r="F127" s="72">
        <v>0</v>
      </c>
      <c r="G127" s="72">
        <v>0</v>
      </c>
      <c r="H127" s="72">
        <v>0</v>
      </c>
      <c r="I127" s="72">
        <v>0</v>
      </c>
      <c r="J127" s="72">
        <v>0</v>
      </c>
      <c r="K127" s="72">
        <v>0</v>
      </c>
      <c r="L127" s="72">
        <v>0</v>
      </c>
      <c r="M127" s="56">
        <v>2013</v>
      </c>
      <c r="N127" s="56">
        <v>2055</v>
      </c>
      <c r="O127" s="56">
        <v>2048</v>
      </c>
      <c r="P127" s="67"/>
      <c r="Q127" s="66" t="s">
        <v>1504</v>
      </c>
    </row>
    <row r="128" spans="1:17">
      <c r="A128" s="66" t="s">
        <v>5424</v>
      </c>
      <c r="B128" s="66" t="s">
        <v>3626</v>
      </c>
      <c r="C128" s="55" t="s">
        <v>14615</v>
      </c>
      <c r="D128" s="72">
        <v>0</v>
      </c>
      <c r="E128" s="72">
        <v>0</v>
      </c>
      <c r="F128" s="72">
        <v>0</v>
      </c>
      <c r="G128" s="72">
        <v>0</v>
      </c>
      <c r="H128" s="72">
        <v>0</v>
      </c>
      <c r="I128" s="72">
        <v>0</v>
      </c>
      <c r="J128" s="72">
        <v>0</v>
      </c>
      <c r="K128" s="72">
        <v>0</v>
      </c>
      <c r="L128" s="72">
        <v>0</v>
      </c>
      <c r="M128" s="56">
        <v>2292</v>
      </c>
      <c r="N128" s="56">
        <v>2340</v>
      </c>
      <c r="O128" s="56">
        <v>2331</v>
      </c>
      <c r="P128" s="67"/>
      <c r="Q128" s="66" t="s">
        <v>1504</v>
      </c>
    </row>
    <row r="129" spans="1:17">
      <c r="A129" s="66" t="s">
        <v>5426</v>
      </c>
      <c r="B129" s="66" t="s">
        <v>12221</v>
      </c>
      <c r="C129" s="55" t="s">
        <v>14616</v>
      </c>
      <c r="D129" s="72">
        <v>0</v>
      </c>
      <c r="E129" s="72">
        <v>0</v>
      </c>
      <c r="F129" s="72">
        <v>0</v>
      </c>
      <c r="G129" s="72">
        <v>0</v>
      </c>
      <c r="H129" s="72">
        <v>0</v>
      </c>
      <c r="I129" s="72">
        <v>0</v>
      </c>
      <c r="J129" s="72">
        <v>0</v>
      </c>
      <c r="K129" s="72">
        <v>0</v>
      </c>
      <c r="L129" s="72">
        <v>0</v>
      </c>
      <c r="M129" s="56">
        <v>4242</v>
      </c>
      <c r="N129" s="56">
        <v>4384</v>
      </c>
      <c r="O129" s="56">
        <v>4316</v>
      </c>
      <c r="P129" s="67"/>
      <c r="Q129" s="66" t="s">
        <v>1504</v>
      </c>
    </row>
    <row r="130" spans="1:17">
      <c r="A130" s="66" t="s">
        <v>5428</v>
      </c>
      <c r="B130" s="66" t="s">
        <v>12222</v>
      </c>
      <c r="C130" s="55" t="s">
        <v>14617</v>
      </c>
      <c r="D130" s="72">
        <v>0</v>
      </c>
      <c r="E130" s="72">
        <v>0</v>
      </c>
      <c r="F130" s="72">
        <v>0</v>
      </c>
      <c r="G130" s="72">
        <v>0</v>
      </c>
      <c r="H130" s="72">
        <v>0</v>
      </c>
      <c r="I130" s="72">
        <v>0</v>
      </c>
      <c r="J130" s="72">
        <v>0</v>
      </c>
      <c r="K130" s="72">
        <v>0</v>
      </c>
      <c r="L130" s="72">
        <v>0</v>
      </c>
      <c r="M130" s="56">
        <v>1786</v>
      </c>
      <c r="N130" s="56">
        <v>1864</v>
      </c>
      <c r="O130" s="56">
        <v>1841</v>
      </c>
      <c r="P130" s="67"/>
      <c r="Q130" s="66" t="s">
        <v>1504</v>
      </c>
    </row>
    <row r="131" spans="1:17">
      <c r="A131" s="66" t="s">
        <v>5429</v>
      </c>
      <c r="B131" s="66" t="s">
        <v>3627</v>
      </c>
      <c r="C131" s="55" t="s">
        <v>14618</v>
      </c>
      <c r="D131" s="72">
        <v>0</v>
      </c>
      <c r="E131" s="72">
        <v>0</v>
      </c>
      <c r="F131" s="72">
        <v>0</v>
      </c>
      <c r="G131" s="72">
        <v>0</v>
      </c>
      <c r="H131" s="72">
        <v>0</v>
      </c>
      <c r="I131" s="72">
        <v>0</v>
      </c>
      <c r="J131" s="72">
        <v>0</v>
      </c>
      <c r="K131" s="72">
        <v>0</v>
      </c>
      <c r="L131" s="72">
        <v>0</v>
      </c>
      <c r="M131" s="56">
        <v>1910</v>
      </c>
      <c r="N131" s="56">
        <v>1930</v>
      </c>
      <c r="O131" s="56">
        <v>1922</v>
      </c>
      <c r="P131" s="67"/>
      <c r="Q131" s="66" t="s">
        <v>1504</v>
      </c>
    </row>
    <row r="132" spans="1:17">
      <c r="A132" s="66" t="s">
        <v>5431</v>
      </c>
      <c r="B132" s="66" t="s">
        <v>735</v>
      </c>
      <c r="C132" s="55" t="s">
        <v>14619</v>
      </c>
      <c r="D132" s="72">
        <v>0</v>
      </c>
      <c r="E132" s="72">
        <v>0</v>
      </c>
      <c r="F132" s="72">
        <v>0</v>
      </c>
      <c r="G132" s="72">
        <v>0</v>
      </c>
      <c r="H132" s="72">
        <v>0</v>
      </c>
      <c r="I132" s="72">
        <v>0</v>
      </c>
      <c r="J132" s="72">
        <v>0</v>
      </c>
      <c r="K132" s="72">
        <v>0</v>
      </c>
      <c r="L132" s="72">
        <v>0</v>
      </c>
      <c r="M132" s="56">
        <v>1990</v>
      </c>
      <c r="N132" s="56">
        <v>2054</v>
      </c>
      <c r="O132" s="56">
        <v>2033</v>
      </c>
      <c r="P132" s="67"/>
      <c r="Q132" s="66" t="s">
        <v>1504</v>
      </c>
    </row>
    <row r="133" spans="1:17">
      <c r="A133" s="66" t="s">
        <v>5433</v>
      </c>
      <c r="B133" s="66" t="s">
        <v>3628</v>
      </c>
      <c r="C133" s="55" t="s">
        <v>14620</v>
      </c>
      <c r="D133" s="72">
        <v>0</v>
      </c>
      <c r="E133" s="72">
        <v>0</v>
      </c>
      <c r="F133" s="72">
        <v>0</v>
      </c>
      <c r="G133" s="72">
        <v>0</v>
      </c>
      <c r="H133" s="72">
        <v>0</v>
      </c>
      <c r="I133" s="72">
        <v>0</v>
      </c>
      <c r="J133" s="72">
        <v>0</v>
      </c>
      <c r="K133" s="72">
        <v>0</v>
      </c>
      <c r="L133" s="72">
        <v>0</v>
      </c>
      <c r="M133" s="56">
        <v>2208</v>
      </c>
      <c r="N133" s="56">
        <v>2252</v>
      </c>
      <c r="O133" s="56">
        <v>2233</v>
      </c>
      <c r="P133" s="67"/>
      <c r="Q133" s="66" t="s">
        <v>1504</v>
      </c>
    </row>
    <row r="134" spans="1:17">
      <c r="A134" s="66" t="s">
        <v>5435</v>
      </c>
      <c r="B134" s="66" t="s">
        <v>3629</v>
      </c>
      <c r="C134" s="55" t="s">
        <v>14621</v>
      </c>
      <c r="D134" s="72">
        <v>0</v>
      </c>
      <c r="E134" s="72">
        <v>0</v>
      </c>
      <c r="F134" s="72">
        <v>0</v>
      </c>
      <c r="G134" s="72">
        <v>0</v>
      </c>
      <c r="H134" s="72">
        <v>0</v>
      </c>
      <c r="I134" s="72">
        <v>0</v>
      </c>
      <c r="J134" s="72">
        <v>0</v>
      </c>
      <c r="K134" s="72">
        <v>0</v>
      </c>
      <c r="L134" s="72">
        <v>0</v>
      </c>
      <c r="M134" s="58">
        <v>1767</v>
      </c>
      <c r="N134" s="58">
        <v>1812</v>
      </c>
      <c r="O134" s="58">
        <v>1815</v>
      </c>
      <c r="P134" s="67"/>
      <c r="Q134" s="66" t="s">
        <v>1504</v>
      </c>
    </row>
    <row r="135" spans="1:17">
      <c r="A135" s="66" t="s">
        <v>5436</v>
      </c>
      <c r="B135" s="66" t="s">
        <v>12223</v>
      </c>
      <c r="C135" s="55" t="s">
        <v>14622</v>
      </c>
      <c r="D135" s="72">
        <v>0</v>
      </c>
      <c r="E135" s="72">
        <v>0</v>
      </c>
      <c r="F135" s="72">
        <v>0</v>
      </c>
      <c r="G135" s="72">
        <v>0</v>
      </c>
      <c r="H135" s="72">
        <v>0</v>
      </c>
      <c r="I135" s="72">
        <v>0</v>
      </c>
      <c r="J135" s="72">
        <v>0</v>
      </c>
      <c r="K135" s="72">
        <v>0</v>
      </c>
      <c r="L135" s="72">
        <v>0</v>
      </c>
      <c r="M135" s="58">
        <v>1758</v>
      </c>
      <c r="N135" s="58">
        <v>1803</v>
      </c>
      <c r="O135" s="58">
        <v>1796</v>
      </c>
      <c r="P135" s="67"/>
      <c r="Q135" s="66" t="s">
        <v>1504</v>
      </c>
    </row>
    <row r="136" spans="1:17">
      <c r="A136" s="66" t="s">
        <v>5437</v>
      </c>
      <c r="B136" s="66" t="s">
        <v>12224</v>
      </c>
      <c r="C136" s="55" t="s">
        <v>14623</v>
      </c>
      <c r="D136" s="72">
        <v>0</v>
      </c>
      <c r="E136" s="72">
        <v>0</v>
      </c>
      <c r="F136" s="72">
        <v>0</v>
      </c>
      <c r="G136" s="72">
        <v>0</v>
      </c>
      <c r="H136" s="72">
        <v>0</v>
      </c>
      <c r="I136" s="72">
        <v>0</v>
      </c>
      <c r="J136" s="72">
        <v>0</v>
      </c>
      <c r="K136" s="72">
        <v>0</v>
      </c>
      <c r="L136" s="72">
        <v>0</v>
      </c>
      <c r="M136" s="58">
        <v>1545</v>
      </c>
      <c r="N136" s="58">
        <v>1767</v>
      </c>
      <c r="O136" s="58">
        <v>1762</v>
      </c>
      <c r="P136" s="67"/>
      <c r="Q136" s="66" t="s">
        <v>1504</v>
      </c>
    </row>
    <row r="137" spans="1:17">
      <c r="A137" s="66" t="s">
        <v>5439</v>
      </c>
      <c r="B137" s="66" t="s">
        <v>5125</v>
      </c>
      <c r="C137" s="55" t="s">
        <v>14624</v>
      </c>
      <c r="D137" s="72">
        <v>0</v>
      </c>
      <c r="E137" s="72">
        <v>0</v>
      </c>
      <c r="F137" s="72">
        <v>0</v>
      </c>
      <c r="G137" s="72">
        <v>0</v>
      </c>
      <c r="H137" s="72">
        <v>0</v>
      </c>
      <c r="I137" s="72">
        <v>0</v>
      </c>
      <c r="J137" s="72">
        <v>0</v>
      </c>
      <c r="K137" s="72">
        <v>0</v>
      </c>
      <c r="L137" s="72">
        <v>0</v>
      </c>
      <c r="M137" s="58">
        <v>1936</v>
      </c>
      <c r="N137" s="58">
        <v>2002</v>
      </c>
      <c r="O137" s="58">
        <v>1981</v>
      </c>
      <c r="P137" s="67"/>
      <c r="Q137" s="66" t="s">
        <v>1504</v>
      </c>
    </row>
    <row r="138" spans="1:17">
      <c r="A138" s="66" t="s">
        <v>5441</v>
      </c>
      <c r="B138" s="66" t="s">
        <v>3641</v>
      </c>
      <c r="C138" s="55" t="s">
        <v>14625</v>
      </c>
      <c r="D138" s="72">
        <v>0</v>
      </c>
      <c r="E138" s="72">
        <v>0</v>
      </c>
      <c r="F138" s="72">
        <v>0</v>
      </c>
      <c r="G138" s="72">
        <v>0</v>
      </c>
      <c r="H138" s="72">
        <v>0</v>
      </c>
      <c r="I138" s="72">
        <v>0</v>
      </c>
      <c r="J138" s="72">
        <v>0</v>
      </c>
      <c r="K138" s="72">
        <v>0</v>
      </c>
      <c r="L138" s="72">
        <v>0</v>
      </c>
      <c r="M138" s="58">
        <v>1769</v>
      </c>
      <c r="N138" s="58">
        <v>1840</v>
      </c>
      <c r="O138" s="58">
        <v>1819</v>
      </c>
      <c r="P138" s="67"/>
      <c r="Q138" s="66" t="s">
        <v>1504</v>
      </c>
    </row>
    <row r="139" spans="1:17">
      <c r="A139" s="66" t="s">
        <v>5886</v>
      </c>
      <c r="B139" s="66" t="s">
        <v>3642</v>
      </c>
      <c r="C139" s="55" t="s">
        <v>14626</v>
      </c>
      <c r="D139" s="72">
        <v>0</v>
      </c>
      <c r="E139" s="72">
        <v>0</v>
      </c>
      <c r="F139" s="72">
        <v>0</v>
      </c>
      <c r="G139" s="72">
        <v>0</v>
      </c>
      <c r="H139" s="72">
        <v>0</v>
      </c>
      <c r="I139" s="72">
        <v>0</v>
      </c>
      <c r="J139" s="72">
        <v>0</v>
      </c>
      <c r="K139" s="72">
        <v>0</v>
      </c>
      <c r="L139" s="72">
        <v>0</v>
      </c>
      <c r="M139" s="58">
        <v>1807</v>
      </c>
      <c r="N139" s="58">
        <v>1824</v>
      </c>
      <c r="O139" s="58">
        <v>1808</v>
      </c>
      <c r="P139" s="67"/>
      <c r="Q139" s="66" t="s">
        <v>1504</v>
      </c>
    </row>
    <row r="140" spans="1:17">
      <c r="A140" s="66" t="s">
        <v>5888</v>
      </c>
      <c r="B140" s="66" t="s">
        <v>1322</v>
      </c>
      <c r="C140" s="55" t="s">
        <v>14627</v>
      </c>
      <c r="D140" s="72">
        <v>0</v>
      </c>
      <c r="E140" s="72">
        <v>0</v>
      </c>
      <c r="F140" s="72">
        <v>0</v>
      </c>
      <c r="G140" s="72">
        <v>0</v>
      </c>
      <c r="H140" s="72">
        <v>0</v>
      </c>
      <c r="I140" s="72">
        <v>0</v>
      </c>
      <c r="J140" s="72">
        <v>0</v>
      </c>
      <c r="K140" s="72">
        <v>0</v>
      </c>
      <c r="L140" s="72">
        <v>0</v>
      </c>
      <c r="M140" s="58">
        <v>2754</v>
      </c>
      <c r="N140" s="58">
        <v>3077</v>
      </c>
      <c r="O140" s="58">
        <v>3067</v>
      </c>
      <c r="P140" s="67"/>
      <c r="Q140" s="66" t="s">
        <v>1504</v>
      </c>
    </row>
    <row r="141" spans="1:17">
      <c r="A141" s="66" t="s">
        <v>5889</v>
      </c>
      <c r="B141" s="66" t="s">
        <v>12225</v>
      </c>
      <c r="C141" s="55" t="s">
        <v>14628</v>
      </c>
      <c r="D141" s="72">
        <v>0</v>
      </c>
      <c r="E141" s="72">
        <v>0</v>
      </c>
      <c r="F141" s="72">
        <v>0</v>
      </c>
      <c r="G141" s="72">
        <v>0</v>
      </c>
      <c r="H141" s="72">
        <v>0</v>
      </c>
      <c r="I141" s="72">
        <v>0</v>
      </c>
      <c r="J141" s="72">
        <v>0</v>
      </c>
      <c r="K141" s="72">
        <v>0</v>
      </c>
      <c r="L141" s="72">
        <v>0</v>
      </c>
      <c r="M141" s="58">
        <v>1938</v>
      </c>
      <c r="N141" s="58">
        <v>1987</v>
      </c>
      <c r="O141" s="58">
        <v>1974</v>
      </c>
      <c r="P141" s="67"/>
      <c r="Q141" s="66" t="s">
        <v>1504</v>
      </c>
    </row>
    <row r="142" spans="1:17">
      <c r="A142" s="66" t="s">
        <v>4431</v>
      </c>
      <c r="B142" s="66" t="s">
        <v>2384</v>
      </c>
      <c r="C142" s="55" t="s">
        <v>14629</v>
      </c>
      <c r="D142" s="72">
        <v>0</v>
      </c>
      <c r="E142" s="72">
        <v>0</v>
      </c>
      <c r="F142" s="72">
        <v>0</v>
      </c>
      <c r="G142" s="72">
        <v>0</v>
      </c>
      <c r="H142" s="72">
        <v>0</v>
      </c>
      <c r="I142" s="72">
        <v>0</v>
      </c>
      <c r="J142" s="72">
        <v>0</v>
      </c>
      <c r="K142" s="72">
        <v>0</v>
      </c>
      <c r="L142" s="72">
        <v>0</v>
      </c>
      <c r="M142" s="58">
        <v>2076</v>
      </c>
      <c r="N142" s="58">
        <v>2148</v>
      </c>
      <c r="O142" s="58">
        <v>2141</v>
      </c>
      <c r="P142" s="67"/>
      <c r="Q142" s="66" t="s">
        <v>1504</v>
      </c>
    </row>
    <row r="143" spans="1:17">
      <c r="A143" s="66" t="s">
        <v>4432</v>
      </c>
      <c r="B143" s="66" t="s">
        <v>632</v>
      </c>
      <c r="C143" s="55" t="s">
        <v>14630</v>
      </c>
      <c r="D143" s="72">
        <v>0</v>
      </c>
      <c r="E143" s="72">
        <v>0</v>
      </c>
      <c r="F143" s="72">
        <v>0</v>
      </c>
      <c r="G143" s="72">
        <v>0</v>
      </c>
      <c r="H143" s="72">
        <v>0</v>
      </c>
      <c r="I143" s="72">
        <v>0</v>
      </c>
      <c r="J143" s="72">
        <v>0</v>
      </c>
      <c r="K143" s="72">
        <v>0</v>
      </c>
      <c r="L143" s="72">
        <v>0</v>
      </c>
      <c r="M143" s="58">
        <v>2020</v>
      </c>
      <c r="N143" s="58">
        <v>2086</v>
      </c>
      <c r="O143" s="58">
        <v>2082</v>
      </c>
      <c r="P143" s="67"/>
      <c r="Q143" s="66" t="s">
        <v>3613</v>
      </c>
    </row>
    <row r="144" spans="1:17">
      <c r="A144" s="66" t="s">
        <v>4434</v>
      </c>
      <c r="B144" s="66" t="s">
        <v>12226</v>
      </c>
      <c r="C144" s="55" t="s">
        <v>14631</v>
      </c>
      <c r="D144" s="72">
        <v>0</v>
      </c>
      <c r="E144" s="72">
        <v>0</v>
      </c>
      <c r="F144" s="72">
        <v>0</v>
      </c>
      <c r="G144" s="72">
        <v>0</v>
      </c>
      <c r="H144" s="72">
        <v>0</v>
      </c>
      <c r="I144" s="72">
        <v>0</v>
      </c>
      <c r="J144" s="72">
        <v>0</v>
      </c>
      <c r="K144" s="72">
        <v>0</v>
      </c>
      <c r="L144" s="72">
        <v>0</v>
      </c>
      <c r="M144" s="58">
        <v>1742</v>
      </c>
      <c r="N144" s="58">
        <v>1775</v>
      </c>
      <c r="O144" s="58">
        <v>1772</v>
      </c>
      <c r="P144" s="67"/>
      <c r="Q144" s="66" t="s">
        <v>1504</v>
      </c>
    </row>
    <row r="145" spans="1:17">
      <c r="A145" s="66" t="s">
        <v>4533</v>
      </c>
      <c r="B145" s="66" t="s">
        <v>12227</v>
      </c>
      <c r="C145" s="55" t="s">
        <v>14632</v>
      </c>
      <c r="D145" s="72">
        <v>0</v>
      </c>
      <c r="E145" s="72">
        <v>0</v>
      </c>
      <c r="F145" s="72">
        <v>0</v>
      </c>
      <c r="G145" s="72">
        <v>0</v>
      </c>
      <c r="H145" s="72">
        <v>0</v>
      </c>
      <c r="I145" s="72">
        <v>0</v>
      </c>
      <c r="J145" s="72">
        <v>0</v>
      </c>
      <c r="K145" s="72">
        <v>0</v>
      </c>
      <c r="L145" s="72">
        <v>0</v>
      </c>
      <c r="M145" s="58">
        <v>1901</v>
      </c>
      <c r="N145" s="58">
        <v>2022</v>
      </c>
      <c r="O145" s="58">
        <v>2011</v>
      </c>
      <c r="P145" s="67"/>
      <c r="Q145" s="66" t="s">
        <v>1504</v>
      </c>
    </row>
    <row r="146" spans="1:17">
      <c r="A146" s="66" t="s">
        <v>4535</v>
      </c>
      <c r="B146" s="66" t="s">
        <v>2693</v>
      </c>
      <c r="C146" s="55" t="s">
        <v>14633</v>
      </c>
      <c r="D146" s="72">
        <v>0</v>
      </c>
      <c r="E146" s="72">
        <v>0</v>
      </c>
      <c r="F146" s="72">
        <v>0</v>
      </c>
      <c r="G146" s="72">
        <v>0</v>
      </c>
      <c r="H146" s="72">
        <v>0</v>
      </c>
      <c r="I146" s="72">
        <v>0</v>
      </c>
      <c r="J146" s="72">
        <v>0</v>
      </c>
      <c r="K146" s="72">
        <v>0</v>
      </c>
      <c r="L146" s="72">
        <v>0</v>
      </c>
      <c r="M146" s="58">
        <v>1781</v>
      </c>
      <c r="N146" s="58">
        <v>1808</v>
      </c>
      <c r="O146" s="58">
        <v>1799</v>
      </c>
      <c r="P146" s="67"/>
      <c r="Q146" s="66" t="s">
        <v>1504</v>
      </c>
    </row>
    <row r="147" spans="1:17">
      <c r="A147" s="66" t="s">
        <v>4537</v>
      </c>
      <c r="B147" s="66" t="s">
        <v>3680</v>
      </c>
      <c r="C147" s="55" t="s">
        <v>14634</v>
      </c>
      <c r="D147" s="72">
        <v>0</v>
      </c>
      <c r="E147" s="72">
        <v>0</v>
      </c>
      <c r="F147" s="72">
        <v>0</v>
      </c>
      <c r="G147" s="72">
        <v>0</v>
      </c>
      <c r="H147" s="72">
        <v>0</v>
      </c>
      <c r="I147" s="72">
        <v>0</v>
      </c>
      <c r="J147" s="72">
        <v>0</v>
      </c>
      <c r="K147" s="72">
        <v>0</v>
      </c>
      <c r="L147" s="72">
        <v>0</v>
      </c>
      <c r="M147" s="58">
        <v>1878</v>
      </c>
      <c r="N147" s="58">
        <v>1969</v>
      </c>
      <c r="O147" s="58">
        <v>1963</v>
      </c>
      <c r="P147" s="67"/>
      <c r="Q147" s="66" t="s">
        <v>1504</v>
      </c>
    </row>
    <row r="148" spans="1:17">
      <c r="A148" s="66" t="s">
        <v>4539</v>
      </c>
      <c r="B148" s="66" t="s">
        <v>3681</v>
      </c>
      <c r="C148" s="55" t="s">
        <v>14635</v>
      </c>
      <c r="D148" s="72">
        <v>0</v>
      </c>
      <c r="E148" s="72">
        <v>0</v>
      </c>
      <c r="F148" s="72">
        <v>0</v>
      </c>
      <c r="G148" s="72">
        <v>0</v>
      </c>
      <c r="H148" s="72">
        <v>0</v>
      </c>
      <c r="I148" s="72">
        <v>0</v>
      </c>
      <c r="J148" s="72">
        <v>0</v>
      </c>
      <c r="K148" s="72">
        <v>0</v>
      </c>
      <c r="L148" s="72">
        <v>0</v>
      </c>
      <c r="M148" s="58">
        <v>1659</v>
      </c>
      <c r="N148" s="58">
        <v>1869</v>
      </c>
      <c r="O148" s="58">
        <v>1879</v>
      </c>
      <c r="P148" s="67"/>
      <c r="Q148" s="66" t="s">
        <v>1504</v>
      </c>
    </row>
    <row r="149" spans="1:17">
      <c r="A149" s="66">
        <v>31</v>
      </c>
      <c r="B149" s="66" t="s">
        <v>12228</v>
      </c>
      <c r="C149" s="55" t="s">
        <v>14636</v>
      </c>
      <c r="D149" s="72">
        <v>0</v>
      </c>
      <c r="E149" s="72">
        <v>0</v>
      </c>
      <c r="F149" s="72">
        <v>0</v>
      </c>
      <c r="G149" s="72">
        <v>0</v>
      </c>
      <c r="H149" s="72">
        <v>0</v>
      </c>
      <c r="I149" s="72">
        <v>0</v>
      </c>
      <c r="J149" s="72">
        <v>0</v>
      </c>
      <c r="K149" s="72">
        <v>0</v>
      </c>
      <c r="L149" s="72">
        <v>0</v>
      </c>
      <c r="M149" s="58">
        <v>2097</v>
      </c>
      <c r="N149" s="58">
        <v>2138</v>
      </c>
      <c r="O149" s="58">
        <v>2132</v>
      </c>
      <c r="P149" s="67"/>
      <c r="Q149" s="66" t="s">
        <v>1504</v>
      </c>
    </row>
    <row r="150" spans="1:17">
      <c r="A150" s="66">
        <v>32</v>
      </c>
      <c r="B150" s="66" t="s">
        <v>12229</v>
      </c>
      <c r="C150" s="55" t="s">
        <v>14637</v>
      </c>
      <c r="D150" s="72">
        <v>0</v>
      </c>
      <c r="E150" s="72">
        <v>0</v>
      </c>
      <c r="F150" s="72">
        <v>0</v>
      </c>
      <c r="G150" s="72">
        <v>0</v>
      </c>
      <c r="H150" s="72">
        <v>0</v>
      </c>
      <c r="I150" s="72">
        <v>0</v>
      </c>
      <c r="J150" s="72">
        <v>0</v>
      </c>
      <c r="K150" s="72">
        <v>0</v>
      </c>
      <c r="L150" s="72">
        <v>0</v>
      </c>
      <c r="M150" s="58">
        <v>2066</v>
      </c>
      <c r="N150" s="58">
        <v>2097</v>
      </c>
      <c r="O150" s="58">
        <v>2077</v>
      </c>
      <c r="P150" s="67"/>
      <c r="Q150" s="66" t="s">
        <v>1504</v>
      </c>
    </row>
    <row r="151" spans="1:17">
      <c r="A151" s="66">
        <v>33</v>
      </c>
      <c r="B151" s="66" t="s">
        <v>4538</v>
      </c>
      <c r="C151" s="55" t="s">
        <v>14638</v>
      </c>
      <c r="D151" s="72">
        <v>0</v>
      </c>
      <c r="E151" s="72">
        <v>0</v>
      </c>
      <c r="F151" s="72">
        <v>0</v>
      </c>
      <c r="G151" s="72">
        <v>0</v>
      </c>
      <c r="H151" s="72">
        <v>0</v>
      </c>
      <c r="I151" s="72">
        <v>0</v>
      </c>
      <c r="J151" s="72">
        <v>0</v>
      </c>
      <c r="K151" s="72">
        <v>0</v>
      </c>
      <c r="L151" s="72">
        <v>0</v>
      </c>
      <c r="M151" s="58">
        <v>4009</v>
      </c>
      <c r="N151" s="58">
        <v>4236</v>
      </c>
      <c r="O151" s="58">
        <v>4157</v>
      </c>
      <c r="P151" s="67"/>
      <c r="Q151" s="66" t="s">
        <v>1504</v>
      </c>
    </row>
    <row r="152" spans="1:17">
      <c r="A152" s="66">
        <v>34</v>
      </c>
      <c r="B152" s="66" t="s">
        <v>3682</v>
      </c>
      <c r="C152" s="55" t="s">
        <v>14639</v>
      </c>
      <c r="D152" s="72">
        <v>0</v>
      </c>
      <c r="E152" s="72">
        <v>0</v>
      </c>
      <c r="F152" s="72">
        <v>0</v>
      </c>
      <c r="G152" s="72">
        <v>0</v>
      </c>
      <c r="H152" s="72">
        <v>0</v>
      </c>
      <c r="I152" s="72">
        <v>0</v>
      </c>
      <c r="J152" s="72">
        <v>0</v>
      </c>
      <c r="K152" s="72">
        <v>0</v>
      </c>
      <c r="L152" s="72">
        <v>0</v>
      </c>
      <c r="M152" s="58">
        <v>1960</v>
      </c>
      <c r="N152" s="58">
        <v>2032</v>
      </c>
      <c r="O152" s="58">
        <v>2026</v>
      </c>
      <c r="P152" s="67"/>
      <c r="Q152" s="66" t="s">
        <v>1504</v>
      </c>
    </row>
    <row r="153" spans="1:17">
      <c r="A153" s="66">
        <v>35</v>
      </c>
      <c r="B153" s="66" t="s">
        <v>3683</v>
      </c>
      <c r="C153" s="55" t="s">
        <v>14640</v>
      </c>
      <c r="D153" s="72">
        <v>0</v>
      </c>
      <c r="E153" s="72">
        <v>0</v>
      </c>
      <c r="F153" s="72">
        <v>0</v>
      </c>
      <c r="G153" s="72">
        <v>0</v>
      </c>
      <c r="H153" s="72">
        <v>0</v>
      </c>
      <c r="I153" s="72">
        <v>0</v>
      </c>
      <c r="J153" s="72">
        <v>0</v>
      </c>
      <c r="K153" s="72">
        <v>0</v>
      </c>
      <c r="L153" s="72">
        <v>0</v>
      </c>
      <c r="M153" s="58">
        <v>3276</v>
      </c>
      <c r="N153" s="58">
        <v>3413</v>
      </c>
      <c r="O153" s="58">
        <v>3397</v>
      </c>
      <c r="P153" s="67"/>
      <c r="Q153" s="66" t="s">
        <v>1504</v>
      </c>
    </row>
    <row r="154" spans="1:17">
      <c r="A154" s="66">
        <v>36</v>
      </c>
      <c r="B154" s="66" t="s">
        <v>3684</v>
      </c>
      <c r="C154" s="55" t="s">
        <v>14641</v>
      </c>
      <c r="D154" s="72">
        <v>0</v>
      </c>
      <c r="E154" s="72">
        <v>0</v>
      </c>
      <c r="F154" s="72">
        <v>0</v>
      </c>
      <c r="G154" s="72">
        <v>0</v>
      </c>
      <c r="H154" s="72">
        <v>0</v>
      </c>
      <c r="I154" s="72">
        <v>0</v>
      </c>
      <c r="J154" s="72">
        <v>0</v>
      </c>
      <c r="K154" s="72">
        <v>0</v>
      </c>
      <c r="L154" s="72">
        <v>0</v>
      </c>
      <c r="M154" s="58">
        <v>1960</v>
      </c>
      <c r="N154" s="58">
        <v>2002</v>
      </c>
      <c r="O154" s="58">
        <v>1992</v>
      </c>
      <c r="P154" s="67"/>
      <c r="Q154" s="66" t="s">
        <v>1504</v>
      </c>
    </row>
    <row r="155" spans="1:17">
      <c r="A155" s="66">
        <v>37</v>
      </c>
      <c r="B155" s="66" t="s">
        <v>3685</v>
      </c>
      <c r="C155" s="55" t="s">
        <v>14642</v>
      </c>
      <c r="D155" s="72">
        <v>0</v>
      </c>
      <c r="E155" s="72">
        <v>0</v>
      </c>
      <c r="F155" s="72">
        <v>0</v>
      </c>
      <c r="G155" s="72">
        <v>0</v>
      </c>
      <c r="H155" s="72">
        <v>0</v>
      </c>
      <c r="I155" s="72">
        <v>0</v>
      </c>
      <c r="J155" s="72">
        <v>0</v>
      </c>
      <c r="K155" s="72">
        <v>0</v>
      </c>
      <c r="L155" s="72">
        <v>0</v>
      </c>
      <c r="M155" s="58">
        <v>4161</v>
      </c>
      <c r="N155" s="58">
        <v>4316</v>
      </c>
      <c r="O155" s="58">
        <v>4285</v>
      </c>
      <c r="P155" s="67"/>
      <c r="Q155" s="66" t="s">
        <v>1504</v>
      </c>
    </row>
    <row r="156" spans="1:17">
      <c r="A156" s="66">
        <v>38</v>
      </c>
      <c r="B156" s="66" t="s">
        <v>12230</v>
      </c>
      <c r="C156" s="55" t="s">
        <v>14643</v>
      </c>
      <c r="D156" s="72">
        <v>0</v>
      </c>
      <c r="E156" s="72">
        <v>0</v>
      </c>
      <c r="F156" s="72">
        <v>0</v>
      </c>
      <c r="G156" s="72">
        <v>0</v>
      </c>
      <c r="H156" s="72">
        <v>0</v>
      </c>
      <c r="I156" s="72">
        <v>0</v>
      </c>
      <c r="J156" s="72">
        <v>0</v>
      </c>
      <c r="K156" s="72">
        <v>0</v>
      </c>
      <c r="L156" s="72">
        <v>0</v>
      </c>
      <c r="M156" s="58">
        <v>4446</v>
      </c>
      <c r="N156" s="58">
        <v>4549</v>
      </c>
      <c r="O156" s="58">
        <v>4490</v>
      </c>
      <c r="P156" s="67"/>
      <c r="Q156" s="66" t="s">
        <v>1504</v>
      </c>
    </row>
    <row r="157" spans="1:17">
      <c r="A157" s="66">
        <v>39</v>
      </c>
      <c r="B157" s="66" t="s">
        <v>12231</v>
      </c>
      <c r="C157" s="55" t="s">
        <v>14644</v>
      </c>
      <c r="D157" s="72">
        <v>0</v>
      </c>
      <c r="E157" s="72">
        <v>0</v>
      </c>
      <c r="F157" s="72">
        <v>0</v>
      </c>
      <c r="G157" s="72">
        <v>0</v>
      </c>
      <c r="H157" s="72">
        <v>0</v>
      </c>
      <c r="I157" s="72">
        <v>0</v>
      </c>
      <c r="J157" s="72">
        <v>0</v>
      </c>
      <c r="K157" s="72">
        <v>0</v>
      </c>
      <c r="L157" s="72">
        <v>0</v>
      </c>
      <c r="M157" s="58">
        <v>1866</v>
      </c>
      <c r="N157" s="58">
        <v>1921</v>
      </c>
      <c r="O157" s="58">
        <v>1900</v>
      </c>
      <c r="P157" s="67"/>
      <c r="Q157" s="66" t="s">
        <v>1504</v>
      </c>
    </row>
    <row r="158" spans="1:17">
      <c r="A158" s="67"/>
      <c r="B158" s="67"/>
      <c r="C158" s="67"/>
      <c r="D158" s="72"/>
      <c r="E158" s="72"/>
      <c r="F158" s="72"/>
      <c r="G158" s="72"/>
      <c r="H158" s="72"/>
      <c r="I158" s="72"/>
      <c r="J158" s="72"/>
      <c r="K158" s="72"/>
      <c r="L158" s="72"/>
      <c r="M158" s="73"/>
      <c r="N158" s="73"/>
      <c r="O158" s="73"/>
      <c r="P158" s="67"/>
      <c r="Q158" s="67"/>
    </row>
    <row r="159" spans="1:17">
      <c r="A159" s="66" t="s">
        <v>2702</v>
      </c>
      <c r="C159" s="67"/>
      <c r="D159" s="72">
        <f t="shared" ref="D159:L159" si="110">SUM(D119:D121,D123:D142,D144:D157)</f>
        <v>81088</v>
      </c>
      <c r="E159" s="72">
        <f t="shared" si="110"/>
        <v>81947</v>
      </c>
      <c r="F159" s="72">
        <f t="shared" si="110"/>
        <v>83339</v>
      </c>
      <c r="G159" s="72">
        <f t="shared" si="110"/>
        <v>84643</v>
      </c>
      <c r="H159" s="72">
        <f t="shared" si="110"/>
        <v>84941</v>
      </c>
      <c r="I159" s="72">
        <f t="shared" si="110"/>
        <v>83940</v>
      </c>
      <c r="J159" s="72">
        <f t="shared" si="110"/>
        <v>82527</v>
      </c>
      <c r="K159" s="72">
        <f t="shared" si="110"/>
        <v>85127</v>
      </c>
      <c r="L159" s="72">
        <f t="shared" si="110"/>
        <v>86621</v>
      </c>
      <c r="M159" s="73">
        <f>SUM(M119:M121,M123:M142,M144:M157)</f>
        <v>87102</v>
      </c>
      <c r="N159" s="73">
        <f>SUM(N119:N121,N123:N142,N144:N157)</f>
        <v>90380</v>
      </c>
      <c r="O159" s="73">
        <f>SUM(O119:O121,O123:O142,O144:O157)</f>
        <v>89712</v>
      </c>
      <c r="P159" s="67"/>
      <c r="Q159" s="67"/>
    </row>
    <row r="160" spans="1:17">
      <c r="A160" s="66" t="s">
        <v>2703</v>
      </c>
      <c r="C160" s="67"/>
      <c r="D160" s="72">
        <f t="shared" ref="D160:L160" si="111">D122+D143</f>
        <v>4094</v>
      </c>
      <c r="E160" s="72">
        <f t="shared" si="111"/>
        <v>4096</v>
      </c>
      <c r="F160" s="72">
        <f t="shared" si="111"/>
        <v>4081</v>
      </c>
      <c r="G160" s="72">
        <f t="shared" si="111"/>
        <v>4161</v>
      </c>
      <c r="H160" s="72">
        <f t="shared" si="111"/>
        <v>4170</v>
      </c>
      <c r="I160" s="72">
        <f t="shared" si="111"/>
        <v>4103</v>
      </c>
      <c r="J160" s="72">
        <f t="shared" si="111"/>
        <v>4083</v>
      </c>
      <c r="K160" s="72">
        <f t="shared" si="111"/>
        <v>4109</v>
      </c>
      <c r="L160" s="72">
        <f t="shared" si="111"/>
        <v>4273</v>
      </c>
      <c r="M160" s="73">
        <f>M122+M143</f>
        <v>4250</v>
      </c>
      <c r="N160" s="73">
        <f>N122+N143</f>
        <v>4354</v>
      </c>
      <c r="O160" s="73">
        <f>O122+O143</f>
        <v>4333</v>
      </c>
      <c r="P160" s="67"/>
      <c r="Q160" s="67"/>
    </row>
    <row r="161" spans="1:17">
      <c r="A161" s="66"/>
      <c r="C161" s="67"/>
      <c r="D161" s="72"/>
      <c r="E161" s="72"/>
      <c r="F161" s="72"/>
      <c r="G161" s="72"/>
      <c r="H161" s="72"/>
      <c r="I161" s="72"/>
      <c r="J161" s="72"/>
      <c r="K161" s="72"/>
      <c r="L161" s="72"/>
      <c r="M161" s="73"/>
      <c r="N161" s="73"/>
      <c r="O161" s="73"/>
      <c r="P161" s="67"/>
      <c r="Q161" s="67"/>
    </row>
    <row r="162" spans="1:17">
      <c r="A162" s="66" t="s">
        <v>12233</v>
      </c>
      <c r="C162" s="67"/>
      <c r="D162" s="72"/>
      <c r="E162" s="72"/>
      <c r="F162" s="72"/>
      <c r="G162" s="72"/>
      <c r="H162" s="72"/>
      <c r="I162" s="72"/>
      <c r="J162" s="72"/>
      <c r="K162" s="72"/>
      <c r="L162" s="72"/>
      <c r="M162" s="73"/>
      <c r="N162" s="73"/>
      <c r="O162" s="73"/>
      <c r="P162" s="67"/>
      <c r="Q162" s="67"/>
    </row>
    <row r="163" spans="1:17">
      <c r="A163" s="66"/>
      <c r="B163" s="66"/>
      <c r="C163" s="67"/>
      <c r="D163" s="71"/>
      <c r="E163" s="71"/>
      <c r="F163" s="71"/>
      <c r="G163" s="71"/>
      <c r="H163" s="71"/>
      <c r="I163" s="71"/>
      <c r="J163" s="71"/>
      <c r="K163" s="71"/>
      <c r="L163" s="71"/>
      <c r="M163" s="99"/>
      <c r="N163" s="99"/>
      <c r="O163" s="99"/>
      <c r="P163" s="67"/>
      <c r="Q163" s="67"/>
    </row>
    <row r="164" spans="1:17">
      <c r="A164" s="66"/>
      <c r="B164" s="66"/>
      <c r="C164" s="67"/>
      <c r="D164" s="71"/>
      <c r="E164" s="71"/>
      <c r="F164" s="71"/>
      <c r="G164" s="71"/>
      <c r="H164" s="71"/>
      <c r="I164" s="71"/>
      <c r="J164" s="71"/>
      <c r="K164" s="71"/>
      <c r="L164" s="71"/>
      <c r="M164" s="99"/>
      <c r="N164" s="99"/>
      <c r="O164" s="99"/>
      <c r="P164" s="67"/>
      <c r="Q164" s="67"/>
    </row>
    <row r="165" spans="1:17">
      <c r="A165" s="67"/>
      <c r="B165" s="67"/>
      <c r="C165" s="67"/>
      <c r="E165" s="92" t="s">
        <v>1526</v>
      </c>
      <c r="F165" s="92"/>
      <c r="G165" s="92"/>
      <c r="H165" s="92"/>
      <c r="I165" s="92"/>
      <c r="J165" s="92"/>
      <c r="K165" s="92"/>
      <c r="L165" s="92"/>
      <c r="M165" s="51"/>
      <c r="N165" s="51"/>
      <c r="O165" s="51"/>
      <c r="P165" s="52"/>
      <c r="Q165" s="53" t="s">
        <v>9479</v>
      </c>
    </row>
    <row r="166" spans="1:17">
      <c r="A166" s="67"/>
      <c r="B166" s="67"/>
      <c r="C166" s="67"/>
      <c r="D166" s="93">
        <v>2010</v>
      </c>
      <c r="E166" s="93">
        <v>2011</v>
      </c>
      <c r="F166" s="93">
        <v>2012</v>
      </c>
      <c r="G166" s="93">
        <v>2013</v>
      </c>
      <c r="H166" s="93">
        <v>2014</v>
      </c>
      <c r="I166" s="93">
        <v>2015</v>
      </c>
      <c r="J166" s="93">
        <v>2016</v>
      </c>
      <c r="K166" s="93">
        <v>2017</v>
      </c>
      <c r="L166" s="93">
        <v>2018</v>
      </c>
      <c r="M166" s="40">
        <v>2019</v>
      </c>
      <c r="N166" s="40">
        <v>2020</v>
      </c>
      <c r="O166" s="963" t="s">
        <v>14823</v>
      </c>
      <c r="P166" s="67"/>
      <c r="Q166" s="54" t="s">
        <v>1527</v>
      </c>
    </row>
    <row r="167" spans="1:17">
      <c r="A167" s="66" t="s">
        <v>2704</v>
      </c>
      <c r="C167" s="67"/>
      <c r="D167" s="72">
        <f t="shared" ref="D167:M167" si="112">SUM(D168:D184)+D186+D187+SUM(D189:D192)</f>
        <v>104420</v>
      </c>
      <c r="E167" s="72">
        <f t="shared" si="112"/>
        <v>104803</v>
      </c>
      <c r="F167" s="72">
        <f t="shared" si="112"/>
        <v>107231</v>
      </c>
      <c r="G167" s="72">
        <f t="shared" si="112"/>
        <v>110594</v>
      </c>
      <c r="H167" s="72">
        <f t="shared" si="112"/>
        <v>110929</v>
      </c>
      <c r="I167" s="72">
        <f t="shared" si="112"/>
        <v>111301</v>
      </c>
      <c r="J167" s="72">
        <f t="shared" si="112"/>
        <v>100437</v>
      </c>
      <c r="K167" s="72">
        <f t="shared" si="112"/>
        <v>103642</v>
      </c>
      <c r="L167" s="72">
        <f t="shared" si="112"/>
        <v>105777</v>
      </c>
      <c r="M167" s="73">
        <f t="shared" si="112"/>
        <v>104466</v>
      </c>
      <c r="N167" s="73">
        <f>SUM(N168:N184)+N186+N187+SUM(N189:N192)</f>
        <v>113587</v>
      </c>
      <c r="O167" s="73">
        <f>SUM(O168:O184)+O186+O187+SUM(O189:O192)</f>
        <v>113509</v>
      </c>
      <c r="P167" s="67"/>
      <c r="Q167" s="67"/>
    </row>
    <row r="168" spans="1:17">
      <c r="A168" s="66" t="s">
        <v>5387</v>
      </c>
      <c r="B168" s="66" t="s">
        <v>4440</v>
      </c>
      <c r="C168" s="70" t="s">
        <v>14755</v>
      </c>
      <c r="D168" s="72">
        <v>73637</v>
      </c>
      <c r="E168" s="72">
        <v>73779</v>
      </c>
      <c r="F168" s="72">
        <v>76030</v>
      </c>
      <c r="G168" s="100">
        <v>78826</v>
      </c>
      <c r="H168" s="100">
        <v>78781</v>
      </c>
      <c r="I168" s="100">
        <v>7434</v>
      </c>
      <c r="J168" s="100">
        <v>5994</v>
      </c>
      <c r="K168" s="100">
        <v>5983</v>
      </c>
      <c r="L168" s="100">
        <v>6700</v>
      </c>
      <c r="M168" s="56">
        <v>6561</v>
      </c>
      <c r="N168" s="56">
        <v>7806</v>
      </c>
      <c r="O168" s="56">
        <v>7818</v>
      </c>
      <c r="P168" s="67"/>
      <c r="Q168" s="66" t="s">
        <v>1506</v>
      </c>
    </row>
    <row r="169" spans="1:17">
      <c r="A169" s="66" t="s">
        <v>5389</v>
      </c>
      <c r="B169" s="66" t="s">
        <v>9842</v>
      </c>
      <c r="C169" s="55" t="s">
        <v>11446</v>
      </c>
      <c r="D169" s="72">
        <v>30783</v>
      </c>
      <c r="E169" s="72">
        <v>31024</v>
      </c>
      <c r="F169" s="72">
        <v>31201</v>
      </c>
      <c r="G169" s="100">
        <v>31768</v>
      </c>
      <c r="H169" s="100">
        <v>32148</v>
      </c>
      <c r="I169" s="100">
        <v>5969</v>
      </c>
      <c r="J169" s="101">
        <v>5901</v>
      </c>
      <c r="K169" s="101">
        <v>6025</v>
      </c>
      <c r="L169" s="101">
        <v>6025</v>
      </c>
      <c r="M169" s="58">
        <v>5982</v>
      </c>
      <c r="N169" s="58">
        <v>6076</v>
      </c>
      <c r="O169" s="58">
        <v>6078</v>
      </c>
      <c r="P169" s="67"/>
      <c r="Q169" s="66" t="s">
        <v>876</v>
      </c>
    </row>
    <row r="170" spans="1:17">
      <c r="A170" s="66" t="s">
        <v>5391</v>
      </c>
      <c r="B170" s="66" t="s">
        <v>2705</v>
      </c>
      <c r="C170" s="55" t="s">
        <v>11447</v>
      </c>
      <c r="D170" s="100">
        <v>0</v>
      </c>
      <c r="E170" s="100">
        <v>0</v>
      </c>
      <c r="F170" s="100">
        <v>0</v>
      </c>
      <c r="G170" s="100">
        <v>0</v>
      </c>
      <c r="H170" s="100">
        <v>0</v>
      </c>
      <c r="I170" s="100">
        <v>7036</v>
      </c>
      <c r="J170" s="100">
        <v>4034</v>
      </c>
      <c r="K170" s="100">
        <v>4559</v>
      </c>
      <c r="L170" s="100">
        <v>4742</v>
      </c>
      <c r="M170" s="56">
        <v>4906</v>
      </c>
      <c r="N170" s="56">
        <v>6287</v>
      </c>
      <c r="O170" s="56">
        <v>6329</v>
      </c>
      <c r="P170" s="67"/>
      <c r="Q170" s="66" t="s">
        <v>1506</v>
      </c>
    </row>
    <row r="171" spans="1:17">
      <c r="A171" s="66" t="s">
        <v>5393</v>
      </c>
      <c r="B171" s="66" t="s">
        <v>9843</v>
      </c>
      <c r="C171" s="70" t="s">
        <v>14756</v>
      </c>
      <c r="D171" s="100">
        <v>0</v>
      </c>
      <c r="E171" s="100">
        <v>0</v>
      </c>
      <c r="F171" s="100">
        <v>0</v>
      </c>
      <c r="G171" s="100">
        <v>0</v>
      </c>
      <c r="H171" s="100">
        <v>0</v>
      </c>
      <c r="I171" s="100">
        <v>5423</v>
      </c>
      <c r="J171" s="100">
        <v>5240</v>
      </c>
      <c r="K171" s="100">
        <v>5455</v>
      </c>
      <c r="L171" s="100">
        <v>5494</v>
      </c>
      <c r="M171" s="56">
        <v>5435</v>
      </c>
      <c r="N171" s="56">
        <v>5654</v>
      </c>
      <c r="O171" s="56">
        <v>5652</v>
      </c>
      <c r="P171" s="67"/>
      <c r="Q171" s="66" t="s">
        <v>1506</v>
      </c>
    </row>
    <row r="172" spans="1:17">
      <c r="A172" s="66" t="s">
        <v>5394</v>
      </c>
      <c r="B172" s="66" t="s">
        <v>9844</v>
      </c>
      <c r="C172" s="55" t="s">
        <v>11448</v>
      </c>
      <c r="D172" s="100">
        <v>0</v>
      </c>
      <c r="E172" s="100">
        <v>0</v>
      </c>
      <c r="F172" s="100">
        <v>0</v>
      </c>
      <c r="G172" s="100">
        <v>0</v>
      </c>
      <c r="H172" s="100">
        <v>0</v>
      </c>
      <c r="I172" s="100">
        <v>5669</v>
      </c>
      <c r="J172" s="100">
        <v>5569</v>
      </c>
      <c r="K172" s="100">
        <v>5742</v>
      </c>
      <c r="L172" s="100">
        <v>5754</v>
      </c>
      <c r="M172" s="56">
        <v>5723</v>
      </c>
      <c r="N172" s="56">
        <v>5797</v>
      </c>
      <c r="O172" s="56">
        <v>5800</v>
      </c>
      <c r="P172" s="67"/>
      <c r="Q172" s="66" t="s">
        <v>1506</v>
      </c>
    </row>
    <row r="173" spans="1:17">
      <c r="A173" s="66" t="s">
        <v>5416</v>
      </c>
      <c r="B173" s="66" t="s">
        <v>2706</v>
      </c>
      <c r="C173" s="55" t="s">
        <v>11449</v>
      </c>
      <c r="D173" s="100">
        <v>0</v>
      </c>
      <c r="E173" s="100">
        <v>0</v>
      </c>
      <c r="F173" s="100">
        <v>0</v>
      </c>
      <c r="G173" s="100">
        <v>0</v>
      </c>
      <c r="H173" s="100">
        <v>0</v>
      </c>
      <c r="I173" s="100">
        <v>8329</v>
      </c>
      <c r="J173" s="100">
        <v>8177</v>
      </c>
      <c r="K173" s="100">
        <v>8369</v>
      </c>
      <c r="L173" s="100">
        <v>8372</v>
      </c>
      <c r="M173" s="56">
        <v>8218</v>
      </c>
      <c r="N173" s="56">
        <v>8522</v>
      </c>
      <c r="O173" s="56">
        <v>8496</v>
      </c>
      <c r="P173" s="67"/>
      <c r="Q173" s="66" t="s">
        <v>1506</v>
      </c>
    </row>
    <row r="174" spans="1:17">
      <c r="A174" s="66" t="s">
        <v>5418</v>
      </c>
      <c r="B174" s="70" t="s">
        <v>3713</v>
      </c>
      <c r="C174" s="55" t="s">
        <v>11450</v>
      </c>
      <c r="D174" s="101">
        <v>0</v>
      </c>
      <c r="E174" s="101">
        <v>0</v>
      </c>
      <c r="F174" s="101">
        <v>0</v>
      </c>
      <c r="G174" s="101">
        <v>0</v>
      </c>
      <c r="H174" s="101">
        <v>0</v>
      </c>
      <c r="I174" s="101">
        <v>3142</v>
      </c>
      <c r="J174" s="101">
        <v>3038</v>
      </c>
      <c r="K174" s="101">
        <v>3158</v>
      </c>
      <c r="L174" s="101">
        <v>3133</v>
      </c>
      <c r="M174" s="58">
        <v>3084</v>
      </c>
      <c r="N174" s="58">
        <v>3156</v>
      </c>
      <c r="O174" s="58">
        <v>3159</v>
      </c>
      <c r="Q174" s="66" t="s">
        <v>876</v>
      </c>
    </row>
    <row r="175" spans="1:17">
      <c r="A175" s="66" t="s">
        <v>5420</v>
      </c>
      <c r="B175" s="66" t="s">
        <v>9845</v>
      </c>
      <c r="C175" s="55" t="s">
        <v>11451</v>
      </c>
      <c r="D175" s="100">
        <v>0</v>
      </c>
      <c r="E175" s="100">
        <v>0</v>
      </c>
      <c r="F175" s="100">
        <v>0</v>
      </c>
      <c r="G175" s="100">
        <v>0</v>
      </c>
      <c r="H175" s="100">
        <v>0</v>
      </c>
      <c r="I175" s="100">
        <v>6280</v>
      </c>
      <c r="J175" s="101">
        <v>6145</v>
      </c>
      <c r="K175" s="101">
        <v>6269</v>
      </c>
      <c r="L175" s="101">
        <v>6328</v>
      </c>
      <c r="M175" s="58">
        <v>6333</v>
      </c>
      <c r="N175" s="58">
        <v>6571</v>
      </c>
      <c r="O175" s="58">
        <v>6554</v>
      </c>
      <c r="P175" s="67"/>
      <c r="Q175" s="66" t="s">
        <v>876</v>
      </c>
    </row>
    <row r="176" spans="1:17">
      <c r="A176" s="66" t="s">
        <v>5422</v>
      </c>
      <c r="B176" s="66" t="s">
        <v>2707</v>
      </c>
      <c r="C176" s="55" t="s">
        <v>11452</v>
      </c>
      <c r="D176" s="100">
        <v>0</v>
      </c>
      <c r="E176" s="100">
        <v>0</v>
      </c>
      <c r="F176" s="100">
        <v>0</v>
      </c>
      <c r="G176" s="100">
        <v>0</v>
      </c>
      <c r="H176" s="100">
        <v>0</v>
      </c>
      <c r="I176" s="100">
        <v>9512</v>
      </c>
      <c r="J176" s="101">
        <v>9271</v>
      </c>
      <c r="K176" s="101">
        <v>9562</v>
      </c>
      <c r="L176" s="101">
        <v>9661</v>
      </c>
      <c r="M176" s="58">
        <v>9576</v>
      </c>
      <c r="N176" s="58">
        <v>9762</v>
      </c>
      <c r="O176" s="58">
        <v>9743</v>
      </c>
      <c r="P176" s="67"/>
      <c r="Q176" s="66" t="s">
        <v>876</v>
      </c>
    </row>
    <row r="177" spans="1:17">
      <c r="A177" s="66" t="s">
        <v>5424</v>
      </c>
      <c r="B177" s="66" t="s">
        <v>9846</v>
      </c>
      <c r="C177" s="70" t="s">
        <v>14751</v>
      </c>
      <c r="D177" s="101">
        <v>0</v>
      </c>
      <c r="E177" s="101">
        <v>0</v>
      </c>
      <c r="F177" s="101">
        <v>0</v>
      </c>
      <c r="G177" s="101">
        <v>0</v>
      </c>
      <c r="H177" s="101">
        <v>0</v>
      </c>
      <c r="I177" s="101">
        <v>3149</v>
      </c>
      <c r="J177" s="100">
        <v>3041</v>
      </c>
      <c r="K177" s="100">
        <v>3088</v>
      </c>
      <c r="L177" s="100">
        <v>3136</v>
      </c>
      <c r="M177" s="56">
        <v>3101</v>
      </c>
      <c r="N177" s="56">
        <v>3212</v>
      </c>
      <c r="O177" s="56">
        <v>3198</v>
      </c>
      <c r="P177" s="67"/>
      <c r="Q177" s="66" t="s">
        <v>1506</v>
      </c>
    </row>
    <row r="178" spans="1:17">
      <c r="A178" s="66" t="s">
        <v>5426</v>
      </c>
      <c r="B178" s="66" t="s">
        <v>9847</v>
      </c>
      <c r="C178" s="70" t="s">
        <v>14752</v>
      </c>
      <c r="D178" s="101">
        <v>0</v>
      </c>
      <c r="E178" s="101">
        <v>0</v>
      </c>
      <c r="F178" s="101">
        <v>0</v>
      </c>
      <c r="G178" s="101">
        <v>0</v>
      </c>
      <c r="H178" s="101">
        <v>0</v>
      </c>
      <c r="I178" s="101">
        <v>3090</v>
      </c>
      <c r="J178" s="100">
        <v>3025</v>
      </c>
      <c r="K178" s="100">
        <v>3133</v>
      </c>
      <c r="L178" s="100">
        <v>3156</v>
      </c>
      <c r="M178" s="56">
        <v>3099</v>
      </c>
      <c r="N178" s="56">
        <v>3211</v>
      </c>
      <c r="O178" s="56">
        <v>3203</v>
      </c>
      <c r="P178" s="67"/>
      <c r="Q178" s="66" t="s">
        <v>1506</v>
      </c>
    </row>
    <row r="179" spans="1:17">
      <c r="A179" s="66" t="s">
        <v>5428</v>
      </c>
      <c r="B179" s="66" t="s">
        <v>3973</v>
      </c>
      <c r="C179" s="55" t="s">
        <v>11453</v>
      </c>
      <c r="D179" s="100">
        <v>0</v>
      </c>
      <c r="E179" s="100">
        <v>0</v>
      </c>
      <c r="F179" s="100">
        <v>0</v>
      </c>
      <c r="G179" s="100">
        <v>0</v>
      </c>
      <c r="H179" s="100">
        <v>0</v>
      </c>
      <c r="I179" s="100">
        <v>4149</v>
      </c>
      <c r="J179" s="100">
        <v>3120</v>
      </c>
      <c r="K179" s="100">
        <v>3191</v>
      </c>
      <c r="L179" s="100">
        <v>3295</v>
      </c>
      <c r="M179" s="56">
        <v>3242</v>
      </c>
      <c r="N179" s="56">
        <v>4295</v>
      </c>
      <c r="O179" s="56">
        <v>4318</v>
      </c>
      <c r="P179" s="67"/>
      <c r="Q179" s="66" t="s">
        <v>1506</v>
      </c>
    </row>
    <row r="180" spans="1:17">
      <c r="A180" s="66" t="s">
        <v>5429</v>
      </c>
      <c r="B180" s="66" t="s">
        <v>2708</v>
      </c>
      <c r="C180" s="70" t="s">
        <v>14753</v>
      </c>
      <c r="D180" s="101">
        <v>0</v>
      </c>
      <c r="E180" s="101">
        <v>0</v>
      </c>
      <c r="F180" s="101">
        <v>0</v>
      </c>
      <c r="G180" s="101">
        <v>0</v>
      </c>
      <c r="H180" s="101">
        <v>0</v>
      </c>
      <c r="I180" s="101">
        <v>3011</v>
      </c>
      <c r="J180" s="101">
        <v>2951</v>
      </c>
      <c r="K180" s="101">
        <v>3051</v>
      </c>
      <c r="L180" s="101">
        <v>3092</v>
      </c>
      <c r="M180" s="58">
        <v>3093</v>
      </c>
      <c r="N180" s="58">
        <v>3216</v>
      </c>
      <c r="O180" s="58">
        <v>3210</v>
      </c>
      <c r="P180" s="67"/>
      <c r="Q180" s="66" t="s">
        <v>876</v>
      </c>
    </row>
    <row r="181" spans="1:17">
      <c r="A181" s="66" t="s">
        <v>5431</v>
      </c>
      <c r="B181" s="66" t="s">
        <v>2709</v>
      </c>
      <c r="C181" s="55" t="s">
        <v>11454</v>
      </c>
      <c r="D181" s="100">
        <v>0</v>
      </c>
      <c r="E181" s="100">
        <v>0</v>
      </c>
      <c r="F181" s="100">
        <v>0</v>
      </c>
      <c r="G181" s="100">
        <v>0</v>
      </c>
      <c r="H181" s="100">
        <v>0</v>
      </c>
      <c r="I181" s="100">
        <v>6109</v>
      </c>
      <c r="J181" s="100">
        <v>6019</v>
      </c>
      <c r="K181" s="100">
        <v>6216</v>
      </c>
      <c r="L181" s="100">
        <v>6219</v>
      </c>
      <c r="M181" s="56">
        <v>6156</v>
      </c>
      <c r="N181" s="56">
        <v>6306</v>
      </c>
      <c r="O181" s="56">
        <v>6288</v>
      </c>
      <c r="P181" s="67"/>
      <c r="Q181" s="66" t="s">
        <v>1506</v>
      </c>
    </row>
    <row r="182" spans="1:17">
      <c r="A182" s="66" t="s">
        <v>5433</v>
      </c>
      <c r="B182" s="66" t="s">
        <v>9848</v>
      </c>
      <c r="C182" s="55" t="s">
        <v>11455</v>
      </c>
      <c r="D182" s="100">
        <v>0</v>
      </c>
      <c r="E182" s="100">
        <v>0</v>
      </c>
      <c r="F182" s="100">
        <v>0</v>
      </c>
      <c r="G182" s="100">
        <v>0</v>
      </c>
      <c r="H182" s="100">
        <v>0</v>
      </c>
      <c r="I182" s="100">
        <v>6526</v>
      </c>
      <c r="J182" s="100">
        <v>4381</v>
      </c>
      <c r="K182" s="100">
        <v>4639</v>
      </c>
      <c r="L182" s="100">
        <v>4951</v>
      </c>
      <c r="M182" s="56">
        <v>4766</v>
      </c>
      <c r="N182" s="56">
        <v>6416</v>
      </c>
      <c r="O182" s="56">
        <v>6440</v>
      </c>
      <c r="P182" s="67"/>
      <c r="Q182" s="66" t="s">
        <v>1506</v>
      </c>
    </row>
    <row r="183" spans="1:17">
      <c r="A183" s="66" t="s">
        <v>5435</v>
      </c>
      <c r="B183" s="66" t="s">
        <v>9849</v>
      </c>
      <c r="C183" s="70" t="s">
        <v>14754</v>
      </c>
      <c r="D183" s="101">
        <v>0</v>
      </c>
      <c r="E183" s="101">
        <v>0</v>
      </c>
      <c r="F183" s="101">
        <v>0</v>
      </c>
      <c r="G183" s="101">
        <v>0</v>
      </c>
      <c r="H183" s="101">
        <v>0</v>
      </c>
      <c r="I183" s="101">
        <v>4480</v>
      </c>
      <c r="J183" s="100">
        <v>4353</v>
      </c>
      <c r="K183" s="100">
        <v>4399</v>
      </c>
      <c r="L183" s="100">
        <v>4389</v>
      </c>
      <c r="M183" s="56">
        <v>4402</v>
      </c>
      <c r="N183" s="56">
        <v>4580</v>
      </c>
      <c r="O183" s="56">
        <v>4572</v>
      </c>
      <c r="P183" s="67"/>
      <c r="Q183" s="66" t="s">
        <v>1506</v>
      </c>
    </row>
    <row r="184" spans="1:17" ht="15.75" thickBot="1">
      <c r="A184" s="66"/>
      <c r="B184" s="66"/>
      <c r="C184" s="70" t="s">
        <v>14754</v>
      </c>
      <c r="D184" s="102">
        <v>0</v>
      </c>
      <c r="E184" s="102">
        <v>0</v>
      </c>
      <c r="F184" s="102">
        <v>0</v>
      </c>
      <c r="G184" s="102">
        <v>0</v>
      </c>
      <c r="H184" s="102">
        <v>0</v>
      </c>
      <c r="I184" s="102">
        <v>1304</v>
      </c>
      <c r="J184" s="101">
        <v>1281</v>
      </c>
      <c r="K184" s="101">
        <v>1349</v>
      </c>
      <c r="L184" s="101">
        <v>1384</v>
      </c>
      <c r="M184" s="58">
        <v>1367</v>
      </c>
      <c r="N184" s="58">
        <v>1451</v>
      </c>
      <c r="O184" s="58">
        <v>1431</v>
      </c>
      <c r="P184" s="67"/>
      <c r="Q184" s="66" t="s">
        <v>876</v>
      </c>
    </row>
    <row r="185" spans="1:17" ht="15.75" thickBot="1">
      <c r="A185" s="66"/>
      <c r="B185" s="66"/>
      <c r="C185" s="70" t="s">
        <v>14754</v>
      </c>
      <c r="D185" s="103">
        <f>D183+D184</f>
        <v>0</v>
      </c>
      <c r="E185" s="103">
        <f t="shared" ref="E185:L185" si="113">E183+E184</f>
        <v>0</v>
      </c>
      <c r="F185" s="103">
        <f t="shared" si="113"/>
        <v>0</v>
      </c>
      <c r="G185" s="103">
        <f t="shared" si="113"/>
        <v>0</v>
      </c>
      <c r="H185" s="103">
        <f t="shared" si="113"/>
        <v>0</v>
      </c>
      <c r="I185" s="103">
        <f t="shared" si="113"/>
        <v>5784</v>
      </c>
      <c r="J185" s="103">
        <f t="shared" si="113"/>
        <v>5634</v>
      </c>
      <c r="K185" s="103">
        <f t="shared" si="113"/>
        <v>5748</v>
      </c>
      <c r="L185" s="103">
        <f t="shared" si="113"/>
        <v>5773</v>
      </c>
      <c r="M185" s="104">
        <f>M183+M184</f>
        <v>5769</v>
      </c>
      <c r="N185" s="104">
        <f>N183+N184</f>
        <v>6031</v>
      </c>
      <c r="O185" s="104">
        <f>O183+O184</f>
        <v>6003</v>
      </c>
      <c r="P185" s="67"/>
      <c r="Q185" s="66"/>
    </row>
    <row r="186" spans="1:17">
      <c r="A186" s="66" t="s">
        <v>5436</v>
      </c>
      <c r="B186" s="66" t="s">
        <v>9850</v>
      </c>
      <c r="C186" s="55" t="s">
        <v>11456</v>
      </c>
      <c r="D186" s="101">
        <v>0</v>
      </c>
      <c r="E186" s="101">
        <v>0</v>
      </c>
      <c r="F186" s="101">
        <v>0</v>
      </c>
      <c r="G186" s="101">
        <v>0</v>
      </c>
      <c r="H186" s="101">
        <v>0</v>
      </c>
      <c r="I186" s="101">
        <v>3225</v>
      </c>
      <c r="J186" s="100">
        <v>3168</v>
      </c>
      <c r="K186" s="100">
        <v>3219</v>
      </c>
      <c r="L186" s="100">
        <v>3266</v>
      </c>
      <c r="M186" s="56">
        <v>3264</v>
      </c>
      <c r="N186" s="56">
        <v>3296</v>
      </c>
      <c r="O186" s="56">
        <v>3289</v>
      </c>
      <c r="P186" s="67"/>
      <c r="Q186" s="66" t="s">
        <v>1506</v>
      </c>
    </row>
    <row r="187" spans="1:17" ht="15.75" thickBot="1">
      <c r="A187" s="66"/>
      <c r="B187" s="66"/>
      <c r="C187" s="55" t="s">
        <v>11456</v>
      </c>
      <c r="D187" s="102">
        <v>0</v>
      </c>
      <c r="E187" s="102">
        <v>0</v>
      </c>
      <c r="F187" s="102">
        <v>0</v>
      </c>
      <c r="G187" s="102">
        <v>0</v>
      </c>
      <c r="H187" s="102">
        <v>0</v>
      </c>
      <c r="I187" s="102">
        <v>12</v>
      </c>
      <c r="J187" s="101">
        <v>9</v>
      </c>
      <c r="K187" s="101">
        <v>13</v>
      </c>
      <c r="L187" s="101">
        <v>13</v>
      </c>
      <c r="M187" s="58">
        <v>14</v>
      </c>
      <c r="N187" s="58">
        <v>10</v>
      </c>
      <c r="O187" s="58">
        <v>10</v>
      </c>
      <c r="P187" s="67"/>
      <c r="Q187" s="66" t="s">
        <v>876</v>
      </c>
    </row>
    <row r="188" spans="1:17" ht="15.75" thickBot="1">
      <c r="A188" s="66"/>
      <c r="B188" s="66"/>
      <c r="C188" s="55" t="s">
        <v>11456</v>
      </c>
      <c r="D188" s="103">
        <f t="shared" ref="D188:O188" si="114">D186+D187</f>
        <v>0</v>
      </c>
      <c r="E188" s="103">
        <f t="shared" si="114"/>
        <v>0</v>
      </c>
      <c r="F188" s="103">
        <f t="shared" si="114"/>
        <v>0</v>
      </c>
      <c r="G188" s="103">
        <f t="shared" si="114"/>
        <v>0</v>
      </c>
      <c r="H188" s="103">
        <f t="shared" si="114"/>
        <v>0</v>
      </c>
      <c r="I188" s="103">
        <f t="shared" si="114"/>
        <v>3237</v>
      </c>
      <c r="J188" s="103">
        <f t="shared" si="114"/>
        <v>3177</v>
      </c>
      <c r="K188" s="103">
        <f t="shared" si="114"/>
        <v>3232</v>
      </c>
      <c r="L188" s="103">
        <f t="shared" si="114"/>
        <v>3279</v>
      </c>
      <c r="M188" s="104">
        <f t="shared" si="114"/>
        <v>3278</v>
      </c>
      <c r="N188" s="104">
        <f t="shared" si="114"/>
        <v>3306</v>
      </c>
      <c r="O188" s="104">
        <f t="shared" si="114"/>
        <v>3299</v>
      </c>
      <c r="P188" s="67"/>
      <c r="Q188" s="66"/>
    </row>
    <row r="189" spans="1:17">
      <c r="A189" s="66" t="s">
        <v>5437</v>
      </c>
      <c r="B189" s="66" t="s">
        <v>1335</v>
      </c>
      <c r="C189" s="55" t="s">
        <v>11457</v>
      </c>
      <c r="D189" s="100">
        <v>0</v>
      </c>
      <c r="E189" s="100">
        <v>0</v>
      </c>
      <c r="F189" s="100">
        <v>0</v>
      </c>
      <c r="G189" s="100">
        <v>0</v>
      </c>
      <c r="H189" s="100">
        <v>0</v>
      </c>
      <c r="I189" s="100">
        <v>2809</v>
      </c>
      <c r="J189" s="100">
        <v>2792</v>
      </c>
      <c r="K189" s="100">
        <v>2812</v>
      </c>
      <c r="L189" s="100">
        <v>2837</v>
      </c>
      <c r="M189" s="56">
        <v>2772</v>
      </c>
      <c r="N189" s="56">
        <v>2858</v>
      </c>
      <c r="O189" s="56">
        <v>2847</v>
      </c>
      <c r="P189" s="67"/>
      <c r="Q189" s="66" t="s">
        <v>1506</v>
      </c>
    </row>
    <row r="190" spans="1:17">
      <c r="A190" s="66" t="s">
        <v>5439</v>
      </c>
      <c r="B190" s="66" t="s">
        <v>1336</v>
      </c>
      <c r="C190" s="55" t="s">
        <v>11458</v>
      </c>
      <c r="D190" s="100">
        <v>0</v>
      </c>
      <c r="E190" s="100">
        <v>0</v>
      </c>
      <c r="F190" s="100">
        <v>0</v>
      </c>
      <c r="G190" s="100">
        <v>0</v>
      </c>
      <c r="H190" s="100">
        <v>0</v>
      </c>
      <c r="I190" s="100">
        <v>3221</v>
      </c>
      <c r="J190" s="101">
        <v>3146</v>
      </c>
      <c r="K190" s="101">
        <v>3206</v>
      </c>
      <c r="L190" s="101">
        <v>3192</v>
      </c>
      <c r="M190" s="58">
        <v>3196</v>
      </c>
      <c r="N190" s="58">
        <v>3283</v>
      </c>
      <c r="O190" s="58">
        <v>3263</v>
      </c>
      <c r="P190" s="67"/>
      <c r="Q190" s="66" t="s">
        <v>876</v>
      </c>
    </row>
    <row r="191" spans="1:17">
      <c r="A191" s="66" t="s">
        <v>5441</v>
      </c>
      <c r="B191" s="66" t="s">
        <v>3148</v>
      </c>
      <c r="C191" s="55" t="s">
        <v>11459</v>
      </c>
      <c r="D191" s="100">
        <v>0</v>
      </c>
      <c r="E191" s="100">
        <v>0</v>
      </c>
      <c r="F191" s="100">
        <v>0</v>
      </c>
      <c r="G191" s="100">
        <v>0</v>
      </c>
      <c r="H191" s="100">
        <v>0</v>
      </c>
      <c r="I191" s="100">
        <v>5590</v>
      </c>
      <c r="J191" s="100">
        <v>4476</v>
      </c>
      <c r="K191" s="100">
        <v>4680</v>
      </c>
      <c r="L191" s="100">
        <v>4949</v>
      </c>
      <c r="M191" s="56">
        <v>4705</v>
      </c>
      <c r="N191" s="56">
        <v>5671</v>
      </c>
      <c r="O191" s="56">
        <v>5672</v>
      </c>
      <c r="P191" s="67"/>
      <c r="Q191" s="66" t="s">
        <v>1506</v>
      </c>
    </row>
    <row r="192" spans="1:17">
      <c r="A192" s="66" t="s">
        <v>5886</v>
      </c>
      <c r="B192" s="66" t="s">
        <v>1337</v>
      </c>
      <c r="C192" s="55" t="s">
        <v>11460</v>
      </c>
      <c r="D192" s="101">
        <v>0</v>
      </c>
      <c r="E192" s="101">
        <v>0</v>
      </c>
      <c r="F192" s="101">
        <v>0</v>
      </c>
      <c r="G192" s="101">
        <v>0</v>
      </c>
      <c r="H192" s="101">
        <v>0</v>
      </c>
      <c r="I192" s="101">
        <v>5832</v>
      </c>
      <c r="J192" s="100">
        <v>5306</v>
      </c>
      <c r="K192" s="100">
        <v>5524</v>
      </c>
      <c r="L192" s="100">
        <v>5689</v>
      </c>
      <c r="M192" s="56">
        <v>5471</v>
      </c>
      <c r="N192" s="56">
        <v>6151</v>
      </c>
      <c r="O192" s="56">
        <v>6139</v>
      </c>
      <c r="P192" s="67"/>
      <c r="Q192" s="66" t="s">
        <v>1506</v>
      </c>
    </row>
    <row r="193" spans="1:17">
      <c r="A193" s="67"/>
      <c r="B193" s="67"/>
      <c r="C193" s="67"/>
      <c r="D193" s="72"/>
      <c r="E193" s="72"/>
      <c r="F193" s="72"/>
      <c r="G193" s="72"/>
      <c r="H193" s="72"/>
      <c r="I193" s="72"/>
      <c r="J193" s="72"/>
      <c r="K193" s="72"/>
      <c r="L193" s="72"/>
      <c r="M193" s="84"/>
      <c r="N193" s="84"/>
      <c r="O193" s="84"/>
      <c r="P193" s="67"/>
      <c r="Q193" s="67"/>
    </row>
    <row r="194" spans="1:17">
      <c r="A194" s="66" t="s">
        <v>1506</v>
      </c>
      <c r="C194" s="67"/>
      <c r="D194" s="72">
        <f t="shared" ref="D194:N194" si="115">D168+SUM(D170:D173)+SUM(D177:D179)+SUM(D181:D183)+D186+D189+D191+D192</f>
        <v>73637</v>
      </c>
      <c r="E194" s="72">
        <f t="shared" si="115"/>
        <v>73779</v>
      </c>
      <c r="F194" s="72">
        <f t="shared" si="115"/>
        <v>76030</v>
      </c>
      <c r="G194" s="72">
        <f t="shared" si="115"/>
        <v>78826</v>
      </c>
      <c r="H194" s="72">
        <f t="shared" si="115"/>
        <v>78781</v>
      </c>
      <c r="I194" s="72">
        <f t="shared" si="115"/>
        <v>78850</v>
      </c>
      <c r="J194" s="72">
        <f t="shared" si="115"/>
        <v>68695</v>
      </c>
      <c r="K194" s="72">
        <f t="shared" si="115"/>
        <v>71009</v>
      </c>
      <c r="L194" s="72">
        <f t="shared" si="115"/>
        <v>72949</v>
      </c>
      <c r="M194" s="73">
        <f t="shared" si="115"/>
        <v>71821</v>
      </c>
      <c r="N194" s="73">
        <f t="shared" si="115"/>
        <v>80062</v>
      </c>
      <c r="O194" s="73">
        <f>O168+SUM(O170:O173)+SUM(O177:O179)+SUM(O181:O183)+O186+O189+O191+O192</f>
        <v>80061</v>
      </c>
      <c r="P194" s="67"/>
      <c r="Q194" s="67"/>
    </row>
    <row r="195" spans="1:17">
      <c r="A195" s="66" t="s">
        <v>1923</v>
      </c>
      <c r="C195" s="67"/>
      <c r="D195" s="72">
        <f t="shared" ref="D195:N195" si="116">D169+SUM(D174:D176)+D180+D184+D187+D190</f>
        <v>30783</v>
      </c>
      <c r="E195" s="72">
        <f t="shared" si="116"/>
        <v>31024</v>
      </c>
      <c r="F195" s="72">
        <f t="shared" si="116"/>
        <v>31201</v>
      </c>
      <c r="G195" s="72">
        <f t="shared" si="116"/>
        <v>31768</v>
      </c>
      <c r="H195" s="72">
        <f t="shared" si="116"/>
        <v>32148</v>
      </c>
      <c r="I195" s="72">
        <f t="shared" si="116"/>
        <v>32451</v>
      </c>
      <c r="J195" s="72">
        <f t="shared" si="116"/>
        <v>31742</v>
      </c>
      <c r="K195" s="72">
        <f t="shared" si="116"/>
        <v>32633</v>
      </c>
      <c r="L195" s="72">
        <f t="shared" si="116"/>
        <v>32828</v>
      </c>
      <c r="M195" s="73">
        <f t="shared" si="116"/>
        <v>32645</v>
      </c>
      <c r="N195" s="73">
        <f t="shared" si="116"/>
        <v>33525</v>
      </c>
      <c r="O195" s="73">
        <f>O169+SUM(O174:O176)+O180+O184+O187+O190</f>
        <v>33448</v>
      </c>
      <c r="P195" s="67"/>
      <c r="Q195" s="67"/>
    </row>
    <row r="196" spans="1:17">
      <c r="A196" s="66"/>
      <c r="C196" s="67"/>
      <c r="D196" s="72"/>
      <c r="E196" s="72"/>
      <c r="F196" s="72"/>
      <c r="G196" s="72"/>
      <c r="H196" s="72"/>
      <c r="I196" s="72"/>
      <c r="J196" s="72"/>
      <c r="K196" s="72"/>
      <c r="L196" s="72"/>
      <c r="M196" s="73"/>
      <c r="N196" s="73"/>
      <c r="O196" s="73"/>
      <c r="P196" s="67"/>
      <c r="Q196" s="67"/>
    </row>
    <row r="197" spans="1:17">
      <c r="A197" s="66" t="s">
        <v>9851</v>
      </c>
      <c r="C197" s="67"/>
      <c r="D197" s="72"/>
      <c r="E197" s="72"/>
      <c r="F197" s="72"/>
      <c r="G197" s="72"/>
      <c r="H197" s="72"/>
      <c r="I197" s="72"/>
      <c r="J197" s="72"/>
      <c r="K197" s="72"/>
      <c r="L197" s="72"/>
      <c r="M197" s="73"/>
      <c r="N197" s="73"/>
      <c r="O197" s="73"/>
      <c r="P197" s="67"/>
      <c r="Q197" s="67"/>
    </row>
    <row r="198" spans="1:17">
      <c r="A198" s="66" t="s">
        <v>14760</v>
      </c>
      <c r="B198" s="66"/>
      <c r="C198" s="67"/>
      <c r="D198" s="71"/>
      <c r="E198" s="71"/>
      <c r="F198" s="71"/>
      <c r="G198" s="71"/>
      <c r="H198" s="71"/>
      <c r="I198" s="71"/>
      <c r="J198" s="71"/>
      <c r="K198" s="71"/>
      <c r="L198" s="71"/>
      <c r="M198" s="99"/>
      <c r="N198" s="99"/>
      <c r="O198" s="99"/>
      <c r="P198" s="67"/>
      <c r="Q198" s="67"/>
    </row>
    <row r="199" spans="1:17">
      <c r="A199" s="66"/>
      <c r="B199" s="66"/>
      <c r="C199" s="67"/>
      <c r="D199" s="71"/>
      <c r="E199" s="71"/>
      <c r="F199" s="71"/>
      <c r="G199" s="71"/>
      <c r="H199" s="71"/>
      <c r="I199" s="71"/>
      <c r="J199" s="71"/>
      <c r="K199" s="71"/>
      <c r="L199" s="71"/>
      <c r="M199" s="99"/>
      <c r="N199" s="99"/>
      <c r="O199" s="99"/>
      <c r="P199" s="67"/>
      <c r="Q199" s="67"/>
    </row>
    <row r="200" spans="1:17">
      <c r="A200" s="67"/>
      <c r="B200" s="67"/>
      <c r="C200" s="67"/>
      <c r="E200" s="92" t="s">
        <v>1526</v>
      </c>
      <c r="F200" s="92"/>
      <c r="G200" s="92"/>
      <c r="H200" s="92"/>
      <c r="I200" s="92"/>
      <c r="J200" s="92"/>
      <c r="K200" s="92"/>
      <c r="L200" s="92"/>
      <c r="M200" s="51"/>
      <c r="N200" s="51"/>
      <c r="O200" s="51"/>
      <c r="P200" s="52"/>
      <c r="Q200" s="53" t="s">
        <v>9479</v>
      </c>
    </row>
    <row r="201" spans="1:17">
      <c r="A201" s="67"/>
      <c r="B201" s="67"/>
      <c r="C201" s="67"/>
      <c r="D201" s="93">
        <v>2010</v>
      </c>
      <c r="E201" s="93">
        <v>2011</v>
      </c>
      <c r="F201" s="93">
        <v>2012</v>
      </c>
      <c r="G201" s="93">
        <v>2013</v>
      </c>
      <c r="H201" s="93">
        <v>2014</v>
      </c>
      <c r="I201" s="93">
        <v>2015</v>
      </c>
      <c r="J201" s="93">
        <v>2016</v>
      </c>
      <c r="K201" s="93">
        <v>2017</v>
      </c>
      <c r="L201" s="93">
        <v>2018</v>
      </c>
      <c r="M201" s="40">
        <v>2019</v>
      </c>
      <c r="N201" s="40">
        <v>2020</v>
      </c>
      <c r="O201" s="963" t="s">
        <v>14823</v>
      </c>
      <c r="P201" s="67"/>
      <c r="Q201" s="54" t="s">
        <v>1527</v>
      </c>
    </row>
    <row r="202" spans="1:17">
      <c r="A202" s="66" t="s">
        <v>1924</v>
      </c>
      <c r="C202" s="67"/>
      <c r="D202" s="73">
        <f t="shared" ref="D202:M202" si="117">SUM(D203:D222)</f>
        <v>70176</v>
      </c>
      <c r="E202" s="73">
        <f t="shared" si="117"/>
        <v>69972</v>
      </c>
      <c r="F202" s="73">
        <f t="shared" si="117"/>
        <v>70539</v>
      </c>
      <c r="G202" s="73">
        <f t="shared" si="117"/>
        <v>70841</v>
      </c>
      <c r="H202" s="73">
        <f t="shared" si="117"/>
        <v>71396</v>
      </c>
      <c r="I202" s="73">
        <f t="shared" si="117"/>
        <v>70507</v>
      </c>
      <c r="J202" s="73">
        <f t="shared" si="117"/>
        <v>72180</v>
      </c>
      <c r="K202" s="73">
        <f t="shared" si="117"/>
        <v>73292</v>
      </c>
      <c r="L202" s="73">
        <f t="shared" si="117"/>
        <v>74276</v>
      </c>
      <c r="M202" s="73">
        <f t="shared" si="117"/>
        <v>76077</v>
      </c>
      <c r="N202" s="73">
        <f>SUM(N203:N222)</f>
        <v>76166</v>
      </c>
      <c r="O202" s="73">
        <f>SUM(O203:O222)</f>
        <v>78179</v>
      </c>
      <c r="P202" s="67"/>
      <c r="Q202" s="67"/>
    </row>
    <row r="203" spans="1:17">
      <c r="A203" s="66" t="s">
        <v>5387</v>
      </c>
      <c r="B203" s="66" t="s">
        <v>13598</v>
      </c>
      <c r="C203" s="55" t="s">
        <v>13597</v>
      </c>
      <c r="D203" s="72">
        <v>70176</v>
      </c>
      <c r="E203" s="72">
        <v>69972</v>
      </c>
      <c r="F203" s="72">
        <v>70539</v>
      </c>
      <c r="G203" s="95">
        <v>70841</v>
      </c>
      <c r="H203" s="95">
        <v>71396</v>
      </c>
      <c r="I203" s="95">
        <v>70507</v>
      </c>
      <c r="J203" s="95">
        <v>72180</v>
      </c>
      <c r="K203" s="95">
        <v>73292</v>
      </c>
      <c r="L203" s="95">
        <v>74276</v>
      </c>
      <c r="M203" s="63">
        <v>76077</v>
      </c>
      <c r="N203" s="63">
        <v>1924</v>
      </c>
      <c r="O203" s="63">
        <v>1955</v>
      </c>
      <c r="P203" s="67"/>
      <c r="Q203" s="66" t="s">
        <v>1511</v>
      </c>
    </row>
    <row r="204" spans="1:17">
      <c r="A204" s="66" t="s">
        <v>5389</v>
      </c>
      <c r="B204" s="66" t="s">
        <v>6866</v>
      </c>
      <c r="C204" s="55" t="s">
        <v>13599</v>
      </c>
      <c r="D204" s="72">
        <v>0</v>
      </c>
      <c r="E204" s="72">
        <v>0</v>
      </c>
      <c r="F204" s="72">
        <v>0</v>
      </c>
      <c r="G204" s="72">
        <v>0</v>
      </c>
      <c r="H204" s="72">
        <v>0</v>
      </c>
      <c r="I204" s="72">
        <v>0</v>
      </c>
      <c r="J204" s="72">
        <v>0</v>
      </c>
      <c r="K204" s="72">
        <v>0</v>
      </c>
      <c r="L204" s="72">
        <v>0</v>
      </c>
      <c r="M204" s="72">
        <v>0</v>
      </c>
      <c r="N204" s="63">
        <v>4265</v>
      </c>
      <c r="O204" s="63">
        <v>4324</v>
      </c>
      <c r="P204" s="67"/>
      <c r="Q204" s="66" t="s">
        <v>1511</v>
      </c>
    </row>
    <row r="205" spans="1:17">
      <c r="A205" s="66" t="s">
        <v>5391</v>
      </c>
      <c r="B205" s="66" t="s">
        <v>1974</v>
      </c>
      <c r="C205" s="55" t="s">
        <v>13600</v>
      </c>
      <c r="D205" s="72">
        <v>0</v>
      </c>
      <c r="E205" s="72">
        <v>0</v>
      </c>
      <c r="F205" s="72">
        <v>0</v>
      </c>
      <c r="G205" s="72">
        <v>0</v>
      </c>
      <c r="H205" s="72">
        <v>0</v>
      </c>
      <c r="I205" s="72">
        <v>0</v>
      </c>
      <c r="J205" s="72">
        <v>0</v>
      </c>
      <c r="K205" s="72">
        <v>0</v>
      </c>
      <c r="L205" s="72">
        <v>0</v>
      </c>
      <c r="M205" s="72">
        <v>0</v>
      </c>
      <c r="N205" s="63">
        <v>2217</v>
      </c>
      <c r="O205" s="63">
        <v>2285</v>
      </c>
      <c r="P205" s="67"/>
      <c r="Q205" s="66" t="s">
        <v>1511</v>
      </c>
    </row>
    <row r="206" spans="1:17">
      <c r="A206" s="66" t="s">
        <v>5393</v>
      </c>
      <c r="B206" s="66" t="s">
        <v>4648</v>
      </c>
      <c r="C206" s="55" t="s">
        <v>13601</v>
      </c>
      <c r="D206" s="72">
        <v>0</v>
      </c>
      <c r="E206" s="72">
        <v>0</v>
      </c>
      <c r="F206" s="72">
        <v>0</v>
      </c>
      <c r="G206" s="72">
        <v>0</v>
      </c>
      <c r="H206" s="72">
        <v>0</v>
      </c>
      <c r="I206" s="72">
        <v>0</v>
      </c>
      <c r="J206" s="72">
        <v>0</v>
      </c>
      <c r="K206" s="72">
        <v>0</v>
      </c>
      <c r="L206" s="72">
        <v>0</v>
      </c>
      <c r="M206" s="72">
        <v>0</v>
      </c>
      <c r="N206" s="63">
        <v>1984</v>
      </c>
      <c r="O206" s="63">
        <v>2023</v>
      </c>
      <c r="P206" s="67"/>
      <c r="Q206" s="66" t="s">
        <v>1511</v>
      </c>
    </row>
    <row r="207" spans="1:17">
      <c r="A207" s="66" t="s">
        <v>5394</v>
      </c>
      <c r="B207" s="66" t="s">
        <v>13603</v>
      </c>
      <c r="C207" s="55" t="s">
        <v>13602</v>
      </c>
      <c r="D207" s="72">
        <v>0</v>
      </c>
      <c r="E207" s="72">
        <v>0</v>
      </c>
      <c r="F207" s="72">
        <v>0</v>
      </c>
      <c r="G207" s="72">
        <v>0</v>
      </c>
      <c r="H207" s="72">
        <v>0</v>
      </c>
      <c r="I207" s="72">
        <v>0</v>
      </c>
      <c r="J207" s="72">
        <v>0</v>
      </c>
      <c r="K207" s="72">
        <v>0</v>
      </c>
      <c r="L207" s="72">
        <v>0</v>
      </c>
      <c r="M207" s="72">
        <v>0</v>
      </c>
      <c r="N207" s="63">
        <v>1977</v>
      </c>
      <c r="O207" s="63">
        <v>2010</v>
      </c>
      <c r="P207" s="67"/>
      <c r="Q207" s="66" t="s">
        <v>1511</v>
      </c>
    </row>
    <row r="208" spans="1:17">
      <c r="A208" s="66" t="s">
        <v>5416</v>
      </c>
      <c r="B208" s="66" t="s">
        <v>13605</v>
      </c>
      <c r="C208" s="55" t="s">
        <v>13604</v>
      </c>
      <c r="D208" s="72">
        <v>0</v>
      </c>
      <c r="E208" s="72">
        <v>0</v>
      </c>
      <c r="F208" s="72">
        <v>0</v>
      </c>
      <c r="G208" s="72">
        <v>0</v>
      </c>
      <c r="H208" s="72">
        <v>0</v>
      </c>
      <c r="I208" s="72">
        <v>0</v>
      </c>
      <c r="J208" s="72">
        <v>0</v>
      </c>
      <c r="K208" s="72">
        <v>0</v>
      </c>
      <c r="L208" s="72">
        <v>0</v>
      </c>
      <c r="M208" s="72">
        <v>0</v>
      </c>
      <c r="N208" s="63">
        <v>1902</v>
      </c>
      <c r="O208" s="63">
        <v>2210</v>
      </c>
      <c r="P208" s="67"/>
      <c r="Q208" s="66" t="s">
        <v>1511</v>
      </c>
    </row>
    <row r="209" spans="1:17">
      <c r="A209" s="66" t="s">
        <v>5418</v>
      </c>
      <c r="B209" s="66" t="s">
        <v>13607</v>
      </c>
      <c r="C209" s="55" t="s">
        <v>13606</v>
      </c>
      <c r="D209" s="72">
        <v>0</v>
      </c>
      <c r="E209" s="72">
        <v>0</v>
      </c>
      <c r="F209" s="72">
        <v>0</v>
      </c>
      <c r="G209" s="72">
        <v>0</v>
      </c>
      <c r="H209" s="72">
        <v>0</v>
      </c>
      <c r="I209" s="72">
        <v>0</v>
      </c>
      <c r="J209" s="72">
        <v>0</v>
      </c>
      <c r="K209" s="72">
        <v>0</v>
      </c>
      <c r="L209" s="72">
        <v>0</v>
      </c>
      <c r="M209" s="72">
        <v>0</v>
      </c>
      <c r="N209" s="63">
        <v>4815</v>
      </c>
      <c r="O209" s="63">
        <v>4991</v>
      </c>
      <c r="P209" s="67"/>
      <c r="Q209" s="66" t="s">
        <v>1511</v>
      </c>
    </row>
    <row r="210" spans="1:17">
      <c r="A210" s="66" t="s">
        <v>5420</v>
      </c>
      <c r="B210" s="66" t="s">
        <v>6410</v>
      </c>
      <c r="C210" s="55" t="s">
        <v>13608</v>
      </c>
      <c r="D210" s="72">
        <v>0</v>
      </c>
      <c r="E210" s="72">
        <v>0</v>
      </c>
      <c r="F210" s="72">
        <v>0</v>
      </c>
      <c r="G210" s="72">
        <v>0</v>
      </c>
      <c r="H210" s="72">
        <v>0</v>
      </c>
      <c r="I210" s="72">
        <v>0</v>
      </c>
      <c r="J210" s="72">
        <v>0</v>
      </c>
      <c r="K210" s="72">
        <v>0</v>
      </c>
      <c r="L210" s="72">
        <v>0</v>
      </c>
      <c r="M210" s="72">
        <v>0</v>
      </c>
      <c r="N210" s="63">
        <v>4400</v>
      </c>
      <c r="O210" s="63">
        <v>4481</v>
      </c>
      <c r="P210" s="67"/>
      <c r="Q210" s="66" t="s">
        <v>1511</v>
      </c>
    </row>
    <row r="211" spans="1:17">
      <c r="A211" s="66" t="s">
        <v>5422</v>
      </c>
      <c r="B211" s="66" t="s">
        <v>13610</v>
      </c>
      <c r="C211" s="55" t="s">
        <v>13609</v>
      </c>
      <c r="D211" s="72">
        <v>0</v>
      </c>
      <c r="E211" s="72">
        <v>0</v>
      </c>
      <c r="F211" s="72">
        <v>0</v>
      </c>
      <c r="G211" s="72">
        <v>0</v>
      </c>
      <c r="H211" s="72">
        <v>0</v>
      </c>
      <c r="I211" s="72">
        <v>0</v>
      </c>
      <c r="J211" s="72">
        <v>0</v>
      </c>
      <c r="K211" s="72">
        <v>0</v>
      </c>
      <c r="L211" s="72">
        <v>0</v>
      </c>
      <c r="M211" s="72">
        <v>0</v>
      </c>
      <c r="N211" s="63">
        <v>4136</v>
      </c>
      <c r="O211" s="63">
        <v>4191</v>
      </c>
      <c r="P211" s="67"/>
      <c r="Q211" s="66" t="s">
        <v>1511</v>
      </c>
    </row>
    <row r="212" spans="1:17">
      <c r="A212" s="66" t="s">
        <v>5424</v>
      </c>
      <c r="B212" s="66" t="s">
        <v>13612</v>
      </c>
      <c r="C212" s="55" t="s">
        <v>13611</v>
      </c>
      <c r="D212" s="72">
        <v>0</v>
      </c>
      <c r="E212" s="72">
        <v>0</v>
      </c>
      <c r="F212" s="72">
        <v>0</v>
      </c>
      <c r="G212" s="72">
        <v>0</v>
      </c>
      <c r="H212" s="72">
        <v>0</v>
      </c>
      <c r="I212" s="72">
        <v>0</v>
      </c>
      <c r="J212" s="72">
        <v>0</v>
      </c>
      <c r="K212" s="72">
        <v>0</v>
      </c>
      <c r="L212" s="72">
        <v>0</v>
      </c>
      <c r="M212" s="72">
        <v>0</v>
      </c>
      <c r="N212" s="63">
        <v>5582</v>
      </c>
      <c r="O212" s="63">
        <v>5648</v>
      </c>
      <c r="P212" s="67"/>
      <c r="Q212" s="66" t="s">
        <v>1511</v>
      </c>
    </row>
    <row r="213" spans="1:17">
      <c r="A213" s="66" t="s">
        <v>5426</v>
      </c>
      <c r="B213" s="66" t="s">
        <v>13614</v>
      </c>
      <c r="C213" s="55" t="s">
        <v>13613</v>
      </c>
      <c r="D213" s="72">
        <v>0</v>
      </c>
      <c r="E213" s="72">
        <v>0</v>
      </c>
      <c r="F213" s="72">
        <v>0</v>
      </c>
      <c r="G213" s="72">
        <v>0</v>
      </c>
      <c r="H213" s="72">
        <v>0</v>
      </c>
      <c r="I213" s="72">
        <v>0</v>
      </c>
      <c r="J213" s="72">
        <v>0</v>
      </c>
      <c r="K213" s="72">
        <v>0</v>
      </c>
      <c r="L213" s="72">
        <v>0</v>
      </c>
      <c r="M213" s="72">
        <v>0</v>
      </c>
      <c r="N213" s="63">
        <v>2132</v>
      </c>
      <c r="O213" s="63">
        <v>2207</v>
      </c>
      <c r="P213" s="67"/>
      <c r="Q213" s="66" t="s">
        <v>1511</v>
      </c>
    </row>
    <row r="214" spans="1:17">
      <c r="A214" s="66" t="s">
        <v>5428</v>
      </c>
      <c r="B214" s="66" t="s">
        <v>6583</v>
      </c>
      <c r="C214" s="55" t="s">
        <v>13615</v>
      </c>
      <c r="D214" s="72">
        <v>0</v>
      </c>
      <c r="E214" s="72">
        <v>0</v>
      </c>
      <c r="F214" s="72">
        <v>0</v>
      </c>
      <c r="G214" s="72">
        <v>0</v>
      </c>
      <c r="H214" s="72">
        <v>0</v>
      </c>
      <c r="I214" s="72">
        <v>0</v>
      </c>
      <c r="J214" s="72">
        <v>0</v>
      </c>
      <c r="K214" s="72">
        <v>0</v>
      </c>
      <c r="L214" s="72">
        <v>0</v>
      </c>
      <c r="M214" s="72">
        <v>0</v>
      </c>
      <c r="N214" s="63">
        <v>3746</v>
      </c>
      <c r="O214" s="63">
        <v>3817</v>
      </c>
      <c r="P214" s="67"/>
      <c r="Q214" s="66" t="s">
        <v>1511</v>
      </c>
    </row>
    <row r="215" spans="1:17">
      <c r="A215" s="66" t="s">
        <v>5429</v>
      </c>
      <c r="B215" s="66" t="s">
        <v>1925</v>
      </c>
      <c r="C215" s="55" t="s">
        <v>13616</v>
      </c>
      <c r="D215" s="72">
        <v>0</v>
      </c>
      <c r="E215" s="72">
        <v>0</v>
      </c>
      <c r="F215" s="72">
        <v>0</v>
      </c>
      <c r="G215" s="72">
        <v>0</v>
      </c>
      <c r="H215" s="72">
        <v>0</v>
      </c>
      <c r="I215" s="72">
        <v>0</v>
      </c>
      <c r="J215" s="72">
        <v>0</v>
      </c>
      <c r="K215" s="72">
        <v>0</v>
      </c>
      <c r="L215" s="72">
        <v>0</v>
      </c>
      <c r="M215" s="72">
        <v>0</v>
      </c>
      <c r="N215" s="63">
        <v>3875</v>
      </c>
      <c r="O215" s="63">
        <v>3986</v>
      </c>
      <c r="P215" s="67"/>
      <c r="Q215" s="66" t="s">
        <v>1511</v>
      </c>
    </row>
    <row r="216" spans="1:17">
      <c r="A216" s="66" t="s">
        <v>5431</v>
      </c>
      <c r="B216" s="66" t="s">
        <v>13618</v>
      </c>
      <c r="C216" s="55" t="s">
        <v>13617</v>
      </c>
      <c r="D216" s="72">
        <v>0</v>
      </c>
      <c r="E216" s="72">
        <v>0</v>
      </c>
      <c r="F216" s="72">
        <v>0</v>
      </c>
      <c r="G216" s="72">
        <v>0</v>
      </c>
      <c r="H216" s="72">
        <v>0</v>
      </c>
      <c r="I216" s="72">
        <v>0</v>
      </c>
      <c r="J216" s="72">
        <v>0</v>
      </c>
      <c r="K216" s="72">
        <v>0</v>
      </c>
      <c r="L216" s="72">
        <v>0</v>
      </c>
      <c r="M216" s="72">
        <v>0</v>
      </c>
      <c r="N216" s="63">
        <v>4850</v>
      </c>
      <c r="O216" s="63">
        <v>4987</v>
      </c>
      <c r="P216" s="67"/>
      <c r="Q216" s="66" t="s">
        <v>1511</v>
      </c>
    </row>
    <row r="217" spans="1:17">
      <c r="A217" s="66" t="s">
        <v>5433</v>
      </c>
      <c r="B217" s="66" t="s">
        <v>13620</v>
      </c>
      <c r="C217" s="55" t="s">
        <v>13619</v>
      </c>
      <c r="D217" s="72">
        <v>0</v>
      </c>
      <c r="E217" s="72">
        <v>0</v>
      </c>
      <c r="F217" s="72">
        <v>0</v>
      </c>
      <c r="G217" s="72">
        <v>0</v>
      </c>
      <c r="H217" s="72">
        <v>0</v>
      </c>
      <c r="I217" s="72">
        <v>0</v>
      </c>
      <c r="J217" s="72">
        <v>0</v>
      </c>
      <c r="K217" s="72">
        <v>0</v>
      </c>
      <c r="L217" s="72">
        <v>0</v>
      </c>
      <c r="M217" s="72">
        <v>0</v>
      </c>
      <c r="N217" s="63">
        <v>4481</v>
      </c>
      <c r="O217" s="63">
        <v>4580</v>
      </c>
      <c r="P217" s="67"/>
      <c r="Q217" s="66" t="s">
        <v>1511</v>
      </c>
    </row>
    <row r="218" spans="1:17">
      <c r="A218" s="66" t="s">
        <v>5435</v>
      </c>
      <c r="B218" s="66" t="s">
        <v>1926</v>
      </c>
      <c r="C218" s="55" t="s">
        <v>13621</v>
      </c>
      <c r="D218" s="72">
        <v>0</v>
      </c>
      <c r="E218" s="72">
        <v>0</v>
      </c>
      <c r="F218" s="72">
        <v>0</v>
      </c>
      <c r="G218" s="72">
        <v>0</v>
      </c>
      <c r="H218" s="72">
        <v>0</v>
      </c>
      <c r="I218" s="72">
        <v>0</v>
      </c>
      <c r="J218" s="72">
        <v>0</v>
      </c>
      <c r="K218" s="72">
        <v>0</v>
      </c>
      <c r="L218" s="72">
        <v>0</v>
      </c>
      <c r="M218" s="72">
        <v>0</v>
      </c>
      <c r="N218" s="63">
        <v>4393</v>
      </c>
      <c r="O218" s="63">
        <v>4493</v>
      </c>
      <c r="P218" s="67"/>
      <c r="Q218" s="66" t="s">
        <v>1511</v>
      </c>
    </row>
    <row r="219" spans="1:17">
      <c r="A219" s="66" t="s">
        <v>5436</v>
      </c>
      <c r="B219" s="66" t="s">
        <v>13623</v>
      </c>
      <c r="C219" s="55" t="s">
        <v>13622</v>
      </c>
      <c r="D219" s="72">
        <v>0</v>
      </c>
      <c r="E219" s="72">
        <v>0</v>
      </c>
      <c r="F219" s="72">
        <v>0</v>
      </c>
      <c r="G219" s="72">
        <v>0</v>
      </c>
      <c r="H219" s="72">
        <v>0</v>
      </c>
      <c r="I219" s="72">
        <v>0</v>
      </c>
      <c r="J219" s="72">
        <v>0</v>
      </c>
      <c r="K219" s="72">
        <v>0</v>
      </c>
      <c r="L219" s="72">
        <v>0</v>
      </c>
      <c r="M219" s="72">
        <v>0</v>
      </c>
      <c r="N219" s="63">
        <v>5651</v>
      </c>
      <c r="O219" s="63">
        <v>5739</v>
      </c>
      <c r="P219" s="67"/>
      <c r="Q219" s="66" t="s">
        <v>1511</v>
      </c>
    </row>
    <row r="220" spans="1:17">
      <c r="A220" s="66" t="s">
        <v>5437</v>
      </c>
      <c r="B220" s="66" t="s">
        <v>3229</v>
      </c>
      <c r="C220" s="55" t="s">
        <v>13624</v>
      </c>
      <c r="D220" s="72">
        <v>0</v>
      </c>
      <c r="E220" s="72">
        <v>0</v>
      </c>
      <c r="F220" s="72">
        <v>0</v>
      </c>
      <c r="G220" s="72">
        <v>0</v>
      </c>
      <c r="H220" s="72">
        <v>0</v>
      </c>
      <c r="I220" s="72">
        <v>0</v>
      </c>
      <c r="J220" s="72">
        <v>0</v>
      </c>
      <c r="K220" s="72">
        <v>0</v>
      </c>
      <c r="L220" s="72">
        <v>0</v>
      </c>
      <c r="M220" s="72">
        <v>0</v>
      </c>
      <c r="N220" s="63">
        <v>2316</v>
      </c>
      <c r="O220" s="63">
        <v>2483</v>
      </c>
      <c r="P220" s="67"/>
      <c r="Q220" s="66" t="s">
        <v>1511</v>
      </c>
    </row>
    <row r="221" spans="1:17">
      <c r="A221" s="66" t="s">
        <v>5439</v>
      </c>
      <c r="B221" s="66" t="s">
        <v>1927</v>
      </c>
      <c r="C221" s="55" t="s">
        <v>13625</v>
      </c>
      <c r="D221" s="72">
        <v>0</v>
      </c>
      <c r="E221" s="72">
        <v>0</v>
      </c>
      <c r="F221" s="72">
        <v>0</v>
      </c>
      <c r="G221" s="72">
        <v>0</v>
      </c>
      <c r="H221" s="72">
        <v>0</v>
      </c>
      <c r="I221" s="72">
        <v>0</v>
      </c>
      <c r="J221" s="72">
        <v>0</v>
      </c>
      <c r="K221" s="72">
        <v>0</v>
      </c>
      <c r="L221" s="72">
        <v>0</v>
      </c>
      <c r="M221" s="72">
        <v>0</v>
      </c>
      <c r="N221" s="63">
        <v>5491</v>
      </c>
      <c r="O221" s="63">
        <v>5638</v>
      </c>
      <c r="P221" s="67"/>
      <c r="Q221" s="66" t="s">
        <v>1511</v>
      </c>
    </row>
    <row r="222" spans="1:17">
      <c r="A222" s="66" t="s">
        <v>5441</v>
      </c>
      <c r="B222" s="66" t="s">
        <v>13627</v>
      </c>
      <c r="C222" s="55" t="s">
        <v>13626</v>
      </c>
      <c r="D222" s="72">
        <v>0</v>
      </c>
      <c r="E222" s="72">
        <v>0</v>
      </c>
      <c r="F222" s="72">
        <v>0</v>
      </c>
      <c r="G222" s="72">
        <v>0</v>
      </c>
      <c r="H222" s="72">
        <v>0</v>
      </c>
      <c r="I222" s="72">
        <v>0</v>
      </c>
      <c r="J222" s="72">
        <v>0</v>
      </c>
      <c r="K222" s="72">
        <v>0</v>
      </c>
      <c r="L222" s="72">
        <v>0</v>
      </c>
      <c r="M222" s="72">
        <v>0</v>
      </c>
      <c r="N222" s="63">
        <v>6029</v>
      </c>
      <c r="O222" s="63">
        <v>6131</v>
      </c>
      <c r="P222" s="67"/>
      <c r="Q222" s="66" t="s">
        <v>1511</v>
      </c>
    </row>
    <row r="223" spans="1:17">
      <c r="A223" s="67"/>
      <c r="B223" s="67"/>
      <c r="C223" s="67"/>
      <c r="D223" s="72"/>
      <c r="E223" s="72"/>
      <c r="F223" s="72"/>
      <c r="G223" s="72"/>
      <c r="H223" s="72"/>
      <c r="I223" s="72"/>
      <c r="J223" s="72"/>
      <c r="K223" s="72"/>
      <c r="L223" s="72"/>
      <c r="M223" s="73"/>
      <c r="N223" s="73"/>
      <c r="O223" s="73"/>
      <c r="P223" s="67"/>
      <c r="Q223" s="67"/>
    </row>
    <row r="224" spans="1:17">
      <c r="A224" s="66" t="s">
        <v>1928</v>
      </c>
      <c r="C224" s="67"/>
      <c r="D224" s="72">
        <f>SUM(D203:D222)</f>
        <v>70176</v>
      </c>
      <c r="E224" s="72">
        <f t="shared" ref="E224:N224" si="118">SUM(E203:E222)</f>
        <v>69972</v>
      </c>
      <c r="F224" s="72">
        <f t="shared" si="118"/>
        <v>70539</v>
      </c>
      <c r="G224" s="72">
        <f t="shared" si="118"/>
        <v>70841</v>
      </c>
      <c r="H224" s="72">
        <f t="shared" si="118"/>
        <v>71396</v>
      </c>
      <c r="I224" s="72">
        <f t="shared" si="118"/>
        <v>70507</v>
      </c>
      <c r="J224" s="72">
        <f t="shared" si="118"/>
        <v>72180</v>
      </c>
      <c r="K224" s="72">
        <f t="shared" si="118"/>
        <v>73292</v>
      </c>
      <c r="L224" s="72">
        <f t="shared" si="118"/>
        <v>74276</v>
      </c>
      <c r="M224" s="72">
        <f t="shared" si="118"/>
        <v>76077</v>
      </c>
      <c r="N224" s="72">
        <f t="shared" si="118"/>
        <v>76166</v>
      </c>
      <c r="O224" s="72">
        <f>SUM(O203:O222)</f>
        <v>78179</v>
      </c>
      <c r="P224" s="67"/>
      <c r="Q224" s="67"/>
    </row>
    <row r="225" spans="1:17">
      <c r="A225" s="66"/>
      <c r="C225" s="67"/>
      <c r="D225" s="72"/>
      <c r="E225" s="72"/>
      <c r="F225" s="72"/>
      <c r="G225" s="72"/>
      <c r="H225" s="72"/>
      <c r="I225" s="72"/>
      <c r="J225" s="72"/>
      <c r="K225" s="72"/>
      <c r="L225" s="72"/>
      <c r="M225" s="73"/>
      <c r="N225" s="73"/>
      <c r="O225" s="73"/>
      <c r="P225" s="67"/>
      <c r="Q225" s="67"/>
    </row>
    <row r="226" spans="1:17">
      <c r="A226" s="66" t="s">
        <v>13628</v>
      </c>
      <c r="C226" s="67"/>
      <c r="D226" s="72"/>
      <c r="E226" s="72"/>
      <c r="F226" s="72"/>
      <c r="G226" s="72"/>
      <c r="H226" s="72"/>
      <c r="I226" s="72"/>
      <c r="J226" s="72"/>
      <c r="K226" s="72"/>
      <c r="L226" s="72"/>
      <c r="M226" s="73"/>
      <c r="N226" s="73"/>
      <c r="O226" s="73"/>
      <c r="P226" s="67"/>
      <c r="Q226" s="67"/>
    </row>
    <row r="227" spans="1:17">
      <c r="A227" s="66"/>
      <c r="B227" s="66"/>
      <c r="C227" s="67"/>
      <c r="D227" s="71"/>
      <c r="E227" s="71"/>
      <c r="F227" s="71"/>
      <c r="G227" s="71"/>
      <c r="H227" s="71"/>
      <c r="I227" s="71"/>
      <c r="J227" s="71"/>
      <c r="K227" s="71"/>
      <c r="L227" s="71"/>
      <c r="M227" s="99"/>
      <c r="N227" s="99"/>
      <c r="O227" s="99"/>
      <c r="P227" s="67"/>
      <c r="Q227" s="67"/>
    </row>
    <row r="228" spans="1:17">
      <c r="A228" s="66"/>
      <c r="B228" s="66"/>
      <c r="C228" s="67"/>
      <c r="D228" s="71"/>
      <c r="E228" s="71"/>
      <c r="F228" s="71"/>
      <c r="G228" s="71"/>
      <c r="H228" s="71"/>
      <c r="I228" s="71"/>
      <c r="J228" s="71"/>
      <c r="K228" s="71"/>
      <c r="L228" s="71"/>
      <c r="M228" s="99"/>
      <c r="N228" s="99"/>
      <c r="O228" s="99"/>
      <c r="P228" s="67"/>
      <c r="Q228" s="67"/>
    </row>
    <row r="229" spans="1:17">
      <c r="A229" s="67"/>
      <c r="B229" s="67"/>
      <c r="C229" s="67"/>
      <c r="E229" s="92" t="s">
        <v>1526</v>
      </c>
      <c r="F229" s="92"/>
      <c r="G229" s="92"/>
      <c r="H229" s="92"/>
      <c r="I229" s="92"/>
      <c r="J229" s="92"/>
      <c r="K229" s="92"/>
      <c r="L229" s="92"/>
      <c r="M229" s="51"/>
      <c r="N229" s="51"/>
      <c r="O229" s="51"/>
      <c r="P229" s="52"/>
      <c r="Q229" s="53" t="s">
        <v>9479</v>
      </c>
    </row>
    <row r="230" spans="1:17">
      <c r="A230" s="67"/>
      <c r="B230" s="67"/>
      <c r="C230" s="67"/>
      <c r="D230" s="93">
        <v>2010</v>
      </c>
      <c r="E230" s="93">
        <v>2011</v>
      </c>
      <c r="F230" s="93">
        <v>2012</v>
      </c>
      <c r="G230" s="93">
        <v>2013</v>
      </c>
      <c r="H230" s="93">
        <v>2014</v>
      </c>
      <c r="I230" s="93">
        <v>2015</v>
      </c>
      <c r="J230" s="93">
        <v>2016</v>
      </c>
      <c r="K230" s="93">
        <v>2017</v>
      </c>
      <c r="L230" s="93">
        <v>2018</v>
      </c>
      <c r="M230" s="40">
        <v>2019</v>
      </c>
      <c r="N230" s="40">
        <v>2020</v>
      </c>
      <c r="O230" s="963" t="s">
        <v>14823</v>
      </c>
      <c r="P230" s="67"/>
      <c r="Q230" s="54" t="s">
        <v>1527</v>
      </c>
    </row>
    <row r="231" spans="1:17">
      <c r="A231" s="66" t="s">
        <v>548</v>
      </c>
      <c r="C231" s="67"/>
      <c r="D231" s="73">
        <f t="shared" ref="D231:M231" si="119">SUM(D232:D237,D239:D250)</f>
        <v>82433</v>
      </c>
      <c r="E231" s="73">
        <f t="shared" si="119"/>
        <v>82962</v>
      </c>
      <c r="F231" s="73">
        <f t="shared" si="119"/>
        <v>83385</v>
      </c>
      <c r="G231" s="73">
        <f t="shared" si="119"/>
        <v>83800</v>
      </c>
      <c r="H231" s="73">
        <f t="shared" si="119"/>
        <v>84296</v>
      </c>
      <c r="I231" s="73">
        <f t="shared" si="119"/>
        <v>83480</v>
      </c>
      <c r="J231" s="73">
        <f t="shared" si="119"/>
        <v>84023</v>
      </c>
      <c r="K231" s="73">
        <f t="shared" si="119"/>
        <v>85899</v>
      </c>
      <c r="L231" s="73">
        <f t="shared" si="119"/>
        <v>85530</v>
      </c>
      <c r="M231" s="73">
        <f t="shared" si="119"/>
        <v>84790</v>
      </c>
      <c r="N231" s="73">
        <f>SUM(N232:N237,N239:N250)</f>
        <v>87671</v>
      </c>
      <c r="O231" s="73">
        <f>SUM(O232:O237,O239:O250)</f>
        <v>86792</v>
      </c>
      <c r="P231" s="67"/>
      <c r="Q231" s="67"/>
    </row>
    <row r="232" spans="1:17">
      <c r="A232" s="66" t="s">
        <v>5387</v>
      </c>
      <c r="B232" s="66" t="s">
        <v>12841</v>
      </c>
      <c r="C232" s="55" t="s">
        <v>12840</v>
      </c>
      <c r="D232" s="72">
        <v>71535</v>
      </c>
      <c r="E232" s="72">
        <v>71993</v>
      </c>
      <c r="F232" s="72">
        <v>72490</v>
      </c>
      <c r="G232" s="72">
        <v>72898</v>
      </c>
      <c r="H232" s="72">
        <v>73248</v>
      </c>
      <c r="I232" s="72">
        <v>72478</v>
      </c>
      <c r="J232" s="72">
        <v>72940</v>
      </c>
      <c r="K232" s="72">
        <v>74600</v>
      </c>
      <c r="L232" s="72">
        <v>74304</v>
      </c>
      <c r="M232" s="72">
        <v>73570</v>
      </c>
      <c r="N232" s="56">
        <v>2722</v>
      </c>
      <c r="O232" s="56">
        <v>2687</v>
      </c>
      <c r="P232" s="67"/>
      <c r="Q232" s="66" t="s">
        <v>1513</v>
      </c>
    </row>
    <row r="233" spans="1:17">
      <c r="A233" s="66" t="s">
        <v>5389</v>
      </c>
      <c r="B233" s="66" t="s">
        <v>12843</v>
      </c>
      <c r="C233" s="55" t="s">
        <v>12842</v>
      </c>
      <c r="D233" s="72">
        <v>0</v>
      </c>
      <c r="E233" s="72">
        <v>0</v>
      </c>
      <c r="F233" s="72">
        <v>0</v>
      </c>
      <c r="G233" s="72">
        <v>0</v>
      </c>
      <c r="H233" s="72">
        <v>0</v>
      </c>
      <c r="I233" s="72">
        <v>0</v>
      </c>
      <c r="J233" s="72">
        <v>0</v>
      </c>
      <c r="K233" s="72">
        <v>0</v>
      </c>
      <c r="L233" s="72">
        <v>0</v>
      </c>
      <c r="M233" s="72">
        <v>0</v>
      </c>
      <c r="N233" s="56">
        <v>8298</v>
      </c>
      <c r="O233" s="56">
        <v>8217</v>
      </c>
      <c r="P233" s="67"/>
      <c r="Q233" s="66" t="s">
        <v>1513</v>
      </c>
    </row>
    <row r="234" spans="1:17">
      <c r="A234" s="66" t="s">
        <v>5391</v>
      </c>
      <c r="B234" s="66" t="s">
        <v>4200</v>
      </c>
      <c r="C234" s="55" t="s">
        <v>12844</v>
      </c>
      <c r="D234" s="72">
        <v>0</v>
      </c>
      <c r="E234" s="72">
        <v>0</v>
      </c>
      <c r="F234" s="72">
        <v>0</v>
      </c>
      <c r="G234" s="72">
        <v>0</v>
      </c>
      <c r="H234" s="72">
        <v>0</v>
      </c>
      <c r="I234" s="72">
        <v>0</v>
      </c>
      <c r="J234" s="72">
        <v>0</v>
      </c>
      <c r="K234" s="72">
        <v>0</v>
      </c>
      <c r="L234" s="72">
        <v>0</v>
      </c>
      <c r="M234" s="72">
        <v>0</v>
      </c>
      <c r="N234" s="56">
        <v>5396</v>
      </c>
      <c r="O234" s="56">
        <v>5317</v>
      </c>
      <c r="P234" s="67"/>
      <c r="Q234" s="66" t="s">
        <v>1513</v>
      </c>
    </row>
    <row r="235" spans="1:17">
      <c r="A235" s="66" t="s">
        <v>5393</v>
      </c>
      <c r="B235" s="66" t="s">
        <v>12846</v>
      </c>
      <c r="C235" s="55" t="s">
        <v>12845</v>
      </c>
      <c r="D235" s="72">
        <v>0</v>
      </c>
      <c r="E235" s="72">
        <v>0</v>
      </c>
      <c r="F235" s="72">
        <v>0</v>
      </c>
      <c r="G235" s="72">
        <v>0</v>
      </c>
      <c r="H235" s="72">
        <v>0</v>
      </c>
      <c r="I235" s="72">
        <v>0</v>
      </c>
      <c r="J235" s="72">
        <v>0</v>
      </c>
      <c r="K235" s="72">
        <v>0</v>
      </c>
      <c r="L235" s="72">
        <v>0</v>
      </c>
      <c r="M235" s="72">
        <v>0</v>
      </c>
      <c r="N235" s="56">
        <v>5387</v>
      </c>
      <c r="O235" s="56">
        <v>5333</v>
      </c>
      <c r="P235" s="67"/>
      <c r="Q235" s="66" t="s">
        <v>1513</v>
      </c>
    </row>
    <row r="236" spans="1:17">
      <c r="A236" s="66" t="s">
        <v>5394</v>
      </c>
      <c r="B236" s="66" t="s">
        <v>12848</v>
      </c>
      <c r="C236" s="55" t="s">
        <v>12847</v>
      </c>
      <c r="D236" s="72">
        <v>0</v>
      </c>
      <c r="E236" s="72">
        <v>0</v>
      </c>
      <c r="F236" s="72">
        <v>0</v>
      </c>
      <c r="G236" s="72">
        <v>0</v>
      </c>
      <c r="H236" s="72">
        <v>0</v>
      </c>
      <c r="I236" s="72">
        <v>0</v>
      </c>
      <c r="J236" s="72">
        <v>0</v>
      </c>
      <c r="K236" s="72">
        <v>0</v>
      </c>
      <c r="L236" s="72">
        <v>0</v>
      </c>
      <c r="M236" s="72">
        <v>0</v>
      </c>
      <c r="N236" s="56">
        <v>4366</v>
      </c>
      <c r="O236" s="56">
        <v>4331</v>
      </c>
      <c r="P236" s="67"/>
      <c r="Q236" s="66" t="s">
        <v>1513</v>
      </c>
    </row>
    <row r="237" spans="1:17" ht="15.75" thickBot="1">
      <c r="A237" s="66"/>
      <c r="B237" s="66"/>
      <c r="C237" s="55" t="s">
        <v>12847</v>
      </c>
      <c r="D237" s="102">
        <v>0</v>
      </c>
      <c r="E237" s="102">
        <v>0</v>
      </c>
      <c r="F237" s="102">
        <v>0</v>
      </c>
      <c r="G237" s="102">
        <v>0</v>
      </c>
      <c r="H237" s="102">
        <v>0</v>
      </c>
      <c r="I237" s="102">
        <v>0</v>
      </c>
      <c r="J237" s="102">
        <v>0</v>
      </c>
      <c r="K237" s="102">
        <v>0</v>
      </c>
      <c r="L237" s="102">
        <v>0</v>
      </c>
      <c r="M237" s="102">
        <v>0</v>
      </c>
      <c r="N237" s="102">
        <v>632</v>
      </c>
      <c r="O237" s="102">
        <v>625</v>
      </c>
      <c r="P237" s="67"/>
      <c r="Q237" s="66" t="s">
        <v>881</v>
      </c>
    </row>
    <row r="238" spans="1:17" ht="15.75" thickBot="1">
      <c r="A238" s="66"/>
      <c r="B238" s="66"/>
      <c r="C238" s="55" t="s">
        <v>12847</v>
      </c>
      <c r="D238" s="103">
        <f t="shared" ref="D238:N238" si="120">D236+D237</f>
        <v>0</v>
      </c>
      <c r="E238" s="103">
        <f t="shared" si="120"/>
        <v>0</v>
      </c>
      <c r="F238" s="103">
        <f t="shared" si="120"/>
        <v>0</v>
      </c>
      <c r="G238" s="103">
        <f t="shared" si="120"/>
        <v>0</v>
      </c>
      <c r="H238" s="103">
        <f t="shared" si="120"/>
        <v>0</v>
      </c>
      <c r="I238" s="103">
        <f t="shared" si="120"/>
        <v>0</v>
      </c>
      <c r="J238" s="103">
        <f t="shared" si="120"/>
        <v>0</v>
      </c>
      <c r="K238" s="103">
        <f t="shared" si="120"/>
        <v>0</v>
      </c>
      <c r="L238" s="103">
        <f t="shared" si="120"/>
        <v>0</v>
      </c>
      <c r="M238" s="103">
        <f t="shared" si="120"/>
        <v>0</v>
      </c>
      <c r="N238" s="103">
        <f t="shared" si="120"/>
        <v>4998</v>
      </c>
      <c r="O238" s="103">
        <f>O236+O237</f>
        <v>4956</v>
      </c>
      <c r="P238" s="67"/>
      <c r="Q238" s="66"/>
    </row>
    <row r="239" spans="1:17">
      <c r="A239" s="66" t="s">
        <v>5416</v>
      </c>
      <c r="B239" s="66" t="s">
        <v>12850</v>
      </c>
      <c r="C239" s="55" t="s">
        <v>12849</v>
      </c>
      <c r="D239" s="72">
        <v>0</v>
      </c>
      <c r="E239" s="72">
        <v>0</v>
      </c>
      <c r="F239" s="72">
        <v>0</v>
      </c>
      <c r="G239" s="72">
        <v>0</v>
      </c>
      <c r="H239" s="72">
        <v>0</v>
      </c>
      <c r="I239" s="72">
        <v>0</v>
      </c>
      <c r="J239" s="72">
        <v>0</v>
      </c>
      <c r="K239" s="72">
        <v>0</v>
      </c>
      <c r="L239" s="72">
        <v>0</v>
      </c>
      <c r="M239" s="72">
        <v>0</v>
      </c>
      <c r="N239" s="56">
        <v>5891</v>
      </c>
      <c r="O239" s="56">
        <v>5859</v>
      </c>
      <c r="P239" s="67"/>
      <c r="Q239" s="66" t="s">
        <v>1513</v>
      </c>
    </row>
    <row r="240" spans="1:17">
      <c r="A240" s="66" t="s">
        <v>5418</v>
      </c>
      <c r="B240" s="66" t="s">
        <v>12852</v>
      </c>
      <c r="C240" s="55" t="s">
        <v>12851</v>
      </c>
      <c r="D240" s="72">
        <v>10898</v>
      </c>
      <c r="E240" s="72">
        <v>10969</v>
      </c>
      <c r="F240" s="72">
        <v>10895</v>
      </c>
      <c r="G240" s="72">
        <v>10902</v>
      </c>
      <c r="H240" s="72">
        <v>11048</v>
      </c>
      <c r="I240" s="72">
        <v>11002</v>
      </c>
      <c r="J240" s="72">
        <v>11083</v>
      </c>
      <c r="K240" s="72">
        <v>11299</v>
      </c>
      <c r="L240" s="72">
        <v>11226</v>
      </c>
      <c r="M240" s="72">
        <v>11220</v>
      </c>
      <c r="N240" s="58">
        <v>5788</v>
      </c>
      <c r="O240" s="58">
        <v>5723</v>
      </c>
      <c r="P240" s="67"/>
      <c r="Q240" s="66" t="s">
        <v>881</v>
      </c>
    </row>
    <row r="241" spans="1:17">
      <c r="A241" s="66" t="s">
        <v>5420</v>
      </c>
      <c r="B241" s="66" t="s">
        <v>12854</v>
      </c>
      <c r="C241" s="55" t="s">
        <v>12853</v>
      </c>
      <c r="D241" s="72">
        <v>0</v>
      </c>
      <c r="E241" s="72">
        <v>0</v>
      </c>
      <c r="F241" s="72">
        <v>0</v>
      </c>
      <c r="G241" s="72">
        <v>0</v>
      </c>
      <c r="H241" s="72">
        <v>0</v>
      </c>
      <c r="I241" s="72">
        <v>0</v>
      </c>
      <c r="J241" s="72">
        <v>0</v>
      </c>
      <c r="K241" s="72">
        <v>0</v>
      </c>
      <c r="L241" s="72">
        <v>0</v>
      </c>
      <c r="M241" s="72">
        <v>0</v>
      </c>
      <c r="N241" s="56">
        <v>2993</v>
      </c>
      <c r="O241" s="56">
        <v>2939</v>
      </c>
      <c r="P241" s="67"/>
      <c r="Q241" s="66" t="s">
        <v>1513</v>
      </c>
    </row>
    <row r="242" spans="1:17">
      <c r="A242" s="66" t="s">
        <v>5422</v>
      </c>
      <c r="B242" s="66" t="s">
        <v>12856</v>
      </c>
      <c r="C242" s="55" t="s">
        <v>12855</v>
      </c>
      <c r="D242" s="72">
        <v>0</v>
      </c>
      <c r="E242" s="72">
        <v>0</v>
      </c>
      <c r="F242" s="72">
        <v>0</v>
      </c>
      <c r="G242" s="72">
        <v>0</v>
      </c>
      <c r="H242" s="72">
        <v>0</v>
      </c>
      <c r="I242" s="72">
        <v>0</v>
      </c>
      <c r="J242" s="72">
        <v>0</v>
      </c>
      <c r="K242" s="72">
        <v>0</v>
      </c>
      <c r="L242" s="72">
        <v>0</v>
      </c>
      <c r="M242" s="72">
        <v>0</v>
      </c>
      <c r="N242" s="56">
        <v>5653</v>
      </c>
      <c r="O242" s="56">
        <v>5625</v>
      </c>
      <c r="P242" s="67"/>
      <c r="Q242" s="66" t="s">
        <v>1513</v>
      </c>
    </row>
    <row r="243" spans="1:17">
      <c r="A243" s="66" t="s">
        <v>5424</v>
      </c>
      <c r="B243" s="66" t="s">
        <v>5434</v>
      </c>
      <c r="C243" s="55" t="s">
        <v>12857</v>
      </c>
      <c r="D243" s="72">
        <v>0</v>
      </c>
      <c r="E243" s="72">
        <v>0</v>
      </c>
      <c r="F243" s="72">
        <v>0</v>
      </c>
      <c r="G243" s="72">
        <v>0</v>
      </c>
      <c r="H243" s="72">
        <v>0</v>
      </c>
      <c r="I243" s="72">
        <v>0</v>
      </c>
      <c r="J243" s="72">
        <v>0</v>
      </c>
      <c r="K243" s="72">
        <v>0</v>
      </c>
      <c r="L243" s="72">
        <v>0</v>
      </c>
      <c r="M243" s="72">
        <v>0</v>
      </c>
      <c r="N243" s="56">
        <v>6097</v>
      </c>
      <c r="O243" s="56">
        <v>6037</v>
      </c>
      <c r="P243" s="67"/>
      <c r="Q243" s="66" t="s">
        <v>1513</v>
      </c>
    </row>
    <row r="244" spans="1:17">
      <c r="A244" s="66" t="s">
        <v>5426</v>
      </c>
      <c r="B244" s="66" t="s">
        <v>2261</v>
      </c>
      <c r="C244" s="55" t="s">
        <v>12858</v>
      </c>
      <c r="D244" s="72">
        <v>0</v>
      </c>
      <c r="E244" s="72">
        <v>0</v>
      </c>
      <c r="F244" s="72">
        <v>0</v>
      </c>
      <c r="G244" s="72">
        <v>0</v>
      </c>
      <c r="H244" s="72">
        <v>0</v>
      </c>
      <c r="I244" s="72">
        <v>0</v>
      </c>
      <c r="J244" s="72">
        <v>0</v>
      </c>
      <c r="K244" s="72">
        <v>0</v>
      </c>
      <c r="L244" s="72">
        <v>0</v>
      </c>
      <c r="M244" s="72">
        <v>0</v>
      </c>
      <c r="N244" s="56">
        <v>5894</v>
      </c>
      <c r="O244" s="56">
        <v>5828</v>
      </c>
      <c r="P244" s="67"/>
      <c r="Q244" s="66" t="s">
        <v>1513</v>
      </c>
    </row>
    <row r="245" spans="1:17">
      <c r="A245" s="66" t="s">
        <v>5428</v>
      </c>
      <c r="B245" s="66" t="s">
        <v>2262</v>
      </c>
      <c r="C245" s="55" t="s">
        <v>12859</v>
      </c>
      <c r="D245" s="72">
        <v>0</v>
      </c>
      <c r="E245" s="72">
        <v>0</v>
      </c>
      <c r="F245" s="72">
        <v>0</v>
      </c>
      <c r="G245" s="72">
        <v>0</v>
      </c>
      <c r="H245" s="72">
        <v>0</v>
      </c>
      <c r="I245" s="72">
        <v>0</v>
      </c>
      <c r="J245" s="72">
        <v>0</v>
      </c>
      <c r="K245" s="72">
        <v>0</v>
      </c>
      <c r="L245" s="72">
        <v>0</v>
      </c>
      <c r="M245" s="72">
        <v>0</v>
      </c>
      <c r="N245" s="56">
        <v>4379</v>
      </c>
      <c r="O245" s="56">
        <v>4300</v>
      </c>
      <c r="P245" s="67"/>
      <c r="Q245" s="66" t="s">
        <v>1513</v>
      </c>
    </row>
    <row r="246" spans="1:17">
      <c r="A246" s="66" t="s">
        <v>5429</v>
      </c>
      <c r="B246" s="66" t="s">
        <v>2263</v>
      </c>
      <c r="C246" s="55" t="s">
        <v>12860</v>
      </c>
      <c r="D246" s="72">
        <v>0</v>
      </c>
      <c r="E246" s="72">
        <v>0</v>
      </c>
      <c r="F246" s="72">
        <v>0</v>
      </c>
      <c r="G246" s="72">
        <v>0</v>
      </c>
      <c r="H246" s="72">
        <v>0</v>
      </c>
      <c r="I246" s="72">
        <v>0</v>
      </c>
      <c r="J246" s="72">
        <v>0</v>
      </c>
      <c r="K246" s="72">
        <v>0</v>
      </c>
      <c r="L246" s="72">
        <v>0</v>
      </c>
      <c r="M246" s="72">
        <v>0</v>
      </c>
      <c r="N246" s="56">
        <v>5273</v>
      </c>
      <c r="O246" s="56">
        <v>5214</v>
      </c>
      <c r="P246" s="67"/>
      <c r="Q246" s="66" t="s">
        <v>881</v>
      </c>
    </row>
    <row r="247" spans="1:17">
      <c r="A247" s="66" t="s">
        <v>5431</v>
      </c>
      <c r="B247" s="66" t="s">
        <v>6891</v>
      </c>
      <c r="C247" s="55" t="s">
        <v>12861</v>
      </c>
      <c r="D247" s="72">
        <v>0</v>
      </c>
      <c r="E247" s="72">
        <v>0</v>
      </c>
      <c r="F247" s="72">
        <v>0</v>
      </c>
      <c r="G247" s="72">
        <v>0</v>
      </c>
      <c r="H247" s="72">
        <v>0</v>
      </c>
      <c r="I247" s="72">
        <v>0</v>
      </c>
      <c r="J247" s="72">
        <v>0</v>
      </c>
      <c r="K247" s="72">
        <v>0</v>
      </c>
      <c r="L247" s="72">
        <v>0</v>
      </c>
      <c r="M247" s="72">
        <v>0</v>
      </c>
      <c r="N247" s="56">
        <v>2728</v>
      </c>
      <c r="O247" s="56">
        <v>2708</v>
      </c>
      <c r="P247" s="67"/>
      <c r="Q247" s="66" t="s">
        <v>1513</v>
      </c>
    </row>
    <row r="248" spans="1:17">
      <c r="A248" s="66" t="s">
        <v>5433</v>
      </c>
      <c r="B248" s="66" t="s">
        <v>12863</v>
      </c>
      <c r="C248" s="55" t="s">
        <v>12862</v>
      </c>
      <c r="D248" s="72">
        <v>0</v>
      </c>
      <c r="E248" s="72">
        <v>0</v>
      </c>
      <c r="F248" s="72">
        <v>0</v>
      </c>
      <c r="G248" s="72">
        <v>0</v>
      </c>
      <c r="H248" s="72">
        <v>0</v>
      </c>
      <c r="I248" s="72">
        <v>0</v>
      </c>
      <c r="J248" s="72">
        <v>0</v>
      </c>
      <c r="K248" s="72">
        <v>0</v>
      </c>
      <c r="L248" s="72">
        <v>0</v>
      </c>
      <c r="M248" s="72">
        <v>0</v>
      </c>
      <c r="N248" s="56">
        <v>5470</v>
      </c>
      <c r="O248" s="56">
        <v>5417</v>
      </c>
      <c r="P248" s="67"/>
      <c r="Q248" s="66" t="s">
        <v>1513</v>
      </c>
    </row>
    <row r="249" spans="1:17">
      <c r="A249" s="66" t="s">
        <v>5435</v>
      </c>
      <c r="B249" s="66" t="s">
        <v>2264</v>
      </c>
      <c r="C249" s="55" t="s">
        <v>12864</v>
      </c>
      <c r="D249" s="72">
        <v>0</v>
      </c>
      <c r="E249" s="72">
        <v>0</v>
      </c>
      <c r="F249" s="72">
        <v>0</v>
      </c>
      <c r="G249" s="72">
        <v>0</v>
      </c>
      <c r="H249" s="72">
        <v>0</v>
      </c>
      <c r="I249" s="72">
        <v>0</v>
      </c>
      <c r="J249" s="72">
        <v>0</v>
      </c>
      <c r="K249" s="72">
        <v>0</v>
      </c>
      <c r="L249" s="72">
        <v>0</v>
      </c>
      <c r="M249" s="72">
        <v>0</v>
      </c>
      <c r="N249" s="56">
        <v>5881</v>
      </c>
      <c r="O249" s="56">
        <v>5827</v>
      </c>
      <c r="P249" s="67"/>
      <c r="Q249" s="66" t="s">
        <v>1513</v>
      </c>
    </row>
    <row r="250" spans="1:17">
      <c r="A250" s="66" t="s">
        <v>5436</v>
      </c>
      <c r="B250" s="66" t="s">
        <v>6304</v>
      </c>
      <c r="C250" s="55" t="s">
        <v>12865</v>
      </c>
      <c r="D250" s="72">
        <v>0</v>
      </c>
      <c r="E250" s="72">
        <v>0</v>
      </c>
      <c r="F250" s="72">
        <v>0</v>
      </c>
      <c r="G250" s="72">
        <v>0</v>
      </c>
      <c r="H250" s="72">
        <v>0</v>
      </c>
      <c r="I250" s="72">
        <v>0</v>
      </c>
      <c r="J250" s="72">
        <v>0</v>
      </c>
      <c r="K250" s="72">
        <v>0</v>
      </c>
      <c r="L250" s="72">
        <v>0</v>
      </c>
      <c r="M250" s="72">
        <v>0</v>
      </c>
      <c r="N250" s="58">
        <v>4823</v>
      </c>
      <c r="O250" s="58">
        <v>4805</v>
      </c>
      <c r="P250" s="67"/>
      <c r="Q250" s="66" t="s">
        <v>1513</v>
      </c>
    </row>
    <row r="251" spans="1:17">
      <c r="A251" s="67"/>
      <c r="B251" s="67"/>
      <c r="C251" s="67"/>
      <c r="D251" s="72"/>
      <c r="E251" s="72"/>
      <c r="F251" s="72"/>
      <c r="G251" s="72"/>
      <c r="H251" s="72"/>
      <c r="I251" s="72"/>
      <c r="J251" s="72"/>
      <c r="K251" s="72"/>
      <c r="L251" s="72"/>
      <c r="M251" s="84"/>
      <c r="N251" s="84"/>
      <c r="O251" s="84"/>
      <c r="P251" s="67"/>
      <c r="Q251" s="67"/>
    </row>
    <row r="252" spans="1:17">
      <c r="A252" s="66" t="s">
        <v>1513</v>
      </c>
      <c r="C252" s="67"/>
      <c r="D252" s="73">
        <f t="shared" ref="D252:M252" si="121">SUM(D232:D236,D239,D241:D245,D247:D250)</f>
        <v>71535</v>
      </c>
      <c r="E252" s="73">
        <f t="shared" si="121"/>
        <v>71993</v>
      </c>
      <c r="F252" s="73">
        <f t="shared" si="121"/>
        <v>72490</v>
      </c>
      <c r="G252" s="73">
        <f t="shared" si="121"/>
        <v>72898</v>
      </c>
      <c r="H252" s="73">
        <f t="shared" si="121"/>
        <v>73248</v>
      </c>
      <c r="I252" s="73">
        <f t="shared" si="121"/>
        <v>72478</v>
      </c>
      <c r="J252" s="73">
        <f t="shared" si="121"/>
        <v>72940</v>
      </c>
      <c r="K252" s="73">
        <f t="shared" si="121"/>
        <v>74600</v>
      </c>
      <c r="L252" s="73">
        <f t="shared" si="121"/>
        <v>74304</v>
      </c>
      <c r="M252" s="73">
        <f t="shared" si="121"/>
        <v>73570</v>
      </c>
      <c r="N252" s="73">
        <f>SUM(N232:N236,N239,N241:N245,N247:N250)</f>
        <v>75978</v>
      </c>
      <c r="O252" s="73">
        <f>SUM(O232:O236,O239,O241:O245,O247:O250)</f>
        <v>75230</v>
      </c>
      <c r="P252" s="67"/>
      <c r="Q252" s="67"/>
    </row>
    <row r="253" spans="1:17">
      <c r="A253" s="66" t="s">
        <v>2265</v>
      </c>
      <c r="C253" s="67"/>
      <c r="D253" s="73">
        <f t="shared" ref="D253:M253" si="122">SUM(D237,D240,D246)</f>
        <v>10898</v>
      </c>
      <c r="E253" s="73">
        <f t="shared" si="122"/>
        <v>10969</v>
      </c>
      <c r="F253" s="73">
        <f t="shared" si="122"/>
        <v>10895</v>
      </c>
      <c r="G253" s="73">
        <f t="shared" si="122"/>
        <v>10902</v>
      </c>
      <c r="H253" s="73">
        <f t="shared" si="122"/>
        <v>11048</v>
      </c>
      <c r="I253" s="73">
        <f t="shared" si="122"/>
        <v>11002</v>
      </c>
      <c r="J253" s="73">
        <f t="shared" si="122"/>
        <v>11083</v>
      </c>
      <c r="K253" s="73">
        <f t="shared" si="122"/>
        <v>11299</v>
      </c>
      <c r="L253" s="73">
        <f t="shared" si="122"/>
        <v>11226</v>
      </c>
      <c r="M253" s="73">
        <f t="shared" si="122"/>
        <v>11220</v>
      </c>
      <c r="N253" s="73">
        <f>SUM(N237,N240,N246)</f>
        <v>11693</v>
      </c>
      <c r="O253" s="73">
        <f>SUM(O237,O240,O246)</f>
        <v>11562</v>
      </c>
      <c r="P253" s="67"/>
      <c r="Q253" s="67"/>
    </row>
    <row r="254" spans="1:17">
      <c r="A254" s="66"/>
      <c r="C254" s="67"/>
      <c r="D254" s="72"/>
      <c r="E254" s="72"/>
      <c r="F254" s="72"/>
      <c r="G254" s="72"/>
      <c r="H254" s="72"/>
      <c r="I254" s="72"/>
      <c r="J254" s="72"/>
      <c r="K254" s="72"/>
      <c r="L254" s="72"/>
      <c r="M254" s="73"/>
      <c r="N254" s="73"/>
      <c r="O254" s="73"/>
      <c r="P254" s="67"/>
      <c r="Q254" s="67"/>
    </row>
    <row r="255" spans="1:17">
      <c r="A255" s="66" t="s">
        <v>12866</v>
      </c>
      <c r="C255" s="67"/>
      <c r="D255" s="72"/>
      <c r="E255" s="72"/>
      <c r="F255" s="72"/>
      <c r="G255" s="72"/>
      <c r="H255" s="72"/>
      <c r="I255" s="72"/>
      <c r="J255" s="72"/>
      <c r="K255" s="72"/>
      <c r="L255" s="72"/>
      <c r="M255" s="73"/>
      <c r="N255" s="73"/>
      <c r="O255" s="73"/>
      <c r="P255" s="67"/>
      <c r="Q255" s="67"/>
    </row>
    <row r="256" spans="1:17">
      <c r="A256" s="66"/>
      <c r="B256" s="66"/>
      <c r="C256" s="67"/>
      <c r="D256" s="71"/>
      <c r="E256" s="71"/>
      <c r="F256" s="71"/>
      <c r="G256" s="71"/>
      <c r="H256" s="71"/>
      <c r="I256" s="71"/>
      <c r="J256" s="71"/>
      <c r="K256" s="71"/>
      <c r="L256" s="71"/>
      <c r="M256" s="99"/>
      <c r="N256" s="99"/>
      <c r="O256" s="99"/>
      <c r="P256" s="67"/>
      <c r="Q256" s="67"/>
    </row>
    <row r="257" spans="1:17">
      <c r="A257" s="66"/>
      <c r="B257" s="66"/>
      <c r="C257" s="67"/>
      <c r="D257" s="71"/>
      <c r="E257" s="71"/>
      <c r="F257" s="71"/>
      <c r="G257" s="71"/>
      <c r="H257" s="71"/>
      <c r="I257" s="71"/>
      <c r="J257" s="71"/>
      <c r="K257" s="71"/>
      <c r="L257" s="71"/>
      <c r="M257" s="99"/>
      <c r="N257" s="99"/>
      <c r="O257" s="99"/>
      <c r="P257" s="67"/>
      <c r="Q257" s="67"/>
    </row>
    <row r="258" spans="1:17">
      <c r="A258" s="67"/>
      <c r="B258" s="67"/>
      <c r="C258" s="67"/>
      <c r="E258" s="92" t="s">
        <v>1526</v>
      </c>
      <c r="F258" s="92"/>
      <c r="G258" s="92"/>
      <c r="H258" s="92"/>
      <c r="I258" s="92"/>
      <c r="J258" s="92"/>
      <c r="K258" s="92"/>
      <c r="L258" s="92"/>
      <c r="M258" s="51"/>
      <c r="N258" s="51"/>
      <c r="O258" s="51"/>
      <c r="P258" s="52"/>
      <c r="Q258" s="53" t="s">
        <v>9479</v>
      </c>
    </row>
    <row r="259" spans="1:17">
      <c r="A259" s="67"/>
      <c r="B259" s="67"/>
      <c r="C259" s="67"/>
      <c r="D259" s="93">
        <v>2010</v>
      </c>
      <c r="E259" s="93">
        <v>2011</v>
      </c>
      <c r="F259" s="93">
        <v>2012</v>
      </c>
      <c r="G259" s="93">
        <v>2013</v>
      </c>
      <c r="H259" s="93">
        <v>2014</v>
      </c>
      <c r="I259" s="93">
        <v>2015</v>
      </c>
      <c r="J259" s="93">
        <v>2016</v>
      </c>
      <c r="K259" s="93">
        <v>2017</v>
      </c>
      <c r="L259" s="93">
        <v>2018</v>
      </c>
      <c r="M259" s="40">
        <v>2019</v>
      </c>
      <c r="N259" s="40">
        <v>2020</v>
      </c>
      <c r="O259" s="963" t="s">
        <v>14823</v>
      </c>
      <c r="P259" s="67"/>
      <c r="Q259" s="54" t="s">
        <v>1527</v>
      </c>
    </row>
    <row r="260" spans="1:17">
      <c r="A260" s="66" t="s">
        <v>12659</v>
      </c>
      <c r="C260" s="67"/>
      <c r="D260" s="72">
        <f t="shared" ref="D260:M260" si="123">SUM(D261:D273)</f>
        <v>73479</v>
      </c>
      <c r="E260" s="72">
        <f t="shared" si="123"/>
        <v>80060</v>
      </c>
      <c r="F260" s="72">
        <f t="shared" si="123"/>
        <v>80849</v>
      </c>
      <c r="G260" s="72">
        <f t="shared" si="123"/>
        <v>81387</v>
      </c>
      <c r="H260" s="72">
        <f t="shared" si="123"/>
        <v>80513</v>
      </c>
      <c r="I260" s="72">
        <f t="shared" si="123"/>
        <v>77897</v>
      </c>
      <c r="J260" s="72">
        <f t="shared" si="123"/>
        <v>77333</v>
      </c>
      <c r="K260" s="72">
        <f t="shared" si="123"/>
        <v>79886</v>
      </c>
      <c r="L260" s="72">
        <f t="shared" si="123"/>
        <v>81245</v>
      </c>
      <c r="M260" s="73">
        <f t="shared" si="123"/>
        <v>81605</v>
      </c>
      <c r="N260" s="73">
        <f>SUM(N261:N273)</f>
        <v>84604</v>
      </c>
      <c r="O260" s="73">
        <f>SUM(O261:O273)</f>
        <v>84230</v>
      </c>
      <c r="P260" s="67"/>
      <c r="Q260" s="67"/>
    </row>
    <row r="261" spans="1:17">
      <c r="A261" s="66" t="s">
        <v>5387</v>
      </c>
      <c r="B261" s="66" t="s">
        <v>9916</v>
      </c>
      <c r="C261" s="55" t="s">
        <v>10214</v>
      </c>
      <c r="D261" s="72">
        <v>73479</v>
      </c>
      <c r="E261" s="72">
        <v>80060</v>
      </c>
      <c r="F261" s="72">
        <v>80849</v>
      </c>
      <c r="G261" s="100">
        <v>81387</v>
      </c>
      <c r="H261" s="100">
        <v>80513</v>
      </c>
      <c r="I261" s="100">
        <v>2666</v>
      </c>
      <c r="J261" s="100">
        <v>2747</v>
      </c>
      <c r="K261" s="100">
        <v>2900</v>
      </c>
      <c r="L261" s="100">
        <v>3066</v>
      </c>
      <c r="M261" s="56">
        <v>3074</v>
      </c>
      <c r="N261" s="56">
        <v>3160</v>
      </c>
      <c r="O261" s="56">
        <v>3158</v>
      </c>
      <c r="P261" s="67"/>
      <c r="Q261" s="66" t="s">
        <v>3613</v>
      </c>
    </row>
    <row r="262" spans="1:17">
      <c r="A262" s="66" t="s">
        <v>5389</v>
      </c>
      <c r="B262" s="66" t="s">
        <v>9917</v>
      </c>
      <c r="C262" s="55" t="s">
        <v>10215</v>
      </c>
      <c r="D262" s="100">
        <v>0</v>
      </c>
      <c r="E262" s="100">
        <v>0</v>
      </c>
      <c r="F262" s="100">
        <v>0</v>
      </c>
      <c r="G262" s="100">
        <v>0</v>
      </c>
      <c r="H262" s="100">
        <v>0</v>
      </c>
      <c r="I262" s="100">
        <v>8325</v>
      </c>
      <c r="J262" s="100">
        <v>8180</v>
      </c>
      <c r="K262" s="100">
        <v>8522</v>
      </c>
      <c r="L262" s="100">
        <v>8565</v>
      </c>
      <c r="M262" s="56">
        <v>8895</v>
      </c>
      <c r="N262" s="56">
        <v>9282</v>
      </c>
      <c r="O262" s="56">
        <v>9222</v>
      </c>
      <c r="P262" s="67"/>
      <c r="Q262" s="66" t="s">
        <v>3613</v>
      </c>
    </row>
    <row r="263" spans="1:17">
      <c r="A263" s="66" t="s">
        <v>5391</v>
      </c>
      <c r="B263" s="66" t="s">
        <v>9918</v>
      </c>
      <c r="C263" s="55" t="s">
        <v>10216</v>
      </c>
      <c r="D263" s="100">
        <v>0</v>
      </c>
      <c r="E263" s="100">
        <v>0</v>
      </c>
      <c r="F263" s="100">
        <v>0</v>
      </c>
      <c r="G263" s="100">
        <v>0</v>
      </c>
      <c r="H263" s="100">
        <v>0</v>
      </c>
      <c r="I263" s="100">
        <v>7721</v>
      </c>
      <c r="J263" s="100">
        <v>7593</v>
      </c>
      <c r="K263" s="100">
        <v>7811</v>
      </c>
      <c r="L263" s="100">
        <v>8121</v>
      </c>
      <c r="M263" s="56">
        <v>7816</v>
      </c>
      <c r="N263" s="56">
        <v>8287</v>
      </c>
      <c r="O263" s="56">
        <v>8266</v>
      </c>
      <c r="P263" s="67"/>
      <c r="Q263" s="66" t="s">
        <v>3613</v>
      </c>
    </row>
    <row r="264" spans="1:17">
      <c r="A264" s="66" t="s">
        <v>5393</v>
      </c>
      <c r="B264" s="66" t="s">
        <v>9919</v>
      </c>
      <c r="C264" s="55" t="s">
        <v>10217</v>
      </c>
      <c r="D264" s="100">
        <v>0</v>
      </c>
      <c r="E264" s="100">
        <v>0</v>
      </c>
      <c r="F264" s="100">
        <v>0</v>
      </c>
      <c r="G264" s="100">
        <v>0</v>
      </c>
      <c r="H264" s="100">
        <v>0</v>
      </c>
      <c r="I264" s="100">
        <v>6572</v>
      </c>
      <c r="J264" s="100">
        <v>6417</v>
      </c>
      <c r="K264" s="100">
        <v>6846</v>
      </c>
      <c r="L264" s="100">
        <v>7224</v>
      </c>
      <c r="M264" s="56">
        <v>7248</v>
      </c>
      <c r="N264" s="56">
        <v>7550</v>
      </c>
      <c r="O264" s="56">
        <v>7527</v>
      </c>
      <c r="P264" s="67"/>
      <c r="Q264" s="66" t="s">
        <v>3613</v>
      </c>
    </row>
    <row r="265" spans="1:17">
      <c r="A265" s="66" t="s">
        <v>5394</v>
      </c>
      <c r="B265" s="66" t="s">
        <v>1395</v>
      </c>
      <c r="C265" s="55" t="s">
        <v>10218</v>
      </c>
      <c r="D265" s="100">
        <v>0</v>
      </c>
      <c r="E265" s="100">
        <v>0</v>
      </c>
      <c r="F265" s="100">
        <v>0</v>
      </c>
      <c r="G265" s="100">
        <v>0</v>
      </c>
      <c r="H265" s="100">
        <v>0</v>
      </c>
      <c r="I265" s="100">
        <v>4399</v>
      </c>
      <c r="J265" s="100">
        <v>4362</v>
      </c>
      <c r="K265" s="100">
        <v>4577</v>
      </c>
      <c r="L265" s="100">
        <v>4633</v>
      </c>
      <c r="M265" s="56">
        <v>4718</v>
      </c>
      <c r="N265" s="56">
        <v>4820</v>
      </c>
      <c r="O265" s="56">
        <v>4791</v>
      </c>
      <c r="P265" s="67"/>
      <c r="Q265" s="66" t="s">
        <v>3613</v>
      </c>
    </row>
    <row r="266" spans="1:17">
      <c r="A266" s="66" t="s">
        <v>5416</v>
      </c>
      <c r="B266" s="66" t="s">
        <v>9920</v>
      </c>
      <c r="C266" s="55" t="s">
        <v>10219</v>
      </c>
      <c r="D266" s="100">
        <v>0</v>
      </c>
      <c r="E266" s="100">
        <v>0</v>
      </c>
      <c r="F266" s="100">
        <v>0</v>
      </c>
      <c r="G266" s="100">
        <v>0</v>
      </c>
      <c r="H266" s="100">
        <v>0</v>
      </c>
      <c r="I266" s="100">
        <v>8968</v>
      </c>
      <c r="J266" s="100">
        <v>8884</v>
      </c>
      <c r="K266" s="100">
        <v>8984</v>
      </c>
      <c r="L266" s="100">
        <v>9015</v>
      </c>
      <c r="M266" s="56">
        <v>9007</v>
      </c>
      <c r="N266" s="56">
        <v>9391</v>
      </c>
      <c r="O266" s="56">
        <v>9314</v>
      </c>
      <c r="P266" s="67"/>
      <c r="Q266" s="66" t="s">
        <v>3613</v>
      </c>
    </row>
    <row r="267" spans="1:17">
      <c r="A267" s="66" t="s">
        <v>5418</v>
      </c>
      <c r="B267" s="66" t="s">
        <v>9921</v>
      </c>
      <c r="C267" s="55" t="s">
        <v>10220</v>
      </c>
      <c r="D267" s="100">
        <v>0</v>
      </c>
      <c r="E267" s="100">
        <v>0</v>
      </c>
      <c r="F267" s="100">
        <v>0</v>
      </c>
      <c r="G267" s="100">
        <v>0</v>
      </c>
      <c r="H267" s="100">
        <v>0</v>
      </c>
      <c r="I267" s="100">
        <v>4605</v>
      </c>
      <c r="J267" s="100">
        <v>4615</v>
      </c>
      <c r="K267" s="100">
        <v>4730</v>
      </c>
      <c r="L267" s="100">
        <v>4799</v>
      </c>
      <c r="M267" s="56">
        <v>4852</v>
      </c>
      <c r="N267" s="56">
        <v>5054</v>
      </c>
      <c r="O267" s="56">
        <v>5052</v>
      </c>
      <c r="P267" s="67"/>
      <c r="Q267" s="66" t="s">
        <v>3613</v>
      </c>
    </row>
    <row r="268" spans="1:17">
      <c r="A268" s="66" t="s">
        <v>5420</v>
      </c>
      <c r="B268" s="66" t="s">
        <v>9922</v>
      </c>
      <c r="C268" s="55" t="s">
        <v>10221</v>
      </c>
      <c r="D268" s="100">
        <v>0</v>
      </c>
      <c r="E268" s="100">
        <v>0</v>
      </c>
      <c r="F268" s="100">
        <v>0</v>
      </c>
      <c r="G268" s="100">
        <v>0</v>
      </c>
      <c r="H268" s="100">
        <v>0</v>
      </c>
      <c r="I268" s="100">
        <v>5528</v>
      </c>
      <c r="J268" s="100">
        <v>5570</v>
      </c>
      <c r="K268" s="100">
        <v>5785</v>
      </c>
      <c r="L268" s="100">
        <v>5833</v>
      </c>
      <c r="M268" s="56">
        <v>5826</v>
      </c>
      <c r="N268" s="56">
        <v>5967</v>
      </c>
      <c r="O268" s="56">
        <v>5938</v>
      </c>
      <c r="P268" s="67"/>
      <c r="Q268" s="66" t="s">
        <v>3613</v>
      </c>
    </row>
    <row r="269" spans="1:17">
      <c r="A269" s="66" t="s">
        <v>5422</v>
      </c>
      <c r="B269" s="66" t="s">
        <v>47</v>
      </c>
      <c r="C269" s="55" t="s">
        <v>10222</v>
      </c>
      <c r="D269" s="100">
        <v>0</v>
      </c>
      <c r="E269" s="100">
        <v>0</v>
      </c>
      <c r="F269" s="100">
        <v>0</v>
      </c>
      <c r="G269" s="100">
        <v>0</v>
      </c>
      <c r="H269" s="100">
        <v>0</v>
      </c>
      <c r="I269" s="100">
        <v>8492</v>
      </c>
      <c r="J269" s="100">
        <v>8468</v>
      </c>
      <c r="K269" s="100">
        <v>8609</v>
      </c>
      <c r="L269" s="100">
        <v>8638</v>
      </c>
      <c r="M269" s="56">
        <v>8735</v>
      </c>
      <c r="N269" s="56">
        <v>9102</v>
      </c>
      <c r="O269" s="56">
        <v>9069</v>
      </c>
      <c r="P269" s="67"/>
      <c r="Q269" s="66" t="s">
        <v>3613</v>
      </c>
    </row>
    <row r="270" spans="1:17">
      <c r="A270" s="66" t="s">
        <v>5424</v>
      </c>
      <c r="B270" s="66" t="s">
        <v>48</v>
      </c>
      <c r="C270" s="55" t="s">
        <v>10223</v>
      </c>
      <c r="D270" s="100">
        <v>0</v>
      </c>
      <c r="E270" s="100">
        <v>0</v>
      </c>
      <c r="F270" s="100">
        <v>0</v>
      </c>
      <c r="G270" s="100">
        <v>0</v>
      </c>
      <c r="H270" s="100">
        <v>0</v>
      </c>
      <c r="I270" s="100">
        <v>4833</v>
      </c>
      <c r="J270" s="100">
        <v>4843</v>
      </c>
      <c r="K270" s="100">
        <v>4955</v>
      </c>
      <c r="L270" s="100">
        <v>5038</v>
      </c>
      <c r="M270" s="56">
        <v>5036</v>
      </c>
      <c r="N270" s="56">
        <v>5157</v>
      </c>
      <c r="O270" s="56">
        <v>5138</v>
      </c>
      <c r="P270" s="67"/>
      <c r="Q270" s="66" t="s">
        <v>3613</v>
      </c>
    </row>
    <row r="271" spans="1:17">
      <c r="A271" s="66" t="s">
        <v>5426</v>
      </c>
      <c r="B271" s="66" t="s">
        <v>49</v>
      </c>
      <c r="C271" s="55" t="s">
        <v>10224</v>
      </c>
      <c r="D271" s="100">
        <v>0</v>
      </c>
      <c r="E271" s="100">
        <v>0</v>
      </c>
      <c r="F271" s="100">
        <v>0</v>
      </c>
      <c r="G271" s="100">
        <v>0</v>
      </c>
      <c r="H271" s="100">
        <v>0</v>
      </c>
      <c r="I271" s="100">
        <v>5884</v>
      </c>
      <c r="J271" s="100">
        <v>5767</v>
      </c>
      <c r="K271" s="100">
        <v>5944</v>
      </c>
      <c r="L271" s="100">
        <v>6033</v>
      </c>
      <c r="M271" s="56">
        <v>6019</v>
      </c>
      <c r="N271" s="56">
        <v>6191</v>
      </c>
      <c r="O271" s="56">
        <v>6146</v>
      </c>
      <c r="P271" s="67"/>
      <c r="Q271" s="66" t="s">
        <v>3613</v>
      </c>
    </row>
    <row r="272" spans="1:17">
      <c r="A272" s="66" t="s">
        <v>5428</v>
      </c>
      <c r="B272" s="66" t="s">
        <v>9923</v>
      </c>
      <c r="C272" s="55" t="s">
        <v>10225</v>
      </c>
      <c r="D272" s="100">
        <v>0</v>
      </c>
      <c r="E272" s="100">
        <v>0</v>
      </c>
      <c r="F272" s="100">
        <v>0</v>
      </c>
      <c r="G272" s="100">
        <v>0</v>
      </c>
      <c r="H272" s="100">
        <v>0</v>
      </c>
      <c r="I272" s="100">
        <v>4093</v>
      </c>
      <c r="J272" s="100">
        <v>4076</v>
      </c>
      <c r="K272" s="100">
        <v>4240</v>
      </c>
      <c r="L272" s="100">
        <v>4246</v>
      </c>
      <c r="M272" s="56">
        <v>4275</v>
      </c>
      <c r="N272" s="56">
        <v>4414</v>
      </c>
      <c r="O272" s="56">
        <v>4392</v>
      </c>
      <c r="P272" s="67"/>
      <c r="Q272" s="66" t="s">
        <v>3613</v>
      </c>
    </row>
    <row r="273" spans="1:17">
      <c r="A273" s="66" t="s">
        <v>5429</v>
      </c>
      <c r="B273" s="66" t="s">
        <v>9924</v>
      </c>
      <c r="C273" s="55" t="s">
        <v>10226</v>
      </c>
      <c r="D273" s="100">
        <v>0</v>
      </c>
      <c r="E273" s="100">
        <v>0</v>
      </c>
      <c r="F273" s="100">
        <v>0</v>
      </c>
      <c r="G273" s="100">
        <v>0</v>
      </c>
      <c r="H273" s="100">
        <v>0</v>
      </c>
      <c r="I273" s="100">
        <v>5811</v>
      </c>
      <c r="J273" s="100">
        <v>5811</v>
      </c>
      <c r="K273" s="100">
        <v>5983</v>
      </c>
      <c r="L273" s="100">
        <v>6034</v>
      </c>
      <c r="M273" s="56">
        <v>6104</v>
      </c>
      <c r="N273" s="56">
        <v>6229</v>
      </c>
      <c r="O273" s="56">
        <v>6217</v>
      </c>
      <c r="P273" s="67"/>
      <c r="Q273" s="66" t="s">
        <v>3613</v>
      </c>
    </row>
    <row r="274" spans="1:17">
      <c r="A274" s="67"/>
      <c r="B274" s="67"/>
      <c r="C274" s="67"/>
      <c r="D274" s="72"/>
      <c r="E274" s="72"/>
      <c r="F274" s="72"/>
      <c r="G274" s="72"/>
      <c r="H274" s="72"/>
      <c r="I274" s="72"/>
      <c r="J274" s="72"/>
      <c r="K274" s="72"/>
      <c r="L274" s="72"/>
      <c r="M274" s="84"/>
      <c r="N274" s="84"/>
      <c r="O274" s="84"/>
      <c r="P274" s="67"/>
      <c r="Q274" s="67"/>
    </row>
    <row r="275" spans="1:17">
      <c r="A275" s="66" t="s">
        <v>50</v>
      </c>
      <c r="C275" s="67"/>
      <c r="D275" s="72">
        <f t="shared" ref="D275:M275" si="124">SUM(D261:D273)</f>
        <v>73479</v>
      </c>
      <c r="E275" s="72">
        <f t="shared" si="124"/>
        <v>80060</v>
      </c>
      <c r="F275" s="72">
        <f t="shared" si="124"/>
        <v>80849</v>
      </c>
      <c r="G275" s="72">
        <f t="shared" si="124"/>
        <v>81387</v>
      </c>
      <c r="H275" s="72">
        <f t="shared" si="124"/>
        <v>80513</v>
      </c>
      <c r="I275" s="72">
        <f t="shared" si="124"/>
        <v>77897</v>
      </c>
      <c r="J275" s="72">
        <f t="shared" si="124"/>
        <v>77333</v>
      </c>
      <c r="K275" s="72">
        <f t="shared" si="124"/>
        <v>79886</v>
      </c>
      <c r="L275" s="72">
        <f t="shared" si="124"/>
        <v>81245</v>
      </c>
      <c r="M275" s="73">
        <f t="shared" si="124"/>
        <v>81605</v>
      </c>
      <c r="N275" s="73">
        <f>SUM(N261:N273)</f>
        <v>84604</v>
      </c>
      <c r="O275" s="73">
        <f>SUM(O261:O273)</f>
        <v>84230</v>
      </c>
      <c r="P275" s="67"/>
      <c r="Q275" s="67"/>
    </row>
    <row r="276" spans="1:17">
      <c r="A276" s="66"/>
      <c r="C276" s="67"/>
      <c r="D276" s="72"/>
      <c r="E276" s="72"/>
      <c r="F276" s="72"/>
      <c r="G276" s="72"/>
      <c r="H276" s="72"/>
      <c r="I276" s="72"/>
      <c r="J276" s="72"/>
      <c r="K276" s="72"/>
      <c r="L276" s="72"/>
      <c r="M276" s="73"/>
      <c r="N276" s="73"/>
      <c r="O276" s="73"/>
      <c r="P276" s="67"/>
      <c r="Q276" s="67"/>
    </row>
    <row r="277" spans="1:17">
      <c r="A277" s="66" t="s">
        <v>9925</v>
      </c>
      <c r="C277" s="67"/>
      <c r="D277" s="72"/>
      <c r="E277" s="72"/>
      <c r="F277" s="72"/>
      <c r="G277" s="72"/>
      <c r="H277" s="72"/>
      <c r="I277" s="72"/>
      <c r="J277" s="72"/>
      <c r="K277" s="72"/>
      <c r="L277" s="72"/>
      <c r="M277" s="73"/>
      <c r="N277" s="73"/>
      <c r="O277" s="73"/>
      <c r="P277" s="67"/>
      <c r="Q277" s="67"/>
    </row>
    <row r="278" spans="1:17">
      <c r="A278" s="66" t="s">
        <v>12662</v>
      </c>
      <c r="B278" s="66"/>
      <c r="C278" s="67"/>
      <c r="D278" s="71"/>
      <c r="E278" s="71"/>
      <c r="F278" s="71"/>
      <c r="G278" s="71"/>
      <c r="H278" s="71"/>
      <c r="I278" s="71"/>
      <c r="J278" s="71"/>
      <c r="K278" s="71"/>
      <c r="L278" s="71"/>
      <c r="M278" s="99"/>
      <c r="N278" s="99"/>
      <c r="O278" s="99"/>
      <c r="P278" s="67"/>
      <c r="Q278" s="67"/>
    </row>
    <row r="279" spans="1:17">
      <c r="A279" s="66"/>
      <c r="B279" s="66"/>
      <c r="C279" s="67"/>
      <c r="D279" s="71"/>
      <c r="E279" s="71"/>
      <c r="F279" s="71"/>
      <c r="G279" s="71"/>
      <c r="H279" s="71"/>
      <c r="I279" s="71"/>
      <c r="J279" s="71"/>
      <c r="K279" s="71"/>
      <c r="L279" s="71"/>
      <c r="M279" s="99"/>
      <c r="N279" s="99"/>
      <c r="O279" s="99"/>
      <c r="P279" s="67"/>
      <c r="Q279" s="67"/>
    </row>
    <row r="280" spans="1:17">
      <c r="A280" s="67"/>
      <c r="B280" s="67"/>
      <c r="C280" s="67"/>
      <c r="E280" s="92" t="s">
        <v>1526</v>
      </c>
      <c r="F280" s="92"/>
      <c r="G280" s="92"/>
      <c r="H280" s="92"/>
      <c r="I280" s="92"/>
      <c r="J280" s="92"/>
      <c r="K280" s="92"/>
      <c r="L280" s="92"/>
      <c r="M280" s="51"/>
      <c r="N280" s="51"/>
      <c r="O280" s="51"/>
      <c r="P280" s="52"/>
      <c r="Q280" s="53" t="s">
        <v>9479</v>
      </c>
    </row>
    <row r="281" spans="1:17">
      <c r="A281" s="67"/>
      <c r="B281" s="67"/>
      <c r="C281" s="67"/>
      <c r="D281" s="93">
        <v>2010</v>
      </c>
      <c r="E281" s="93">
        <v>2011</v>
      </c>
      <c r="F281" s="93">
        <v>2012</v>
      </c>
      <c r="G281" s="93">
        <v>2013</v>
      </c>
      <c r="H281" s="93">
        <v>2014</v>
      </c>
      <c r="I281" s="93">
        <v>2015</v>
      </c>
      <c r="J281" s="93">
        <v>2016</v>
      </c>
      <c r="K281" s="93">
        <v>2017</v>
      </c>
      <c r="L281" s="93">
        <v>2018</v>
      </c>
      <c r="M281" s="40">
        <v>2019</v>
      </c>
      <c r="N281" s="40">
        <v>2020</v>
      </c>
      <c r="O281" s="963" t="s">
        <v>14823</v>
      </c>
      <c r="P281" s="67"/>
      <c r="Q281" s="54" t="s">
        <v>1527</v>
      </c>
    </row>
    <row r="282" spans="1:17">
      <c r="A282" s="66" t="s">
        <v>3659</v>
      </c>
      <c r="C282" s="67"/>
      <c r="D282" s="72">
        <f t="shared" ref="D282:I282" si="125">SUM(D283:D300)</f>
        <v>69898</v>
      </c>
      <c r="E282" s="72">
        <f t="shared" si="125"/>
        <v>70412</v>
      </c>
      <c r="F282" s="72">
        <f t="shared" si="125"/>
        <v>71521</v>
      </c>
      <c r="G282" s="72">
        <f t="shared" si="125"/>
        <v>72182</v>
      </c>
      <c r="H282" s="72">
        <f t="shared" si="125"/>
        <v>72466</v>
      </c>
      <c r="I282" s="72">
        <f t="shared" si="125"/>
        <v>70140</v>
      </c>
      <c r="J282" s="72">
        <f t="shared" ref="J282:O282" si="126">SUM(J283:J300)</f>
        <v>70477</v>
      </c>
      <c r="K282" s="72">
        <f t="shared" si="126"/>
        <v>73088</v>
      </c>
      <c r="L282" s="72">
        <f t="shared" si="126"/>
        <v>71601</v>
      </c>
      <c r="M282" s="73">
        <f t="shared" si="126"/>
        <v>71123</v>
      </c>
      <c r="N282" s="73">
        <f t="shared" si="126"/>
        <v>72423</v>
      </c>
      <c r="O282" s="73">
        <f t="shared" si="126"/>
        <v>72866</v>
      </c>
      <c r="P282" s="67"/>
      <c r="Q282" s="67"/>
    </row>
    <row r="283" spans="1:17">
      <c r="A283" s="66" t="s">
        <v>5387</v>
      </c>
      <c r="B283" s="66" t="s">
        <v>6024</v>
      </c>
      <c r="C283" s="55" t="s">
        <v>8163</v>
      </c>
      <c r="D283" s="72">
        <v>4474</v>
      </c>
      <c r="E283" s="72">
        <v>4466</v>
      </c>
      <c r="F283" s="72">
        <v>4556</v>
      </c>
      <c r="G283" s="95">
        <v>4602</v>
      </c>
      <c r="H283" s="95">
        <v>4647</v>
      </c>
      <c r="I283" s="95">
        <v>4441</v>
      </c>
      <c r="J283" s="95">
        <v>4477</v>
      </c>
      <c r="K283" s="95">
        <v>4684</v>
      </c>
      <c r="L283" s="95">
        <v>4560</v>
      </c>
      <c r="M283" s="63">
        <v>4530</v>
      </c>
      <c r="N283" s="63">
        <v>4623</v>
      </c>
      <c r="O283" s="63">
        <v>4662</v>
      </c>
      <c r="P283" s="67"/>
      <c r="Q283" s="66" t="s">
        <v>3615</v>
      </c>
    </row>
    <row r="284" spans="1:17">
      <c r="A284" s="66" t="s">
        <v>5389</v>
      </c>
      <c r="B284" s="66" t="s">
        <v>3660</v>
      </c>
      <c r="C284" s="55" t="s">
        <v>8164</v>
      </c>
      <c r="D284" s="72">
        <v>1708</v>
      </c>
      <c r="E284" s="72">
        <v>1727</v>
      </c>
      <c r="F284" s="72">
        <v>1742</v>
      </c>
      <c r="G284" s="95">
        <v>1742</v>
      </c>
      <c r="H284" s="95">
        <v>1730</v>
      </c>
      <c r="I284" s="95">
        <v>1710</v>
      </c>
      <c r="J284" s="95">
        <v>1727</v>
      </c>
      <c r="K284" s="95">
        <v>1767</v>
      </c>
      <c r="L284" s="95">
        <v>1716</v>
      </c>
      <c r="M284" s="63">
        <v>1724</v>
      </c>
      <c r="N284" s="63">
        <v>1753</v>
      </c>
      <c r="O284" s="63">
        <v>1780</v>
      </c>
      <c r="P284" s="67"/>
      <c r="Q284" s="66" t="s">
        <v>3615</v>
      </c>
    </row>
    <row r="285" spans="1:17">
      <c r="A285" s="66" t="s">
        <v>5391</v>
      </c>
      <c r="B285" s="66" t="s">
        <v>6326</v>
      </c>
      <c r="C285" s="55" t="s">
        <v>8165</v>
      </c>
      <c r="D285" s="72">
        <v>3216</v>
      </c>
      <c r="E285" s="72">
        <v>3165</v>
      </c>
      <c r="F285" s="72">
        <v>3241</v>
      </c>
      <c r="G285" s="95">
        <v>3319</v>
      </c>
      <c r="H285" s="95">
        <v>3280</v>
      </c>
      <c r="I285" s="95">
        <v>3214</v>
      </c>
      <c r="J285" s="95">
        <v>3196</v>
      </c>
      <c r="K285" s="95">
        <v>3300</v>
      </c>
      <c r="L285" s="95">
        <v>3279</v>
      </c>
      <c r="M285" s="63">
        <v>3260</v>
      </c>
      <c r="N285" s="63">
        <v>3297</v>
      </c>
      <c r="O285" s="63">
        <v>3286</v>
      </c>
      <c r="P285" s="67"/>
      <c r="Q285" s="66" t="s">
        <v>3615</v>
      </c>
    </row>
    <row r="286" spans="1:17">
      <c r="A286" s="66" t="s">
        <v>5393</v>
      </c>
      <c r="B286" s="66" t="s">
        <v>5192</v>
      </c>
      <c r="C286" s="55" t="s">
        <v>8166</v>
      </c>
      <c r="D286" s="72">
        <v>3170</v>
      </c>
      <c r="E286" s="72">
        <v>3178</v>
      </c>
      <c r="F286" s="72">
        <v>3132</v>
      </c>
      <c r="G286" s="95">
        <v>3182</v>
      </c>
      <c r="H286" s="95">
        <v>3175</v>
      </c>
      <c r="I286" s="95">
        <v>3119</v>
      </c>
      <c r="J286" s="95">
        <v>3138</v>
      </c>
      <c r="K286" s="95">
        <v>3222</v>
      </c>
      <c r="L286" s="95">
        <v>3159</v>
      </c>
      <c r="M286" s="63">
        <v>3190</v>
      </c>
      <c r="N286" s="63">
        <v>3231</v>
      </c>
      <c r="O286" s="63">
        <v>3235</v>
      </c>
      <c r="P286" s="67"/>
      <c r="Q286" s="66" t="s">
        <v>3615</v>
      </c>
    </row>
    <row r="287" spans="1:17">
      <c r="A287" s="66" t="s">
        <v>5394</v>
      </c>
      <c r="B287" s="66" t="s">
        <v>5193</v>
      </c>
      <c r="C287" s="55" t="s">
        <v>8167</v>
      </c>
      <c r="D287" s="72">
        <v>2806</v>
      </c>
      <c r="E287" s="72">
        <v>2819</v>
      </c>
      <c r="F287" s="72">
        <v>2850</v>
      </c>
      <c r="G287" s="95">
        <v>2880</v>
      </c>
      <c r="H287" s="95">
        <v>2865</v>
      </c>
      <c r="I287" s="95">
        <v>2835</v>
      </c>
      <c r="J287" s="95">
        <v>2841</v>
      </c>
      <c r="K287" s="95">
        <v>2930</v>
      </c>
      <c r="L287" s="95">
        <v>2840</v>
      </c>
      <c r="M287" s="63">
        <v>2770</v>
      </c>
      <c r="N287" s="63">
        <v>2826</v>
      </c>
      <c r="O287" s="63">
        <v>2852</v>
      </c>
      <c r="P287" s="67"/>
      <c r="Q287" s="66" t="s">
        <v>3615</v>
      </c>
    </row>
    <row r="288" spans="1:17">
      <c r="A288" s="66" t="s">
        <v>5416</v>
      </c>
      <c r="B288" s="66" t="s">
        <v>5194</v>
      </c>
      <c r="C288" s="55" t="s">
        <v>8168</v>
      </c>
      <c r="D288" s="72">
        <v>3468</v>
      </c>
      <c r="E288" s="72">
        <v>3492</v>
      </c>
      <c r="F288" s="72">
        <v>3497</v>
      </c>
      <c r="G288" s="95">
        <v>3498</v>
      </c>
      <c r="H288" s="95">
        <v>3517</v>
      </c>
      <c r="I288" s="95">
        <v>3473</v>
      </c>
      <c r="J288" s="95">
        <v>3485</v>
      </c>
      <c r="K288" s="95">
        <v>3584</v>
      </c>
      <c r="L288" s="95">
        <v>3536</v>
      </c>
      <c r="M288" s="63">
        <v>3464</v>
      </c>
      <c r="N288" s="63">
        <v>3533</v>
      </c>
      <c r="O288" s="63">
        <v>3553</v>
      </c>
      <c r="P288" s="67"/>
      <c r="Q288" s="66" t="s">
        <v>3615</v>
      </c>
    </row>
    <row r="289" spans="1:17">
      <c r="A289" s="66" t="s">
        <v>5418</v>
      </c>
      <c r="B289" s="66" t="s">
        <v>3661</v>
      </c>
      <c r="C289" s="55" t="s">
        <v>8169</v>
      </c>
      <c r="D289" s="72">
        <v>3450</v>
      </c>
      <c r="E289" s="72">
        <v>3450</v>
      </c>
      <c r="F289" s="72">
        <v>3464</v>
      </c>
      <c r="G289" s="95">
        <v>3472</v>
      </c>
      <c r="H289" s="95">
        <v>3509</v>
      </c>
      <c r="I289" s="95">
        <v>3407</v>
      </c>
      <c r="J289" s="95">
        <v>3434</v>
      </c>
      <c r="K289" s="95">
        <v>3578</v>
      </c>
      <c r="L289" s="95">
        <v>3502</v>
      </c>
      <c r="M289" s="63">
        <v>3449</v>
      </c>
      <c r="N289" s="63">
        <v>3470</v>
      </c>
      <c r="O289" s="63">
        <v>3505</v>
      </c>
      <c r="P289" s="67"/>
      <c r="Q289" s="66" t="s">
        <v>3615</v>
      </c>
    </row>
    <row r="290" spans="1:17">
      <c r="A290" s="66" t="s">
        <v>5420</v>
      </c>
      <c r="B290" s="66" t="s">
        <v>3662</v>
      </c>
      <c r="C290" s="55" t="s">
        <v>8170</v>
      </c>
      <c r="D290" s="72">
        <v>4701</v>
      </c>
      <c r="E290" s="72">
        <v>4745</v>
      </c>
      <c r="F290" s="72">
        <v>4902</v>
      </c>
      <c r="G290" s="95">
        <v>4910</v>
      </c>
      <c r="H290" s="95">
        <v>4897</v>
      </c>
      <c r="I290" s="95">
        <v>4632</v>
      </c>
      <c r="J290" s="95">
        <v>4742</v>
      </c>
      <c r="K290" s="95">
        <v>4978</v>
      </c>
      <c r="L290" s="95">
        <v>4854</v>
      </c>
      <c r="M290" s="63">
        <v>4780</v>
      </c>
      <c r="N290" s="63">
        <v>4878</v>
      </c>
      <c r="O290" s="63">
        <v>4892</v>
      </c>
      <c r="P290" s="67"/>
      <c r="Q290" s="66" t="s">
        <v>3615</v>
      </c>
    </row>
    <row r="291" spans="1:17">
      <c r="A291" s="66" t="s">
        <v>5422</v>
      </c>
      <c r="B291" s="66" t="s">
        <v>3663</v>
      </c>
      <c r="C291" s="55" t="s">
        <v>8171</v>
      </c>
      <c r="D291" s="72">
        <v>4758</v>
      </c>
      <c r="E291" s="72">
        <v>4876</v>
      </c>
      <c r="F291" s="72">
        <v>5118</v>
      </c>
      <c r="G291" s="95">
        <v>5119</v>
      </c>
      <c r="H291" s="95">
        <v>5166</v>
      </c>
      <c r="I291" s="95">
        <v>5001</v>
      </c>
      <c r="J291" s="95">
        <v>5055</v>
      </c>
      <c r="K291" s="95">
        <v>5213</v>
      </c>
      <c r="L291" s="95">
        <v>5077</v>
      </c>
      <c r="M291" s="63">
        <v>5175</v>
      </c>
      <c r="N291" s="63">
        <v>5431</v>
      </c>
      <c r="O291" s="63">
        <v>5509</v>
      </c>
      <c r="P291" s="67"/>
      <c r="Q291" s="66" t="s">
        <v>3615</v>
      </c>
    </row>
    <row r="292" spans="1:17">
      <c r="A292" s="66" t="s">
        <v>5424</v>
      </c>
      <c r="B292" s="66" t="s">
        <v>3664</v>
      </c>
      <c r="C292" s="55" t="s">
        <v>8172</v>
      </c>
      <c r="D292" s="72">
        <v>4477</v>
      </c>
      <c r="E292" s="72">
        <v>4517</v>
      </c>
      <c r="F292" s="72">
        <v>4576</v>
      </c>
      <c r="G292" s="95">
        <v>4564</v>
      </c>
      <c r="H292" s="95">
        <v>4492</v>
      </c>
      <c r="I292" s="95">
        <v>4416</v>
      </c>
      <c r="J292" s="95">
        <v>4363</v>
      </c>
      <c r="K292" s="95">
        <v>4474</v>
      </c>
      <c r="L292" s="95">
        <v>4350</v>
      </c>
      <c r="M292" s="63">
        <v>4300</v>
      </c>
      <c r="N292" s="63">
        <v>4346</v>
      </c>
      <c r="O292" s="63">
        <v>4353</v>
      </c>
      <c r="P292" s="67"/>
      <c r="Q292" s="66" t="s">
        <v>3615</v>
      </c>
    </row>
    <row r="293" spans="1:17">
      <c r="A293" s="66" t="s">
        <v>5426</v>
      </c>
      <c r="B293" s="66" t="s">
        <v>3665</v>
      </c>
      <c r="C293" s="55" t="s">
        <v>8173</v>
      </c>
      <c r="D293" s="72">
        <v>4824</v>
      </c>
      <c r="E293" s="72">
        <v>4933</v>
      </c>
      <c r="F293" s="72">
        <v>4947</v>
      </c>
      <c r="G293" s="95">
        <v>4992</v>
      </c>
      <c r="H293" s="95">
        <v>4928</v>
      </c>
      <c r="I293" s="95">
        <v>4611</v>
      </c>
      <c r="J293" s="95">
        <v>4667</v>
      </c>
      <c r="K293" s="95">
        <v>4855</v>
      </c>
      <c r="L293" s="95">
        <v>4775</v>
      </c>
      <c r="M293" s="63">
        <v>4717</v>
      </c>
      <c r="N293" s="63">
        <v>4790</v>
      </c>
      <c r="O293" s="63">
        <v>4777</v>
      </c>
      <c r="P293" s="67"/>
      <c r="Q293" s="66" t="s">
        <v>3615</v>
      </c>
    </row>
    <row r="294" spans="1:17">
      <c r="A294" s="66" t="s">
        <v>5428</v>
      </c>
      <c r="B294" s="66" t="s">
        <v>6695</v>
      </c>
      <c r="C294" s="55" t="s">
        <v>8174</v>
      </c>
      <c r="D294" s="72">
        <v>4804</v>
      </c>
      <c r="E294" s="72">
        <v>4809</v>
      </c>
      <c r="F294" s="72">
        <v>4994</v>
      </c>
      <c r="G294" s="95">
        <v>5118</v>
      </c>
      <c r="H294" s="95">
        <v>5147</v>
      </c>
      <c r="I294" s="95">
        <v>4820</v>
      </c>
      <c r="J294" s="95">
        <v>4842</v>
      </c>
      <c r="K294" s="95">
        <v>5078</v>
      </c>
      <c r="L294" s="95">
        <v>4963</v>
      </c>
      <c r="M294" s="63">
        <v>5026</v>
      </c>
      <c r="N294" s="63">
        <v>5198</v>
      </c>
      <c r="O294" s="63">
        <v>5290</v>
      </c>
      <c r="P294" s="67"/>
      <c r="Q294" s="66" t="s">
        <v>3615</v>
      </c>
    </row>
    <row r="295" spans="1:17">
      <c r="A295" s="66" t="s">
        <v>5429</v>
      </c>
      <c r="B295" s="66" t="s">
        <v>3666</v>
      </c>
      <c r="C295" s="55" t="s">
        <v>8175</v>
      </c>
      <c r="D295" s="72">
        <v>3416</v>
      </c>
      <c r="E295" s="72">
        <v>3419</v>
      </c>
      <c r="F295" s="72">
        <v>3411</v>
      </c>
      <c r="G295" s="95">
        <v>3447</v>
      </c>
      <c r="H295" s="95">
        <v>3423</v>
      </c>
      <c r="I295" s="95">
        <v>3364</v>
      </c>
      <c r="J295" s="95">
        <v>3370</v>
      </c>
      <c r="K295" s="95">
        <v>3429</v>
      </c>
      <c r="L295" s="95">
        <v>3354</v>
      </c>
      <c r="M295" s="63">
        <v>3274</v>
      </c>
      <c r="N295" s="63">
        <v>3290</v>
      </c>
      <c r="O295" s="63">
        <v>3317</v>
      </c>
      <c r="P295" s="67"/>
      <c r="Q295" s="66" t="s">
        <v>3615</v>
      </c>
    </row>
    <row r="296" spans="1:17">
      <c r="A296" s="66" t="s">
        <v>5431</v>
      </c>
      <c r="B296" s="66" t="s">
        <v>3667</v>
      </c>
      <c r="C296" s="55" t="s">
        <v>8176</v>
      </c>
      <c r="D296" s="72">
        <v>3290</v>
      </c>
      <c r="E296" s="72">
        <v>3321</v>
      </c>
      <c r="F296" s="72">
        <v>3318</v>
      </c>
      <c r="G296" s="95">
        <v>3336</v>
      </c>
      <c r="H296" s="95">
        <v>3320</v>
      </c>
      <c r="I296" s="95">
        <v>3284</v>
      </c>
      <c r="J296" s="95">
        <v>3243</v>
      </c>
      <c r="K296" s="95">
        <v>3316</v>
      </c>
      <c r="L296" s="95">
        <v>3294</v>
      </c>
      <c r="M296" s="63">
        <v>3277</v>
      </c>
      <c r="N296" s="63">
        <v>3312</v>
      </c>
      <c r="O296" s="63">
        <v>3331</v>
      </c>
      <c r="P296" s="67"/>
      <c r="Q296" s="66" t="s">
        <v>3615</v>
      </c>
    </row>
    <row r="297" spans="1:17">
      <c r="A297" s="66" t="s">
        <v>5433</v>
      </c>
      <c r="B297" s="66" t="s">
        <v>3668</v>
      </c>
      <c r="C297" s="55" t="s">
        <v>8177</v>
      </c>
      <c r="D297" s="72">
        <v>4898</v>
      </c>
      <c r="E297" s="72">
        <v>4954</v>
      </c>
      <c r="F297" s="72">
        <v>5059</v>
      </c>
      <c r="G297" s="95">
        <v>5162</v>
      </c>
      <c r="H297" s="95">
        <v>5390</v>
      </c>
      <c r="I297" s="95">
        <v>5164</v>
      </c>
      <c r="J297" s="95">
        <v>5280</v>
      </c>
      <c r="K297" s="95">
        <v>5507</v>
      </c>
      <c r="L297" s="95">
        <v>5417</v>
      </c>
      <c r="M297" s="63">
        <v>5357</v>
      </c>
      <c r="N297" s="63">
        <v>5418</v>
      </c>
      <c r="O297" s="63">
        <v>5441</v>
      </c>
      <c r="P297" s="67"/>
      <c r="Q297" s="66" t="s">
        <v>3615</v>
      </c>
    </row>
    <row r="298" spans="1:17">
      <c r="A298" s="66" t="s">
        <v>5435</v>
      </c>
      <c r="B298" s="66" t="s">
        <v>3669</v>
      </c>
      <c r="C298" s="55" t="s">
        <v>8178</v>
      </c>
      <c r="D298" s="72">
        <v>4675</v>
      </c>
      <c r="E298" s="72">
        <v>4665</v>
      </c>
      <c r="F298" s="72">
        <v>4700</v>
      </c>
      <c r="G298" s="95">
        <v>4753</v>
      </c>
      <c r="H298" s="95">
        <v>4760</v>
      </c>
      <c r="I298" s="95">
        <v>4582</v>
      </c>
      <c r="J298" s="95">
        <v>4555</v>
      </c>
      <c r="K298" s="95">
        <v>4769</v>
      </c>
      <c r="L298" s="95">
        <v>4656</v>
      </c>
      <c r="M298" s="63">
        <v>4635</v>
      </c>
      <c r="N298" s="63">
        <v>4713</v>
      </c>
      <c r="O298" s="63">
        <v>4729</v>
      </c>
      <c r="P298" s="67"/>
      <c r="Q298" s="66" t="s">
        <v>3615</v>
      </c>
    </row>
    <row r="299" spans="1:17">
      <c r="A299" s="66" t="s">
        <v>5436</v>
      </c>
      <c r="B299" s="66" t="s">
        <v>3670</v>
      </c>
      <c r="C299" s="55" t="s">
        <v>8179</v>
      </c>
      <c r="D299" s="72">
        <v>3144</v>
      </c>
      <c r="E299" s="72">
        <v>3114</v>
      </c>
      <c r="F299" s="72">
        <v>3136</v>
      </c>
      <c r="G299" s="95">
        <v>3196</v>
      </c>
      <c r="H299" s="95">
        <v>3220</v>
      </c>
      <c r="I299" s="95">
        <v>3142</v>
      </c>
      <c r="J299" s="95">
        <v>3115</v>
      </c>
      <c r="K299" s="95">
        <v>3306</v>
      </c>
      <c r="L299" s="95">
        <v>3253</v>
      </c>
      <c r="M299" s="63">
        <v>3224</v>
      </c>
      <c r="N299" s="63">
        <v>3253</v>
      </c>
      <c r="O299" s="63">
        <v>3279</v>
      </c>
      <c r="P299" s="67"/>
      <c r="Q299" s="66" t="s">
        <v>3615</v>
      </c>
    </row>
    <row r="300" spans="1:17">
      <c r="A300" s="66" t="s">
        <v>5437</v>
      </c>
      <c r="B300" s="66" t="s">
        <v>3671</v>
      </c>
      <c r="C300" s="55" t="s">
        <v>8180</v>
      </c>
      <c r="D300" s="72">
        <v>4619</v>
      </c>
      <c r="E300" s="72">
        <v>4762</v>
      </c>
      <c r="F300" s="72">
        <v>4878</v>
      </c>
      <c r="G300" s="95">
        <v>4890</v>
      </c>
      <c r="H300" s="95">
        <v>5000</v>
      </c>
      <c r="I300" s="95">
        <v>4925</v>
      </c>
      <c r="J300" s="95">
        <v>4947</v>
      </c>
      <c r="K300" s="95">
        <v>5098</v>
      </c>
      <c r="L300" s="95">
        <v>5016</v>
      </c>
      <c r="M300" s="63">
        <v>4971</v>
      </c>
      <c r="N300" s="63">
        <v>5061</v>
      </c>
      <c r="O300" s="63">
        <v>5075</v>
      </c>
      <c r="P300" s="67"/>
      <c r="Q300" s="66" t="s">
        <v>3615</v>
      </c>
    </row>
    <row r="301" spans="1:17">
      <c r="A301" s="67"/>
      <c r="B301" s="67"/>
      <c r="C301" s="67"/>
      <c r="D301" s="72"/>
      <c r="E301" s="72"/>
      <c r="F301" s="72"/>
      <c r="G301" s="72"/>
      <c r="H301" s="72"/>
      <c r="I301" s="72"/>
      <c r="J301" s="72"/>
      <c r="K301" s="72"/>
      <c r="L301" s="72"/>
      <c r="M301" s="84"/>
      <c r="N301" s="84"/>
      <c r="O301" s="84"/>
      <c r="P301" s="67"/>
      <c r="Q301" s="67"/>
    </row>
    <row r="302" spans="1:17">
      <c r="A302" s="66" t="s">
        <v>3615</v>
      </c>
      <c r="C302" s="67"/>
      <c r="D302" s="72">
        <f t="shared" ref="D302:M302" si="127">SUM(D283:D300)</f>
        <v>69898</v>
      </c>
      <c r="E302" s="72">
        <f t="shared" si="127"/>
        <v>70412</v>
      </c>
      <c r="F302" s="72">
        <f t="shared" si="127"/>
        <v>71521</v>
      </c>
      <c r="G302" s="72">
        <f t="shared" si="127"/>
        <v>72182</v>
      </c>
      <c r="H302" s="72">
        <f t="shared" si="127"/>
        <v>72466</v>
      </c>
      <c r="I302" s="72">
        <f t="shared" si="127"/>
        <v>70140</v>
      </c>
      <c r="J302" s="72">
        <f t="shared" si="127"/>
        <v>70477</v>
      </c>
      <c r="K302" s="72">
        <f t="shared" si="127"/>
        <v>73088</v>
      </c>
      <c r="L302" s="72">
        <f t="shared" si="127"/>
        <v>71601</v>
      </c>
      <c r="M302" s="73">
        <f t="shared" si="127"/>
        <v>71123</v>
      </c>
      <c r="N302" s="73">
        <f>SUM(N283:N300)</f>
        <v>72423</v>
      </c>
      <c r="O302" s="73">
        <f>SUM(O283:O300)</f>
        <v>72866</v>
      </c>
      <c r="P302" s="67"/>
      <c r="Q302" s="67"/>
    </row>
    <row r="303" spans="1:17">
      <c r="A303" s="66"/>
      <c r="C303" s="67"/>
      <c r="D303" s="72"/>
      <c r="E303" s="72"/>
      <c r="F303" s="72"/>
      <c r="G303" s="72"/>
      <c r="H303" s="72"/>
      <c r="I303" s="72"/>
      <c r="J303" s="72"/>
      <c r="K303" s="72"/>
      <c r="L303" s="72"/>
      <c r="M303" s="73"/>
      <c r="N303" s="73"/>
      <c r="O303" s="73"/>
      <c r="P303" s="67"/>
      <c r="Q303" s="67"/>
    </row>
    <row r="304" spans="1:17">
      <c r="A304" s="66" t="s">
        <v>3672</v>
      </c>
      <c r="C304" s="67"/>
      <c r="D304" s="72"/>
      <c r="E304" s="72"/>
      <c r="F304" s="72"/>
      <c r="G304" s="72"/>
      <c r="H304" s="72"/>
      <c r="I304" s="72"/>
      <c r="J304" s="72"/>
      <c r="K304" s="72"/>
      <c r="L304" s="72"/>
      <c r="M304" s="73"/>
      <c r="N304" s="73"/>
      <c r="O304" s="73"/>
      <c r="P304" s="67"/>
      <c r="Q304" s="67"/>
    </row>
    <row r="305" spans="1:17">
      <c r="A305" s="66"/>
      <c r="B305" s="66"/>
      <c r="C305" s="67"/>
      <c r="D305" s="71"/>
      <c r="E305" s="71"/>
      <c r="F305" s="71"/>
      <c r="G305" s="71"/>
      <c r="H305" s="71"/>
      <c r="I305" s="71"/>
      <c r="J305" s="71"/>
      <c r="K305" s="71"/>
      <c r="L305" s="71"/>
      <c r="M305" s="99"/>
      <c r="N305" s="99"/>
      <c r="O305" s="99"/>
      <c r="P305" s="67"/>
      <c r="Q305" s="67"/>
    </row>
    <row r="306" spans="1:17">
      <c r="A306" s="66"/>
      <c r="B306" s="66"/>
      <c r="C306" s="67"/>
      <c r="D306" s="71"/>
      <c r="E306" s="71"/>
      <c r="F306" s="71"/>
      <c r="G306" s="71"/>
      <c r="H306" s="71"/>
      <c r="I306" s="71"/>
      <c r="J306" s="71"/>
      <c r="K306" s="71"/>
      <c r="L306" s="71"/>
      <c r="M306" s="99"/>
      <c r="N306" s="99"/>
      <c r="O306" s="99"/>
      <c r="P306" s="67"/>
      <c r="Q306" s="67"/>
    </row>
    <row r="307" spans="1:17">
      <c r="A307" s="67"/>
      <c r="B307" s="67"/>
      <c r="C307" s="67"/>
      <c r="E307" s="92" t="s">
        <v>1526</v>
      </c>
      <c r="F307" s="92"/>
      <c r="G307" s="92"/>
      <c r="H307" s="92"/>
      <c r="I307" s="92"/>
      <c r="J307" s="92"/>
      <c r="K307" s="92"/>
      <c r="L307" s="92"/>
      <c r="M307" s="51"/>
      <c r="N307" s="51"/>
      <c r="O307" s="51"/>
      <c r="P307" s="52"/>
      <c r="Q307" s="53" t="s">
        <v>9479</v>
      </c>
    </row>
    <row r="308" spans="1:17">
      <c r="A308" s="67"/>
      <c r="B308" s="67"/>
      <c r="C308" s="67"/>
      <c r="D308" s="93">
        <v>2010</v>
      </c>
      <c r="E308" s="93">
        <v>2011</v>
      </c>
      <c r="F308" s="93">
        <v>2012</v>
      </c>
      <c r="G308" s="93">
        <v>2013</v>
      </c>
      <c r="H308" s="93">
        <v>2014</v>
      </c>
      <c r="I308" s="93">
        <v>2015</v>
      </c>
      <c r="J308" s="93">
        <v>2016</v>
      </c>
      <c r="K308" s="93">
        <v>2017</v>
      </c>
      <c r="L308" s="93">
        <v>2018</v>
      </c>
      <c r="M308" s="40">
        <v>2019</v>
      </c>
      <c r="N308" s="40">
        <v>2020</v>
      </c>
      <c r="O308" s="963" t="s">
        <v>14823</v>
      </c>
      <c r="P308" s="67"/>
      <c r="Q308" s="54" t="s">
        <v>1527</v>
      </c>
    </row>
    <row r="309" spans="1:17">
      <c r="A309" s="66" t="s">
        <v>3673</v>
      </c>
      <c r="C309" s="67"/>
      <c r="D309" s="72">
        <f t="shared" ref="D309:I309" si="128">SUM(D310:D335)</f>
        <v>113017</v>
      </c>
      <c r="E309" s="72">
        <f t="shared" si="128"/>
        <v>111822</v>
      </c>
      <c r="F309" s="72">
        <f t="shared" si="128"/>
        <v>115949</v>
      </c>
      <c r="G309" s="72">
        <f t="shared" si="128"/>
        <v>117140</v>
      </c>
      <c r="H309" s="72">
        <f t="shared" si="128"/>
        <v>108059</v>
      </c>
      <c r="I309" s="72">
        <f t="shared" si="128"/>
        <v>109871</v>
      </c>
      <c r="J309" s="72">
        <f t="shared" ref="J309:O309" si="129">SUM(J310:J335)</f>
        <v>108432</v>
      </c>
      <c r="K309" s="72">
        <f t="shared" si="129"/>
        <v>115012</v>
      </c>
      <c r="L309" s="72">
        <f t="shared" si="129"/>
        <v>113830</v>
      </c>
      <c r="M309" s="73">
        <f t="shared" si="129"/>
        <v>116014</v>
      </c>
      <c r="N309" s="73">
        <f t="shared" si="129"/>
        <v>121445</v>
      </c>
      <c r="O309" s="73">
        <f t="shared" si="129"/>
        <v>120657</v>
      </c>
      <c r="P309" s="67"/>
      <c r="Q309" s="67"/>
    </row>
    <row r="310" spans="1:17">
      <c r="A310" s="66" t="s">
        <v>5387</v>
      </c>
      <c r="B310" s="66" t="s">
        <v>3674</v>
      </c>
      <c r="C310" s="55" t="s">
        <v>8181</v>
      </c>
      <c r="D310" s="72">
        <v>5645</v>
      </c>
      <c r="E310" s="72">
        <v>5502</v>
      </c>
      <c r="F310" s="72">
        <v>5586</v>
      </c>
      <c r="G310" s="72">
        <v>5638</v>
      </c>
      <c r="H310" s="95">
        <v>5303</v>
      </c>
      <c r="I310" s="95">
        <v>5444</v>
      </c>
      <c r="J310" s="95">
        <v>5356</v>
      </c>
      <c r="K310" s="95">
        <v>5616</v>
      </c>
      <c r="L310" s="95">
        <v>5655</v>
      </c>
      <c r="M310" s="63">
        <v>5711</v>
      </c>
      <c r="N310" s="63">
        <v>6027</v>
      </c>
      <c r="O310" s="63">
        <v>6019</v>
      </c>
      <c r="P310" s="67"/>
      <c r="Q310" s="66" t="s">
        <v>874</v>
      </c>
    </row>
    <row r="311" spans="1:17">
      <c r="A311" s="66" t="s">
        <v>5389</v>
      </c>
      <c r="B311" s="66" t="s">
        <v>5166</v>
      </c>
      <c r="C311" s="55" t="s">
        <v>8182</v>
      </c>
      <c r="D311" s="72">
        <v>1969</v>
      </c>
      <c r="E311" s="72">
        <v>1952</v>
      </c>
      <c r="F311" s="72">
        <v>1949</v>
      </c>
      <c r="G311" s="72">
        <v>1966</v>
      </c>
      <c r="H311" s="95">
        <v>1944</v>
      </c>
      <c r="I311" s="95">
        <v>1951</v>
      </c>
      <c r="J311" s="95">
        <v>1880</v>
      </c>
      <c r="K311" s="95">
        <v>1922</v>
      </c>
      <c r="L311" s="95">
        <v>1896</v>
      </c>
      <c r="M311" s="63">
        <v>1872</v>
      </c>
      <c r="N311" s="63">
        <v>1976</v>
      </c>
      <c r="O311" s="63">
        <v>1962</v>
      </c>
      <c r="P311" s="67"/>
      <c r="Q311" s="66" t="s">
        <v>874</v>
      </c>
    </row>
    <row r="312" spans="1:17">
      <c r="A312" s="66" t="s">
        <v>5391</v>
      </c>
      <c r="B312" s="66" t="s">
        <v>5167</v>
      </c>
      <c r="C312" s="55" t="s">
        <v>8183</v>
      </c>
      <c r="D312" s="72">
        <v>6674</v>
      </c>
      <c r="E312" s="72">
        <v>6583</v>
      </c>
      <c r="F312" s="72">
        <v>6715</v>
      </c>
      <c r="G312" s="72">
        <v>6754</v>
      </c>
      <c r="H312" s="95">
        <v>6300</v>
      </c>
      <c r="I312" s="95">
        <v>6379</v>
      </c>
      <c r="J312" s="95">
        <v>6367</v>
      </c>
      <c r="K312" s="95">
        <v>6616</v>
      </c>
      <c r="L312" s="95">
        <v>6486</v>
      </c>
      <c r="M312" s="63">
        <v>6461</v>
      </c>
      <c r="N312" s="63">
        <v>6653</v>
      </c>
      <c r="O312" s="63">
        <v>6595</v>
      </c>
      <c r="P312" s="67"/>
      <c r="Q312" s="66" t="s">
        <v>3610</v>
      </c>
    </row>
    <row r="313" spans="1:17">
      <c r="A313" s="66" t="s">
        <v>5393</v>
      </c>
      <c r="B313" s="66" t="s">
        <v>5168</v>
      </c>
      <c r="C313" s="55" t="s">
        <v>8184</v>
      </c>
      <c r="D313" s="72">
        <v>2009</v>
      </c>
      <c r="E313" s="72">
        <v>1892</v>
      </c>
      <c r="F313" s="72">
        <v>2031</v>
      </c>
      <c r="G313" s="72">
        <v>2051</v>
      </c>
      <c r="H313" s="95">
        <v>1926</v>
      </c>
      <c r="I313" s="95">
        <v>1943</v>
      </c>
      <c r="J313" s="95">
        <v>1925</v>
      </c>
      <c r="K313" s="95">
        <v>2008</v>
      </c>
      <c r="L313" s="95">
        <v>1971</v>
      </c>
      <c r="M313" s="63">
        <v>1973</v>
      </c>
      <c r="N313" s="63">
        <v>2077</v>
      </c>
      <c r="O313" s="63">
        <v>2071</v>
      </c>
      <c r="P313" s="67"/>
      <c r="Q313" s="66" t="s">
        <v>3610</v>
      </c>
    </row>
    <row r="314" spans="1:17">
      <c r="A314" s="66" t="s">
        <v>5394</v>
      </c>
      <c r="B314" s="66" t="s">
        <v>5169</v>
      </c>
      <c r="C314" s="55" t="s">
        <v>8185</v>
      </c>
      <c r="D314" s="72">
        <v>6641</v>
      </c>
      <c r="E314" s="72">
        <v>6359</v>
      </c>
      <c r="F314" s="72">
        <v>6654</v>
      </c>
      <c r="G314" s="72">
        <v>6677</v>
      </c>
      <c r="H314" s="95">
        <v>6182</v>
      </c>
      <c r="I314" s="95">
        <v>6315</v>
      </c>
      <c r="J314" s="95">
        <v>6162</v>
      </c>
      <c r="K314" s="95">
        <v>6474</v>
      </c>
      <c r="L314" s="95">
        <v>6331</v>
      </c>
      <c r="M314" s="63">
        <v>6366</v>
      </c>
      <c r="N314" s="63">
        <v>6627</v>
      </c>
      <c r="O314" s="63">
        <v>6584</v>
      </c>
      <c r="P314" s="67"/>
      <c r="Q314" s="66" t="s">
        <v>3610</v>
      </c>
    </row>
    <row r="315" spans="1:17">
      <c r="A315" s="66" t="s">
        <v>5416</v>
      </c>
      <c r="B315" s="66" t="s">
        <v>1974</v>
      </c>
      <c r="C315" s="55" t="s">
        <v>8186</v>
      </c>
      <c r="D315" s="72">
        <v>4319</v>
      </c>
      <c r="E315" s="72">
        <v>4120</v>
      </c>
      <c r="F315" s="72">
        <v>4383</v>
      </c>
      <c r="G315" s="72">
        <v>4409</v>
      </c>
      <c r="H315" s="95">
        <v>3947</v>
      </c>
      <c r="I315" s="95">
        <v>3988</v>
      </c>
      <c r="J315" s="95">
        <v>3965</v>
      </c>
      <c r="K315" s="95">
        <v>4375</v>
      </c>
      <c r="L315" s="95">
        <v>4192</v>
      </c>
      <c r="M315" s="63">
        <v>4315</v>
      </c>
      <c r="N315" s="63">
        <v>4540</v>
      </c>
      <c r="O315" s="63">
        <v>4463</v>
      </c>
      <c r="P315" s="67"/>
      <c r="Q315" s="66" t="s">
        <v>874</v>
      </c>
    </row>
    <row r="316" spans="1:17">
      <c r="A316" s="66" t="s">
        <v>5418</v>
      </c>
      <c r="B316" s="66" t="s">
        <v>5170</v>
      </c>
      <c r="C316" s="55" t="s">
        <v>9273</v>
      </c>
      <c r="D316" s="72">
        <v>5576</v>
      </c>
      <c r="E316" s="72">
        <v>5718</v>
      </c>
      <c r="F316" s="72">
        <v>5797</v>
      </c>
      <c r="G316" s="72">
        <v>5820</v>
      </c>
      <c r="H316" s="95">
        <v>5432</v>
      </c>
      <c r="I316" s="95">
        <v>5551</v>
      </c>
      <c r="J316" s="95">
        <v>5456</v>
      </c>
      <c r="K316" s="95">
        <v>5752</v>
      </c>
      <c r="L316" s="95">
        <v>5732</v>
      </c>
      <c r="M316" s="63">
        <v>5835</v>
      </c>
      <c r="N316" s="63">
        <v>6156</v>
      </c>
      <c r="O316" s="63">
        <v>6136</v>
      </c>
      <c r="P316" s="67"/>
      <c r="Q316" s="66" t="s">
        <v>874</v>
      </c>
    </row>
    <row r="317" spans="1:17">
      <c r="A317" s="66" t="s">
        <v>5420</v>
      </c>
      <c r="B317" s="66" t="s">
        <v>5171</v>
      </c>
      <c r="C317" s="55" t="s">
        <v>8187</v>
      </c>
      <c r="D317" s="72">
        <v>2337</v>
      </c>
      <c r="E317" s="72">
        <v>2331</v>
      </c>
      <c r="F317" s="72">
        <v>2354</v>
      </c>
      <c r="G317" s="72">
        <v>2389</v>
      </c>
      <c r="H317" s="95">
        <v>2222</v>
      </c>
      <c r="I317" s="95">
        <v>2263</v>
      </c>
      <c r="J317" s="95">
        <v>2265</v>
      </c>
      <c r="K317" s="95">
        <v>2391</v>
      </c>
      <c r="L317" s="95">
        <v>2383</v>
      </c>
      <c r="M317" s="63">
        <v>2365</v>
      </c>
      <c r="N317" s="63">
        <v>2457</v>
      </c>
      <c r="O317" s="63">
        <v>2436</v>
      </c>
      <c r="P317" s="67"/>
      <c r="Q317" s="66" t="s">
        <v>3610</v>
      </c>
    </row>
    <row r="318" spans="1:17">
      <c r="A318" s="66" t="s">
        <v>5422</v>
      </c>
      <c r="B318" s="66" t="s">
        <v>5172</v>
      </c>
      <c r="C318" s="55" t="s">
        <v>8188</v>
      </c>
      <c r="D318" s="72">
        <v>2072</v>
      </c>
      <c r="E318" s="72">
        <v>2071</v>
      </c>
      <c r="F318" s="72">
        <v>2094</v>
      </c>
      <c r="G318" s="72">
        <v>2084</v>
      </c>
      <c r="H318" s="95">
        <v>1955</v>
      </c>
      <c r="I318" s="95">
        <v>2012</v>
      </c>
      <c r="J318" s="95">
        <v>1909</v>
      </c>
      <c r="K318" s="95">
        <v>2120</v>
      </c>
      <c r="L318" s="95">
        <v>2132</v>
      </c>
      <c r="M318" s="63">
        <v>2130</v>
      </c>
      <c r="N318" s="63">
        <v>2194</v>
      </c>
      <c r="O318" s="63">
        <v>2175</v>
      </c>
      <c r="P318" s="67"/>
      <c r="Q318" s="66" t="s">
        <v>3610</v>
      </c>
    </row>
    <row r="319" spans="1:17">
      <c r="A319" s="66" t="s">
        <v>5424</v>
      </c>
      <c r="B319" s="66" t="s">
        <v>1999</v>
      </c>
      <c r="C319" s="55" t="s">
        <v>8189</v>
      </c>
      <c r="D319" s="72">
        <v>6421</v>
      </c>
      <c r="E319" s="72">
        <v>6281</v>
      </c>
      <c r="F319" s="72">
        <v>6394</v>
      </c>
      <c r="G319" s="72">
        <v>6388</v>
      </c>
      <c r="H319" s="95">
        <v>6057</v>
      </c>
      <c r="I319" s="95">
        <v>6055</v>
      </c>
      <c r="J319" s="95">
        <v>5839</v>
      </c>
      <c r="K319" s="95">
        <v>6036</v>
      </c>
      <c r="L319" s="95">
        <v>5883</v>
      </c>
      <c r="M319" s="63">
        <v>5927</v>
      </c>
      <c r="N319" s="63">
        <v>6132</v>
      </c>
      <c r="O319" s="63">
        <v>6148</v>
      </c>
      <c r="P319" s="67"/>
      <c r="Q319" s="66" t="s">
        <v>874</v>
      </c>
    </row>
    <row r="320" spans="1:17">
      <c r="A320" s="66" t="s">
        <v>5426</v>
      </c>
      <c r="B320" s="66" t="s">
        <v>5173</v>
      </c>
      <c r="C320" s="55" t="s">
        <v>8190</v>
      </c>
      <c r="D320" s="72">
        <v>6244</v>
      </c>
      <c r="E320" s="72">
        <v>6232</v>
      </c>
      <c r="F320" s="72">
        <v>6534</v>
      </c>
      <c r="G320" s="72">
        <v>6509</v>
      </c>
      <c r="H320" s="95">
        <v>5855</v>
      </c>
      <c r="I320" s="95">
        <v>6060</v>
      </c>
      <c r="J320" s="95">
        <v>5972</v>
      </c>
      <c r="K320" s="95">
        <v>6308</v>
      </c>
      <c r="L320" s="95">
        <v>6168</v>
      </c>
      <c r="M320" s="63">
        <v>6317</v>
      </c>
      <c r="N320" s="63">
        <v>6514</v>
      </c>
      <c r="O320" s="63">
        <v>6407</v>
      </c>
      <c r="P320" s="67"/>
      <c r="Q320" s="66" t="s">
        <v>874</v>
      </c>
    </row>
    <row r="321" spans="1:17">
      <c r="A321" s="66" t="s">
        <v>5428</v>
      </c>
      <c r="B321" s="66" t="s">
        <v>5174</v>
      </c>
      <c r="C321" s="55" t="s">
        <v>8191</v>
      </c>
      <c r="D321" s="72">
        <v>4393</v>
      </c>
      <c r="E321" s="72">
        <v>4361</v>
      </c>
      <c r="F321" s="72">
        <v>4431</v>
      </c>
      <c r="G321" s="72">
        <v>4489</v>
      </c>
      <c r="H321" s="95">
        <v>4316</v>
      </c>
      <c r="I321" s="95">
        <v>4430</v>
      </c>
      <c r="J321" s="95">
        <v>4418</v>
      </c>
      <c r="K321" s="95">
        <v>4746</v>
      </c>
      <c r="L321" s="95">
        <v>4804</v>
      </c>
      <c r="M321" s="63">
        <v>5055</v>
      </c>
      <c r="N321" s="63">
        <v>5334</v>
      </c>
      <c r="O321" s="63">
        <v>5278</v>
      </c>
      <c r="P321" s="67"/>
      <c r="Q321" s="66" t="s">
        <v>3610</v>
      </c>
    </row>
    <row r="322" spans="1:17">
      <c r="A322" s="66" t="s">
        <v>5429</v>
      </c>
      <c r="B322" s="66" t="s">
        <v>900</v>
      </c>
      <c r="C322" s="55" t="s">
        <v>8192</v>
      </c>
      <c r="D322" s="72">
        <v>3880</v>
      </c>
      <c r="E322" s="72">
        <v>3811</v>
      </c>
      <c r="F322" s="72">
        <v>3956</v>
      </c>
      <c r="G322" s="72">
        <v>3996</v>
      </c>
      <c r="H322" s="95">
        <v>3812</v>
      </c>
      <c r="I322" s="95">
        <v>3859</v>
      </c>
      <c r="J322" s="95">
        <v>3778</v>
      </c>
      <c r="K322" s="95">
        <v>4030</v>
      </c>
      <c r="L322" s="95">
        <v>4033</v>
      </c>
      <c r="M322" s="63">
        <v>4113</v>
      </c>
      <c r="N322" s="63">
        <v>4363</v>
      </c>
      <c r="O322" s="63">
        <v>4344</v>
      </c>
      <c r="P322" s="67"/>
      <c r="Q322" s="66" t="s">
        <v>3610</v>
      </c>
    </row>
    <row r="323" spans="1:17">
      <c r="A323" s="66" t="s">
        <v>5431</v>
      </c>
      <c r="B323" s="66" t="s">
        <v>6410</v>
      </c>
      <c r="C323" s="55" t="s">
        <v>8193</v>
      </c>
      <c r="D323" s="72">
        <v>4065</v>
      </c>
      <c r="E323" s="72">
        <v>4039</v>
      </c>
      <c r="F323" s="72">
        <v>4245</v>
      </c>
      <c r="G323" s="72">
        <v>4298</v>
      </c>
      <c r="H323" s="95">
        <v>3788</v>
      </c>
      <c r="I323" s="95">
        <v>4007</v>
      </c>
      <c r="J323" s="95">
        <v>4037</v>
      </c>
      <c r="K323" s="95">
        <v>4266</v>
      </c>
      <c r="L323" s="95">
        <v>4277</v>
      </c>
      <c r="M323" s="63">
        <v>4492</v>
      </c>
      <c r="N323" s="63">
        <v>4766</v>
      </c>
      <c r="O323" s="63">
        <v>4706</v>
      </c>
      <c r="P323" s="67"/>
      <c r="Q323" s="66" t="s">
        <v>874</v>
      </c>
    </row>
    <row r="324" spans="1:17">
      <c r="A324" s="66" t="s">
        <v>5433</v>
      </c>
      <c r="B324" s="66" t="s">
        <v>901</v>
      </c>
      <c r="C324" s="55" t="s">
        <v>8194</v>
      </c>
      <c r="D324" s="72">
        <v>5838</v>
      </c>
      <c r="E324" s="72">
        <v>5967</v>
      </c>
      <c r="F324" s="72">
        <v>6340</v>
      </c>
      <c r="G324" s="72">
        <v>6477</v>
      </c>
      <c r="H324" s="95">
        <v>5828</v>
      </c>
      <c r="I324" s="95">
        <v>5886</v>
      </c>
      <c r="J324" s="95">
        <v>5715</v>
      </c>
      <c r="K324" s="95">
        <v>6031</v>
      </c>
      <c r="L324" s="95">
        <v>6143</v>
      </c>
      <c r="M324" s="63">
        <v>6326</v>
      </c>
      <c r="N324" s="63">
        <v>6667</v>
      </c>
      <c r="O324" s="63">
        <v>6454</v>
      </c>
      <c r="P324" s="67"/>
      <c r="Q324" s="66" t="s">
        <v>874</v>
      </c>
    </row>
    <row r="325" spans="1:17">
      <c r="A325" s="66" t="s">
        <v>5435</v>
      </c>
      <c r="B325" s="66" t="s">
        <v>5974</v>
      </c>
      <c r="C325" s="55" t="s">
        <v>8195</v>
      </c>
      <c r="D325" s="72">
        <v>1884</v>
      </c>
      <c r="E325" s="72">
        <v>1825</v>
      </c>
      <c r="F325" s="72">
        <v>1988</v>
      </c>
      <c r="G325" s="72">
        <v>1977</v>
      </c>
      <c r="H325" s="95">
        <v>1757</v>
      </c>
      <c r="I325" s="95">
        <v>1786</v>
      </c>
      <c r="J325" s="95">
        <v>1770</v>
      </c>
      <c r="K325" s="95">
        <v>1867</v>
      </c>
      <c r="L325" s="95">
        <v>1868</v>
      </c>
      <c r="M325" s="63">
        <v>1869</v>
      </c>
      <c r="N325" s="63">
        <v>1935</v>
      </c>
      <c r="O325" s="63">
        <v>1914</v>
      </c>
      <c r="P325" s="67"/>
      <c r="Q325" s="66" t="s">
        <v>3610</v>
      </c>
    </row>
    <row r="326" spans="1:17">
      <c r="A326" s="66" t="s">
        <v>5436</v>
      </c>
      <c r="B326" s="66" t="s">
        <v>956</v>
      </c>
      <c r="C326" s="55" t="s">
        <v>9274</v>
      </c>
      <c r="D326" s="72">
        <v>1972</v>
      </c>
      <c r="E326" s="72">
        <v>1975</v>
      </c>
      <c r="F326" s="72">
        <v>2032</v>
      </c>
      <c r="G326" s="72">
        <v>2072</v>
      </c>
      <c r="H326" s="95">
        <v>1936</v>
      </c>
      <c r="I326" s="95">
        <v>1994</v>
      </c>
      <c r="J326" s="95">
        <v>1976</v>
      </c>
      <c r="K326" s="95">
        <v>2071</v>
      </c>
      <c r="L326" s="95">
        <v>2025</v>
      </c>
      <c r="M326" s="63">
        <v>2032</v>
      </c>
      <c r="N326" s="63">
        <v>2090</v>
      </c>
      <c r="O326" s="63">
        <v>2071</v>
      </c>
      <c r="P326" s="67"/>
      <c r="Q326" s="66" t="s">
        <v>874</v>
      </c>
    </row>
    <row r="327" spans="1:17">
      <c r="A327" s="66" t="s">
        <v>5437</v>
      </c>
      <c r="B327" s="66" t="s">
        <v>957</v>
      </c>
      <c r="C327" s="55" t="s">
        <v>8196</v>
      </c>
      <c r="D327" s="72">
        <v>5868</v>
      </c>
      <c r="E327" s="72">
        <v>5705</v>
      </c>
      <c r="F327" s="72">
        <v>5913</v>
      </c>
      <c r="G327" s="72">
        <v>6010</v>
      </c>
      <c r="H327" s="95">
        <v>5382</v>
      </c>
      <c r="I327" s="95">
        <v>5541</v>
      </c>
      <c r="J327" s="95">
        <v>5618</v>
      </c>
      <c r="K327" s="95">
        <v>6107</v>
      </c>
      <c r="L327" s="95">
        <v>6097</v>
      </c>
      <c r="M327" s="63">
        <v>6294</v>
      </c>
      <c r="N327" s="63">
        <v>6730</v>
      </c>
      <c r="O327" s="63">
        <v>6679</v>
      </c>
      <c r="P327" s="67"/>
      <c r="Q327" s="66" t="s">
        <v>874</v>
      </c>
    </row>
    <row r="328" spans="1:17">
      <c r="A328" s="66" t="s">
        <v>5439</v>
      </c>
      <c r="B328" s="66" t="s">
        <v>6136</v>
      </c>
      <c r="C328" s="55" t="s">
        <v>8197</v>
      </c>
      <c r="D328" s="72">
        <v>5880</v>
      </c>
      <c r="E328" s="72">
        <v>5871</v>
      </c>
      <c r="F328" s="72">
        <v>5958</v>
      </c>
      <c r="G328" s="72">
        <v>6067</v>
      </c>
      <c r="H328" s="95">
        <v>5421</v>
      </c>
      <c r="I328" s="95">
        <v>5441</v>
      </c>
      <c r="J328" s="95">
        <v>5564</v>
      </c>
      <c r="K328" s="95">
        <v>5881</v>
      </c>
      <c r="L328" s="95">
        <v>5750</v>
      </c>
      <c r="M328" s="63">
        <v>5817</v>
      </c>
      <c r="N328" s="63">
        <v>5955</v>
      </c>
      <c r="O328" s="63">
        <v>5937</v>
      </c>
      <c r="P328" s="67"/>
      <c r="Q328" s="66" t="s">
        <v>874</v>
      </c>
    </row>
    <row r="329" spans="1:17">
      <c r="A329" s="66" t="s">
        <v>5441</v>
      </c>
      <c r="B329" s="66" t="s">
        <v>958</v>
      </c>
      <c r="C329" s="55" t="s">
        <v>8198</v>
      </c>
      <c r="D329" s="72">
        <v>1948</v>
      </c>
      <c r="E329" s="72">
        <v>1893</v>
      </c>
      <c r="F329" s="72">
        <v>1963</v>
      </c>
      <c r="G329" s="72">
        <v>1995</v>
      </c>
      <c r="H329" s="95">
        <v>1825</v>
      </c>
      <c r="I329" s="95">
        <v>1891</v>
      </c>
      <c r="J329" s="95">
        <v>1834</v>
      </c>
      <c r="K329" s="95">
        <v>1954</v>
      </c>
      <c r="L329" s="95">
        <v>1988</v>
      </c>
      <c r="M329" s="63">
        <v>2025</v>
      </c>
      <c r="N329" s="63">
        <v>2045</v>
      </c>
      <c r="O329" s="63">
        <v>2030</v>
      </c>
      <c r="P329" s="67"/>
      <c r="Q329" s="66" t="s">
        <v>3610</v>
      </c>
    </row>
    <row r="330" spans="1:17">
      <c r="A330" s="66" t="s">
        <v>5886</v>
      </c>
      <c r="B330" s="66" t="s">
        <v>959</v>
      </c>
      <c r="C330" s="55" t="s">
        <v>8199</v>
      </c>
      <c r="D330" s="72">
        <v>3895</v>
      </c>
      <c r="E330" s="72">
        <v>4063</v>
      </c>
      <c r="F330" s="72">
        <v>4398</v>
      </c>
      <c r="G330" s="72">
        <v>4551</v>
      </c>
      <c r="H330" s="95">
        <v>4276</v>
      </c>
      <c r="I330" s="95">
        <v>4230</v>
      </c>
      <c r="J330" s="95">
        <v>4039</v>
      </c>
      <c r="K330" s="95">
        <v>4428</v>
      </c>
      <c r="L330" s="95">
        <v>4567</v>
      </c>
      <c r="M330" s="63">
        <v>4925</v>
      </c>
      <c r="N330" s="63">
        <v>5442</v>
      </c>
      <c r="O330" s="63">
        <v>5530</v>
      </c>
      <c r="P330" s="67"/>
      <c r="Q330" s="66" t="s">
        <v>3610</v>
      </c>
    </row>
    <row r="331" spans="1:17">
      <c r="A331" s="66" t="s">
        <v>5888</v>
      </c>
      <c r="B331" s="66" t="s">
        <v>960</v>
      </c>
      <c r="C331" s="55" t="s">
        <v>8200</v>
      </c>
      <c r="D331" s="72">
        <v>6381</v>
      </c>
      <c r="E331" s="72">
        <v>6465</v>
      </c>
      <c r="F331" s="72">
        <v>6593</v>
      </c>
      <c r="G331" s="72">
        <v>6617</v>
      </c>
      <c r="H331" s="95">
        <v>5589</v>
      </c>
      <c r="I331" s="95">
        <v>5719</v>
      </c>
      <c r="J331" s="95">
        <v>5770</v>
      </c>
      <c r="K331" s="95">
        <v>6207</v>
      </c>
      <c r="L331" s="95">
        <v>6059</v>
      </c>
      <c r="M331" s="63">
        <v>6106</v>
      </c>
      <c r="N331" s="63">
        <v>6353</v>
      </c>
      <c r="O331" s="63">
        <v>6459</v>
      </c>
      <c r="P331" s="67"/>
      <c r="Q331" s="66" t="s">
        <v>3610</v>
      </c>
    </row>
    <row r="332" spans="1:17">
      <c r="A332" s="66" t="s">
        <v>5889</v>
      </c>
      <c r="B332" s="66" t="s">
        <v>961</v>
      </c>
      <c r="C332" s="55" t="s">
        <v>8201</v>
      </c>
      <c r="D332" s="72">
        <v>4363</v>
      </c>
      <c r="E332" s="72">
        <v>4381</v>
      </c>
      <c r="F332" s="72">
        <v>4471</v>
      </c>
      <c r="G332" s="72">
        <v>4524</v>
      </c>
      <c r="H332" s="95">
        <v>4109</v>
      </c>
      <c r="I332" s="95">
        <v>4120</v>
      </c>
      <c r="J332" s="95">
        <v>4019</v>
      </c>
      <c r="K332" s="95">
        <v>4243</v>
      </c>
      <c r="L332" s="95">
        <v>4004</v>
      </c>
      <c r="M332" s="63">
        <v>4067</v>
      </c>
      <c r="N332" s="63">
        <v>4213</v>
      </c>
      <c r="O332" s="63">
        <v>4123</v>
      </c>
      <c r="P332" s="67"/>
      <c r="Q332" s="66" t="s">
        <v>3610</v>
      </c>
    </row>
    <row r="333" spans="1:17">
      <c r="A333" s="66" t="s">
        <v>4431</v>
      </c>
      <c r="B333" s="66" t="s">
        <v>2964</v>
      </c>
      <c r="C333" s="55" t="s">
        <v>9275</v>
      </c>
      <c r="D333" s="72">
        <v>6160</v>
      </c>
      <c r="E333" s="72">
        <v>6100</v>
      </c>
      <c r="F333" s="72">
        <v>6403</v>
      </c>
      <c r="G333" s="72">
        <v>6571</v>
      </c>
      <c r="H333" s="95">
        <v>6495</v>
      </c>
      <c r="I333" s="95">
        <v>6525</v>
      </c>
      <c r="J333" s="95">
        <v>6464</v>
      </c>
      <c r="K333" s="95">
        <v>6804</v>
      </c>
      <c r="L333" s="95">
        <v>6705</v>
      </c>
      <c r="M333" s="63">
        <v>6863</v>
      </c>
      <c r="N333" s="63">
        <v>7088</v>
      </c>
      <c r="O333" s="63">
        <v>7068</v>
      </c>
      <c r="P333" s="67"/>
      <c r="Q333" s="66" t="s">
        <v>874</v>
      </c>
    </row>
    <row r="334" spans="1:17">
      <c r="A334" s="66" t="s">
        <v>4432</v>
      </c>
      <c r="B334" s="66" t="s">
        <v>962</v>
      </c>
      <c r="C334" s="55" t="s">
        <v>8202</v>
      </c>
      <c r="D334" s="72">
        <v>4423</v>
      </c>
      <c r="E334" s="72">
        <v>4307</v>
      </c>
      <c r="F334" s="72">
        <v>4605</v>
      </c>
      <c r="G334" s="72">
        <v>4658</v>
      </c>
      <c r="H334" s="95">
        <v>4472</v>
      </c>
      <c r="I334" s="95">
        <v>4514</v>
      </c>
      <c r="J334" s="95">
        <v>4330</v>
      </c>
      <c r="K334" s="95">
        <v>4617</v>
      </c>
      <c r="L334" s="95">
        <v>4537</v>
      </c>
      <c r="M334" s="63">
        <v>4563</v>
      </c>
      <c r="N334" s="63">
        <v>4810</v>
      </c>
      <c r="O334" s="63">
        <v>4777</v>
      </c>
      <c r="P334" s="67"/>
      <c r="Q334" s="66" t="s">
        <v>874</v>
      </c>
    </row>
    <row r="335" spans="1:17">
      <c r="A335" s="66" t="s">
        <v>4434</v>
      </c>
      <c r="B335" s="66" t="s">
        <v>963</v>
      </c>
      <c r="C335" s="55" t="s">
        <v>8203</v>
      </c>
      <c r="D335" s="72">
        <v>2160</v>
      </c>
      <c r="E335" s="72">
        <v>2018</v>
      </c>
      <c r="F335" s="72">
        <v>2162</v>
      </c>
      <c r="G335" s="72">
        <v>2153</v>
      </c>
      <c r="H335" s="95">
        <v>1930</v>
      </c>
      <c r="I335" s="95">
        <v>1967</v>
      </c>
      <c r="J335" s="95">
        <v>2004</v>
      </c>
      <c r="K335" s="95">
        <v>2142</v>
      </c>
      <c r="L335" s="95">
        <v>2144</v>
      </c>
      <c r="M335" s="63">
        <v>2195</v>
      </c>
      <c r="N335" s="63">
        <v>2301</v>
      </c>
      <c r="O335" s="63">
        <v>2291</v>
      </c>
      <c r="P335" s="67"/>
      <c r="Q335" s="66" t="s">
        <v>3610</v>
      </c>
    </row>
    <row r="336" spans="1:17">
      <c r="A336" s="67"/>
      <c r="B336" s="67"/>
      <c r="C336" s="67"/>
      <c r="D336" s="72"/>
      <c r="E336" s="72"/>
      <c r="F336" s="72"/>
      <c r="G336" s="72"/>
      <c r="H336" s="72"/>
      <c r="I336" s="72"/>
      <c r="J336" s="72"/>
      <c r="K336" s="72"/>
      <c r="L336" s="72"/>
      <c r="M336" s="84"/>
      <c r="N336" s="84"/>
      <c r="O336" s="84"/>
      <c r="P336" s="67"/>
      <c r="Q336" s="67"/>
    </row>
    <row r="337" spans="1:17">
      <c r="A337" s="66" t="s">
        <v>964</v>
      </c>
      <c r="C337" s="67"/>
      <c r="D337" s="72">
        <f t="shared" ref="D337:I337" si="130">SUM(D312:D314)+D317+D318+D321+D322+D325+SUM(D329:D332)+D335</f>
        <v>48637</v>
      </c>
      <c r="E337" s="72">
        <f t="shared" si="130"/>
        <v>48053</v>
      </c>
      <c r="F337" s="72">
        <f t="shared" si="130"/>
        <v>49810</v>
      </c>
      <c r="G337" s="72">
        <f t="shared" si="130"/>
        <v>50257</v>
      </c>
      <c r="H337" s="72">
        <f t="shared" si="130"/>
        <v>46199</v>
      </c>
      <c r="I337" s="72">
        <f t="shared" si="130"/>
        <v>46914</v>
      </c>
      <c r="J337" s="72">
        <f t="shared" ref="J337:O337" si="131">SUM(J312:J314)+J317+J318+J321+J322+J325+SUM(J329:J332)+J335</f>
        <v>46260</v>
      </c>
      <c r="K337" s="72">
        <f t="shared" si="131"/>
        <v>49226</v>
      </c>
      <c r="L337" s="72">
        <f t="shared" si="131"/>
        <v>48770</v>
      </c>
      <c r="M337" s="73">
        <f t="shared" si="131"/>
        <v>49650</v>
      </c>
      <c r="N337" s="73">
        <f t="shared" si="131"/>
        <v>51994</v>
      </c>
      <c r="O337" s="73">
        <f t="shared" si="131"/>
        <v>51830</v>
      </c>
      <c r="P337" s="67"/>
      <c r="Q337" s="67"/>
    </row>
    <row r="338" spans="1:17">
      <c r="A338" s="66" t="s">
        <v>965</v>
      </c>
      <c r="C338" s="67"/>
      <c r="D338" s="72">
        <f t="shared" ref="D338:I338" si="132">D310+D311+D315+D316+D319+D320+D323+D324+SUM(D326:D328)+D333+D334</f>
        <v>64380</v>
      </c>
      <c r="E338" s="72">
        <f t="shared" si="132"/>
        <v>63769</v>
      </c>
      <c r="F338" s="72">
        <f t="shared" si="132"/>
        <v>66139</v>
      </c>
      <c r="G338" s="72">
        <f t="shared" si="132"/>
        <v>66883</v>
      </c>
      <c r="H338" s="72">
        <f t="shared" si="132"/>
        <v>61860</v>
      </c>
      <c r="I338" s="72">
        <f t="shared" si="132"/>
        <v>62957</v>
      </c>
      <c r="J338" s="72">
        <f t="shared" ref="J338:O338" si="133">J310+J311+J315+J316+J319+J320+J323+J324+SUM(J326:J328)+J333+J334</f>
        <v>62172</v>
      </c>
      <c r="K338" s="72">
        <f t="shared" si="133"/>
        <v>65786</v>
      </c>
      <c r="L338" s="72">
        <f t="shared" si="133"/>
        <v>65060</v>
      </c>
      <c r="M338" s="73">
        <f t="shared" si="133"/>
        <v>66364</v>
      </c>
      <c r="N338" s="73">
        <f t="shared" si="133"/>
        <v>69451</v>
      </c>
      <c r="O338" s="73">
        <f t="shared" si="133"/>
        <v>68827</v>
      </c>
      <c r="P338" s="67"/>
      <c r="Q338" s="67"/>
    </row>
    <row r="339" spans="1:17">
      <c r="A339" s="66"/>
      <c r="B339" s="66"/>
      <c r="C339" s="67"/>
      <c r="D339" s="72"/>
      <c r="E339" s="72"/>
      <c r="F339" s="72"/>
      <c r="G339" s="72"/>
      <c r="H339" s="72"/>
      <c r="I339" s="72"/>
      <c r="J339" s="72"/>
      <c r="K339" s="72"/>
      <c r="L339" s="72"/>
      <c r="M339" s="73"/>
      <c r="N339" s="73"/>
      <c r="O339" s="73"/>
      <c r="P339" s="67"/>
      <c r="Q339" s="67"/>
    </row>
    <row r="340" spans="1:17">
      <c r="A340" s="70" t="s">
        <v>9271</v>
      </c>
      <c r="C340" s="67"/>
      <c r="P340" s="67"/>
      <c r="Q340" s="67"/>
    </row>
    <row r="341" spans="1:17">
      <c r="A341" s="70" t="s">
        <v>9272</v>
      </c>
      <c r="B341" s="66"/>
      <c r="C341" s="67"/>
      <c r="D341" s="71"/>
      <c r="E341" s="71"/>
      <c r="F341" s="71"/>
      <c r="G341" s="71"/>
      <c r="H341" s="71"/>
      <c r="I341" s="71"/>
      <c r="J341" s="71"/>
      <c r="K341" s="71"/>
      <c r="L341" s="71"/>
      <c r="M341" s="99"/>
      <c r="N341" s="99"/>
      <c r="O341" s="99"/>
      <c r="P341" s="67"/>
      <c r="Q341" s="67"/>
    </row>
    <row r="342" spans="1:17">
      <c r="A342" s="66"/>
      <c r="B342" s="66"/>
      <c r="C342" s="67"/>
      <c r="D342" s="71"/>
      <c r="E342" s="71"/>
      <c r="F342" s="71"/>
      <c r="G342" s="71"/>
      <c r="H342" s="71"/>
      <c r="I342" s="71"/>
      <c r="J342" s="71"/>
      <c r="K342" s="71"/>
      <c r="L342" s="71"/>
      <c r="M342" s="99"/>
      <c r="N342" s="99"/>
      <c r="O342" s="99"/>
      <c r="P342" s="67"/>
      <c r="Q342" s="67"/>
    </row>
    <row r="343" spans="1:17">
      <c r="A343" s="66"/>
      <c r="B343" s="66"/>
      <c r="C343" s="67"/>
      <c r="D343" s="71"/>
      <c r="E343" s="71"/>
      <c r="F343" s="71"/>
      <c r="G343" s="71"/>
      <c r="H343" s="71"/>
      <c r="I343" s="71"/>
      <c r="J343" s="71"/>
      <c r="K343" s="71"/>
      <c r="L343" s="71"/>
      <c r="M343" s="99"/>
      <c r="N343" s="99"/>
      <c r="O343" s="99"/>
      <c r="P343" s="67"/>
      <c r="Q343" s="67"/>
    </row>
    <row r="344" spans="1:17">
      <c r="A344" s="67"/>
      <c r="B344" s="67"/>
      <c r="C344" s="67"/>
      <c r="E344" s="92" t="s">
        <v>1526</v>
      </c>
      <c r="F344" s="92"/>
      <c r="G344" s="92"/>
      <c r="H344" s="92"/>
      <c r="I344" s="92"/>
      <c r="J344" s="92"/>
      <c r="K344" s="92"/>
      <c r="L344" s="92"/>
      <c r="M344" s="51"/>
      <c r="N344" s="51"/>
      <c r="O344" s="51"/>
      <c r="P344" s="52"/>
      <c r="Q344" s="53" t="s">
        <v>9479</v>
      </c>
    </row>
    <row r="345" spans="1:17">
      <c r="A345" s="67"/>
      <c r="B345" s="67"/>
      <c r="C345" s="67"/>
      <c r="D345" s="93">
        <v>2010</v>
      </c>
      <c r="E345" s="93">
        <v>2011</v>
      </c>
      <c r="F345" s="93">
        <v>2012</v>
      </c>
      <c r="G345" s="93">
        <v>2013</v>
      </c>
      <c r="H345" s="93">
        <v>2014</v>
      </c>
      <c r="I345" s="93">
        <v>2015</v>
      </c>
      <c r="J345" s="93">
        <v>2016</v>
      </c>
      <c r="K345" s="93">
        <v>2017</v>
      </c>
      <c r="L345" s="93">
        <v>2018</v>
      </c>
      <c r="M345" s="40">
        <v>2019</v>
      </c>
      <c r="N345" s="40">
        <v>2020</v>
      </c>
      <c r="O345" s="963" t="s">
        <v>14823</v>
      </c>
      <c r="P345" s="67"/>
      <c r="Q345" s="54" t="s">
        <v>1527</v>
      </c>
    </row>
    <row r="346" spans="1:17">
      <c r="A346" s="66" t="s">
        <v>5238</v>
      </c>
      <c r="C346" s="67"/>
      <c r="D346" s="72">
        <f t="shared" ref="D346:I346" si="134">SUM(D347:D372)</f>
        <v>86849</v>
      </c>
      <c r="E346" s="72">
        <f t="shared" si="134"/>
        <v>86547</v>
      </c>
      <c r="F346" s="72">
        <f t="shared" si="134"/>
        <v>87289</v>
      </c>
      <c r="G346" s="72">
        <f t="shared" si="134"/>
        <v>87556</v>
      </c>
      <c r="H346" s="72">
        <f t="shared" si="134"/>
        <v>85648</v>
      </c>
      <c r="I346" s="72">
        <f t="shared" si="134"/>
        <v>85835</v>
      </c>
      <c r="J346" s="72">
        <f t="shared" ref="J346:O346" si="135">SUM(J347:J372)</f>
        <v>85867</v>
      </c>
      <c r="K346" s="72">
        <f t="shared" si="135"/>
        <v>87056</v>
      </c>
      <c r="L346" s="72">
        <f t="shared" si="135"/>
        <v>87537</v>
      </c>
      <c r="M346" s="73">
        <f t="shared" si="135"/>
        <v>87034</v>
      </c>
      <c r="N346" s="73">
        <f t="shared" si="135"/>
        <v>88080</v>
      </c>
      <c r="O346" s="73">
        <f t="shared" si="135"/>
        <v>89422</v>
      </c>
      <c r="P346" s="67"/>
      <c r="Q346" s="67"/>
    </row>
    <row r="347" spans="1:17">
      <c r="A347" s="66" t="s">
        <v>5387</v>
      </c>
      <c r="B347" s="66" t="s">
        <v>9090</v>
      </c>
      <c r="C347" s="55" t="s">
        <v>10205</v>
      </c>
      <c r="D347" s="72">
        <v>4691</v>
      </c>
      <c r="E347" s="72">
        <v>4631</v>
      </c>
      <c r="F347" s="72">
        <v>4607</v>
      </c>
      <c r="G347" s="95">
        <v>4623</v>
      </c>
      <c r="H347" s="95">
        <v>4531</v>
      </c>
      <c r="I347" s="100">
        <v>4535</v>
      </c>
      <c r="J347" s="100">
        <v>4513</v>
      </c>
      <c r="K347" s="100">
        <v>4568</v>
      </c>
      <c r="L347" s="100">
        <v>4581</v>
      </c>
      <c r="M347" s="56">
        <v>4549</v>
      </c>
      <c r="N347" s="56">
        <v>4579</v>
      </c>
      <c r="O347" s="56">
        <v>4620</v>
      </c>
      <c r="P347" s="67"/>
      <c r="Q347" s="66" t="s">
        <v>879</v>
      </c>
    </row>
    <row r="348" spans="1:17">
      <c r="A348" s="66" t="s">
        <v>5389</v>
      </c>
      <c r="B348" s="66" t="s">
        <v>3734</v>
      </c>
      <c r="C348" s="919" t="s">
        <v>14757</v>
      </c>
      <c r="D348" s="72">
        <v>4821</v>
      </c>
      <c r="E348" s="72">
        <v>4856</v>
      </c>
      <c r="F348" s="72">
        <v>4918</v>
      </c>
      <c r="G348" s="95">
        <v>4935</v>
      </c>
      <c r="H348" s="95">
        <v>4880</v>
      </c>
      <c r="I348" s="100">
        <v>4825</v>
      </c>
      <c r="J348" s="100">
        <v>4861</v>
      </c>
      <c r="K348" s="100">
        <v>4885</v>
      </c>
      <c r="L348" s="100">
        <v>4840</v>
      </c>
      <c r="M348" s="56">
        <v>4809</v>
      </c>
      <c r="N348" s="56">
        <v>4863</v>
      </c>
      <c r="O348" s="56">
        <v>4928</v>
      </c>
      <c r="P348" s="67"/>
      <c r="Q348" s="66" t="s">
        <v>879</v>
      </c>
    </row>
    <row r="349" spans="1:17">
      <c r="A349" s="66" t="s">
        <v>5391</v>
      </c>
      <c r="B349" s="66" t="s">
        <v>3398</v>
      </c>
      <c r="C349" s="55" t="s">
        <v>8204</v>
      </c>
      <c r="D349" s="72">
        <v>1560</v>
      </c>
      <c r="E349" s="72">
        <v>1568</v>
      </c>
      <c r="F349" s="72">
        <v>1580</v>
      </c>
      <c r="G349" s="95">
        <v>1558</v>
      </c>
      <c r="H349" s="95">
        <v>1559</v>
      </c>
      <c r="I349" s="101">
        <v>1558</v>
      </c>
      <c r="J349" s="101">
        <v>1561</v>
      </c>
      <c r="K349" s="101">
        <v>1602</v>
      </c>
      <c r="L349" s="101">
        <v>1595</v>
      </c>
      <c r="M349" s="58">
        <v>1605</v>
      </c>
      <c r="N349" s="58">
        <v>1647</v>
      </c>
      <c r="O349" s="58">
        <v>1680</v>
      </c>
      <c r="P349" s="67"/>
      <c r="Q349" s="66" t="s">
        <v>882</v>
      </c>
    </row>
    <row r="350" spans="1:17">
      <c r="A350" s="66" t="s">
        <v>5393</v>
      </c>
      <c r="B350" s="66" t="s">
        <v>3399</v>
      </c>
      <c r="C350" s="55" t="s">
        <v>8205</v>
      </c>
      <c r="D350" s="72">
        <v>1508</v>
      </c>
      <c r="E350" s="72">
        <v>1500</v>
      </c>
      <c r="F350" s="72">
        <v>1513</v>
      </c>
      <c r="G350" s="95">
        <v>1519</v>
      </c>
      <c r="H350" s="95">
        <v>1516</v>
      </c>
      <c r="I350" s="100">
        <v>1528</v>
      </c>
      <c r="J350" s="100">
        <v>1513</v>
      </c>
      <c r="K350" s="100">
        <v>1539</v>
      </c>
      <c r="L350" s="100">
        <v>1537</v>
      </c>
      <c r="M350" s="56">
        <v>1518</v>
      </c>
      <c r="N350" s="56">
        <v>1534</v>
      </c>
      <c r="O350" s="56">
        <v>1556</v>
      </c>
      <c r="P350" s="67"/>
      <c r="Q350" s="66" t="s">
        <v>879</v>
      </c>
    </row>
    <row r="351" spans="1:17">
      <c r="A351" s="66" t="s">
        <v>5394</v>
      </c>
      <c r="B351" s="66" t="s">
        <v>3400</v>
      </c>
      <c r="C351" s="55" t="s">
        <v>8206</v>
      </c>
      <c r="D351" s="72">
        <v>3478</v>
      </c>
      <c r="E351" s="72">
        <v>3461</v>
      </c>
      <c r="F351" s="72">
        <v>3448</v>
      </c>
      <c r="G351" s="95">
        <v>3442</v>
      </c>
      <c r="H351" s="95">
        <v>3465</v>
      </c>
      <c r="I351" s="100">
        <v>3477</v>
      </c>
      <c r="J351" s="100">
        <v>3589</v>
      </c>
      <c r="K351" s="100">
        <v>3795</v>
      </c>
      <c r="L351" s="100">
        <v>3819</v>
      </c>
      <c r="M351" s="56">
        <v>3933</v>
      </c>
      <c r="N351" s="56">
        <v>4000</v>
      </c>
      <c r="O351" s="56">
        <v>4086</v>
      </c>
      <c r="P351" s="67"/>
      <c r="Q351" s="66" t="s">
        <v>879</v>
      </c>
    </row>
    <row r="352" spans="1:17">
      <c r="A352" s="66" t="s">
        <v>5416</v>
      </c>
      <c r="B352" s="66" t="s">
        <v>3401</v>
      </c>
      <c r="C352" s="55" t="s">
        <v>8207</v>
      </c>
      <c r="D352" s="72">
        <v>3516</v>
      </c>
      <c r="E352" s="72">
        <v>3482</v>
      </c>
      <c r="F352" s="72">
        <v>3544</v>
      </c>
      <c r="G352" s="95">
        <v>3635</v>
      </c>
      <c r="H352" s="95">
        <v>3611</v>
      </c>
      <c r="I352" s="101">
        <v>3654</v>
      </c>
      <c r="J352" s="101">
        <v>3616</v>
      </c>
      <c r="K352" s="101">
        <v>3604</v>
      </c>
      <c r="L352" s="101">
        <v>3631</v>
      </c>
      <c r="M352" s="58">
        <v>3593</v>
      </c>
      <c r="N352" s="58">
        <v>3670</v>
      </c>
      <c r="O352" s="58">
        <v>3750</v>
      </c>
      <c r="P352" s="67"/>
      <c r="Q352" s="66" t="s">
        <v>882</v>
      </c>
    </row>
    <row r="353" spans="1:17">
      <c r="A353" s="66" t="s">
        <v>5418</v>
      </c>
      <c r="B353" s="66" t="s">
        <v>3402</v>
      </c>
      <c r="C353" s="55" t="s">
        <v>8208</v>
      </c>
      <c r="D353" s="72">
        <v>3133</v>
      </c>
      <c r="E353" s="72">
        <v>3135</v>
      </c>
      <c r="F353" s="72">
        <v>3147</v>
      </c>
      <c r="G353" s="95">
        <v>3161</v>
      </c>
      <c r="H353" s="95">
        <v>3077</v>
      </c>
      <c r="I353" s="101">
        <v>3096</v>
      </c>
      <c r="J353" s="101">
        <v>3015</v>
      </c>
      <c r="K353" s="101">
        <v>3069</v>
      </c>
      <c r="L353" s="101">
        <v>3117</v>
      </c>
      <c r="M353" s="58">
        <v>3088</v>
      </c>
      <c r="N353" s="58">
        <v>3141</v>
      </c>
      <c r="O353" s="58">
        <v>3171</v>
      </c>
      <c r="P353" s="67"/>
      <c r="Q353" s="66" t="s">
        <v>882</v>
      </c>
    </row>
    <row r="354" spans="1:17">
      <c r="A354" s="66" t="s">
        <v>5420</v>
      </c>
      <c r="B354" s="66" t="s">
        <v>6122</v>
      </c>
      <c r="C354" s="55" t="s">
        <v>10206</v>
      </c>
      <c r="D354" s="72">
        <v>1477</v>
      </c>
      <c r="E354" s="72">
        <v>1448</v>
      </c>
      <c r="F354" s="72">
        <v>1423</v>
      </c>
      <c r="G354" s="95">
        <v>1446</v>
      </c>
      <c r="H354" s="95">
        <v>1434</v>
      </c>
      <c r="I354" s="100">
        <v>1449</v>
      </c>
      <c r="J354" s="100">
        <v>1498</v>
      </c>
      <c r="K354" s="100">
        <v>1503</v>
      </c>
      <c r="L354" s="100">
        <v>1508</v>
      </c>
      <c r="M354" s="56">
        <v>1493</v>
      </c>
      <c r="N354" s="56">
        <v>1479</v>
      </c>
      <c r="O354" s="56">
        <v>1494</v>
      </c>
      <c r="P354" s="67"/>
      <c r="Q354" s="66" t="s">
        <v>879</v>
      </c>
    </row>
    <row r="355" spans="1:17">
      <c r="A355" s="66" t="s">
        <v>5422</v>
      </c>
      <c r="B355" s="66" t="s">
        <v>2013</v>
      </c>
      <c r="C355" s="55" t="s">
        <v>8209</v>
      </c>
      <c r="D355" s="72">
        <v>3540</v>
      </c>
      <c r="E355" s="72">
        <v>3650</v>
      </c>
      <c r="F355" s="72">
        <v>3774</v>
      </c>
      <c r="G355" s="95">
        <v>3815</v>
      </c>
      <c r="H355" s="95">
        <v>3685</v>
      </c>
      <c r="I355" s="100">
        <v>3681</v>
      </c>
      <c r="J355" s="100">
        <v>3724</v>
      </c>
      <c r="K355" s="100">
        <v>3763</v>
      </c>
      <c r="L355" s="100">
        <v>3817</v>
      </c>
      <c r="M355" s="56">
        <v>3751</v>
      </c>
      <c r="N355" s="56">
        <v>3783</v>
      </c>
      <c r="O355" s="56">
        <v>3842</v>
      </c>
      <c r="P355" s="67"/>
      <c r="Q355" s="66" t="s">
        <v>879</v>
      </c>
    </row>
    <row r="356" spans="1:17">
      <c r="A356" s="66" t="s">
        <v>5424</v>
      </c>
      <c r="B356" s="66" t="s">
        <v>2014</v>
      </c>
      <c r="C356" s="55" t="s">
        <v>8210</v>
      </c>
      <c r="D356" s="85">
        <v>4856</v>
      </c>
      <c r="E356" s="85">
        <v>4776</v>
      </c>
      <c r="F356" s="85">
        <v>4840</v>
      </c>
      <c r="G356" s="95">
        <v>4831</v>
      </c>
      <c r="H356" s="95">
        <v>4753</v>
      </c>
      <c r="I356" s="100">
        <v>4770</v>
      </c>
      <c r="J356" s="100">
        <v>4801</v>
      </c>
      <c r="K356" s="100">
        <v>4951</v>
      </c>
      <c r="L356" s="100">
        <v>4946</v>
      </c>
      <c r="M356" s="56">
        <v>4907</v>
      </c>
      <c r="N356" s="56">
        <v>4898</v>
      </c>
      <c r="O356" s="56">
        <v>4949</v>
      </c>
      <c r="P356" s="67"/>
      <c r="Q356" s="66" t="s">
        <v>879</v>
      </c>
    </row>
    <row r="357" spans="1:17">
      <c r="A357" s="66" t="s">
        <v>5426</v>
      </c>
      <c r="B357" s="66" t="s">
        <v>2015</v>
      </c>
      <c r="C357" s="55" t="s">
        <v>8211</v>
      </c>
      <c r="D357" s="72">
        <v>2737</v>
      </c>
      <c r="E357" s="72">
        <v>2742</v>
      </c>
      <c r="F357" s="72">
        <v>2751</v>
      </c>
      <c r="G357" s="95">
        <v>2728</v>
      </c>
      <c r="H357" s="95">
        <v>2721</v>
      </c>
      <c r="I357" s="100">
        <v>2706</v>
      </c>
      <c r="J357" s="100">
        <v>2675</v>
      </c>
      <c r="K357" s="100">
        <v>2649</v>
      </c>
      <c r="L357" s="100">
        <v>2688</v>
      </c>
      <c r="M357" s="56">
        <v>2716</v>
      </c>
      <c r="N357" s="56">
        <v>2763</v>
      </c>
      <c r="O357" s="56">
        <v>2790</v>
      </c>
      <c r="P357" s="67"/>
      <c r="Q357" s="66" t="s">
        <v>879</v>
      </c>
    </row>
    <row r="358" spans="1:17">
      <c r="A358" s="66" t="s">
        <v>5428</v>
      </c>
      <c r="B358" s="66" t="s">
        <v>2016</v>
      </c>
      <c r="C358" s="55" t="s">
        <v>10207</v>
      </c>
      <c r="D358" s="85">
        <v>4909</v>
      </c>
      <c r="E358" s="85">
        <v>4784</v>
      </c>
      <c r="F358" s="85">
        <v>4827</v>
      </c>
      <c r="G358" s="95">
        <v>4845</v>
      </c>
      <c r="H358" s="95">
        <v>4768</v>
      </c>
      <c r="I358" s="100">
        <v>4758</v>
      </c>
      <c r="J358" s="100">
        <v>4731</v>
      </c>
      <c r="K358" s="100">
        <v>4794</v>
      </c>
      <c r="L358" s="100">
        <v>4831</v>
      </c>
      <c r="M358" s="56">
        <v>4747</v>
      </c>
      <c r="N358" s="56">
        <v>4804</v>
      </c>
      <c r="O358" s="56">
        <v>4842</v>
      </c>
      <c r="P358" s="67"/>
      <c r="Q358" s="66" t="s">
        <v>1511</v>
      </c>
    </row>
    <row r="359" spans="1:17">
      <c r="A359" s="66" t="s">
        <v>5429</v>
      </c>
      <c r="B359" s="66" t="s">
        <v>2358</v>
      </c>
      <c r="C359" s="55" t="s">
        <v>10208</v>
      </c>
      <c r="D359" s="72">
        <v>3377</v>
      </c>
      <c r="E359" s="72">
        <v>3374</v>
      </c>
      <c r="F359" s="72">
        <v>3422</v>
      </c>
      <c r="G359" s="95">
        <v>3407</v>
      </c>
      <c r="H359" s="95">
        <v>3242</v>
      </c>
      <c r="I359" s="100">
        <v>3281</v>
      </c>
      <c r="J359" s="100">
        <v>3287</v>
      </c>
      <c r="K359" s="100">
        <v>3267</v>
      </c>
      <c r="L359" s="100">
        <v>3291</v>
      </c>
      <c r="M359" s="56">
        <v>3270</v>
      </c>
      <c r="N359" s="56">
        <v>3320</v>
      </c>
      <c r="O359" s="56">
        <v>3355</v>
      </c>
      <c r="P359" s="67"/>
      <c r="Q359" s="66" t="s">
        <v>879</v>
      </c>
    </row>
    <row r="360" spans="1:17">
      <c r="A360" s="66" t="s">
        <v>5431</v>
      </c>
      <c r="B360" s="66" t="s">
        <v>2359</v>
      </c>
      <c r="C360" s="55" t="s">
        <v>8212</v>
      </c>
      <c r="D360" s="72">
        <v>3221</v>
      </c>
      <c r="E360" s="72">
        <v>3223</v>
      </c>
      <c r="F360" s="72">
        <v>3272</v>
      </c>
      <c r="G360" s="95">
        <v>3292</v>
      </c>
      <c r="H360" s="95">
        <v>3200</v>
      </c>
      <c r="I360" s="100">
        <v>3231</v>
      </c>
      <c r="J360" s="100">
        <v>3241</v>
      </c>
      <c r="K360" s="100">
        <v>3240</v>
      </c>
      <c r="L360" s="100">
        <v>3214</v>
      </c>
      <c r="M360" s="56">
        <v>3166</v>
      </c>
      <c r="N360" s="56">
        <v>3188</v>
      </c>
      <c r="O360" s="56">
        <v>3233</v>
      </c>
      <c r="P360" s="67"/>
      <c r="Q360" s="66" t="s">
        <v>879</v>
      </c>
    </row>
    <row r="361" spans="1:17">
      <c r="A361" s="66" t="s">
        <v>5433</v>
      </c>
      <c r="B361" s="66" t="s">
        <v>2360</v>
      </c>
      <c r="C361" s="55" t="s">
        <v>10209</v>
      </c>
      <c r="D361" s="72">
        <v>1737</v>
      </c>
      <c r="E361" s="72">
        <v>1731</v>
      </c>
      <c r="F361" s="72">
        <v>1716</v>
      </c>
      <c r="G361" s="95">
        <v>1726</v>
      </c>
      <c r="H361" s="95">
        <v>1669</v>
      </c>
      <c r="I361" s="101">
        <v>1681</v>
      </c>
      <c r="J361" s="101">
        <v>1690</v>
      </c>
      <c r="K361" s="101">
        <v>1711</v>
      </c>
      <c r="L361" s="101">
        <v>1779</v>
      </c>
      <c r="M361" s="58">
        <v>1802</v>
      </c>
      <c r="N361" s="58">
        <v>1805</v>
      </c>
      <c r="O361" s="58">
        <v>1827</v>
      </c>
      <c r="P361" s="67"/>
      <c r="Q361" s="66" t="s">
        <v>882</v>
      </c>
    </row>
    <row r="362" spans="1:17">
      <c r="A362" s="66" t="s">
        <v>5435</v>
      </c>
      <c r="B362" s="66" t="s">
        <v>5247</v>
      </c>
      <c r="C362" s="55" t="s">
        <v>10210</v>
      </c>
      <c r="D362" s="72">
        <v>3491</v>
      </c>
      <c r="E362" s="72">
        <v>3506</v>
      </c>
      <c r="F362" s="72">
        <v>3505</v>
      </c>
      <c r="G362" s="95">
        <v>3519</v>
      </c>
      <c r="H362" s="95">
        <v>3497</v>
      </c>
      <c r="I362" s="100">
        <v>3504</v>
      </c>
      <c r="J362" s="100">
        <v>3485</v>
      </c>
      <c r="K362" s="100">
        <v>3507</v>
      </c>
      <c r="L362" s="100">
        <v>3513</v>
      </c>
      <c r="M362" s="56">
        <v>3515</v>
      </c>
      <c r="N362" s="56">
        <v>3549</v>
      </c>
      <c r="O362" s="56">
        <v>3593</v>
      </c>
      <c r="P362" s="67"/>
      <c r="Q362" s="66" t="s">
        <v>879</v>
      </c>
    </row>
    <row r="363" spans="1:17">
      <c r="A363" s="66" t="s">
        <v>5436</v>
      </c>
      <c r="B363" s="66" t="s">
        <v>5248</v>
      </c>
      <c r="C363" s="55" t="s">
        <v>10211</v>
      </c>
      <c r="D363" s="72">
        <v>1915</v>
      </c>
      <c r="E363" s="72">
        <v>1922</v>
      </c>
      <c r="F363" s="72">
        <v>1942</v>
      </c>
      <c r="G363" s="95">
        <v>1942</v>
      </c>
      <c r="H363" s="95">
        <v>1893</v>
      </c>
      <c r="I363" s="101">
        <v>1930</v>
      </c>
      <c r="J363" s="101">
        <v>1966</v>
      </c>
      <c r="K363" s="101">
        <v>1987</v>
      </c>
      <c r="L363" s="101">
        <v>1964</v>
      </c>
      <c r="M363" s="58">
        <v>1928</v>
      </c>
      <c r="N363" s="58">
        <v>1953</v>
      </c>
      <c r="O363" s="58">
        <v>1979</v>
      </c>
      <c r="P363" s="67"/>
      <c r="Q363" s="66" t="s">
        <v>882</v>
      </c>
    </row>
    <row r="364" spans="1:17">
      <c r="A364" s="66" t="s">
        <v>5437</v>
      </c>
      <c r="B364" s="66" t="s">
        <v>5249</v>
      </c>
      <c r="C364" s="919" t="s">
        <v>14758</v>
      </c>
      <c r="D364" s="72">
        <v>3162</v>
      </c>
      <c r="E364" s="72">
        <v>3130</v>
      </c>
      <c r="F364" s="72">
        <v>3129</v>
      </c>
      <c r="G364" s="95">
        <v>3141</v>
      </c>
      <c r="H364" s="95">
        <v>3064</v>
      </c>
      <c r="I364" s="100">
        <v>3078</v>
      </c>
      <c r="J364" s="100">
        <v>3045</v>
      </c>
      <c r="K364" s="100">
        <v>3123</v>
      </c>
      <c r="L364" s="100">
        <v>3109</v>
      </c>
      <c r="M364" s="56">
        <v>3062</v>
      </c>
      <c r="N364" s="56">
        <v>3129</v>
      </c>
      <c r="O364" s="56">
        <v>3212</v>
      </c>
      <c r="P364" s="67"/>
      <c r="Q364" s="66" t="s">
        <v>879</v>
      </c>
    </row>
    <row r="365" spans="1:17">
      <c r="A365" s="66" t="s">
        <v>5439</v>
      </c>
      <c r="B365" s="66" t="s">
        <v>5250</v>
      </c>
      <c r="C365" s="55" t="s">
        <v>8213</v>
      </c>
      <c r="D365" s="72">
        <v>2955</v>
      </c>
      <c r="E365" s="72">
        <v>2955</v>
      </c>
      <c r="F365" s="72">
        <v>2923</v>
      </c>
      <c r="G365" s="95">
        <v>2955</v>
      </c>
      <c r="H365" s="95">
        <v>2888</v>
      </c>
      <c r="I365" s="100">
        <v>2896</v>
      </c>
      <c r="J365" s="100">
        <v>2924</v>
      </c>
      <c r="K365" s="100">
        <v>2943</v>
      </c>
      <c r="L365" s="100">
        <v>2905</v>
      </c>
      <c r="M365" s="56">
        <v>2867</v>
      </c>
      <c r="N365" s="56">
        <v>2901</v>
      </c>
      <c r="O365" s="56">
        <v>2961</v>
      </c>
      <c r="P365" s="67"/>
      <c r="Q365" s="66" t="s">
        <v>879</v>
      </c>
    </row>
    <row r="366" spans="1:17">
      <c r="A366" s="66" t="s">
        <v>5441</v>
      </c>
      <c r="B366" s="66" t="s">
        <v>5251</v>
      </c>
      <c r="C366" s="55" t="s">
        <v>8214</v>
      </c>
      <c r="D366" s="72">
        <v>3571</v>
      </c>
      <c r="E366" s="72">
        <v>3546</v>
      </c>
      <c r="F366" s="72">
        <v>3551</v>
      </c>
      <c r="G366" s="95">
        <v>3566</v>
      </c>
      <c r="H366" s="95">
        <v>3510</v>
      </c>
      <c r="I366" s="100">
        <v>3511</v>
      </c>
      <c r="J366" s="100">
        <v>3561</v>
      </c>
      <c r="K366" s="100">
        <v>3612</v>
      </c>
      <c r="L366" s="100">
        <v>3618</v>
      </c>
      <c r="M366" s="56">
        <v>3545</v>
      </c>
      <c r="N366" s="56">
        <v>3609</v>
      </c>
      <c r="O366" s="56">
        <v>3693</v>
      </c>
      <c r="P366" s="67"/>
      <c r="Q366" s="66" t="s">
        <v>879</v>
      </c>
    </row>
    <row r="367" spans="1:17">
      <c r="A367" s="66" t="s">
        <v>5886</v>
      </c>
      <c r="B367" s="66" t="s">
        <v>5252</v>
      </c>
      <c r="C367" s="55" t="s">
        <v>8215</v>
      </c>
      <c r="D367" s="72">
        <v>3110</v>
      </c>
      <c r="E367" s="72">
        <v>3102</v>
      </c>
      <c r="F367" s="72">
        <v>3129</v>
      </c>
      <c r="G367" s="95">
        <v>3133</v>
      </c>
      <c r="H367" s="95">
        <v>3045</v>
      </c>
      <c r="I367" s="101">
        <v>3049</v>
      </c>
      <c r="J367" s="101">
        <v>3030</v>
      </c>
      <c r="K367" s="101">
        <v>3074</v>
      </c>
      <c r="L367" s="101">
        <v>3084</v>
      </c>
      <c r="M367" s="58">
        <v>3057</v>
      </c>
      <c r="N367" s="58">
        <v>3051</v>
      </c>
      <c r="O367" s="58">
        <v>3111</v>
      </c>
      <c r="P367" s="67"/>
      <c r="Q367" s="66" t="s">
        <v>879</v>
      </c>
    </row>
    <row r="368" spans="1:17">
      <c r="A368" s="66" t="s">
        <v>5888</v>
      </c>
      <c r="B368" s="66" t="s">
        <v>5253</v>
      </c>
      <c r="C368" s="55" t="s">
        <v>8216</v>
      </c>
      <c r="D368" s="72">
        <v>4542</v>
      </c>
      <c r="E368" s="72">
        <v>4526</v>
      </c>
      <c r="F368" s="72">
        <v>4577</v>
      </c>
      <c r="G368" s="95">
        <v>4576</v>
      </c>
      <c r="H368" s="95">
        <v>4396</v>
      </c>
      <c r="I368" s="101">
        <v>4413</v>
      </c>
      <c r="J368" s="101">
        <v>4351</v>
      </c>
      <c r="K368" s="101">
        <v>4436</v>
      </c>
      <c r="L368" s="101">
        <v>4556</v>
      </c>
      <c r="M368" s="58">
        <v>4544</v>
      </c>
      <c r="N368" s="58">
        <v>4608</v>
      </c>
      <c r="O368" s="58">
        <v>4703</v>
      </c>
      <c r="P368" s="67"/>
      <c r="Q368" s="66" t="s">
        <v>879</v>
      </c>
    </row>
    <row r="369" spans="1:17">
      <c r="A369" s="66" t="s">
        <v>5889</v>
      </c>
      <c r="B369" s="66" t="s">
        <v>5254</v>
      </c>
      <c r="C369" s="55" t="s">
        <v>10212</v>
      </c>
      <c r="D369" s="72">
        <v>4399</v>
      </c>
      <c r="E369" s="72">
        <v>4379</v>
      </c>
      <c r="F369" s="72">
        <v>4463</v>
      </c>
      <c r="G369" s="95">
        <v>4457</v>
      </c>
      <c r="H369" s="95">
        <v>4370</v>
      </c>
      <c r="I369" s="101">
        <v>4361</v>
      </c>
      <c r="J369" s="101">
        <v>4299</v>
      </c>
      <c r="K369" s="101">
        <v>4379</v>
      </c>
      <c r="L369" s="101">
        <v>4451</v>
      </c>
      <c r="M369" s="58">
        <v>4458</v>
      </c>
      <c r="N369" s="58">
        <v>4549</v>
      </c>
      <c r="O369" s="58">
        <v>4629</v>
      </c>
      <c r="P369" s="67"/>
      <c r="Q369" s="66" t="s">
        <v>879</v>
      </c>
    </row>
    <row r="370" spans="1:17">
      <c r="A370" s="66" t="s">
        <v>4431</v>
      </c>
      <c r="B370" s="66" t="s">
        <v>5255</v>
      </c>
      <c r="C370" s="55" t="s">
        <v>8217</v>
      </c>
      <c r="D370" s="72">
        <v>3181</v>
      </c>
      <c r="E370" s="72">
        <v>3153</v>
      </c>
      <c r="F370" s="72">
        <v>3159</v>
      </c>
      <c r="G370" s="95">
        <v>3165</v>
      </c>
      <c r="H370" s="95">
        <v>3005</v>
      </c>
      <c r="I370" s="101">
        <v>3029</v>
      </c>
      <c r="J370" s="101">
        <v>3004</v>
      </c>
      <c r="K370" s="101">
        <v>3068</v>
      </c>
      <c r="L370" s="101">
        <v>3131</v>
      </c>
      <c r="M370" s="58">
        <v>3128</v>
      </c>
      <c r="N370" s="58">
        <v>3152</v>
      </c>
      <c r="O370" s="58">
        <v>3181</v>
      </c>
      <c r="P370" s="67"/>
      <c r="Q370" s="66" t="s">
        <v>879</v>
      </c>
    </row>
    <row r="371" spans="1:17">
      <c r="A371" s="66" t="s">
        <v>4432</v>
      </c>
      <c r="B371" s="66" t="s">
        <v>3744</v>
      </c>
      <c r="C371" s="55" t="s">
        <v>8218</v>
      </c>
      <c r="D371" s="72">
        <v>4616</v>
      </c>
      <c r="E371" s="72">
        <v>4598</v>
      </c>
      <c r="F371" s="72">
        <v>4738</v>
      </c>
      <c r="G371" s="95">
        <v>4767</v>
      </c>
      <c r="H371" s="95">
        <v>4551</v>
      </c>
      <c r="I371" s="101">
        <v>4547</v>
      </c>
      <c r="J371" s="101">
        <v>4603</v>
      </c>
      <c r="K371" s="101">
        <v>4643</v>
      </c>
      <c r="L371" s="101">
        <v>4650</v>
      </c>
      <c r="M371" s="58">
        <v>4636</v>
      </c>
      <c r="N371" s="58">
        <v>4715</v>
      </c>
      <c r="O371" s="58">
        <v>4776</v>
      </c>
      <c r="P371" s="67"/>
      <c r="Q371" s="66" t="s">
        <v>879</v>
      </c>
    </row>
    <row r="372" spans="1:17">
      <c r="A372" s="66" t="s">
        <v>4434</v>
      </c>
      <c r="B372" s="66" t="s">
        <v>3745</v>
      </c>
      <c r="C372" s="55" t="s">
        <v>10213</v>
      </c>
      <c r="D372" s="72">
        <v>3346</v>
      </c>
      <c r="E372" s="72">
        <v>3369</v>
      </c>
      <c r="F372" s="72">
        <v>3391</v>
      </c>
      <c r="G372" s="95">
        <v>3372</v>
      </c>
      <c r="H372" s="95">
        <v>3318</v>
      </c>
      <c r="I372" s="101">
        <v>3287</v>
      </c>
      <c r="J372" s="101">
        <v>3284</v>
      </c>
      <c r="K372" s="101">
        <v>3344</v>
      </c>
      <c r="L372" s="101">
        <v>3362</v>
      </c>
      <c r="M372" s="58">
        <v>3347</v>
      </c>
      <c r="N372" s="58">
        <v>3390</v>
      </c>
      <c r="O372" s="58">
        <v>3461</v>
      </c>
      <c r="P372" s="67"/>
      <c r="Q372" s="66" t="s">
        <v>879</v>
      </c>
    </row>
    <row r="373" spans="1:17">
      <c r="A373" s="67"/>
      <c r="B373" s="67"/>
      <c r="C373" s="67"/>
      <c r="D373" s="71"/>
      <c r="E373" s="71"/>
      <c r="F373" s="71"/>
      <c r="G373" s="71"/>
      <c r="H373" s="71"/>
      <c r="I373" s="71"/>
      <c r="J373" s="71"/>
      <c r="K373" s="71"/>
      <c r="L373" s="71"/>
      <c r="M373" s="67"/>
      <c r="N373" s="67"/>
      <c r="O373" s="67"/>
      <c r="P373" s="67"/>
      <c r="Q373" s="67"/>
    </row>
    <row r="374" spans="1:17">
      <c r="A374" s="66" t="s">
        <v>1928</v>
      </c>
      <c r="C374" s="67"/>
      <c r="D374" s="72">
        <f t="shared" ref="D374:I374" si="136">D358</f>
        <v>4909</v>
      </c>
      <c r="E374" s="72">
        <f t="shared" si="136"/>
        <v>4784</v>
      </c>
      <c r="F374" s="72">
        <f t="shared" si="136"/>
        <v>4827</v>
      </c>
      <c r="G374" s="72">
        <f t="shared" si="136"/>
        <v>4845</v>
      </c>
      <c r="H374" s="72">
        <f t="shared" si="136"/>
        <v>4768</v>
      </c>
      <c r="I374" s="72">
        <f t="shared" si="136"/>
        <v>4758</v>
      </c>
      <c r="J374" s="72">
        <f t="shared" ref="J374:O374" si="137">J358</f>
        <v>4731</v>
      </c>
      <c r="K374" s="72">
        <f t="shared" si="137"/>
        <v>4794</v>
      </c>
      <c r="L374" s="72">
        <f t="shared" si="137"/>
        <v>4831</v>
      </c>
      <c r="M374" s="73">
        <f t="shared" si="137"/>
        <v>4747</v>
      </c>
      <c r="N374" s="73">
        <f t="shared" si="137"/>
        <v>4804</v>
      </c>
      <c r="O374" s="73">
        <f t="shared" si="137"/>
        <v>4842</v>
      </c>
      <c r="P374" s="67"/>
      <c r="Q374" s="67"/>
    </row>
    <row r="375" spans="1:17">
      <c r="A375" s="66" t="s">
        <v>879</v>
      </c>
      <c r="C375" s="67"/>
      <c r="D375" s="72">
        <f t="shared" ref="D375:I375" si="138">D347+D348+D350+D351+SUM(D354:D357)+D359+D360+D362+SUM(D364:D372)</f>
        <v>70079</v>
      </c>
      <c r="E375" s="72">
        <f t="shared" si="138"/>
        <v>69925</v>
      </c>
      <c r="F375" s="72">
        <f t="shared" si="138"/>
        <v>70533</v>
      </c>
      <c r="G375" s="72">
        <f t="shared" si="138"/>
        <v>70689</v>
      </c>
      <c r="H375" s="72">
        <f t="shared" si="138"/>
        <v>69071</v>
      </c>
      <c r="I375" s="72">
        <f t="shared" si="138"/>
        <v>69158</v>
      </c>
      <c r="J375" s="72">
        <f t="shared" ref="J375:O375" si="139">J347+J348+J350+J351+SUM(J354:J357)+J359+J360+J362+SUM(J364:J372)</f>
        <v>69288</v>
      </c>
      <c r="K375" s="72">
        <f t="shared" si="139"/>
        <v>70289</v>
      </c>
      <c r="L375" s="72">
        <f t="shared" si="139"/>
        <v>70620</v>
      </c>
      <c r="M375" s="73">
        <f t="shared" si="139"/>
        <v>70271</v>
      </c>
      <c r="N375" s="73">
        <f t="shared" si="139"/>
        <v>71060</v>
      </c>
      <c r="O375" s="73">
        <f t="shared" si="139"/>
        <v>72173</v>
      </c>
      <c r="P375" s="67"/>
      <c r="Q375" s="67"/>
    </row>
    <row r="376" spans="1:17">
      <c r="A376" s="66" t="s">
        <v>3746</v>
      </c>
      <c r="C376" s="67"/>
      <c r="D376" s="72">
        <f t="shared" ref="D376:I376" si="140">D349+D352+D353+D361+D363</f>
        <v>11861</v>
      </c>
      <c r="E376" s="72">
        <f t="shared" si="140"/>
        <v>11838</v>
      </c>
      <c r="F376" s="72">
        <f t="shared" si="140"/>
        <v>11929</v>
      </c>
      <c r="G376" s="72">
        <f t="shared" si="140"/>
        <v>12022</v>
      </c>
      <c r="H376" s="72">
        <f t="shared" si="140"/>
        <v>11809</v>
      </c>
      <c r="I376" s="72">
        <f t="shared" si="140"/>
        <v>11919</v>
      </c>
      <c r="J376" s="72">
        <f t="shared" ref="J376:O376" si="141">J349+J352+J353+J361+J363</f>
        <v>11848</v>
      </c>
      <c r="K376" s="72">
        <f t="shared" si="141"/>
        <v>11973</v>
      </c>
      <c r="L376" s="72">
        <f t="shared" si="141"/>
        <v>12086</v>
      </c>
      <c r="M376" s="73">
        <f t="shared" si="141"/>
        <v>12016</v>
      </c>
      <c r="N376" s="73">
        <f t="shared" si="141"/>
        <v>12216</v>
      </c>
      <c r="O376" s="73">
        <f t="shared" si="141"/>
        <v>12407</v>
      </c>
      <c r="P376" s="67"/>
      <c r="Q376" s="67"/>
    </row>
    <row r="377" spans="1:17">
      <c r="A377" s="66"/>
      <c r="B377" s="66"/>
      <c r="C377" s="67"/>
      <c r="D377" s="72"/>
      <c r="E377" s="72"/>
      <c r="F377" s="72"/>
      <c r="G377" s="72"/>
      <c r="H377" s="72"/>
      <c r="I377" s="72"/>
      <c r="J377" s="72"/>
      <c r="K377" s="72"/>
      <c r="L377" s="72"/>
      <c r="M377" s="73"/>
      <c r="N377" s="73"/>
      <c r="O377" s="73"/>
      <c r="P377" s="67"/>
      <c r="Q377" s="67"/>
    </row>
    <row r="378" spans="1:17">
      <c r="A378" s="70" t="s">
        <v>10204</v>
      </c>
      <c r="C378" s="67"/>
      <c r="P378" s="67"/>
      <c r="Q378" s="67"/>
    </row>
    <row r="379" spans="1:17">
      <c r="A379" s="70" t="s">
        <v>14759</v>
      </c>
      <c r="C379" s="67"/>
      <c r="P379" s="67"/>
      <c r="Q379" s="67"/>
    </row>
    <row r="380" spans="1:17">
      <c r="A380" s="66"/>
      <c r="B380" s="66"/>
      <c r="C380" s="67"/>
      <c r="D380" s="71"/>
      <c r="E380" s="71"/>
      <c r="F380" s="71"/>
      <c r="G380" s="71"/>
      <c r="H380" s="71"/>
      <c r="I380" s="71"/>
      <c r="J380" s="71"/>
      <c r="K380" s="71"/>
      <c r="L380" s="71"/>
      <c r="M380" s="99"/>
      <c r="N380" s="99"/>
      <c r="O380" s="99"/>
      <c r="P380" s="67"/>
      <c r="Q380" s="67"/>
    </row>
    <row r="381" spans="1:17">
      <c r="A381" s="66"/>
      <c r="B381" s="66"/>
      <c r="C381" s="67"/>
      <c r="D381" s="71"/>
      <c r="E381" s="71"/>
      <c r="F381" s="71"/>
      <c r="G381" s="71"/>
      <c r="H381" s="71"/>
      <c r="I381" s="71"/>
      <c r="J381" s="71"/>
      <c r="K381" s="71"/>
      <c r="L381" s="71"/>
      <c r="M381" s="99"/>
      <c r="N381" s="99"/>
      <c r="O381" s="99"/>
      <c r="P381" s="67"/>
      <c r="Q381" s="67"/>
    </row>
    <row r="382" spans="1:17">
      <c r="A382" s="67"/>
      <c r="B382" s="67"/>
      <c r="C382" s="67"/>
      <c r="E382" s="92" t="s">
        <v>1526</v>
      </c>
      <c r="F382" s="92"/>
      <c r="G382" s="92"/>
      <c r="H382" s="92"/>
      <c r="I382" s="92"/>
      <c r="J382" s="92"/>
      <c r="K382" s="92"/>
      <c r="L382" s="92"/>
      <c r="M382" s="51"/>
      <c r="N382" s="51"/>
      <c r="O382" s="51"/>
      <c r="P382" s="52"/>
      <c r="Q382" s="53" t="s">
        <v>9479</v>
      </c>
    </row>
    <row r="383" spans="1:17">
      <c r="A383" s="67"/>
      <c r="B383" s="67"/>
      <c r="C383" s="67"/>
      <c r="D383" s="93">
        <v>2010</v>
      </c>
      <c r="E383" s="93">
        <v>2011</v>
      </c>
      <c r="F383" s="93">
        <v>2012</v>
      </c>
      <c r="G383" s="93">
        <v>2013</v>
      </c>
      <c r="H383" s="93">
        <v>2014</v>
      </c>
      <c r="I383" s="93">
        <v>2015</v>
      </c>
      <c r="J383" s="93">
        <v>2016</v>
      </c>
      <c r="K383" s="93">
        <v>2017</v>
      </c>
      <c r="L383" s="93">
        <v>2018</v>
      </c>
      <c r="M383" s="40">
        <v>2019</v>
      </c>
      <c r="N383" s="40">
        <v>2020</v>
      </c>
      <c r="O383" s="963" t="s">
        <v>14823</v>
      </c>
      <c r="P383" s="67"/>
      <c r="Q383" s="54" t="s">
        <v>1527</v>
      </c>
    </row>
    <row r="384" spans="1:17">
      <c r="A384" s="66" t="s">
        <v>2407</v>
      </c>
      <c r="C384" s="67"/>
      <c r="D384" s="72">
        <f t="shared" ref="D384:J384" si="142">SUM(D385:D408)</f>
        <v>95947</v>
      </c>
      <c r="E384" s="72">
        <f t="shared" si="142"/>
        <v>95264</v>
      </c>
      <c r="F384" s="72">
        <f t="shared" si="142"/>
        <v>96360</v>
      </c>
      <c r="G384" s="72">
        <f t="shared" si="142"/>
        <v>96760</v>
      </c>
      <c r="H384" s="72">
        <f t="shared" si="142"/>
        <v>97494</v>
      </c>
      <c r="I384" s="72">
        <f t="shared" si="142"/>
        <v>92331</v>
      </c>
      <c r="J384" s="72">
        <f t="shared" si="142"/>
        <v>96025</v>
      </c>
      <c r="K384" s="72">
        <f>SUM(K385:K408)</f>
        <v>101034</v>
      </c>
      <c r="L384" s="72">
        <f>SUM(L385:L408)</f>
        <v>102276</v>
      </c>
      <c r="M384" s="73">
        <f>SUM(M385:M408)</f>
        <v>102639</v>
      </c>
      <c r="N384" s="73">
        <f>SUM(N385:N408)</f>
        <v>103216</v>
      </c>
      <c r="O384" s="73">
        <f>SUM(O385:O408)</f>
        <v>105492</v>
      </c>
      <c r="P384" s="67"/>
      <c r="Q384" s="67"/>
    </row>
    <row r="385" spans="1:17">
      <c r="A385" s="66" t="s">
        <v>5387</v>
      </c>
      <c r="B385" s="66" t="s">
        <v>6402</v>
      </c>
      <c r="C385" s="55" t="s">
        <v>10780</v>
      </c>
      <c r="D385" s="72">
        <v>20438</v>
      </c>
      <c r="E385" s="72">
        <v>20468</v>
      </c>
      <c r="F385" s="72">
        <v>20590</v>
      </c>
      <c r="G385" s="72">
        <v>20649</v>
      </c>
      <c r="H385" s="95">
        <v>20655</v>
      </c>
      <c r="I385" s="95">
        <v>19716</v>
      </c>
      <c r="J385" s="95">
        <v>3835</v>
      </c>
      <c r="K385" s="95">
        <v>3953</v>
      </c>
      <c r="L385" s="95">
        <v>4011</v>
      </c>
      <c r="M385" s="63">
        <v>3941</v>
      </c>
      <c r="N385" s="63">
        <v>3984</v>
      </c>
      <c r="O385" s="63">
        <v>4077</v>
      </c>
      <c r="P385" s="67"/>
      <c r="Q385" s="66" t="s">
        <v>3610</v>
      </c>
    </row>
    <row r="386" spans="1:17">
      <c r="A386" s="66" t="s">
        <v>5389</v>
      </c>
      <c r="B386" s="66" t="s">
        <v>10783</v>
      </c>
      <c r="C386" s="55" t="s">
        <v>10787</v>
      </c>
      <c r="D386" s="72">
        <v>75509</v>
      </c>
      <c r="E386" s="72">
        <v>74796</v>
      </c>
      <c r="F386" s="72">
        <v>75770</v>
      </c>
      <c r="G386" s="72">
        <v>76111</v>
      </c>
      <c r="H386" s="95">
        <v>76839</v>
      </c>
      <c r="I386" s="95">
        <v>72615</v>
      </c>
      <c r="J386" s="95">
        <v>3895</v>
      </c>
      <c r="K386" s="95">
        <v>4600</v>
      </c>
      <c r="L386" s="95">
        <v>4420</v>
      </c>
      <c r="M386" s="63">
        <v>4419</v>
      </c>
      <c r="N386" s="63">
        <v>4456</v>
      </c>
      <c r="O386" s="63">
        <v>4541</v>
      </c>
      <c r="P386" s="67"/>
      <c r="Q386" s="66" t="s">
        <v>880</v>
      </c>
    </row>
    <row r="387" spans="1:17">
      <c r="A387" s="66" t="s">
        <v>5391</v>
      </c>
      <c r="B387" s="66" t="s">
        <v>10782</v>
      </c>
      <c r="C387" s="55" t="s">
        <v>10788</v>
      </c>
      <c r="D387" s="72">
        <v>0</v>
      </c>
      <c r="E387" s="72">
        <v>0</v>
      </c>
      <c r="F387" s="72">
        <v>0</v>
      </c>
      <c r="G387" s="72">
        <v>0</v>
      </c>
      <c r="H387" s="95">
        <v>0</v>
      </c>
      <c r="I387" s="95">
        <v>0</v>
      </c>
      <c r="J387" s="95">
        <v>4423</v>
      </c>
      <c r="K387" s="95">
        <v>4248</v>
      </c>
      <c r="L387" s="95">
        <v>4597</v>
      </c>
      <c r="M387" s="63">
        <v>4571</v>
      </c>
      <c r="N387" s="63">
        <v>4601</v>
      </c>
      <c r="O387" s="63">
        <v>4685</v>
      </c>
      <c r="P387" s="67"/>
      <c r="Q387" s="66" t="s">
        <v>880</v>
      </c>
    </row>
    <row r="388" spans="1:17">
      <c r="A388" s="66" t="s">
        <v>5393</v>
      </c>
      <c r="B388" s="66" t="s">
        <v>2408</v>
      </c>
      <c r="C388" s="55" t="s">
        <v>10789</v>
      </c>
      <c r="D388" s="72">
        <v>0</v>
      </c>
      <c r="E388" s="72">
        <v>0</v>
      </c>
      <c r="F388" s="72">
        <v>0</v>
      </c>
      <c r="G388" s="72">
        <v>0</v>
      </c>
      <c r="H388" s="95">
        <v>0</v>
      </c>
      <c r="I388" s="95">
        <v>0</v>
      </c>
      <c r="J388" s="95">
        <v>4277</v>
      </c>
      <c r="K388" s="95">
        <v>4414</v>
      </c>
      <c r="L388" s="95">
        <v>4462</v>
      </c>
      <c r="M388" s="63">
        <v>4469</v>
      </c>
      <c r="N388" s="63">
        <v>4459</v>
      </c>
      <c r="O388" s="63">
        <v>4540</v>
      </c>
      <c r="P388" s="67"/>
      <c r="Q388" s="66" t="s">
        <v>3610</v>
      </c>
    </row>
    <row r="389" spans="1:17">
      <c r="A389" s="66" t="s">
        <v>5394</v>
      </c>
      <c r="B389" s="66" t="s">
        <v>3112</v>
      </c>
      <c r="C389" s="55" t="s">
        <v>10790</v>
      </c>
      <c r="D389" s="72">
        <v>0</v>
      </c>
      <c r="E389" s="72">
        <v>0</v>
      </c>
      <c r="F389" s="72">
        <v>0</v>
      </c>
      <c r="G389" s="72">
        <v>0</v>
      </c>
      <c r="H389" s="95">
        <v>0</v>
      </c>
      <c r="I389" s="95">
        <v>0</v>
      </c>
      <c r="J389" s="95">
        <v>1914</v>
      </c>
      <c r="K389" s="95">
        <v>2042</v>
      </c>
      <c r="L389" s="95">
        <v>2063</v>
      </c>
      <c r="M389" s="63">
        <v>2077</v>
      </c>
      <c r="N389" s="63">
        <v>2154</v>
      </c>
      <c r="O389" s="63">
        <v>2257</v>
      </c>
      <c r="P389" s="67"/>
      <c r="Q389" s="66" t="s">
        <v>880</v>
      </c>
    </row>
    <row r="390" spans="1:17">
      <c r="A390" s="66" t="s">
        <v>5416</v>
      </c>
      <c r="B390" s="66" t="s">
        <v>1687</v>
      </c>
      <c r="C390" s="55" t="s">
        <v>10791</v>
      </c>
      <c r="D390" s="72">
        <v>0</v>
      </c>
      <c r="E390" s="72">
        <v>0</v>
      </c>
      <c r="F390" s="72">
        <v>0</v>
      </c>
      <c r="G390" s="72">
        <v>0</v>
      </c>
      <c r="H390" s="95">
        <v>0</v>
      </c>
      <c r="I390" s="95">
        <v>0</v>
      </c>
      <c r="J390" s="95">
        <v>2128</v>
      </c>
      <c r="K390" s="95">
        <v>2196</v>
      </c>
      <c r="L390" s="95">
        <v>2230</v>
      </c>
      <c r="M390" s="63">
        <v>2221</v>
      </c>
      <c r="N390" s="63">
        <v>2217</v>
      </c>
      <c r="O390" s="63">
        <v>2269</v>
      </c>
      <c r="P390" s="67"/>
      <c r="Q390" s="66" t="s">
        <v>3610</v>
      </c>
    </row>
    <row r="391" spans="1:17">
      <c r="A391" s="66" t="s">
        <v>5418</v>
      </c>
      <c r="B391" s="66" t="s">
        <v>3792</v>
      </c>
      <c r="C391" s="55" t="s">
        <v>10792</v>
      </c>
      <c r="D391" s="72">
        <v>0</v>
      </c>
      <c r="E391" s="72">
        <v>0</v>
      </c>
      <c r="F391" s="72">
        <v>0</v>
      </c>
      <c r="G391" s="72">
        <v>0</v>
      </c>
      <c r="H391" s="95">
        <v>0</v>
      </c>
      <c r="I391" s="95">
        <v>0</v>
      </c>
      <c r="J391" s="95">
        <v>4403</v>
      </c>
      <c r="K391" s="95">
        <v>4539</v>
      </c>
      <c r="L391" s="95">
        <v>4629</v>
      </c>
      <c r="M391" s="63">
        <v>4656</v>
      </c>
      <c r="N391" s="63">
        <v>4701</v>
      </c>
      <c r="O391" s="63">
        <v>4813</v>
      </c>
      <c r="P391" s="67"/>
      <c r="Q391" s="66" t="s">
        <v>880</v>
      </c>
    </row>
    <row r="392" spans="1:17">
      <c r="A392" s="66" t="s">
        <v>5420</v>
      </c>
      <c r="B392" s="66" t="s">
        <v>11373</v>
      </c>
      <c r="C392" s="55" t="s">
        <v>10793</v>
      </c>
      <c r="D392" s="72">
        <v>0</v>
      </c>
      <c r="E392" s="72">
        <v>0</v>
      </c>
      <c r="F392" s="72">
        <v>0</v>
      </c>
      <c r="G392" s="72">
        <v>0</v>
      </c>
      <c r="H392" s="95">
        <v>0</v>
      </c>
      <c r="I392" s="95">
        <v>0</v>
      </c>
      <c r="J392" s="95">
        <v>4569</v>
      </c>
      <c r="K392" s="95">
        <v>4797</v>
      </c>
      <c r="L392" s="95">
        <v>4779</v>
      </c>
      <c r="M392" s="63">
        <v>4745</v>
      </c>
      <c r="N392" s="63">
        <v>4740</v>
      </c>
      <c r="O392" s="63">
        <v>4836</v>
      </c>
      <c r="P392" s="67"/>
      <c r="Q392" s="66" t="s">
        <v>880</v>
      </c>
    </row>
    <row r="393" spans="1:17">
      <c r="A393" s="66" t="s">
        <v>5422</v>
      </c>
      <c r="B393" s="66" t="s">
        <v>3793</v>
      </c>
      <c r="C393" s="55" t="s">
        <v>10794</v>
      </c>
      <c r="D393" s="72">
        <v>0</v>
      </c>
      <c r="E393" s="72">
        <v>0</v>
      </c>
      <c r="F393" s="72">
        <v>0</v>
      </c>
      <c r="G393" s="72">
        <v>0</v>
      </c>
      <c r="H393" s="95">
        <v>0</v>
      </c>
      <c r="I393" s="95">
        <v>0</v>
      </c>
      <c r="J393" s="95">
        <v>4103</v>
      </c>
      <c r="K393" s="95">
        <v>4286</v>
      </c>
      <c r="L393" s="95">
        <v>4355</v>
      </c>
      <c r="M393" s="63">
        <v>4339</v>
      </c>
      <c r="N393" s="63">
        <v>4338</v>
      </c>
      <c r="O393" s="63">
        <v>4417</v>
      </c>
      <c r="P393" s="67"/>
      <c r="Q393" s="66" t="s">
        <v>880</v>
      </c>
    </row>
    <row r="394" spans="1:17">
      <c r="A394" s="66" t="s">
        <v>5424</v>
      </c>
      <c r="B394" s="66" t="s">
        <v>3794</v>
      </c>
      <c r="C394" s="55" t="s">
        <v>10795</v>
      </c>
      <c r="D394" s="72">
        <v>0</v>
      </c>
      <c r="E394" s="72">
        <v>0</v>
      </c>
      <c r="F394" s="72">
        <v>0</v>
      </c>
      <c r="G394" s="72">
        <v>0</v>
      </c>
      <c r="H394" s="95">
        <v>0</v>
      </c>
      <c r="I394" s="95">
        <v>0</v>
      </c>
      <c r="J394" s="95">
        <v>4107</v>
      </c>
      <c r="K394" s="95">
        <v>4360</v>
      </c>
      <c r="L394" s="95">
        <v>4374</v>
      </c>
      <c r="M394" s="63">
        <v>4344</v>
      </c>
      <c r="N394" s="63">
        <v>4295</v>
      </c>
      <c r="O394" s="63">
        <v>4396</v>
      </c>
      <c r="P394" s="67"/>
      <c r="Q394" s="66" t="s">
        <v>880</v>
      </c>
    </row>
    <row r="395" spans="1:17">
      <c r="A395" s="66" t="s">
        <v>5426</v>
      </c>
      <c r="B395" s="66" t="s">
        <v>3795</v>
      </c>
      <c r="C395" s="55" t="s">
        <v>10796</v>
      </c>
      <c r="D395" s="72">
        <v>0</v>
      </c>
      <c r="E395" s="72">
        <v>0</v>
      </c>
      <c r="F395" s="72">
        <v>0</v>
      </c>
      <c r="G395" s="72">
        <v>0</v>
      </c>
      <c r="H395" s="95">
        <v>0</v>
      </c>
      <c r="I395" s="95">
        <v>0</v>
      </c>
      <c r="J395" s="95">
        <v>5652</v>
      </c>
      <c r="K395" s="95">
        <v>5859</v>
      </c>
      <c r="L395" s="95">
        <v>5876</v>
      </c>
      <c r="M395" s="63">
        <v>5967</v>
      </c>
      <c r="N395" s="63">
        <v>6058</v>
      </c>
      <c r="O395" s="63">
        <v>6200</v>
      </c>
      <c r="P395" s="67"/>
      <c r="Q395" s="66" t="s">
        <v>880</v>
      </c>
    </row>
    <row r="396" spans="1:17">
      <c r="A396" s="66" t="s">
        <v>5428</v>
      </c>
      <c r="B396" s="66" t="s">
        <v>1002</v>
      </c>
      <c r="C396" s="55" t="s">
        <v>10797</v>
      </c>
      <c r="D396" s="72">
        <v>0</v>
      </c>
      <c r="E396" s="72">
        <v>0</v>
      </c>
      <c r="F396" s="72">
        <v>0</v>
      </c>
      <c r="G396" s="72">
        <v>0</v>
      </c>
      <c r="H396" s="95">
        <v>0</v>
      </c>
      <c r="I396" s="95">
        <v>0</v>
      </c>
      <c r="J396" s="95">
        <v>3905</v>
      </c>
      <c r="K396" s="95">
        <v>4146</v>
      </c>
      <c r="L396" s="95">
        <v>4151</v>
      </c>
      <c r="M396" s="63">
        <v>4166</v>
      </c>
      <c r="N396" s="63">
        <v>4126</v>
      </c>
      <c r="O396" s="63">
        <v>4225</v>
      </c>
      <c r="P396" s="67"/>
      <c r="Q396" s="66" t="s">
        <v>880</v>
      </c>
    </row>
    <row r="397" spans="1:17">
      <c r="A397" s="66" t="s">
        <v>5429</v>
      </c>
      <c r="B397" s="66" t="s">
        <v>2989</v>
      </c>
      <c r="C397" s="55" t="s">
        <v>10798</v>
      </c>
      <c r="D397" s="72">
        <v>0</v>
      </c>
      <c r="E397" s="72">
        <v>0</v>
      </c>
      <c r="F397" s="72">
        <v>0</v>
      </c>
      <c r="G397" s="72">
        <v>0</v>
      </c>
      <c r="H397" s="95">
        <v>0</v>
      </c>
      <c r="I397" s="95">
        <v>0</v>
      </c>
      <c r="J397" s="95">
        <v>1978</v>
      </c>
      <c r="K397" s="95">
        <v>2053</v>
      </c>
      <c r="L397" s="95">
        <v>2050</v>
      </c>
      <c r="M397" s="63">
        <v>2051</v>
      </c>
      <c r="N397" s="63">
        <v>2038</v>
      </c>
      <c r="O397" s="63">
        <v>2091</v>
      </c>
      <c r="P397" s="67"/>
      <c r="Q397" s="66" t="s">
        <v>3610</v>
      </c>
    </row>
    <row r="398" spans="1:17">
      <c r="A398" s="66" t="s">
        <v>5431</v>
      </c>
      <c r="B398" s="66" t="s">
        <v>2383</v>
      </c>
      <c r="C398" s="55" t="s">
        <v>10799</v>
      </c>
      <c r="D398" s="72">
        <v>0</v>
      </c>
      <c r="E398" s="72">
        <v>0</v>
      </c>
      <c r="F398" s="72">
        <v>0</v>
      </c>
      <c r="G398" s="72">
        <v>0</v>
      </c>
      <c r="H398" s="95">
        <v>0</v>
      </c>
      <c r="I398" s="95">
        <v>0</v>
      </c>
      <c r="J398" s="95">
        <v>5375</v>
      </c>
      <c r="K398" s="95">
        <v>5648</v>
      </c>
      <c r="L398" s="95">
        <v>5636</v>
      </c>
      <c r="M398" s="63">
        <v>5713</v>
      </c>
      <c r="N398" s="63">
        <v>5810</v>
      </c>
      <c r="O398" s="63">
        <v>5924</v>
      </c>
      <c r="P398" s="67"/>
      <c r="Q398" s="66" t="s">
        <v>880</v>
      </c>
    </row>
    <row r="399" spans="1:17">
      <c r="A399" s="66" t="s">
        <v>5433</v>
      </c>
      <c r="B399" s="66" t="s">
        <v>2384</v>
      </c>
      <c r="C399" s="55" t="s">
        <v>10800</v>
      </c>
      <c r="D399" s="72">
        <v>0</v>
      </c>
      <c r="E399" s="72">
        <v>0</v>
      </c>
      <c r="F399" s="72">
        <v>0</v>
      </c>
      <c r="G399" s="72">
        <v>0</v>
      </c>
      <c r="H399" s="95">
        <v>0</v>
      </c>
      <c r="I399" s="95">
        <v>0</v>
      </c>
      <c r="J399" s="95">
        <v>4287</v>
      </c>
      <c r="K399" s="95">
        <v>4486</v>
      </c>
      <c r="L399" s="95">
        <v>4455</v>
      </c>
      <c r="M399" s="63">
        <v>4474</v>
      </c>
      <c r="N399" s="63">
        <v>4439</v>
      </c>
      <c r="O399" s="63">
        <v>4538</v>
      </c>
      <c r="P399" s="67"/>
      <c r="Q399" s="66" t="s">
        <v>880</v>
      </c>
    </row>
    <row r="400" spans="1:17">
      <c r="A400" s="66" t="s">
        <v>5435</v>
      </c>
      <c r="B400" s="66" t="s">
        <v>5207</v>
      </c>
      <c r="C400" s="55" t="s">
        <v>10801</v>
      </c>
      <c r="D400" s="72">
        <v>0</v>
      </c>
      <c r="E400" s="72">
        <v>0</v>
      </c>
      <c r="F400" s="72">
        <v>0</v>
      </c>
      <c r="G400" s="72">
        <v>0</v>
      </c>
      <c r="H400" s="95">
        <v>0</v>
      </c>
      <c r="I400" s="95">
        <v>0</v>
      </c>
      <c r="J400" s="95">
        <v>3906</v>
      </c>
      <c r="K400" s="95">
        <v>4071</v>
      </c>
      <c r="L400" s="95">
        <v>4095</v>
      </c>
      <c r="M400" s="63">
        <v>4050</v>
      </c>
      <c r="N400" s="63">
        <v>4058</v>
      </c>
      <c r="O400" s="63">
        <v>4138</v>
      </c>
      <c r="P400" s="67"/>
      <c r="Q400" s="66" t="s">
        <v>3610</v>
      </c>
    </row>
    <row r="401" spans="1:17">
      <c r="A401" s="66" t="s">
        <v>5436</v>
      </c>
      <c r="B401" s="66" t="s">
        <v>10784</v>
      </c>
      <c r="C401" s="55" t="s">
        <v>10802</v>
      </c>
      <c r="D401" s="72">
        <v>0</v>
      </c>
      <c r="E401" s="72">
        <v>0</v>
      </c>
      <c r="F401" s="72">
        <v>0</v>
      </c>
      <c r="G401" s="72">
        <v>0</v>
      </c>
      <c r="H401" s="95">
        <v>0</v>
      </c>
      <c r="I401" s="95">
        <v>0</v>
      </c>
      <c r="J401" s="95">
        <v>6927</v>
      </c>
      <c r="K401" s="95">
        <v>7475</v>
      </c>
      <c r="L401" s="95">
        <v>7598</v>
      </c>
      <c r="M401" s="63">
        <v>7643</v>
      </c>
      <c r="N401" s="63">
        <v>7709</v>
      </c>
      <c r="O401" s="63">
        <v>7894</v>
      </c>
      <c r="P401" s="67"/>
      <c r="Q401" s="66" t="s">
        <v>880</v>
      </c>
    </row>
    <row r="402" spans="1:17">
      <c r="A402" s="66" t="s">
        <v>5437</v>
      </c>
      <c r="B402" s="66" t="s">
        <v>2385</v>
      </c>
      <c r="C402" s="55" t="s">
        <v>10803</v>
      </c>
      <c r="D402" s="72">
        <v>0</v>
      </c>
      <c r="E402" s="72">
        <v>0</v>
      </c>
      <c r="F402" s="72">
        <v>0</v>
      </c>
      <c r="G402" s="72">
        <v>0</v>
      </c>
      <c r="H402" s="95">
        <v>0</v>
      </c>
      <c r="I402" s="95">
        <v>0</v>
      </c>
      <c r="J402" s="95">
        <v>5815</v>
      </c>
      <c r="K402" s="95">
        <v>6282</v>
      </c>
      <c r="L402" s="95">
        <v>6398</v>
      </c>
      <c r="M402" s="63">
        <v>6364</v>
      </c>
      <c r="N402" s="63">
        <v>6389</v>
      </c>
      <c r="O402" s="63">
        <v>6526</v>
      </c>
      <c r="P402" s="67"/>
      <c r="Q402" s="66" t="s">
        <v>880</v>
      </c>
    </row>
    <row r="403" spans="1:17">
      <c r="A403" s="66" t="s">
        <v>5439</v>
      </c>
      <c r="B403" s="66" t="s">
        <v>10785</v>
      </c>
      <c r="C403" s="55" t="s">
        <v>10804</v>
      </c>
      <c r="D403" s="72">
        <v>0</v>
      </c>
      <c r="E403" s="72">
        <v>0</v>
      </c>
      <c r="F403" s="72">
        <v>0</v>
      </c>
      <c r="G403" s="72">
        <v>0</v>
      </c>
      <c r="H403" s="95">
        <v>0</v>
      </c>
      <c r="I403" s="95">
        <v>0</v>
      </c>
      <c r="J403" s="95">
        <v>3734</v>
      </c>
      <c r="K403" s="95">
        <v>4058</v>
      </c>
      <c r="L403" s="95">
        <v>4182</v>
      </c>
      <c r="M403" s="63">
        <v>4210</v>
      </c>
      <c r="N403" s="63">
        <v>4278</v>
      </c>
      <c r="O403" s="63">
        <v>4393</v>
      </c>
      <c r="P403" s="67"/>
      <c r="Q403" s="66" t="s">
        <v>880</v>
      </c>
    </row>
    <row r="404" spans="1:17">
      <c r="A404" s="66" t="s">
        <v>5441</v>
      </c>
      <c r="B404" s="66" t="s">
        <v>2386</v>
      </c>
      <c r="C404" s="55" t="s">
        <v>10805</v>
      </c>
      <c r="D404" s="72">
        <v>0</v>
      </c>
      <c r="E404" s="72">
        <v>0</v>
      </c>
      <c r="F404" s="72">
        <v>0</v>
      </c>
      <c r="G404" s="72">
        <v>0</v>
      </c>
      <c r="H404" s="95">
        <v>0</v>
      </c>
      <c r="I404" s="95">
        <v>0</v>
      </c>
      <c r="J404" s="95">
        <v>3951</v>
      </c>
      <c r="K404" s="95">
        <v>4126</v>
      </c>
      <c r="L404" s="95">
        <v>4365</v>
      </c>
      <c r="M404" s="63">
        <v>4607</v>
      </c>
      <c r="N404" s="63">
        <v>4703</v>
      </c>
      <c r="O404" s="63">
        <v>4813</v>
      </c>
      <c r="P404" s="67"/>
      <c r="Q404" s="66" t="s">
        <v>880</v>
      </c>
    </row>
    <row r="405" spans="1:17">
      <c r="A405" s="66" t="s">
        <v>5886</v>
      </c>
      <c r="B405" s="66" t="s">
        <v>10786</v>
      </c>
      <c r="C405" s="55" t="s">
        <v>10806</v>
      </c>
      <c r="D405" s="72">
        <v>0</v>
      </c>
      <c r="E405" s="72">
        <v>0</v>
      </c>
      <c r="F405" s="72">
        <v>0</v>
      </c>
      <c r="G405" s="72">
        <v>0</v>
      </c>
      <c r="H405" s="95">
        <v>0</v>
      </c>
      <c r="I405" s="95">
        <v>0</v>
      </c>
      <c r="J405" s="95">
        <v>2075</v>
      </c>
      <c r="K405" s="95">
        <v>2315</v>
      </c>
      <c r="L405" s="95">
        <v>2474</v>
      </c>
      <c r="M405" s="63">
        <v>2548</v>
      </c>
      <c r="N405" s="63">
        <v>2554</v>
      </c>
      <c r="O405" s="63">
        <v>2613</v>
      </c>
      <c r="P405" s="67"/>
      <c r="Q405" s="66" t="s">
        <v>880</v>
      </c>
    </row>
    <row r="406" spans="1:17">
      <c r="A406" s="66" t="s">
        <v>5888</v>
      </c>
      <c r="B406" s="66" t="s">
        <v>5934</v>
      </c>
      <c r="C406" s="55" t="s">
        <v>10807</v>
      </c>
      <c r="D406" s="72">
        <v>0</v>
      </c>
      <c r="E406" s="72">
        <v>0</v>
      </c>
      <c r="F406" s="72">
        <v>0</v>
      </c>
      <c r="G406" s="72">
        <v>0</v>
      </c>
      <c r="H406" s="95">
        <v>0</v>
      </c>
      <c r="I406" s="95">
        <v>0</v>
      </c>
      <c r="J406" s="95">
        <v>4263</v>
      </c>
      <c r="K406" s="95">
        <v>4381</v>
      </c>
      <c r="L406" s="95">
        <v>4336</v>
      </c>
      <c r="M406" s="63">
        <v>4355</v>
      </c>
      <c r="N406" s="63">
        <v>4415</v>
      </c>
      <c r="O406" s="63">
        <v>4532</v>
      </c>
      <c r="P406" s="67"/>
      <c r="Q406" s="66" t="s">
        <v>3610</v>
      </c>
    </row>
    <row r="407" spans="1:17">
      <c r="A407" s="66" t="s">
        <v>5889</v>
      </c>
      <c r="B407" s="66" t="s">
        <v>2387</v>
      </c>
      <c r="C407" s="55" t="s">
        <v>10808</v>
      </c>
      <c r="D407" s="72">
        <v>0</v>
      </c>
      <c r="E407" s="72">
        <v>0</v>
      </c>
      <c r="F407" s="72">
        <v>0</v>
      </c>
      <c r="G407" s="72">
        <v>0</v>
      </c>
      <c r="H407" s="95">
        <v>0</v>
      </c>
      <c r="I407" s="95">
        <v>0</v>
      </c>
      <c r="J407" s="95">
        <v>2110</v>
      </c>
      <c r="K407" s="95">
        <v>2181</v>
      </c>
      <c r="L407" s="95">
        <v>2193</v>
      </c>
      <c r="M407" s="63">
        <v>2189</v>
      </c>
      <c r="N407" s="63">
        <v>2171</v>
      </c>
      <c r="O407" s="63">
        <v>2214</v>
      </c>
      <c r="P407" s="67"/>
      <c r="Q407" s="66" t="s">
        <v>880</v>
      </c>
    </row>
    <row r="408" spans="1:17">
      <c r="A408" s="66" t="s">
        <v>4431</v>
      </c>
      <c r="B408" s="66" t="s">
        <v>2388</v>
      </c>
      <c r="C408" s="55" t="s">
        <v>10809</v>
      </c>
      <c r="D408" s="72">
        <v>0</v>
      </c>
      <c r="E408" s="72">
        <v>0</v>
      </c>
      <c r="F408" s="72">
        <v>0</v>
      </c>
      <c r="G408" s="72">
        <v>0</v>
      </c>
      <c r="H408" s="95">
        <v>0</v>
      </c>
      <c r="I408" s="95">
        <v>0</v>
      </c>
      <c r="J408" s="95">
        <v>4393</v>
      </c>
      <c r="K408" s="95">
        <v>4518</v>
      </c>
      <c r="L408" s="95">
        <v>4547</v>
      </c>
      <c r="M408" s="63">
        <v>4520</v>
      </c>
      <c r="N408" s="63">
        <v>4523</v>
      </c>
      <c r="O408" s="63">
        <v>4560</v>
      </c>
      <c r="P408" s="67"/>
      <c r="Q408" s="66" t="s">
        <v>880</v>
      </c>
    </row>
    <row r="409" spans="1:17">
      <c r="A409" s="67"/>
      <c r="B409" s="67"/>
      <c r="C409" s="67"/>
      <c r="D409" s="72"/>
      <c r="E409" s="72"/>
      <c r="F409" s="72"/>
      <c r="G409" s="72"/>
      <c r="H409" s="72"/>
      <c r="I409" s="72"/>
      <c r="J409" s="72"/>
      <c r="K409" s="72"/>
      <c r="L409" s="72"/>
      <c r="M409" s="84"/>
      <c r="N409" s="84"/>
      <c r="O409" s="84"/>
      <c r="P409" s="67"/>
      <c r="Q409" s="67"/>
    </row>
    <row r="410" spans="1:17">
      <c r="A410" s="66" t="s">
        <v>964</v>
      </c>
      <c r="C410" s="67"/>
      <c r="D410" s="72">
        <f>D385+D388+D390+D397+D400+D406</f>
        <v>20438</v>
      </c>
      <c r="E410" s="72">
        <f t="shared" ref="E410:J410" si="143">E385+E388+E390+E397+E400+E406</f>
        <v>20468</v>
      </c>
      <c r="F410" s="72">
        <f t="shared" si="143"/>
        <v>20590</v>
      </c>
      <c r="G410" s="72">
        <f t="shared" si="143"/>
        <v>20649</v>
      </c>
      <c r="H410" s="72">
        <f t="shared" si="143"/>
        <v>20655</v>
      </c>
      <c r="I410" s="72">
        <f t="shared" si="143"/>
        <v>19716</v>
      </c>
      <c r="J410" s="72">
        <f t="shared" si="143"/>
        <v>20387</v>
      </c>
      <c r="K410" s="72">
        <f>K385+K388+K390+K397+K400+K406</f>
        <v>21068</v>
      </c>
      <c r="L410" s="72">
        <f>L385+L388+L390+L397+L400+L406</f>
        <v>21184</v>
      </c>
      <c r="M410" s="73">
        <f>M385+M388+M390+M397+M400+M406</f>
        <v>21087</v>
      </c>
      <c r="N410" s="73">
        <f>N385+N388+N390+N397+N400+N406</f>
        <v>21171</v>
      </c>
      <c r="O410" s="73">
        <f>O385+O388+O390+O397+O400+O406</f>
        <v>21647</v>
      </c>
      <c r="P410" s="67"/>
      <c r="Q410" s="67"/>
    </row>
    <row r="411" spans="1:17">
      <c r="A411" s="66" t="s">
        <v>880</v>
      </c>
      <c r="C411" s="67"/>
      <c r="D411" s="72">
        <f>D386+D387+D389+SUM(D391:D396)+D398+D399+SUM(D401:D405)+D407+D408</f>
        <v>75509</v>
      </c>
      <c r="E411" s="72">
        <f t="shared" ref="E411:J411" si="144">E386+E387+E389+SUM(E391:E396)+E398+E399+SUM(E401:E405)+E407+E408</f>
        <v>74796</v>
      </c>
      <c r="F411" s="72">
        <f t="shared" si="144"/>
        <v>75770</v>
      </c>
      <c r="G411" s="72">
        <f t="shared" si="144"/>
        <v>76111</v>
      </c>
      <c r="H411" s="72">
        <f t="shared" si="144"/>
        <v>76839</v>
      </c>
      <c r="I411" s="72">
        <f t="shared" si="144"/>
        <v>72615</v>
      </c>
      <c r="J411" s="72">
        <f t="shared" si="144"/>
        <v>75638</v>
      </c>
      <c r="K411" s="72">
        <f>K386+K387+K389+SUM(K391:K396)+K398+K399+SUM(K401:K405)+K407+K408</f>
        <v>79966</v>
      </c>
      <c r="L411" s="72">
        <f>L386+L387+L389+SUM(L391:L396)+L398+L399+SUM(L401:L405)+L407+L408</f>
        <v>81092</v>
      </c>
      <c r="M411" s="73">
        <f>M386+M387+M389+SUM(M391:M396)+M398+M399+SUM(M401:M405)+M407+M408</f>
        <v>81552</v>
      </c>
      <c r="N411" s="73">
        <f>N386+N387+N389+SUM(N391:N396)+N398+N399+SUM(N401:N405)+N407+N408</f>
        <v>82045</v>
      </c>
      <c r="O411" s="73">
        <f>O386+O387+O389+SUM(O391:O396)+O398+O399+SUM(O401:O405)+O407+O408</f>
        <v>83845</v>
      </c>
      <c r="P411" s="67"/>
      <c r="Q411" s="67"/>
    </row>
    <row r="412" spans="1:17">
      <c r="A412" s="66"/>
      <c r="C412" s="67"/>
      <c r="D412" s="72"/>
      <c r="E412" s="72"/>
      <c r="F412" s="72"/>
      <c r="G412" s="72"/>
      <c r="H412" s="72"/>
      <c r="I412" s="72"/>
      <c r="J412" s="72"/>
      <c r="K412" s="72"/>
      <c r="L412" s="72"/>
      <c r="M412" s="73"/>
      <c r="N412" s="73"/>
      <c r="O412" s="73"/>
      <c r="P412" s="67"/>
      <c r="Q412" s="67"/>
    </row>
    <row r="413" spans="1:17">
      <c r="A413" s="66" t="s">
        <v>10781</v>
      </c>
      <c r="C413" s="67"/>
      <c r="D413" s="72"/>
      <c r="E413" s="72"/>
      <c r="F413" s="72"/>
      <c r="G413" s="72"/>
      <c r="H413" s="72"/>
      <c r="I413" s="72"/>
      <c r="J413" s="72"/>
      <c r="K413" s="72"/>
      <c r="L413" s="72"/>
      <c r="M413" s="73"/>
      <c r="N413" s="73"/>
      <c r="O413" s="73"/>
      <c r="P413" s="67"/>
      <c r="Q413" s="67"/>
    </row>
    <row r="414" spans="1:17">
      <c r="B414" s="66"/>
      <c r="C414" s="67"/>
      <c r="D414" s="71"/>
      <c r="E414" s="71"/>
      <c r="F414" s="71"/>
      <c r="G414" s="71"/>
      <c r="H414" s="71"/>
      <c r="I414" s="71"/>
      <c r="J414" s="71"/>
      <c r="K414" s="71"/>
      <c r="L414" s="71"/>
      <c r="M414" s="99"/>
      <c r="N414" s="99"/>
      <c r="O414" s="99"/>
      <c r="P414" s="67"/>
      <c r="Q414" s="67"/>
    </row>
    <row r="415" spans="1:17">
      <c r="A415" s="66"/>
      <c r="B415" s="66"/>
      <c r="C415" s="67"/>
      <c r="D415" s="71"/>
      <c r="E415" s="71"/>
      <c r="F415" s="71"/>
      <c r="G415" s="71"/>
      <c r="H415" s="71"/>
      <c r="I415" s="71"/>
      <c r="J415" s="71"/>
      <c r="K415" s="71"/>
      <c r="L415" s="71"/>
      <c r="M415" s="99"/>
      <c r="N415" s="99"/>
      <c r="O415" s="99"/>
      <c r="P415" s="67"/>
      <c r="Q415" s="67"/>
    </row>
    <row r="416" spans="1:17">
      <c r="A416" s="67"/>
      <c r="B416" s="67"/>
      <c r="C416" s="67"/>
      <c r="E416" s="92" t="s">
        <v>1526</v>
      </c>
      <c r="F416" s="92"/>
      <c r="G416" s="92"/>
      <c r="H416" s="92"/>
      <c r="I416" s="92"/>
      <c r="J416" s="92"/>
      <c r="K416" s="92"/>
      <c r="L416" s="92"/>
      <c r="M416" s="51"/>
      <c r="N416" s="51"/>
      <c r="O416" s="51"/>
      <c r="P416" s="52"/>
      <c r="Q416" s="53" t="s">
        <v>9479</v>
      </c>
    </row>
    <row r="417" spans="1:17">
      <c r="A417" s="67"/>
      <c r="B417" s="67"/>
      <c r="C417" s="67"/>
      <c r="D417" s="93">
        <v>2010</v>
      </c>
      <c r="E417" s="93">
        <v>2011</v>
      </c>
      <c r="F417" s="93">
        <v>2012</v>
      </c>
      <c r="G417" s="93">
        <v>2013</v>
      </c>
      <c r="H417" s="93">
        <v>2014</v>
      </c>
      <c r="I417" s="93">
        <v>2015</v>
      </c>
      <c r="J417" s="93">
        <v>2016</v>
      </c>
      <c r="K417" s="93">
        <v>2017</v>
      </c>
      <c r="L417" s="93">
        <v>2018</v>
      </c>
      <c r="M417" s="40">
        <v>2019</v>
      </c>
      <c r="N417" s="40">
        <v>2020</v>
      </c>
      <c r="O417" s="963" t="s">
        <v>14823</v>
      </c>
      <c r="P417" s="67"/>
      <c r="Q417" s="54" t="s">
        <v>1527</v>
      </c>
    </row>
    <row r="418" spans="1:17">
      <c r="A418" s="66" t="s">
        <v>2389</v>
      </c>
      <c r="C418" s="67"/>
      <c r="D418" s="72">
        <f t="shared" ref="D418:I418" si="145">SUM(D419:D438)+SUM(D439:D441)</f>
        <v>97254</v>
      </c>
      <c r="E418" s="72">
        <f t="shared" si="145"/>
        <v>93087</v>
      </c>
      <c r="F418" s="72">
        <f t="shared" si="145"/>
        <v>93568</v>
      </c>
      <c r="G418" s="72">
        <f t="shared" si="145"/>
        <v>96861</v>
      </c>
      <c r="H418" s="72">
        <f t="shared" si="145"/>
        <v>99158</v>
      </c>
      <c r="I418" s="72">
        <f t="shared" si="145"/>
        <v>95394</v>
      </c>
      <c r="J418" s="72">
        <f t="shared" ref="J418:O418" si="146">SUM(J419:J438)+SUM(J439:J441)</f>
        <v>96967</v>
      </c>
      <c r="K418" s="72">
        <f t="shared" si="146"/>
        <v>97551</v>
      </c>
      <c r="L418" s="72">
        <f t="shared" si="146"/>
        <v>98389</v>
      </c>
      <c r="M418" s="73">
        <f t="shared" si="146"/>
        <v>97846</v>
      </c>
      <c r="N418" s="73">
        <f t="shared" si="146"/>
        <v>102427</v>
      </c>
      <c r="O418" s="73">
        <f t="shared" si="146"/>
        <v>100871</v>
      </c>
      <c r="P418" s="67"/>
      <c r="Q418" s="67"/>
    </row>
    <row r="419" spans="1:17">
      <c r="A419" s="66" t="s">
        <v>5387</v>
      </c>
      <c r="B419" s="66" t="s">
        <v>2390</v>
      </c>
      <c r="C419" s="55" t="s">
        <v>8219</v>
      </c>
      <c r="D419" s="72">
        <v>3353</v>
      </c>
      <c r="E419" s="72">
        <v>3246</v>
      </c>
      <c r="F419" s="72">
        <v>3184</v>
      </c>
      <c r="G419" s="100">
        <v>3387</v>
      </c>
      <c r="H419" s="100">
        <v>3470</v>
      </c>
      <c r="I419" s="100">
        <v>3345</v>
      </c>
      <c r="J419" s="100">
        <v>3395</v>
      </c>
      <c r="K419" s="100">
        <v>3396</v>
      </c>
      <c r="L419" s="100">
        <v>3402</v>
      </c>
      <c r="M419" s="56">
        <v>3400</v>
      </c>
      <c r="N419" s="56">
        <v>3544</v>
      </c>
      <c r="O419" s="56">
        <v>3495</v>
      </c>
      <c r="P419" s="67"/>
      <c r="Q419" s="66" t="s">
        <v>881</v>
      </c>
    </row>
    <row r="420" spans="1:17">
      <c r="A420" s="66" t="s">
        <v>5389</v>
      </c>
      <c r="B420" s="66" t="s">
        <v>2391</v>
      </c>
      <c r="C420" s="55" t="s">
        <v>8220</v>
      </c>
      <c r="D420" s="72">
        <v>3252</v>
      </c>
      <c r="E420" s="72">
        <v>3181</v>
      </c>
      <c r="F420" s="72">
        <v>3127</v>
      </c>
      <c r="G420" s="100">
        <v>3200</v>
      </c>
      <c r="H420" s="100">
        <v>3287</v>
      </c>
      <c r="I420" s="100">
        <v>3196</v>
      </c>
      <c r="J420" s="100">
        <v>3252</v>
      </c>
      <c r="K420" s="100">
        <v>3279</v>
      </c>
      <c r="L420" s="100">
        <v>3242</v>
      </c>
      <c r="M420" s="56">
        <v>3205</v>
      </c>
      <c r="N420" s="56">
        <v>3382</v>
      </c>
      <c r="O420" s="56">
        <v>3346</v>
      </c>
      <c r="P420" s="67"/>
      <c r="Q420" s="66" t="s">
        <v>876</v>
      </c>
    </row>
    <row r="421" spans="1:17">
      <c r="A421" s="66" t="s">
        <v>5391</v>
      </c>
      <c r="B421" s="66" t="s">
        <v>2392</v>
      </c>
      <c r="C421" s="55" t="s">
        <v>8221</v>
      </c>
      <c r="D421" s="72">
        <v>5116</v>
      </c>
      <c r="E421" s="72">
        <v>4973</v>
      </c>
      <c r="F421" s="72">
        <v>4978</v>
      </c>
      <c r="G421" s="100">
        <v>5246</v>
      </c>
      <c r="H421" s="100">
        <v>5262</v>
      </c>
      <c r="I421" s="100">
        <v>5095</v>
      </c>
      <c r="J421" s="100">
        <v>5203</v>
      </c>
      <c r="K421" s="100">
        <v>5231</v>
      </c>
      <c r="L421" s="100">
        <v>5215</v>
      </c>
      <c r="M421" s="56">
        <v>5156</v>
      </c>
      <c r="N421" s="56">
        <v>5342</v>
      </c>
      <c r="O421" s="56">
        <v>5279</v>
      </c>
      <c r="P421" s="67"/>
      <c r="Q421" s="66" t="s">
        <v>876</v>
      </c>
    </row>
    <row r="422" spans="1:17">
      <c r="A422" s="66" t="s">
        <v>5393</v>
      </c>
      <c r="B422" s="66" t="s">
        <v>2393</v>
      </c>
      <c r="C422" s="55" t="s">
        <v>8222</v>
      </c>
      <c r="D422" s="72">
        <v>3300</v>
      </c>
      <c r="E422" s="72">
        <v>3230</v>
      </c>
      <c r="F422" s="72">
        <v>3198</v>
      </c>
      <c r="G422" s="100">
        <v>3157</v>
      </c>
      <c r="H422" s="100">
        <v>3229</v>
      </c>
      <c r="I422" s="100">
        <v>3185</v>
      </c>
      <c r="J422" s="100">
        <v>3240</v>
      </c>
      <c r="K422" s="100">
        <v>3235</v>
      </c>
      <c r="L422" s="100">
        <v>3230</v>
      </c>
      <c r="M422" s="56">
        <v>3208</v>
      </c>
      <c r="N422" s="56">
        <v>3325</v>
      </c>
      <c r="O422" s="56">
        <v>3262</v>
      </c>
      <c r="P422" s="67"/>
      <c r="Q422" s="66" t="s">
        <v>881</v>
      </c>
    </row>
    <row r="423" spans="1:17">
      <c r="A423" s="66" t="s">
        <v>5394</v>
      </c>
      <c r="B423" s="66" t="s">
        <v>2394</v>
      </c>
      <c r="C423" s="55" t="s">
        <v>8223</v>
      </c>
      <c r="D423" s="72">
        <v>5596</v>
      </c>
      <c r="E423" s="72">
        <v>5319</v>
      </c>
      <c r="F423" s="72">
        <v>5400</v>
      </c>
      <c r="G423" s="100">
        <v>5421</v>
      </c>
      <c r="H423" s="100">
        <v>5629</v>
      </c>
      <c r="I423" s="100">
        <v>5378</v>
      </c>
      <c r="J423" s="100">
        <v>5511</v>
      </c>
      <c r="K423" s="100">
        <v>5614</v>
      </c>
      <c r="L423" s="100">
        <v>5731</v>
      </c>
      <c r="M423" s="56">
        <v>5593</v>
      </c>
      <c r="N423" s="56">
        <v>6025</v>
      </c>
      <c r="O423" s="56">
        <v>5923</v>
      </c>
      <c r="P423" s="67"/>
      <c r="Q423" s="66" t="s">
        <v>881</v>
      </c>
    </row>
    <row r="424" spans="1:17">
      <c r="A424" s="66" t="s">
        <v>5416</v>
      </c>
      <c r="B424" s="66" t="s">
        <v>2395</v>
      </c>
      <c r="C424" s="55" t="s">
        <v>8224</v>
      </c>
      <c r="D424" s="72">
        <v>3843</v>
      </c>
      <c r="E424" s="72">
        <v>3710</v>
      </c>
      <c r="F424" s="72">
        <v>3739</v>
      </c>
      <c r="G424" s="100">
        <v>3792</v>
      </c>
      <c r="H424" s="100">
        <v>3878</v>
      </c>
      <c r="I424" s="100">
        <v>3806</v>
      </c>
      <c r="J424" s="100">
        <v>3862</v>
      </c>
      <c r="K424" s="100">
        <v>3924</v>
      </c>
      <c r="L424" s="100">
        <v>3933</v>
      </c>
      <c r="M424" s="56">
        <v>3883</v>
      </c>
      <c r="N424" s="56">
        <v>4011</v>
      </c>
      <c r="O424" s="56">
        <v>3954</v>
      </c>
      <c r="P424" s="67"/>
      <c r="Q424" s="66" t="s">
        <v>881</v>
      </c>
    </row>
    <row r="425" spans="1:17">
      <c r="A425" s="66" t="s">
        <v>5418</v>
      </c>
      <c r="B425" s="66" t="s">
        <v>2396</v>
      </c>
      <c r="C425" s="55" t="s">
        <v>8225</v>
      </c>
      <c r="D425" s="72">
        <v>5100</v>
      </c>
      <c r="E425" s="72">
        <v>4987</v>
      </c>
      <c r="F425" s="72">
        <v>4974</v>
      </c>
      <c r="G425" s="100">
        <v>4959</v>
      </c>
      <c r="H425" s="100">
        <v>5087</v>
      </c>
      <c r="I425" s="100">
        <v>5016</v>
      </c>
      <c r="J425" s="100">
        <v>5133</v>
      </c>
      <c r="K425" s="100">
        <v>5084</v>
      </c>
      <c r="L425" s="100">
        <v>5106</v>
      </c>
      <c r="M425" s="56">
        <v>5068</v>
      </c>
      <c r="N425" s="56">
        <v>5248</v>
      </c>
      <c r="O425" s="56">
        <v>5183</v>
      </c>
      <c r="P425" s="67"/>
      <c r="Q425" s="66" t="s">
        <v>881</v>
      </c>
    </row>
    <row r="426" spans="1:17">
      <c r="A426" s="66" t="s">
        <v>5420</v>
      </c>
      <c r="B426" s="66" t="s">
        <v>2374</v>
      </c>
      <c r="C426" s="55" t="s">
        <v>8226</v>
      </c>
      <c r="D426" s="72">
        <v>4869</v>
      </c>
      <c r="E426" s="72">
        <v>4319</v>
      </c>
      <c r="F426" s="72">
        <v>4498</v>
      </c>
      <c r="G426" s="100">
        <v>4694</v>
      </c>
      <c r="H426" s="100">
        <v>4788</v>
      </c>
      <c r="I426" s="100">
        <v>4300</v>
      </c>
      <c r="J426" s="100">
        <v>4571</v>
      </c>
      <c r="K426" s="100">
        <v>4559</v>
      </c>
      <c r="L426" s="100">
        <v>4811</v>
      </c>
      <c r="M426" s="56">
        <v>4653</v>
      </c>
      <c r="N426" s="56">
        <v>5109</v>
      </c>
      <c r="O426" s="56">
        <v>5002</v>
      </c>
      <c r="P426" s="67"/>
      <c r="Q426" s="66" t="s">
        <v>881</v>
      </c>
    </row>
    <row r="427" spans="1:17">
      <c r="A427" s="66" t="s">
        <v>5422</v>
      </c>
      <c r="B427" s="66" t="s">
        <v>2375</v>
      </c>
      <c r="C427" s="55" t="s">
        <v>8227</v>
      </c>
      <c r="D427" s="72">
        <v>5383</v>
      </c>
      <c r="E427" s="72">
        <v>5167</v>
      </c>
      <c r="F427" s="72">
        <v>5175</v>
      </c>
      <c r="G427" s="100">
        <v>5345</v>
      </c>
      <c r="H427" s="100">
        <v>5386</v>
      </c>
      <c r="I427" s="100">
        <v>5179</v>
      </c>
      <c r="J427" s="100">
        <v>5256</v>
      </c>
      <c r="K427" s="100">
        <v>5195</v>
      </c>
      <c r="L427" s="100">
        <v>5173</v>
      </c>
      <c r="M427" s="56">
        <v>5226</v>
      </c>
      <c r="N427" s="56">
        <v>5449</v>
      </c>
      <c r="O427" s="56">
        <v>5347</v>
      </c>
      <c r="P427" s="67"/>
      <c r="Q427" s="66" t="s">
        <v>876</v>
      </c>
    </row>
    <row r="428" spans="1:17">
      <c r="A428" s="66" t="s">
        <v>5424</v>
      </c>
      <c r="B428" s="66" t="s">
        <v>2376</v>
      </c>
      <c r="C428" s="55" t="s">
        <v>8228</v>
      </c>
      <c r="D428" s="72">
        <v>5187</v>
      </c>
      <c r="E428" s="72">
        <v>4741</v>
      </c>
      <c r="F428" s="72">
        <v>4778</v>
      </c>
      <c r="G428" s="101">
        <v>4934</v>
      </c>
      <c r="H428" s="101">
        <v>5144</v>
      </c>
      <c r="I428" s="101">
        <v>4739</v>
      </c>
      <c r="J428" s="101">
        <v>4920</v>
      </c>
      <c r="K428" s="101">
        <v>4949</v>
      </c>
      <c r="L428" s="101">
        <v>5076</v>
      </c>
      <c r="M428" s="58">
        <v>5061</v>
      </c>
      <c r="N428" s="58">
        <v>5364</v>
      </c>
      <c r="O428" s="58">
        <v>5262</v>
      </c>
      <c r="P428" s="67"/>
      <c r="Q428" s="66" t="s">
        <v>881</v>
      </c>
    </row>
    <row r="429" spans="1:17">
      <c r="A429" s="66" t="s">
        <v>5426</v>
      </c>
      <c r="B429" s="66" t="s">
        <v>2377</v>
      </c>
      <c r="C429" s="55" t="s">
        <v>8229</v>
      </c>
      <c r="D429" s="72">
        <v>3672</v>
      </c>
      <c r="E429" s="72">
        <v>3463</v>
      </c>
      <c r="F429" s="72">
        <v>3518</v>
      </c>
      <c r="G429" s="100">
        <v>3737</v>
      </c>
      <c r="H429" s="100">
        <v>3806</v>
      </c>
      <c r="I429" s="100">
        <v>3706</v>
      </c>
      <c r="J429" s="100">
        <v>3699</v>
      </c>
      <c r="K429" s="100">
        <v>3709</v>
      </c>
      <c r="L429" s="100">
        <v>3703</v>
      </c>
      <c r="M429" s="56">
        <v>3668</v>
      </c>
      <c r="N429" s="56">
        <v>3783</v>
      </c>
      <c r="O429" s="56">
        <v>3747</v>
      </c>
      <c r="P429" s="67"/>
      <c r="Q429" s="66" t="s">
        <v>876</v>
      </c>
    </row>
    <row r="430" spans="1:17">
      <c r="A430" s="66" t="s">
        <v>5428</v>
      </c>
      <c r="B430" s="66" t="s">
        <v>2378</v>
      </c>
      <c r="C430" s="55" t="s">
        <v>8230</v>
      </c>
      <c r="D430" s="72">
        <v>1758</v>
      </c>
      <c r="E430" s="72">
        <v>1746</v>
      </c>
      <c r="F430" s="72">
        <v>1729</v>
      </c>
      <c r="G430" s="101">
        <v>1732</v>
      </c>
      <c r="H430" s="101">
        <v>1753</v>
      </c>
      <c r="I430" s="101">
        <v>1695</v>
      </c>
      <c r="J430" s="101">
        <v>1708</v>
      </c>
      <c r="K430" s="101">
        <v>1735</v>
      </c>
      <c r="L430" s="101">
        <v>1733</v>
      </c>
      <c r="M430" s="58">
        <v>1723</v>
      </c>
      <c r="N430" s="58">
        <v>1800</v>
      </c>
      <c r="O430" s="58">
        <v>1784</v>
      </c>
      <c r="P430" s="67"/>
      <c r="Q430" s="66" t="s">
        <v>881</v>
      </c>
    </row>
    <row r="431" spans="1:17">
      <c r="A431" s="66" t="s">
        <v>5429</v>
      </c>
      <c r="B431" s="66" t="s">
        <v>2379</v>
      </c>
      <c r="C431" s="55" t="s">
        <v>8231</v>
      </c>
      <c r="D431" s="72">
        <v>3198</v>
      </c>
      <c r="E431" s="72">
        <v>2884</v>
      </c>
      <c r="F431" s="72">
        <v>2957</v>
      </c>
      <c r="G431" s="100">
        <v>3214</v>
      </c>
      <c r="H431" s="100">
        <v>3290</v>
      </c>
      <c r="I431" s="100">
        <v>2989</v>
      </c>
      <c r="J431" s="100">
        <v>3199</v>
      </c>
      <c r="K431" s="100">
        <v>3220</v>
      </c>
      <c r="L431" s="100">
        <v>3317</v>
      </c>
      <c r="M431" s="56">
        <v>3298</v>
      </c>
      <c r="N431" s="56">
        <v>3557</v>
      </c>
      <c r="O431" s="56">
        <v>3467</v>
      </c>
      <c r="P431" s="67"/>
      <c r="Q431" s="66" t="s">
        <v>876</v>
      </c>
    </row>
    <row r="432" spans="1:17">
      <c r="A432" s="66" t="s">
        <v>5431</v>
      </c>
      <c r="B432" s="66" t="s">
        <v>2380</v>
      </c>
      <c r="C432" s="55" t="s">
        <v>8232</v>
      </c>
      <c r="D432" s="72">
        <v>3474</v>
      </c>
      <c r="E432" s="72">
        <v>3393</v>
      </c>
      <c r="F432" s="72">
        <v>3418</v>
      </c>
      <c r="G432" s="101">
        <v>3471</v>
      </c>
      <c r="H432" s="101">
        <v>3563</v>
      </c>
      <c r="I432" s="101">
        <v>3495</v>
      </c>
      <c r="J432" s="101">
        <v>3498</v>
      </c>
      <c r="K432" s="101">
        <v>3570</v>
      </c>
      <c r="L432" s="101">
        <v>3582</v>
      </c>
      <c r="M432" s="58">
        <v>3584</v>
      </c>
      <c r="N432" s="58">
        <v>3690</v>
      </c>
      <c r="O432" s="58">
        <v>3618</v>
      </c>
      <c r="P432" s="67"/>
      <c r="Q432" s="66" t="s">
        <v>881</v>
      </c>
    </row>
    <row r="433" spans="1:17">
      <c r="A433" s="66" t="s">
        <v>5433</v>
      </c>
      <c r="B433" s="66" t="s">
        <v>1783</v>
      </c>
      <c r="C433" s="55" t="s">
        <v>8233</v>
      </c>
      <c r="D433" s="72">
        <v>3325</v>
      </c>
      <c r="E433" s="72">
        <v>3177</v>
      </c>
      <c r="F433" s="72">
        <v>3223</v>
      </c>
      <c r="G433" s="101">
        <v>3527</v>
      </c>
      <c r="H433" s="101">
        <v>3724</v>
      </c>
      <c r="I433" s="101">
        <v>3621</v>
      </c>
      <c r="J433" s="101">
        <v>3530</v>
      </c>
      <c r="K433" s="101">
        <v>3561</v>
      </c>
      <c r="L433" s="101">
        <v>3523</v>
      </c>
      <c r="M433" s="58">
        <v>3587</v>
      </c>
      <c r="N433" s="58">
        <v>3732</v>
      </c>
      <c r="O433" s="58">
        <v>3671</v>
      </c>
      <c r="P433" s="67"/>
      <c r="Q433" s="66" t="s">
        <v>881</v>
      </c>
    </row>
    <row r="434" spans="1:17">
      <c r="A434" s="66" t="s">
        <v>5435</v>
      </c>
      <c r="B434" s="66" t="s">
        <v>6060</v>
      </c>
      <c r="C434" s="55" t="s">
        <v>8234</v>
      </c>
      <c r="D434" s="72">
        <v>4894</v>
      </c>
      <c r="E434" s="72">
        <v>4808</v>
      </c>
      <c r="F434" s="72">
        <v>4797</v>
      </c>
      <c r="G434" s="101">
        <v>4801</v>
      </c>
      <c r="H434" s="101">
        <v>5055</v>
      </c>
      <c r="I434" s="101">
        <v>4913</v>
      </c>
      <c r="J434" s="101">
        <v>4914</v>
      </c>
      <c r="K434" s="101">
        <v>4776</v>
      </c>
      <c r="L434" s="101">
        <v>4801</v>
      </c>
      <c r="M434" s="58">
        <v>4858</v>
      </c>
      <c r="N434" s="58">
        <v>5039</v>
      </c>
      <c r="O434" s="58">
        <v>4951</v>
      </c>
      <c r="P434" s="67"/>
      <c r="Q434" s="66" t="s">
        <v>881</v>
      </c>
    </row>
    <row r="435" spans="1:17">
      <c r="A435" s="66" t="s">
        <v>5436</v>
      </c>
      <c r="B435" s="66" t="s">
        <v>5494</v>
      </c>
      <c r="C435" s="55" t="s">
        <v>8235</v>
      </c>
      <c r="D435" s="72">
        <v>5619</v>
      </c>
      <c r="E435" s="72">
        <v>5522</v>
      </c>
      <c r="F435" s="72">
        <v>5502</v>
      </c>
      <c r="G435" s="101">
        <v>5515</v>
      </c>
      <c r="H435" s="101">
        <v>5558</v>
      </c>
      <c r="I435" s="101">
        <v>5404</v>
      </c>
      <c r="J435" s="101">
        <v>5459</v>
      </c>
      <c r="K435" s="101">
        <v>5406</v>
      </c>
      <c r="L435" s="101">
        <v>5419</v>
      </c>
      <c r="M435" s="58">
        <v>5403</v>
      </c>
      <c r="N435" s="58">
        <v>5605</v>
      </c>
      <c r="O435" s="58">
        <v>5542</v>
      </c>
      <c r="P435" s="67"/>
      <c r="Q435" s="66" t="s">
        <v>881</v>
      </c>
    </row>
    <row r="436" spans="1:17">
      <c r="A436" s="66" t="s">
        <v>5437</v>
      </c>
      <c r="B436" s="66" t="s">
        <v>2381</v>
      </c>
      <c r="C436" s="55" t="s">
        <v>8236</v>
      </c>
      <c r="D436" s="72">
        <v>3769</v>
      </c>
      <c r="E436" s="72">
        <v>3549</v>
      </c>
      <c r="F436" s="72">
        <v>3720</v>
      </c>
      <c r="G436" s="100">
        <v>4042</v>
      </c>
      <c r="H436" s="100">
        <v>4156</v>
      </c>
      <c r="I436" s="100">
        <v>3939</v>
      </c>
      <c r="J436" s="100">
        <v>3886</v>
      </c>
      <c r="K436" s="100">
        <v>3911</v>
      </c>
      <c r="L436" s="100">
        <v>3943</v>
      </c>
      <c r="M436" s="56">
        <v>3882</v>
      </c>
      <c r="N436" s="56">
        <v>3989</v>
      </c>
      <c r="O436" s="56">
        <v>3927</v>
      </c>
      <c r="P436" s="67"/>
      <c r="Q436" s="66" t="s">
        <v>876</v>
      </c>
    </row>
    <row r="437" spans="1:17">
      <c r="A437" s="66" t="s">
        <v>5439</v>
      </c>
      <c r="B437" s="66" t="s">
        <v>2382</v>
      </c>
      <c r="C437" s="55" t="s">
        <v>8237</v>
      </c>
      <c r="D437" s="72">
        <v>3643</v>
      </c>
      <c r="E437" s="72">
        <v>3456</v>
      </c>
      <c r="F437" s="72">
        <v>3414</v>
      </c>
      <c r="G437" s="101">
        <v>3647</v>
      </c>
      <c r="H437" s="101">
        <v>3733</v>
      </c>
      <c r="I437" s="101">
        <v>3557</v>
      </c>
      <c r="J437" s="101">
        <v>3630</v>
      </c>
      <c r="K437" s="101">
        <v>3610</v>
      </c>
      <c r="L437" s="101">
        <v>3632</v>
      </c>
      <c r="M437" s="58">
        <v>3604</v>
      </c>
      <c r="N437" s="58">
        <v>3709</v>
      </c>
      <c r="O437" s="58">
        <v>3642</v>
      </c>
      <c r="P437" s="67"/>
      <c r="Q437" s="66" t="s">
        <v>881</v>
      </c>
    </row>
    <row r="438" spans="1:17">
      <c r="A438" s="66" t="s">
        <v>5441</v>
      </c>
      <c r="B438" s="66" t="s">
        <v>3798</v>
      </c>
      <c r="C438" s="55" t="s">
        <v>8238</v>
      </c>
      <c r="D438" s="72">
        <v>4900</v>
      </c>
      <c r="E438" s="72">
        <v>4753</v>
      </c>
      <c r="F438" s="72">
        <v>4826</v>
      </c>
      <c r="G438" s="100">
        <v>5166</v>
      </c>
      <c r="H438" s="100">
        <v>5225</v>
      </c>
      <c r="I438" s="100">
        <v>5076</v>
      </c>
      <c r="J438" s="100">
        <v>5193</v>
      </c>
      <c r="K438" s="100">
        <v>5256</v>
      </c>
      <c r="L438" s="100">
        <v>5451</v>
      </c>
      <c r="M438" s="56">
        <v>5530</v>
      </c>
      <c r="N438" s="56">
        <v>5805</v>
      </c>
      <c r="O438" s="56">
        <v>5742</v>
      </c>
      <c r="P438" s="67"/>
      <c r="Q438" s="66" t="s">
        <v>876</v>
      </c>
    </row>
    <row r="439" spans="1:17">
      <c r="A439" s="66" t="s">
        <v>5886</v>
      </c>
      <c r="B439" s="66" t="s">
        <v>3799</v>
      </c>
      <c r="C439" s="55" t="s">
        <v>8239</v>
      </c>
      <c r="D439" s="72">
        <v>5508</v>
      </c>
      <c r="E439" s="72">
        <v>5347</v>
      </c>
      <c r="F439" s="72">
        <v>5242</v>
      </c>
      <c r="G439" s="101">
        <v>5398</v>
      </c>
      <c r="H439" s="101">
        <v>5553</v>
      </c>
      <c r="I439" s="101">
        <v>5527</v>
      </c>
      <c r="J439" s="101">
        <v>5558</v>
      </c>
      <c r="K439" s="101">
        <v>5695</v>
      </c>
      <c r="L439" s="101">
        <v>5686</v>
      </c>
      <c r="M439" s="58">
        <v>5605</v>
      </c>
      <c r="N439" s="58">
        <v>5831</v>
      </c>
      <c r="O439" s="58">
        <v>5760</v>
      </c>
      <c r="P439" s="67"/>
      <c r="Q439" s="66" t="s">
        <v>881</v>
      </c>
    </row>
    <row r="440" spans="1:17">
      <c r="A440" s="66" t="s">
        <v>5888</v>
      </c>
      <c r="B440" s="66" t="s">
        <v>3800</v>
      </c>
      <c r="C440" s="55" t="s">
        <v>8240</v>
      </c>
      <c r="D440" s="72">
        <v>3228</v>
      </c>
      <c r="E440" s="72">
        <v>3048</v>
      </c>
      <c r="F440" s="72">
        <v>3039</v>
      </c>
      <c r="G440" s="100">
        <v>3152</v>
      </c>
      <c r="H440" s="100">
        <v>3234</v>
      </c>
      <c r="I440" s="100">
        <v>3108</v>
      </c>
      <c r="J440" s="100">
        <v>3161</v>
      </c>
      <c r="K440" s="100">
        <v>3246</v>
      </c>
      <c r="L440" s="100">
        <v>3244</v>
      </c>
      <c r="M440" s="56">
        <v>3251</v>
      </c>
      <c r="N440" s="56">
        <v>3423</v>
      </c>
      <c r="O440" s="56">
        <v>3385</v>
      </c>
      <c r="P440" s="67"/>
      <c r="Q440" s="66" t="s">
        <v>876</v>
      </c>
    </row>
    <row r="441" spans="1:17">
      <c r="A441" s="66" t="s">
        <v>5889</v>
      </c>
      <c r="B441" s="66" t="s">
        <v>3801</v>
      </c>
      <c r="C441" s="55" t="s">
        <v>8241</v>
      </c>
      <c r="D441" s="72">
        <v>5267</v>
      </c>
      <c r="E441" s="72">
        <v>5068</v>
      </c>
      <c r="F441" s="72">
        <v>5132</v>
      </c>
      <c r="G441" s="100">
        <v>5324</v>
      </c>
      <c r="H441" s="100">
        <v>5348</v>
      </c>
      <c r="I441" s="100">
        <v>5125</v>
      </c>
      <c r="J441" s="100">
        <v>5189</v>
      </c>
      <c r="K441" s="100">
        <v>5390</v>
      </c>
      <c r="L441" s="100">
        <v>5436</v>
      </c>
      <c r="M441" s="56">
        <v>5400</v>
      </c>
      <c r="N441" s="56">
        <v>5665</v>
      </c>
      <c r="O441" s="56">
        <v>5582</v>
      </c>
      <c r="P441" s="67"/>
      <c r="Q441" s="66" t="s">
        <v>876</v>
      </c>
    </row>
    <row r="442" spans="1:17">
      <c r="A442" s="67"/>
      <c r="B442" s="67"/>
      <c r="C442" s="67"/>
      <c r="D442" s="72"/>
      <c r="E442" s="72"/>
      <c r="F442" s="72"/>
      <c r="G442" s="72"/>
      <c r="H442" s="72"/>
      <c r="I442" s="72"/>
      <c r="J442" s="72"/>
      <c r="K442" s="72"/>
      <c r="L442" s="72"/>
      <c r="M442" s="84"/>
      <c r="N442" s="84"/>
      <c r="O442" s="84"/>
      <c r="P442" s="67"/>
      <c r="Q442" s="67"/>
    </row>
    <row r="443" spans="1:17">
      <c r="A443" s="66" t="s">
        <v>1923</v>
      </c>
      <c r="C443" s="67"/>
      <c r="D443" s="72">
        <f t="shared" ref="D443:I443" si="147">D420+D421+D427+D429+D431+D436+D438+D440+D441</f>
        <v>37785</v>
      </c>
      <c r="E443" s="72">
        <f t="shared" si="147"/>
        <v>36086</v>
      </c>
      <c r="F443" s="72">
        <f t="shared" si="147"/>
        <v>36472</v>
      </c>
      <c r="G443" s="72">
        <f t="shared" si="147"/>
        <v>38426</v>
      </c>
      <c r="H443" s="72">
        <f t="shared" si="147"/>
        <v>38994</v>
      </c>
      <c r="I443" s="72">
        <f t="shared" si="147"/>
        <v>37413</v>
      </c>
      <c r="J443" s="72">
        <f t="shared" ref="J443:O443" si="148">J420+J421+J427+J429+J431+J436+J438+J440+J441</f>
        <v>38038</v>
      </c>
      <c r="K443" s="72">
        <f t="shared" si="148"/>
        <v>38437</v>
      </c>
      <c r="L443" s="72">
        <f t="shared" si="148"/>
        <v>38724</v>
      </c>
      <c r="M443" s="73">
        <f t="shared" si="148"/>
        <v>38616</v>
      </c>
      <c r="N443" s="73">
        <f t="shared" si="148"/>
        <v>40395</v>
      </c>
      <c r="O443" s="73">
        <f t="shared" si="148"/>
        <v>39822</v>
      </c>
      <c r="P443" s="67"/>
      <c r="Q443" s="67"/>
    </row>
    <row r="444" spans="1:17">
      <c r="A444" s="66" t="s">
        <v>2265</v>
      </c>
      <c r="C444" s="67"/>
      <c r="D444" s="72">
        <f t="shared" ref="D444:I444" si="149">D419+SUM(D422:D426)+D428+D430+SUM(D432:D435)+D437+D439</f>
        <v>59469</v>
      </c>
      <c r="E444" s="72">
        <f t="shared" si="149"/>
        <v>57001</v>
      </c>
      <c r="F444" s="72">
        <f t="shared" si="149"/>
        <v>57096</v>
      </c>
      <c r="G444" s="72">
        <f t="shared" si="149"/>
        <v>58435</v>
      </c>
      <c r="H444" s="72">
        <f t="shared" si="149"/>
        <v>60164</v>
      </c>
      <c r="I444" s="72">
        <f t="shared" si="149"/>
        <v>57981</v>
      </c>
      <c r="J444" s="72">
        <f t="shared" ref="J444:O444" si="150">J419+SUM(J422:J426)+J428+J430+SUM(J432:J435)+J437+J439</f>
        <v>58929</v>
      </c>
      <c r="K444" s="72">
        <f t="shared" si="150"/>
        <v>59114</v>
      </c>
      <c r="L444" s="72">
        <f t="shared" si="150"/>
        <v>59665</v>
      </c>
      <c r="M444" s="73">
        <f t="shared" si="150"/>
        <v>59230</v>
      </c>
      <c r="N444" s="73">
        <f t="shared" si="150"/>
        <v>62032</v>
      </c>
      <c r="O444" s="73">
        <f t="shared" si="150"/>
        <v>61049</v>
      </c>
      <c r="P444" s="67"/>
      <c r="Q444" s="67"/>
    </row>
    <row r="445" spans="1:17">
      <c r="A445" s="66"/>
      <c r="C445" s="67"/>
      <c r="D445" s="72"/>
      <c r="E445" s="72"/>
      <c r="F445" s="72"/>
      <c r="G445" s="72"/>
      <c r="H445" s="72"/>
      <c r="I445" s="72"/>
      <c r="J445" s="72"/>
      <c r="K445" s="72"/>
      <c r="L445" s="72"/>
      <c r="M445" s="73"/>
      <c r="N445" s="73"/>
      <c r="O445" s="73"/>
      <c r="P445" s="67"/>
      <c r="Q445" s="67"/>
    </row>
    <row r="446" spans="1:17">
      <c r="A446" s="66" t="s">
        <v>3802</v>
      </c>
      <c r="C446" s="67"/>
      <c r="D446" s="72"/>
      <c r="E446" s="72"/>
      <c r="F446" s="72"/>
      <c r="G446" s="72"/>
      <c r="H446" s="72"/>
      <c r="I446" s="72"/>
      <c r="J446" s="72"/>
      <c r="K446" s="72"/>
      <c r="L446" s="72"/>
      <c r="M446" s="73"/>
      <c r="N446" s="73"/>
      <c r="O446" s="73"/>
      <c r="P446" s="67"/>
      <c r="Q446" s="67"/>
    </row>
    <row r="447" spans="1:17">
      <c r="A447" s="66"/>
      <c r="B447" s="66"/>
      <c r="C447" s="67"/>
      <c r="D447" s="71"/>
      <c r="E447" s="71"/>
      <c r="F447" s="71"/>
      <c r="G447" s="71"/>
      <c r="H447" s="71"/>
      <c r="I447" s="71"/>
      <c r="J447" s="71"/>
      <c r="K447" s="71"/>
      <c r="L447" s="71"/>
      <c r="M447" s="99"/>
      <c r="N447" s="99"/>
      <c r="O447" s="99"/>
      <c r="P447" s="67"/>
      <c r="Q447" s="67"/>
    </row>
    <row r="448" spans="1:17">
      <c r="A448" s="67"/>
      <c r="B448" s="67"/>
      <c r="C448" s="67"/>
      <c r="D448" s="93"/>
      <c r="E448" s="93"/>
      <c r="F448" s="93"/>
      <c r="G448" s="93"/>
      <c r="H448" s="93"/>
      <c r="I448" s="93"/>
      <c r="J448" s="93"/>
      <c r="K448" s="93"/>
      <c r="L448" s="93"/>
      <c r="M448" s="40"/>
      <c r="N448" s="40"/>
      <c r="O448" s="40"/>
      <c r="P448" s="52"/>
    </row>
    <row r="449" spans="1:17">
      <c r="A449" s="67"/>
      <c r="B449" s="67"/>
      <c r="C449" s="67"/>
      <c r="E449" s="92" t="s">
        <v>1526</v>
      </c>
      <c r="F449" s="92"/>
      <c r="G449" s="92"/>
      <c r="H449" s="92"/>
      <c r="I449" s="92"/>
      <c r="J449" s="92"/>
      <c r="K449" s="92"/>
      <c r="L449" s="92"/>
      <c r="M449" s="51"/>
      <c r="N449" s="51"/>
      <c r="O449" s="51"/>
      <c r="P449" s="52"/>
      <c r="Q449" s="53" t="s">
        <v>9479</v>
      </c>
    </row>
    <row r="450" spans="1:17">
      <c r="A450" s="67"/>
      <c r="B450" s="67"/>
      <c r="C450" s="67"/>
      <c r="D450" s="93">
        <v>2010</v>
      </c>
      <c r="E450" s="93">
        <v>2011</v>
      </c>
      <c r="F450" s="93">
        <v>2012</v>
      </c>
      <c r="G450" s="93">
        <v>2013</v>
      </c>
      <c r="H450" s="93">
        <v>2014</v>
      </c>
      <c r="I450" s="93">
        <v>2015</v>
      </c>
      <c r="J450" s="93">
        <v>2016</v>
      </c>
      <c r="K450" s="93">
        <v>2017</v>
      </c>
      <c r="L450" s="93">
        <v>2018</v>
      </c>
      <c r="M450" s="40">
        <v>2019</v>
      </c>
      <c r="N450" s="40">
        <v>2020</v>
      </c>
      <c r="O450" s="963" t="s">
        <v>14823</v>
      </c>
      <c r="P450" s="67"/>
      <c r="Q450" s="54" t="s">
        <v>1527</v>
      </c>
    </row>
    <row r="451" spans="1:17">
      <c r="A451" s="66" t="s">
        <v>3803</v>
      </c>
      <c r="C451" s="67"/>
      <c r="D451" s="72">
        <f t="shared" ref="D451:I451" si="151">SUM(D452:D475)</f>
        <v>86711</v>
      </c>
      <c r="E451" s="72">
        <f t="shared" si="151"/>
        <v>88265</v>
      </c>
      <c r="F451" s="72">
        <f t="shared" si="151"/>
        <v>89315</v>
      </c>
      <c r="G451" s="72">
        <f t="shared" si="151"/>
        <v>90368</v>
      </c>
      <c r="H451" s="72">
        <f t="shared" si="151"/>
        <v>84991</v>
      </c>
      <c r="I451" s="72">
        <f t="shared" si="151"/>
        <v>88590</v>
      </c>
      <c r="J451" s="72">
        <f t="shared" ref="J451:O451" si="152">SUM(J452:J475)</f>
        <v>90032</v>
      </c>
      <c r="K451" s="72">
        <f t="shared" si="152"/>
        <v>94397</v>
      </c>
      <c r="L451" s="72">
        <f t="shared" si="152"/>
        <v>95384</v>
      </c>
      <c r="M451" s="73">
        <f t="shared" si="152"/>
        <v>95479</v>
      </c>
      <c r="N451" s="73">
        <f t="shared" si="152"/>
        <v>96561</v>
      </c>
      <c r="O451" s="73">
        <f t="shared" si="152"/>
        <v>99159</v>
      </c>
      <c r="P451" s="67"/>
      <c r="Q451" s="67"/>
    </row>
    <row r="452" spans="1:17">
      <c r="A452" s="66" t="s">
        <v>5387</v>
      </c>
      <c r="B452" s="66" t="s">
        <v>9895</v>
      </c>
      <c r="C452" s="55" t="s">
        <v>10227</v>
      </c>
      <c r="D452" s="72">
        <v>27563</v>
      </c>
      <c r="E452" s="72">
        <v>28114</v>
      </c>
      <c r="F452" s="72">
        <v>28408</v>
      </c>
      <c r="G452" s="72">
        <v>28783</v>
      </c>
      <c r="H452" s="95">
        <v>26601</v>
      </c>
      <c r="I452" s="95">
        <v>4950</v>
      </c>
      <c r="J452" s="95">
        <v>4948</v>
      </c>
      <c r="K452" s="95">
        <v>5173</v>
      </c>
      <c r="L452" s="95">
        <v>5187</v>
      </c>
      <c r="M452" s="63">
        <v>5123</v>
      </c>
      <c r="N452" s="63">
        <v>5110</v>
      </c>
      <c r="O452" s="63">
        <v>5224</v>
      </c>
      <c r="P452" s="67"/>
      <c r="Q452" s="66" t="s">
        <v>1508</v>
      </c>
    </row>
    <row r="453" spans="1:17">
      <c r="A453" s="66" t="s">
        <v>5389</v>
      </c>
      <c r="B453" s="66" t="s">
        <v>9896</v>
      </c>
      <c r="C453" s="55" t="s">
        <v>10228</v>
      </c>
      <c r="D453" s="72">
        <v>0</v>
      </c>
      <c r="E453" s="72">
        <v>0</v>
      </c>
      <c r="F453" s="72">
        <v>0</v>
      </c>
      <c r="G453" s="72">
        <v>0</v>
      </c>
      <c r="H453" s="95">
        <v>0</v>
      </c>
      <c r="I453" s="95">
        <v>3128</v>
      </c>
      <c r="J453" s="95">
        <v>3180</v>
      </c>
      <c r="K453" s="95">
        <v>3469</v>
      </c>
      <c r="L453" s="95">
        <v>3659</v>
      </c>
      <c r="M453" s="63">
        <v>3814</v>
      </c>
      <c r="N453" s="63">
        <v>3801</v>
      </c>
      <c r="O453" s="63">
        <v>3893</v>
      </c>
      <c r="P453" s="67"/>
      <c r="Q453" s="66" t="s">
        <v>1508</v>
      </c>
    </row>
    <row r="454" spans="1:17">
      <c r="A454" s="66" t="s">
        <v>5391</v>
      </c>
      <c r="B454" s="66" t="s">
        <v>3804</v>
      </c>
      <c r="C454" s="55" t="s">
        <v>10229</v>
      </c>
      <c r="D454" s="72">
        <v>59148</v>
      </c>
      <c r="E454" s="72">
        <v>60151</v>
      </c>
      <c r="F454" s="72">
        <v>60907</v>
      </c>
      <c r="G454" s="72">
        <v>61585</v>
      </c>
      <c r="H454" s="95">
        <v>58390</v>
      </c>
      <c r="I454" s="95">
        <v>5141</v>
      </c>
      <c r="J454" s="95">
        <v>5258</v>
      </c>
      <c r="K454" s="95">
        <v>5571</v>
      </c>
      <c r="L454" s="95">
        <v>5661</v>
      </c>
      <c r="M454" s="63">
        <v>5632</v>
      </c>
      <c r="N454" s="63">
        <v>5711</v>
      </c>
      <c r="O454" s="63">
        <v>5819</v>
      </c>
      <c r="P454" s="67"/>
      <c r="Q454" s="66" t="s">
        <v>882</v>
      </c>
    </row>
    <row r="455" spans="1:17">
      <c r="A455" s="66" t="s">
        <v>5393</v>
      </c>
      <c r="B455" s="66" t="s">
        <v>9897</v>
      </c>
      <c r="C455" s="55" t="s">
        <v>10230</v>
      </c>
      <c r="D455" s="72">
        <v>0</v>
      </c>
      <c r="E455" s="72">
        <v>0</v>
      </c>
      <c r="F455" s="72">
        <v>0</v>
      </c>
      <c r="G455" s="72">
        <v>0</v>
      </c>
      <c r="H455" s="95">
        <v>0</v>
      </c>
      <c r="I455" s="95">
        <v>2038</v>
      </c>
      <c r="J455" s="95">
        <v>2065</v>
      </c>
      <c r="K455" s="95">
        <v>2137</v>
      </c>
      <c r="L455" s="95">
        <v>2177</v>
      </c>
      <c r="M455" s="63">
        <v>2296</v>
      </c>
      <c r="N455" s="63">
        <v>2463</v>
      </c>
      <c r="O455" s="63">
        <v>2624</v>
      </c>
      <c r="P455" s="67"/>
      <c r="Q455" s="66" t="s">
        <v>1508</v>
      </c>
    </row>
    <row r="456" spans="1:17">
      <c r="A456" s="66" t="s">
        <v>5394</v>
      </c>
      <c r="B456" s="66" t="s">
        <v>1038</v>
      </c>
      <c r="C456" s="55" t="s">
        <v>10231</v>
      </c>
      <c r="D456" s="72">
        <v>0</v>
      </c>
      <c r="E456" s="72">
        <v>0</v>
      </c>
      <c r="F456" s="72">
        <v>0</v>
      </c>
      <c r="G456" s="72">
        <v>0</v>
      </c>
      <c r="H456" s="95">
        <v>0</v>
      </c>
      <c r="I456" s="95">
        <v>3499</v>
      </c>
      <c r="J456" s="95">
        <v>3502</v>
      </c>
      <c r="K456" s="95">
        <v>3642</v>
      </c>
      <c r="L456" s="95">
        <v>3603</v>
      </c>
      <c r="M456" s="63">
        <v>3550</v>
      </c>
      <c r="N456" s="63">
        <v>3588</v>
      </c>
      <c r="O456" s="63">
        <v>3646</v>
      </c>
      <c r="P456" s="67"/>
      <c r="Q456" s="66" t="s">
        <v>882</v>
      </c>
    </row>
    <row r="457" spans="1:17">
      <c r="A457" s="66" t="s">
        <v>5416</v>
      </c>
      <c r="B457" s="66" t="s">
        <v>5904</v>
      </c>
      <c r="C457" s="55" t="s">
        <v>10232</v>
      </c>
      <c r="D457" s="72">
        <v>0</v>
      </c>
      <c r="E457" s="72">
        <v>0</v>
      </c>
      <c r="F457" s="72">
        <v>0</v>
      </c>
      <c r="G457" s="72">
        <v>0</v>
      </c>
      <c r="H457" s="95">
        <v>0</v>
      </c>
      <c r="I457" s="95">
        <v>3254</v>
      </c>
      <c r="J457" s="95">
        <v>3287</v>
      </c>
      <c r="K457" s="95">
        <v>3462</v>
      </c>
      <c r="L457" s="95">
        <v>3462</v>
      </c>
      <c r="M457" s="63">
        <v>3408</v>
      </c>
      <c r="N457" s="63">
        <v>3441</v>
      </c>
      <c r="O457" s="63">
        <v>3594</v>
      </c>
      <c r="P457" s="67"/>
      <c r="Q457" s="66" t="s">
        <v>882</v>
      </c>
    </row>
    <row r="458" spans="1:17">
      <c r="A458" s="66" t="s">
        <v>5418</v>
      </c>
      <c r="B458" s="66" t="s">
        <v>6686</v>
      </c>
      <c r="C458" s="55" t="s">
        <v>10233</v>
      </c>
      <c r="D458" s="72">
        <v>0</v>
      </c>
      <c r="E458" s="72">
        <v>0</v>
      </c>
      <c r="F458" s="72">
        <v>0</v>
      </c>
      <c r="G458" s="72">
        <v>0</v>
      </c>
      <c r="H458" s="95">
        <v>0</v>
      </c>
      <c r="I458" s="95">
        <v>3633</v>
      </c>
      <c r="J458" s="95">
        <v>3707</v>
      </c>
      <c r="K458" s="95">
        <v>3842</v>
      </c>
      <c r="L458" s="95">
        <v>3863</v>
      </c>
      <c r="M458" s="63">
        <v>3842</v>
      </c>
      <c r="N458" s="63">
        <v>3823</v>
      </c>
      <c r="O458" s="63">
        <v>3889</v>
      </c>
      <c r="P458" s="67"/>
      <c r="Q458" s="66" t="s">
        <v>1508</v>
      </c>
    </row>
    <row r="459" spans="1:17">
      <c r="A459" s="66" t="s">
        <v>5420</v>
      </c>
      <c r="B459" s="66" t="s">
        <v>9898</v>
      </c>
      <c r="C459" s="55" t="s">
        <v>10234</v>
      </c>
      <c r="D459" s="72">
        <v>0</v>
      </c>
      <c r="E459" s="72">
        <v>0</v>
      </c>
      <c r="F459" s="72">
        <v>0</v>
      </c>
      <c r="G459" s="72">
        <v>0</v>
      </c>
      <c r="H459" s="95">
        <v>0</v>
      </c>
      <c r="I459" s="95">
        <v>3289</v>
      </c>
      <c r="J459" s="95">
        <v>3305</v>
      </c>
      <c r="K459" s="95">
        <v>3442</v>
      </c>
      <c r="L459" s="95">
        <v>3530</v>
      </c>
      <c r="M459" s="63">
        <v>3569</v>
      </c>
      <c r="N459" s="63">
        <v>3573</v>
      </c>
      <c r="O459" s="63">
        <v>3640</v>
      </c>
      <c r="P459" s="67"/>
      <c r="Q459" s="66" t="s">
        <v>882</v>
      </c>
    </row>
    <row r="460" spans="1:17">
      <c r="A460" s="66" t="s">
        <v>5422</v>
      </c>
      <c r="B460" s="66" t="s">
        <v>1039</v>
      </c>
      <c r="C460" s="919" t="s">
        <v>14761</v>
      </c>
      <c r="D460" s="72">
        <v>0</v>
      </c>
      <c r="E460" s="72">
        <v>0</v>
      </c>
      <c r="F460" s="72">
        <v>0</v>
      </c>
      <c r="G460" s="72">
        <v>0</v>
      </c>
      <c r="H460" s="95">
        <v>0</v>
      </c>
      <c r="I460" s="95">
        <v>3511</v>
      </c>
      <c r="J460" s="95">
        <v>3527</v>
      </c>
      <c r="K460" s="95">
        <v>3728</v>
      </c>
      <c r="L460" s="95">
        <v>3750</v>
      </c>
      <c r="M460" s="63">
        <v>3751</v>
      </c>
      <c r="N460" s="63">
        <v>3719</v>
      </c>
      <c r="O460" s="63">
        <v>3833</v>
      </c>
      <c r="P460" s="67"/>
      <c r="Q460" s="66" t="s">
        <v>882</v>
      </c>
    </row>
    <row r="461" spans="1:17">
      <c r="A461" s="66" t="s">
        <v>5424</v>
      </c>
      <c r="B461" s="66" t="s">
        <v>9899</v>
      </c>
      <c r="C461" s="55" t="s">
        <v>10235</v>
      </c>
      <c r="D461" s="72">
        <v>0</v>
      </c>
      <c r="E461" s="72">
        <v>0</v>
      </c>
      <c r="F461" s="72">
        <v>0</v>
      </c>
      <c r="G461" s="72">
        <v>0</v>
      </c>
      <c r="H461" s="95">
        <v>0</v>
      </c>
      <c r="I461" s="95">
        <v>5494</v>
      </c>
      <c r="J461" s="95">
        <v>5371</v>
      </c>
      <c r="K461" s="95">
        <v>5575</v>
      </c>
      <c r="L461" s="95">
        <v>5516</v>
      </c>
      <c r="M461" s="63">
        <v>5502</v>
      </c>
      <c r="N461" s="63">
        <v>5536</v>
      </c>
      <c r="O461" s="63">
        <v>5641</v>
      </c>
      <c r="P461" s="67"/>
      <c r="Q461" s="66" t="s">
        <v>882</v>
      </c>
    </row>
    <row r="462" spans="1:17">
      <c r="A462" s="66" t="s">
        <v>5426</v>
      </c>
      <c r="B462" s="66" t="s">
        <v>5192</v>
      </c>
      <c r="C462" s="55" t="s">
        <v>10236</v>
      </c>
      <c r="D462" s="72">
        <v>0</v>
      </c>
      <c r="E462" s="72">
        <v>0</v>
      </c>
      <c r="F462" s="72">
        <v>0</v>
      </c>
      <c r="G462" s="72">
        <v>0</v>
      </c>
      <c r="H462" s="95">
        <v>0</v>
      </c>
      <c r="I462" s="95">
        <v>3588</v>
      </c>
      <c r="J462" s="95">
        <v>3611</v>
      </c>
      <c r="K462" s="95">
        <v>3681</v>
      </c>
      <c r="L462" s="95">
        <v>3654</v>
      </c>
      <c r="M462" s="63">
        <v>3642</v>
      </c>
      <c r="N462" s="63">
        <v>3666</v>
      </c>
      <c r="O462" s="63">
        <v>3743</v>
      </c>
      <c r="P462" s="67"/>
      <c r="Q462" s="66" t="s">
        <v>882</v>
      </c>
    </row>
    <row r="463" spans="1:17">
      <c r="A463" s="66" t="s">
        <v>5428</v>
      </c>
      <c r="B463" s="66" t="s">
        <v>1040</v>
      </c>
      <c r="C463" s="55" t="s">
        <v>10237</v>
      </c>
      <c r="D463" s="72">
        <v>0</v>
      </c>
      <c r="E463" s="72">
        <v>0</v>
      </c>
      <c r="F463" s="72">
        <v>0</v>
      </c>
      <c r="G463" s="72">
        <v>0</v>
      </c>
      <c r="H463" s="95">
        <v>0</v>
      </c>
      <c r="I463" s="95">
        <v>3708</v>
      </c>
      <c r="J463" s="95">
        <v>3686</v>
      </c>
      <c r="K463" s="95">
        <v>3768</v>
      </c>
      <c r="L463" s="95">
        <v>3743</v>
      </c>
      <c r="M463" s="63">
        <v>3696</v>
      </c>
      <c r="N463" s="63">
        <v>3731</v>
      </c>
      <c r="O463" s="63">
        <v>3822</v>
      </c>
      <c r="P463" s="67"/>
      <c r="Q463" s="66" t="s">
        <v>882</v>
      </c>
    </row>
    <row r="464" spans="1:17">
      <c r="A464" s="66" t="s">
        <v>5429</v>
      </c>
      <c r="B464" s="66" t="s">
        <v>1041</v>
      </c>
      <c r="C464" s="55" t="s">
        <v>10238</v>
      </c>
      <c r="D464" s="72">
        <v>0</v>
      </c>
      <c r="E464" s="72">
        <v>0</v>
      </c>
      <c r="F464" s="72">
        <v>0</v>
      </c>
      <c r="G464" s="72">
        <v>0</v>
      </c>
      <c r="H464" s="95">
        <v>0</v>
      </c>
      <c r="I464" s="95">
        <v>3461</v>
      </c>
      <c r="J464" s="95">
        <v>3594</v>
      </c>
      <c r="K464" s="95">
        <v>3681</v>
      </c>
      <c r="L464" s="95">
        <v>3730</v>
      </c>
      <c r="M464" s="63">
        <v>3707</v>
      </c>
      <c r="N464" s="63">
        <v>3759</v>
      </c>
      <c r="O464" s="63">
        <v>3882</v>
      </c>
      <c r="P464" s="67"/>
      <c r="Q464" s="66" t="s">
        <v>882</v>
      </c>
    </row>
    <row r="465" spans="1:17">
      <c r="A465" s="66" t="s">
        <v>5431</v>
      </c>
      <c r="B465" s="66" t="s">
        <v>2423</v>
      </c>
      <c r="C465" s="919" t="s">
        <v>14762</v>
      </c>
      <c r="D465" s="72">
        <v>0</v>
      </c>
      <c r="E465" s="72">
        <v>0</v>
      </c>
      <c r="F465" s="72">
        <v>0</v>
      </c>
      <c r="G465" s="72">
        <v>0</v>
      </c>
      <c r="H465" s="95">
        <v>0</v>
      </c>
      <c r="I465" s="95">
        <v>5318</v>
      </c>
      <c r="J465" s="95">
        <v>5645</v>
      </c>
      <c r="K465" s="95">
        <v>6008</v>
      </c>
      <c r="L465" s="95">
        <v>6147</v>
      </c>
      <c r="M465" s="63">
        <v>6173</v>
      </c>
      <c r="N465" s="63">
        <v>6320</v>
      </c>
      <c r="O465" s="63">
        <v>6552</v>
      </c>
      <c r="P465" s="67"/>
      <c r="Q465" s="66" t="s">
        <v>882</v>
      </c>
    </row>
    <row r="466" spans="1:17">
      <c r="A466" s="66" t="s">
        <v>5433</v>
      </c>
      <c r="B466" s="66" t="s">
        <v>3839</v>
      </c>
      <c r="C466" s="55" t="s">
        <v>10239</v>
      </c>
      <c r="D466" s="72">
        <v>0</v>
      </c>
      <c r="E466" s="72">
        <v>0</v>
      </c>
      <c r="F466" s="72">
        <v>0</v>
      </c>
      <c r="G466" s="72">
        <v>0</v>
      </c>
      <c r="H466" s="95">
        <v>0</v>
      </c>
      <c r="I466" s="95">
        <v>3288</v>
      </c>
      <c r="J466" s="95">
        <v>3402</v>
      </c>
      <c r="K466" s="95">
        <v>3564</v>
      </c>
      <c r="L466" s="95">
        <v>3504</v>
      </c>
      <c r="M466" s="63">
        <v>3507</v>
      </c>
      <c r="N466" s="63">
        <v>3514</v>
      </c>
      <c r="O466" s="63">
        <v>3600</v>
      </c>
      <c r="P466" s="67"/>
      <c r="Q466" s="66" t="s">
        <v>1508</v>
      </c>
    </row>
    <row r="467" spans="1:17">
      <c r="A467" s="66" t="s">
        <v>5435</v>
      </c>
      <c r="B467" s="66" t="s">
        <v>3840</v>
      </c>
      <c r="C467" s="55" t="s">
        <v>10240</v>
      </c>
      <c r="D467" s="72">
        <v>0</v>
      </c>
      <c r="E467" s="72">
        <v>0</v>
      </c>
      <c r="F467" s="72">
        <v>0</v>
      </c>
      <c r="G467" s="72">
        <v>0</v>
      </c>
      <c r="H467" s="95">
        <v>0</v>
      </c>
      <c r="I467" s="95">
        <v>3191</v>
      </c>
      <c r="J467" s="95">
        <v>3228</v>
      </c>
      <c r="K467" s="95">
        <v>3320</v>
      </c>
      <c r="L467" s="95">
        <v>3310</v>
      </c>
      <c r="M467" s="63">
        <v>3344</v>
      </c>
      <c r="N467" s="63">
        <v>3379</v>
      </c>
      <c r="O467" s="63">
        <v>3440</v>
      </c>
      <c r="P467" s="67"/>
      <c r="Q467" s="66" t="s">
        <v>1508</v>
      </c>
    </row>
    <row r="468" spans="1:17">
      <c r="A468" s="66" t="s">
        <v>5436</v>
      </c>
      <c r="B468" s="66" t="s">
        <v>3841</v>
      </c>
      <c r="C468" s="55" t="s">
        <v>10241</v>
      </c>
      <c r="D468" s="72">
        <v>0</v>
      </c>
      <c r="E468" s="72">
        <v>0</v>
      </c>
      <c r="F468" s="72">
        <v>0</v>
      </c>
      <c r="G468" s="72">
        <v>0</v>
      </c>
      <c r="H468" s="95">
        <v>0</v>
      </c>
      <c r="I468" s="95">
        <v>3999</v>
      </c>
      <c r="J468" s="95">
        <v>4167</v>
      </c>
      <c r="K468" s="95">
        <v>4662</v>
      </c>
      <c r="L468" s="95">
        <v>4889</v>
      </c>
      <c r="M468" s="63">
        <v>5026</v>
      </c>
      <c r="N468" s="63">
        <v>5194</v>
      </c>
      <c r="O468" s="63">
        <v>5352</v>
      </c>
      <c r="P468" s="67"/>
      <c r="Q468" s="66" t="s">
        <v>882</v>
      </c>
    </row>
    <row r="469" spans="1:17">
      <c r="A469" s="66" t="s">
        <v>5437</v>
      </c>
      <c r="B469" s="66" t="s">
        <v>9900</v>
      </c>
      <c r="C469" s="55" t="s">
        <v>10242</v>
      </c>
      <c r="D469" s="72">
        <v>0</v>
      </c>
      <c r="E469" s="72">
        <v>0</v>
      </c>
      <c r="F469" s="72">
        <v>0</v>
      </c>
      <c r="G469" s="72">
        <v>0</v>
      </c>
      <c r="H469" s="95">
        <v>0</v>
      </c>
      <c r="I469" s="95">
        <v>3484</v>
      </c>
      <c r="J469" s="95">
        <v>3476</v>
      </c>
      <c r="K469" s="95">
        <v>3639</v>
      </c>
      <c r="L469" s="95">
        <v>3659</v>
      </c>
      <c r="M469" s="63">
        <v>3568</v>
      </c>
      <c r="N469" s="63">
        <v>3589</v>
      </c>
      <c r="O469" s="63">
        <v>3680</v>
      </c>
      <c r="P469" s="67"/>
      <c r="Q469" s="66" t="s">
        <v>1508</v>
      </c>
    </row>
    <row r="470" spans="1:17">
      <c r="A470" s="66" t="s">
        <v>5439</v>
      </c>
      <c r="B470" s="66" t="s">
        <v>9901</v>
      </c>
      <c r="C470" s="55" t="s">
        <v>10243</v>
      </c>
      <c r="D470" s="72">
        <v>0</v>
      </c>
      <c r="E470" s="72">
        <v>0</v>
      </c>
      <c r="F470" s="72">
        <v>0</v>
      </c>
      <c r="G470" s="72">
        <v>0</v>
      </c>
      <c r="H470" s="95">
        <v>0</v>
      </c>
      <c r="I470" s="95">
        <v>4126</v>
      </c>
      <c r="J470" s="95">
        <v>4257</v>
      </c>
      <c r="K470" s="95">
        <v>4537</v>
      </c>
      <c r="L470" s="95">
        <v>4566</v>
      </c>
      <c r="M470" s="63">
        <v>4618</v>
      </c>
      <c r="N470" s="63">
        <v>4726</v>
      </c>
      <c r="O470" s="63">
        <v>4848</v>
      </c>
      <c r="P470" s="67"/>
      <c r="Q470" s="66" t="s">
        <v>1508</v>
      </c>
    </row>
    <row r="471" spans="1:17">
      <c r="A471" s="66" t="s">
        <v>5441</v>
      </c>
      <c r="B471" s="66" t="s">
        <v>57</v>
      </c>
      <c r="C471" s="55" t="s">
        <v>10244</v>
      </c>
      <c r="D471" s="72">
        <v>0</v>
      </c>
      <c r="E471" s="72">
        <v>0</v>
      </c>
      <c r="F471" s="72">
        <v>0</v>
      </c>
      <c r="G471" s="72">
        <v>0</v>
      </c>
      <c r="H471" s="95">
        <v>0</v>
      </c>
      <c r="I471" s="95">
        <v>3398</v>
      </c>
      <c r="J471" s="95">
        <v>3516</v>
      </c>
      <c r="K471" s="95">
        <v>3620</v>
      </c>
      <c r="L471" s="95">
        <v>3586</v>
      </c>
      <c r="M471" s="63">
        <v>3535</v>
      </c>
      <c r="N471" s="63">
        <v>3569</v>
      </c>
      <c r="O471" s="63">
        <v>3635</v>
      </c>
      <c r="P471" s="67"/>
      <c r="Q471" s="66" t="s">
        <v>882</v>
      </c>
    </row>
    <row r="472" spans="1:17">
      <c r="A472" s="66" t="s">
        <v>5886</v>
      </c>
      <c r="B472" s="66" t="s">
        <v>58</v>
      </c>
      <c r="C472" s="55" t="s">
        <v>10245</v>
      </c>
      <c r="D472" s="72">
        <v>0</v>
      </c>
      <c r="E472" s="72">
        <v>0</v>
      </c>
      <c r="F472" s="72">
        <v>0</v>
      </c>
      <c r="G472" s="72">
        <v>0</v>
      </c>
      <c r="H472" s="95">
        <v>0</v>
      </c>
      <c r="I472" s="95">
        <v>3499</v>
      </c>
      <c r="J472" s="95">
        <v>3693</v>
      </c>
      <c r="K472" s="95">
        <v>3807</v>
      </c>
      <c r="L472" s="95">
        <v>3785</v>
      </c>
      <c r="M472" s="63">
        <v>3689</v>
      </c>
      <c r="N472" s="63">
        <v>3702</v>
      </c>
      <c r="O472" s="63">
        <v>3875</v>
      </c>
      <c r="P472" s="67"/>
      <c r="Q472" s="66" t="s">
        <v>882</v>
      </c>
    </row>
    <row r="473" spans="1:17">
      <c r="A473" s="66" t="s">
        <v>5888</v>
      </c>
      <c r="B473" s="66" t="s">
        <v>59</v>
      </c>
      <c r="C473" s="55" t="s">
        <v>10246</v>
      </c>
      <c r="D473" s="72">
        <v>0</v>
      </c>
      <c r="E473" s="72">
        <v>0</v>
      </c>
      <c r="F473" s="72">
        <v>0</v>
      </c>
      <c r="G473" s="72">
        <v>0</v>
      </c>
      <c r="H473" s="95">
        <v>0</v>
      </c>
      <c r="I473" s="95">
        <v>1531</v>
      </c>
      <c r="J473" s="95">
        <v>1540</v>
      </c>
      <c r="K473" s="95">
        <v>1587</v>
      </c>
      <c r="L473" s="95">
        <v>1603</v>
      </c>
      <c r="M473" s="63">
        <v>1592</v>
      </c>
      <c r="N473" s="63">
        <v>1593</v>
      </c>
      <c r="O473" s="63">
        <v>1601</v>
      </c>
      <c r="P473" s="67"/>
      <c r="Q473" s="66" t="s">
        <v>882</v>
      </c>
    </row>
    <row r="474" spans="1:17">
      <c r="A474" s="66" t="s">
        <v>5889</v>
      </c>
      <c r="B474" s="66" t="s">
        <v>60</v>
      </c>
      <c r="C474" s="55" t="s">
        <v>10247</v>
      </c>
      <c r="D474" s="72">
        <v>0</v>
      </c>
      <c r="E474" s="72">
        <v>0</v>
      </c>
      <c r="F474" s="72">
        <v>0</v>
      </c>
      <c r="G474" s="72">
        <v>0</v>
      </c>
      <c r="H474" s="95">
        <v>0</v>
      </c>
      <c r="I474" s="95">
        <v>4816</v>
      </c>
      <c r="J474" s="95">
        <v>4794</v>
      </c>
      <c r="K474" s="95">
        <v>5099</v>
      </c>
      <c r="L474" s="95">
        <v>5361</v>
      </c>
      <c r="M474" s="63">
        <v>5480</v>
      </c>
      <c r="N474" s="63">
        <v>5588</v>
      </c>
      <c r="O474" s="63">
        <v>5753</v>
      </c>
      <c r="P474" s="67"/>
      <c r="Q474" s="66" t="s">
        <v>882</v>
      </c>
    </row>
    <row r="475" spans="1:17">
      <c r="A475" s="66" t="s">
        <v>4431</v>
      </c>
      <c r="B475" s="66" t="s">
        <v>9902</v>
      </c>
      <c r="C475" s="55" t="s">
        <v>10248</v>
      </c>
      <c r="D475" s="72">
        <v>0</v>
      </c>
      <c r="E475" s="72">
        <v>0</v>
      </c>
      <c r="F475" s="72">
        <v>0</v>
      </c>
      <c r="G475" s="72">
        <v>0</v>
      </c>
      <c r="H475" s="95">
        <v>0</v>
      </c>
      <c r="I475" s="95">
        <v>3246</v>
      </c>
      <c r="J475" s="95">
        <v>3273</v>
      </c>
      <c r="K475" s="95">
        <v>3383</v>
      </c>
      <c r="L475" s="95">
        <v>3439</v>
      </c>
      <c r="M475" s="63">
        <v>3415</v>
      </c>
      <c r="N475" s="63">
        <v>3466</v>
      </c>
      <c r="O475" s="63">
        <v>3573</v>
      </c>
      <c r="P475" s="67"/>
      <c r="Q475" s="66" t="s">
        <v>882</v>
      </c>
    </row>
    <row r="476" spans="1:17">
      <c r="A476" s="67"/>
      <c r="B476" s="67"/>
      <c r="C476" s="67"/>
      <c r="D476" s="72"/>
      <c r="E476" s="72"/>
      <c r="F476" s="72"/>
      <c r="G476" s="72"/>
      <c r="H476" s="72"/>
      <c r="I476" s="72"/>
      <c r="J476" s="72"/>
      <c r="K476" s="72"/>
      <c r="L476" s="72"/>
      <c r="M476" s="84"/>
      <c r="N476" s="84"/>
      <c r="O476" s="84"/>
      <c r="P476" s="67"/>
      <c r="Q476" s="67"/>
    </row>
    <row r="477" spans="1:17" ht="15.75" customHeight="1">
      <c r="A477" s="66" t="s">
        <v>5070</v>
      </c>
      <c r="C477" s="67"/>
      <c r="D477" s="72">
        <f t="shared" ref="D477:I477" si="153">D452+D453+D455+D458+D466+D467+D469+D470</f>
        <v>27563</v>
      </c>
      <c r="E477" s="72">
        <f t="shared" si="153"/>
        <v>28114</v>
      </c>
      <c r="F477" s="72">
        <f t="shared" si="153"/>
        <v>28408</v>
      </c>
      <c r="G477" s="72">
        <f t="shared" si="153"/>
        <v>28783</v>
      </c>
      <c r="H477" s="72">
        <f t="shared" si="153"/>
        <v>26601</v>
      </c>
      <c r="I477" s="72">
        <f t="shared" si="153"/>
        <v>27838</v>
      </c>
      <c r="J477" s="72">
        <f t="shared" ref="J477:O477" si="154">J452+J453+J455+J458+J466+J467+J469+J470</f>
        <v>28263</v>
      </c>
      <c r="K477" s="72">
        <f t="shared" si="154"/>
        <v>29681</v>
      </c>
      <c r="L477" s="72">
        <f t="shared" si="154"/>
        <v>29925</v>
      </c>
      <c r="M477" s="73">
        <f t="shared" si="154"/>
        <v>30112</v>
      </c>
      <c r="N477" s="73">
        <f t="shared" si="154"/>
        <v>30405</v>
      </c>
      <c r="O477" s="73">
        <f t="shared" si="154"/>
        <v>31198</v>
      </c>
      <c r="P477" s="67"/>
      <c r="Q477" s="67"/>
    </row>
    <row r="478" spans="1:17">
      <c r="A478" s="66" t="s">
        <v>3746</v>
      </c>
      <c r="C478" s="67"/>
      <c r="D478" s="72">
        <f t="shared" ref="D478:I478" si="155">D454+D456+D457+SUM(D459:D465)+D468+SUM(D471:D475)</f>
        <v>59148</v>
      </c>
      <c r="E478" s="72">
        <f t="shared" si="155"/>
        <v>60151</v>
      </c>
      <c r="F478" s="72">
        <f t="shared" si="155"/>
        <v>60907</v>
      </c>
      <c r="G478" s="72">
        <f t="shared" si="155"/>
        <v>61585</v>
      </c>
      <c r="H478" s="72">
        <f t="shared" si="155"/>
        <v>58390</v>
      </c>
      <c r="I478" s="72">
        <f t="shared" si="155"/>
        <v>60752</v>
      </c>
      <c r="J478" s="72">
        <f t="shared" ref="J478:O478" si="156">J454+J456+J457+SUM(J459:J465)+J468+SUM(J471:J475)</f>
        <v>61769</v>
      </c>
      <c r="K478" s="72">
        <f t="shared" si="156"/>
        <v>64716</v>
      </c>
      <c r="L478" s="72">
        <f t="shared" si="156"/>
        <v>65459</v>
      </c>
      <c r="M478" s="73">
        <f t="shared" si="156"/>
        <v>65367</v>
      </c>
      <c r="N478" s="73">
        <f t="shared" si="156"/>
        <v>66156</v>
      </c>
      <c r="O478" s="73">
        <f t="shared" si="156"/>
        <v>67961</v>
      </c>
      <c r="P478" s="67"/>
      <c r="Q478" s="67"/>
    </row>
    <row r="479" spans="1:17">
      <c r="A479" s="66"/>
      <c r="B479" s="66"/>
      <c r="C479" s="67"/>
      <c r="D479" s="72"/>
      <c r="E479" s="72"/>
      <c r="F479" s="72"/>
      <c r="G479" s="72"/>
      <c r="H479" s="72"/>
      <c r="I479" s="72"/>
      <c r="J479" s="72"/>
      <c r="K479" s="72"/>
      <c r="L479" s="72"/>
      <c r="M479" s="73"/>
      <c r="N479" s="73"/>
      <c r="O479" s="73"/>
      <c r="P479" s="67"/>
      <c r="Q479" s="67"/>
    </row>
    <row r="480" spans="1:17">
      <c r="A480" s="70" t="s">
        <v>9903</v>
      </c>
      <c r="C480" s="67"/>
      <c r="P480" s="67"/>
      <c r="Q480" s="67"/>
    </row>
    <row r="481" spans="1:17">
      <c r="A481" s="66" t="s">
        <v>14763</v>
      </c>
      <c r="B481" s="66"/>
      <c r="C481" s="67"/>
      <c r="D481" s="71"/>
      <c r="E481" s="71"/>
      <c r="F481" s="71"/>
      <c r="G481" s="71"/>
      <c r="H481" s="71"/>
      <c r="I481" s="71"/>
      <c r="J481" s="71"/>
      <c r="K481" s="71"/>
      <c r="L481" s="71"/>
      <c r="M481" s="99"/>
      <c r="N481" s="99"/>
      <c r="O481" s="99"/>
      <c r="P481" s="67"/>
      <c r="Q481" s="67"/>
    </row>
    <row r="482" spans="1:17">
      <c r="A482" s="66"/>
      <c r="B482" s="66"/>
      <c r="C482" s="67"/>
      <c r="D482" s="71"/>
      <c r="E482" s="71"/>
      <c r="F482" s="71"/>
      <c r="G482" s="71"/>
      <c r="H482" s="71"/>
      <c r="I482" s="71"/>
      <c r="J482" s="71"/>
      <c r="K482" s="71"/>
      <c r="L482" s="71"/>
      <c r="M482" s="99"/>
      <c r="N482" s="99"/>
      <c r="O482" s="99"/>
      <c r="P482" s="67"/>
      <c r="Q482" s="67"/>
    </row>
    <row r="483" spans="1:17">
      <c r="A483" s="67"/>
      <c r="B483" s="67"/>
      <c r="C483" s="67"/>
      <c r="E483" s="92" t="s">
        <v>1526</v>
      </c>
      <c r="F483" s="92"/>
      <c r="G483" s="92"/>
      <c r="H483" s="92"/>
      <c r="I483" s="92"/>
      <c r="J483" s="92"/>
      <c r="K483" s="92"/>
      <c r="L483" s="92"/>
      <c r="M483" s="51"/>
      <c r="N483" s="51"/>
      <c r="O483" s="51"/>
      <c r="P483" s="52"/>
      <c r="Q483" s="53" t="s">
        <v>9479</v>
      </c>
    </row>
    <row r="484" spans="1:17">
      <c r="A484" s="67"/>
      <c r="B484" s="67"/>
      <c r="C484" s="67"/>
      <c r="D484" s="93">
        <v>2010</v>
      </c>
      <c r="E484" s="93">
        <v>2011</v>
      </c>
      <c r="F484" s="93">
        <v>2012</v>
      </c>
      <c r="G484" s="93">
        <v>2013</v>
      </c>
      <c r="H484" s="93">
        <v>2014</v>
      </c>
      <c r="I484" s="93">
        <v>2015</v>
      </c>
      <c r="J484" s="93">
        <v>2016</v>
      </c>
      <c r="K484" s="93">
        <v>2017</v>
      </c>
      <c r="L484" s="93">
        <v>2018</v>
      </c>
      <c r="M484" s="40">
        <v>2019</v>
      </c>
      <c r="N484" s="40">
        <v>2020</v>
      </c>
      <c r="O484" s="963" t="s">
        <v>14823</v>
      </c>
      <c r="P484" s="67"/>
      <c r="Q484" s="54" t="s">
        <v>1527</v>
      </c>
    </row>
    <row r="485" spans="1:17">
      <c r="A485" s="66" t="s">
        <v>756</v>
      </c>
      <c r="C485" s="67"/>
      <c r="D485" s="72">
        <f t="shared" ref="D485:I485" si="157">SUM(D486:D505)</f>
        <v>79183</v>
      </c>
      <c r="E485" s="72">
        <f t="shared" si="157"/>
        <v>79835</v>
      </c>
      <c r="F485" s="72">
        <f t="shared" si="157"/>
        <v>79735</v>
      </c>
      <c r="G485" s="72">
        <f t="shared" si="157"/>
        <v>80407</v>
      </c>
      <c r="H485" s="72">
        <f t="shared" si="157"/>
        <v>80158</v>
      </c>
      <c r="I485" s="72">
        <f t="shared" si="157"/>
        <v>78093</v>
      </c>
      <c r="J485" s="72">
        <f t="shared" ref="J485:O485" si="158">SUM(J486:J505)</f>
        <v>76380</v>
      </c>
      <c r="K485" s="72">
        <f t="shared" si="158"/>
        <v>80523</v>
      </c>
      <c r="L485" s="72">
        <f t="shared" si="158"/>
        <v>79622</v>
      </c>
      <c r="M485" s="73">
        <f t="shared" si="158"/>
        <v>79073</v>
      </c>
      <c r="N485" s="73">
        <f t="shared" si="158"/>
        <v>82426</v>
      </c>
      <c r="O485" s="73">
        <f t="shared" si="158"/>
        <v>82248</v>
      </c>
      <c r="P485" s="67"/>
      <c r="Q485" s="67"/>
    </row>
    <row r="486" spans="1:17">
      <c r="A486" s="66" t="s">
        <v>5387</v>
      </c>
      <c r="B486" s="66" t="s">
        <v>757</v>
      </c>
      <c r="C486" s="55" t="s">
        <v>8242</v>
      </c>
      <c r="D486" s="72">
        <v>5139</v>
      </c>
      <c r="E486" s="72">
        <v>5133</v>
      </c>
      <c r="F486" s="72">
        <v>5167</v>
      </c>
      <c r="G486" s="72">
        <v>5227</v>
      </c>
      <c r="H486" s="95">
        <v>5281</v>
      </c>
      <c r="I486" s="95">
        <v>5227</v>
      </c>
      <c r="J486" s="95">
        <v>5044</v>
      </c>
      <c r="K486" s="95">
        <v>5256</v>
      </c>
      <c r="L486" s="95">
        <v>5228</v>
      </c>
      <c r="M486" s="63">
        <v>5136</v>
      </c>
      <c r="N486" s="63">
        <v>5300</v>
      </c>
      <c r="O486" s="63">
        <v>5294</v>
      </c>
      <c r="P486" s="67"/>
      <c r="Q486" s="66" t="s">
        <v>874</v>
      </c>
    </row>
    <row r="487" spans="1:17">
      <c r="A487" s="66" t="s">
        <v>5389</v>
      </c>
      <c r="B487" s="66" t="s">
        <v>758</v>
      </c>
      <c r="C487" s="55" t="s">
        <v>8243</v>
      </c>
      <c r="D487" s="72">
        <v>3764</v>
      </c>
      <c r="E487" s="72">
        <v>3860</v>
      </c>
      <c r="F487" s="72">
        <v>3925</v>
      </c>
      <c r="G487" s="72">
        <v>3959</v>
      </c>
      <c r="H487" s="95">
        <v>3946</v>
      </c>
      <c r="I487" s="95">
        <v>3881</v>
      </c>
      <c r="J487" s="95">
        <v>3852</v>
      </c>
      <c r="K487" s="95">
        <v>3980</v>
      </c>
      <c r="L487" s="95">
        <v>3940</v>
      </c>
      <c r="M487" s="63">
        <v>3950</v>
      </c>
      <c r="N487" s="63">
        <v>4085</v>
      </c>
      <c r="O487" s="63">
        <v>4076</v>
      </c>
      <c r="P487" s="67"/>
      <c r="Q487" s="66" t="s">
        <v>883</v>
      </c>
    </row>
    <row r="488" spans="1:17">
      <c r="A488" s="66" t="s">
        <v>5391</v>
      </c>
      <c r="B488" s="66" t="s">
        <v>759</v>
      </c>
      <c r="C488" s="55" t="s">
        <v>8244</v>
      </c>
      <c r="D488" s="72">
        <v>3036</v>
      </c>
      <c r="E488" s="72">
        <v>3120</v>
      </c>
      <c r="F488" s="72">
        <v>3083</v>
      </c>
      <c r="G488" s="72">
        <v>3105</v>
      </c>
      <c r="H488" s="95">
        <v>3058</v>
      </c>
      <c r="I488" s="95">
        <v>2871</v>
      </c>
      <c r="J488" s="95">
        <v>2902</v>
      </c>
      <c r="K488" s="95">
        <v>3099</v>
      </c>
      <c r="L488" s="95">
        <v>3019</v>
      </c>
      <c r="M488" s="63">
        <v>2971</v>
      </c>
      <c r="N488" s="63">
        <v>3028</v>
      </c>
      <c r="O488" s="63">
        <v>3019</v>
      </c>
      <c r="P488" s="67"/>
      <c r="Q488" s="66" t="s">
        <v>883</v>
      </c>
    </row>
    <row r="489" spans="1:17">
      <c r="A489" s="66" t="s">
        <v>5393</v>
      </c>
      <c r="B489" s="66" t="s">
        <v>760</v>
      </c>
      <c r="C489" s="55" t="s">
        <v>8245</v>
      </c>
      <c r="D489" s="72">
        <v>1795</v>
      </c>
      <c r="E489" s="72">
        <v>1795</v>
      </c>
      <c r="F489" s="72">
        <v>1800</v>
      </c>
      <c r="G489" s="72">
        <v>1820</v>
      </c>
      <c r="H489" s="95">
        <v>1834</v>
      </c>
      <c r="I489" s="95">
        <v>1795</v>
      </c>
      <c r="J489" s="95">
        <v>1719</v>
      </c>
      <c r="K489" s="95">
        <v>1798</v>
      </c>
      <c r="L489" s="95">
        <v>1753</v>
      </c>
      <c r="M489" s="63">
        <v>1730</v>
      </c>
      <c r="N489" s="63">
        <v>1793</v>
      </c>
      <c r="O489" s="63">
        <v>1793</v>
      </c>
      <c r="P489" s="67"/>
      <c r="Q489" s="66" t="s">
        <v>883</v>
      </c>
    </row>
    <row r="490" spans="1:17">
      <c r="A490" s="66" t="s">
        <v>5394</v>
      </c>
      <c r="B490" s="66" t="s">
        <v>761</v>
      </c>
      <c r="C490" s="55" t="s">
        <v>8246</v>
      </c>
      <c r="D490" s="72">
        <v>5378</v>
      </c>
      <c r="E490" s="72">
        <v>5445</v>
      </c>
      <c r="F490" s="72">
        <v>5220</v>
      </c>
      <c r="G490" s="72">
        <v>5276</v>
      </c>
      <c r="H490" s="95">
        <v>5355</v>
      </c>
      <c r="I490" s="95">
        <v>5116</v>
      </c>
      <c r="J490" s="95">
        <v>4994</v>
      </c>
      <c r="K490" s="95">
        <v>5414</v>
      </c>
      <c r="L490" s="95">
        <v>5319</v>
      </c>
      <c r="M490" s="63">
        <v>5260</v>
      </c>
      <c r="N490" s="63">
        <v>5747</v>
      </c>
      <c r="O490" s="63">
        <v>5725</v>
      </c>
      <c r="P490" s="67"/>
      <c r="Q490" s="66" t="s">
        <v>883</v>
      </c>
    </row>
    <row r="491" spans="1:17">
      <c r="A491" s="66" t="s">
        <v>5416</v>
      </c>
      <c r="B491" s="66" t="s">
        <v>762</v>
      </c>
      <c r="C491" s="55" t="s">
        <v>8247</v>
      </c>
      <c r="D491" s="72">
        <v>1680</v>
      </c>
      <c r="E491" s="72">
        <v>1674</v>
      </c>
      <c r="F491" s="72">
        <v>1666</v>
      </c>
      <c r="G491" s="72">
        <v>1681</v>
      </c>
      <c r="H491" s="95">
        <v>1685</v>
      </c>
      <c r="I491" s="95">
        <v>1631</v>
      </c>
      <c r="J491" s="95">
        <v>1571</v>
      </c>
      <c r="K491" s="95">
        <v>1671</v>
      </c>
      <c r="L491" s="95">
        <v>1668</v>
      </c>
      <c r="M491" s="63">
        <v>1666</v>
      </c>
      <c r="N491" s="63">
        <v>1744</v>
      </c>
      <c r="O491" s="63">
        <v>1741</v>
      </c>
      <c r="P491" s="67"/>
      <c r="Q491" s="66" t="s">
        <v>874</v>
      </c>
    </row>
    <row r="492" spans="1:17">
      <c r="A492" s="66" t="s">
        <v>5418</v>
      </c>
      <c r="B492" s="66" t="s">
        <v>763</v>
      </c>
      <c r="C492" s="55" t="s">
        <v>8248</v>
      </c>
      <c r="D492" s="72">
        <v>3214</v>
      </c>
      <c r="E492" s="72">
        <v>3291</v>
      </c>
      <c r="F492" s="72">
        <v>3342</v>
      </c>
      <c r="G492" s="72">
        <v>3403</v>
      </c>
      <c r="H492" s="95">
        <v>3445</v>
      </c>
      <c r="I492" s="95">
        <v>3424</v>
      </c>
      <c r="J492" s="95">
        <v>3340</v>
      </c>
      <c r="K492" s="95">
        <v>3498</v>
      </c>
      <c r="L492" s="95">
        <v>3479</v>
      </c>
      <c r="M492" s="63">
        <v>3475</v>
      </c>
      <c r="N492" s="63">
        <v>3533</v>
      </c>
      <c r="O492" s="63">
        <v>3527</v>
      </c>
      <c r="P492" s="67"/>
      <c r="Q492" s="66" t="s">
        <v>883</v>
      </c>
    </row>
    <row r="493" spans="1:17">
      <c r="A493" s="66" t="s">
        <v>5420</v>
      </c>
      <c r="B493" s="66" t="s">
        <v>764</v>
      </c>
      <c r="C493" s="55" t="s">
        <v>8249</v>
      </c>
      <c r="D493" s="72">
        <v>4530</v>
      </c>
      <c r="E493" s="72">
        <v>4606</v>
      </c>
      <c r="F493" s="72">
        <v>4539</v>
      </c>
      <c r="G493" s="72">
        <v>4610</v>
      </c>
      <c r="H493" s="95">
        <v>4604</v>
      </c>
      <c r="I493" s="95">
        <v>4527</v>
      </c>
      <c r="J493" s="95">
        <v>4402</v>
      </c>
      <c r="K493" s="95">
        <v>4644</v>
      </c>
      <c r="L493" s="95">
        <v>4620</v>
      </c>
      <c r="M493" s="63">
        <v>4616</v>
      </c>
      <c r="N493" s="63">
        <v>4905</v>
      </c>
      <c r="O493" s="63">
        <v>4886</v>
      </c>
      <c r="P493" s="67"/>
      <c r="Q493" s="66" t="s">
        <v>883</v>
      </c>
    </row>
    <row r="494" spans="1:17">
      <c r="A494" s="66" t="s">
        <v>5422</v>
      </c>
      <c r="B494" s="66" t="s">
        <v>70</v>
      </c>
      <c r="C494" s="55" t="s">
        <v>8250</v>
      </c>
      <c r="D494" s="72">
        <v>3064</v>
      </c>
      <c r="E494" s="72">
        <v>3141</v>
      </c>
      <c r="F494" s="72">
        <v>3132</v>
      </c>
      <c r="G494" s="72">
        <v>3114</v>
      </c>
      <c r="H494" s="95">
        <v>3101</v>
      </c>
      <c r="I494" s="95">
        <v>3019</v>
      </c>
      <c r="J494" s="95">
        <v>2913</v>
      </c>
      <c r="K494" s="95">
        <v>3049</v>
      </c>
      <c r="L494" s="95">
        <v>3000</v>
      </c>
      <c r="M494" s="63">
        <v>3009</v>
      </c>
      <c r="N494" s="63">
        <v>3090</v>
      </c>
      <c r="O494" s="63">
        <v>3089</v>
      </c>
      <c r="P494" s="67"/>
      <c r="Q494" s="66" t="s">
        <v>883</v>
      </c>
    </row>
    <row r="495" spans="1:17">
      <c r="A495" s="66" t="s">
        <v>5424</v>
      </c>
      <c r="B495" s="66" t="s">
        <v>71</v>
      </c>
      <c r="C495" s="55" t="s">
        <v>8251</v>
      </c>
      <c r="D495" s="72">
        <v>2941</v>
      </c>
      <c r="E495" s="72">
        <v>2913</v>
      </c>
      <c r="F495" s="72">
        <v>2890</v>
      </c>
      <c r="G495" s="72">
        <v>2932</v>
      </c>
      <c r="H495" s="95">
        <v>2948</v>
      </c>
      <c r="I495" s="95">
        <v>2885</v>
      </c>
      <c r="J495" s="95">
        <v>2755</v>
      </c>
      <c r="K495" s="95">
        <v>2865</v>
      </c>
      <c r="L495" s="95">
        <v>2798</v>
      </c>
      <c r="M495" s="63">
        <v>2784</v>
      </c>
      <c r="N495" s="63">
        <v>2885</v>
      </c>
      <c r="O495" s="63">
        <v>2881</v>
      </c>
      <c r="P495" s="67"/>
      <c r="Q495" s="66" t="s">
        <v>883</v>
      </c>
    </row>
    <row r="496" spans="1:17">
      <c r="A496" s="66" t="s">
        <v>5426</v>
      </c>
      <c r="B496" s="66" t="s">
        <v>72</v>
      </c>
      <c r="C496" s="55" t="s">
        <v>8252</v>
      </c>
      <c r="D496" s="72">
        <v>4999</v>
      </c>
      <c r="E496" s="72">
        <v>5091</v>
      </c>
      <c r="F496" s="72">
        <v>5087</v>
      </c>
      <c r="G496" s="72">
        <v>5079</v>
      </c>
      <c r="H496" s="95">
        <v>4985</v>
      </c>
      <c r="I496" s="95">
        <v>4820</v>
      </c>
      <c r="J496" s="95">
        <v>4745</v>
      </c>
      <c r="K496" s="95">
        <v>5018</v>
      </c>
      <c r="L496" s="95">
        <v>4939</v>
      </c>
      <c r="M496" s="63">
        <v>4906</v>
      </c>
      <c r="N496" s="63">
        <v>5131</v>
      </c>
      <c r="O496" s="63">
        <v>5116</v>
      </c>
      <c r="P496" s="67"/>
      <c r="Q496" s="66" t="s">
        <v>883</v>
      </c>
    </row>
    <row r="497" spans="1:17">
      <c r="A497" s="66" t="s">
        <v>5428</v>
      </c>
      <c r="B497" s="66" t="s">
        <v>1645</v>
      </c>
      <c r="C497" s="55" t="s">
        <v>8253</v>
      </c>
      <c r="D497" s="72">
        <v>5271</v>
      </c>
      <c r="E497" s="72">
        <v>5316</v>
      </c>
      <c r="F497" s="72">
        <v>5280</v>
      </c>
      <c r="G497" s="72">
        <v>5489</v>
      </c>
      <c r="H497" s="95">
        <v>5403</v>
      </c>
      <c r="I497" s="95">
        <v>5216</v>
      </c>
      <c r="J497" s="95">
        <v>5054</v>
      </c>
      <c r="K497" s="95">
        <v>5414</v>
      </c>
      <c r="L497" s="95">
        <v>5342</v>
      </c>
      <c r="M497" s="63">
        <v>5211</v>
      </c>
      <c r="N497" s="63">
        <v>5479</v>
      </c>
      <c r="O497" s="63">
        <v>5460</v>
      </c>
      <c r="P497" s="67"/>
      <c r="Q497" s="66" t="s">
        <v>883</v>
      </c>
    </row>
    <row r="498" spans="1:17">
      <c r="A498" s="66" t="s">
        <v>5429</v>
      </c>
      <c r="B498" s="66" t="s">
        <v>73</v>
      </c>
      <c r="C498" s="55" t="s">
        <v>8254</v>
      </c>
      <c r="D498" s="72">
        <v>4504</v>
      </c>
      <c r="E498" s="72">
        <v>4460</v>
      </c>
      <c r="F498" s="72">
        <v>4440</v>
      </c>
      <c r="G498" s="72">
        <v>4390</v>
      </c>
      <c r="H498" s="95">
        <v>4385</v>
      </c>
      <c r="I498" s="95">
        <v>4364</v>
      </c>
      <c r="J498" s="95">
        <v>4268</v>
      </c>
      <c r="K498" s="95">
        <v>4404</v>
      </c>
      <c r="L498" s="95">
        <v>4353</v>
      </c>
      <c r="M498" s="63">
        <v>4318</v>
      </c>
      <c r="N498" s="63">
        <v>4439</v>
      </c>
      <c r="O498" s="63">
        <v>4428</v>
      </c>
      <c r="P498" s="67"/>
      <c r="Q498" s="66" t="s">
        <v>883</v>
      </c>
    </row>
    <row r="499" spans="1:17">
      <c r="A499" s="66" t="s">
        <v>5431</v>
      </c>
      <c r="B499" s="66" t="s">
        <v>74</v>
      </c>
      <c r="C499" s="55" t="s">
        <v>8255</v>
      </c>
      <c r="D499" s="72">
        <v>3558</v>
      </c>
      <c r="E499" s="72">
        <v>3526</v>
      </c>
      <c r="F499" s="72">
        <v>3555</v>
      </c>
      <c r="G499" s="72">
        <v>3626</v>
      </c>
      <c r="H499" s="95">
        <v>3556</v>
      </c>
      <c r="I499" s="95">
        <v>3370</v>
      </c>
      <c r="J499" s="95">
        <v>3371</v>
      </c>
      <c r="K499" s="95">
        <v>3560</v>
      </c>
      <c r="L499" s="95">
        <v>3457</v>
      </c>
      <c r="M499" s="63">
        <v>3498</v>
      </c>
      <c r="N499" s="63">
        <v>3620</v>
      </c>
      <c r="O499" s="63">
        <v>3612</v>
      </c>
      <c r="P499" s="67"/>
      <c r="Q499" s="66" t="s">
        <v>883</v>
      </c>
    </row>
    <row r="500" spans="1:17">
      <c r="A500" s="66" t="s">
        <v>5433</v>
      </c>
      <c r="B500" s="66" t="s">
        <v>4234</v>
      </c>
      <c r="C500" s="55" t="s">
        <v>8256</v>
      </c>
      <c r="D500" s="72">
        <v>3866</v>
      </c>
      <c r="E500" s="72">
        <v>3866</v>
      </c>
      <c r="F500" s="72">
        <v>3843</v>
      </c>
      <c r="G500" s="72">
        <v>3831</v>
      </c>
      <c r="H500" s="95">
        <v>3932</v>
      </c>
      <c r="I500" s="95">
        <v>3794</v>
      </c>
      <c r="J500" s="95">
        <v>3753</v>
      </c>
      <c r="K500" s="95">
        <v>4019</v>
      </c>
      <c r="L500" s="95">
        <v>3883</v>
      </c>
      <c r="M500" s="63">
        <v>3797</v>
      </c>
      <c r="N500" s="63">
        <v>4058</v>
      </c>
      <c r="O500" s="63">
        <v>4042</v>
      </c>
      <c r="P500" s="67"/>
      <c r="Q500" s="66" t="s">
        <v>883</v>
      </c>
    </row>
    <row r="501" spans="1:17">
      <c r="A501" s="66" t="s">
        <v>5435</v>
      </c>
      <c r="B501" s="66" t="s">
        <v>4949</v>
      </c>
      <c r="C501" s="55" t="s">
        <v>8257</v>
      </c>
      <c r="D501" s="72">
        <v>4864</v>
      </c>
      <c r="E501" s="72">
        <v>4931</v>
      </c>
      <c r="F501" s="72">
        <v>5056</v>
      </c>
      <c r="G501" s="72">
        <v>5047</v>
      </c>
      <c r="H501" s="95">
        <v>5061</v>
      </c>
      <c r="I501" s="95">
        <v>5001</v>
      </c>
      <c r="J501" s="95">
        <v>4811</v>
      </c>
      <c r="K501" s="95">
        <v>5015</v>
      </c>
      <c r="L501" s="95">
        <v>4929</v>
      </c>
      <c r="M501" s="63">
        <v>4943</v>
      </c>
      <c r="N501" s="63">
        <v>5149</v>
      </c>
      <c r="O501" s="63">
        <v>5148</v>
      </c>
      <c r="P501" s="67"/>
      <c r="Q501" s="66" t="s">
        <v>883</v>
      </c>
    </row>
    <row r="502" spans="1:17">
      <c r="A502" s="66" t="s">
        <v>5436</v>
      </c>
      <c r="B502" s="66" t="s">
        <v>75</v>
      </c>
      <c r="C502" s="55" t="s">
        <v>8258</v>
      </c>
      <c r="D502" s="72">
        <v>4716</v>
      </c>
      <c r="E502" s="72">
        <v>4731</v>
      </c>
      <c r="F502" s="72">
        <v>4640</v>
      </c>
      <c r="G502" s="72">
        <v>4680</v>
      </c>
      <c r="H502" s="95">
        <v>4536</v>
      </c>
      <c r="I502" s="95">
        <v>4431</v>
      </c>
      <c r="J502" s="95">
        <v>4391</v>
      </c>
      <c r="K502" s="95">
        <v>4718</v>
      </c>
      <c r="L502" s="95">
        <v>4887</v>
      </c>
      <c r="M502" s="63">
        <v>4949</v>
      </c>
      <c r="N502" s="63">
        <v>5242</v>
      </c>
      <c r="O502" s="63">
        <v>5237</v>
      </c>
      <c r="P502" s="67"/>
      <c r="Q502" s="66" t="s">
        <v>883</v>
      </c>
    </row>
    <row r="503" spans="1:17">
      <c r="A503" s="66" t="s">
        <v>5437</v>
      </c>
      <c r="B503" s="66" t="s">
        <v>599</v>
      </c>
      <c r="C503" s="55" t="s">
        <v>8259</v>
      </c>
      <c r="D503" s="72">
        <v>5124</v>
      </c>
      <c r="E503" s="72">
        <v>5181</v>
      </c>
      <c r="F503" s="72">
        <v>5250</v>
      </c>
      <c r="G503" s="72">
        <v>5301</v>
      </c>
      <c r="H503" s="95">
        <v>5194</v>
      </c>
      <c r="I503" s="95">
        <v>5065</v>
      </c>
      <c r="J503" s="95">
        <v>4981</v>
      </c>
      <c r="K503" s="95">
        <v>5240</v>
      </c>
      <c r="L503" s="95">
        <v>5229</v>
      </c>
      <c r="M503" s="63">
        <v>5179</v>
      </c>
      <c r="N503" s="63">
        <v>5327</v>
      </c>
      <c r="O503" s="63">
        <v>5319</v>
      </c>
      <c r="P503" s="67"/>
      <c r="Q503" s="66" t="s">
        <v>883</v>
      </c>
    </row>
    <row r="504" spans="1:17">
      <c r="A504" s="66" t="s">
        <v>5439</v>
      </c>
      <c r="B504" s="66" t="s">
        <v>600</v>
      </c>
      <c r="C504" s="55" t="s">
        <v>8260</v>
      </c>
      <c r="D504" s="72">
        <v>3152</v>
      </c>
      <c r="E504" s="72">
        <v>3157</v>
      </c>
      <c r="F504" s="72">
        <v>3181</v>
      </c>
      <c r="G504" s="72">
        <v>3198</v>
      </c>
      <c r="H504" s="95">
        <v>3227</v>
      </c>
      <c r="I504" s="95">
        <v>3129</v>
      </c>
      <c r="J504" s="95">
        <v>3051</v>
      </c>
      <c r="K504" s="95">
        <v>3177</v>
      </c>
      <c r="L504" s="95">
        <v>3151</v>
      </c>
      <c r="M504" s="63">
        <v>3097</v>
      </c>
      <c r="N504" s="63">
        <v>3226</v>
      </c>
      <c r="O504" s="63">
        <v>3225</v>
      </c>
      <c r="P504" s="67"/>
      <c r="Q504" s="66" t="s">
        <v>883</v>
      </c>
    </row>
    <row r="505" spans="1:17">
      <c r="A505" s="66" t="s">
        <v>5441</v>
      </c>
      <c r="B505" s="66" t="s">
        <v>601</v>
      </c>
      <c r="C505" s="55" t="s">
        <v>8261</v>
      </c>
      <c r="D505" s="72">
        <v>4588</v>
      </c>
      <c r="E505" s="72">
        <v>4598</v>
      </c>
      <c r="F505" s="72">
        <v>4639</v>
      </c>
      <c r="G505" s="72">
        <v>4639</v>
      </c>
      <c r="H505" s="95">
        <v>4622</v>
      </c>
      <c r="I505" s="95">
        <v>4527</v>
      </c>
      <c r="J505" s="95">
        <v>4463</v>
      </c>
      <c r="K505" s="95">
        <v>4684</v>
      </c>
      <c r="L505" s="95">
        <v>4628</v>
      </c>
      <c r="M505" s="63">
        <v>4578</v>
      </c>
      <c r="N505" s="63">
        <v>4645</v>
      </c>
      <c r="O505" s="63">
        <v>4630</v>
      </c>
      <c r="P505" s="67"/>
      <c r="Q505" s="66" t="s">
        <v>883</v>
      </c>
    </row>
    <row r="506" spans="1:17">
      <c r="A506" s="67"/>
      <c r="B506" s="67"/>
      <c r="C506" s="67"/>
      <c r="D506" s="72"/>
      <c r="E506" s="72"/>
      <c r="F506" s="72"/>
      <c r="G506" s="72"/>
      <c r="H506" s="72"/>
      <c r="I506" s="72"/>
      <c r="J506" s="72"/>
      <c r="K506" s="72"/>
      <c r="L506" s="72"/>
      <c r="M506" s="84"/>
      <c r="N506" s="84"/>
      <c r="O506" s="84"/>
      <c r="P506" s="67"/>
      <c r="Q506" s="67"/>
    </row>
    <row r="507" spans="1:17">
      <c r="A507" s="66" t="s">
        <v>965</v>
      </c>
      <c r="D507" s="72">
        <f t="shared" ref="D507:I507" si="159">D486+D491</f>
        <v>6819</v>
      </c>
      <c r="E507" s="72">
        <f t="shared" si="159"/>
        <v>6807</v>
      </c>
      <c r="F507" s="72">
        <f t="shared" si="159"/>
        <v>6833</v>
      </c>
      <c r="G507" s="72">
        <f t="shared" si="159"/>
        <v>6908</v>
      </c>
      <c r="H507" s="72">
        <f t="shared" si="159"/>
        <v>6966</v>
      </c>
      <c r="I507" s="72">
        <f t="shared" si="159"/>
        <v>6858</v>
      </c>
      <c r="J507" s="72">
        <f t="shared" ref="J507:O507" si="160">J486+J491</f>
        <v>6615</v>
      </c>
      <c r="K507" s="72">
        <f t="shared" si="160"/>
        <v>6927</v>
      </c>
      <c r="L507" s="72">
        <f t="shared" si="160"/>
        <v>6896</v>
      </c>
      <c r="M507" s="73">
        <f t="shared" si="160"/>
        <v>6802</v>
      </c>
      <c r="N507" s="73">
        <f t="shared" si="160"/>
        <v>7044</v>
      </c>
      <c r="O507" s="73">
        <f t="shared" si="160"/>
        <v>7035</v>
      </c>
      <c r="P507" s="67"/>
      <c r="Q507" s="67"/>
    </row>
    <row r="508" spans="1:17">
      <c r="A508" s="66" t="s">
        <v>883</v>
      </c>
      <c r="D508" s="72">
        <f t="shared" ref="D508:I508" si="161">SUM(D487:D490)+SUM(D492:D505)</f>
        <v>72364</v>
      </c>
      <c r="E508" s="72">
        <f t="shared" si="161"/>
        <v>73028</v>
      </c>
      <c r="F508" s="72">
        <f t="shared" si="161"/>
        <v>72902</v>
      </c>
      <c r="G508" s="72">
        <f t="shared" si="161"/>
        <v>73499</v>
      </c>
      <c r="H508" s="72">
        <f t="shared" si="161"/>
        <v>73192</v>
      </c>
      <c r="I508" s="72">
        <f t="shared" si="161"/>
        <v>71235</v>
      </c>
      <c r="J508" s="72">
        <f t="shared" ref="J508:O508" si="162">SUM(J487:J490)+SUM(J492:J505)</f>
        <v>69765</v>
      </c>
      <c r="K508" s="72">
        <f t="shared" si="162"/>
        <v>73596</v>
      </c>
      <c r="L508" s="72">
        <f t="shared" si="162"/>
        <v>72726</v>
      </c>
      <c r="M508" s="73">
        <f t="shared" si="162"/>
        <v>72271</v>
      </c>
      <c r="N508" s="73">
        <f t="shared" si="162"/>
        <v>75382</v>
      </c>
      <c r="O508" s="73">
        <f t="shared" si="162"/>
        <v>75213</v>
      </c>
      <c r="P508" s="67"/>
      <c r="Q508" s="67"/>
    </row>
    <row r="509" spans="1:17">
      <c r="A509" s="67"/>
      <c r="B509" s="67"/>
      <c r="C509" s="67"/>
      <c r="D509" s="71"/>
      <c r="E509" s="71"/>
      <c r="F509" s="71"/>
      <c r="G509" s="71"/>
      <c r="H509" s="71"/>
      <c r="I509" s="71"/>
      <c r="J509" s="71"/>
      <c r="K509" s="71"/>
      <c r="L509" s="71"/>
      <c r="M509" s="67"/>
      <c r="N509" s="67"/>
      <c r="O509" s="67"/>
      <c r="P509" s="67"/>
      <c r="Q509" s="67"/>
    </row>
    <row r="510" spans="1:17">
      <c r="A510" s="66" t="s">
        <v>602</v>
      </c>
      <c r="B510" s="67"/>
      <c r="C510" s="67"/>
      <c r="D510" s="71"/>
      <c r="E510" s="71"/>
      <c r="F510" s="71"/>
      <c r="G510" s="71"/>
      <c r="H510" s="71"/>
      <c r="I510" s="71"/>
      <c r="J510" s="71"/>
      <c r="K510" s="71"/>
      <c r="L510" s="71"/>
      <c r="M510" s="67"/>
      <c r="N510" s="67"/>
      <c r="O510" s="67"/>
      <c r="P510" s="67"/>
      <c r="Q510" s="67"/>
    </row>
    <row r="511" spans="1:17">
      <c r="A511" s="67"/>
      <c r="B511" s="67"/>
      <c r="C511" s="67"/>
      <c r="D511" s="71"/>
      <c r="E511" s="71"/>
      <c r="F511" s="71"/>
      <c r="G511" s="71"/>
      <c r="H511" s="71"/>
      <c r="I511" s="71"/>
      <c r="J511" s="71"/>
      <c r="K511" s="71"/>
      <c r="L511" s="71"/>
      <c r="M511" s="67"/>
      <c r="N511" s="67"/>
      <c r="O511" s="67"/>
      <c r="P511" s="67"/>
      <c r="Q511" s="67"/>
    </row>
    <row r="512" spans="1:17">
      <c r="A512" s="67"/>
      <c r="B512" s="67"/>
      <c r="C512" s="67"/>
      <c r="D512" s="71"/>
      <c r="E512" s="71"/>
      <c r="F512" s="71"/>
      <c r="G512" s="71"/>
      <c r="H512" s="71"/>
      <c r="I512" s="71"/>
      <c r="J512" s="71"/>
      <c r="K512" s="71"/>
      <c r="L512" s="71"/>
      <c r="M512" s="67"/>
      <c r="N512" s="67"/>
      <c r="O512" s="67"/>
      <c r="P512" s="67"/>
      <c r="Q512" s="67"/>
    </row>
    <row r="513" spans="1:17">
      <c r="A513" s="67"/>
      <c r="B513" s="67"/>
      <c r="C513" s="67"/>
      <c r="D513" s="71"/>
      <c r="E513" s="71"/>
      <c r="F513" s="71"/>
      <c r="G513" s="71"/>
      <c r="H513" s="71"/>
      <c r="I513" s="71"/>
      <c r="J513" s="71"/>
      <c r="K513" s="71"/>
      <c r="L513" s="71"/>
      <c r="M513" s="67"/>
      <c r="N513" s="67"/>
      <c r="O513" s="67"/>
      <c r="P513" s="67"/>
      <c r="Q513" s="67"/>
    </row>
    <row r="514" spans="1:17">
      <c r="A514" s="67"/>
      <c r="B514" s="67"/>
      <c r="C514" s="67"/>
      <c r="D514" s="71"/>
      <c r="E514" s="71"/>
      <c r="F514" s="71"/>
      <c r="G514" s="71"/>
      <c r="H514" s="71"/>
      <c r="I514" s="71"/>
      <c r="J514" s="71"/>
      <c r="K514" s="71"/>
      <c r="L514" s="71"/>
      <c r="M514" s="67"/>
      <c r="N514" s="67"/>
      <c r="O514" s="67"/>
      <c r="P514" s="67"/>
      <c r="Q514" s="67"/>
    </row>
    <row r="515" spans="1:17">
      <c r="A515" s="67"/>
      <c r="B515" s="67"/>
      <c r="C515" s="67"/>
      <c r="D515" s="71"/>
      <c r="E515" s="71"/>
      <c r="F515" s="71"/>
      <c r="G515" s="71"/>
      <c r="H515" s="71"/>
      <c r="I515" s="71"/>
      <c r="J515" s="71"/>
      <c r="K515" s="71"/>
      <c r="L515" s="71"/>
      <c r="M515" s="67"/>
      <c r="N515" s="67"/>
      <c r="O515" s="67"/>
      <c r="P515" s="67"/>
      <c r="Q515" s="67"/>
    </row>
    <row r="516" spans="1:17">
      <c r="A516" s="67"/>
      <c r="B516" s="67"/>
      <c r="C516" s="67"/>
      <c r="D516" s="71"/>
      <c r="E516" s="71"/>
      <c r="F516" s="71"/>
      <c r="G516" s="71"/>
      <c r="H516" s="71"/>
      <c r="I516" s="71"/>
      <c r="J516" s="71"/>
      <c r="K516" s="71"/>
      <c r="L516" s="71"/>
      <c r="M516" s="67"/>
      <c r="N516" s="67"/>
      <c r="O516" s="67"/>
      <c r="P516" s="67"/>
      <c r="Q516" s="67"/>
    </row>
    <row r="517" spans="1:17">
      <c r="A517" s="67"/>
      <c r="B517" s="67"/>
      <c r="C517" s="67"/>
      <c r="D517" s="71"/>
      <c r="E517" s="71"/>
      <c r="F517" s="71"/>
      <c r="G517" s="71"/>
      <c r="H517" s="71"/>
      <c r="I517" s="71"/>
      <c r="J517" s="71"/>
      <c r="K517" s="71"/>
      <c r="L517" s="71"/>
      <c r="M517" s="67"/>
      <c r="N517" s="67"/>
      <c r="O517" s="67"/>
      <c r="P517" s="67"/>
      <c r="Q517" s="67"/>
    </row>
    <row r="518" spans="1:17">
      <c r="A518" s="67"/>
      <c r="B518" s="67"/>
      <c r="C518" s="67"/>
      <c r="D518" s="71"/>
      <c r="E518" s="71"/>
      <c r="F518" s="71"/>
      <c r="G518" s="71"/>
      <c r="H518" s="71"/>
      <c r="I518" s="71"/>
      <c r="J518" s="71"/>
      <c r="K518" s="71"/>
      <c r="L518" s="71"/>
      <c r="M518" s="67"/>
      <c r="N518" s="67"/>
      <c r="O518" s="67"/>
      <c r="P518" s="67"/>
      <c r="Q518" s="67"/>
    </row>
    <row r="519" spans="1:17">
      <c r="A519" s="67"/>
      <c r="B519" s="67"/>
      <c r="C519" s="67"/>
      <c r="D519" s="71"/>
      <c r="E519" s="71"/>
      <c r="F519" s="71"/>
      <c r="G519" s="71"/>
      <c r="H519" s="71"/>
      <c r="I519" s="71"/>
      <c r="J519" s="71"/>
      <c r="K519" s="71"/>
      <c r="L519" s="71"/>
      <c r="M519" s="67"/>
      <c r="N519" s="67"/>
      <c r="O519" s="67"/>
      <c r="P519" s="67"/>
      <c r="Q519" s="67"/>
    </row>
    <row r="520" spans="1:17">
      <c r="A520" s="67"/>
      <c r="B520" s="67"/>
      <c r="C520" s="67"/>
      <c r="D520" s="71"/>
      <c r="E520" s="71"/>
      <c r="F520" s="71"/>
      <c r="G520" s="71"/>
      <c r="H520" s="71"/>
      <c r="I520" s="71"/>
      <c r="J520" s="71"/>
      <c r="K520" s="71"/>
      <c r="L520" s="71"/>
      <c r="M520" s="67"/>
      <c r="N520" s="67"/>
      <c r="O520" s="67"/>
      <c r="P520" s="67"/>
      <c r="Q520" s="67"/>
    </row>
    <row r="521" spans="1:17">
      <c r="A521" s="67"/>
      <c r="B521" s="67"/>
      <c r="C521" s="67"/>
      <c r="D521" s="71"/>
      <c r="E521" s="71"/>
      <c r="F521" s="71"/>
      <c r="G521" s="71"/>
      <c r="H521" s="71"/>
      <c r="I521" s="71"/>
      <c r="J521" s="71"/>
      <c r="K521" s="71"/>
      <c r="L521" s="71"/>
      <c r="M521" s="67"/>
      <c r="N521" s="67"/>
      <c r="O521" s="67"/>
      <c r="P521" s="67"/>
      <c r="Q521" s="67"/>
    </row>
    <row r="522" spans="1:17">
      <c r="A522" s="67"/>
      <c r="B522" s="67"/>
      <c r="C522" s="67"/>
      <c r="D522" s="71"/>
      <c r="E522" s="71"/>
      <c r="F522" s="71"/>
      <c r="G522" s="71"/>
      <c r="H522" s="71"/>
      <c r="I522" s="71"/>
      <c r="J522" s="71"/>
      <c r="K522" s="71"/>
      <c r="L522" s="71"/>
      <c r="M522" s="67"/>
      <c r="N522" s="67"/>
      <c r="O522" s="67"/>
      <c r="P522" s="67"/>
      <c r="Q522" s="67"/>
    </row>
    <row r="523" spans="1:17">
      <c r="A523" s="67"/>
      <c r="B523" s="67"/>
      <c r="C523" s="67"/>
      <c r="D523" s="71"/>
      <c r="E523" s="71"/>
      <c r="F523" s="71"/>
      <c r="G523" s="71"/>
      <c r="H523" s="71"/>
      <c r="I523" s="71"/>
      <c r="J523" s="71"/>
      <c r="K523" s="71"/>
      <c r="L523" s="71"/>
      <c r="M523" s="67"/>
      <c r="N523" s="67"/>
      <c r="O523" s="67"/>
      <c r="P523" s="67"/>
      <c r="Q523" s="67"/>
    </row>
    <row r="524" spans="1:17">
      <c r="A524" s="67"/>
      <c r="B524" s="67"/>
      <c r="C524" s="67"/>
      <c r="D524" s="71"/>
      <c r="E524" s="71"/>
      <c r="F524" s="71"/>
      <c r="G524" s="71"/>
      <c r="H524" s="71"/>
      <c r="I524" s="71"/>
      <c r="J524" s="71"/>
      <c r="K524" s="71"/>
      <c r="L524" s="71"/>
      <c r="M524" s="67"/>
      <c r="N524" s="67"/>
      <c r="O524" s="67"/>
      <c r="P524" s="67"/>
      <c r="Q524" s="67"/>
    </row>
    <row r="525" spans="1:17">
      <c r="A525" s="67"/>
      <c r="B525" s="67"/>
      <c r="C525" s="67"/>
      <c r="D525" s="71"/>
      <c r="E525" s="71"/>
      <c r="F525" s="71"/>
      <c r="G525" s="71"/>
      <c r="H525" s="71"/>
      <c r="I525" s="71"/>
      <c r="J525" s="71"/>
      <c r="K525" s="71"/>
      <c r="L525" s="71"/>
      <c r="M525" s="67"/>
      <c r="N525" s="67"/>
      <c r="O525" s="67"/>
      <c r="P525" s="67"/>
      <c r="Q525" s="67"/>
    </row>
    <row r="526" spans="1:17">
      <c r="A526" s="67"/>
      <c r="B526" s="67"/>
      <c r="C526" s="67"/>
      <c r="D526" s="71"/>
      <c r="E526" s="71"/>
      <c r="F526" s="71"/>
      <c r="G526" s="71"/>
      <c r="H526" s="71"/>
      <c r="I526" s="71"/>
      <c r="J526" s="71"/>
      <c r="K526" s="71"/>
      <c r="L526" s="71"/>
      <c r="M526" s="67"/>
      <c r="N526" s="67"/>
      <c r="O526" s="67"/>
      <c r="P526" s="67"/>
      <c r="Q526" s="67"/>
    </row>
    <row r="527" spans="1:17">
      <c r="A527" s="67"/>
      <c r="B527" s="67"/>
      <c r="C527" s="67"/>
      <c r="D527" s="71"/>
      <c r="E527" s="71"/>
      <c r="F527" s="71"/>
      <c r="G527" s="71"/>
      <c r="H527" s="71"/>
      <c r="I527" s="71"/>
      <c r="J527" s="71"/>
      <c r="K527" s="71"/>
      <c r="L527" s="71"/>
      <c r="M527" s="67"/>
      <c r="N527" s="67"/>
      <c r="O527" s="67"/>
      <c r="P527" s="67"/>
      <c r="Q527" s="67"/>
    </row>
    <row r="528" spans="1:17">
      <c r="A528" s="67"/>
      <c r="B528" s="67"/>
      <c r="C528" s="67"/>
      <c r="D528" s="71"/>
      <c r="E528" s="71"/>
      <c r="F528" s="71"/>
      <c r="G528" s="71"/>
      <c r="H528" s="71"/>
      <c r="I528" s="71"/>
      <c r="J528" s="71"/>
      <c r="K528" s="71"/>
      <c r="L528" s="71"/>
      <c r="M528" s="67"/>
      <c r="N528" s="67"/>
      <c r="O528" s="67"/>
      <c r="P528" s="67"/>
      <c r="Q528" s="67"/>
    </row>
    <row r="529" spans="1:17">
      <c r="A529" s="67"/>
      <c r="B529" s="67"/>
      <c r="C529" s="67"/>
      <c r="D529" s="71"/>
      <c r="E529" s="71"/>
      <c r="F529" s="71"/>
      <c r="G529" s="71"/>
      <c r="H529" s="71"/>
      <c r="I529" s="71"/>
      <c r="J529" s="71"/>
      <c r="K529" s="71"/>
      <c r="L529" s="71"/>
      <c r="M529" s="67"/>
      <c r="N529" s="67"/>
      <c r="O529" s="67"/>
      <c r="P529" s="67"/>
      <c r="Q529" s="67"/>
    </row>
    <row r="530" spans="1:17">
      <c r="A530" s="67"/>
      <c r="B530" s="67"/>
      <c r="C530" s="67"/>
      <c r="D530" s="71"/>
      <c r="E530" s="71"/>
      <c r="F530" s="71"/>
      <c r="G530" s="71"/>
      <c r="H530" s="71"/>
      <c r="I530" s="71"/>
      <c r="J530" s="71"/>
      <c r="K530" s="71"/>
      <c r="L530" s="71"/>
      <c r="M530" s="67"/>
      <c r="N530" s="67"/>
      <c r="O530" s="67"/>
      <c r="P530" s="67"/>
      <c r="Q530" s="67"/>
    </row>
    <row r="531" spans="1:17">
      <c r="A531" s="67"/>
      <c r="B531" s="67"/>
      <c r="C531" s="67"/>
      <c r="D531" s="71"/>
      <c r="E531" s="71"/>
      <c r="F531" s="71"/>
      <c r="G531" s="71"/>
      <c r="H531" s="71"/>
      <c r="I531" s="71"/>
      <c r="J531" s="71"/>
      <c r="K531" s="71"/>
      <c r="L531" s="71"/>
      <c r="M531" s="67"/>
      <c r="N531" s="67"/>
      <c r="O531" s="67"/>
      <c r="P531" s="67"/>
      <c r="Q531" s="67"/>
    </row>
    <row r="532" spans="1:17">
      <c r="A532" s="67"/>
      <c r="B532" s="67"/>
      <c r="C532" s="67"/>
      <c r="D532" s="71"/>
      <c r="E532" s="71"/>
      <c r="F532" s="71"/>
      <c r="G532" s="71"/>
      <c r="H532" s="71"/>
      <c r="I532" s="71"/>
      <c r="J532" s="71"/>
      <c r="K532" s="71"/>
      <c r="L532" s="71"/>
      <c r="M532" s="67"/>
      <c r="N532" s="67"/>
      <c r="O532" s="67"/>
      <c r="P532" s="67"/>
      <c r="Q532" s="67"/>
    </row>
    <row r="533" spans="1:17">
      <c r="A533" s="67"/>
      <c r="B533" s="67"/>
      <c r="C533" s="67"/>
      <c r="D533" s="71"/>
      <c r="E533" s="71"/>
      <c r="F533" s="71"/>
      <c r="G533" s="71"/>
      <c r="H533" s="71"/>
      <c r="I533" s="71"/>
      <c r="J533" s="71"/>
      <c r="K533" s="71"/>
      <c r="L533" s="71"/>
      <c r="M533" s="67"/>
      <c r="N533" s="67"/>
      <c r="O533" s="67"/>
      <c r="P533" s="67"/>
      <c r="Q533" s="67"/>
    </row>
    <row r="534" spans="1:17">
      <c r="A534" s="67"/>
      <c r="B534" s="67"/>
      <c r="C534" s="67"/>
      <c r="D534" s="71"/>
      <c r="E534" s="71"/>
      <c r="F534" s="71"/>
      <c r="G534" s="71"/>
      <c r="H534" s="71"/>
      <c r="I534" s="71"/>
      <c r="J534" s="71"/>
      <c r="K534" s="71"/>
      <c r="L534" s="71"/>
      <c r="M534" s="67"/>
      <c r="N534" s="67"/>
      <c r="O534" s="67"/>
      <c r="P534" s="67"/>
      <c r="Q534" s="67"/>
    </row>
    <row r="535" spans="1:17">
      <c r="A535" s="67"/>
      <c r="B535" s="67"/>
      <c r="C535" s="67"/>
      <c r="D535" s="71"/>
      <c r="E535" s="71"/>
      <c r="F535" s="71"/>
      <c r="G535" s="71"/>
      <c r="H535" s="71"/>
      <c r="I535" s="71"/>
      <c r="J535" s="71"/>
      <c r="K535" s="71"/>
      <c r="L535" s="71"/>
      <c r="M535" s="67"/>
      <c r="N535" s="67"/>
      <c r="O535" s="67"/>
      <c r="P535" s="67"/>
      <c r="Q535" s="67"/>
    </row>
    <row r="536" spans="1:17">
      <c r="A536" s="67"/>
      <c r="B536" s="67"/>
      <c r="C536" s="67"/>
      <c r="D536" s="71"/>
      <c r="E536" s="71"/>
      <c r="F536" s="71"/>
      <c r="G536" s="71"/>
      <c r="H536" s="71"/>
      <c r="I536" s="71"/>
      <c r="J536" s="71"/>
      <c r="K536" s="71"/>
      <c r="L536" s="71"/>
      <c r="M536" s="67"/>
      <c r="N536" s="67"/>
      <c r="O536" s="67"/>
      <c r="P536" s="67"/>
      <c r="Q536" s="67"/>
    </row>
    <row r="537" spans="1:17">
      <c r="A537" s="67"/>
      <c r="B537" s="67"/>
      <c r="C537" s="67"/>
      <c r="D537" s="71"/>
      <c r="E537" s="71"/>
      <c r="F537" s="71"/>
      <c r="G537" s="71"/>
      <c r="H537" s="71"/>
      <c r="I537" s="71"/>
      <c r="J537" s="71"/>
      <c r="K537" s="71"/>
      <c r="L537" s="71"/>
      <c r="M537" s="67"/>
      <c r="N537" s="67"/>
      <c r="O537" s="67"/>
      <c r="P537" s="67"/>
      <c r="Q537" s="67"/>
    </row>
    <row r="538" spans="1:17">
      <c r="A538" s="67"/>
      <c r="B538" s="67"/>
      <c r="C538" s="67"/>
      <c r="D538" s="71"/>
      <c r="E538" s="71"/>
      <c r="F538" s="71"/>
      <c r="G538" s="71"/>
      <c r="H538" s="71"/>
      <c r="I538" s="71"/>
      <c r="J538" s="71"/>
      <c r="K538" s="71"/>
      <c r="L538" s="71"/>
      <c r="M538" s="67"/>
      <c r="N538" s="67"/>
      <c r="O538" s="67"/>
      <c r="P538" s="67"/>
      <c r="Q538" s="67"/>
    </row>
    <row r="539" spans="1:17">
      <c r="A539" s="67"/>
      <c r="B539" s="67"/>
      <c r="C539" s="67"/>
      <c r="D539" s="71"/>
      <c r="E539" s="71"/>
      <c r="F539" s="71"/>
      <c r="G539" s="71"/>
      <c r="H539" s="71"/>
      <c r="I539" s="71"/>
      <c r="J539" s="71"/>
      <c r="K539" s="71"/>
      <c r="L539" s="71"/>
      <c r="M539" s="67"/>
      <c r="N539" s="67"/>
      <c r="O539" s="67"/>
      <c r="P539" s="67"/>
      <c r="Q539" s="67"/>
    </row>
    <row r="540" spans="1:17">
      <c r="A540" s="67"/>
      <c r="B540" s="67"/>
      <c r="C540" s="67"/>
      <c r="D540" s="71"/>
      <c r="E540" s="71"/>
      <c r="F540" s="71"/>
      <c r="G540" s="71"/>
      <c r="H540" s="71"/>
      <c r="I540" s="71"/>
      <c r="J540" s="71"/>
      <c r="K540" s="71"/>
      <c r="L540" s="71"/>
      <c r="M540" s="67"/>
      <c r="N540" s="67"/>
      <c r="O540" s="67"/>
      <c r="P540" s="67"/>
      <c r="Q540" s="67"/>
    </row>
    <row r="541" spans="1:17">
      <c r="A541" s="67"/>
      <c r="B541" s="67"/>
      <c r="C541" s="67"/>
      <c r="D541" s="71"/>
      <c r="E541" s="71"/>
      <c r="F541" s="71"/>
      <c r="G541" s="71"/>
      <c r="H541" s="71"/>
      <c r="I541" s="71"/>
      <c r="J541" s="71"/>
      <c r="K541" s="71"/>
      <c r="L541" s="71"/>
      <c r="M541" s="67"/>
      <c r="N541" s="67"/>
      <c r="O541" s="67"/>
      <c r="P541" s="67"/>
      <c r="Q541" s="67"/>
    </row>
    <row r="542" spans="1:17">
      <c r="A542" s="67"/>
      <c r="B542" s="67"/>
      <c r="C542" s="67"/>
      <c r="D542" s="71"/>
      <c r="E542" s="71"/>
      <c r="F542" s="71"/>
      <c r="G542" s="71"/>
      <c r="H542" s="71"/>
      <c r="I542" s="71"/>
      <c r="J542" s="71"/>
      <c r="K542" s="71"/>
      <c r="L542" s="71"/>
      <c r="M542" s="67"/>
      <c r="N542" s="67"/>
      <c r="O542" s="67"/>
      <c r="P542" s="67"/>
      <c r="Q542" s="67"/>
    </row>
    <row r="543" spans="1:17">
      <c r="A543" s="67"/>
      <c r="B543" s="67"/>
      <c r="C543" s="67"/>
      <c r="D543" s="71"/>
      <c r="E543" s="71"/>
      <c r="F543" s="71"/>
      <c r="G543" s="71"/>
      <c r="H543" s="71"/>
      <c r="I543" s="71"/>
      <c r="J543" s="71"/>
      <c r="K543" s="71"/>
      <c r="L543" s="71"/>
      <c r="M543" s="67"/>
      <c r="N543" s="67"/>
      <c r="O543" s="67"/>
      <c r="P543" s="67"/>
      <c r="Q543" s="67"/>
    </row>
    <row r="544" spans="1:17">
      <c r="A544" s="67"/>
      <c r="B544" s="67"/>
      <c r="C544" s="67"/>
      <c r="D544" s="71"/>
      <c r="E544" s="71"/>
      <c r="F544" s="71"/>
      <c r="G544" s="71"/>
      <c r="H544" s="71"/>
      <c r="I544" s="71"/>
      <c r="J544" s="71"/>
      <c r="K544" s="71"/>
      <c r="L544" s="71"/>
      <c r="M544" s="67"/>
      <c r="N544" s="67"/>
      <c r="O544" s="67"/>
      <c r="P544" s="67"/>
      <c r="Q544" s="67"/>
    </row>
    <row r="545" spans="1:17">
      <c r="A545" s="67"/>
      <c r="B545" s="67"/>
      <c r="C545" s="67"/>
      <c r="D545" s="71"/>
      <c r="E545" s="71"/>
      <c r="F545" s="71"/>
      <c r="G545" s="71"/>
      <c r="H545" s="71"/>
      <c r="I545" s="71"/>
      <c r="J545" s="71"/>
      <c r="K545" s="71"/>
      <c r="L545" s="71"/>
      <c r="M545" s="67"/>
      <c r="N545" s="67"/>
      <c r="O545" s="67"/>
      <c r="P545" s="67"/>
      <c r="Q545" s="67"/>
    </row>
    <row r="546" spans="1:17">
      <c r="A546" s="67"/>
      <c r="B546" s="67"/>
      <c r="C546" s="67"/>
      <c r="D546" s="71"/>
      <c r="E546" s="71"/>
      <c r="F546" s="71"/>
      <c r="G546" s="71"/>
      <c r="H546" s="71"/>
      <c r="I546" s="71"/>
      <c r="J546" s="71"/>
      <c r="K546" s="71"/>
      <c r="L546" s="71"/>
      <c r="M546" s="67"/>
      <c r="N546" s="67"/>
      <c r="O546" s="67"/>
      <c r="P546" s="67"/>
      <c r="Q546" s="67"/>
    </row>
    <row r="547" spans="1:17">
      <c r="A547" s="67"/>
      <c r="B547" s="67"/>
      <c r="C547" s="67"/>
      <c r="D547" s="71"/>
      <c r="E547" s="71"/>
      <c r="F547" s="71"/>
      <c r="G547" s="71"/>
      <c r="H547" s="71"/>
      <c r="I547" s="71"/>
      <c r="J547" s="71"/>
      <c r="K547" s="71"/>
      <c r="L547" s="71"/>
      <c r="M547" s="67"/>
      <c r="N547" s="67"/>
      <c r="O547" s="67"/>
      <c r="P547" s="67"/>
      <c r="Q547" s="67"/>
    </row>
    <row r="548" spans="1:17">
      <c r="A548" s="67"/>
      <c r="B548" s="67"/>
      <c r="C548" s="67"/>
      <c r="D548" s="71"/>
      <c r="E548" s="71"/>
      <c r="F548" s="71"/>
      <c r="G548" s="71"/>
      <c r="H548" s="71"/>
      <c r="I548" s="71"/>
      <c r="J548" s="71"/>
      <c r="K548" s="71"/>
      <c r="L548" s="71"/>
      <c r="M548" s="67"/>
      <c r="N548" s="67"/>
      <c r="O548" s="67"/>
      <c r="P548" s="67"/>
      <c r="Q548" s="67"/>
    </row>
    <row r="549" spans="1:17">
      <c r="A549" s="67"/>
      <c r="B549" s="67"/>
      <c r="C549" s="67"/>
      <c r="D549" s="71"/>
      <c r="E549" s="71"/>
      <c r="F549" s="71"/>
      <c r="G549" s="71"/>
      <c r="H549" s="71"/>
      <c r="I549" s="71"/>
      <c r="J549" s="71"/>
      <c r="K549" s="71"/>
      <c r="L549" s="71"/>
      <c r="M549" s="67"/>
      <c r="N549" s="67"/>
      <c r="O549" s="67"/>
      <c r="P549" s="67"/>
      <c r="Q549" s="67"/>
    </row>
    <row r="550" spans="1:17">
      <c r="A550" s="67"/>
      <c r="B550" s="67"/>
      <c r="C550" s="67"/>
      <c r="D550" s="71"/>
      <c r="E550" s="71"/>
      <c r="F550" s="71"/>
      <c r="G550" s="71"/>
      <c r="H550" s="71"/>
      <c r="I550" s="71"/>
      <c r="J550" s="71"/>
      <c r="K550" s="71"/>
      <c r="L550" s="71"/>
      <c r="M550" s="67"/>
      <c r="N550" s="67"/>
      <c r="O550" s="67"/>
      <c r="P550" s="67"/>
      <c r="Q550" s="67"/>
    </row>
    <row r="551" spans="1:17">
      <c r="A551" s="67"/>
      <c r="B551" s="67"/>
      <c r="C551" s="67"/>
      <c r="D551" s="71"/>
      <c r="E551" s="71"/>
      <c r="F551" s="71"/>
      <c r="G551" s="71"/>
      <c r="H551" s="71"/>
      <c r="I551" s="71"/>
      <c r="J551" s="71"/>
      <c r="K551" s="71"/>
      <c r="L551" s="71"/>
      <c r="M551" s="67"/>
      <c r="N551" s="67"/>
      <c r="O551" s="67"/>
      <c r="P551" s="67"/>
      <c r="Q551" s="67"/>
    </row>
    <row r="552" spans="1:17">
      <c r="A552" s="67"/>
      <c r="B552" s="67"/>
      <c r="C552" s="67"/>
      <c r="D552" s="71"/>
      <c r="E552" s="71"/>
      <c r="F552" s="71"/>
      <c r="G552" s="71"/>
      <c r="H552" s="71"/>
      <c r="I552" s="71"/>
      <c r="J552" s="71"/>
      <c r="K552" s="71"/>
      <c r="L552" s="71"/>
      <c r="M552" s="67"/>
      <c r="N552" s="67"/>
      <c r="O552" s="67"/>
      <c r="P552" s="67"/>
      <c r="Q552" s="67"/>
    </row>
    <row r="553" spans="1:17">
      <c r="A553" s="67"/>
      <c r="B553" s="67"/>
      <c r="C553" s="67"/>
      <c r="D553" s="71"/>
      <c r="E553" s="71"/>
      <c r="F553" s="71"/>
      <c r="G553" s="71"/>
      <c r="H553" s="71"/>
      <c r="I553" s="71"/>
      <c r="J553" s="71"/>
      <c r="K553" s="71"/>
      <c r="L553" s="71"/>
      <c r="M553" s="67"/>
      <c r="N553" s="67"/>
      <c r="O553" s="67"/>
      <c r="P553" s="67"/>
      <c r="Q553" s="67"/>
    </row>
    <row r="554" spans="1:17">
      <c r="A554" s="67"/>
      <c r="B554" s="67"/>
      <c r="C554" s="67"/>
      <c r="D554" s="71"/>
      <c r="E554" s="71"/>
      <c r="F554" s="71"/>
      <c r="G554" s="71"/>
      <c r="H554" s="71"/>
      <c r="I554" s="71"/>
      <c r="J554" s="71"/>
      <c r="K554" s="71"/>
      <c r="L554" s="71"/>
      <c r="M554" s="67"/>
      <c r="N554" s="67"/>
      <c r="O554" s="67"/>
      <c r="P554" s="67"/>
      <c r="Q554" s="67"/>
    </row>
    <row r="555" spans="1:17">
      <c r="A555" s="67"/>
      <c r="B555" s="67"/>
      <c r="C555" s="67"/>
      <c r="D555" s="71"/>
      <c r="E555" s="71"/>
      <c r="F555" s="71"/>
      <c r="G555" s="71"/>
      <c r="H555" s="71"/>
      <c r="I555" s="71"/>
      <c r="J555" s="71"/>
      <c r="K555" s="71"/>
      <c r="L555" s="71"/>
      <c r="M555" s="67"/>
      <c r="N555" s="67"/>
      <c r="O555" s="67"/>
      <c r="P555" s="67"/>
      <c r="Q555" s="67"/>
    </row>
    <row r="556" spans="1:17">
      <c r="A556" s="67"/>
      <c r="B556" s="67"/>
      <c r="C556" s="67"/>
      <c r="D556" s="71"/>
      <c r="E556" s="71"/>
      <c r="F556" s="71"/>
      <c r="G556" s="71"/>
      <c r="H556" s="71"/>
      <c r="I556" s="71"/>
      <c r="J556" s="71"/>
      <c r="K556" s="71"/>
      <c r="L556" s="71"/>
      <c r="M556" s="67"/>
      <c r="N556" s="67"/>
      <c r="O556" s="67"/>
      <c r="P556" s="67"/>
      <c r="Q556" s="67"/>
    </row>
    <row r="557" spans="1:17">
      <c r="A557" s="67"/>
      <c r="B557" s="67"/>
      <c r="C557" s="67"/>
      <c r="D557" s="71"/>
      <c r="E557" s="71"/>
      <c r="F557" s="71"/>
      <c r="G557" s="71"/>
      <c r="H557" s="71"/>
      <c r="I557" s="71"/>
      <c r="J557" s="71"/>
      <c r="K557" s="71"/>
      <c r="L557" s="71"/>
      <c r="M557" s="67"/>
      <c r="N557" s="67"/>
      <c r="O557" s="67"/>
      <c r="P557" s="67"/>
      <c r="Q557" s="67"/>
    </row>
    <row r="558" spans="1:17">
      <c r="A558" s="67"/>
      <c r="B558" s="67"/>
      <c r="C558" s="67"/>
      <c r="D558" s="71"/>
      <c r="E558" s="71"/>
      <c r="F558" s="71"/>
      <c r="G558" s="71"/>
      <c r="H558" s="71"/>
      <c r="I558" s="71"/>
      <c r="J558" s="71"/>
      <c r="K558" s="71"/>
      <c r="L558" s="71"/>
      <c r="M558" s="67"/>
      <c r="N558" s="67"/>
      <c r="O558" s="67"/>
      <c r="P558" s="67"/>
      <c r="Q558" s="67"/>
    </row>
    <row r="559" spans="1:17">
      <c r="A559" s="67"/>
      <c r="B559" s="67"/>
      <c r="C559" s="67"/>
      <c r="D559" s="71"/>
      <c r="E559" s="71"/>
      <c r="F559" s="71"/>
      <c r="G559" s="71"/>
      <c r="H559" s="71"/>
      <c r="I559" s="71"/>
      <c r="J559" s="71"/>
      <c r="K559" s="71"/>
      <c r="L559" s="71"/>
      <c r="M559" s="67"/>
      <c r="N559" s="67"/>
      <c r="O559" s="67"/>
      <c r="P559" s="67"/>
      <c r="Q559" s="67"/>
    </row>
    <row r="560" spans="1:17">
      <c r="A560" s="67"/>
      <c r="B560" s="67"/>
      <c r="C560" s="67"/>
      <c r="D560" s="71"/>
      <c r="E560" s="71"/>
      <c r="F560" s="71"/>
      <c r="G560" s="71"/>
      <c r="H560" s="71"/>
      <c r="I560" s="71"/>
      <c r="J560" s="71"/>
      <c r="K560" s="71"/>
      <c r="L560" s="71"/>
      <c r="M560" s="67"/>
      <c r="N560" s="67"/>
      <c r="O560" s="67"/>
      <c r="P560" s="67"/>
      <c r="Q560" s="67"/>
    </row>
    <row r="561" spans="1:17">
      <c r="A561" s="67"/>
      <c r="B561" s="67"/>
      <c r="C561" s="67"/>
      <c r="D561" s="71"/>
      <c r="E561" s="71"/>
      <c r="F561" s="71"/>
      <c r="G561" s="71"/>
      <c r="H561" s="71"/>
      <c r="I561" s="71"/>
      <c r="J561" s="71"/>
      <c r="K561" s="71"/>
      <c r="L561" s="71"/>
      <c r="M561" s="67"/>
      <c r="N561" s="67"/>
      <c r="O561" s="67"/>
      <c r="P561" s="67"/>
      <c r="Q561" s="67"/>
    </row>
    <row r="562" spans="1:17">
      <c r="A562" s="67"/>
      <c r="B562" s="67"/>
      <c r="C562" s="67"/>
      <c r="D562" s="71"/>
      <c r="E562" s="71"/>
      <c r="F562" s="71"/>
      <c r="G562" s="71"/>
      <c r="H562" s="71"/>
      <c r="I562" s="71"/>
      <c r="J562" s="71"/>
      <c r="K562" s="71"/>
      <c r="L562" s="71"/>
      <c r="M562" s="67"/>
      <c r="N562" s="67"/>
      <c r="O562" s="67"/>
      <c r="P562" s="67"/>
      <c r="Q562" s="67"/>
    </row>
    <row r="563" spans="1:17">
      <c r="A563" s="67"/>
      <c r="B563" s="67"/>
      <c r="C563" s="67"/>
      <c r="D563" s="71"/>
      <c r="E563" s="71"/>
      <c r="F563" s="71"/>
      <c r="G563" s="71"/>
      <c r="H563" s="71"/>
      <c r="I563" s="71"/>
      <c r="J563" s="71"/>
      <c r="K563" s="71"/>
      <c r="L563" s="71"/>
      <c r="M563" s="67"/>
      <c r="N563" s="67"/>
      <c r="O563" s="67"/>
      <c r="P563" s="67"/>
      <c r="Q563" s="67"/>
    </row>
    <row r="564" spans="1:17">
      <c r="A564" s="67"/>
      <c r="B564" s="67"/>
      <c r="C564" s="67"/>
      <c r="D564" s="71"/>
      <c r="E564" s="71"/>
      <c r="F564" s="71"/>
      <c r="G564" s="71"/>
      <c r="H564" s="71"/>
      <c r="I564" s="71"/>
      <c r="J564" s="71"/>
      <c r="K564" s="71"/>
      <c r="L564" s="71"/>
      <c r="M564" s="67"/>
      <c r="N564" s="67"/>
      <c r="O564" s="67"/>
      <c r="P564" s="67"/>
      <c r="Q564" s="67"/>
    </row>
    <row r="565" spans="1:17">
      <c r="A565" s="67"/>
      <c r="B565" s="67"/>
      <c r="C565" s="67"/>
      <c r="D565" s="71"/>
      <c r="E565" s="71"/>
      <c r="F565" s="71"/>
      <c r="G565" s="71"/>
      <c r="H565" s="71"/>
      <c r="I565" s="71"/>
      <c r="J565" s="71"/>
      <c r="K565" s="71"/>
      <c r="L565" s="71"/>
      <c r="M565" s="67"/>
      <c r="N565" s="67"/>
      <c r="O565" s="67"/>
      <c r="P565" s="67"/>
      <c r="Q565" s="67"/>
    </row>
    <row r="566" spans="1:17">
      <c r="A566" s="67"/>
      <c r="B566" s="67"/>
      <c r="C566" s="67"/>
      <c r="D566" s="71"/>
      <c r="E566" s="71"/>
      <c r="F566" s="71"/>
      <c r="G566" s="71"/>
      <c r="H566" s="71"/>
      <c r="I566" s="71"/>
      <c r="J566" s="71"/>
      <c r="K566" s="71"/>
      <c r="L566" s="71"/>
      <c r="M566" s="67"/>
      <c r="N566" s="67"/>
      <c r="O566" s="67"/>
      <c r="P566" s="67"/>
      <c r="Q566" s="67"/>
    </row>
    <row r="567" spans="1:17">
      <c r="A567" s="67"/>
      <c r="B567" s="67"/>
      <c r="C567" s="67"/>
      <c r="D567" s="71"/>
      <c r="E567" s="71"/>
      <c r="F567" s="71"/>
      <c r="G567" s="71"/>
      <c r="H567" s="71"/>
      <c r="I567" s="71"/>
      <c r="J567" s="71"/>
      <c r="K567" s="71"/>
      <c r="L567" s="71"/>
      <c r="M567" s="67"/>
      <c r="N567" s="67"/>
      <c r="O567" s="67"/>
      <c r="P567" s="67"/>
      <c r="Q567" s="67"/>
    </row>
    <row r="568" spans="1:17">
      <c r="A568" s="67"/>
      <c r="B568" s="67"/>
      <c r="C568" s="67"/>
      <c r="D568" s="71"/>
      <c r="E568" s="71"/>
      <c r="F568" s="71"/>
      <c r="G568" s="71"/>
      <c r="H568" s="71"/>
      <c r="I568" s="71"/>
      <c r="J568" s="71"/>
      <c r="K568" s="71"/>
      <c r="L568" s="71"/>
      <c r="M568" s="67"/>
      <c r="N568" s="67"/>
      <c r="O568" s="67"/>
      <c r="P568" s="67"/>
      <c r="Q568" s="67"/>
    </row>
    <row r="569" spans="1:17">
      <c r="A569" s="67"/>
      <c r="B569" s="67"/>
      <c r="C569" s="67"/>
      <c r="D569" s="71"/>
      <c r="E569" s="71"/>
      <c r="F569" s="71"/>
      <c r="G569" s="71"/>
      <c r="H569" s="71"/>
      <c r="I569" s="71"/>
      <c r="J569" s="71"/>
      <c r="K569" s="71"/>
      <c r="L569" s="71"/>
      <c r="M569" s="67"/>
      <c r="N569" s="67"/>
      <c r="O569" s="67"/>
      <c r="P569" s="67"/>
      <c r="Q569" s="67"/>
    </row>
    <row r="570" spans="1:17">
      <c r="A570" s="67"/>
      <c r="B570" s="67"/>
      <c r="C570" s="67"/>
      <c r="D570" s="71"/>
      <c r="E570" s="71"/>
      <c r="F570" s="71"/>
      <c r="G570" s="71"/>
      <c r="H570" s="71"/>
      <c r="I570" s="71"/>
      <c r="J570" s="71"/>
      <c r="K570" s="71"/>
      <c r="L570" s="71"/>
      <c r="M570" s="67"/>
      <c r="N570" s="67"/>
      <c r="O570" s="67"/>
      <c r="P570" s="67"/>
      <c r="Q570" s="67"/>
    </row>
    <row r="571" spans="1:17">
      <c r="A571" s="67"/>
      <c r="B571" s="67"/>
      <c r="C571" s="67"/>
      <c r="D571" s="71"/>
      <c r="E571" s="71"/>
      <c r="F571" s="71"/>
      <c r="G571" s="71"/>
      <c r="H571" s="71"/>
      <c r="I571" s="71"/>
      <c r="J571" s="71"/>
      <c r="K571" s="71"/>
      <c r="L571" s="71"/>
      <c r="M571" s="67"/>
      <c r="N571" s="67"/>
      <c r="O571" s="67"/>
      <c r="P571" s="67"/>
      <c r="Q571" s="67"/>
    </row>
    <row r="572" spans="1:17">
      <c r="A572" s="67"/>
      <c r="B572" s="67"/>
      <c r="C572" s="67"/>
      <c r="D572" s="71"/>
      <c r="E572" s="71"/>
      <c r="F572" s="71"/>
      <c r="G572" s="71"/>
      <c r="H572" s="71"/>
      <c r="I572" s="71"/>
      <c r="J572" s="71"/>
      <c r="K572" s="71"/>
      <c r="L572" s="71"/>
      <c r="M572" s="67"/>
      <c r="N572" s="67"/>
      <c r="O572" s="67"/>
      <c r="P572" s="67"/>
      <c r="Q572" s="67"/>
    </row>
    <row r="573" spans="1:17">
      <c r="A573" s="67"/>
      <c r="B573" s="67"/>
      <c r="C573" s="67"/>
      <c r="D573" s="71"/>
      <c r="E573" s="71"/>
      <c r="F573" s="71"/>
      <c r="G573" s="71"/>
      <c r="H573" s="71"/>
      <c r="I573" s="71"/>
      <c r="J573" s="71"/>
      <c r="K573" s="71"/>
      <c r="L573" s="71"/>
      <c r="M573" s="67"/>
      <c r="N573" s="67"/>
      <c r="O573" s="67"/>
      <c r="P573" s="67"/>
      <c r="Q573" s="67"/>
    </row>
    <row r="574" spans="1:17">
      <c r="A574" s="67"/>
      <c r="B574" s="67"/>
      <c r="C574" s="67"/>
      <c r="D574" s="71"/>
      <c r="E574" s="71"/>
      <c r="F574" s="71"/>
      <c r="G574" s="71"/>
      <c r="H574" s="71"/>
      <c r="I574" s="71"/>
      <c r="J574" s="71"/>
      <c r="K574" s="71"/>
      <c r="L574" s="71"/>
      <c r="M574" s="67"/>
      <c r="N574" s="67"/>
      <c r="O574" s="67"/>
      <c r="P574" s="67"/>
      <c r="Q574" s="67"/>
    </row>
    <row r="575" spans="1:17">
      <c r="A575" s="67"/>
      <c r="B575" s="67"/>
      <c r="C575" s="67"/>
      <c r="D575" s="71"/>
      <c r="E575" s="71"/>
      <c r="F575" s="71"/>
      <c r="G575" s="71"/>
      <c r="H575" s="71"/>
      <c r="I575" s="71"/>
      <c r="J575" s="71"/>
      <c r="K575" s="71"/>
      <c r="L575" s="71"/>
      <c r="M575" s="67"/>
      <c r="N575" s="67"/>
      <c r="O575" s="67"/>
      <c r="P575" s="67"/>
      <c r="Q575" s="67"/>
    </row>
    <row r="576" spans="1:17">
      <c r="A576" s="67"/>
      <c r="B576" s="67"/>
      <c r="C576" s="67"/>
      <c r="D576" s="71"/>
      <c r="E576" s="71"/>
      <c r="F576" s="71"/>
      <c r="G576" s="71"/>
      <c r="H576" s="71"/>
      <c r="I576" s="71"/>
      <c r="J576" s="71"/>
      <c r="K576" s="71"/>
      <c r="L576" s="71"/>
      <c r="M576" s="67"/>
      <c r="N576" s="67"/>
      <c r="O576" s="67"/>
      <c r="P576" s="67"/>
      <c r="Q576" s="67"/>
    </row>
    <row r="577" spans="1:17">
      <c r="A577" s="67"/>
      <c r="B577" s="67"/>
      <c r="C577" s="67"/>
      <c r="D577" s="71"/>
      <c r="E577" s="71"/>
      <c r="F577" s="71"/>
      <c r="G577" s="71"/>
      <c r="H577" s="71"/>
      <c r="I577" s="71"/>
      <c r="J577" s="71"/>
      <c r="K577" s="71"/>
      <c r="L577" s="71"/>
      <c r="M577" s="67"/>
      <c r="N577" s="67"/>
      <c r="O577" s="67"/>
      <c r="P577" s="67"/>
      <c r="Q577" s="67"/>
    </row>
    <row r="578" spans="1:17">
      <c r="A578" s="67"/>
      <c r="B578" s="67"/>
      <c r="C578" s="67"/>
      <c r="D578" s="71"/>
      <c r="E578" s="71"/>
      <c r="F578" s="71"/>
      <c r="G578" s="71"/>
      <c r="H578" s="71"/>
      <c r="I578" s="71"/>
      <c r="J578" s="71"/>
      <c r="K578" s="71"/>
      <c r="L578" s="71"/>
      <c r="M578" s="67"/>
      <c r="N578" s="67"/>
      <c r="O578" s="67"/>
      <c r="P578" s="67"/>
      <c r="Q578" s="67"/>
    </row>
    <row r="579" spans="1:17">
      <c r="A579" s="67"/>
      <c r="B579" s="67"/>
      <c r="C579" s="67"/>
      <c r="D579" s="71"/>
      <c r="E579" s="71"/>
      <c r="F579" s="71"/>
      <c r="G579" s="71"/>
      <c r="H579" s="71"/>
      <c r="I579" s="71"/>
      <c r="J579" s="71"/>
      <c r="K579" s="71"/>
      <c r="L579" s="71"/>
      <c r="M579" s="67"/>
      <c r="N579" s="67"/>
      <c r="O579" s="67"/>
      <c r="P579" s="67"/>
      <c r="Q579" s="67"/>
    </row>
    <row r="580" spans="1:17">
      <c r="A580" s="67"/>
      <c r="B580" s="67"/>
      <c r="C580" s="67"/>
      <c r="D580" s="71"/>
      <c r="E580" s="71"/>
      <c r="F580" s="71"/>
      <c r="G580" s="71"/>
      <c r="H580" s="71"/>
      <c r="I580" s="71"/>
      <c r="J580" s="71"/>
      <c r="K580" s="71"/>
      <c r="L580" s="71"/>
      <c r="M580" s="67"/>
      <c r="N580" s="67"/>
      <c r="O580" s="67"/>
      <c r="P580" s="67"/>
      <c r="Q580" s="67"/>
    </row>
    <row r="581" spans="1:17">
      <c r="A581" s="67"/>
      <c r="B581" s="67"/>
      <c r="C581" s="67"/>
      <c r="D581" s="71"/>
      <c r="E581" s="71"/>
      <c r="F581" s="71"/>
      <c r="G581" s="71"/>
      <c r="H581" s="71"/>
      <c r="I581" s="71"/>
      <c r="J581" s="71"/>
      <c r="K581" s="71"/>
      <c r="L581" s="71"/>
      <c r="M581" s="67"/>
      <c r="N581" s="67"/>
      <c r="O581" s="67"/>
      <c r="P581" s="67"/>
      <c r="Q581" s="67"/>
    </row>
  </sheetData>
  <sortState ref="R486:V505">
    <sortCondition ref="S486:S505"/>
    <sortCondition ref="R486:R505"/>
  </sortState>
  <phoneticPr fontId="6" type="noConversion"/>
  <printOptions gridLinesSet="0"/>
  <pageMargins left="0.78740157480314965" right="0" top="0.51181102362204722" bottom="0.51181102362204722" header="0.51181102362204722" footer="0.51181102362204722"/>
  <pageSetup paperSize="9" scale="62" orientation="portrait" horizontalDpi="300" verticalDpi="300" r:id="rId1"/>
  <headerFooter alignWithMargins="0">
    <oddFooter>&amp;C&amp;8&amp;P of &amp;N</oddFooter>
  </headerFooter>
  <ignoredErrors>
    <ignoredError sqref="D346:K346 D485:K485 D118:K118 D309:K309 D302:K302 D282:K282 D384:K384 D451:K451 D85:K85 D418:K418 D167:K167 D410:K411 D337:K338 D443:K444 D374:K376 D477:K478 D507:K508 D194:K195 D109:K111 L158 D3:L10 D12:K78 L12:L118 L280:L508 L257 L251 L223 L254 L161:L201 L225:L230" unlocked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dimension ref="A1:Q67"/>
  <sheetViews>
    <sheetView showGridLines="0" topLeftCell="A25" zoomScale="90" zoomScaleNormal="90" workbookViewId="0">
      <selection activeCell="O3" sqref="O3"/>
    </sheetView>
  </sheetViews>
  <sheetFormatPr defaultColWidth="10" defaultRowHeight="15"/>
  <cols>
    <col min="1" max="1" width="4.85546875" style="130" customWidth="1"/>
    <col min="2" max="2" width="45.7109375" style="130" customWidth="1"/>
    <col min="3" max="3" width="11.5703125" style="130" customWidth="1"/>
    <col min="4" max="15" width="10" style="130" customWidth="1"/>
    <col min="16" max="16" width="2.28515625" style="130" customWidth="1"/>
    <col min="17" max="17" width="30.7109375" style="130" customWidth="1"/>
    <col min="18" max="16384" width="10" style="130"/>
  </cols>
  <sheetData>
    <row r="1" spans="1:17">
      <c r="A1" s="425" t="s">
        <v>5719</v>
      </c>
      <c r="D1" s="426">
        <v>2010</v>
      </c>
      <c r="E1" s="426">
        <v>2011</v>
      </c>
      <c r="F1" s="426">
        <v>2012</v>
      </c>
      <c r="G1" s="426">
        <v>2013</v>
      </c>
      <c r="H1" s="426">
        <v>2014</v>
      </c>
      <c r="I1" s="426">
        <v>2015</v>
      </c>
      <c r="J1" s="426">
        <v>2016</v>
      </c>
      <c r="K1" s="426">
        <v>2017</v>
      </c>
      <c r="L1" s="426">
        <v>2018</v>
      </c>
      <c r="M1" s="426">
        <v>2019</v>
      </c>
      <c r="N1" s="426">
        <v>2020</v>
      </c>
      <c r="O1" s="946" t="s">
        <v>14823</v>
      </c>
    </row>
    <row r="3" spans="1:17">
      <c r="A3" s="425" t="s">
        <v>1104</v>
      </c>
      <c r="D3" s="427">
        <f t="shared" ref="D3:I3" si="0">SUM(D21:D36)</f>
        <v>107103</v>
      </c>
      <c r="E3" s="427">
        <f t="shared" si="0"/>
        <v>107615</v>
      </c>
      <c r="F3" s="427">
        <f t="shared" si="0"/>
        <v>109226</v>
      </c>
      <c r="G3" s="427">
        <f t="shared" si="0"/>
        <v>108780</v>
      </c>
      <c r="H3" s="427">
        <f t="shared" si="0"/>
        <v>109266</v>
      </c>
      <c r="I3" s="427">
        <f t="shared" si="0"/>
        <v>104321</v>
      </c>
      <c r="J3" s="427">
        <f t="shared" ref="J3:O3" si="1">SUM(J21:J36)</f>
        <v>104458</v>
      </c>
      <c r="K3" s="427">
        <f t="shared" si="1"/>
        <v>107946</v>
      </c>
      <c r="L3" s="427">
        <f t="shared" si="1"/>
        <v>107239</v>
      </c>
      <c r="M3" s="427">
        <f t="shared" si="1"/>
        <v>105070</v>
      </c>
      <c r="N3" s="427">
        <f t="shared" si="1"/>
        <v>106901</v>
      </c>
      <c r="O3" s="427">
        <f t="shared" si="1"/>
        <v>110553</v>
      </c>
    </row>
    <row r="5" spans="1:17">
      <c r="A5" s="425" t="s">
        <v>5720</v>
      </c>
      <c r="D5" s="427">
        <f t="shared" ref="D5:I5" si="2">D3/2</f>
        <v>53551.5</v>
      </c>
      <c r="E5" s="427">
        <f t="shared" si="2"/>
        <v>53807.5</v>
      </c>
      <c r="F5" s="427">
        <f t="shared" si="2"/>
        <v>54613</v>
      </c>
      <c r="G5" s="427">
        <f t="shared" si="2"/>
        <v>54390</v>
      </c>
      <c r="H5" s="427">
        <f t="shared" si="2"/>
        <v>54633</v>
      </c>
      <c r="I5" s="427">
        <f t="shared" si="2"/>
        <v>52160.5</v>
      </c>
      <c r="J5" s="427">
        <f t="shared" ref="J5:O5" si="3">J3/2</f>
        <v>52229</v>
      </c>
      <c r="K5" s="427">
        <f t="shared" si="3"/>
        <v>53973</v>
      </c>
      <c r="L5" s="427">
        <f t="shared" si="3"/>
        <v>53619.5</v>
      </c>
      <c r="M5" s="427">
        <f t="shared" si="3"/>
        <v>52535</v>
      </c>
      <c r="N5" s="427">
        <f t="shared" si="3"/>
        <v>53450.5</v>
      </c>
      <c r="O5" s="427">
        <f t="shared" si="3"/>
        <v>55276.5</v>
      </c>
    </row>
    <row r="6" spans="1:17">
      <c r="D6" s="428"/>
      <c r="E6" s="428"/>
      <c r="F6" s="428"/>
      <c r="G6" s="428"/>
      <c r="H6" s="428"/>
      <c r="I6" s="428"/>
      <c r="J6" s="428"/>
      <c r="K6" s="428"/>
      <c r="L6" s="428"/>
      <c r="M6" s="428"/>
      <c r="N6" s="428"/>
      <c r="O6" s="428"/>
    </row>
    <row r="7" spans="1:17">
      <c r="A7" s="425" t="s">
        <v>1105</v>
      </c>
      <c r="D7" s="427">
        <f t="shared" ref="D7:I7" si="4">SUM(D21:D23)+D25+D26+SUM(D29:D35)</f>
        <v>80229</v>
      </c>
      <c r="E7" s="427">
        <f t="shared" si="4"/>
        <v>80639</v>
      </c>
      <c r="F7" s="427">
        <f t="shared" si="4"/>
        <v>81735</v>
      </c>
      <c r="G7" s="427">
        <f t="shared" si="4"/>
        <v>81293</v>
      </c>
      <c r="H7" s="427">
        <f t="shared" si="4"/>
        <v>81792</v>
      </c>
      <c r="I7" s="427">
        <f t="shared" si="4"/>
        <v>77932</v>
      </c>
      <c r="J7" s="427">
        <f t="shared" ref="J7:O7" si="5">SUM(J21:J23)+J25+J26+SUM(J29:J35)</f>
        <v>77995</v>
      </c>
      <c r="K7" s="427">
        <f t="shared" si="5"/>
        <v>80379</v>
      </c>
      <c r="L7" s="427">
        <f t="shared" si="5"/>
        <v>79885</v>
      </c>
      <c r="M7" s="427">
        <f t="shared" si="5"/>
        <v>78097</v>
      </c>
      <c r="N7" s="427">
        <f t="shared" si="5"/>
        <v>79290</v>
      </c>
      <c r="O7" s="427">
        <f t="shared" si="5"/>
        <v>82037</v>
      </c>
      <c r="Q7" s="425" t="s">
        <v>1106</v>
      </c>
    </row>
    <row r="8" spans="1:17">
      <c r="D8" s="428"/>
      <c r="E8" s="428"/>
      <c r="F8" s="428"/>
      <c r="G8" s="428"/>
      <c r="H8" s="428"/>
      <c r="I8" s="428"/>
      <c r="J8" s="428"/>
      <c r="K8" s="428"/>
      <c r="L8" s="428"/>
      <c r="M8" s="428"/>
      <c r="N8" s="428"/>
      <c r="O8" s="428"/>
    </row>
    <row r="9" spans="1:17">
      <c r="A9" s="425" t="s">
        <v>1107</v>
      </c>
      <c r="D9" s="427">
        <f t="shared" ref="D9:I9" si="6">D24+D27+D28+D36</f>
        <v>26874</v>
      </c>
      <c r="E9" s="427">
        <f t="shared" si="6"/>
        <v>26976</v>
      </c>
      <c r="F9" s="427">
        <f t="shared" si="6"/>
        <v>27491</v>
      </c>
      <c r="G9" s="427">
        <f t="shared" si="6"/>
        <v>27487</v>
      </c>
      <c r="H9" s="427">
        <f t="shared" si="6"/>
        <v>27474</v>
      </c>
      <c r="I9" s="427">
        <f t="shared" si="6"/>
        <v>26389</v>
      </c>
      <c r="J9" s="427">
        <f t="shared" ref="J9:O9" si="7">J24+J27+J28+J36</f>
        <v>26463</v>
      </c>
      <c r="K9" s="427">
        <f t="shared" si="7"/>
        <v>27567</v>
      </c>
      <c r="L9" s="427">
        <f t="shared" si="7"/>
        <v>27354</v>
      </c>
      <c r="M9" s="427">
        <f t="shared" si="7"/>
        <v>26973</v>
      </c>
      <c r="N9" s="427">
        <f t="shared" si="7"/>
        <v>27611</v>
      </c>
      <c r="O9" s="427">
        <f t="shared" si="7"/>
        <v>28516</v>
      </c>
      <c r="Q9" s="425" t="s">
        <v>1106</v>
      </c>
    </row>
    <row r="10" spans="1:17" ht="15.75" thickBot="1">
      <c r="D10" s="429">
        <f>RICHMOND!D8</f>
        <v>48621</v>
      </c>
      <c r="E10" s="429">
        <f>RICHMOND!E8</f>
        <v>49674</v>
      </c>
      <c r="F10" s="429">
        <f>RICHMOND!F8</f>
        <v>49287</v>
      </c>
      <c r="G10" s="429">
        <f>RICHMOND!G8</f>
        <v>49375</v>
      </c>
      <c r="H10" s="429">
        <f>RICHMOND!H8</f>
        <v>48919</v>
      </c>
      <c r="I10" s="429">
        <f>RICHMOND!I8</f>
        <v>47668</v>
      </c>
      <c r="J10" s="429">
        <f>RICHMOND!J8</f>
        <v>48277</v>
      </c>
      <c r="K10" s="429">
        <f>RICHMOND!K8</f>
        <v>50367</v>
      </c>
      <c r="L10" s="429">
        <f>RICHMOND!L8</f>
        <v>50753</v>
      </c>
      <c r="M10" s="429">
        <f>RICHMOND!M8</f>
        <v>50234</v>
      </c>
      <c r="N10" s="429">
        <f>RICHMOND!N8</f>
        <v>52180</v>
      </c>
      <c r="O10" s="429">
        <f>RICHMOND!O8</f>
        <v>53227</v>
      </c>
      <c r="Q10" s="425" t="s">
        <v>1108</v>
      </c>
    </row>
    <row r="11" spans="1:17" ht="15.75" thickBot="1">
      <c r="D11" s="429">
        <f t="shared" ref="D11:I11" si="8">D9+D10</f>
        <v>75495</v>
      </c>
      <c r="E11" s="429">
        <f t="shared" si="8"/>
        <v>76650</v>
      </c>
      <c r="F11" s="429">
        <f t="shared" si="8"/>
        <v>76778</v>
      </c>
      <c r="G11" s="429">
        <f t="shared" si="8"/>
        <v>76862</v>
      </c>
      <c r="H11" s="429">
        <f t="shared" si="8"/>
        <v>76393</v>
      </c>
      <c r="I11" s="429">
        <f t="shared" si="8"/>
        <v>74057</v>
      </c>
      <c r="J11" s="429">
        <f t="shared" ref="J11:O11" si="9">J9+J10</f>
        <v>74740</v>
      </c>
      <c r="K11" s="429">
        <f t="shared" si="9"/>
        <v>77934</v>
      </c>
      <c r="L11" s="429">
        <f t="shared" si="9"/>
        <v>78107</v>
      </c>
      <c r="M11" s="429">
        <f t="shared" si="9"/>
        <v>77207</v>
      </c>
      <c r="N11" s="429">
        <f t="shared" si="9"/>
        <v>79791</v>
      </c>
      <c r="O11" s="429">
        <f t="shared" si="9"/>
        <v>81743</v>
      </c>
    </row>
    <row r="12" spans="1:17">
      <c r="D12" s="428"/>
      <c r="E12" s="428"/>
      <c r="F12" s="428"/>
      <c r="G12" s="428"/>
      <c r="H12" s="428"/>
      <c r="I12" s="428"/>
      <c r="J12" s="428"/>
      <c r="K12" s="428"/>
      <c r="L12" s="428"/>
      <c r="M12" s="428"/>
      <c r="N12" s="428"/>
      <c r="O12" s="428"/>
    </row>
    <row r="13" spans="1:17">
      <c r="A13" s="425" t="s">
        <v>1109</v>
      </c>
      <c r="D13" s="427">
        <f>RICHMOND!D11</f>
        <v>78667</v>
      </c>
      <c r="E13" s="427">
        <f>RICHMOND!E11</f>
        <v>79172</v>
      </c>
      <c r="F13" s="427">
        <f>RICHMOND!F11</f>
        <v>79940</v>
      </c>
      <c r="G13" s="427">
        <f>RICHMOND!G11</f>
        <v>80050</v>
      </c>
      <c r="H13" s="427">
        <f>RICHMOND!H11</f>
        <v>80318</v>
      </c>
      <c r="I13" s="427">
        <f>RICHMOND!I11</f>
        <v>77649</v>
      </c>
      <c r="J13" s="427">
        <f>RICHMOND!J11</f>
        <v>78247</v>
      </c>
      <c r="K13" s="427">
        <f>RICHMOND!K11</f>
        <v>80689</v>
      </c>
      <c r="L13" s="427">
        <f>RICHMOND!L11</f>
        <v>81420</v>
      </c>
      <c r="M13" s="427">
        <f>RICHMOND!M11</f>
        <v>80215</v>
      </c>
      <c r="N13" s="427">
        <f>RICHMOND!N11</f>
        <v>82338</v>
      </c>
      <c r="O13" s="427">
        <f>RICHMOND!O11</f>
        <v>83264</v>
      </c>
      <c r="Q13" s="425" t="s">
        <v>1108</v>
      </c>
    </row>
    <row r="14" spans="1:17">
      <c r="D14" s="428"/>
      <c r="E14" s="428"/>
      <c r="F14" s="428"/>
      <c r="G14" s="428"/>
      <c r="H14" s="428"/>
      <c r="I14" s="428"/>
      <c r="J14" s="428"/>
      <c r="K14" s="428"/>
      <c r="L14" s="428"/>
      <c r="M14" s="428"/>
      <c r="N14" s="428"/>
      <c r="O14" s="428"/>
    </row>
    <row r="15" spans="1:17">
      <c r="A15" s="425" t="s">
        <v>6796</v>
      </c>
      <c r="D15" s="427">
        <f t="shared" ref="D15:I15" si="10">D7+D9</f>
        <v>107103</v>
      </c>
      <c r="E15" s="427">
        <f t="shared" si="10"/>
        <v>107615</v>
      </c>
      <c r="F15" s="427">
        <f t="shared" si="10"/>
        <v>109226</v>
      </c>
      <c r="G15" s="427">
        <f t="shared" si="10"/>
        <v>108780</v>
      </c>
      <c r="H15" s="427">
        <f t="shared" si="10"/>
        <v>109266</v>
      </c>
      <c r="I15" s="427">
        <f t="shared" si="10"/>
        <v>104321</v>
      </c>
      <c r="J15" s="427">
        <f t="shared" ref="J15:O15" si="11">J7+J9</f>
        <v>104458</v>
      </c>
      <c r="K15" s="427">
        <f t="shared" si="11"/>
        <v>107946</v>
      </c>
      <c r="L15" s="427">
        <f t="shared" si="11"/>
        <v>107239</v>
      </c>
      <c r="M15" s="427">
        <f t="shared" si="11"/>
        <v>105070</v>
      </c>
      <c r="N15" s="427">
        <f t="shared" si="11"/>
        <v>106901</v>
      </c>
      <c r="O15" s="427">
        <f t="shared" si="11"/>
        <v>110553</v>
      </c>
    </row>
    <row r="16" spans="1:17">
      <c r="D16" s="428"/>
      <c r="E16" s="428"/>
      <c r="F16" s="428"/>
      <c r="G16" s="428"/>
      <c r="H16" s="428"/>
      <c r="I16" s="428"/>
      <c r="J16" s="428"/>
      <c r="K16" s="428"/>
      <c r="L16" s="428"/>
      <c r="M16" s="428"/>
      <c r="N16" s="428"/>
      <c r="O16" s="428"/>
    </row>
    <row r="17" spans="1:17">
      <c r="A17" s="425" t="s">
        <v>6797</v>
      </c>
      <c r="D17" s="427">
        <f t="shared" ref="D17:I17" si="12">MAX(D7,D11,D13)-MIN(D7,D11,D13)</f>
        <v>4734</v>
      </c>
      <c r="E17" s="427">
        <f t="shared" si="12"/>
        <v>3989</v>
      </c>
      <c r="F17" s="427">
        <f t="shared" si="12"/>
        <v>4957</v>
      </c>
      <c r="G17" s="427">
        <f t="shared" si="12"/>
        <v>4431</v>
      </c>
      <c r="H17" s="427">
        <f t="shared" si="12"/>
        <v>5399</v>
      </c>
      <c r="I17" s="427">
        <f t="shared" si="12"/>
        <v>3875</v>
      </c>
      <c r="J17" s="427">
        <f t="shared" ref="J17:O17" si="13">MAX(J7,J11,J13)-MIN(J7,J11,J13)</f>
        <v>3507</v>
      </c>
      <c r="K17" s="427">
        <f t="shared" si="13"/>
        <v>2755</v>
      </c>
      <c r="L17" s="427">
        <f t="shared" si="13"/>
        <v>3313</v>
      </c>
      <c r="M17" s="427">
        <f t="shared" si="13"/>
        <v>3008</v>
      </c>
      <c r="N17" s="427">
        <f t="shared" si="13"/>
        <v>3048</v>
      </c>
      <c r="O17" s="427">
        <f t="shared" si="13"/>
        <v>1521</v>
      </c>
    </row>
    <row r="18" spans="1:17">
      <c r="D18" s="428"/>
      <c r="E18" s="428"/>
      <c r="F18" s="428"/>
      <c r="G18" s="428"/>
      <c r="H18" s="428"/>
      <c r="I18" s="428"/>
      <c r="J18" s="428"/>
      <c r="K18" s="428"/>
      <c r="L18" s="428"/>
      <c r="M18" s="428"/>
      <c r="N18" s="428"/>
      <c r="O18" s="428"/>
    </row>
    <row r="19" spans="1:17">
      <c r="A19" s="425" t="s">
        <v>6800</v>
      </c>
      <c r="D19" s="427">
        <f t="shared" ref="D19:I19" si="14">STDEVP(D7,D11,D13)</f>
        <v>1969.5511050885568</v>
      </c>
      <c r="E19" s="427">
        <f t="shared" si="14"/>
        <v>1647.3781863582171</v>
      </c>
      <c r="F19" s="427">
        <f t="shared" si="14"/>
        <v>2049.1764741530251</v>
      </c>
      <c r="G19" s="427">
        <f t="shared" si="14"/>
        <v>1866.1354601302542</v>
      </c>
      <c r="H19" s="427">
        <f t="shared" si="14"/>
        <v>2278.5839169683145</v>
      </c>
      <c r="I19" s="427">
        <f t="shared" si="14"/>
        <v>1763.7768188369714</v>
      </c>
      <c r="J19" s="427">
        <f t="shared" ref="J19:O19" si="15">STDEVP(J7,J11,J13)</f>
        <v>1597.1355609340117</v>
      </c>
      <c r="K19" s="427">
        <f t="shared" si="15"/>
        <v>1232.1683687259988</v>
      </c>
      <c r="L19" s="427">
        <f t="shared" si="15"/>
        <v>1353.7387734222089</v>
      </c>
      <c r="M19" s="427">
        <f t="shared" si="15"/>
        <v>1261.6606340674798</v>
      </c>
      <c r="N19" s="427">
        <f t="shared" si="15"/>
        <v>1334.5208878095539</v>
      </c>
      <c r="O19" s="427">
        <f t="shared" si="15"/>
        <v>658.7366696943476</v>
      </c>
    </row>
    <row r="20" spans="1:17">
      <c r="D20" s="428"/>
      <c r="E20" s="428"/>
      <c r="F20" s="428"/>
      <c r="G20" s="428"/>
      <c r="H20" s="428"/>
      <c r="I20" s="428"/>
      <c r="J20" s="428"/>
      <c r="K20" s="428"/>
      <c r="L20" s="428"/>
      <c r="M20" s="428"/>
      <c r="N20" s="428"/>
      <c r="O20" s="428"/>
    </row>
    <row r="21" spans="1:17">
      <c r="A21" s="425" t="s">
        <v>5387</v>
      </c>
      <c r="B21" s="425" t="s">
        <v>5771</v>
      </c>
      <c r="C21" s="55" t="s">
        <v>467</v>
      </c>
      <c r="D21" s="431">
        <v>6492</v>
      </c>
      <c r="E21" s="431">
        <v>6502</v>
      </c>
      <c r="F21" s="431">
        <v>6542</v>
      </c>
      <c r="G21" s="431">
        <v>6534</v>
      </c>
      <c r="H21" s="56">
        <v>6569</v>
      </c>
      <c r="I21" s="56">
        <v>6461</v>
      </c>
      <c r="J21" s="56">
        <v>6494</v>
      </c>
      <c r="K21" s="56">
        <v>6570</v>
      </c>
      <c r="L21" s="56">
        <v>6548</v>
      </c>
      <c r="M21" s="56">
        <v>6420</v>
      </c>
      <c r="N21" s="56">
        <v>6510</v>
      </c>
      <c r="O21" s="56">
        <v>6650</v>
      </c>
      <c r="Q21" s="425" t="s">
        <v>1105</v>
      </c>
    </row>
    <row r="22" spans="1:17">
      <c r="A22" s="425" t="s">
        <v>5389</v>
      </c>
      <c r="B22" s="425" t="s">
        <v>1110</v>
      </c>
      <c r="C22" s="55" t="s">
        <v>468</v>
      </c>
      <c r="D22" s="431">
        <v>6569</v>
      </c>
      <c r="E22" s="431">
        <v>6666</v>
      </c>
      <c r="F22" s="431">
        <v>6739</v>
      </c>
      <c r="G22" s="431">
        <v>6681</v>
      </c>
      <c r="H22" s="56">
        <v>6517</v>
      </c>
      <c r="I22" s="56">
        <v>6289</v>
      </c>
      <c r="J22" s="56">
        <v>6287</v>
      </c>
      <c r="K22" s="56">
        <v>6543</v>
      </c>
      <c r="L22" s="56">
        <v>6480</v>
      </c>
      <c r="M22" s="56">
        <v>6392</v>
      </c>
      <c r="N22" s="56">
        <v>6513</v>
      </c>
      <c r="O22" s="56">
        <v>6723</v>
      </c>
      <c r="Q22" s="425" t="s">
        <v>1105</v>
      </c>
    </row>
    <row r="23" spans="1:17">
      <c r="A23" s="425" t="s">
        <v>5391</v>
      </c>
      <c r="B23" s="425" t="s">
        <v>1721</v>
      </c>
      <c r="C23" s="55" t="s">
        <v>469</v>
      </c>
      <c r="D23" s="427">
        <v>6466</v>
      </c>
      <c r="E23" s="427">
        <v>6544</v>
      </c>
      <c r="F23" s="427">
        <v>6541</v>
      </c>
      <c r="G23" s="427">
        <v>6618</v>
      </c>
      <c r="H23" s="56">
        <v>6691</v>
      </c>
      <c r="I23" s="56">
        <v>6535</v>
      </c>
      <c r="J23" s="56">
        <v>6671</v>
      </c>
      <c r="K23" s="56">
        <v>6843</v>
      </c>
      <c r="L23" s="56">
        <v>6802</v>
      </c>
      <c r="M23" s="56">
        <v>6744</v>
      </c>
      <c r="N23" s="56">
        <v>6820</v>
      </c>
      <c r="O23" s="56">
        <v>7042</v>
      </c>
      <c r="Q23" s="425" t="s">
        <v>1105</v>
      </c>
    </row>
    <row r="24" spans="1:17">
      <c r="A24" s="425" t="s">
        <v>5393</v>
      </c>
      <c r="B24" s="425" t="s">
        <v>1111</v>
      </c>
      <c r="C24" s="55" t="s">
        <v>470</v>
      </c>
      <c r="D24" s="431">
        <v>7681</v>
      </c>
      <c r="E24" s="431">
        <v>7718</v>
      </c>
      <c r="F24" s="431">
        <v>7942</v>
      </c>
      <c r="G24" s="431">
        <v>7864</v>
      </c>
      <c r="H24" s="56">
        <v>7936</v>
      </c>
      <c r="I24" s="56">
        <v>7700</v>
      </c>
      <c r="J24" s="56">
        <v>7844</v>
      </c>
      <c r="K24" s="56">
        <v>8247</v>
      </c>
      <c r="L24" s="56">
        <v>8218</v>
      </c>
      <c r="M24" s="56">
        <v>8134</v>
      </c>
      <c r="N24" s="56">
        <v>8383</v>
      </c>
      <c r="O24" s="56">
        <v>8674</v>
      </c>
      <c r="Q24" s="425" t="s">
        <v>1107</v>
      </c>
    </row>
    <row r="25" spans="1:17">
      <c r="A25" s="425" t="s">
        <v>5394</v>
      </c>
      <c r="B25" s="425" t="s">
        <v>1112</v>
      </c>
      <c r="C25" s="55" t="s">
        <v>471</v>
      </c>
      <c r="D25" s="431">
        <v>6279</v>
      </c>
      <c r="E25" s="431">
        <v>6319</v>
      </c>
      <c r="F25" s="431">
        <v>6348</v>
      </c>
      <c r="G25" s="431">
        <v>6377</v>
      </c>
      <c r="H25" s="56">
        <v>6467</v>
      </c>
      <c r="I25" s="56">
        <v>6294</v>
      </c>
      <c r="J25" s="56">
        <v>6254</v>
      </c>
      <c r="K25" s="56">
        <v>6401</v>
      </c>
      <c r="L25" s="56">
        <v>6372</v>
      </c>
      <c r="M25" s="56">
        <v>6279</v>
      </c>
      <c r="N25" s="56">
        <v>6265</v>
      </c>
      <c r="O25" s="56">
        <v>6344</v>
      </c>
      <c r="Q25" s="425" t="s">
        <v>1105</v>
      </c>
    </row>
    <row r="26" spans="1:17">
      <c r="A26" s="425" t="s">
        <v>5416</v>
      </c>
      <c r="B26" s="425" t="s">
        <v>1113</v>
      </c>
      <c r="C26" s="55" t="s">
        <v>472</v>
      </c>
      <c r="D26" s="431">
        <v>7191</v>
      </c>
      <c r="E26" s="431">
        <v>7219</v>
      </c>
      <c r="F26" s="431">
        <v>7377</v>
      </c>
      <c r="G26" s="431">
        <v>7308</v>
      </c>
      <c r="H26" s="56">
        <v>7497</v>
      </c>
      <c r="I26" s="56">
        <v>7325</v>
      </c>
      <c r="J26" s="56">
        <v>7335</v>
      </c>
      <c r="K26" s="56">
        <v>7468</v>
      </c>
      <c r="L26" s="56">
        <v>7464</v>
      </c>
      <c r="M26" s="56">
        <v>7378</v>
      </c>
      <c r="N26" s="56">
        <v>7361</v>
      </c>
      <c r="O26" s="56">
        <v>7408</v>
      </c>
      <c r="Q26" s="425" t="s">
        <v>1105</v>
      </c>
    </row>
    <row r="27" spans="1:17">
      <c r="A27" s="425" t="s">
        <v>5418</v>
      </c>
      <c r="B27" s="425" t="s">
        <v>6708</v>
      </c>
      <c r="C27" s="55" t="s">
        <v>473</v>
      </c>
      <c r="D27" s="431">
        <v>6515</v>
      </c>
      <c r="E27" s="431">
        <v>6457</v>
      </c>
      <c r="F27" s="431">
        <v>6602</v>
      </c>
      <c r="G27" s="431">
        <v>6641</v>
      </c>
      <c r="H27" s="56">
        <v>6594</v>
      </c>
      <c r="I27" s="56">
        <v>6057</v>
      </c>
      <c r="J27" s="56">
        <v>5953</v>
      </c>
      <c r="K27" s="56">
        <v>6141</v>
      </c>
      <c r="L27" s="56">
        <v>6052</v>
      </c>
      <c r="M27" s="56">
        <v>5865</v>
      </c>
      <c r="N27" s="56">
        <v>6069</v>
      </c>
      <c r="O27" s="56">
        <v>6388</v>
      </c>
      <c r="Q27" s="425" t="s">
        <v>1107</v>
      </c>
    </row>
    <row r="28" spans="1:17">
      <c r="A28" s="425" t="s">
        <v>5420</v>
      </c>
      <c r="B28" s="425" t="s">
        <v>1114</v>
      </c>
      <c r="C28" s="55" t="s">
        <v>474</v>
      </c>
      <c r="D28" s="431">
        <v>6277</v>
      </c>
      <c r="E28" s="431">
        <v>6380</v>
      </c>
      <c r="F28" s="431">
        <v>6461</v>
      </c>
      <c r="G28" s="431">
        <v>6506</v>
      </c>
      <c r="H28" s="56">
        <v>6525</v>
      </c>
      <c r="I28" s="56">
        <v>6348</v>
      </c>
      <c r="J28" s="56">
        <v>6365</v>
      </c>
      <c r="K28" s="56">
        <v>6647</v>
      </c>
      <c r="L28" s="56">
        <v>6575</v>
      </c>
      <c r="M28" s="56">
        <v>6495</v>
      </c>
      <c r="N28" s="56">
        <v>6564</v>
      </c>
      <c r="O28" s="56">
        <v>6706</v>
      </c>
      <c r="Q28" s="425" t="s">
        <v>1107</v>
      </c>
    </row>
    <row r="29" spans="1:17">
      <c r="A29" s="425" t="s">
        <v>5422</v>
      </c>
      <c r="B29" s="425" t="s">
        <v>5043</v>
      </c>
      <c r="C29" s="55" t="s">
        <v>475</v>
      </c>
      <c r="D29" s="431">
        <v>7104</v>
      </c>
      <c r="E29" s="431">
        <v>7145</v>
      </c>
      <c r="F29" s="431">
        <v>7240</v>
      </c>
      <c r="G29" s="431">
        <v>7127</v>
      </c>
      <c r="H29" s="56">
        <v>7287</v>
      </c>
      <c r="I29" s="56">
        <v>6317</v>
      </c>
      <c r="J29" s="56">
        <v>6303</v>
      </c>
      <c r="K29" s="56">
        <v>6787</v>
      </c>
      <c r="L29" s="56">
        <v>6624</v>
      </c>
      <c r="M29" s="56">
        <v>6380</v>
      </c>
      <c r="N29" s="56">
        <v>6571</v>
      </c>
      <c r="O29" s="56">
        <v>7211</v>
      </c>
      <c r="Q29" s="425" t="s">
        <v>1105</v>
      </c>
    </row>
    <row r="30" spans="1:17">
      <c r="A30" s="425" t="s">
        <v>5424</v>
      </c>
      <c r="B30" s="425" t="s">
        <v>1115</v>
      </c>
      <c r="C30" s="55" t="s">
        <v>476</v>
      </c>
      <c r="D30" s="604">
        <v>6151</v>
      </c>
      <c r="E30" s="604">
        <v>6195</v>
      </c>
      <c r="F30" s="604">
        <v>6482</v>
      </c>
      <c r="G30" s="604">
        <v>6313</v>
      </c>
      <c r="H30" s="56">
        <v>6158</v>
      </c>
      <c r="I30" s="56">
        <v>5918</v>
      </c>
      <c r="J30" s="56">
        <v>5942</v>
      </c>
      <c r="K30" s="56">
        <v>6213</v>
      </c>
      <c r="L30" s="56">
        <v>6153</v>
      </c>
      <c r="M30" s="56">
        <v>6002</v>
      </c>
      <c r="N30" s="56">
        <v>6049</v>
      </c>
      <c r="O30" s="56">
        <v>6352</v>
      </c>
      <c r="Q30" s="425" t="s">
        <v>1105</v>
      </c>
    </row>
    <row r="31" spans="1:17">
      <c r="A31" s="425" t="s">
        <v>5426</v>
      </c>
      <c r="B31" s="425" t="s">
        <v>1116</v>
      </c>
      <c r="C31" s="55" t="s">
        <v>477</v>
      </c>
      <c r="D31" s="431">
        <v>6603</v>
      </c>
      <c r="E31" s="431">
        <v>6573</v>
      </c>
      <c r="F31" s="431">
        <v>6726</v>
      </c>
      <c r="G31" s="431">
        <v>6744</v>
      </c>
      <c r="H31" s="56">
        <v>6787</v>
      </c>
      <c r="I31" s="56">
        <v>6673</v>
      </c>
      <c r="J31" s="56">
        <v>6694</v>
      </c>
      <c r="K31" s="56">
        <v>6861</v>
      </c>
      <c r="L31" s="56">
        <v>6876</v>
      </c>
      <c r="M31" s="56">
        <v>6764</v>
      </c>
      <c r="N31" s="56">
        <v>6868</v>
      </c>
      <c r="O31" s="56">
        <v>6986</v>
      </c>
      <c r="Q31" s="425" t="s">
        <v>1105</v>
      </c>
    </row>
    <row r="32" spans="1:17">
      <c r="A32" s="425" t="s">
        <v>5428</v>
      </c>
      <c r="B32" s="425" t="s">
        <v>2991</v>
      </c>
      <c r="C32" s="55" t="s">
        <v>478</v>
      </c>
      <c r="D32" s="431">
        <v>6259</v>
      </c>
      <c r="E32" s="431">
        <v>6277</v>
      </c>
      <c r="F32" s="431">
        <v>6347</v>
      </c>
      <c r="G32" s="431">
        <v>6378</v>
      </c>
      <c r="H32" s="56">
        <v>6423</v>
      </c>
      <c r="I32" s="56">
        <v>6294</v>
      </c>
      <c r="J32" s="56">
        <v>6232</v>
      </c>
      <c r="K32" s="56">
        <v>6293</v>
      </c>
      <c r="L32" s="56">
        <v>6349</v>
      </c>
      <c r="M32" s="56">
        <v>6235</v>
      </c>
      <c r="N32" s="56">
        <v>6265</v>
      </c>
      <c r="O32" s="56">
        <v>6347</v>
      </c>
      <c r="Q32" s="425" t="s">
        <v>1105</v>
      </c>
    </row>
    <row r="33" spans="1:17">
      <c r="A33" s="425" t="s">
        <v>5429</v>
      </c>
      <c r="B33" s="425" t="s">
        <v>6726</v>
      </c>
      <c r="C33" s="55" t="s">
        <v>479</v>
      </c>
      <c r="D33" s="431">
        <v>7377</v>
      </c>
      <c r="E33" s="431">
        <v>7297</v>
      </c>
      <c r="F33" s="431">
        <v>7460</v>
      </c>
      <c r="G33" s="431">
        <v>7331</v>
      </c>
      <c r="H33" s="56">
        <v>7319</v>
      </c>
      <c r="I33" s="56">
        <v>6152</v>
      </c>
      <c r="J33" s="56">
        <v>6136</v>
      </c>
      <c r="K33" s="56">
        <v>6320</v>
      </c>
      <c r="L33" s="56">
        <v>6360</v>
      </c>
      <c r="M33" s="56">
        <v>6014</v>
      </c>
      <c r="N33" s="56">
        <v>6377</v>
      </c>
      <c r="O33" s="56">
        <v>6975</v>
      </c>
      <c r="Q33" s="425" t="s">
        <v>1105</v>
      </c>
    </row>
    <row r="34" spans="1:17">
      <c r="A34" s="425" t="s">
        <v>5431</v>
      </c>
      <c r="B34" s="425" t="s">
        <v>1117</v>
      </c>
      <c r="C34" s="55" t="s">
        <v>480</v>
      </c>
      <c r="D34" s="431">
        <v>7154</v>
      </c>
      <c r="E34" s="431">
        <v>7195</v>
      </c>
      <c r="F34" s="431">
        <v>7182</v>
      </c>
      <c r="G34" s="431">
        <v>7202</v>
      </c>
      <c r="H34" s="56">
        <v>7250</v>
      </c>
      <c r="I34" s="56">
        <v>7023</v>
      </c>
      <c r="J34" s="56">
        <v>7026</v>
      </c>
      <c r="K34" s="56">
        <v>7254</v>
      </c>
      <c r="L34" s="56">
        <v>7102</v>
      </c>
      <c r="M34" s="56">
        <v>6891</v>
      </c>
      <c r="N34" s="56">
        <v>6996</v>
      </c>
      <c r="O34" s="56">
        <v>7169</v>
      </c>
      <c r="Q34" s="425" t="s">
        <v>1105</v>
      </c>
    </row>
    <row r="35" spans="1:17">
      <c r="A35" s="425" t="s">
        <v>5433</v>
      </c>
      <c r="B35" s="425" t="s">
        <v>1118</v>
      </c>
      <c r="C35" s="55" t="s">
        <v>481</v>
      </c>
      <c r="D35" s="431">
        <v>6584</v>
      </c>
      <c r="E35" s="431">
        <v>6707</v>
      </c>
      <c r="F35" s="431">
        <v>6751</v>
      </c>
      <c r="G35" s="431">
        <v>6680</v>
      </c>
      <c r="H35" s="56">
        <v>6827</v>
      </c>
      <c r="I35" s="56">
        <v>6651</v>
      </c>
      <c r="J35" s="56">
        <v>6621</v>
      </c>
      <c r="K35" s="56">
        <v>6826</v>
      </c>
      <c r="L35" s="56">
        <v>6755</v>
      </c>
      <c r="M35" s="56">
        <v>6598</v>
      </c>
      <c r="N35" s="56">
        <v>6695</v>
      </c>
      <c r="O35" s="56">
        <v>6830</v>
      </c>
      <c r="Q35" s="425" t="s">
        <v>1105</v>
      </c>
    </row>
    <row r="36" spans="1:17">
      <c r="A36" s="425" t="s">
        <v>5435</v>
      </c>
      <c r="B36" s="425" t="s">
        <v>4777</v>
      </c>
      <c r="C36" s="55" t="s">
        <v>482</v>
      </c>
      <c r="D36" s="431">
        <v>6401</v>
      </c>
      <c r="E36" s="431">
        <v>6421</v>
      </c>
      <c r="F36" s="431">
        <v>6486</v>
      </c>
      <c r="G36" s="431">
        <v>6476</v>
      </c>
      <c r="H36" s="58">
        <v>6419</v>
      </c>
      <c r="I36" s="58">
        <v>6284</v>
      </c>
      <c r="J36" s="58">
        <v>6301</v>
      </c>
      <c r="K36" s="58">
        <v>6532</v>
      </c>
      <c r="L36" s="58">
        <v>6509</v>
      </c>
      <c r="M36" s="58">
        <v>6479</v>
      </c>
      <c r="N36" s="58">
        <v>6595</v>
      </c>
      <c r="O36" s="58">
        <v>6748</v>
      </c>
      <c r="Q36" s="425" t="s">
        <v>1107</v>
      </c>
    </row>
    <row r="38" spans="1:17">
      <c r="A38" s="425" t="s">
        <v>1119</v>
      </c>
    </row>
    <row r="39" spans="1:17">
      <c r="A39" s="130" t="s">
        <v>1120</v>
      </c>
    </row>
    <row r="41" spans="1:17" ht="20.25" customHeight="1">
      <c r="A41" s="425"/>
      <c r="D41" s="426"/>
      <c r="E41" s="426"/>
      <c r="F41" s="426"/>
      <c r="G41" s="426"/>
      <c r="H41" s="426"/>
      <c r="I41" s="426"/>
      <c r="J41" s="426"/>
      <c r="K41" s="426"/>
      <c r="L41" s="426"/>
    </row>
    <row r="43" spans="1:17">
      <c r="A43" s="425"/>
      <c r="B43" s="425"/>
      <c r="C43" s="425"/>
      <c r="D43" s="426"/>
      <c r="E43" s="426"/>
      <c r="F43" s="426"/>
      <c r="G43" s="426"/>
      <c r="H43" s="426"/>
      <c r="I43" s="426"/>
      <c r="J43" s="426"/>
      <c r="K43" s="426"/>
      <c r="L43" s="426"/>
      <c r="Q43" s="425"/>
    </row>
    <row r="44" spans="1:17">
      <c r="A44" s="425"/>
      <c r="B44" s="425"/>
      <c r="C44" s="425"/>
      <c r="D44" s="426"/>
      <c r="E44" s="426"/>
      <c r="F44" s="426"/>
      <c r="G44" s="426"/>
      <c r="H44" s="426"/>
      <c r="I44" s="426"/>
      <c r="J44" s="426"/>
      <c r="K44" s="426"/>
      <c r="L44" s="426"/>
      <c r="Q44" s="425"/>
    </row>
    <row r="45" spans="1:17">
      <c r="A45" s="425"/>
      <c r="B45" s="425"/>
      <c r="C45" s="425"/>
      <c r="D45" s="426"/>
      <c r="E45" s="426"/>
      <c r="F45" s="426"/>
      <c r="G45" s="426"/>
      <c r="H45" s="426"/>
      <c r="I45" s="426"/>
      <c r="J45" s="426"/>
      <c r="K45" s="426"/>
      <c r="L45" s="426"/>
      <c r="Q45" s="425"/>
    </row>
    <row r="46" spans="1:17">
      <c r="A46" s="425"/>
      <c r="B46" s="425"/>
      <c r="C46" s="425"/>
      <c r="D46" s="426"/>
      <c r="E46" s="426"/>
      <c r="F46" s="426"/>
      <c r="G46" s="426"/>
      <c r="H46" s="426"/>
      <c r="I46" s="426"/>
      <c r="J46" s="426"/>
      <c r="K46" s="426"/>
      <c r="L46" s="426"/>
      <c r="Q46" s="425"/>
    </row>
    <row r="47" spans="1:17">
      <c r="A47" s="425"/>
      <c r="B47" s="425"/>
      <c r="C47" s="425"/>
      <c r="D47" s="426"/>
      <c r="E47" s="426"/>
      <c r="F47" s="426"/>
      <c r="G47" s="426"/>
      <c r="H47" s="426"/>
      <c r="I47" s="426"/>
      <c r="J47" s="426"/>
      <c r="K47" s="426"/>
      <c r="L47" s="426"/>
      <c r="Q47" s="425"/>
    </row>
    <row r="48" spans="1:17">
      <c r="A48" s="425"/>
      <c r="B48" s="425"/>
      <c r="C48" s="425"/>
      <c r="D48" s="426"/>
      <c r="E48" s="426"/>
      <c r="F48" s="426"/>
      <c r="G48" s="426"/>
      <c r="H48" s="426"/>
      <c r="I48" s="426"/>
      <c r="J48" s="426"/>
      <c r="K48" s="426"/>
      <c r="L48" s="426"/>
      <c r="Q48" s="425"/>
    </row>
    <row r="49" spans="1:17">
      <c r="A49" s="425"/>
      <c r="B49" s="425"/>
      <c r="C49" s="425"/>
      <c r="D49" s="426"/>
      <c r="E49" s="426"/>
      <c r="F49" s="426"/>
      <c r="G49" s="426"/>
      <c r="H49" s="426"/>
      <c r="I49" s="426"/>
      <c r="J49" s="426"/>
      <c r="K49" s="426"/>
      <c r="L49" s="426"/>
      <c r="Q49" s="425"/>
    </row>
    <row r="50" spans="1:17">
      <c r="A50" s="425"/>
      <c r="B50" s="425"/>
      <c r="C50" s="425"/>
      <c r="D50" s="426"/>
      <c r="E50" s="426"/>
      <c r="F50" s="426"/>
      <c r="G50" s="426"/>
      <c r="H50" s="426"/>
      <c r="I50" s="426"/>
      <c r="J50" s="426"/>
      <c r="K50" s="426"/>
      <c r="L50" s="426"/>
      <c r="Q50" s="425"/>
    </row>
    <row r="51" spans="1:17">
      <c r="A51" s="425"/>
      <c r="B51" s="425"/>
      <c r="C51" s="425"/>
      <c r="D51" s="426"/>
      <c r="E51" s="426"/>
      <c r="F51" s="426"/>
      <c r="G51" s="426"/>
      <c r="H51" s="426"/>
      <c r="I51" s="426"/>
      <c r="J51" s="426"/>
      <c r="K51" s="426"/>
      <c r="L51" s="426"/>
      <c r="Q51" s="425"/>
    </row>
    <row r="52" spans="1:17">
      <c r="A52" s="425"/>
      <c r="B52" s="425"/>
      <c r="C52" s="425"/>
      <c r="D52" s="426"/>
      <c r="E52" s="426"/>
      <c r="F52" s="426"/>
      <c r="G52" s="426"/>
      <c r="H52" s="426"/>
      <c r="I52" s="426"/>
      <c r="J52" s="426"/>
      <c r="K52" s="426"/>
      <c r="L52" s="426"/>
      <c r="Q52" s="425"/>
    </row>
    <row r="53" spans="1:17">
      <c r="A53" s="425"/>
      <c r="B53" s="425"/>
      <c r="C53" s="425"/>
      <c r="D53" s="426"/>
      <c r="E53" s="426"/>
      <c r="F53" s="426"/>
      <c r="G53" s="426"/>
      <c r="H53" s="426"/>
      <c r="I53" s="426"/>
      <c r="J53" s="426"/>
      <c r="K53" s="426"/>
      <c r="L53" s="426"/>
      <c r="Q53" s="425"/>
    </row>
    <row r="54" spans="1:17">
      <c r="A54" s="425"/>
      <c r="B54" s="425"/>
      <c r="C54" s="425"/>
      <c r="D54" s="426"/>
      <c r="E54" s="426"/>
      <c r="F54" s="426"/>
      <c r="G54" s="426"/>
      <c r="H54" s="426"/>
      <c r="I54" s="426"/>
      <c r="J54" s="426"/>
      <c r="K54" s="426"/>
      <c r="L54" s="426"/>
      <c r="Q54" s="425"/>
    </row>
    <row r="55" spans="1:17">
      <c r="A55" s="425"/>
      <c r="B55" s="425"/>
      <c r="C55" s="425"/>
      <c r="D55" s="426"/>
      <c r="E55" s="426"/>
      <c r="F55" s="426"/>
      <c r="G55" s="426"/>
      <c r="H55" s="426"/>
      <c r="I55" s="426"/>
      <c r="J55" s="426"/>
      <c r="K55" s="426"/>
      <c r="L55" s="426"/>
      <c r="Q55" s="425"/>
    </row>
    <row r="56" spans="1:17">
      <c r="A56" s="425"/>
      <c r="B56" s="425"/>
      <c r="C56" s="425"/>
      <c r="D56" s="426"/>
      <c r="E56" s="426"/>
      <c r="F56" s="426"/>
      <c r="G56" s="426"/>
      <c r="H56" s="426"/>
      <c r="I56" s="426"/>
      <c r="J56" s="426"/>
      <c r="K56" s="426"/>
      <c r="L56" s="426"/>
      <c r="Q56" s="425"/>
    </row>
    <row r="57" spans="1:17">
      <c r="A57" s="425"/>
      <c r="B57" s="425"/>
      <c r="C57" s="425"/>
      <c r="D57" s="426"/>
      <c r="E57" s="426"/>
      <c r="F57" s="426"/>
      <c r="G57" s="426"/>
      <c r="H57" s="426"/>
      <c r="I57" s="426"/>
      <c r="J57" s="426"/>
      <c r="K57" s="426"/>
      <c r="L57" s="426"/>
      <c r="Q57" s="425"/>
    </row>
    <row r="58" spans="1:17">
      <c r="A58" s="425"/>
      <c r="B58" s="425"/>
      <c r="C58" s="425"/>
      <c r="D58" s="426"/>
      <c r="E58" s="426"/>
      <c r="F58" s="426"/>
      <c r="G58" s="426"/>
      <c r="H58" s="426"/>
      <c r="I58" s="426"/>
      <c r="J58" s="426"/>
      <c r="K58" s="426"/>
      <c r="L58" s="426"/>
      <c r="Q58" s="425"/>
    </row>
    <row r="59" spans="1:17">
      <c r="A59" s="425"/>
      <c r="B59" s="425"/>
      <c r="C59" s="425"/>
      <c r="D59" s="426"/>
      <c r="E59" s="426"/>
      <c r="F59" s="426"/>
      <c r="G59" s="426"/>
      <c r="H59" s="426"/>
      <c r="I59" s="426"/>
      <c r="J59" s="426"/>
      <c r="K59" s="426"/>
      <c r="L59" s="426"/>
      <c r="Q59" s="425"/>
    </row>
    <row r="60" spans="1:17">
      <c r="A60" s="425"/>
      <c r="B60" s="425"/>
      <c r="C60" s="425"/>
      <c r="D60" s="426"/>
      <c r="E60" s="426"/>
      <c r="F60" s="426"/>
      <c r="G60" s="426"/>
      <c r="H60" s="426"/>
      <c r="I60" s="426"/>
      <c r="J60" s="426"/>
      <c r="K60" s="426"/>
      <c r="L60" s="426"/>
      <c r="Q60" s="425"/>
    </row>
    <row r="61" spans="1:17">
      <c r="A61" s="425"/>
      <c r="B61" s="425"/>
      <c r="C61" s="425"/>
      <c r="D61" s="426"/>
      <c r="E61" s="426"/>
      <c r="F61" s="426"/>
      <c r="G61" s="426"/>
      <c r="H61" s="426"/>
      <c r="I61" s="426"/>
      <c r="J61" s="426"/>
      <c r="K61" s="426"/>
      <c r="L61" s="426"/>
      <c r="Q61" s="425"/>
    </row>
    <row r="64" spans="1:17">
      <c r="A64" s="425"/>
      <c r="D64" s="426"/>
      <c r="E64" s="426"/>
      <c r="F64" s="426"/>
      <c r="G64" s="426"/>
      <c r="H64" s="426"/>
      <c r="I64" s="426"/>
      <c r="J64" s="426"/>
      <c r="K64" s="426"/>
      <c r="L64" s="426"/>
    </row>
    <row r="65" spans="1:12">
      <c r="A65" s="425"/>
      <c r="D65" s="426"/>
      <c r="E65" s="426"/>
      <c r="F65" s="426"/>
      <c r="G65" s="426"/>
      <c r="H65" s="426"/>
      <c r="I65" s="426"/>
      <c r="J65" s="426"/>
      <c r="K65" s="426"/>
      <c r="L65" s="426"/>
    </row>
    <row r="67" spans="1:12">
      <c r="A67" s="425"/>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3:D4 E3:E4 F3:F4 G3:G4 D5:D20 E5:E19 F5:F19 G5:G19 H3:H4 H5:H19 I3:I19 J3:J19 K3:K19 L3:L19" unlocked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dimension ref="A1:Q85"/>
  <sheetViews>
    <sheetView showGridLines="0" topLeftCell="A22" zoomScale="90" zoomScaleNormal="90" workbookViewId="0">
      <selection activeCell="O3" sqref="O3"/>
    </sheetView>
  </sheetViews>
  <sheetFormatPr defaultColWidth="12.5703125" defaultRowHeight="15"/>
  <cols>
    <col min="1" max="1" width="4.85546875" style="144" customWidth="1"/>
    <col min="2" max="2" width="40.5703125" style="144" customWidth="1"/>
    <col min="3" max="3" width="11.85546875" style="144" customWidth="1"/>
    <col min="4" max="15" width="10" style="144" customWidth="1"/>
    <col min="16" max="16" width="2.28515625" style="144" customWidth="1"/>
    <col min="17" max="17" width="29.42578125" style="144" customWidth="1"/>
    <col min="18" max="16384" width="12.5703125" style="144"/>
  </cols>
  <sheetData>
    <row r="1" spans="1:17">
      <c r="A1" s="595" t="s">
        <v>5719</v>
      </c>
      <c r="B1" s="596"/>
      <c r="C1" s="596"/>
      <c r="D1" s="597">
        <v>2010</v>
      </c>
      <c r="E1" s="597">
        <v>2011</v>
      </c>
      <c r="F1" s="597">
        <v>2012</v>
      </c>
      <c r="G1" s="597">
        <v>2013</v>
      </c>
      <c r="H1" s="597">
        <v>2014</v>
      </c>
      <c r="I1" s="597">
        <v>2015</v>
      </c>
      <c r="J1" s="597">
        <v>2016</v>
      </c>
      <c r="K1" s="597">
        <v>2017</v>
      </c>
      <c r="L1" s="597">
        <v>2018</v>
      </c>
      <c r="M1" s="597">
        <v>2019</v>
      </c>
      <c r="N1" s="597">
        <v>2020</v>
      </c>
      <c r="O1" s="962" t="s">
        <v>14823</v>
      </c>
      <c r="P1" s="596"/>
    </row>
    <row r="2" spans="1:17">
      <c r="A2" s="596"/>
      <c r="B2" s="596"/>
      <c r="C2" s="596"/>
      <c r="D2" s="596"/>
      <c r="E2" s="596"/>
      <c r="F2" s="596"/>
      <c r="G2" s="596"/>
      <c r="H2" s="596"/>
      <c r="I2" s="596"/>
      <c r="J2" s="596"/>
      <c r="K2" s="596"/>
      <c r="L2" s="596"/>
      <c r="M2" s="596"/>
      <c r="N2" s="596"/>
      <c r="O2" s="596"/>
      <c r="P2" s="596"/>
      <c r="Q2" s="596"/>
    </row>
    <row r="3" spans="1:17">
      <c r="A3" s="595" t="s">
        <v>603</v>
      </c>
      <c r="B3" s="596"/>
      <c r="C3" s="596"/>
      <c r="D3" s="598">
        <f t="shared" ref="D3:I3" si="0">SUM(D25:D45)</f>
        <v>189729</v>
      </c>
      <c r="E3" s="598">
        <f t="shared" si="0"/>
        <v>191664</v>
      </c>
      <c r="F3" s="598">
        <f t="shared" si="0"/>
        <v>193037</v>
      </c>
      <c r="G3" s="598">
        <f t="shared" si="0"/>
        <v>193547</v>
      </c>
      <c r="H3" s="598">
        <f t="shared" si="0"/>
        <v>193774</v>
      </c>
      <c r="I3" s="598">
        <f t="shared" si="0"/>
        <v>193576</v>
      </c>
      <c r="J3" s="598">
        <f t="shared" ref="J3:O3" si="1">SUM(J25:J45)</f>
        <v>188189</v>
      </c>
      <c r="K3" s="598">
        <f t="shared" si="1"/>
        <v>198161</v>
      </c>
      <c r="L3" s="598">
        <f t="shared" si="1"/>
        <v>200854</v>
      </c>
      <c r="M3" s="598">
        <f t="shared" si="1"/>
        <v>196869</v>
      </c>
      <c r="N3" s="598">
        <f t="shared" si="1"/>
        <v>220228</v>
      </c>
      <c r="O3" s="598">
        <f t="shared" si="1"/>
        <v>217432</v>
      </c>
      <c r="P3" s="596"/>
    </row>
    <row r="4" spans="1:17">
      <c r="A4" s="596"/>
      <c r="B4" s="596"/>
      <c r="C4" s="596"/>
      <c r="D4" s="596"/>
      <c r="E4" s="596"/>
      <c r="F4" s="596"/>
      <c r="G4" s="596"/>
      <c r="H4" s="596"/>
      <c r="I4" s="596"/>
      <c r="J4" s="596"/>
      <c r="K4" s="596"/>
      <c r="L4" s="596"/>
      <c r="M4" s="596"/>
      <c r="N4" s="596"/>
      <c r="O4" s="596"/>
      <c r="P4" s="596"/>
      <c r="Q4" s="596"/>
    </row>
    <row r="5" spans="1:17">
      <c r="A5" s="595" t="s">
        <v>5382</v>
      </c>
      <c r="B5" s="596"/>
      <c r="C5" s="596"/>
      <c r="D5" s="598">
        <f t="shared" ref="D5:I5" si="2">D3/3</f>
        <v>63243</v>
      </c>
      <c r="E5" s="598">
        <f t="shared" si="2"/>
        <v>63888</v>
      </c>
      <c r="F5" s="598">
        <f t="shared" si="2"/>
        <v>64345.666666666664</v>
      </c>
      <c r="G5" s="598">
        <f t="shared" si="2"/>
        <v>64515.666666666664</v>
      </c>
      <c r="H5" s="598">
        <f t="shared" si="2"/>
        <v>64591.333333333336</v>
      </c>
      <c r="I5" s="598">
        <f t="shared" si="2"/>
        <v>64525.333333333336</v>
      </c>
      <c r="J5" s="598">
        <f t="shared" ref="J5:O5" si="3">J3/3</f>
        <v>62729.666666666664</v>
      </c>
      <c r="K5" s="598">
        <f t="shared" si="3"/>
        <v>66053.666666666672</v>
      </c>
      <c r="L5" s="598">
        <f t="shared" si="3"/>
        <v>66951.333333333328</v>
      </c>
      <c r="M5" s="598">
        <f t="shared" si="3"/>
        <v>65623</v>
      </c>
      <c r="N5" s="598">
        <f t="shared" si="3"/>
        <v>73409.333333333328</v>
      </c>
      <c r="O5" s="598">
        <f t="shared" si="3"/>
        <v>72477.333333333328</v>
      </c>
      <c r="P5" s="596"/>
      <c r="Q5" s="596"/>
    </row>
    <row r="6" spans="1:17">
      <c r="A6" s="50"/>
      <c r="B6" s="596"/>
      <c r="C6" s="596"/>
      <c r="D6" s="599"/>
      <c r="E6" s="599"/>
      <c r="F6" s="599"/>
      <c r="G6" s="599"/>
      <c r="H6" s="599"/>
      <c r="I6" s="599"/>
      <c r="J6" s="599"/>
      <c r="K6" s="599"/>
      <c r="L6" s="599"/>
      <c r="M6" s="599"/>
      <c r="N6" s="599"/>
      <c r="O6" s="599"/>
      <c r="P6" s="596"/>
      <c r="Q6" s="596"/>
    </row>
    <row r="7" spans="1:17">
      <c r="A7" s="595" t="s">
        <v>604</v>
      </c>
      <c r="D7" s="598">
        <f t="shared" ref="D7:I7" si="4">D29+SUM(D31:D33)+D43</f>
        <v>46046</v>
      </c>
      <c r="E7" s="598">
        <f t="shared" si="4"/>
        <v>46477</v>
      </c>
      <c r="F7" s="598">
        <f t="shared" si="4"/>
        <v>46571</v>
      </c>
      <c r="G7" s="598">
        <f t="shared" si="4"/>
        <v>46651</v>
      </c>
      <c r="H7" s="598">
        <f t="shared" si="4"/>
        <v>47274</v>
      </c>
      <c r="I7" s="598">
        <f t="shared" si="4"/>
        <v>47294</v>
      </c>
      <c r="J7" s="598">
        <f t="shared" ref="J7:O7" si="5">J29+SUM(J31:J33)+J43</f>
        <v>46545</v>
      </c>
      <c r="K7" s="598">
        <f t="shared" si="5"/>
        <v>48087</v>
      </c>
      <c r="L7" s="598">
        <f t="shared" si="5"/>
        <v>48705</v>
      </c>
      <c r="M7" s="598">
        <f t="shared" si="5"/>
        <v>48244</v>
      </c>
      <c r="N7" s="598">
        <f t="shared" si="5"/>
        <v>52891</v>
      </c>
      <c r="O7" s="598">
        <f t="shared" si="5"/>
        <v>52461</v>
      </c>
      <c r="P7" s="596"/>
      <c r="Q7" s="595" t="s">
        <v>605</v>
      </c>
    </row>
    <row r="8" spans="1:17" ht="15.75" thickBot="1">
      <c r="A8" s="596"/>
      <c r="D8" s="600">
        <f>SOUTHWARK!D12</f>
        <v>24740</v>
      </c>
      <c r="E8" s="600">
        <f>SOUTHWARK!E12</f>
        <v>25046</v>
      </c>
      <c r="F8" s="600">
        <f>SOUTHWARK!F12</f>
        <v>25345</v>
      </c>
      <c r="G8" s="600">
        <f>SOUTHWARK!G12</f>
        <v>25241</v>
      </c>
      <c r="H8" s="600">
        <f>SOUTHWARK!H12</f>
        <v>25256</v>
      </c>
      <c r="I8" s="600">
        <f>SOUTHWARK!I12</f>
        <v>24949</v>
      </c>
      <c r="J8" s="600">
        <f>SOUTHWARK!J12</f>
        <v>26031</v>
      </c>
      <c r="K8" s="600">
        <f>SOUTHWARK!K12</f>
        <v>25684</v>
      </c>
      <c r="L8" s="600">
        <f>SOUTHWARK!L12</f>
        <v>26159</v>
      </c>
      <c r="M8" s="600">
        <f>SOUTHWARK!M12</f>
        <v>25622</v>
      </c>
      <c r="N8" s="600">
        <f>SOUTHWARK!N12</f>
        <v>27290</v>
      </c>
      <c r="O8" s="600">
        <f>SOUTHWARK!O12</f>
        <v>27170</v>
      </c>
      <c r="P8" s="596"/>
      <c r="Q8" s="595" t="s">
        <v>606</v>
      </c>
    </row>
    <row r="9" spans="1:17" ht="15.75" thickBot="1">
      <c r="A9" s="596"/>
      <c r="D9" s="600">
        <f t="shared" ref="D9:I9" si="6">D7+D8</f>
        <v>70786</v>
      </c>
      <c r="E9" s="600">
        <f t="shared" si="6"/>
        <v>71523</v>
      </c>
      <c r="F9" s="600">
        <f t="shared" si="6"/>
        <v>71916</v>
      </c>
      <c r="G9" s="600">
        <f t="shared" si="6"/>
        <v>71892</v>
      </c>
      <c r="H9" s="600">
        <f t="shared" si="6"/>
        <v>72530</v>
      </c>
      <c r="I9" s="600">
        <f t="shared" si="6"/>
        <v>72243</v>
      </c>
      <c r="J9" s="600">
        <f t="shared" ref="J9:O9" si="7">J7+J8</f>
        <v>72576</v>
      </c>
      <c r="K9" s="600">
        <f t="shared" si="7"/>
        <v>73771</v>
      </c>
      <c r="L9" s="600">
        <f t="shared" si="7"/>
        <v>74864</v>
      </c>
      <c r="M9" s="600">
        <f t="shared" si="7"/>
        <v>73866</v>
      </c>
      <c r="N9" s="600">
        <f t="shared" si="7"/>
        <v>80181</v>
      </c>
      <c r="O9" s="600">
        <f t="shared" si="7"/>
        <v>79631</v>
      </c>
      <c r="P9" s="596"/>
      <c r="Q9" s="596"/>
    </row>
    <row r="10" spans="1:17">
      <c r="A10" s="596"/>
      <c r="D10" s="599"/>
      <c r="E10" s="599"/>
      <c r="F10" s="599"/>
      <c r="G10" s="599"/>
      <c r="H10" s="599"/>
      <c r="I10" s="599"/>
      <c r="J10" s="599"/>
      <c r="K10" s="599"/>
      <c r="L10" s="599"/>
      <c r="M10" s="599"/>
      <c r="N10" s="599"/>
      <c r="O10" s="599"/>
      <c r="P10" s="596"/>
      <c r="Q10" s="596"/>
    </row>
    <row r="11" spans="1:17">
      <c r="A11" s="595" t="s">
        <v>607</v>
      </c>
      <c r="D11" s="598">
        <f t="shared" ref="D11:I11" si="8">D26+D27+D37+SUM(D39:D42)+D44</f>
        <v>71902</v>
      </c>
      <c r="E11" s="598">
        <f t="shared" si="8"/>
        <v>71913</v>
      </c>
      <c r="F11" s="598">
        <f t="shared" si="8"/>
        <v>72460</v>
      </c>
      <c r="G11" s="598">
        <f t="shared" si="8"/>
        <v>72887</v>
      </c>
      <c r="H11" s="598">
        <f t="shared" si="8"/>
        <v>72622</v>
      </c>
      <c r="I11" s="598">
        <f t="shared" si="8"/>
        <v>72574</v>
      </c>
      <c r="J11" s="598">
        <f t="shared" ref="J11:O11" si="9">J26+J27+J37+SUM(J39:J42)+J44</f>
        <v>70286</v>
      </c>
      <c r="K11" s="598">
        <f t="shared" si="9"/>
        <v>73840</v>
      </c>
      <c r="L11" s="598">
        <f t="shared" si="9"/>
        <v>74414</v>
      </c>
      <c r="M11" s="598">
        <f t="shared" si="9"/>
        <v>73570</v>
      </c>
      <c r="N11" s="598">
        <f t="shared" si="9"/>
        <v>81910</v>
      </c>
      <c r="O11" s="598">
        <f t="shared" si="9"/>
        <v>80581</v>
      </c>
      <c r="P11" s="596"/>
      <c r="Q11" s="595" t="s">
        <v>605</v>
      </c>
    </row>
    <row r="12" spans="1:17">
      <c r="A12" s="596"/>
      <c r="D12" s="599"/>
      <c r="E12" s="599"/>
      <c r="F12" s="599"/>
      <c r="G12" s="599"/>
      <c r="H12" s="599"/>
      <c r="I12" s="599"/>
      <c r="J12" s="599"/>
      <c r="K12" s="599"/>
      <c r="L12" s="599"/>
      <c r="M12" s="599"/>
      <c r="N12" s="599"/>
      <c r="O12" s="599"/>
      <c r="P12" s="596"/>
      <c r="Q12" s="596"/>
    </row>
    <row r="13" spans="1:17">
      <c r="A13" s="595" t="s">
        <v>608</v>
      </c>
      <c r="D13" s="598">
        <f t="shared" ref="D13:I13" si="10">D25+D28+D30+SUM(D34:D36)+D38+D45</f>
        <v>71781</v>
      </c>
      <c r="E13" s="598">
        <f t="shared" si="10"/>
        <v>73274</v>
      </c>
      <c r="F13" s="598">
        <f t="shared" si="10"/>
        <v>74006</v>
      </c>
      <c r="G13" s="598">
        <f t="shared" si="10"/>
        <v>74009</v>
      </c>
      <c r="H13" s="598">
        <f t="shared" si="10"/>
        <v>73878</v>
      </c>
      <c r="I13" s="598">
        <f t="shared" si="10"/>
        <v>73708</v>
      </c>
      <c r="J13" s="598">
        <f t="shared" ref="J13:O13" si="11">J25+J28+J30+SUM(J34:J36)+J38+J45</f>
        <v>71358</v>
      </c>
      <c r="K13" s="598">
        <f t="shared" si="11"/>
        <v>76234</v>
      </c>
      <c r="L13" s="598">
        <f t="shared" si="11"/>
        <v>77735</v>
      </c>
      <c r="M13" s="598">
        <f t="shared" si="11"/>
        <v>75055</v>
      </c>
      <c r="N13" s="598">
        <f t="shared" si="11"/>
        <v>85427</v>
      </c>
      <c r="O13" s="598">
        <f t="shared" si="11"/>
        <v>84390</v>
      </c>
      <c r="P13" s="596"/>
      <c r="Q13" s="595" t="s">
        <v>605</v>
      </c>
    </row>
    <row r="14" spans="1:17" s="76" customFormat="1">
      <c r="A14" s="50"/>
      <c r="D14" s="98"/>
      <c r="E14" s="98"/>
      <c r="F14" s="98"/>
      <c r="G14" s="98"/>
      <c r="H14" s="98"/>
      <c r="I14" s="98"/>
      <c r="J14" s="98"/>
      <c r="K14" s="98"/>
      <c r="L14" s="98"/>
      <c r="M14" s="98"/>
      <c r="N14" s="98"/>
      <c r="O14" s="98"/>
      <c r="P14" s="50"/>
      <c r="Q14" s="50"/>
    </row>
    <row r="15" spans="1:17" s="76" customFormat="1">
      <c r="A15" s="595" t="s">
        <v>609</v>
      </c>
      <c r="B15" s="144"/>
      <c r="C15" s="144"/>
      <c r="D15" s="598">
        <f>SOUTHWARK!D7</f>
        <v>75838</v>
      </c>
      <c r="E15" s="598">
        <f>SOUTHWARK!E7</f>
        <v>77186</v>
      </c>
      <c r="F15" s="598">
        <f>SOUTHWARK!F7</f>
        <v>78459</v>
      </c>
      <c r="G15" s="598">
        <f>SOUTHWARK!G7</f>
        <v>79067</v>
      </c>
      <c r="H15" s="598">
        <f>SOUTHWARK!H7</f>
        <v>80467</v>
      </c>
      <c r="I15" s="598">
        <f>SOUTHWARK!I7</f>
        <v>78127</v>
      </c>
      <c r="J15" s="598">
        <f>SOUTHWARK!J7</f>
        <v>80174</v>
      </c>
      <c r="K15" s="598">
        <f>SOUTHWARK!K7</f>
        <v>80084</v>
      </c>
      <c r="L15" s="598">
        <f>SOUTHWARK!L7</f>
        <v>83643</v>
      </c>
      <c r="M15" s="598">
        <f>SOUTHWARK!M7</f>
        <v>85283</v>
      </c>
      <c r="N15" s="598">
        <f>SOUTHWARK!N7</f>
        <v>93146</v>
      </c>
      <c r="O15" s="598">
        <f>SOUTHWARK!O7</f>
        <v>92678</v>
      </c>
      <c r="P15" s="596"/>
      <c r="Q15" s="595" t="s">
        <v>606</v>
      </c>
    </row>
    <row r="16" spans="1:17" s="76" customFormat="1">
      <c r="A16" s="595"/>
      <c r="B16" s="144"/>
      <c r="C16" s="144"/>
      <c r="D16" s="598"/>
      <c r="E16" s="598"/>
      <c r="F16" s="598"/>
      <c r="G16" s="598"/>
      <c r="H16" s="598"/>
      <c r="I16" s="598"/>
      <c r="J16" s="598"/>
      <c r="K16" s="598"/>
      <c r="L16" s="598"/>
      <c r="M16" s="598"/>
      <c r="N16" s="598"/>
      <c r="O16" s="598"/>
      <c r="P16" s="596"/>
      <c r="Q16" s="595"/>
    </row>
    <row r="17" spans="1:17">
      <c r="A17" s="595" t="s">
        <v>610</v>
      </c>
      <c r="D17" s="598">
        <f>SOUTHWARK!D9</f>
        <v>76967</v>
      </c>
      <c r="E17" s="598">
        <f>SOUTHWARK!E9</f>
        <v>78605</v>
      </c>
      <c r="F17" s="598">
        <f>SOUTHWARK!F9</f>
        <v>79172</v>
      </c>
      <c r="G17" s="598">
        <f>SOUTHWARK!G9</f>
        <v>79260</v>
      </c>
      <c r="H17" s="598">
        <f>SOUTHWARK!H9</f>
        <v>79764</v>
      </c>
      <c r="I17" s="598">
        <f>SOUTHWARK!I9</f>
        <v>78081</v>
      </c>
      <c r="J17" s="598">
        <f>SOUTHWARK!J9</f>
        <v>80375</v>
      </c>
      <c r="K17" s="598">
        <f>SOUTHWARK!K9</f>
        <v>79947</v>
      </c>
      <c r="L17" s="598">
        <f>SOUTHWARK!L9</f>
        <v>82759</v>
      </c>
      <c r="M17" s="598">
        <f>SOUTHWARK!M9</f>
        <v>80554</v>
      </c>
      <c r="N17" s="598">
        <f>SOUTHWARK!N9</f>
        <v>89135</v>
      </c>
      <c r="O17" s="598">
        <f>SOUTHWARK!O9</f>
        <v>88576</v>
      </c>
      <c r="P17" s="596"/>
      <c r="Q17" s="595" t="s">
        <v>606</v>
      </c>
    </row>
    <row r="18" spans="1:17" s="76" customFormat="1">
      <c r="A18" s="50"/>
      <c r="D18" s="98"/>
      <c r="E18" s="98"/>
      <c r="F18" s="98"/>
      <c r="G18" s="98"/>
      <c r="H18" s="98"/>
      <c r="I18" s="98"/>
      <c r="J18" s="98"/>
      <c r="K18" s="98"/>
      <c r="L18" s="98"/>
      <c r="M18" s="98"/>
      <c r="N18" s="98"/>
      <c r="O18" s="98"/>
      <c r="P18" s="50"/>
      <c r="Q18" s="50"/>
    </row>
    <row r="19" spans="1:17">
      <c r="A19" s="595" t="s">
        <v>6796</v>
      </c>
      <c r="B19" s="596"/>
      <c r="C19" s="596"/>
      <c r="D19" s="598">
        <f t="shared" ref="D19:I19" si="12">D7+D11+D13</f>
        <v>189729</v>
      </c>
      <c r="E19" s="598">
        <f t="shared" si="12"/>
        <v>191664</v>
      </c>
      <c r="F19" s="598">
        <f t="shared" si="12"/>
        <v>193037</v>
      </c>
      <c r="G19" s="598">
        <f t="shared" si="12"/>
        <v>193547</v>
      </c>
      <c r="H19" s="598">
        <f t="shared" si="12"/>
        <v>193774</v>
      </c>
      <c r="I19" s="598">
        <f t="shared" si="12"/>
        <v>193576</v>
      </c>
      <c r="J19" s="598">
        <f t="shared" ref="J19:O19" si="13">J7+J11+J13</f>
        <v>188189</v>
      </c>
      <c r="K19" s="598">
        <f t="shared" si="13"/>
        <v>198161</v>
      </c>
      <c r="L19" s="598">
        <f t="shared" si="13"/>
        <v>200854</v>
      </c>
      <c r="M19" s="598">
        <f t="shared" si="13"/>
        <v>196869</v>
      </c>
      <c r="N19" s="598">
        <f t="shared" si="13"/>
        <v>220228</v>
      </c>
      <c r="O19" s="598">
        <f t="shared" si="13"/>
        <v>217432</v>
      </c>
      <c r="P19" s="596"/>
      <c r="Q19" s="596"/>
    </row>
    <row r="20" spans="1:17">
      <c r="A20" s="596"/>
      <c r="B20" s="596"/>
      <c r="C20" s="596"/>
      <c r="D20" s="599"/>
      <c r="E20" s="599"/>
      <c r="F20" s="599"/>
      <c r="G20" s="599"/>
      <c r="H20" s="599"/>
      <c r="I20" s="599"/>
      <c r="J20" s="599"/>
      <c r="K20" s="599"/>
      <c r="L20" s="599"/>
      <c r="M20" s="599"/>
      <c r="N20" s="599"/>
      <c r="O20" s="599"/>
      <c r="P20" s="596"/>
      <c r="Q20" s="596"/>
    </row>
    <row r="21" spans="1:17">
      <c r="A21" s="595" t="s">
        <v>6797</v>
      </c>
      <c r="B21" s="596"/>
      <c r="C21" s="596"/>
      <c r="D21" s="598">
        <f t="shared" ref="D21:I21" si="14">MAX(D9,D11,D13,D15,D17)-MIN(D9,D11,D13,D15,D17)</f>
        <v>6181</v>
      </c>
      <c r="E21" s="598">
        <f t="shared" si="14"/>
        <v>7082</v>
      </c>
      <c r="F21" s="598">
        <f t="shared" si="14"/>
        <v>7256</v>
      </c>
      <c r="G21" s="598">
        <f t="shared" si="14"/>
        <v>7368</v>
      </c>
      <c r="H21" s="598">
        <f t="shared" si="14"/>
        <v>7937</v>
      </c>
      <c r="I21" s="598">
        <f t="shared" si="14"/>
        <v>5884</v>
      </c>
      <c r="J21" s="598">
        <f t="shared" ref="J21:O21" si="15">MAX(J9,J11,J13,J15,J17)-MIN(J9,J11,J13,J15,J17)</f>
        <v>10089</v>
      </c>
      <c r="K21" s="598">
        <f t="shared" si="15"/>
        <v>6313</v>
      </c>
      <c r="L21" s="598">
        <f t="shared" si="15"/>
        <v>9229</v>
      </c>
      <c r="M21" s="598">
        <f t="shared" si="15"/>
        <v>11713</v>
      </c>
      <c r="N21" s="598">
        <f t="shared" si="15"/>
        <v>12965</v>
      </c>
      <c r="O21" s="598">
        <f t="shared" si="15"/>
        <v>13047</v>
      </c>
      <c r="P21" s="596"/>
      <c r="Q21" s="596"/>
    </row>
    <row r="22" spans="1:17">
      <c r="A22" s="596"/>
      <c r="B22" s="596"/>
      <c r="C22" s="596"/>
      <c r="D22" s="599"/>
      <c r="E22" s="599"/>
      <c r="F22" s="599"/>
      <c r="G22" s="599"/>
      <c r="H22" s="599"/>
      <c r="I22" s="599"/>
      <c r="J22" s="599"/>
      <c r="K22" s="599"/>
      <c r="L22" s="599"/>
      <c r="M22" s="599"/>
      <c r="N22" s="599"/>
      <c r="O22" s="599"/>
      <c r="P22" s="596"/>
      <c r="Q22" s="596"/>
    </row>
    <row r="23" spans="1:17">
      <c r="A23" s="595" t="s">
        <v>6800</v>
      </c>
      <c r="B23" s="596"/>
      <c r="C23" s="596"/>
      <c r="D23" s="598">
        <f t="shared" ref="D23:I23" si="16">STDEVP(D9,D11,D13,D15,D17)</f>
        <v>2463.7564327668429</v>
      </c>
      <c r="E23" s="598">
        <f t="shared" si="16"/>
        <v>2867.8840562337941</v>
      </c>
      <c r="F23" s="598">
        <f t="shared" si="16"/>
        <v>3036.9630620078342</v>
      </c>
      <c r="G23" s="598">
        <f t="shared" si="16"/>
        <v>3127.2978112101828</v>
      </c>
      <c r="H23" s="598">
        <f t="shared" si="16"/>
        <v>3520.4326097796561</v>
      </c>
      <c r="I23" s="598">
        <f t="shared" si="16"/>
        <v>2623.441297227746</v>
      </c>
      <c r="J23" s="598">
        <f t="shared" ref="J23:O23" si="17">STDEVP(J9,J11,J13,J15,J17)</f>
        <v>4404.8147475234418</v>
      </c>
      <c r="K23" s="598">
        <f t="shared" si="17"/>
        <v>2790.770029937974</v>
      </c>
      <c r="L23" s="598">
        <f t="shared" si="17"/>
        <v>3870.999922500645</v>
      </c>
      <c r="M23" s="598">
        <f t="shared" si="17"/>
        <v>4569.3275041301213</v>
      </c>
      <c r="N23" s="598">
        <f t="shared" si="17"/>
        <v>4728.6922251294809</v>
      </c>
      <c r="O23" s="598">
        <f t="shared" si="17"/>
        <v>4905.4813178728955</v>
      </c>
      <c r="P23" s="596"/>
      <c r="Q23" s="596"/>
    </row>
    <row r="24" spans="1:17">
      <c r="A24" s="596"/>
      <c r="B24" s="596"/>
      <c r="C24" s="596"/>
      <c r="D24" s="599"/>
      <c r="E24" s="599"/>
      <c r="F24" s="599"/>
      <c r="G24" s="599"/>
      <c r="H24" s="599"/>
      <c r="I24" s="599"/>
      <c r="J24" s="599"/>
      <c r="K24" s="599"/>
      <c r="L24" s="599"/>
      <c r="M24" s="599"/>
      <c r="N24" s="599"/>
      <c r="O24" s="599"/>
      <c r="P24" s="596"/>
      <c r="Q24" s="596"/>
    </row>
    <row r="25" spans="1:17">
      <c r="A25" s="595" t="s">
        <v>5387</v>
      </c>
      <c r="B25" s="595" t="s">
        <v>611</v>
      </c>
      <c r="C25" s="55" t="s">
        <v>483</v>
      </c>
      <c r="D25" s="601">
        <v>6728</v>
      </c>
      <c r="E25" s="601">
        <v>6855</v>
      </c>
      <c r="F25" s="601">
        <v>6732</v>
      </c>
      <c r="G25" s="601">
        <v>6725</v>
      </c>
      <c r="H25" s="63">
        <v>6635</v>
      </c>
      <c r="I25" s="63">
        <v>6276</v>
      </c>
      <c r="J25" s="56">
        <v>6094</v>
      </c>
      <c r="K25" s="56">
        <v>6525</v>
      </c>
      <c r="L25" s="56">
        <v>6531</v>
      </c>
      <c r="M25" s="56">
        <v>6126</v>
      </c>
      <c r="N25" s="56">
        <v>6899</v>
      </c>
      <c r="O25" s="56">
        <v>6789</v>
      </c>
      <c r="P25" s="596"/>
      <c r="Q25" s="595" t="s">
        <v>608</v>
      </c>
    </row>
    <row r="26" spans="1:17">
      <c r="A26" s="595" t="s">
        <v>5389</v>
      </c>
      <c r="B26" s="595" t="s">
        <v>612</v>
      </c>
      <c r="C26" s="55" t="s">
        <v>484</v>
      </c>
      <c r="D26" s="601">
        <v>9713</v>
      </c>
      <c r="E26" s="601">
        <v>9842</v>
      </c>
      <c r="F26" s="601">
        <v>9928</v>
      </c>
      <c r="G26" s="601">
        <v>10098</v>
      </c>
      <c r="H26" s="63">
        <v>9983</v>
      </c>
      <c r="I26" s="63">
        <v>10011</v>
      </c>
      <c r="J26" s="56">
        <v>9625</v>
      </c>
      <c r="K26" s="56">
        <v>10034</v>
      </c>
      <c r="L26" s="56">
        <v>10142</v>
      </c>
      <c r="M26" s="56">
        <v>9933</v>
      </c>
      <c r="N26" s="56">
        <v>11559</v>
      </c>
      <c r="O26" s="56">
        <v>11281</v>
      </c>
      <c r="P26" s="596"/>
      <c r="Q26" s="595" t="s">
        <v>607</v>
      </c>
    </row>
    <row r="27" spans="1:17">
      <c r="A27" s="595" t="s">
        <v>5391</v>
      </c>
      <c r="B27" s="595" t="s">
        <v>613</v>
      </c>
      <c r="C27" s="55" t="s">
        <v>485</v>
      </c>
      <c r="D27" s="601">
        <v>8779</v>
      </c>
      <c r="E27" s="601">
        <v>8758</v>
      </c>
      <c r="F27" s="601">
        <v>8875</v>
      </c>
      <c r="G27" s="601">
        <v>8935</v>
      </c>
      <c r="H27" s="63">
        <v>8847</v>
      </c>
      <c r="I27" s="63">
        <v>8694</v>
      </c>
      <c r="J27" s="56">
        <v>8296</v>
      </c>
      <c r="K27" s="56">
        <v>9059</v>
      </c>
      <c r="L27" s="56">
        <v>9105</v>
      </c>
      <c r="M27" s="56">
        <v>8698</v>
      </c>
      <c r="N27" s="56">
        <v>9875</v>
      </c>
      <c r="O27" s="56">
        <v>9723</v>
      </c>
      <c r="P27" s="596"/>
      <c r="Q27" s="595" t="s">
        <v>607</v>
      </c>
    </row>
    <row r="28" spans="1:17">
      <c r="A28" s="595" t="s">
        <v>5393</v>
      </c>
      <c r="B28" s="595" t="s">
        <v>614</v>
      </c>
      <c r="C28" s="55" t="s">
        <v>486</v>
      </c>
      <c r="D28" s="601">
        <v>9351</v>
      </c>
      <c r="E28" s="601">
        <v>9605</v>
      </c>
      <c r="F28" s="601">
        <v>9653</v>
      </c>
      <c r="G28" s="601">
        <v>9609</v>
      </c>
      <c r="H28" s="63">
        <v>9650</v>
      </c>
      <c r="I28" s="63">
        <v>9639</v>
      </c>
      <c r="J28" s="56">
        <v>9187</v>
      </c>
      <c r="K28" s="56">
        <v>9867</v>
      </c>
      <c r="L28" s="56">
        <v>9845</v>
      </c>
      <c r="M28" s="56">
        <v>9494</v>
      </c>
      <c r="N28" s="56">
        <v>10826</v>
      </c>
      <c r="O28" s="56">
        <v>10677</v>
      </c>
      <c r="P28" s="596"/>
      <c r="Q28" s="595" t="s">
        <v>608</v>
      </c>
    </row>
    <row r="29" spans="1:17">
      <c r="A29" s="595" t="s">
        <v>5394</v>
      </c>
      <c r="B29" s="595" t="s">
        <v>6326</v>
      </c>
      <c r="C29" s="55" t="s">
        <v>487</v>
      </c>
      <c r="D29" s="598">
        <v>10207</v>
      </c>
      <c r="E29" s="598">
        <v>10216</v>
      </c>
      <c r="F29" s="598">
        <v>10055</v>
      </c>
      <c r="G29" s="598">
        <v>9825</v>
      </c>
      <c r="H29" s="63">
        <v>10232</v>
      </c>
      <c r="I29" s="63">
        <v>10232</v>
      </c>
      <c r="J29" s="56">
        <v>10101</v>
      </c>
      <c r="K29" s="56">
        <v>10589</v>
      </c>
      <c r="L29" s="56">
        <v>10755</v>
      </c>
      <c r="M29" s="56">
        <v>10509</v>
      </c>
      <c r="N29" s="56">
        <v>12033</v>
      </c>
      <c r="O29" s="56">
        <v>12046</v>
      </c>
      <c r="P29" s="596"/>
      <c r="Q29" s="595" t="s">
        <v>604</v>
      </c>
    </row>
    <row r="30" spans="1:17">
      <c r="A30" s="595" t="s">
        <v>5416</v>
      </c>
      <c r="B30" s="595" t="s">
        <v>615</v>
      </c>
      <c r="C30" s="55" t="s">
        <v>488</v>
      </c>
      <c r="D30" s="601">
        <v>9778</v>
      </c>
      <c r="E30" s="601">
        <v>9879</v>
      </c>
      <c r="F30" s="601">
        <v>9861</v>
      </c>
      <c r="G30" s="601">
        <v>9920</v>
      </c>
      <c r="H30" s="63">
        <v>9873</v>
      </c>
      <c r="I30" s="63">
        <v>9917</v>
      </c>
      <c r="J30" s="58">
        <v>9382</v>
      </c>
      <c r="K30" s="58">
        <v>10385</v>
      </c>
      <c r="L30" s="58">
        <v>10621</v>
      </c>
      <c r="M30" s="58">
        <v>9943</v>
      </c>
      <c r="N30" s="58">
        <v>11724</v>
      </c>
      <c r="O30" s="58">
        <v>11516</v>
      </c>
      <c r="P30" s="596"/>
      <c r="Q30" s="595" t="s">
        <v>608</v>
      </c>
    </row>
    <row r="31" spans="1:17">
      <c r="A31" s="595" t="s">
        <v>5418</v>
      </c>
      <c r="B31" s="595" t="s">
        <v>616</v>
      </c>
      <c r="C31" s="55" t="s">
        <v>489</v>
      </c>
      <c r="D31" s="601">
        <v>8858</v>
      </c>
      <c r="E31" s="601">
        <v>9023</v>
      </c>
      <c r="F31" s="601">
        <v>9097</v>
      </c>
      <c r="G31" s="601">
        <v>9011</v>
      </c>
      <c r="H31" s="63">
        <v>9192</v>
      </c>
      <c r="I31" s="63">
        <v>9223</v>
      </c>
      <c r="J31" s="56">
        <v>9064</v>
      </c>
      <c r="K31" s="56">
        <v>9212</v>
      </c>
      <c r="L31" s="56">
        <v>9300</v>
      </c>
      <c r="M31" s="56">
        <v>9311</v>
      </c>
      <c r="N31" s="56">
        <v>9881</v>
      </c>
      <c r="O31" s="56">
        <v>9777</v>
      </c>
      <c r="P31" s="596"/>
      <c r="Q31" s="595" t="s">
        <v>604</v>
      </c>
    </row>
    <row r="32" spans="1:17">
      <c r="A32" s="595" t="s">
        <v>5420</v>
      </c>
      <c r="B32" s="595" t="s">
        <v>617</v>
      </c>
      <c r="C32" s="55" t="s">
        <v>490</v>
      </c>
      <c r="D32" s="598">
        <v>9522</v>
      </c>
      <c r="E32" s="598">
        <v>9613</v>
      </c>
      <c r="F32" s="598">
        <v>9750</v>
      </c>
      <c r="G32" s="598">
        <v>10039</v>
      </c>
      <c r="H32" s="63">
        <v>10102</v>
      </c>
      <c r="I32" s="63">
        <v>10075</v>
      </c>
      <c r="J32" s="56">
        <v>9975</v>
      </c>
      <c r="K32" s="56">
        <v>10348</v>
      </c>
      <c r="L32" s="56">
        <v>10456</v>
      </c>
      <c r="M32" s="56">
        <v>10235</v>
      </c>
      <c r="N32" s="56">
        <v>11327</v>
      </c>
      <c r="O32" s="56">
        <v>11227</v>
      </c>
      <c r="P32" s="596"/>
      <c r="Q32" s="595" t="s">
        <v>604</v>
      </c>
    </row>
    <row r="33" spans="1:17">
      <c r="A33" s="595" t="s">
        <v>5422</v>
      </c>
      <c r="B33" s="595" t="s">
        <v>618</v>
      </c>
      <c r="C33" s="55" t="s">
        <v>491</v>
      </c>
      <c r="D33" s="601">
        <v>8690</v>
      </c>
      <c r="E33" s="601">
        <v>8754</v>
      </c>
      <c r="F33" s="601">
        <v>8857</v>
      </c>
      <c r="G33" s="601">
        <v>8896</v>
      </c>
      <c r="H33" s="63">
        <v>8752</v>
      </c>
      <c r="I33" s="63">
        <v>8782</v>
      </c>
      <c r="J33" s="56">
        <v>8629</v>
      </c>
      <c r="K33" s="56">
        <v>8797</v>
      </c>
      <c r="L33" s="56">
        <v>8911</v>
      </c>
      <c r="M33" s="56">
        <v>9022</v>
      </c>
      <c r="N33" s="56">
        <v>9689</v>
      </c>
      <c r="O33" s="56">
        <v>9571</v>
      </c>
      <c r="P33" s="596"/>
      <c r="Q33" s="595" t="s">
        <v>604</v>
      </c>
    </row>
    <row r="34" spans="1:17">
      <c r="A34" s="595" t="s">
        <v>5424</v>
      </c>
      <c r="B34" s="595" t="s">
        <v>619</v>
      </c>
      <c r="C34" s="55" t="s">
        <v>492</v>
      </c>
      <c r="D34" s="601">
        <v>10103</v>
      </c>
      <c r="E34" s="601">
        <v>10516</v>
      </c>
      <c r="F34" s="601">
        <v>10715</v>
      </c>
      <c r="G34" s="601">
        <v>10640</v>
      </c>
      <c r="H34" s="63">
        <v>10602</v>
      </c>
      <c r="I34" s="63">
        <v>10630</v>
      </c>
      <c r="J34" s="58">
        <v>10139</v>
      </c>
      <c r="K34" s="58">
        <v>10828</v>
      </c>
      <c r="L34" s="58">
        <v>11188</v>
      </c>
      <c r="M34" s="58">
        <v>10751</v>
      </c>
      <c r="N34" s="58">
        <v>12379</v>
      </c>
      <c r="O34" s="58">
        <v>12150</v>
      </c>
      <c r="P34" s="596"/>
      <c r="Q34" s="595" t="s">
        <v>608</v>
      </c>
    </row>
    <row r="35" spans="1:17">
      <c r="A35" s="595" t="s">
        <v>5426</v>
      </c>
      <c r="B35" s="595" t="s">
        <v>620</v>
      </c>
      <c r="C35" s="55" t="s">
        <v>493</v>
      </c>
      <c r="D35" s="601">
        <v>9141</v>
      </c>
      <c r="E35" s="601">
        <v>9387</v>
      </c>
      <c r="F35" s="601">
        <v>9370</v>
      </c>
      <c r="G35" s="601">
        <v>9269</v>
      </c>
      <c r="H35" s="63">
        <v>9159</v>
      </c>
      <c r="I35" s="63">
        <v>9222</v>
      </c>
      <c r="J35" s="58">
        <v>8870</v>
      </c>
      <c r="K35" s="58">
        <v>9375</v>
      </c>
      <c r="L35" s="58">
        <v>9668</v>
      </c>
      <c r="M35" s="58">
        <v>9531</v>
      </c>
      <c r="N35" s="58">
        <v>11007</v>
      </c>
      <c r="O35" s="58">
        <v>10901</v>
      </c>
      <c r="P35" s="596"/>
      <c r="Q35" s="595" t="s">
        <v>608</v>
      </c>
    </row>
    <row r="36" spans="1:17">
      <c r="A36" s="595" t="s">
        <v>5428</v>
      </c>
      <c r="B36" s="595" t="s">
        <v>621</v>
      </c>
      <c r="C36" s="55" t="s">
        <v>494</v>
      </c>
      <c r="D36" s="601">
        <v>9333</v>
      </c>
      <c r="E36" s="601">
        <v>9630</v>
      </c>
      <c r="F36" s="601">
        <v>9896</v>
      </c>
      <c r="G36" s="601">
        <v>9952</v>
      </c>
      <c r="H36" s="63">
        <v>9895</v>
      </c>
      <c r="I36" s="63">
        <v>9894</v>
      </c>
      <c r="J36" s="58">
        <v>9813</v>
      </c>
      <c r="K36" s="58">
        <v>10206</v>
      </c>
      <c r="L36" s="58">
        <v>10298</v>
      </c>
      <c r="M36" s="58">
        <v>10108</v>
      </c>
      <c r="N36" s="58">
        <v>11188</v>
      </c>
      <c r="O36" s="58">
        <v>11195</v>
      </c>
      <c r="P36" s="596"/>
      <c r="Q36" s="595" t="s">
        <v>608</v>
      </c>
    </row>
    <row r="37" spans="1:17">
      <c r="A37" s="595" t="s">
        <v>5429</v>
      </c>
      <c r="B37" s="595" t="s">
        <v>4030</v>
      </c>
      <c r="C37" s="55" t="s">
        <v>495</v>
      </c>
      <c r="D37" s="601">
        <v>8843</v>
      </c>
      <c r="E37" s="601">
        <v>8713</v>
      </c>
      <c r="F37" s="601">
        <v>8776</v>
      </c>
      <c r="G37" s="601">
        <v>8802</v>
      </c>
      <c r="H37" s="63">
        <v>8853</v>
      </c>
      <c r="I37" s="63">
        <v>8749</v>
      </c>
      <c r="J37" s="56">
        <v>8684</v>
      </c>
      <c r="K37" s="56">
        <v>9074</v>
      </c>
      <c r="L37" s="56">
        <v>9154</v>
      </c>
      <c r="M37" s="56">
        <v>9152</v>
      </c>
      <c r="N37" s="56">
        <v>10111</v>
      </c>
      <c r="O37" s="56">
        <v>9880</v>
      </c>
      <c r="P37" s="596"/>
      <c r="Q37" s="595" t="s">
        <v>607</v>
      </c>
    </row>
    <row r="38" spans="1:17">
      <c r="A38" s="595" t="s">
        <v>5431</v>
      </c>
      <c r="B38" s="595" t="s">
        <v>622</v>
      </c>
      <c r="C38" s="55" t="s">
        <v>496</v>
      </c>
      <c r="D38" s="601">
        <v>8339</v>
      </c>
      <c r="E38" s="601">
        <v>8465</v>
      </c>
      <c r="F38" s="601">
        <v>8614</v>
      </c>
      <c r="G38" s="601">
        <v>8568</v>
      </c>
      <c r="H38" s="63">
        <v>8670</v>
      </c>
      <c r="I38" s="63">
        <v>8725</v>
      </c>
      <c r="J38" s="58">
        <v>8434</v>
      </c>
      <c r="K38" s="58">
        <v>8919</v>
      </c>
      <c r="L38" s="58">
        <v>9037</v>
      </c>
      <c r="M38" s="58">
        <v>8740</v>
      </c>
      <c r="N38" s="58">
        <v>9863</v>
      </c>
      <c r="O38" s="58">
        <v>9706</v>
      </c>
      <c r="P38" s="596"/>
      <c r="Q38" s="595" t="s">
        <v>608</v>
      </c>
    </row>
    <row r="39" spans="1:17">
      <c r="A39" s="595" t="s">
        <v>5433</v>
      </c>
      <c r="B39" s="595" t="s">
        <v>623</v>
      </c>
      <c r="C39" s="55" t="s">
        <v>497</v>
      </c>
      <c r="D39" s="601">
        <v>9095</v>
      </c>
      <c r="E39" s="601">
        <v>9107</v>
      </c>
      <c r="F39" s="601">
        <v>9101</v>
      </c>
      <c r="G39" s="601">
        <v>9066</v>
      </c>
      <c r="H39" s="63">
        <v>9141</v>
      </c>
      <c r="I39" s="63">
        <v>9114</v>
      </c>
      <c r="J39" s="56">
        <v>9010</v>
      </c>
      <c r="K39" s="56">
        <v>9501</v>
      </c>
      <c r="L39" s="56">
        <v>9505</v>
      </c>
      <c r="M39" s="56">
        <v>9531</v>
      </c>
      <c r="N39" s="56">
        <v>10468</v>
      </c>
      <c r="O39" s="56">
        <v>10386</v>
      </c>
      <c r="P39" s="596"/>
      <c r="Q39" s="595" t="s">
        <v>607</v>
      </c>
    </row>
    <row r="40" spans="1:17">
      <c r="A40" s="595" t="s">
        <v>5435</v>
      </c>
      <c r="B40" s="595" t="s">
        <v>624</v>
      </c>
      <c r="C40" s="55" t="s">
        <v>498</v>
      </c>
      <c r="D40" s="601">
        <v>8664</v>
      </c>
      <c r="E40" s="601">
        <v>8645</v>
      </c>
      <c r="F40" s="601">
        <v>8719</v>
      </c>
      <c r="G40" s="601">
        <v>8739</v>
      </c>
      <c r="H40" s="63">
        <v>8540</v>
      </c>
      <c r="I40" s="63">
        <v>8555</v>
      </c>
      <c r="J40" s="56">
        <v>8241</v>
      </c>
      <c r="K40" s="56">
        <v>8489</v>
      </c>
      <c r="L40" s="56">
        <v>8504</v>
      </c>
      <c r="M40" s="56">
        <v>8587</v>
      </c>
      <c r="N40" s="56">
        <v>9149</v>
      </c>
      <c r="O40" s="56">
        <v>9013</v>
      </c>
      <c r="P40" s="596"/>
      <c r="Q40" s="595" t="s">
        <v>607</v>
      </c>
    </row>
    <row r="41" spans="1:17">
      <c r="A41" s="595" t="s">
        <v>5436</v>
      </c>
      <c r="B41" s="595" t="s">
        <v>1270</v>
      </c>
      <c r="C41" s="55" t="s">
        <v>499</v>
      </c>
      <c r="D41" s="601">
        <v>8764</v>
      </c>
      <c r="E41" s="601">
        <v>8766</v>
      </c>
      <c r="F41" s="601">
        <v>8866</v>
      </c>
      <c r="G41" s="601">
        <v>8925</v>
      </c>
      <c r="H41" s="63">
        <v>9040</v>
      </c>
      <c r="I41" s="63">
        <v>9097</v>
      </c>
      <c r="J41" s="56">
        <v>8830</v>
      </c>
      <c r="K41" s="56">
        <v>9331</v>
      </c>
      <c r="L41" s="56">
        <v>9443</v>
      </c>
      <c r="M41" s="56">
        <v>9516</v>
      </c>
      <c r="N41" s="56">
        <v>10334</v>
      </c>
      <c r="O41" s="56">
        <v>10185</v>
      </c>
      <c r="P41" s="596"/>
      <c r="Q41" s="595" t="s">
        <v>607</v>
      </c>
    </row>
    <row r="42" spans="1:17">
      <c r="A42" s="595" t="s">
        <v>5437</v>
      </c>
      <c r="B42" s="595" t="s">
        <v>1271</v>
      </c>
      <c r="C42" s="55" t="s">
        <v>500</v>
      </c>
      <c r="D42" s="601">
        <v>8380</v>
      </c>
      <c r="E42" s="601">
        <v>8381</v>
      </c>
      <c r="F42" s="601">
        <v>8343</v>
      </c>
      <c r="G42" s="601">
        <v>8365</v>
      </c>
      <c r="H42" s="63">
        <v>8359</v>
      </c>
      <c r="I42" s="63">
        <v>8420</v>
      </c>
      <c r="J42" s="56">
        <v>8078</v>
      </c>
      <c r="K42" s="56">
        <v>8432</v>
      </c>
      <c r="L42" s="56">
        <v>8491</v>
      </c>
      <c r="M42" s="56">
        <v>8355</v>
      </c>
      <c r="N42" s="56">
        <v>9516</v>
      </c>
      <c r="O42" s="56">
        <v>9317</v>
      </c>
      <c r="P42" s="596"/>
      <c r="Q42" s="595" t="s">
        <v>607</v>
      </c>
    </row>
    <row r="43" spans="1:17">
      <c r="A43" s="595" t="s">
        <v>5439</v>
      </c>
      <c r="B43" s="595" t="s">
        <v>1272</v>
      </c>
      <c r="C43" s="55" t="s">
        <v>501</v>
      </c>
      <c r="D43" s="598">
        <v>8769</v>
      </c>
      <c r="E43" s="598">
        <v>8871</v>
      </c>
      <c r="F43" s="598">
        <v>8812</v>
      </c>
      <c r="G43" s="598">
        <v>8880</v>
      </c>
      <c r="H43" s="63">
        <v>8996</v>
      </c>
      <c r="I43" s="63">
        <v>8982</v>
      </c>
      <c r="J43" s="56">
        <v>8776</v>
      </c>
      <c r="K43" s="56">
        <v>9141</v>
      </c>
      <c r="L43" s="56">
        <v>9283</v>
      </c>
      <c r="M43" s="56">
        <v>9167</v>
      </c>
      <c r="N43" s="56">
        <v>9961</v>
      </c>
      <c r="O43" s="56">
        <v>9840</v>
      </c>
      <c r="P43" s="596"/>
      <c r="Q43" s="595" t="s">
        <v>604</v>
      </c>
    </row>
    <row r="44" spans="1:17">
      <c r="A44" s="595" t="s">
        <v>5441</v>
      </c>
      <c r="B44" s="595" t="s">
        <v>1273</v>
      </c>
      <c r="C44" s="55" t="s">
        <v>502</v>
      </c>
      <c r="D44" s="601">
        <v>9664</v>
      </c>
      <c r="E44" s="601">
        <v>9701</v>
      </c>
      <c r="F44" s="601">
        <v>9852</v>
      </c>
      <c r="G44" s="601">
        <v>9957</v>
      </c>
      <c r="H44" s="63">
        <v>9859</v>
      </c>
      <c r="I44" s="63">
        <v>9934</v>
      </c>
      <c r="J44" s="56">
        <v>9522</v>
      </c>
      <c r="K44" s="56">
        <v>9920</v>
      </c>
      <c r="L44" s="56">
        <v>10070</v>
      </c>
      <c r="M44" s="56">
        <v>9798</v>
      </c>
      <c r="N44" s="56">
        <v>10898</v>
      </c>
      <c r="O44" s="56">
        <v>10796</v>
      </c>
      <c r="P44" s="596"/>
      <c r="Q44" s="595" t="s">
        <v>607</v>
      </c>
    </row>
    <row r="45" spans="1:17">
      <c r="A45" s="595" t="s">
        <v>5886</v>
      </c>
      <c r="B45" s="595" t="s">
        <v>1274</v>
      </c>
      <c r="C45" s="55" t="s">
        <v>503</v>
      </c>
      <c r="D45" s="601">
        <v>9008</v>
      </c>
      <c r="E45" s="601">
        <v>8937</v>
      </c>
      <c r="F45" s="601">
        <v>9165</v>
      </c>
      <c r="G45" s="601">
        <v>9326</v>
      </c>
      <c r="H45" s="63">
        <v>9394</v>
      </c>
      <c r="I45" s="63">
        <v>9405</v>
      </c>
      <c r="J45" s="58">
        <v>9439</v>
      </c>
      <c r="K45" s="58">
        <v>10129</v>
      </c>
      <c r="L45" s="58">
        <v>10547</v>
      </c>
      <c r="M45" s="58">
        <v>10362</v>
      </c>
      <c r="N45" s="58">
        <v>11541</v>
      </c>
      <c r="O45" s="58">
        <v>11456</v>
      </c>
      <c r="P45" s="596"/>
      <c r="Q45" s="595" t="s">
        <v>608</v>
      </c>
    </row>
    <row r="46" spans="1:17">
      <c r="A46" s="596"/>
      <c r="B46" s="596"/>
      <c r="C46" s="596"/>
      <c r="D46" s="596"/>
      <c r="E46" s="596"/>
      <c r="F46" s="596"/>
      <c r="G46" s="596"/>
      <c r="H46" s="596"/>
      <c r="I46" s="596"/>
      <c r="J46" s="596"/>
      <c r="K46" s="596"/>
      <c r="L46" s="596"/>
      <c r="M46" s="596"/>
      <c r="N46" s="596"/>
      <c r="O46" s="596"/>
      <c r="P46" s="596"/>
      <c r="Q46" s="596"/>
    </row>
    <row r="47" spans="1:17">
      <c r="A47" s="596" t="s">
        <v>11</v>
      </c>
      <c r="B47" s="596"/>
      <c r="C47" s="596"/>
      <c r="D47" s="596"/>
      <c r="E47" s="596"/>
      <c r="F47" s="596"/>
      <c r="G47" s="596"/>
      <c r="H47" s="596"/>
      <c r="I47" s="596"/>
      <c r="J47" s="596"/>
      <c r="K47" s="596"/>
      <c r="L47" s="596"/>
      <c r="M47" s="596"/>
      <c r="N47" s="596"/>
      <c r="O47" s="596"/>
      <c r="P47" s="596"/>
      <c r="Q47" s="596"/>
    </row>
    <row r="48" spans="1:17">
      <c r="A48" s="596" t="s">
        <v>12</v>
      </c>
      <c r="B48" s="596"/>
      <c r="C48" s="596"/>
      <c r="D48" s="596"/>
      <c r="E48" s="596"/>
      <c r="F48" s="596"/>
      <c r="G48" s="596"/>
      <c r="H48" s="596"/>
      <c r="I48" s="596"/>
      <c r="J48" s="596"/>
      <c r="K48" s="596"/>
      <c r="L48" s="596"/>
      <c r="M48" s="596"/>
      <c r="N48" s="596"/>
      <c r="O48" s="596"/>
      <c r="P48" s="596"/>
      <c r="Q48" s="596"/>
    </row>
    <row r="49" spans="1:17">
      <c r="A49" s="602"/>
      <c r="D49" s="603"/>
      <c r="E49" s="603"/>
      <c r="F49" s="603"/>
      <c r="G49" s="603"/>
      <c r="H49" s="603"/>
      <c r="I49" s="603"/>
      <c r="J49" s="603"/>
      <c r="K49" s="603"/>
      <c r="L49" s="603"/>
    </row>
    <row r="50" spans="1:17">
      <c r="A50" s="602"/>
      <c r="D50" s="603"/>
      <c r="E50" s="603"/>
      <c r="F50" s="603"/>
      <c r="G50" s="603"/>
      <c r="H50" s="603"/>
      <c r="I50" s="603"/>
      <c r="J50" s="603"/>
      <c r="K50" s="603"/>
      <c r="L50" s="603"/>
    </row>
    <row r="51" spans="1:17">
      <c r="A51" s="602"/>
      <c r="D51" s="603"/>
      <c r="E51" s="603"/>
      <c r="F51" s="603"/>
      <c r="G51" s="603"/>
      <c r="H51" s="603"/>
      <c r="I51" s="603"/>
      <c r="J51" s="603"/>
      <c r="K51" s="603"/>
      <c r="L51" s="603"/>
    </row>
    <row r="54" spans="1:17">
      <c r="A54" s="602"/>
      <c r="D54" s="603"/>
      <c r="E54" s="603"/>
      <c r="F54" s="603"/>
      <c r="G54" s="603"/>
      <c r="H54" s="603"/>
      <c r="I54" s="603"/>
      <c r="J54" s="603"/>
      <c r="K54" s="603"/>
      <c r="L54" s="603"/>
    </row>
    <row r="56" spans="1:17">
      <c r="A56" s="602"/>
      <c r="B56" s="602"/>
      <c r="C56" s="602"/>
      <c r="D56" s="603"/>
      <c r="E56" s="603"/>
      <c r="F56" s="603"/>
      <c r="G56" s="603"/>
      <c r="H56" s="603"/>
      <c r="I56" s="603"/>
      <c r="J56" s="603"/>
      <c r="K56" s="603"/>
      <c r="L56" s="603"/>
      <c r="Q56" s="602"/>
    </row>
    <row r="57" spans="1:17">
      <c r="A57" s="602"/>
      <c r="B57" s="602"/>
      <c r="C57" s="602"/>
      <c r="D57" s="603"/>
      <c r="E57" s="603"/>
      <c r="F57" s="603"/>
      <c r="G57" s="603"/>
      <c r="H57" s="603"/>
      <c r="I57" s="603"/>
      <c r="J57" s="603"/>
      <c r="K57" s="603"/>
      <c r="L57" s="603"/>
      <c r="Q57" s="602"/>
    </row>
    <row r="58" spans="1:17">
      <c r="A58" s="602"/>
      <c r="B58" s="602"/>
      <c r="C58" s="602"/>
      <c r="D58" s="603"/>
      <c r="E58" s="603"/>
      <c r="F58" s="603"/>
      <c r="G58" s="603"/>
      <c r="H58" s="603"/>
      <c r="I58" s="603"/>
      <c r="J58" s="603"/>
      <c r="K58" s="603"/>
      <c r="L58" s="603"/>
      <c r="Q58" s="602"/>
    </row>
    <row r="59" spans="1:17">
      <c r="A59" s="602"/>
      <c r="B59" s="602"/>
      <c r="C59" s="602"/>
      <c r="D59" s="603"/>
      <c r="E59" s="603"/>
      <c r="F59" s="603"/>
      <c r="G59" s="603"/>
      <c r="H59" s="603"/>
      <c r="I59" s="603"/>
      <c r="J59" s="603"/>
      <c r="K59" s="603"/>
      <c r="L59" s="603"/>
      <c r="Q59" s="602"/>
    </row>
    <row r="60" spans="1:17">
      <c r="A60" s="602"/>
      <c r="B60" s="602"/>
      <c r="C60" s="602"/>
      <c r="D60" s="603"/>
      <c r="E60" s="603"/>
      <c r="F60" s="603"/>
      <c r="G60" s="603"/>
      <c r="H60" s="603"/>
      <c r="I60" s="603"/>
      <c r="J60" s="603"/>
      <c r="K60" s="603"/>
      <c r="L60" s="603"/>
      <c r="Q60" s="602"/>
    </row>
    <row r="61" spans="1:17">
      <c r="A61" s="602"/>
      <c r="B61" s="602"/>
      <c r="C61" s="602"/>
      <c r="D61" s="603"/>
      <c r="E61" s="603"/>
      <c r="F61" s="603"/>
      <c r="G61" s="603"/>
      <c r="H61" s="603"/>
      <c r="I61" s="603"/>
      <c r="J61" s="603"/>
      <c r="K61" s="603"/>
      <c r="L61" s="603"/>
      <c r="Q61" s="602"/>
    </row>
    <row r="62" spans="1:17">
      <c r="A62" s="602"/>
      <c r="B62" s="602"/>
      <c r="C62" s="602"/>
      <c r="D62" s="603"/>
      <c r="E62" s="603"/>
      <c r="F62" s="603"/>
      <c r="G62" s="603"/>
      <c r="H62" s="603"/>
      <c r="I62" s="603"/>
      <c r="J62" s="603"/>
      <c r="K62" s="603"/>
      <c r="L62" s="603"/>
      <c r="Q62" s="602"/>
    </row>
    <row r="63" spans="1:17">
      <c r="A63" s="602"/>
      <c r="B63" s="602"/>
      <c r="C63" s="602"/>
      <c r="D63" s="603"/>
      <c r="E63" s="603"/>
      <c r="F63" s="603"/>
      <c r="G63" s="603"/>
      <c r="H63" s="603"/>
      <c r="I63" s="603"/>
      <c r="J63" s="603"/>
      <c r="K63" s="603"/>
      <c r="L63" s="603"/>
      <c r="Q63" s="602"/>
    </row>
    <row r="64" spans="1:17">
      <c r="A64" s="602"/>
      <c r="B64" s="602"/>
      <c r="C64" s="602"/>
      <c r="D64" s="603"/>
      <c r="E64" s="603"/>
      <c r="F64" s="603"/>
      <c r="G64" s="603"/>
      <c r="H64" s="603"/>
      <c r="I64" s="603"/>
      <c r="J64" s="603"/>
      <c r="K64" s="603"/>
      <c r="L64" s="603"/>
      <c r="Q64" s="602"/>
    </row>
    <row r="65" spans="1:17">
      <c r="A65" s="602"/>
      <c r="B65" s="602"/>
      <c r="C65" s="602"/>
      <c r="D65" s="603"/>
      <c r="E65" s="603"/>
      <c r="F65" s="603"/>
      <c r="G65" s="603"/>
      <c r="H65" s="603"/>
      <c r="I65" s="603"/>
      <c r="J65" s="603"/>
      <c r="K65" s="603"/>
      <c r="L65" s="603"/>
      <c r="Q65" s="602"/>
    </row>
    <row r="66" spans="1:17">
      <c r="A66" s="602"/>
      <c r="B66" s="602"/>
      <c r="C66" s="602"/>
      <c r="D66" s="603"/>
      <c r="E66" s="603"/>
      <c r="F66" s="603"/>
      <c r="G66" s="603"/>
      <c r="H66" s="603"/>
      <c r="I66" s="603"/>
      <c r="J66" s="603"/>
      <c r="K66" s="603"/>
      <c r="L66" s="603"/>
      <c r="Q66" s="602"/>
    </row>
    <row r="67" spans="1:17">
      <c r="A67" s="602"/>
      <c r="B67" s="602"/>
      <c r="C67" s="602"/>
      <c r="D67" s="603"/>
      <c r="E67" s="603"/>
      <c r="F67" s="603"/>
      <c r="G67" s="603"/>
      <c r="H67" s="603"/>
      <c r="I67" s="603"/>
      <c r="J67" s="603"/>
      <c r="K67" s="603"/>
      <c r="L67" s="603"/>
      <c r="Q67" s="602"/>
    </row>
    <row r="68" spans="1:17">
      <c r="A68" s="602"/>
      <c r="B68" s="602"/>
      <c r="C68" s="602"/>
      <c r="D68" s="603"/>
      <c r="E68" s="603"/>
      <c r="F68" s="603"/>
      <c r="G68" s="603"/>
      <c r="H68" s="603"/>
      <c r="I68" s="603"/>
      <c r="J68" s="603"/>
      <c r="K68" s="603"/>
      <c r="L68" s="603"/>
      <c r="Q68" s="602"/>
    </row>
    <row r="69" spans="1:17">
      <c r="A69" s="602"/>
      <c r="B69" s="602"/>
      <c r="C69" s="602"/>
      <c r="D69" s="603"/>
      <c r="E69" s="603"/>
      <c r="F69" s="603"/>
      <c r="G69" s="603"/>
      <c r="H69" s="603"/>
      <c r="I69" s="603"/>
      <c r="J69" s="603"/>
      <c r="K69" s="603"/>
      <c r="L69" s="603"/>
      <c r="Q69" s="602"/>
    </row>
    <row r="70" spans="1:17">
      <c r="A70" s="602"/>
      <c r="B70" s="602"/>
      <c r="C70" s="602"/>
      <c r="D70" s="603"/>
      <c r="E70" s="603"/>
      <c r="F70" s="603"/>
      <c r="G70" s="603"/>
      <c r="H70" s="603"/>
      <c r="I70" s="603"/>
      <c r="J70" s="603"/>
      <c r="K70" s="603"/>
      <c r="L70" s="603"/>
      <c r="Q70" s="602"/>
    </row>
    <row r="71" spans="1:17">
      <c r="A71" s="602"/>
      <c r="B71" s="602"/>
      <c r="C71" s="602"/>
      <c r="D71" s="603"/>
      <c r="E71" s="603"/>
      <c r="F71" s="603"/>
      <c r="G71" s="603"/>
      <c r="H71" s="603"/>
      <c r="I71" s="603"/>
      <c r="J71" s="603"/>
      <c r="K71" s="603"/>
      <c r="L71" s="603"/>
      <c r="Q71" s="602"/>
    </row>
    <row r="72" spans="1:17">
      <c r="A72" s="602"/>
      <c r="B72" s="602"/>
      <c r="C72" s="602"/>
      <c r="D72" s="603"/>
      <c r="E72" s="603"/>
      <c r="F72" s="603"/>
      <c r="G72" s="603"/>
      <c r="H72" s="603"/>
      <c r="I72" s="603"/>
      <c r="J72" s="603"/>
      <c r="K72" s="603"/>
      <c r="L72" s="603"/>
      <c r="Q72" s="602"/>
    </row>
    <row r="73" spans="1:17">
      <c r="A73" s="602"/>
      <c r="B73" s="602"/>
      <c r="C73" s="602"/>
      <c r="D73" s="603"/>
      <c r="E73" s="603"/>
      <c r="F73" s="603"/>
      <c r="G73" s="603"/>
      <c r="H73" s="603"/>
      <c r="I73" s="603"/>
      <c r="J73" s="603"/>
      <c r="K73" s="603"/>
      <c r="L73" s="603"/>
      <c r="Q73" s="602"/>
    </row>
    <row r="74" spans="1:17">
      <c r="A74" s="602"/>
      <c r="B74" s="602"/>
      <c r="C74" s="602"/>
      <c r="D74" s="603"/>
      <c r="E74" s="603"/>
      <c r="F74" s="603"/>
      <c r="G74" s="603"/>
      <c r="H74" s="603"/>
      <c r="I74" s="603"/>
      <c r="J74" s="603"/>
      <c r="K74" s="603"/>
      <c r="L74" s="603"/>
      <c r="Q74" s="602"/>
    </row>
    <row r="75" spans="1:17">
      <c r="A75" s="602"/>
      <c r="B75" s="602"/>
      <c r="C75" s="602"/>
      <c r="D75" s="603"/>
      <c r="E75" s="603"/>
      <c r="F75" s="603"/>
      <c r="G75" s="603"/>
      <c r="H75" s="603"/>
      <c r="I75" s="603"/>
      <c r="J75" s="603"/>
      <c r="K75" s="603"/>
      <c r="L75" s="603"/>
      <c r="Q75" s="602"/>
    </row>
    <row r="76" spans="1:17">
      <c r="A76" s="602"/>
      <c r="B76" s="602"/>
      <c r="C76" s="602"/>
      <c r="D76" s="603"/>
      <c r="E76" s="603"/>
      <c r="F76" s="603"/>
      <c r="G76" s="603"/>
      <c r="H76" s="603"/>
      <c r="I76" s="603"/>
      <c r="J76" s="603"/>
      <c r="K76" s="603"/>
      <c r="L76" s="603"/>
      <c r="Q76" s="602"/>
    </row>
    <row r="77" spans="1:17">
      <c r="A77" s="602"/>
      <c r="B77" s="602"/>
      <c r="C77" s="602"/>
      <c r="D77" s="603"/>
      <c r="E77" s="603"/>
      <c r="F77" s="603"/>
      <c r="G77" s="603"/>
      <c r="H77" s="603"/>
      <c r="I77" s="603"/>
      <c r="J77" s="603"/>
      <c r="K77" s="603"/>
      <c r="L77" s="603"/>
      <c r="Q77" s="602"/>
    </row>
    <row r="78" spans="1:17">
      <c r="A78" s="602"/>
      <c r="B78" s="602"/>
      <c r="C78" s="602"/>
      <c r="D78" s="603"/>
      <c r="E78" s="603"/>
      <c r="F78" s="603"/>
      <c r="G78" s="603"/>
      <c r="H78" s="603"/>
      <c r="I78" s="603"/>
      <c r="J78" s="603"/>
      <c r="K78" s="603"/>
      <c r="L78" s="603"/>
      <c r="Q78" s="602"/>
    </row>
    <row r="79" spans="1:17">
      <c r="A79" s="602"/>
      <c r="B79" s="602"/>
      <c r="C79" s="602"/>
      <c r="D79" s="603"/>
      <c r="E79" s="603"/>
      <c r="F79" s="603"/>
      <c r="G79" s="603"/>
      <c r="H79" s="603"/>
      <c r="I79" s="603"/>
      <c r="J79" s="603"/>
      <c r="K79" s="603"/>
      <c r="L79" s="603"/>
      <c r="Q79" s="602"/>
    </row>
    <row r="80" spans="1:17">
      <c r="A80" s="602"/>
      <c r="B80" s="602"/>
      <c r="C80" s="602"/>
      <c r="D80" s="603"/>
      <c r="E80" s="603"/>
      <c r="F80" s="603"/>
      <c r="G80" s="603"/>
      <c r="H80" s="603"/>
      <c r="I80" s="603"/>
      <c r="J80" s="603"/>
      <c r="K80" s="603"/>
      <c r="L80" s="603"/>
      <c r="Q80" s="602"/>
    </row>
    <row r="83" spans="1:12">
      <c r="A83" s="602"/>
      <c r="D83" s="603"/>
      <c r="E83" s="603"/>
      <c r="F83" s="603"/>
      <c r="G83" s="603"/>
      <c r="H83" s="603"/>
      <c r="I83" s="603"/>
      <c r="J83" s="603"/>
      <c r="K83" s="603"/>
      <c r="L83" s="603"/>
    </row>
    <row r="84" spans="1:12">
      <c r="A84" s="602"/>
      <c r="D84" s="603"/>
      <c r="E84" s="603"/>
      <c r="F84" s="603"/>
      <c r="G84" s="603"/>
      <c r="H84" s="603"/>
      <c r="I84" s="603"/>
      <c r="J84" s="603"/>
      <c r="K84" s="603"/>
      <c r="L84" s="603"/>
    </row>
    <row r="85" spans="1:12">
      <c r="A85" s="602"/>
      <c r="D85" s="603"/>
      <c r="E85" s="603"/>
      <c r="F85" s="603"/>
      <c r="G85" s="603"/>
      <c r="H85" s="603"/>
      <c r="I85" s="603"/>
      <c r="J85" s="603"/>
      <c r="K85" s="603"/>
      <c r="L85" s="603"/>
    </row>
  </sheetData>
  <sortState ref="R25:V45">
    <sortCondition ref="S25:S45"/>
  </sortState>
  <phoneticPr fontId="6" type="noConversion"/>
  <printOptions gridLinesSet="0"/>
  <pageMargins left="0.78740157480314965" right="0" top="0.51181102362204722" bottom="0.51181102362204722" header="0.51181102362204722" footer="0.51181102362204722"/>
  <pageSetup paperSize="9" scale="75" orientation="portrait" horizontalDpi="300" verticalDpi="300" r:id="rId1"/>
  <headerFooter alignWithMargins="0">
    <oddFooter>&amp;C&amp;"Times New Roman,Regular"&amp;8&amp;P of &amp;N</oddFooter>
  </headerFooter>
  <ignoredErrors>
    <ignoredError sqref="D3:D4 E3:E4 F3:F4 G3:G4 D5:D23 E5:E23 F5:F23 G5:G23 H3:H4 H5:H23 I3:I23 J3:J23 K3:K23 L3:L23" unlocked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dimension ref="A1:Q552"/>
  <sheetViews>
    <sheetView showGridLines="0" topLeftCell="A277" zoomScale="90" zoomScaleNormal="90" workbookViewId="0">
      <selection activeCell="A315" sqref="A315:A316"/>
    </sheetView>
  </sheetViews>
  <sheetFormatPr defaultColWidth="12.5703125" defaultRowHeight="15"/>
  <cols>
    <col min="1" max="1" width="4.85546875" style="576" customWidth="1"/>
    <col min="2" max="2" width="46" style="576" customWidth="1"/>
    <col min="3" max="3" width="11.5703125" style="576" customWidth="1"/>
    <col min="4" max="15" width="10.140625" style="576" customWidth="1"/>
    <col min="16" max="16" width="2.28515625" style="576" customWidth="1"/>
    <col min="17" max="17" width="35.7109375" style="576" customWidth="1"/>
    <col min="18" max="16384" width="12.5703125" style="576"/>
  </cols>
  <sheetData>
    <row r="1" spans="1:17">
      <c r="A1" s="562" t="s">
        <v>6924</v>
      </c>
      <c r="B1" s="574"/>
      <c r="C1" s="574"/>
      <c r="D1" s="575">
        <v>2010</v>
      </c>
      <c r="E1" s="575">
        <v>2011</v>
      </c>
      <c r="F1" s="575">
        <v>2012</v>
      </c>
      <c r="G1" s="575">
        <v>2013</v>
      </c>
      <c r="H1" s="575">
        <v>2014</v>
      </c>
      <c r="I1" s="575">
        <v>2015</v>
      </c>
      <c r="J1" s="575">
        <v>2016</v>
      </c>
      <c r="K1" s="575">
        <v>2017</v>
      </c>
      <c r="L1" s="575">
        <v>2018</v>
      </c>
      <c r="M1" s="575">
        <v>2019</v>
      </c>
      <c r="N1" s="575">
        <v>2020</v>
      </c>
      <c r="O1" s="961" t="s">
        <v>14823</v>
      </c>
      <c r="P1" s="574"/>
    </row>
    <row r="2" spans="1:17">
      <c r="A2" s="574"/>
      <c r="B2" s="574"/>
      <c r="C2" s="574"/>
      <c r="D2" s="574"/>
      <c r="E2" s="574"/>
      <c r="F2" s="574"/>
      <c r="G2" s="574"/>
      <c r="H2" s="574"/>
      <c r="I2" s="574"/>
      <c r="J2" s="574"/>
      <c r="K2" s="574"/>
      <c r="L2" s="574"/>
      <c r="M2" s="574"/>
      <c r="N2" s="574"/>
      <c r="O2" s="574"/>
      <c r="P2" s="574"/>
      <c r="Q2" s="574"/>
    </row>
    <row r="3" spans="1:17">
      <c r="A3" s="577" t="s">
        <v>1968</v>
      </c>
      <c r="C3" s="577"/>
      <c r="D3" s="578">
        <f t="shared" ref="D3:I3" si="0">SUM(D8:D19)</f>
        <v>890719</v>
      </c>
      <c r="E3" s="578">
        <f t="shared" si="0"/>
        <v>897715</v>
      </c>
      <c r="F3" s="578">
        <f t="shared" si="0"/>
        <v>896386</v>
      </c>
      <c r="G3" s="578">
        <f t="shared" si="0"/>
        <v>894747</v>
      </c>
      <c r="H3" s="578">
        <f t="shared" si="0"/>
        <v>890475</v>
      </c>
      <c r="I3" s="578">
        <f t="shared" si="0"/>
        <v>864738</v>
      </c>
      <c r="J3" s="578">
        <f t="shared" ref="J3:O3" si="1">SUM(J8:J19)</f>
        <v>857159</v>
      </c>
      <c r="K3" s="578">
        <f t="shared" si="1"/>
        <v>880095</v>
      </c>
      <c r="L3" s="578">
        <f t="shared" si="1"/>
        <v>887566</v>
      </c>
      <c r="M3" s="578">
        <f t="shared" si="1"/>
        <v>882041</v>
      </c>
      <c r="N3" s="578">
        <f t="shared" si="1"/>
        <v>901159</v>
      </c>
      <c r="O3" s="578">
        <f t="shared" si="1"/>
        <v>911694</v>
      </c>
      <c r="P3" s="574"/>
    </row>
    <row r="4" spans="1:17">
      <c r="A4" s="577" t="s">
        <v>1969</v>
      </c>
      <c r="C4" s="577"/>
      <c r="D4" s="578">
        <f t="shared" ref="D4:I4" si="2">D87</f>
        <v>101354</v>
      </c>
      <c r="E4" s="578">
        <f t="shared" si="2"/>
        <v>101809</v>
      </c>
      <c r="F4" s="578">
        <f t="shared" si="2"/>
        <v>103306</v>
      </c>
      <c r="G4" s="578">
        <f t="shared" si="2"/>
        <v>104152</v>
      </c>
      <c r="H4" s="578">
        <f t="shared" si="2"/>
        <v>103291</v>
      </c>
      <c r="I4" s="578">
        <f t="shared" si="2"/>
        <v>102110</v>
      </c>
      <c r="J4" s="578">
        <f t="shared" ref="J4:O4" si="3">J87</f>
        <v>96731</v>
      </c>
      <c r="K4" s="578">
        <f t="shared" si="3"/>
        <v>98883</v>
      </c>
      <c r="L4" s="578">
        <f t="shared" si="3"/>
        <v>98540</v>
      </c>
      <c r="M4" s="578">
        <f t="shared" si="3"/>
        <v>98837</v>
      </c>
      <c r="N4" s="578">
        <f t="shared" si="3"/>
        <v>99531</v>
      </c>
      <c r="O4" s="578">
        <f t="shared" si="3"/>
        <v>101424</v>
      </c>
      <c r="P4" s="574"/>
    </row>
    <row r="5" spans="1:17" ht="15.75" thickBot="1">
      <c r="A5" s="577" t="s">
        <v>1970</v>
      </c>
      <c r="C5" s="577"/>
      <c r="D5" s="579">
        <f t="shared" ref="D5:I5" si="4">D118</f>
        <v>111499</v>
      </c>
      <c r="E5" s="579">
        <f t="shared" si="4"/>
        <v>112268</v>
      </c>
      <c r="F5" s="579">
        <f t="shared" si="4"/>
        <v>112618</v>
      </c>
      <c r="G5" s="579">
        <f t="shared" si="4"/>
        <v>110956</v>
      </c>
      <c r="H5" s="579">
        <f t="shared" si="4"/>
        <v>109362</v>
      </c>
      <c r="I5" s="579">
        <f t="shared" si="4"/>
        <v>100358</v>
      </c>
      <c r="J5" s="579">
        <f t="shared" ref="J5:O5" si="5">J118</f>
        <v>97419</v>
      </c>
      <c r="K5" s="579">
        <f t="shared" si="5"/>
        <v>99724</v>
      </c>
      <c r="L5" s="579">
        <f t="shared" si="5"/>
        <v>101148</v>
      </c>
      <c r="M5" s="579">
        <f t="shared" si="5"/>
        <v>99005</v>
      </c>
      <c r="N5" s="579">
        <f t="shared" si="5"/>
        <v>101426</v>
      </c>
      <c r="O5" s="579">
        <f t="shared" si="5"/>
        <v>100925</v>
      </c>
      <c r="P5" s="580"/>
    </row>
    <row r="6" spans="1:17" ht="15.75" thickBot="1">
      <c r="A6" s="574"/>
      <c r="C6" s="574"/>
      <c r="D6" s="581">
        <f t="shared" ref="D6:I6" si="6">SUM(D3:D5)</f>
        <v>1103572</v>
      </c>
      <c r="E6" s="581">
        <f t="shared" si="6"/>
        <v>1111792</v>
      </c>
      <c r="F6" s="581">
        <f t="shared" si="6"/>
        <v>1112310</v>
      </c>
      <c r="G6" s="581">
        <f t="shared" si="6"/>
        <v>1109855</v>
      </c>
      <c r="H6" s="581">
        <f t="shared" si="6"/>
        <v>1103128</v>
      </c>
      <c r="I6" s="581">
        <f t="shared" si="6"/>
        <v>1067206</v>
      </c>
      <c r="J6" s="581">
        <f t="shared" ref="J6:O6" si="7">SUM(J3:J5)</f>
        <v>1051309</v>
      </c>
      <c r="K6" s="581">
        <f t="shared" si="7"/>
        <v>1078702</v>
      </c>
      <c r="L6" s="581">
        <f t="shared" si="7"/>
        <v>1087254</v>
      </c>
      <c r="M6" s="581">
        <f t="shared" si="7"/>
        <v>1079883</v>
      </c>
      <c r="N6" s="581">
        <f t="shared" si="7"/>
        <v>1102116</v>
      </c>
      <c r="O6" s="581">
        <f t="shared" si="7"/>
        <v>1114043</v>
      </c>
      <c r="P6" s="574"/>
    </row>
    <row r="7" spans="1:17">
      <c r="A7" s="50"/>
      <c r="C7" s="50"/>
      <c r="D7" s="98"/>
      <c r="E7" s="98"/>
      <c r="F7" s="98"/>
      <c r="G7" s="98"/>
      <c r="H7" s="98"/>
      <c r="I7" s="98"/>
      <c r="J7" s="98"/>
      <c r="K7" s="98"/>
      <c r="L7" s="98"/>
      <c r="M7" s="98"/>
      <c r="N7" s="98"/>
      <c r="O7" s="98"/>
      <c r="P7" s="50"/>
      <c r="Q7" s="50"/>
    </row>
    <row r="8" spans="1:17">
      <c r="A8" s="577" t="s">
        <v>2000</v>
      </c>
      <c r="C8" s="577"/>
      <c r="D8" s="578">
        <f t="shared" ref="D8:I8" si="8">D149</f>
        <v>66876</v>
      </c>
      <c r="E8" s="578">
        <f t="shared" si="8"/>
        <v>67003</v>
      </c>
      <c r="F8" s="578">
        <f t="shared" si="8"/>
        <v>66950</v>
      </c>
      <c r="G8" s="578">
        <f t="shared" si="8"/>
        <v>65897</v>
      </c>
      <c r="H8" s="578">
        <f t="shared" si="8"/>
        <v>66830</v>
      </c>
      <c r="I8" s="578">
        <f t="shared" si="8"/>
        <v>63833</v>
      </c>
      <c r="J8" s="578">
        <f t="shared" ref="J8:O8" si="9">J149</f>
        <v>63228</v>
      </c>
      <c r="K8" s="578">
        <f t="shared" si="9"/>
        <v>64147</v>
      </c>
      <c r="L8" s="578">
        <f t="shared" si="9"/>
        <v>64338</v>
      </c>
      <c r="M8" s="578">
        <f t="shared" si="9"/>
        <v>63400</v>
      </c>
      <c r="N8" s="578">
        <f t="shared" si="9"/>
        <v>63795</v>
      </c>
      <c r="O8" s="578">
        <f t="shared" si="9"/>
        <v>64982</v>
      </c>
      <c r="P8" s="574"/>
      <c r="Q8" s="582"/>
    </row>
    <row r="9" spans="1:17">
      <c r="A9" s="577" t="s">
        <v>2001</v>
      </c>
      <c r="C9" s="577"/>
      <c r="D9" s="578">
        <f t="shared" ref="D9:I9" si="10">D173</f>
        <v>79444</v>
      </c>
      <c r="E9" s="578">
        <f t="shared" si="10"/>
        <v>79612</v>
      </c>
      <c r="F9" s="578">
        <f t="shared" si="10"/>
        <v>80727</v>
      </c>
      <c r="G9" s="578">
        <f t="shared" si="10"/>
        <v>81776</v>
      </c>
      <c r="H9" s="578">
        <f t="shared" si="10"/>
        <v>82425</v>
      </c>
      <c r="I9" s="578">
        <f t="shared" si="10"/>
        <v>80674</v>
      </c>
      <c r="J9" s="578">
        <f t="shared" ref="J9:O9" si="11">J173</f>
        <v>81668</v>
      </c>
      <c r="K9" s="578">
        <f t="shared" si="11"/>
        <v>83952</v>
      </c>
      <c r="L9" s="578">
        <f t="shared" si="11"/>
        <v>84565</v>
      </c>
      <c r="M9" s="578">
        <f t="shared" si="11"/>
        <v>86491</v>
      </c>
      <c r="N9" s="578">
        <f t="shared" si="11"/>
        <v>87330</v>
      </c>
      <c r="O9" s="578">
        <f t="shared" si="11"/>
        <v>86687</v>
      </c>
      <c r="P9" s="574"/>
      <c r="Q9" s="582"/>
    </row>
    <row r="10" spans="1:17">
      <c r="A10" s="577" t="s">
        <v>2002</v>
      </c>
      <c r="C10" s="577"/>
      <c r="D10" s="578">
        <f t="shared" ref="D10:I10" si="12">D204</f>
        <v>61208</v>
      </c>
      <c r="E10" s="578">
        <f t="shared" si="12"/>
        <v>61748</v>
      </c>
      <c r="F10" s="578">
        <f t="shared" si="12"/>
        <v>60559</v>
      </c>
      <c r="G10" s="578">
        <f t="shared" si="12"/>
        <v>61240</v>
      </c>
      <c r="H10" s="578">
        <f t="shared" si="12"/>
        <v>60486</v>
      </c>
      <c r="I10" s="578">
        <f t="shared" si="12"/>
        <v>59258</v>
      </c>
      <c r="J10" s="578">
        <f t="shared" ref="J10:O10" si="13">J204</f>
        <v>59381</v>
      </c>
      <c r="K10" s="578">
        <f t="shared" si="13"/>
        <v>60098</v>
      </c>
      <c r="L10" s="578">
        <f t="shared" si="13"/>
        <v>60428</v>
      </c>
      <c r="M10" s="578">
        <f t="shared" si="13"/>
        <v>60306</v>
      </c>
      <c r="N10" s="578">
        <f t="shared" si="13"/>
        <v>61660</v>
      </c>
      <c r="O10" s="578">
        <f t="shared" si="13"/>
        <v>62896</v>
      </c>
      <c r="P10" s="574"/>
      <c r="Q10" s="582"/>
    </row>
    <row r="11" spans="1:17">
      <c r="A11" s="577" t="s">
        <v>2003</v>
      </c>
      <c r="C11" s="577"/>
      <c r="D11" s="578">
        <f t="shared" ref="D11:I11" si="14">D234</f>
        <v>57978</v>
      </c>
      <c r="E11" s="578">
        <f t="shared" si="14"/>
        <v>60671</v>
      </c>
      <c r="F11" s="578">
        <f t="shared" si="14"/>
        <v>60554</v>
      </c>
      <c r="G11" s="578">
        <f t="shared" si="14"/>
        <v>60099</v>
      </c>
      <c r="H11" s="578">
        <f t="shared" si="14"/>
        <v>60381</v>
      </c>
      <c r="I11" s="578">
        <f t="shared" si="14"/>
        <v>58870</v>
      </c>
      <c r="J11" s="578">
        <f t="shared" ref="J11:O11" si="15">J234</f>
        <v>59715</v>
      </c>
      <c r="K11" s="578">
        <f t="shared" si="15"/>
        <v>63001</v>
      </c>
      <c r="L11" s="578">
        <f t="shared" si="15"/>
        <v>59021</v>
      </c>
      <c r="M11" s="578">
        <f t="shared" si="15"/>
        <v>61028</v>
      </c>
      <c r="N11" s="578">
        <f t="shared" si="15"/>
        <v>62754</v>
      </c>
      <c r="O11" s="578">
        <f t="shared" si="15"/>
        <v>62632</v>
      </c>
      <c r="P11" s="574"/>
      <c r="Q11" s="582"/>
    </row>
    <row r="12" spans="1:17">
      <c r="A12" s="577" t="s">
        <v>2004</v>
      </c>
      <c r="C12" s="577"/>
      <c r="D12" s="578">
        <f t="shared" ref="D12:I12" si="16">D259</f>
        <v>107588</v>
      </c>
      <c r="E12" s="578">
        <f t="shared" si="16"/>
        <v>109144</v>
      </c>
      <c r="F12" s="578">
        <f t="shared" si="16"/>
        <v>106678</v>
      </c>
      <c r="G12" s="578">
        <f t="shared" si="16"/>
        <v>105377</v>
      </c>
      <c r="H12" s="578">
        <f t="shared" si="16"/>
        <v>99352</v>
      </c>
      <c r="I12" s="578">
        <f t="shared" si="16"/>
        <v>98929</v>
      </c>
      <c r="J12" s="578">
        <f t="shared" ref="J12:O12" si="17">J259</f>
        <v>96357</v>
      </c>
      <c r="K12" s="578">
        <f t="shared" si="17"/>
        <v>102565</v>
      </c>
      <c r="L12" s="578">
        <f t="shared" si="17"/>
        <v>109336</v>
      </c>
      <c r="M12" s="578">
        <f t="shared" si="17"/>
        <v>104236</v>
      </c>
      <c r="N12" s="578">
        <f t="shared" si="17"/>
        <v>106843</v>
      </c>
      <c r="O12" s="578">
        <f t="shared" si="17"/>
        <v>109065</v>
      </c>
      <c r="P12" s="574"/>
      <c r="Q12" s="582"/>
    </row>
    <row r="13" spans="1:17">
      <c r="A13" s="577" t="s">
        <v>2005</v>
      </c>
      <c r="C13" s="577"/>
      <c r="D13" s="578">
        <f t="shared" ref="D13:I13" si="18">D296</f>
        <v>66461</v>
      </c>
      <c r="E13" s="578">
        <f t="shared" si="18"/>
        <v>66735</v>
      </c>
      <c r="F13" s="578">
        <f t="shared" si="18"/>
        <v>66918</v>
      </c>
      <c r="G13" s="578">
        <f t="shared" si="18"/>
        <v>66780</v>
      </c>
      <c r="H13" s="578">
        <f t="shared" si="18"/>
        <v>66688</v>
      </c>
      <c r="I13" s="578">
        <f t="shared" si="18"/>
        <v>64241</v>
      </c>
      <c r="J13" s="578">
        <f t="shared" ref="J13:O13" si="19">J296</f>
        <v>62891</v>
      </c>
      <c r="K13" s="578">
        <f t="shared" si="19"/>
        <v>63972</v>
      </c>
      <c r="L13" s="578">
        <f t="shared" si="19"/>
        <v>64257</v>
      </c>
      <c r="M13" s="578">
        <f t="shared" si="19"/>
        <v>63996</v>
      </c>
      <c r="N13" s="578">
        <f t="shared" si="19"/>
        <v>64543</v>
      </c>
      <c r="O13" s="578">
        <f t="shared" si="19"/>
        <v>65784</v>
      </c>
      <c r="P13" s="574"/>
      <c r="Q13" s="582"/>
    </row>
    <row r="14" spans="1:17">
      <c r="A14" s="577" t="s">
        <v>2006</v>
      </c>
      <c r="C14" s="577"/>
      <c r="D14" s="578">
        <f t="shared" ref="D14:I14" si="20">D321</f>
        <v>96714</v>
      </c>
      <c r="E14" s="578">
        <f t="shared" si="20"/>
        <v>97094</v>
      </c>
      <c r="F14" s="578">
        <f t="shared" si="20"/>
        <v>97619</v>
      </c>
      <c r="G14" s="578">
        <f t="shared" si="20"/>
        <v>98089</v>
      </c>
      <c r="H14" s="578">
        <f t="shared" si="20"/>
        <v>96919</v>
      </c>
      <c r="I14" s="578">
        <f t="shared" si="20"/>
        <v>92823</v>
      </c>
      <c r="J14" s="578">
        <f t="shared" ref="J14:O14" si="21">J321</f>
        <v>90766</v>
      </c>
      <c r="K14" s="578">
        <f t="shared" si="21"/>
        <v>92063</v>
      </c>
      <c r="L14" s="578">
        <f t="shared" si="21"/>
        <v>92030</v>
      </c>
      <c r="M14" s="578">
        <f t="shared" si="21"/>
        <v>91676</v>
      </c>
      <c r="N14" s="578">
        <f t="shared" si="21"/>
        <v>94073</v>
      </c>
      <c r="O14" s="578">
        <f t="shared" si="21"/>
        <v>96383</v>
      </c>
      <c r="P14" s="574"/>
      <c r="Q14" s="582"/>
    </row>
    <row r="15" spans="1:17">
      <c r="A15" s="577" t="s">
        <v>2007</v>
      </c>
      <c r="C15" s="577"/>
      <c r="D15" s="578">
        <f t="shared" ref="D15:I15" si="22">D359</f>
        <v>45891</v>
      </c>
      <c r="E15" s="578">
        <f t="shared" si="22"/>
        <v>46058</v>
      </c>
      <c r="F15" s="578">
        <f t="shared" si="22"/>
        <v>45845</v>
      </c>
      <c r="G15" s="578">
        <f t="shared" si="22"/>
        <v>45909</v>
      </c>
      <c r="H15" s="578">
        <f t="shared" si="22"/>
        <v>46181</v>
      </c>
      <c r="I15" s="578">
        <f t="shared" si="22"/>
        <v>46114</v>
      </c>
      <c r="J15" s="578">
        <f t="shared" ref="J15:O15" si="23">J359</f>
        <v>45804</v>
      </c>
      <c r="K15" s="578">
        <f t="shared" si="23"/>
        <v>45181</v>
      </c>
      <c r="L15" s="578">
        <f t="shared" si="23"/>
        <v>46375</v>
      </c>
      <c r="M15" s="578">
        <f t="shared" si="23"/>
        <v>45559</v>
      </c>
      <c r="N15" s="578">
        <f t="shared" si="23"/>
        <v>47198</v>
      </c>
      <c r="O15" s="578">
        <f t="shared" si="23"/>
        <v>48803</v>
      </c>
      <c r="P15" s="574"/>
      <c r="Q15" s="582"/>
    </row>
    <row r="16" spans="1:17">
      <c r="A16" s="577" t="s">
        <v>2008</v>
      </c>
      <c r="C16" s="577"/>
      <c r="D16" s="578">
        <f t="shared" ref="D16:I16" si="24">D394</f>
        <v>52506</v>
      </c>
      <c r="E16" s="578">
        <f t="shared" si="24"/>
        <v>52692</v>
      </c>
      <c r="F16" s="578">
        <f t="shared" si="24"/>
        <v>52934</v>
      </c>
      <c r="G16" s="578">
        <f t="shared" si="24"/>
        <v>53014</v>
      </c>
      <c r="H16" s="578">
        <f t="shared" si="24"/>
        <v>53123</v>
      </c>
      <c r="I16" s="578">
        <f t="shared" si="24"/>
        <v>52269</v>
      </c>
      <c r="J16" s="578">
        <f t="shared" ref="J16:O16" si="25">J394</f>
        <v>51076</v>
      </c>
      <c r="K16" s="578">
        <f t="shared" si="25"/>
        <v>52211</v>
      </c>
      <c r="L16" s="578">
        <f t="shared" si="25"/>
        <v>51427</v>
      </c>
      <c r="M16" s="578">
        <f t="shared" si="25"/>
        <v>51037</v>
      </c>
      <c r="N16" s="578">
        <f t="shared" si="25"/>
        <v>52376</v>
      </c>
      <c r="O16" s="578">
        <f t="shared" si="25"/>
        <v>52268</v>
      </c>
      <c r="P16" s="574"/>
      <c r="Q16" s="582"/>
    </row>
    <row r="17" spans="1:17">
      <c r="A17" s="577" t="s">
        <v>3403</v>
      </c>
      <c r="C17" s="577"/>
      <c r="D17" s="578">
        <f t="shared" ref="D17:I17" si="26">D418</f>
        <v>85769</v>
      </c>
      <c r="E17" s="578">
        <f t="shared" si="26"/>
        <v>85661</v>
      </c>
      <c r="F17" s="578">
        <f t="shared" si="26"/>
        <v>85680</v>
      </c>
      <c r="G17" s="578">
        <f t="shared" si="26"/>
        <v>85731</v>
      </c>
      <c r="H17" s="578">
        <f t="shared" si="26"/>
        <v>85801</v>
      </c>
      <c r="I17" s="578">
        <f t="shared" si="26"/>
        <v>83999</v>
      </c>
      <c r="J17" s="578">
        <f t="shared" ref="J17:O17" si="27">J418</f>
        <v>81624</v>
      </c>
      <c r="K17" s="578">
        <f t="shared" si="27"/>
        <v>83283</v>
      </c>
      <c r="L17" s="578">
        <f t="shared" si="27"/>
        <v>83964</v>
      </c>
      <c r="M17" s="578">
        <f t="shared" si="27"/>
        <v>82998</v>
      </c>
      <c r="N17" s="578">
        <f t="shared" si="27"/>
        <v>85190</v>
      </c>
      <c r="O17" s="578">
        <f t="shared" si="27"/>
        <v>85274</v>
      </c>
      <c r="P17" s="574"/>
      <c r="Q17" s="582"/>
    </row>
    <row r="18" spans="1:17">
      <c r="A18" s="577" t="s">
        <v>6612</v>
      </c>
      <c r="C18" s="577"/>
      <c r="D18" s="578">
        <f t="shared" ref="D18:I18" si="28">D455</f>
        <v>84768</v>
      </c>
      <c r="E18" s="578">
        <f t="shared" si="28"/>
        <v>85583</v>
      </c>
      <c r="F18" s="578">
        <f t="shared" si="28"/>
        <v>86433</v>
      </c>
      <c r="G18" s="578">
        <f t="shared" si="28"/>
        <v>84744</v>
      </c>
      <c r="H18" s="578">
        <f t="shared" si="28"/>
        <v>86819</v>
      </c>
      <c r="I18" s="578">
        <f t="shared" si="28"/>
        <v>81784</v>
      </c>
      <c r="J18" s="578">
        <f t="shared" ref="J18:O18" si="29">J455</f>
        <v>82644</v>
      </c>
      <c r="K18" s="578">
        <f t="shared" si="29"/>
        <v>83690</v>
      </c>
      <c r="L18" s="578">
        <f t="shared" si="29"/>
        <v>84994</v>
      </c>
      <c r="M18" s="578">
        <f t="shared" si="29"/>
        <v>82818</v>
      </c>
      <c r="N18" s="578">
        <f t="shared" si="29"/>
        <v>87040</v>
      </c>
      <c r="O18" s="578">
        <f t="shared" si="29"/>
        <v>87012</v>
      </c>
      <c r="P18" s="574"/>
      <c r="Q18" s="582"/>
    </row>
    <row r="19" spans="1:17">
      <c r="A19" s="577" t="s">
        <v>3404</v>
      </c>
      <c r="C19" s="577"/>
      <c r="D19" s="578">
        <f t="shared" ref="D19:I19" si="30">D492</f>
        <v>85516</v>
      </c>
      <c r="E19" s="578">
        <f t="shared" si="30"/>
        <v>85714</v>
      </c>
      <c r="F19" s="578">
        <f t="shared" si="30"/>
        <v>85489</v>
      </c>
      <c r="G19" s="578">
        <f t="shared" si="30"/>
        <v>86091</v>
      </c>
      <c r="H19" s="578">
        <f t="shared" si="30"/>
        <v>85470</v>
      </c>
      <c r="I19" s="578">
        <f t="shared" si="30"/>
        <v>81944</v>
      </c>
      <c r="J19" s="578">
        <f t="shared" ref="J19:O19" si="31">J492</f>
        <v>82005</v>
      </c>
      <c r="K19" s="578">
        <f t="shared" si="31"/>
        <v>85932</v>
      </c>
      <c r="L19" s="578">
        <f t="shared" si="31"/>
        <v>86831</v>
      </c>
      <c r="M19" s="578">
        <f t="shared" si="31"/>
        <v>88496</v>
      </c>
      <c r="N19" s="578">
        <f t="shared" si="31"/>
        <v>88357</v>
      </c>
      <c r="O19" s="578">
        <f t="shared" si="31"/>
        <v>89908</v>
      </c>
      <c r="P19" s="574"/>
      <c r="Q19" s="582"/>
    </row>
    <row r="20" spans="1:17">
      <c r="A20" s="574"/>
      <c r="B20" s="574"/>
      <c r="C20" s="574"/>
      <c r="D20" s="574"/>
      <c r="E20" s="574"/>
      <c r="F20" s="574"/>
      <c r="G20" s="574"/>
      <c r="H20" s="574"/>
      <c r="I20" s="574"/>
      <c r="J20" s="574"/>
      <c r="K20" s="574"/>
      <c r="L20" s="574"/>
      <c r="M20" s="574"/>
      <c r="N20" s="574"/>
      <c r="O20" s="574"/>
      <c r="P20" s="574"/>
      <c r="Q20" s="574"/>
    </row>
    <row r="21" spans="1:17">
      <c r="A21" s="577" t="s">
        <v>9510</v>
      </c>
      <c r="B21" s="574"/>
      <c r="C21" s="574"/>
      <c r="D21" s="578">
        <f t="shared" ref="D21:I21" si="32">D3/12</f>
        <v>74226.583333333328</v>
      </c>
      <c r="E21" s="578">
        <f t="shared" si="32"/>
        <v>74809.583333333328</v>
      </c>
      <c r="F21" s="578">
        <f t="shared" si="32"/>
        <v>74698.833333333328</v>
      </c>
      <c r="G21" s="578">
        <f t="shared" si="32"/>
        <v>74562.25</v>
      </c>
      <c r="H21" s="578">
        <f t="shared" si="32"/>
        <v>74206.25</v>
      </c>
      <c r="I21" s="578">
        <f t="shared" si="32"/>
        <v>72061.5</v>
      </c>
      <c r="J21" s="578">
        <f t="shared" ref="J21:O21" si="33">J3/12</f>
        <v>71429.916666666672</v>
      </c>
      <c r="K21" s="578">
        <f t="shared" si="33"/>
        <v>73341.25</v>
      </c>
      <c r="L21" s="578">
        <f t="shared" si="33"/>
        <v>73963.833333333328</v>
      </c>
      <c r="M21" s="578">
        <f t="shared" si="33"/>
        <v>73503.416666666672</v>
      </c>
      <c r="N21" s="578">
        <f t="shared" si="33"/>
        <v>75096.583333333328</v>
      </c>
      <c r="O21" s="578">
        <f t="shared" si="33"/>
        <v>75974.5</v>
      </c>
      <c r="P21" s="574"/>
      <c r="Q21" s="574"/>
    </row>
    <row r="22" spans="1:17">
      <c r="A22" s="577" t="s">
        <v>11377</v>
      </c>
      <c r="B22" s="574"/>
      <c r="C22" s="574"/>
      <c r="D22" s="578">
        <f>D3/11</f>
        <v>80974.454545454544</v>
      </c>
      <c r="E22" s="578">
        <f t="shared" ref="E22:J22" si="34">E3/11</f>
        <v>81610.454545454544</v>
      </c>
      <c r="F22" s="578">
        <f t="shared" si="34"/>
        <v>81489.636363636368</v>
      </c>
      <c r="G22" s="578">
        <f t="shared" si="34"/>
        <v>81340.636363636368</v>
      </c>
      <c r="H22" s="578">
        <f t="shared" si="34"/>
        <v>80952.272727272721</v>
      </c>
      <c r="I22" s="578">
        <f t="shared" si="34"/>
        <v>78612.545454545456</v>
      </c>
      <c r="J22" s="578">
        <f t="shared" si="34"/>
        <v>77923.545454545456</v>
      </c>
      <c r="K22" s="578">
        <f>K3/11</f>
        <v>80008.636363636368</v>
      </c>
      <c r="L22" s="578">
        <f>L3/11</f>
        <v>80687.818181818177</v>
      </c>
      <c r="M22" s="578">
        <f>M3/11</f>
        <v>80185.545454545456</v>
      </c>
      <c r="N22" s="578">
        <f>N3/11</f>
        <v>81923.545454545456</v>
      </c>
      <c r="O22" s="578">
        <f>O3/11</f>
        <v>82881.272727272721</v>
      </c>
      <c r="P22" s="574"/>
      <c r="Q22" s="574"/>
    </row>
    <row r="23" spans="1:17">
      <c r="A23" s="577" t="s">
        <v>3405</v>
      </c>
      <c r="B23" s="574"/>
      <c r="C23" s="574"/>
      <c r="D23" s="578">
        <f t="shared" ref="D23:J24" si="35">D4/2</f>
        <v>50677</v>
      </c>
      <c r="E23" s="578">
        <f t="shared" si="35"/>
        <v>50904.5</v>
      </c>
      <c r="F23" s="578">
        <f t="shared" si="35"/>
        <v>51653</v>
      </c>
      <c r="G23" s="578">
        <f t="shared" si="35"/>
        <v>52076</v>
      </c>
      <c r="H23" s="578">
        <f t="shared" si="35"/>
        <v>51645.5</v>
      </c>
      <c r="I23" s="578">
        <f t="shared" si="35"/>
        <v>51055</v>
      </c>
      <c r="J23" s="578">
        <f t="shared" si="35"/>
        <v>48365.5</v>
      </c>
      <c r="K23" s="578">
        <f t="shared" ref="K23:O24" si="36">K4/2</f>
        <v>49441.5</v>
      </c>
      <c r="L23" s="578">
        <f t="shared" si="36"/>
        <v>49270</v>
      </c>
      <c r="M23" s="578">
        <f t="shared" si="36"/>
        <v>49418.5</v>
      </c>
      <c r="N23" s="578">
        <f t="shared" si="36"/>
        <v>49765.5</v>
      </c>
      <c r="O23" s="578">
        <f t="shared" si="36"/>
        <v>50712</v>
      </c>
      <c r="P23" s="574"/>
      <c r="Q23" s="574"/>
    </row>
    <row r="24" spans="1:17">
      <c r="A24" s="577" t="s">
        <v>3406</v>
      </c>
      <c r="B24" s="574"/>
      <c r="C24" s="574"/>
      <c r="D24" s="578">
        <f t="shared" si="35"/>
        <v>55749.5</v>
      </c>
      <c r="E24" s="578">
        <f t="shared" si="35"/>
        <v>56134</v>
      </c>
      <c r="F24" s="578">
        <f t="shared" si="35"/>
        <v>56309</v>
      </c>
      <c r="G24" s="578">
        <f t="shared" si="35"/>
        <v>55478</v>
      </c>
      <c r="H24" s="578">
        <f t="shared" si="35"/>
        <v>54681</v>
      </c>
      <c r="I24" s="578">
        <f t="shared" si="35"/>
        <v>50179</v>
      </c>
      <c r="J24" s="578">
        <f t="shared" si="35"/>
        <v>48709.5</v>
      </c>
      <c r="K24" s="578">
        <f t="shared" si="36"/>
        <v>49862</v>
      </c>
      <c r="L24" s="578">
        <f t="shared" si="36"/>
        <v>50574</v>
      </c>
      <c r="M24" s="578">
        <f t="shared" si="36"/>
        <v>49502.5</v>
      </c>
      <c r="N24" s="578">
        <f t="shared" si="36"/>
        <v>50713</v>
      </c>
      <c r="O24" s="578">
        <f t="shared" si="36"/>
        <v>50462.5</v>
      </c>
      <c r="P24" s="574"/>
      <c r="Q24" s="574"/>
    </row>
    <row r="25" spans="1:17">
      <c r="A25" s="577" t="s">
        <v>9511</v>
      </c>
      <c r="B25" s="574"/>
      <c r="C25" s="574"/>
      <c r="D25" s="578">
        <f t="shared" ref="D25:J25" si="37">D6/14</f>
        <v>78826.571428571435</v>
      </c>
      <c r="E25" s="578">
        <f t="shared" si="37"/>
        <v>79413.71428571429</v>
      </c>
      <c r="F25" s="578">
        <f t="shared" si="37"/>
        <v>79450.71428571429</v>
      </c>
      <c r="G25" s="578">
        <f t="shared" si="37"/>
        <v>79275.357142857145</v>
      </c>
      <c r="H25" s="578">
        <f t="shared" si="37"/>
        <v>78794.857142857145</v>
      </c>
      <c r="I25" s="578">
        <f t="shared" si="37"/>
        <v>76229</v>
      </c>
      <c r="J25" s="578">
        <f t="shared" si="37"/>
        <v>75093.5</v>
      </c>
      <c r="K25" s="578">
        <f>K6/14</f>
        <v>77050.142857142855</v>
      </c>
      <c r="L25" s="578">
        <f>L6/14</f>
        <v>77661</v>
      </c>
      <c r="M25" s="578">
        <f>M6/14</f>
        <v>77134.5</v>
      </c>
      <c r="N25" s="578">
        <f>N6/14</f>
        <v>78722.571428571435</v>
      </c>
      <c r="O25" s="578">
        <f>O6/14</f>
        <v>79574.5</v>
      </c>
      <c r="P25" s="574"/>
      <c r="Q25" s="574"/>
    </row>
    <row r="26" spans="1:17">
      <c r="A26" s="577"/>
      <c r="B26" s="574"/>
      <c r="C26" s="574"/>
      <c r="D26" s="583"/>
      <c r="E26" s="583"/>
      <c r="F26" s="583"/>
      <c r="G26" s="583"/>
      <c r="H26" s="583"/>
      <c r="I26" s="583"/>
      <c r="J26" s="583"/>
      <c r="K26" s="583"/>
      <c r="L26" s="583"/>
      <c r="M26" s="583"/>
      <c r="N26" s="583"/>
      <c r="O26" s="583"/>
      <c r="P26" s="574"/>
      <c r="Q26" s="574"/>
    </row>
    <row r="27" spans="1:17">
      <c r="A27" s="577" t="s">
        <v>3409</v>
      </c>
      <c r="D27" s="578">
        <f t="shared" ref="D27:I27" si="38">D110</f>
        <v>71822</v>
      </c>
      <c r="E27" s="578">
        <f t="shared" si="38"/>
        <v>72112</v>
      </c>
      <c r="F27" s="578">
        <f t="shared" si="38"/>
        <v>73317</v>
      </c>
      <c r="G27" s="578">
        <f t="shared" si="38"/>
        <v>74060</v>
      </c>
      <c r="H27" s="578">
        <f t="shared" si="38"/>
        <v>73405</v>
      </c>
      <c r="I27" s="578">
        <f t="shared" si="38"/>
        <v>72560</v>
      </c>
      <c r="J27" s="578">
        <f t="shared" ref="J27:O27" si="39">J110</f>
        <v>68691</v>
      </c>
      <c r="K27" s="578">
        <f t="shared" si="39"/>
        <v>70031</v>
      </c>
      <c r="L27" s="578">
        <f t="shared" si="39"/>
        <v>69954</v>
      </c>
      <c r="M27" s="578">
        <f t="shared" si="39"/>
        <v>70184</v>
      </c>
      <c r="N27" s="578">
        <f t="shared" si="39"/>
        <v>70726</v>
      </c>
      <c r="O27" s="578">
        <f t="shared" si="39"/>
        <v>72046</v>
      </c>
      <c r="P27" s="574"/>
      <c r="Q27" s="577" t="s">
        <v>2027</v>
      </c>
    </row>
    <row r="28" spans="1:17">
      <c r="A28" s="574"/>
      <c r="D28" s="584"/>
      <c r="E28" s="584"/>
      <c r="F28" s="584"/>
      <c r="G28" s="584"/>
      <c r="H28" s="584"/>
      <c r="I28" s="584"/>
      <c r="J28" s="584"/>
      <c r="K28" s="584"/>
      <c r="L28" s="584"/>
      <c r="M28" s="584"/>
      <c r="N28" s="584"/>
      <c r="O28" s="584"/>
      <c r="P28" s="574"/>
      <c r="Q28" s="574"/>
    </row>
    <row r="29" spans="1:17">
      <c r="A29" s="577" t="s">
        <v>2028</v>
      </c>
      <c r="D29" s="578">
        <f t="shared" ref="D29:I29" si="40">D141</f>
        <v>48038</v>
      </c>
      <c r="E29" s="578">
        <f t="shared" si="40"/>
        <v>48187</v>
      </c>
      <c r="F29" s="578">
        <f t="shared" si="40"/>
        <v>48329</v>
      </c>
      <c r="G29" s="578">
        <f t="shared" si="40"/>
        <v>47868</v>
      </c>
      <c r="H29" s="578">
        <f t="shared" si="40"/>
        <v>47413</v>
      </c>
      <c r="I29" s="578">
        <f t="shared" si="40"/>
        <v>44054</v>
      </c>
      <c r="J29" s="578">
        <f t="shared" ref="J29:O29" si="41">J141</f>
        <v>42812</v>
      </c>
      <c r="K29" s="578">
        <f t="shared" si="41"/>
        <v>43792</v>
      </c>
      <c r="L29" s="578">
        <f t="shared" si="41"/>
        <v>44298</v>
      </c>
      <c r="M29" s="578">
        <f t="shared" si="41"/>
        <v>43495</v>
      </c>
      <c r="N29" s="578">
        <f t="shared" si="41"/>
        <v>44348</v>
      </c>
      <c r="O29" s="578">
        <f t="shared" si="41"/>
        <v>44038</v>
      </c>
      <c r="P29" s="574"/>
      <c r="Q29" s="577" t="s">
        <v>2029</v>
      </c>
    </row>
    <row r="30" spans="1:17" ht="15.75" thickBot="1">
      <c r="A30" s="574"/>
      <c r="D30" s="579">
        <f t="shared" ref="D30:I30" si="42">D522</f>
        <v>17973</v>
      </c>
      <c r="E30" s="579">
        <f t="shared" si="42"/>
        <v>18000</v>
      </c>
      <c r="F30" s="579">
        <f t="shared" si="42"/>
        <v>17997</v>
      </c>
      <c r="G30" s="579">
        <f t="shared" si="42"/>
        <v>18272</v>
      </c>
      <c r="H30" s="579">
        <f t="shared" si="42"/>
        <v>18075</v>
      </c>
      <c r="I30" s="579">
        <f t="shared" si="42"/>
        <v>17519</v>
      </c>
      <c r="J30" s="579">
        <f t="shared" ref="J30:O30" si="43">J522</f>
        <v>17512</v>
      </c>
      <c r="K30" s="579">
        <f t="shared" si="43"/>
        <v>18195</v>
      </c>
      <c r="L30" s="579">
        <f t="shared" si="43"/>
        <v>18399</v>
      </c>
      <c r="M30" s="579">
        <f t="shared" si="43"/>
        <v>18811</v>
      </c>
      <c r="N30" s="579">
        <f t="shared" si="43"/>
        <v>18800</v>
      </c>
      <c r="O30" s="579">
        <f t="shared" si="43"/>
        <v>19112</v>
      </c>
      <c r="P30" s="574"/>
      <c r="Q30" s="577" t="s">
        <v>2030</v>
      </c>
    </row>
    <row r="31" spans="1:17" ht="15.75" thickBot="1">
      <c r="A31" s="574"/>
      <c r="D31" s="579">
        <f t="shared" ref="D31:I31" si="44">SUM(D29:D30)</f>
        <v>66011</v>
      </c>
      <c r="E31" s="579">
        <f t="shared" si="44"/>
        <v>66187</v>
      </c>
      <c r="F31" s="579">
        <f t="shared" si="44"/>
        <v>66326</v>
      </c>
      <c r="G31" s="579">
        <f t="shared" si="44"/>
        <v>66140</v>
      </c>
      <c r="H31" s="579">
        <f t="shared" si="44"/>
        <v>65488</v>
      </c>
      <c r="I31" s="579">
        <f t="shared" si="44"/>
        <v>61573</v>
      </c>
      <c r="J31" s="579">
        <f t="shared" ref="J31:O31" si="45">SUM(J29:J30)</f>
        <v>60324</v>
      </c>
      <c r="K31" s="579">
        <f t="shared" si="45"/>
        <v>61987</v>
      </c>
      <c r="L31" s="579">
        <f t="shared" si="45"/>
        <v>62697</v>
      </c>
      <c r="M31" s="579">
        <f t="shared" si="45"/>
        <v>62306</v>
      </c>
      <c r="N31" s="579">
        <f t="shared" si="45"/>
        <v>63148</v>
      </c>
      <c r="O31" s="579">
        <f t="shared" si="45"/>
        <v>63150</v>
      </c>
      <c r="P31" s="574"/>
      <c r="Q31" s="574"/>
    </row>
    <row r="32" spans="1:17">
      <c r="A32" s="574"/>
      <c r="D32" s="584"/>
      <c r="E32" s="584"/>
      <c r="F32" s="584"/>
      <c r="G32" s="584"/>
      <c r="H32" s="584"/>
      <c r="I32" s="584"/>
      <c r="J32" s="584"/>
      <c r="K32" s="584"/>
      <c r="L32" s="584"/>
      <c r="M32" s="584"/>
      <c r="N32" s="584"/>
      <c r="O32" s="584"/>
      <c r="P32" s="574"/>
      <c r="Q32" s="574"/>
    </row>
    <row r="33" spans="1:17">
      <c r="A33" s="577" t="s">
        <v>2031</v>
      </c>
      <c r="D33" s="578">
        <f t="shared" ref="D33:I33" si="46">D142</f>
        <v>63461</v>
      </c>
      <c r="E33" s="578">
        <f t="shared" si="46"/>
        <v>64081</v>
      </c>
      <c r="F33" s="578">
        <f t="shared" si="46"/>
        <v>64289</v>
      </c>
      <c r="G33" s="578">
        <f t="shared" si="46"/>
        <v>63088</v>
      </c>
      <c r="H33" s="578">
        <f t="shared" si="46"/>
        <v>61949</v>
      </c>
      <c r="I33" s="578">
        <f t="shared" si="46"/>
        <v>56304</v>
      </c>
      <c r="J33" s="578">
        <f t="shared" ref="J33:O33" si="47">J142</f>
        <v>54607</v>
      </c>
      <c r="K33" s="578">
        <f t="shared" si="47"/>
        <v>55932</v>
      </c>
      <c r="L33" s="578">
        <f t="shared" si="47"/>
        <v>56850</v>
      </c>
      <c r="M33" s="578">
        <f t="shared" si="47"/>
        <v>55510</v>
      </c>
      <c r="N33" s="578">
        <f t="shared" si="47"/>
        <v>57078</v>
      </c>
      <c r="O33" s="578">
        <f t="shared" si="47"/>
        <v>56887</v>
      </c>
      <c r="P33" s="574"/>
      <c r="Q33" s="577" t="s">
        <v>2029</v>
      </c>
    </row>
    <row r="34" spans="1:17">
      <c r="A34" s="574"/>
      <c r="D34" s="584"/>
      <c r="E34" s="584"/>
      <c r="F34" s="584"/>
      <c r="G34" s="584"/>
      <c r="H34" s="584"/>
      <c r="I34" s="584"/>
      <c r="J34" s="584"/>
      <c r="K34" s="584"/>
      <c r="L34" s="584"/>
      <c r="M34" s="584"/>
      <c r="N34" s="584"/>
      <c r="O34" s="584"/>
      <c r="P34" s="574"/>
      <c r="Q34" s="574"/>
    </row>
    <row r="35" spans="1:17">
      <c r="A35" s="577" t="s">
        <v>2032</v>
      </c>
      <c r="D35" s="578">
        <f t="shared" ref="D35:I35" si="48">D166</f>
        <v>66876</v>
      </c>
      <c r="E35" s="578">
        <f t="shared" si="48"/>
        <v>67003</v>
      </c>
      <c r="F35" s="578">
        <f t="shared" si="48"/>
        <v>66950</v>
      </c>
      <c r="G35" s="578">
        <f t="shared" si="48"/>
        <v>65897</v>
      </c>
      <c r="H35" s="578">
        <f t="shared" si="48"/>
        <v>66830</v>
      </c>
      <c r="I35" s="578">
        <f t="shared" si="48"/>
        <v>63833</v>
      </c>
      <c r="J35" s="578">
        <f t="shared" ref="J35:O35" si="49">J166</f>
        <v>63228</v>
      </c>
      <c r="K35" s="578">
        <f t="shared" si="49"/>
        <v>64147</v>
      </c>
      <c r="L35" s="578">
        <f t="shared" si="49"/>
        <v>64338</v>
      </c>
      <c r="M35" s="578">
        <f t="shared" si="49"/>
        <v>63400</v>
      </c>
      <c r="N35" s="578">
        <f t="shared" si="49"/>
        <v>63795</v>
      </c>
      <c r="O35" s="578">
        <f t="shared" si="49"/>
        <v>64982</v>
      </c>
      <c r="P35" s="574"/>
      <c r="Q35" s="577" t="s">
        <v>3777</v>
      </c>
    </row>
    <row r="36" spans="1:17">
      <c r="A36" s="574"/>
      <c r="D36" s="584"/>
      <c r="E36" s="584"/>
      <c r="F36" s="584"/>
      <c r="G36" s="584"/>
      <c r="H36" s="584"/>
      <c r="I36" s="584"/>
      <c r="J36" s="584"/>
      <c r="K36" s="584"/>
      <c r="L36" s="584"/>
      <c r="M36" s="584"/>
      <c r="N36" s="584"/>
      <c r="O36" s="584"/>
      <c r="P36" s="574"/>
      <c r="Q36" s="574"/>
    </row>
    <row r="37" spans="1:17">
      <c r="A37" s="577" t="s">
        <v>2033</v>
      </c>
      <c r="D37" s="578">
        <f t="shared" ref="D37:I37" si="50">D193</f>
        <v>71204</v>
      </c>
      <c r="E37" s="578">
        <f t="shared" si="50"/>
        <v>71333</v>
      </c>
      <c r="F37" s="578">
        <f t="shared" si="50"/>
        <v>72453</v>
      </c>
      <c r="G37" s="578">
        <f t="shared" si="50"/>
        <v>73562</v>
      </c>
      <c r="H37" s="578">
        <f t="shared" si="50"/>
        <v>74078</v>
      </c>
      <c r="I37" s="578">
        <f t="shared" si="50"/>
        <v>72480</v>
      </c>
      <c r="J37" s="578">
        <f t="shared" ref="J37:O37" si="51">J193</f>
        <v>73323</v>
      </c>
      <c r="K37" s="578">
        <f t="shared" si="51"/>
        <v>75380</v>
      </c>
      <c r="L37" s="578">
        <f t="shared" si="51"/>
        <v>75938</v>
      </c>
      <c r="M37" s="578">
        <f t="shared" si="51"/>
        <v>77800</v>
      </c>
      <c r="N37" s="578">
        <f t="shared" si="51"/>
        <v>78579</v>
      </c>
      <c r="O37" s="578">
        <f t="shared" si="51"/>
        <v>77994</v>
      </c>
      <c r="P37" s="574"/>
      <c r="Q37" s="577" t="s">
        <v>2034</v>
      </c>
    </row>
    <row r="38" spans="1:17">
      <c r="A38" s="574"/>
      <c r="D38" s="584"/>
      <c r="E38" s="584"/>
      <c r="F38" s="584"/>
      <c r="G38" s="584"/>
      <c r="H38" s="584"/>
      <c r="I38" s="584"/>
      <c r="J38" s="584"/>
      <c r="K38" s="584"/>
      <c r="L38" s="584"/>
      <c r="M38" s="584"/>
      <c r="N38" s="584"/>
      <c r="O38" s="584"/>
      <c r="P38" s="574"/>
      <c r="Q38" s="574"/>
    </row>
    <row r="39" spans="1:17">
      <c r="A39" s="577" t="s">
        <v>1858</v>
      </c>
      <c r="D39" s="578">
        <f t="shared" ref="D39:I39" si="52">D227</f>
        <v>61208</v>
      </c>
      <c r="E39" s="578">
        <f t="shared" si="52"/>
        <v>61748</v>
      </c>
      <c r="F39" s="578">
        <f t="shared" si="52"/>
        <v>60559</v>
      </c>
      <c r="G39" s="578">
        <f t="shared" si="52"/>
        <v>61240</v>
      </c>
      <c r="H39" s="578">
        <f t="shared" si="52"/>
        <v>60486</v>
      </c>
      <c r="I39" s="578">
        <f t="shared" si="52"/>
        <v>59258</v>
      </c>
      <c r="J39" s="578">
        <f t="shared" ref="J39:O39" si="53">J227</f>
        <v>59381</v>
      </c>
      <c r="K39" s="578">
        <f t="shared" si="53"/>
        <v>60098</v>
      </c>
      <c r="L39" s="578">
        <f t="shared" si="53"/>
        <v>60428</v>
      </c>
      <c r="M39" s="578">
        <f t="shared" si="53"/>
        <v>60306</v>
      </c>
      <c r="N39" s="578">
        <f t="shared" si="53"/>
        <v>61660</v>
      </c>
      <c r="O39" s="578">
        <f t="shared" si="53"/>
        <v>62896</v>
      </c>
      <c r="P39" s="574"/>
      <c r="Q39" s="577" t="s">
        <v>3779</v>
      </c>
    </row>
    <row r="40" spans="1:17" ht="15.75" thickBot="1">
      <c r="A40" s="574"/>
      <c r="D40" s="579">
        <f t="shared" ref="D40:I40" si="54">D349</f>
        <v>4725</v>
      </c>
      <c r="E40" s="579">
        <f t="shared" si="54"/>
        <v>4756</v>
      </c>
      <c r="F40" s="579">
        <f t="shared" si="54"/>
        <v>4756</v>
      </c>
      <c r="G40" s="579">
        <f t="shared" si="54"/>
        <v>4721</v>
      </c>
      <c r="H40" s="579">
        <f t="shared" si="54"/>
        <v>4736</v>
      </c>
      <c r="I40" s="579">
        <f t="shared" si="54"/>
        <v>4670</v>
      </c>
      <c r="J40" s="579">
        <f t="shared" ref="J40:O40" si="55">J349</f>
        <v>4562</v>
      </c>
      <c r="K40" s="579">
        <f t="shared" si="55"/>
        <v>4684</v>
      </c>
      <c r="L40" s="579">
        <f t="shared" si="55"/>
        <v>4760</v>
      </c>
      <c r="M40" s="579">
        <f t="shared" si="55"/>
        <v>4796</v>
      </c>
      <c r="N40" s="579">
        <f t="shared" si="55"/>
        <v>4940</v>
      </c>
      <c r="O40" s="579">
        <f t="shared" si="55"/>
        <v>5081</v>
      </c>
      <c r="P40" s="574"/>
      <c r="Q40" s="577" t="s">
        <v>1859</v>
      </c>
    </row>
    <row r="41" spans="1:17" ht="15.75" thickBot="1">
      <c r="A41" s="574"/>
      <c r="D41" s="579">
        <f t="shared" ref="D41:I41" si="56">SUM(D39:D40)</f>
        <v>65933</v>
      </c>
      <c r="E41" s="579">
        <f t="shared" si="56"/>
        <v>66504</v>
      </c>
      <c r="F41" s="579">
        <f t="shared" si="56"/>
        <v>65315</v>
      </c>
      <c r="G41" s="579">
        <f t="shared" si="56"/>
        <v>65961</v>
      </c>
      <c r="H41" s="579">
        <f t="shared" si="56"/>
        <v>65222</v>
      </c>
      <c r="I41" s="579">
        <f t="shared" si="56"/>
        <v>63928</v>
      </c>
      <c r="J41" s="579">
        <f t="shared" ref="J41:O41" si="57">SUM(J39:J40)</f>
        <v>63943</v>
      </c>
      <c r="K41" s="579">
        <f t="shared" si="57"/>
        <v>64782</v>
      </c>
      <c r="L41" s="579">
        <f t="shared" si="57"/>
        <v>65188</v>
      </c>
      <c r="M41" s="579">
        <f t="shared" si="57"/>
        <v>65102</v>
      </c>
      <c r="N41" s="579">
        <f t="shared" si="57"/>
        <v>66600</v>
      </c>
      <c r="O41" s="579">
        <f t="shared" si="57"/>
        <v>67977</v>
      </c>
      <c r="P41" s="574"/>
      <c r="Q41" s="574"/>
    </row>
    <row r="42" spans="1:17">
      <c r="A42" s="574"/>
      <c r="D42" s="584"/>
      <c r="E42" s="584"/>
      <c r="F42" s="584"/>
      <c r="G42" s="584"/>
      <c r="H42" s="584"/>
      <c r="I42" s="584"/>
      <c r="J42" s="584"/>
      <c r="K42" s="584"/>
      <c r="L42" s="584"/>
      <c r="M42" s="584"/>
      <c r="N42" s="584"/>
      <c r="O42" s="584"/>
      <c r="P42" s="574"/>
      <c r="Q42" s="574"/>
    </row>
    <row r="43" spans="1:17">
      <c r="A43" s="577" t="s">
        <v>1860</v>
      </c>
      <c r="D43" s="578">
        <f t="shared" ref="D43:I43" si="58">D252</f>
        <v>57978</v>
      </c>
      <c r="E43" s="578">
        <f t="shared" si="58"/>
        <v>60671</v>
      </c>
      <c r="F43" s="578">
        <f t="shared" si="58"/>
        <v>60554</v>
      </c>
      <c r="G43" s="578">
        <f t="shared" si="58"/>
        <v>60099</v>
      </c>
      <c r="H43" s="578">
        <f t="shared" si="58"/>
        <v>60381</v>
      </c>
      <c r="I43" s="578">
        <f t="shared" si="58"/>
        <v>58870</v>
      </c>
      <c r="J43" s="578">
        <f t="shared" ref="J43:O43" si="59">J252</f>
        <v>59715</v>
      </c>
      <c r="K43" s="578">
        <f t="shared" si="59"/>
        <v>63001</v>
      </c>
      <c r="L43" s="578">
        <f t="shared" si="59"/>
        <v>59021</v>
      </c>
      <c r="M43" s="578">
        <f t="shared" si="59"/>
        <v>61028</v>
      </c>
      <c r="N43" s="578">
        <f t="shared" si="59"/>
        <v>62754</v>
      </c>
      <c r="O43" s="578">
        <f t="shared" si="59"/>
        <v>62632</v>
      </c>
      <c r="P43" s="574"/>
      <c r="Q43" s="577" t="s">
        <v>3780</v>
      </c>
    </row>
    <row r="44" spans="1:17" ht="15.75" thickBot="1">
      <c r="A44" s="574"/>
      <c r="D44" s="579">
        <f t="shared" ref="D44:I44" si="60">D410</f>
        <v>8946</v>
      </c>
      <c r="E44" s="579">
        <f t="shared" si="60"/>
        <v>8946</v>
      </c>
      <c r="F44" s="579">
        <f t="shared" si="60"/>
        <v>8965</v>
      </c>
      <c r="G44" s="579">
        <f t="shared" si="60"/>
        <v>8921</v>
      </c>
      <c r="H44" s="579">
        <f t="shared" si="60"/>
        <v>8875</v>
      </c>
      <c r="I44" s="579">
        <f t="shared" si="60"/>
        <v>8682</v>
      </c>
      <c r="J44" s="579">
        <f t="shared" ref="J44:O44" si="61">J410</f>
        <v>8378</v>
      </c>
      <c r="K44" s="579">
        <f t="shared" si="61"/>
        <v>8657</v>
      </c>
      <c r="L44" s="579">
        <f t="shared" si="61"/>
        <v>8397</v>
      </c>
      <c r="M44" s="579">
        <f t="shared" si="61"/>
        <v>8229</v>
      </c>
      <c r="N44" s="579">
        <f t="shared" si="61"/>
        <v>8513</v>
      </c>
      <c r="O44" s="579">
        <f t="shared" si="61"/>
        <v>8513</v>
      </c>
      <c r="P44" s="574"/>
      <c r="Q44" s="577" t="s">
        <v>1861</v>
      </c>
    </row>
    <row r="45" spans="1:17" ht="15.75" thickBot="1">
      <c r="A45" s="574"/>
      <c r="D45" s="579">
        <f t="shared" ref="D45:I45" si="62">SUM(D43:D44)</f>
        <v>66924</v>
      </c>
      <c r="E45" s="579">
        <f t="shared" si="62"/>
        <v>69617</v>
      </c>
      <c r="F45" s="579">
        <f t="shared" si="62"/>
        <v>69519</v>
      </c>
      <c r="G45" s="579">
        <f t="shared" si="62"/>
        <v>69020</v>
      </c>
      <c r="H45" s="579">
        <f t="shared" si="62"/>
        <v>69256</v>
      </c>
      <c r="I45" s="579">
        <f t="shared" si="62"/>
        <v>67552</v>
      </c>
      <c r="J45" s="579">
        <f t="shared" ref="J45:O45" si="63">SUM(J43:J44)</f>
        <v>68093</v>
      </c>
      <c r="K45" s="579">
        <f t="shared" si="63"/>
        <v>71658</v>
      </c>
      <c r="L45" s="579">
        <f t="shared" si="63"/>
        <v>67418</v>
      </c>
      <c r="M45" s="579">
        <f t="shared" si="63"/>
        <v>69257</v>
      </c>
      <c r="N45" s="579">
        <f t="shared" si="63"/>
        <v>71267</v>
      </c>
      <c r="O45" s="579">
        <f t="shared" si="63"/>
        <v>71145</v>
      </c>
      <c r="P45" s="574"/>
      <c r="Q45" s="574"/>
    </row>
    <row r="46" spans="1:17">
      <c r="A46" s="574"/>
      <c r="D46" s="584"/>
      <c r="E46" s="584"/>
      <c r="F46" s="584"/>
      <c r="G46" s="584"/>
      <c r="H46" s="584"/>
      <c r="I46" s="584"/>
      <c r="J46" s="584"/>
      <c r="K46" s="584"/>
      <c r="L46" s="584"/>
      <c r="M46" s="584"/>
      <c r="N46" s="584"/>
      <c r="O46" s="584"/>
      <c r="P46" s="574"/>
      <c r="Q46" s="574"/>
    </row>
    <row r="47" spans="1:17">
      <c r="A47" s="577" t="s">
        <v>1862</v>
      </c>
      <c r="D47" s="578">
        <f t="shared" ref="D47:I47" si="64">D288</f>
        <v>38838</v>
      </c>
      <c r="E47" s="578">
        <f t="shared" si="64"/>
        <v>39890</v>
      </c>
      <c r="F47" s="578">
        <f t="shared" si="64"/>
        <v>38175</v>
      </c>
      <c r="G47" s="578">
        <f t="shared" si="64"/>
        <v>37096</v>
      </c>
      <c r="H47" s="578">
        <f t="shared" si="64"/>
        <v>35013</v>
      </c>
      <c r="I47" s="578">
        <f t="shared" si="64"/>
        <v>33464</v>
      </c>
      <c r="J47" s="578">
        <f t="shared" ref="J47:O47" si="65">J288</f>
        <v>33074</v>
      </c>
      <c r="K47" s="578">
        <f t="shared" si="65"/>
        <v>37505</v>
      </c>
      <c r="L47" s="578">
        <f t="shared" si="65"/>
        <v>41090</v>
      </c>
      <c r="M47" s="578">
        <f t="shared" si="65"/>
        <v>38762</v>
      </c>
      <c r="N47" s="578">
        <f t="shared" si="65"/>
        <v>40461</v>
      </c>
      <c r="O47" s="578">
        <f t="shared" si="65"/>
        <v>41463</v>
      </c>
      <c r="P47" s="574"/>
      <c r="Q47" s="577" t="s">
        <v>1863</v>
      </c>
    </row>
    <row r="48" spans="1:17" ht="15.75" thickBot="1">
      <c r="A48" s="574"/>
      <c r="D48" s="579">
        <f t="shared" ref="D48:I48" si="66">D523</f>
        <v>27422</v>
      </c>
      <c r="E48" s="579">
        <f t="shared" si="66"/>
        <v>27415</v>
      </c>
      <c r="F48" s="579">
        <f t="shared" si="66"/>
        <v>27245</v>
      </c>
      <c r="G48" s="579">
        <f t="shared" si="66"/>
        <v>27236</v>
      </c>
      <c r="H48" s="579">
        <f t="shared" si="66"/>
        <v>27022</v>
      </c>
      <c r="I48" s="579">
        <f t="shared" si="66"/>
        <v>25374</v>
      </c>
      <c r="J48" s="579">
        <f t="shared" ref="J48:O48" si="67">J523</f>
        <v>25715</v>
      </c>
      <c r="K48" s="579">
        <f t="shared" si="67"/>
        <v>27214</v>
      </c>
      <c r="L48" s="579">
        <f t="shared" si="67"/>
        <v>27511</v>
      </c>
      <c r="M48" s="579">
        <f t="shared" si="67"/>
        <v>27937</v>
      </c>
      <c r="N48" s="579">
        <f t="shared" si="67"/>
        <v>27782</v>
      </c>
      <c r="O48" s="579">
        <f t="shared" si="67"/>
        <v>28325</v>
      </c>
      <c r="P48" s="574"/>
      <c r="Q48" s="577" t="s">
        <v>1864</v>
      </c>
    </row>
    <row r="49" spans="1:17" ht="15.75" thickBot="1">
      <c r="A49" s="574"/>
      <c r="D49" s="579">
        <f t="shared" ref="D49:I49" si="68">SUM(D47:D48)</f>
        <v>66260</v>
      </c>
      <c r="E49" s="579">
        <f t="shared" si="68"/>
        <v>67305</v>
      </c>
      <c r="F49" s="579">
        <f t="shared" si="68"/>
        <v>65420</v>
      </c>
      <c r="G49" s="579">
        <f t="shared" si="68"/>
        <v>64332</v>
      </c>
      <c r="H49" s="579">
        <f t="shared" si="68"/>
        <v>62035</v>
      </c>
      <c r="I49" s="579">
        <f t="shared" si="68"/>
        <v>58838</v>
      </c>
      <c r="J49" s="579">
        <f t="shared" ref="J49:O49" si="69">SUM(J47:J48)</f>
        <v>58789</v>
      </c>
      <c r="K49" s="579">
        <f t="shared" si="69"/>
        <v>64719</v>
      </c>
      <c r="L49" s="579">
        <f t="shared" si="69"/>
        <v>68601</v>
      </c>
      <c r="M49" s="579">
        <f t="shared" si="69"/>
        <v>66699</v>
      </c>
      <c r="N49" s="579">
        <f t="shared" si="69"/>
        <v>68243</v>
      </c>
      <c r="O49" s="579">
        <f t="shared" si="69"/>
        <v>69788</v>
      </c>
      <c r="P49" s="574"/>
      <c r="Q49" s="574"/>
    </row>
    <row r="50" spans="1:17">
      <c r="A50" s="574"/>
      <c r="D50" s="584"/>
      <c r="E50" s="584"/>
      <c r="F50" s="584"/>
      <c r="G50" s="584"/>
      <c r="H50" s="584"/>
      <c r="I50" s="584"/>
      <c r="J50" s="584"/>
      <c r="K50" s="584"/>
      <c r="L50" s="584"/>
      <c r="M50" s="584"/>
      <c r="N50" s="584"/>
      <c r="O50" s="584"/>
      <c r="P50" s="574"/>
      <c r="Q50" s="574"/>
    </row>
    <row r="51" spans="1:17">
      <c r="A51" s="577" t="s">
        <v>1865</v>
      </c>
      <c r="D51" s="578">
        <f t="shared" ref="D51:I51" si="70">D289</f>
        <v>68750</v>
      </c>
      <c r="E51" s="578">
        <f t="shared" si="70"/>
        <v>69254</v>
      </c>
      <c r="F51" s="578">
        <f t="shared" si="70"/>
        <v>68503</v>
      </c>
      <c r="G51" s="578">
        <f t="shared" si="70"/>
        <v>68281</v>
      </c>
      <c r="H51" s="578">
        <f t="shared" si="70"/>
        <v>64339</v>
      </c>
      <c r="I51" s="578">
        <f t="shared" si="70"/>
        <v>65465</v>
      </c>
      <c r="J51" s="578">
        <f t="shared" ref="J51:O51" si="71">J289</f>
        <v>63283</v>
      </c>
      <c r="K51" s="578">
        <f t="shared" si="71"/>
        <v>65060</v>
      </c>
      <c r="L51" s="578">
        <f t="shared" si="71"/>
        <v>68246</v>
      </c>
      <c r="M51" s="578">
        <f t="shared" si="71"/>
        <v>65474</v>
      </c>
      <c r="N51" s="578">
        <f t="shared" si="71"/>
        <v>66382</v>
      </c>
      <c r="O51" s="578">
        <f t="shared" si="71"/>
        <v>67602</v>
      </c>
      <c r="P51" s="574"/>
      <c r="Q51" s="577" t="s">
        <v>1863</v>
      </c>
    </row>
    <row r="52" spans="1:17">
      <c r="A52" s="574"/>
      <c r="D52" s="584"/>
      <c r="E52" s="584"/>
      <c r="F52" s="584"/>
      <c r="G52" s="584"/>
      <c r="H52" s="584"/>
      <c r="I52" s="584"/>
      <c r="J52" s="584"/>
      <c r="K52" s="584"/>
      <c r="L52" s="584"/>
      <c r="M52" s="584"/>
      <c r="N52" s="584"/>
      <c r="O52" s="584"/>
      <c r="P52" s="574"/>
      <c r="Q52" s="574"/>
    </row>
    <row r="53" spans="1:17">
      <c r="A53" s="577" t="s">
        <v>1866</v>
      </c>
      <c r="D53" s="578">
        <f t="shared" ref="D53:I53" si="72">D310</f>
        <v>66461</v>
      </c>
      <c r="E53" s="578">
        <f t="shared" si="72"/>
        <v>66735</v>
      </c>
      <c r="F53" s="578">
        <f t="shared" si="72"/>
        <v>66918</v>
      </c>
      <c r="G53" s="578">
        <f t="shared" si="72"/>
        <v>66780</v>
      </c>
      <c r="H53" s="578">
        <f t="shared" si="72"/>
        <v>66688</v>
      </c>
      <c r="I53" s="578">
        <f t="shared" si="72"/>
        <v>64241</v>
      </c>
      <c r="J53" s="578">
        <f t="shared" ref="J53:O53" si="73">J310</f>
        <v>62891</v>
      </c>
      <c r="K53" s="578">
        <f t="shared" si="73"/>
        <v>63972</v>
      </c>
      <c r="L53" s="578">
        <f t="shared" si="73"/>
        <v>64257</v>
      </c>
      <c r="M53" s="578">
        <f t="shared" si="73"/>
        <v>63996</v>
      </c>
      <c r="N53" s="578">
        <f t="shared" si="73"/>
        <v>64543</v>
      </c>
      <c r="O53" s="578">
        <f t="shared" si="73"/>
        <v>65784</v>
      </c>
      <c r="P53" s="574"/>
      <c r="Q53" s="577" t="s">
        <v>3782</v>
      </c>
    </row>
    <row r="54" spans="1:17">
      <c r="A54" s="574"/>
      <c r="D54" s="584"/>
      <c r="E54" s="584"/>
      <c r="F54" s="584"/>
      <c r="G54" s="584"/>
      <c r="H54" s="584"/>
      <c r="I54" s="584"/>
      <c r="J54" s="584"/>
      <c r="K54" s="584"/>
      <c r="L54" s="584"/>
      <c r="M54" s="584"/>
      <c r="N54" s="584"/>
      <c r="O54" s="584"/>
      <c r="P54" s="574"/>
      <c r="Q54" s="574"/>
    </row>
    <row r="55" spans="1:17">
      <c r="A55" s="577" t="s">
        <v>1867</v>
      </c>
      <c r="D55" s="578">
        <f t="shared" ref="D55:I55" si="74">D350</f>
        <v>60746</v>
      </c>
      <c r="E55" s="578">
        <f t="shared" si="74"/>
        <v>61025</v>
      </c>
      <c r="F55" s="578">
        <f t="shared" si="74"/>
        <v>61548</v>
      </c>
      <c r="G55" s="578">
        <f t="shared" si="74"/>
        <v>61844</v>
      </c>
      <c r="H55" s="578">
        <f t="shared" si="74"/>
        <v>60948</v>
      </c>
      <c r="I55" s="578">
        <f t="shared" si="74"/>
        <v>57542</v>
      </c>
      <c r="J55" s="578">
        <f t="shared" ref="J55:O55" si="75">J350</f>
        <v>56110</v>
      </c>
      <c r="K55" s="578">
        <f t="shared" si="75"/>
        <v>56623</v>
      </c>
      <c r="L55" s="578">
        <f t="shared" si="75"/>
        <v>55937</v>
      </c>
      <c r="M55" s="578">
        <f t="shared" si="75"/>
        <v>55512</v>
      </c>
      <c r="N55" s="578">
        <f t="shared" si="75"/>
        <v>57077</v>
      </c>
      <c r="O55" s="578">
        <f t="shared" si="75"/>
        <v>58679</v>
      </c>
      <c r="P55" s="574"/>
      <c r="Q55" s="577" t="s">
        <v>1859</v>
      </c>
    </row>
    <row r="56" spans="1:17">
      <c r="A56" s="574"/>
      <c r="D56" s="584"/>
      <c r="E56" s="584"/>
      <c r="F56" s="584"/>
      <c r="G56" s="584"/>
      <c r="H56" s="584"/>
      <c r="I56" s="584"/>
      <c r="J56" s="584"/>
      <c r="K56" s="584"/>
      <c r="L56" s="584"/>
      <c r="M56" s="584"/>
      <c r="N56" s="584"/>
      <c r="O56" s="584"/>
      <c r="P56" s="574"/>
      <c r="Q56" s="574"/>
    </row>
    <row r="57" spans="1:17">
      <c r="A57" s="577" t="s">
        <v>1868</v>
      </c>
      <c r="D57" s="578">
        <f t="shared" ref="D57:I57" si="76">D387</f>
        <v>45891</v>
      </c>
      <c r="E57" s="578">
        <f t="shared" si="76"/>
        <v>46058</v>
      </c>
      <c r="F57" s="578">
        <f t="shared" si="76"/>
        <v>45845</v>
      </c>
      <c r="G57" s="578">
        <f t="shared" si="76"/>
        <v>45909</v>
      </c>
      <c r="H57" s="578">
        <f t="shared" si="76"/>
        <v>46181</v>
      </c>
      <c r="I57" s="578">
        <f t="shared" si="76"/>
        <v>46114</v>
      </c>
      <c r="J57" s="578">
        <f t="shared" ref="J57:O57" si="77">J387</f>
        <v>45804</v>
      </c>
      <c r="K57" s="578">
        <f t="shared" si="77"/>
        <v>45181</v>
      </c>
      <c r="L57" s="578">
        <f t="shared" si="77"/>
        <v>46375</v>
      </c>
      <c r="M57" s="578">
        <f t="shared" si="77"/>
        <v>45559</v>
      </c>
      <c r="N57" s="578">
        <f t="shared" si="77"/>
        <v>47198</v>
      </c>
      <c r="O57" s="578">
        <f t="shared" si="77"/>
        <v>48803</v>
      </c>
      <c r="P57" s="574"/>
      <c r="Q57" s="577" t="s">
        <v>3784</v>
      </c>
    </row>
    <row r="58" spans="1:17" ht="15.75" thickBot="1">
      <c r="A58" s="574"/>
      <c r="D58" s="579">
        <f t="shared" ref="D58:I58" si="78">D447</f>
        <v>31391</v>
      </c>
      <c r="E58" s="579">
        <f t="shared" si="78"/>
        <v>31379</v>
      </c>
      <c r="F58" s="579">
        <f t="shared" si="78"/>
        <v>31371</v>
      </c>
      <c r="G58" s="579">
        <f t="shared" si="78"/>
        <v>31406</v>
      </c>
      <c r="H58" s="579">
        <f t="shared" si="78"/>
        <v>31181</v>
      </c>
      <c r="I58" s="579">
        <f t="shared" si="78"/>
        <v>30299</v>
      </c>
      <c r="J58" s="579">
        <f t="shared" ref="J58:O58" si="79">J447</f>
        <v>29544</v>
      </c>
      <c r="K58" s="579">
        <f t="shared" si="79"/>
        <v>30184</v>
      </c>
      <c r="L58" s="579">
        <f t="shared" si="79"/>
        <v>30599</v>
      </c>
      <c r="M58" s="579">
        <f t="shared" si="79"/>
        <v>30324</v>
      </c>
      <c r="N58" s="579">
        <f t="shared" si="79"/>
        <v>31428</v>
      </c>
      <c r="O58" s="579">
        <f t="shared" si="79"/>
        <v>31482</v>
      </c>
      <c r="P58" s="574"/>
      <c r="Q58" s="577" t="s">
        <v>1869</v>
      </c>
    </row>
    <row r="59" spans="1:17" ht="15.75" thickBot="1">
      <c r="A59" s="574"/>
      <c r="D59" s="579">
        <f t="shared" ref="D59:I59" si="80">D57+D58</f>
        <v>77282</v>
      </c>
      <c r="E59" s="579">
        <f t="shared" si="80"/>
        <v>77437</v>
      </c>
      <c r="F59" s="579">
        <f t="shared" si="80"/>
        <v>77216</v>
      </c>
      <c r="G59" s="579">
        <f t="shared" si="80"/>
        <v>77315</v>
      </c>
      <c r="H59" s="579">
        <f t="shared" si="80"/>
        <v>77362</v>
      </c>
      <c r="I59" s="579">
        <f t="shared" si="80"/>
        <v>76413</v>
      </c>
      <c r="J59" s="579">
        <f t="shared" ref="J59:O59" si="81">J57+J58</f>
        <v>75348</v>
      </c>
      <c r="K59" s="579">
        <f t="shared" si="81"/>
        <v>75365</v>
      </c>
      <c r="L59" s="579">
        <f t="shared" si="81"/>
        <v>76974</v>
      </c>
      <c r="M59" s="579">
        <f t="shared" si="81"/>
        <v>75883</v>
      </c>
      <c r="N59" s="579">
        <f t="shared" si="81"/>
        <v>78626</v>
      </c>
      <c r="O59" s="579">
        <f t="shared" si="81"/>
        <v>80285</v>
      </c>
      <c r="P59" s="574"/>
      <c r="Q59" s="574"/>
    </row>
    <row r="60" spans="1:17">
      <c r="A60" s="574"/>
      <c r="D60" s="584"/>
      <c r="E60" s="584"/>
      <c r="F60" s="584"/>
      <c r="G60" s="584"/>
      <c r="H60" s="584"/>
      <c r="I60" s="584"/>
      <c r="J60" s="584"/>
      <c r="K60" s="584"/>
      <c r="L60" s="584"/>
      <c r="M60" s="584"/>
      <c r="N60" s="584"/>
      <c r="O60" s="584"/>
      <c r="P60" s="574"/>
      <c r="Q60" s="574"/>
    </row>
    <row r="61" spans="1:17">
      <c r="A61" s="577" t="s">
        <v>1870</v>
      </c>
      <c r="D61" s="578">
        <f t="shared" ref="D61:I61" si="82">D111</f>
        <v>29532</v>
      </c>
      <c r="E61" s="578">
        <f t="shared" si="82"/>
        <v>29697</v>
      </c>
      <c r="F61" s="578">
        <f t="shared" si="82"/>
        <v>29989</v>
      </c>
      <c r="G61" s="578">
        <f t="shared" si="82"/>
        <v>30092</v>
      </c>
      <c r="H61" s="578">
        <f t="shared" si="82"/>
        <v>29886</v>
      </c>
      <c r="I61" s="578">
        <f t="shared" si="82"/>
        <v>29550</v>
      </c>
      <c r="J61" s="578">
        <f t="shared" ref="J61:O61" si="83">J111</f>
        <v>28040</v>
      </c>
      <c r="K61" s="578">
        <f t="shared" si="83"/>
        <v>28852</v>
      </c>
      <c r="L61" s="578">
        <f t="shared" si="83"/>
        <v>28586</v>
      </c>
      <c r="M61" s="578">
        <f t="shared" si="83"/>
        <v>28653</v>
      </c>
      <c r="N61" s="578">
        <f t="shared" si="83"/>
        <v>28805</v>
      </c>
      <c r="O61" s="578">
        <f t="shared" si="83"/>
        <v>29378</v>
      </c>
      <c r="P61" s="574"/>
      <c r="Q61" s="577" t="s">
        <v>2027</v>
      </c>
    </row>
    <row r="62" spans="1:17" ht="15.75" thickBot="1">
      <c r="A62" s="574"/>
      <c r="D62" s="579">
        <f t="shared" ref="D62:I62" si="84">D411</f>
        <v>43560</v>
      </c>
      <c r="E62" s="579">
        <f t="shared" si="84"/>
        <v>43746</v>
      </c>
      <c r="F62" s="579">
        <f t="shared" si="84"/>
        <v>43969</v>
      </c>
      <c r="G62" s="579">
        <f t="shared" si="84"/>
        <v>44093</v>
      </c>
      <c r="H62" s="579">
        <f t="shared" si="84"/>
        <v>44248</v>
      </c>
      <c r="I62" s="579">
        <f t="shared" si="84"/>
        <v>43587</v>
      </c>
      <c r="J62" s="579">
        <f t="shared" ref="J62:O62" si="85">J411</f>
        <v>42698</v>
      </c>
      <c r="K62" s="579">
        <f t="shared" si="85"/>
        <v>43554</v>
      </c>
      <c r="L62" s="579">
        <f t="shared" si="85"/>
        <v>43030</v>
      </c>
      <c r="M62" s="579">
        <f t="shared" si="85"/>
        <v>42808</v>
      </c>
      <c r="N62" s="579">
        <f t="shared" si="85"/>
        <v>43863</v>
      </c>
      <c r="O62" s="579">
        <f t="shared" si="85"/>
        <v>43755</v>
      </c>
      <c r="P62" s="574"/>
      <c r="Q62" s="577" t="s">
        <v>1861</v>
      </c>
    </row>
    <row r="63" spans="1:17" ht="15.75" thickBot="1">
      <c r="A63" s="574"/>
      <c r="D63" s="579">
        <f t="shared" ref="D63:I63" si="86">SUM(D61:D62)</f>
        <v>73092</v>
      </c>
      <c r="E63" s="579">
        <f t="shared" si="86"/>
        <v>73443</v>
      </c>
      <c r="F63" s="579">
        <f t="shared" si="86"/>
        <v>73958</v>
      </c>
      <c r="G63" s="579">
        <f t="shared" si="86"/>
        <v>74185</v>
      </c>
      <c r="H63" s="579">
        <f t="shared" si="86"/>
        <v>74134</v>
      </c>
      <c r="I63" s="579">
        <f t="shared" si="86"/>
        <v>73137</v>
      </c>
      <c r="J63" s="579">
        <f t="shared" ref="J63:O63" si="87">SUM(J61:J62)</f>
        <v>70738</v>
      </c>
      <c r="K63" s="579">
        <f t="shared" si="87"/>
        <v>72406</v>
      </c>
      <c r="L63" s="579">
        <f t="shared" si="87"/>
        <v>71616</v>
      </c>
      <c r="M63" s="579">
        <f t="shared" si="87"/>
        <v>71461</v>
      </c>
      <c r="N63" s="579">
        <f t="shared" si="87"/>
        <v>72668</v>
      </c>
      <c r="O63" s="579">
        <f t="shared" si="87"/>
        <v>73133</v>
      </c>
      <c r="P63" s="574"/>
      <c r="Q63" s="574"/>
    </row>
    <row r="64" spans="1:17">
      <c r="A64" s="574"/>
      <c r="D64" s="584"/>
      <c r="E64" s="584"/>
      <c r="F64" s="584"/>
      <c r="G64" s="584"/>
      <c r="H64" s="584"/>
      <c r="I64" s="584"/>
      <c r="J64" s="584"/>
      <c r="K64" s="584"/>
      <c r="L64" s="584"/>
      <c r="M64" s="584"/>
      <c r="N64" s="584"/>
      <c r="O64" s="584"/>
      <c r="P64" s="574"/>
      <c r="Q64" s="574"/>
    </row>
    <row r="65" spans="1:17">
      <c r="A65" s="577" t="s">
        <v>1871</v>
      </c>
      <c r="D65" s="578">
        <f t="shared" ref="D65:I65" si="88">D194</f>
        <v>8240</v>
      </c>
      <c r="E65" s="578">
        <f t="shared" si="88"/>
        <v>8279</v>
      </c>
      <c r="F65" s="578">
        <f t="shared" si="88"/>
        <v>8274</v>
      </c>
      <c r="G65" s="578">
        <f t="shared" si="88"/>
        <v>8214</v>
      </c>
      <c r="H65" s="578">
        <f t="shared" si="88"/>
        <v>8347</v>
      </c>
      <c r="I65" s="578">
        <f t="shared" si="88"/>
        <v>8194</v>
      </c>
      <c r="J65" s="578">
        <f t="shared" ref="J65:O65" si="89">J194</f>
        <v>8345</v>
      </c>
      <c r="K65" s="578">
        <f t="shared" si="89"/>
        <v>8572</v>
      </c>
      <c r="L65" s="578">
        <f t="shared" si="89"/>
        <v>8627</v>
      </c>
      <c r="M65" s="578">
        <f t="shared" si="89"/>
        <v>8691</v>
      </c>
      <c r="N65" s="578">
        <f t="shared" si="89"/>
        <v>8751</v>
      </c>
      <c r="O65" s="578">
        <f t="shared" si="89"/>
        <v>8693</v>
      </c>
      <c r="P65" s="574"/>
      <c r="Q65" s="577" t="s">
        <v>2034</v>
      </c>
    </row>
    <row r="66" spans="1:17">
      <c r="A66" s="577"/>
      <c r="D66" s="578">
        <f t="shared" ref="D66:I66" si="90">D448</f>
        <v>54378</v>
      </c>
      <c r="E66" s="578">
        <f t="shared" si="90"/>
        <v>54282</v>
      </c>
      <c r="F66" s="578">
        <f t="shared" si="90"/>
        <v>54309</v>
      </c>
      <c r="G66" s="578">
        <f t="shared" si="90"/>
        <v>54325</v>
      </c>
      <c r="H66" s="578">
        <f t="shared" si="90"/>
        <v>54620</v>
      </c>
      <c r="I66" s="578">
        <f t="shared" si="90"/>
        <v>53700</v>
      </c>
      <c r="J66" s="578">
        <f t="shared" ref="J66:O66" si="91">J448</f>
        <v>52080</v>
      </c>
      <c r="K66" s="578">
        <f t="shared" si="91"/>
        <v>53099</v>
      </c>
      <c r="L66" s="578">
        <f t="shared" si="91"/>
        <v>53365</v>
      </c>
      <c r="M66" s="578">
        <f t="shared" si="91"/>
        <v>52674</v>
      </c>
      <c r="N66" s="578">
        <f t="shared" si="91"/>
        <v>53762</v>
      </c>
      <c r="O66" s="578">
        <f t="shared" si="91"/>
        <v>53792</v>
      </c>
      <c r="P66" s="574"/>
      <c r="Q66" s="577" t="s">
        <v>1872</v>
      </c>
    </row>
    <row r="67" spans="1:17" ht="15.75" thickBot="1">
      <c r="A67" s="574"/>
      <c r="D67" s="579">
        <f t="shared" ref="D67:I67" si="92">D482</f>
        <v>12421</v>
      </c>
      <c r="E67" s="579">
        <f t="shared" si="92"/>
        <v>12555</v>
      </c>
      <c r="F67" s="579">
        <f t="shared" si="92"/>
        <v>12556</v>
      </c>
      <c r="G67" s="579">
        <f t="shared" si="92"/>
        <v>12392</v>
      </c>
      <c r="H67" s="579">
        <f t="shared" si="92"/>
        <v>12568</v>
      </c>
      <c r="I67" s="579">
        <f t="shared" si="92"/>
        <v>12265</v>
      </c>
      <c r="J67" s="579">
        <f t="shared" ref="J67:O67" si="93">J482</f>
        <v>12384</v>
      </c>
      <c r="K67" s="579">
        <f t="shared" si="93"/>
        <v>12692</v>
      </c>
      <c r="L67" s="579">
        <f t="shared" si="93"/>
        <v>12945</v>
      </c>
      <c r="M67" s="579">
        <f t="shared" si="93"/>
        <v>12910</v>
      </c>
      <c r="N67" s="579">
        <f t="shared" si="93"/>
        <v>13362</v>
      </c>
      <c r="O67" s="579">
        <f t="shared" si="93"/>
        <v>13360</v>
      </c>
      <c r="P67" s="574"/>
      <c r="Q67" s="577" t="s">
        <v>1873</v>
      </c>
    </row>
    <row r="68" spans="1:17" ht="15.75" thickBot="1">
      <c r="A68" s="574"/>
      <c r="D68" s="579">
        <f t="shared" ref="D68:I68" si="94">SUM(D65:D67)</f>
        <v>75039</v>
      </c>
      <c r="E68" s="579">
        <f t="shared" si="94"/>
        <v>75116</v>
      </c>
      <c r="F68" s="579">
        <f t="shared" si="94"/>
        <v>75139</v>
      </c>
      <c r="G68" s="579">
        <f t="shared" si="94"/>
        <v>74931</v>
      </c>
      <c r="H68" s="579">
        <f t="shared" si="94"/>
        <v>75535</v>
      </c>
      <c r="I68" s="579">
        <f t="shared" si="94"/>
        <v>74159</v>
      </c>
      <c r="J68" s="579">
        <f t="shared" ref="J68:O68" si="95">SUM(J65:J67)</f>
        <v>72809</v>
      </c>
      <c r="K68" s="579">
        <f t="shared" si="95"/>
        <v>74363</v>
      </c>
      <c r="L68" s="579">
        <f t="shared" si="95"/>
        <v>74937</v>
      </c>
      <c r="M68" s="579">
        <f t="shared" si="95"/>
        <v>74275</v>
      </c>
      <c r="N68" s="579">
        <f t="shared" si="95"/>
        <v>75875</v>
      </c>
      <c r="O68" s="579">
        <f t="shared" si="95"/>
        <v>75845</v>
      </c>
      <c r="P68" s="574"/>
      <c r="Q68" s="574"/>
    </row>
    <row r="69" spans="1:17">
      <c r="A69" s="574"/>
      <c r="D69" s="584"/>
      <c r="E69" s="584"/>
      <c r="F69" s="584"/>
      <c r="G69" s="584"/>
      <c r="H69" s="584"/>
      <c r="I69" s="584"/>
      <c r="J69" s="584"/>
      <c r="K69" s="584"/>
      <c r="L69" s="584"/>
      <c r="M69" s="584"/>
      <c r="N69" s="584"/>
      <c r="O69" s="584"/>
      <c r="P69" s="574"/>
      <c r="Q69" s="574"/>
    </row>
    <row r="70" spans="1:17">
      <c r="A70" s="577" t="s">
        <v>1874</v>
      </c>
      <c r="D70" s="578">
        <f t="shared" ref="D70:I70" si="96">D483</f>
        <v>72347</v>
      </c>
      <c r="E70" s="578">
        <f t="shared" si="96"/>
        <v>73028</v>
      </c>
      <c r="F70" s="578">
        <f t="shared" si="96"/>
        <v>73877</v>
      </c>
      <c r="G70" s="578">
        <f t="shared" si="96"/>
        <v>72352</v>
      </c>
      <c r="H70" s="578">
        <f t="shared" si="96"/>
        <v>74251</v>
      </c>
      <c r="I70" s="578">
        <f t="shared" si="96"/>
        <v>69519</v>
      </c>
      <c r="J70" s="578">
        <f t="shared" ref="J70:O70" si="97">J483</f>
        <v>70260</v>
      </c>
      <c r="K70" s="578">
        <f t="shared" si="97"/>
        <v>70998</v>
      </c>
      <c r="L70" s="578">
        <f t="shared" si="97"/>
        <v>72049</v>
      </c>
      <c r="M70" s="578">
        <f t="shared" si="97"/>
        <v>69908</v>
      </c>
      <c r="N70" s="578">
        <f t="shared" si="97"/>
        <v>73678</v>
      </c>
      <c r="O70" s="578">
        <f t="shared" si="97"/>
        <v>73652</v>
      </c>
      <c r="P70" s="574"/>
      <c r="Q70" s="577" t="s">
        <v>1873</v>
      </c>
    </row>
    <row r="71" spans="1:17">
      <c r="A71" s="574"/>
      <c r="B71" s="574"/>
      <c r="C71" s="574"/>
      <c r="D71" s="584"/>
      <c r="E71" s="584"/>
      <c r="F71" s="584"/>
      <c r="G71" s="584"/>
      <c r="H71" s="584"/>
      <c r="I71" s="584"/>
      <c r="J71" s="584"/>
      <c r="K71" s="584"/>
      <c r="L71" s="584"/>
      <c r="M71" s="584"/>
      <c r="N71" s="584"/>
      <c r="O71" s="584"/>
      <c r="P71" s="574"/>
      <c r="Q71" s="574"/>
    </row>
    <row r="72" spans="1:17">
      <c r="A72" s="574" t="s">
        <v>1875</v>
      </c>
      <c r="B72" s="574"/>
      <c r="C72" s="574"/>
      <c r="D72" s="584">
        <f t="shared" ref="D72:I72" si="98">D351</f>
        <v>31243</v>
      </c>
      <c r="E72" s="584">
        <f t="shared" si="98"/>
        <v>31313</v>
      </c>
      <c r="F72" s="584">
        <f t="shared" si="98"/>
        <v>31315</v>
      </c>
      <c r="G72" s="584">
        <f t="shared" si="98"/>
        <v>31524</v>
      </c>
      <c r="H72" s="584">
        <f t="shared" si="98"/>
        <v>31235</v>
      </c>
      <c r="I72" s="584">
        <f t="shared" si="98"/>
        <v>30611</v>
      </c>
      <c r="J72" s="584">
        <f t="shared" ref="J72:O72" si="99">J351</f>
        <v>30094</v>
      </c>
      <c r="K72" s="584">
        <f t="shared" si="99"/>
        <v>30756</v>
      </c>
      <c r="L72" s="584">
        <f t="shared" si="99"/>
        <v>31333</v>
      </c>
      <c r="M72" s="584">
        <f t="shared" si="99"/>
        <v>31368</v>
      </c>
      <c r="N72" s="584">
        <f t="shared" si="99"/>
        <v>32056</v>
      </c>
      <c r="O72" s="584">
        <f t="shared" si="99"/>
        <v>32623</v>
      </c>
      <c r="P72" s="574"/>
      <c r="Q72" s="577" t="s">
        <v>1859</v>
      </c>
    </row>
    <row r="73" spans="1:17" ht="15.75" thickBot="1">
      <c r="A73" s="574"/>
      <c r="B73" s="574"/>
      <c r="C73" s="574"/>
      <c r="D73" s="581">
        <f t="shared" ref="D73:I73" si="100">D524</f>
        <v>40121</v>
      </c>
      <c r="E73" s="581">
        <f t="shared" si="100"/>
        <v>40299</v>
      </c>
      <c r="F73" s="581">
        <f t="shared" si="100"/>
        <v>40247</v>
      </c>
      <c r="G73" s="581">
        <f t="shared" si="100"/>
        <v>40583</v>
      </c>
      <c r="H73" s="581">
        <f t="shared" si="100"/>
        <v>40373</v>
      </c>
      <c r="I73" s="581">
        <f t="shared" si="100"/>
        <v>39051</v>
      </c>
      <c r="J73" s="581">
        <f t="shared" ref="J73:O73" si="101">J524</f>
        <v>38778</v>
      </c>
      <c r="K73" s="581">
        <f t="shared" si="101"/>
        <v>40523</v>
      </c>
      <c r="L73" s="581">
        <f t="shared" si="101"/>
        <v>40921</v>
      </c>
      <c r="M73" s="581">
        <f t="shared" si="101"/>
        <v>41748</v>
      </c>
      <c r="N73" s="581">
        <f t="shared" si="101"/>
        <v>41775</v>
      </c>
      <c r="O73" s="581">
        <f t="shared" si="101"/>
        <v>42471</v>
      </c>
      <c r="P73" s="574"/>
      <c r="Q73" s="577" t="s">
        <v>1864</v>
      </c>
    </row>
    <row r="74" spans="1:17" ht="15.75" thickBot="1">
      <c r="A74" s="574"/>
      <c r="B74" s="574"/>
      <c r="C74" s="574"/>
      <c r="D74" s="585">
        <f t="shared" ref="D74:I74" si="102">D72+D73</f>
        <v>71364</v>
      </c>
      <c r="E74" s="585">
        <f t="shared" si="102"/>
        <v>71612</v>
      </c>
      <c r="F74" s="585">
        <f t="shared" si="102"/>
        <v>71562</v>
      </c>
      <c r="G74" s="585">
        <f t="shared" si="102"/>
        <v>72107</v>
      </c>
      <c r="H74" s="585">
        <f t="shared" si="102"/>
        <v>71608</v>
      </c>
      <c r="I74" s="585">
        <f t="shared" si="102"/>
        <v>69662</v>
      </c>
      <c r="J74" s="585">
        <f t="shared" ref="J74:O74" si="103">J72+J73</f>
        <v>68872</v>
      </c>
      <c r="K74" s="585">
        <f t="shared" si="103"/>
        <v>71279</v>
      </c>
      <c r="L74" s="585">
        <f t="shared" si="103"/>
        <v>72254</v>
      </c>
      <c r="M74" s="585">
        <f t="shared" si="103"/>
        <v>73116</v>
      </c>
      <c r="N74" s="585">
        <f t="shared" si="103"/>
        <v>73831</v>
      </c>
      <c r="O74" s="585">
        <f t="shared" si="103"/>
        <v>75094</v>
      </c>
      <c r="P74" s="574"/>
      <c r="Q74" s="574"/>
    </row>
    <row r="75" spans="1:17">
      <c r="A75" s="574"/>
      <c r="B75" s="574"/>
      <c r="C75" s="574"/>
      <c r="D75" s="584"/>
      <c r="E75" s="584"/>
      <c r="F75" s="584"/>
      <c r="G75" s="584"/>
      <c r="H75" s="584"/>
      <c r="I75" s="584"/>
      <c r="J75" s="584"/>
      <c r="K75" s="584"/>
      <c r="L75" s="584"/>
      <c r="M75" s="584"/>
      <c r="N75" s="584"/>
      <c r="O75" s="584"/>
      <c r="P75" s="574"/>
      <c r="Q75" s="574"/>
    </row>
    <row r="76" spans="1:17">
      <c r="A76" s="577" t="s">
        <v>6796</v>
      </c>
      <c r="B76" s="574"/>
      <c r="C76" s="574"/>
      <c r="D76" s="578">
        <f t="shared" ref="D76:I76" si="104">D27+D31+D33+D35+D37+D41+D45+D49+D51+D53+D55+D59+D63+D68+D70+D74</f>
        <v>1103572</v>
      </c>
      <c r="E76" s="578">
        <f t="shared" si="104"/>
        <v>1111792</v>
      </c>
      <c r="F76" s="578">
        <f t="shared" si="104"/>
        <v>1112310</v>
      </c>
      <c r="G76" s="578">
        <f t="shared" si="104"/>
        <v>1109855</v>
      </c>
      <c r="H76" s="578">
        <f t="shared" si="104"/>
        <v>1103128</v>
      </c>
      <c r="I76" s="578">
        <f t="shared" si="104"/>
        <v>1067206</v>
      </c>
      <c r="J76" s="578">
        <f t="shared" ref="J76:O76" si="105">J27+J31+J33+J35+J37+J41+J45+J49+J51+J53+J55+J59+J63+J68+J70+J74</f>
        <v>1051309</v>
      </c>
      <c r="K76" s="578">
        <f t="shared" si="105"/>
        <v>1078702</v>
      </c>
      <c r="L76" s="578">
        <f t="shared" si="105"/>
        <v>1087254</v>
      </c>
      <c r="M76" s="578">
        <f t="shared" si="105"/>
        <v>1079883</v>
      </c>
      <c r="N76" s="578">
        <f t="shared" si="105"/>
        <v>1102116</v>
      </c>
      <c r="O76" s="578">
        <f t="shared" si="105"/>
        <v>1114043</v>
      </c>
      <c r="P76" s="574"/>
      <c r="Q76" s="574"/>
    </row>
    <row r="77" spans="1:17">
      <c r="A77" s="574"/>
      <c r="B77" s="574"/>
      <c r="C77" s="574"/>
      <c r="D77" s="584"/>
      <c r="E77" s="584"/>
      <c r="F77" s="584"/>
      <c r="G77" s="584"/>
      <c r="H77" s="584"/>
      <c r="I77" s="584"/>
      <c r="J77" s="584"/>
      <c r="K77" s="584"/>
      <c r="L77" s="584"/>
      <c r="M77" s="584"/>
      <c r="N77" s="584"/>
      <c r="O77" s="584"/>
      <c r="P77" s="574"/>
      <c r="Q77" s="574"/>
    </row>
    <row r="78" spans="1:17">
      <c r="A78" s="577" t="s">
        <v>6797</v>
      </c>
      <c r="B78" s="574"/>
      <c r="C78" s="574"/>
      <c r="D78" s="578">
        <f t="shared" ref="D78:I78" si="106">MAX(D27:D74)-MIN(D27,D31,D33,D35,D37,D41,D45,D49,D51,D53,D55,D59,D63,D68,D70,D74)</f>
        <v>16536</v>
      </c>
      <c r="E78" s="578">
        <f t="shared" si="106"/>
        <v>16412</v>
      </c>
      <c r="F78" s="578">
        <f t="shared" si="106"/>
        <v>15668</v>
      </c>
      <c r="G78" s="578">
        <f t="shared" si="106"/>
        <v>15471</v>
      </c>
      <c r="H78" s="578">
        <f t="shared" si="106"/>
        <v>16414</v>
      </c>
      <c r="I78" s="578">
        <f t="shared" si="106"/>
        <v>20109</v>
      </c>
      <c r="J78" s="578">
        <f t="shared" ref="J78:O78" si="107">MAX(J27:J74)-MIN(J27,J31,J33,J35,J37,J41,J45,J49,J51,J53,J55,J59,J63,J68,J70,J74)</f>
        <v>20741</v>
      </c>
      <c r="K78" s="578">
        <f t="shared" si="107"/>
        <v>19448</v>
      </c>
      <c r="L78" s="578">
        <f t="shared" si="107"/>
        <v>21037</v>
      </c>
      <c r="M78" s="578">
        <f t="shared" si="107"/>
        <v>22290</v>
      </c>
      <c r="N78" s="578">
        <f t="shared" si="107"/>
        <v>21549</v>
      </c>
      <c r="O78" s="578">
        <f t="shared" si="107"/>
        <v>23398</v>
      </c>
      <c r="P78" s="574"/>
      <c r="Q78" s="574"/>
    </row>
    <row r="79" spans="1:17">
      <c r="A79" s="574"/>
      <c r="B79" s="574"/>
      <c r="C79" s="574"/>
      <c r="D79" s="584"/>
      <c r="E79" s="584"/>
      <c r="F79" s="584"/>
      <c r="G79" s="584"/>
      <c r="H79" s="584"/>
      <c r="I79" s="584"/>
      <c r="J79" s="584"/>
      <c r="K79" s="584"/>
      <c r="L79" s="584"/>
      <c r="M79" s="584"/>
      <c r="N79" s="584"/>
      <c r="O79" s="584"/>
      <c r="P79" s="574"/>
      <c r="Q79" s="574"/>
    </row>
    <row r="80" spans="1:17">
      <c r="A80" s="586" t="s">
        <v>6800</v>
      </c>
      <c r="B80" s="574"/>
      <c r="C80" s="574"/>
      <c r="D80" s="578">
        <f t="shared" ref="D80:I80" si="108">STDEVP(D27,D31,D33,D35,D37,D41,D45,D49,D51,D53,D55,D59,D63,D68,D70,D74)</f>
        <v>4267.564330212258</v>
      </c>
      <c r="E80" s="578">
        <f t="shared" si="108"/>
        <v>4161.4703381136815</v>
      </c>
      <c r="F80" s="578">
        <f t="shared" si="108"/>
        <v>4378.1397715668008</v>
      </c>
      <c r="G80" s="578">
        <f t="shared" si="108"/>
        <v>4588.0431486194366</v>
      </c>
      <c r="H80" s="578">
        <f t="shared" si="108"/>
        <v>5244.158261818573</v>
      </c>
      <c r="I80" s="578">
        <f t="shared" si="108"/>
        <v>6021.454650611844</v>
      </c>
      <c r="J80" s="578">
        <f t="shared" ref="J80:O80" si="109">STDEVP(J27,J31,J33,J35,J37,J41,J45,J49,J51,J53,J55,J59,J63,J68,J70,J74)</f>
        <v>6058.3443408528501</v>
      </c>
      <c r="K80" s="578">
        <f t="shared" si="109"/>
        <v>5981.8167168825057</v>
      </c>
      <c r="L80" s="578">
        <f t="shared" si="109"/>
        <v>6005.5419809018904</v>
      </c>
      <c r="M80" s="578">
        <f t="shared" si="109"/>
        <v>6322.6644968591963</v>
      </c>
      <c r="N80" s="578">
        <f t="shared" si="109"/>
        <v>6504.5056451278451</v>
      </c>
      <c r="O80" s="578">
        <f t="shared" si="109"/>
        <v>6403.6676865561776</v>
      </c>
      <c r="P80" s="574"/>
      <c r="Q80" s="574"/>
    </row>
    <row r="81" spans="1:17">
      <c r="A81" s="586"/>
      <c r="B81" s="574"/>
      <c r="C81" s="574"/>
      <c r="D81" s="578"/>
      <c r="E81" s="578"/>
      <c r="F81" s="578"/>
      <c r="G81" s="578"/>
      <c r="H81" s="578"/>
      <c r="I81" s="578"/>
      <c r="J81" s="578"/>
      <c r="K81" s="578"/>
      <c r="L81" s="578"/>
      <c r="M81" s="578"/>
      <c r="N81" s="578"/>
      <c r="O81" s="578"/>
      <c r="P81" s="574"/>
      <c r="Q81" s="574"/>
    </row>
    <row r="82" spans="1:17">
      <c r="A82" s="574" t="s">
        <v>3408</v>
      </c>
      <c r="B82" s="574"/>
      <c r="C82" s="574"/>
      <c r="D82" s="578"/>
      <c r="E82" s="578"/>
      <c r="F82" s="578"/>
      <c r="G82" s="578"/>
      <c r="H82" s="578"/>
      <c r="I82" s="578"/>
      <c r="J82" s="578"/>
      <c r="K82" s="578"/>
      <c r="L82" s="578"/>
      <c r="M82" s="578"/>
      <c r="N82" s="578"/>
      <c r="O82" s="578"/>
      <c r="P82" s="574"/>
      <c r="Q82" s="574"/>
    </row>
    <row r="83" spans="1:17">
      <c r="A83" s="574"/>
      <c r="B83" s="574"/>
      <c r="C83" s="574"/>
      <c r="D83" s="574"/>
      <c r="E83" s="574"/>
      <c r="F83" s="574"/>
      <c r="G83" s="574"/>
      <c r="H83" s="574"/>
      <c r="I83" s="574"/>
      <c r="J83" s="574"/>
      <c r="K83" s="574"/>
      <c r="L83" s="574"/>
      <c r="M83" s="574"/>
      <c r="N83" s="574"/>
      <c r="O83" s="574"/>
      <c r="P83" s="574"/>
      <c r="Q83" s="574"/>
    </row>
    <row r="84" spans="1:17">
      <c r="A84" s="50"/>
      <c r="B84" s="574"/>
      <c r="C84" s="574"/>
      <c r="D84" s="574"/>
      <c r="E84" s="574"/>
      <c r="F84" s="574"/>
      <c r="G84" s="574"/>
      <c r="H84" s="574"/>
      <c r="I84" s="574"/>
      <c r="J84" s="574"/>
      <c r="K84" s="574"/>
      <c r="L84" s="574"/>
      <c r="M84" s="574"/>
      <c r="N84" s="574"/>
      <c r="O84" s="574"/>
      <c r="P84" s="574"/>
      <c r="Q84" s="574"/>
    </row>
    <row r="85" spans="1:17">
      <c r="A85" s="574"/>
      <c r="B85" s="574"/>
      <c r="C85" s="574"/>
      <c r="E85" s="51" t="s">
        <v>1526</v>
      </c>
      <c r="F85" s="51"/>
      <c r="G85" s="51"/>
      <c r="H85" s="51"/>
      <c r="I85" s="51"/>
      <c r="J85" s="51"/>
      <c r="K85" s="51"/>
      <c r="L85" s="51"/>
      <c r="M85" s="51"/>
      <c r="N85" s="51"/>
      <c r="O85" s="51"/>
      <c r="P85" s="11"/>
      <c r="Q85" s="11" t="s">
        <v>9479</v>
      </c>
    </row>
    <row r="86" spans="1:17">
      <c r="A86" s="574"/>
      <c r="B86" s="574"/>
      <c r="C86" s="574"/>
      <c r="D86" s="350">
        <v>2010</v>
      </c>
      <c r="E86" s="350">
        <v>2011</v>
      </c>
      <c r="F86" s="350">
        <v>2012</v>
      </c>
      <c r="G86" s="350">
        <v>2013</v>
      </c>
      <c r="H86" s="350">
        <v>2014</v>
      </c>
      <c r="I86" s="350">
        <v>2015</v>
      </c>
      <c r="J86" s="350">
        <v>2016</v>
      </c>
      <c r="K86" s="350">
        <v>2017</v>
      </c>
      <c r="L86" s="350">
        <v>2018</v>
      </c>
      <c r="M86" s="350">
        <v>2019</v>
      </c>
      <c r="N86" s="350">
        <v>2020</v>
      </c>
      <c r="O86" s="961" t="s">
        <v>14823</v>
      </c>
      <c r="P86" s="574"/>
      <c r="Q86" s="13" t="s">
        <v>1527</v>
      </c>
    </row>
    <row r="87" spans="1:17">
      <c r="A87" s="577" t="s">
        <v>1969</v>
      </c>
      <c r="C87" s="577"/>
      <c r="D87" s="578">
        <f t="shared" ref="D87:L87" si="110">SUM(D88:D93,D95:D100,D102:D108)</f>
        <v>101354</v>
      </c>
      <c r="E87" s="578">
        <f t="shared" si="110"/>
        <v>101809</v>
      </c>
      <c r="F87" s="578">
        <f t="shared" si="110"/>
        <v>103306</v>
      </c>
      <c r="G87" s="578">
        <f t="shared" si="110"/>
        <v>104152</v>
      </c>
      <c r="H87" s="578">
        <f t="shared" si="110"/>
        <v>103291</v>
      </c>
      <c r="I87" s="578">
        <f t="shared" si="110"/>
        <v>102110</v>
      </c>
      <c r="J87" s="578">
        <f t="shared" si="110"/>
        <v>96731</v>
      </c>
      <c r="K87" s="578">
        <f t="shared" si="110"/>
        <v>98883</v>
      </c>
      <c r="L87" s="578">
        <f t="shared" si="110"/>
        <v>98540</v>
      </c>
      <c r="M87" s="578">
        <f>SUM(M88:M93,M95:M100,M102:M108)</f>
        <v>98837</v>
      </c>
      <c r="N87" s="578">
        <f>SUM(N88:N93,N95:N100,N102:N108)</f>
        <v>99531</v>
      </c>
      <c r="O87" s="578">
        <f>SUM(O88:O93,O95:O100,O102:O108)</f>
        <v>101424</v>
      </c>
      <c r="P87" s="574"/>
      <c r="Q87" s="574"/>
    </row>
    <row r="88" spans="1:17">
      <c r="A88" s="577" t="s">
        <v>5387</v>
      </c>
      <c r="B88" s="577" t="s">
        <v>12235</v>
      </c>
      <c r="C88" s="55" t="s">
        <v>12248</v>
      </c>
      <c r="D88" s="578">
        <v>71822</v>
      </c>
      <c r="E88" s="578">
        <v>72112</v>
      </c>
      <c r="F88" s="578">
        <v>73317</v>
      </c>
      <c r="G88" s="578">
        <v>74060</v>
      </c>
      <c r="H88" s="63">
        <v>73405</v>
      </c>
      <c r="I88" s="56">
        <v>72560</v>
      </c>
      <c r="J88" s="56">
        <v>68691</v>
      </c>
      <c r="K88" s="56">
        <v>70031</v>
      </c>
      <c r="L88" s="56">
        <v>69954</v>
      </c>
      <c r="M88" s="56">
        <v>5883</v>
      </c>
      <c r="N88" s="56">
        <v>5916</v>
      </c>
      <c r="O88" s="56">
        <v>6019</v>
      </c>
      <c r="P88" s="574"/>
      <c r="Q88" s="574" t="s">
        <v>3409</v>
      </c>
    </row>
    <row r="89" spans="1:17">
      <c r="A89" s="577" t="s">
        <v>5389</v>
      </c>
      <c r="B89" s="577" t="s">
        <v>12236</v>
      </c>
      <c r="C89" s="55" t="s">
        <v>12249</v>
      </c>
      <c r="D89" s="578">
        <v>0</v>
      </c>
      <c r="E89" s="578">
        <v>0</v>
      </c>
      <c r="F89" s="578">
        <v>0</v>
      </c>
      <c r="G89" s="578">
        <v>0</v>
      </c>
      <c r="H89" s="578">
        <v>0</v>
      </c>
      <c r="I89" s="578">
        <v>0</v>
      </c>
      <c r="J89" s="578">
        <v>0</v>
      </c>
      <c r="K89" s="578">
        <v>0</v>
      </c>
      <c r="L89" s="578">
        <v>0</v>
      </c>
      <c r="M89" s="56">
        <v>5635</v>
      </c>
      <c r="N89" s="56">
        <v>5645</v>
      </c>
      <c r="O89" s="56">
        <v>5744</v>
      </c>
      <c r="P89" s="574"/>
      <c r="Q89" s="574" t="s">
        <v>3409</v>
      </c>
    </row>
    <row r="90" spans="1:17">
      <c r="A90" s="577" t="s">
        <v>5391</v>
      </c>
      <c r="B90" s="577" t="s">
        <v>12237</v>
      </c>
      <c r="C90" s="55" t="s">
        <v>12250</v>
      </c>
      <c r="D90" s="578">
        <v>0</v>
      </c>
      <c r="E90" s="578">
        <v>0</v>
      </c>
      <c r="F90" s="578">
        <v>0</v>
      </c>
      <c r="G90" s="578">
        <v>0</v>
      </c>
      <c r="H90" s="578">
        <v>0</v>
      </c>
      <c r="I90" s="578">
        <v>0</v>
      </c>
      <c r="J90" s="578">
        <v>0</v>
      </c>
      <c r="K90" s="578">
        <v>0</v>
      </c>
      <c r="L90" s="578">
        <v>0</v>
      </c>
      <c r="M90" s="56">
        <v>5806</v>
      </c>
      <c r="N90" s="56">
        <v>5868</v>
      </c>
      <c r="O90" s="56">
        <v>5971</v>
      </c>
      <c r="P90" s="574"/>
      <c r="Q90" s="574" t="s">
        <v>3409</v>
      </c>
    </row>
    <row r="91" spans="1:17">
      <c r="A91" s="577" t="s">
        <v>5393</v>
      </c>
      <c r="B91" s="577" t="s">
        <v>12238</v>
      </c>
      <c r="C91" s="55" t="s">
        <v>12251</v>
      </c>
      <c r="D91" s="578">
        <v>0</v>
      </c>
      <c r="E91" s="578">
        <v>0</v>
      </c>
      <c r="F91" s="578">
        <v>0</v>
      </c>
      <c r="G91" s="578">
        <v>0</v>
      </c>
      <c r="H91" s="578">
        <v>0</v>
      </c>
      <c r="I91" s="578">
        <v>0</v>
      </c>
      <c r="J91" s="578">
        <v>0</v>
      </c>
      <c r="K91" s="578">
        <v>0</v>
      </c>
      <c r="L91" s="578">
        <v>0</v>
      </c>
      <c r="M91" s="56">
        <v>5381</v>
      </c>
      <c r="N91" s="56">
        <v>5457</v>
      </c>
      <c r="O91" s="56">
        <v>5589</v>
      </c>
      <c r="P91" s="574"/>
      <c r="Q91" s="574" t="s">
        <v>3409</v>
      </c>
    </row>
    <row r="92" spans="1:17">
      <c r="A92" s="577" t="s">
        <v>5394</v>
      </c>
      <c r="B92" s="577" t="s">
        <v>12239</v>
      </c>
      <c r="C92" s="55" t="s">
        <v>12252</v>
      </c>
      <c r="D92" s="578">
        <v>0</v>
      </c>
      <c r="E92" s="578">
        <v>0</v>
      </c>
      <c r="F92" s="578">
        <v>0</v>
      </c>
      <c r="G92" s="578">
        <v>0</v>
      </c>
      <c r="H92" s="578">
        <v>0</v>
      </c>
      <c r="I92" s="578">
        <v>0</v>
      </c>
      <c r="J92" s="578">
        <v>0</v>
      </c>
      <c r="K92" s="578">
        <v>0</v>
      </c>
      <c r="L92" s="578">
        <v>0</v>
      </c>
      <c r="M92" s="58">
        <v>1812</v>
      </c>
      <c r="N92" s="58">
        <v>1816</v>
      </c>
      <c r="O92" s="58">
        <v>1859</v>
      </c>
      <c r="P92" s="574"/>
      <c r="Q92" s="574" t="s">
        <v>3409</v>
      </c>
    </row>
    <row r="93" spans="1:17" ht="15.75" thickBot="1">
      <c r="B93" s="50"/>
      <c r="C93" s="55" t="s">
        <v>12252</v>
      </c>
      <c r="D93" s="578">
        <v>0</v>
      </c>
      <c r="E93" s="578">
        <v>0</v>
      </c>
      <c r="F93" s="578">
        <v>0</v>
      </c>
      <c r="G93" s="578">
        <v>0</v>
      </c>
      <c r="H93" s="578">
        <v>0</v>
      </c>
      <c r="I93" s="578">
        <v>0</v>
      </c>
      <c r="J93" s="578">
        <v>0</v>
      </c>
      <c r="K93" s="578">
        <v>0</v>
      </c>
      <c r="L93" s="578">
        <v>0</v>
      </c>
      <c r="M93" s="58">
        <v>3789</v>
      </c>
      <c r="N93" s="58">
        <v>3809</v>
      </c>
      <c r="O93" s="58">
        <v>3878</v>
      </c>
      <c r="P93" s="574"/>
      <c r="Q93" s="577" t="s">
        <v>1870</v>
      </c>
    </row>
    <row r="94" spans="1:17" ht="15.75" thickBot="1">
      <c r="B94" s="577"/>
      <c r="C94" s="55" t="s">
        <v>12252</v>
      </c>
      <c r="D94" s="585">
        <f>SUM(D92:D93)</f>
        <v>0</v>
      </c>
      <c r="E94" s="585">
        <f t="shared" ref="E94:M94" si="111">SUM(E92:E93)</f>
        <v>0</v>
      </c>
      <c r="F94" s="585">
        <f t="shared" si="111"/>
        <v>0</v>
      </c>
      <c r="G94" s="585">
        <f t="shared" si="111"/>
        <v>0</v>
      </c>
      <c r="H94" s="585">
        <f t="shared" si="111"/>
        <v>0</v>
      </c>
      <c r="I94" s="585">
        <f t="shared" si="111"/>
        <v>0</v>
      </c>
      <c r="J94" s="585">
        <f t="shared" si="111"/>
        <v>0</v>
      </c>
      <c r="K94" s="585">
        <f t="shared" si="111"/>
        <v>0</v>
      </c>
      <c r="L94" s="585">
        <f t="shared" si="111"/>
        <v>0</v>
      </c>
      <c r="M94" s="585">
        <f t="shared" si="111"/>
        <v>5601</v>
      </c>
      <c r="N94" s="585">
        <f>SUM(N92:N93)</f>
        <v>5625</v>
      </c>
      <c r="O94" s="585">
        <f>SUM(O92:O93)</f>
        <v>5737</v>
      </c>
      <c r="P94" s="574"/>
      <c r="Q94" s="574"/>
    </row>
    <row r="95" spans="1:17">
      <c r="A95" s="577" t="s">
        <v>5416</v>
      </c>
      <c r="B95" s="577" t="s">
        <v>12240</v>
      </c>
      <c r="C95" s="55" t="s">
        <v>12253</v>
      </c>
      <c r="D95" s="587">
        <v>0</v>
      </c>
      <c r="E95" s="587">
        <v>0</v>
      </c>
      <c r="F95" s="587">
        <v>0</v>
      </c>
      <c r="G95" s="587">
        <v>0</v>
      </c>
      <c r="H95" s="587">
        <v>0</v>
      </c>
      <c r="I95" s="587">
        <v>0</v>
      </c>
      <c r="J95" s="587">
        <v>0</v>
      </c>
      <c r="K95" s="587">
        <v>0</v>
      </c>
      <c r="L95" s="587">
        <v>0</v>
      </c>
      <c r="M95" s="58">
        <v>5558</v>
      </c>
      <c r="N95" s="58">
        <v>5508</v>
      </c>
      <c r="O95" s="58">
        <v>5621</v>
      </c>
      <c r="P95" s="574"/>
      <c r="Q95" s="574" t="s">
        <v>3409</v>
      </c>
    </row>
    <row r="96" spans="1:17">
      <c r="A96" s="577" t="s">
        <v>5418</v>
      </c>
      <c r="B96" s="577" t="s">
        <v>12244</v>
      </c>
      <c r="C96" s="55" t="s">
        <v>12254</v>
      </c>
      <c r="D96" s="587">
        <v>29532</v>
      </c>
      <c r="E96" s="587">
        <v>29697</v>
      </c>
      <c r="F96" s="587">
        <v>29989</v>
      </c>
      <c r="G96" s="587">
        <v>30092</v>
      </c>
      <c r="H96" s="63">
        <v>29886</v>
      </c>
      <c r="I96" s="58">
        <v>29550</v>
      </c>
      <c r="J96" s="58">
        <v>28040</v>
      </c>
      <c r="K96" s="58">
        <v>28852</v>
      </c>
      <c r="L96" s="58">
        <v>28586</v>
      </c>
      <c r="M96" s="56">
        <v>6022</v>
      </c>
      <c r="N96" s="56">
        <v>6107</v>
      </c>
      <c r="O96" s="56">
        <v>6274</v>
      </c>
      <c r="P96" s="574"/>
      <c r="Q96" s="577" t="s">
        <v>1870</v>
      </c>
    </row>
    <row r="97" spans="1:17">
      <c r="A97" s="577" t="s">
        <v>5420</v>
      </c>
      <c r="B97" s="577" t="s">
        <v>12245</v>
      </c>
      <c r="C97" s="55" t="s">
        <v>12255</v>
      </c>
      <c r="D97" s="587">
        <v>0</v>
      </c>
      <c r="E97" s="587">
        <v>0</v>
      </c>
      <c r="F97" s="587">
        <v>0</v>
      </c>
      <c r="G97" s="587">
        <v>0</v>
      </c>
      <c r="H97" s="587">
        <v>0</v>
      </c>
      <c r="I97" s="587">
        <v>0</v>
      </c>
      <c r="J97" s="587">
        <v>0</v>
      </c>
      <c r="K97" s="587">
        <v>0</v>
      </c>
      <c r="L97" s="587">
        <v>0</v>
      </c>
      <c r="M97" s="56">
        <v>5963</v>
      </c>
      <c r="N97" s="56">
        <v>5991</v>
      </c>
      <c r="O97" s="56">
        <v>6138</v>
      </c>
      <c r="P97" s="574"/>
      <c r="Q97" s="577" t="s">
        <v>1870</v>
      </c>
    </row>
    <row r="98" spans="1:17">
      <c r="A98" s="577" t="s">
        <v>5422</v>
      </c>
      <c r="B98" s="50" t="s">
        <v>12246</v>
      </c>
      <c r="C98" s="55" t="s">
        <v>12256</v>
      </c>
      <c r="D98" s="587">
        <v>0</v>
      </c>
      <c r="E98" s="587">
        <v>0</v>
      </c>
      <c r="F98" s="587">
        <v>0</v>
      </c>
      <c r="G98" s="587">
        <v>0</v>
      </c>
      <c r="H98" s="587">
        <v>0</v>
      </c>
      <c r="I98" s="587">
        <v>0</v>
      </c>
      <c r="J98" s="587">
        <v>0</v>
      </c>
      <c r="K98" s="587">
        <v>0</v>
      </c>
      <c r="L98" s="587">
        <v>0</v>
      </c>
      <c r="M98" s="56">
        <v>6311</v>
      </c>
      <c r="N98" s="56">
        <v>6325</v>
      </c>
      <c r="O98" s="56">
        <v>6402</v>
      </c>
      <c r="P98" s="574"/>
      <c r="Q98" s="577" t="s">
        <v>1870</v>
      </c>
    </row>
    <row r="99" spans="1:17">
      <c r="A99" s="577" t="s">
        <v>5424</v>
      </c>
      <c r="B99" s="577" t="s">
        <v>1877</v>
      </c>
      <c r="C99" s="55" t="s">
        <v>12257</v>
      </c>
      <c r="D99" s="587">
        <v>0</v>
      </c>
      <c r="E99" s="587">
        <v>0</v>
      </c>
      <c r="F99" s="587">
        <v>0</v>
      </c>
      <c r="G99" s="587">
        <v>0</v>
      </c>
      <c r="H99" s="587">
        <v>0</v>
      </c>
      <c r="I99" s="587">
        <v>0</v>
      </c>
      <c r="J99" s="587">
        <v>0</v>
      </c>
      <c r="K99" s="587">
        <v>0</v>
      </c>
      <c r="L99" s="587">
        <v>0</v>
      </c>
      <c r="M99" s="58">
        <v>5546</v>
      </c>
      <c r="N99" s="58">
        <v>5564</v>
      </c>
      <c r="O99" s="58">
        <v>5649</v>
      </c>
      <c r="P99" s="574"/>
      <c r="Q99" s="574" t="s">
        <v>12234</v>
      </c>
    </row>
    <row r="100" spans="1:17" ht="15.75" thickBot="1">
      <c r="B100" s="577"/>
      <c r="C100" s="55" t="s">
        <v>12257</v>
      </c>
      <c r="D100" s="587">
        <v>0</v>
      </c>
      <c r="E100" s="587">
        <v>0</v>
      </c>
      <c r="F100" s="587">
        <v>0</v>
      </c>
      <c r="G100" s="587">
        <v>0</v>
      </c>
      <c r="H100" s="587">
        <v>0</v>
      </c>
      <c r="I100" s="587">
        <v>0</v>
      </c>
      <c r="J100" s="587">
        <v>0</v>
      </c>
      <c r="K100" s="587">
        <v>0</v>
      </c>
      <c r="L100" s="587">
        <v>0</v>
      </c>
      <c r="M100" s="56">
        <v>406</v>
      </c>
      <c r="N100" s="56">
        <v>390</v>
      </c>
      <c r="O100" s="56">
        <v>399</v>
      </c>
      <c r="P100" s="574"/>
      <c r="Q100" s="577" t="s">
        <v>1870</v>
      </c>
    </row>
    <row r="101" spans="1:17" ht="15.75" thickBot="1">
      <c r="B101" s="577"/>
      <c r="C101" s="55" t="s">
        <v>12257</v>
      </c>
      <c r="D101" s="585">
        <f>SUM(D99:D100)</f>
        <v>0</v>
      </c>
      <c r="E101" s="585">
        <f t="shared" ref="E101:M101" si="112">SUM(E99:E100)</f>
        <v>0</v>
      </c>
      <c r="F101" s="585">
        <f t="shared" si="112"/>
        <v>0</v>
      </c>
      <c r="G101" s="585">
        <f t="shared" si="112"/>
        <v>0</v>
      </c>
      <c r="H101" s="585">
        <f t="shared" si="112"/>
        <v>0</v>
      </c>
      <c r="I101" s="585">
        <f t="shared" si="112"/>
        <v>0</v>
      </c>
      <c r="J101" s="585">
        <f t="shared" si="112"/>
        <v>0</v>
      </c>
      <c r="K101" s="585">
        <f t="shared" si="112"/>
        <v>0</v>
      </c>
      <c r="L101" s="585">
        <f t="shared" si="112"/>
        <v>0</v>
      </c>
      <c r="M101" s="585">
        <f t="shared" si="112"/>
        <v>5952</v>
      </c>
      <c r="N101" s="585">
        <f>SUM(N99:N100)</f>
        <v>5954</v>
      </c>
      <c r="O101" s="585">
        <f>SUM(O99:O100)</f>
        <v>6048</v>
      </c>
      <c r="P101" s="574"/>
      <c r="Q101" s="574"/>
    </row>
    <row r="102" spans="1:17">
      <c r="A102" s="577" t="s">
        <v>5426</v>
      </c>
      <c r="B102" s="577" t="s">
        <v>12241</v>
      </c>
      <c r="C102" s="55" t="s">
        <v>12258</v>
      </c>
      <c r="D102" s="587">
        <v>0</v>
      </c>
      <c r="E102" s="587">
        <v>0</v>
      </c>
      <c r="F102" s="587">
        <v>0</v>
      </c>
      <c r="G102" s="587">
        <v>0</v>
      </c>
      <c r="H102" s="587">
        <v>0</v>
      </c>
      <c r="I102" s="587">
        <v>0</v>
      </c>
      <c r="J102" s="587">
        <v>0</v>
      </c>
      <c r="K102" s="587">
        <v>0</v>
      </c>
      <c r="L102" s="587">
        <v>0</v>
      </c>
      <c r="M102" s="58">
        <v>5462</v>
      </c>
      <c r="N102" s="58">
        <v>5561</v>
      </c>
      <c r="O102" s="58">
        <v>5686</v>
      </c>
      <c r="P102" s="574"/>
      <c r="Q102" s="574" t="s">
        <v>3409</v>
      </c>
    </row>
    <row r="103" spans="1:17">
      <c r="A103" s="577" t="s">
        <v>5428</v>
      </c>
      <c r="B103" s="577" t="s">
        <v>2583</v>
      </c>
      <c r="C103" s="55" t="s">
        <v>12259</v>
      </c>
      <c r="D103" s="587">
        <v>0</v>
      </c>
      <c r="E103" s="587">
        <v>0</v>
      </c>
      <c r="F103" s="587">
        <v>0</v>
      </c>
      <c r="G103" s="587">
        <v>0</v>
      </c>
      <c r="H103" s="587">
        <v>0</v>
      </c>
      <c r="I103" s="587">
        <v>0</v>
      </c>
      <c r="J103" s="587">
        <v>0</v>
      </c>
      <c r="K103" s="587">
        <v>0</v>
      </c>
      <c r="L103" s="587">
        <v>0</v>
      </c>
      <c r="M103" s="56">
        <v>6066</v>
      </c>
      <c r="N103" s="56">
        <v>6199</v>
      </c>
      <c r="O103" s="56">
        <v>6284</v>
      </c>
      <c r="P103" s="574"/>
      <c r="Q103" s="574" t="s">
        <v>3409</v>
      </c>
    </row>
    <row r="104" spans="1:17">
      <c r="A104" s="577" t="s">
        <v>5429</v>
      </c>
      <c r="B104" s="577" t="s">
        <v>12242</v>
      </c>
      <c r="C104" s="55" t="s">
        <v>12260</v>
      </c>
      <c r="D104" s="587">
        <v>0</v>
      </c>
      <c r="E104" s="587">
        <v>0</v>
      </c>
      <c r="F104" s="587">
        <v>0</v>
      </c>
      <c r="G104" s="587">
        <v>0</v>
      </c>
      <c r="H104" s="587">
        <v>0</v>
      </c>
      <c r="I104" s="587">
        <v>0</v>
      </c>
      <c r="J104" s="587">
        <v>0</v>
      </c>
      <c r="K104" s="587">
        <v>0</v>
      </c>
      <c r="L104" s="587">
        <v>0</v>
      </c>
      <c r="M104" s="56">
        <v>5405</v>
      </c>
      <c r="N104" s="56">
        <v>5390</v>
      </c>
      <c r="O104" s="56">
        <v>5472</v>
      </c>
      <c r="P104" s="574"/>
      <c r="Q104" s="574" t="s">
        <v>3409</v>
      </c>
    </row>
    <row r="105" spans="1:17">
      <c r="A105" s="577" t="s">
        <v>5431</v>
      </c>
      <c r="B105" s="577" t="s">
        <v>2584</v>
      </c>
      <c r="C105" s="55" t="s">
        <v>12261</v>
      </c>
      <c r="D105" s="587">
        <v>0</v>
      </c>
      <c r="E105" s="587">
        <v>0</v>
      </c>
      <c r="F105" s="587">
        <v>0</v>
      </c>
      <c r="G105" s="587">
        <v>0</v>
      </c>
      <c r="H105" s="587">
        <v>0</v>
      </c>
      <c r="I105" s="587">
        <v>0</v>
      </c>
      <c r="J105" s="587">
        <v>0</v>
      </c>
      <c r="K105" s="587">
        <v>0</v>
      </c>
      <c r="L105" s="587">
        <v>0</v>
      </c>
      <c r="M105" s="56">
        <v>6015</v>
      </c>
      <c r="N105" s="56">
        <v>6161</v>
      </c>
      <c r="O105" s="56">
        <v>6267</v>
      </c>
      <c r="P105" s="574"/>
      <c r="Q105" s="574" t="s">
        <v>3409</v>
      </c>
    </row>
    <row r="106" spans="1:17">
      <c r="A106" s="577" t="s">
        <v>5433</v>
      </c>
      <c r="B106" s="577" t="s">
        <v>12243</v>
      </c>
      <c r="C106" s="55" t="s">
        <v>12262</v>
      </c>
      <c r="D106" s="587">
        <v>0</v>
      </c>
      <c r="E106" s="587">
        <v>0</v>
      </c>
      <c r="F106" s="587">
        <v>0</v>
      </c>
      <c r="G106" s="587">
        <v>0</v>
      </c>
      <c r="H106" s="587">
        <v>0</v>
      </c>
      <c r="I106" s="587">
        <v>0</v>
      </c>
      <c r="J106" s="587">
        <v>0</v>
      </c>
      <c r="K106" s="587">
        <v>0</v>
      </c>
      <c r="L106" s="587">
        <v>0</v>
      </c>
      <c r="M106" s="56">
        <v>5946</v>
      </c>
      <c r="N106" s="56">
        <v>5981</v>
      </c>
      <c r="O106" s="56">
        <v>6099</v>
      </c>
      <c r="P106" s="574"/>
      <c r="Q106" s="574" t="s">
        <v>3409</v>
      </c>
    </row>
    <row r="107" spans="1:17">
      <c r="A107" s="577" t="s">
        <v>5435</v>
      </c>
      <c r="B107" s="577" t="s">
        <v>2586</v>
      </c>
      <c r="C107" s="55" t="s">
        <v>12263</v>
      </c>
      <c r="D107" s="587">
        <v>0</v>
      </c>
      <c r="E107" s="587">
        <v>0</v>
      </c>
      <c r="F107" s="587">
        <v>0</v>
      </c>
      <c r="G107" s="587">
        <v>0</v>
      </c>
      <c r="H107" s="587">
        <v>0</v>
      </c>
      <c r="I107" s="587">
        <v>0</v>
      </c>
      <c r="J107" s="587">
        <v>0</v>
      </c>
      <c r="K107" s="587">
        <v>0</v>
      </c>
      <c r="L107" s="587">
        <v>0</v>
      </c>
      <c r="M107" s="58">
        <v>5669</v>
      </c>
      <c r="N107" s="58">
        <v>5660</v>
      </c>
      <c r="O107" s="58">
        <v>5786</v>
      </c>
      <c r="P107" s="574"/>
      <c r="Q107" s="574" t="s">
        <v>3409</v>
      </c>
    </row>
    <row r="108" spans="1:17">
      <c r="A108" s="577" t="s">
        <v>5436</v>
      </c>
      <c r="B108" s="577" t="s">
        <v>12247</v>
      </c>
      <c r="C108" s="55" t="s">
        <v>12264</v>
      </c>
      <c r="D108" s="587">
        <v>0</v>
      </c>
      <c r="E108" s="587">
        <v>0</v>
      </c>
      <c r="F108" s="587">
        <v>0</v>
      </c>
      <c r="G108" s="587">
        <v>0</v>
      </c>
      <c r="H108" s="587">
        <v>0</v>
      </c>
      <c r="I108" s="587">
        <v>0</v>
      </c>
      <c r="J108" s="587">
        <v>0</v>
      </c>
      <c r="K108" s="587">
        <v>0</v>
      </c>
      <c r="L108" s="587">
        <v>0</v>
      </c>
      <c r="M108" s="58">
        <v>6162</v>
      </c>
      <c r="N108" s="58">
        <v>6183</v>
      </c>
      <c r="O108" s="58">
        <v>6287</v>
      </c>
      <c r="P108" s="574"/>
      <c r="Q108" s="577" t="s">
        <v>1870</v>
      </c>
    </row>
    <row r="109" spans="1:17">
      <c r="A109" s="574"/>
      <c r="B109" s="574"/>
      <c r="D109" s="584"/>
      <c r="E109" s="584"/>
      <c r="F109" s="584"/>
      <c r="G109" s="584"/>
      <c r="H109" s="584"/>
      <c r="I109" s="584"/>
      <c r="J109" s="584"/>
      <c r="K109" s="584"/>
      <c r="L109" s="584"/>
      <c r="M109" s="584"/>
      <c r="N109" s="584"/>
      <c r="O109" s="584"/>
      <c r="P109" s="574"/>
      <c r="Q109" s="574"/>
    </row>
    <row r="110" spans="1:17">
      <c r="A110" s="577" t="s">
        <v>3409</v>
      </c>
      <c r="D110" s="578">
        <f t="shared" ref="D110:L110" si="113">SUM(D88:D92,D95,D99,D102:D107)</f>
        <v>71822</v>
      </c>
      <c r="E110" s="578">
        <f t="shared" si="113"/>
        <v>72112</v>
      </c>
      <c r="F110" s="578">
        <f t="shared" si="113"/>
        <v>73317</v>
      </c>
      <c r="G110" s="578">
        <f t="shared" si="113"/>
        <v>74060</v>
      </c>
      <c r="H110" s="578">
        <f t="shared" si="113"/>
        <v>73405</v>
      </c>
      <c r="I110" s="578">
        <f t="shared" si="113"/>
        <v>72560</v>
      </c>
      <c r="J110" s="578">
        <f t="shared" si="113"/>
        <v>68691</v>
      </c>
      <c r="K110" s="578">
        <f t="shared" si="113"/>
        <v>70031</v>
      </c>
      <c r="L110" s="578">
        <f t="shared" si="113"/>
        <v>69954</v>
      </c>
      <c r="M110" s="578">
        <f>SUM(M88:M92,M95,M99,M102:M107)</f>
        <v>70184</v>
      </c>
      <c r="N110" s="578">
        <f>SUM(N88:N92,N95,N99,N102:N107)</f>
        <v>70726</v>
      </c>
      <c r="O110" s="578">
        <f>SUM(O88:O92,O95,O99,O102:O107)</f>
        <v>72046</v>
      </c>
      <c r="P110" s="574"/>
      <c r="Q110" s="574"/>
    </row>
    <row r="111" spans="1:17">
      <c r="A111" s="577" t="s">
        <v>2587</v>
      </c>
      <c r="D111" s="578">
        <f t="shared" ref="D111:L111" si="114">SUM(D100,D93,D96:D98,D108)</f>
        <v>29532</v>
      </c>
      <c r="E111" s="578">
        <f t="shared" si="114"/>
        <v>29697</v>
      </c>
      <c r="F111" s="578">
        <f t="shared" si="114"/>
        <v>29989</v>
      </c>
      <c r="G111" s="578">
        <f t="shared" si="114"/>
        <v>30092</v>
      </c>
      <c r="H111" s="578">
        <f t="shared" si="114"/>
        <v>29886</v>
      </c>
      <c r="I111" s="578">
        <f t="shared" si="114"/>
        <v>29550</v>
      </c>
      <c r="J111" s="578">
        <f t="shared" si="114"/>
        <v>28040</v>
      </c>
      <c r="K111" s="578">
        <f t="shared" si="114"/>
        <v>28852</v>
      </c>
      <c r="L111" s="578">
        <f t="shared" si="114"/>
        <v>28586</v>
      </c>
      <c r="M111" s="578">
        <f>SUM(M100,M93,M96:M98,M108)</f>
        <v>28653</v>
      </c>
      <c r="N111" s="578">
        <f>SUM(N100,N93,N96:N98,N108)</f>
        <v>28805</v>
      </c>
      <c r="O111" s="578">
        <f>SUM(O100,O93,O96:O98,O108)</f>
        <v>29378</v>
      </c>
      <c r="P111" s="574"/>
      <c r="Q111" s="574"/>
    </row>
    <row r="112" spans="1:17">
      <c r="A112" s="574"/>
      <c r="B112" s="574"/>
      <c r="D112" s="574"/>
      <c r="E112" s="574"/>
      <c r="F112" s="574"/>
      <c r="G112" s="574"/>
      <c r="H112" s="574"/>
      <c r="I112" s="574"/>
      <c r="J112" s="574"/>
      <c r="K112" s="574"/>
      <c r="L112" s="574"/>
      <c r="M112" s="574"/>
      <c r="N112" s="574"/>
      <c r="O112" s="574"/>
      <c r="P112" s="574"/>
      <c r="Q112" s="574"/>
    </row>
    <row r="113" spans="1:17">
      <c r="A113" s="574" t="s">
        <v>12265</v>
      </c>
      <c r="B113" s="574"/>
      <c r="D113" s="574"/>
      <c r="E113" s="574"/>
      <c r="F113" s="574"/>
      <c r="G113" s="574"/>
      <c r="H113" s="574"/>
      <c r="I113" s="574"/>
      <c r="J113" s="574"/>
      <c r="K113" s="574"/>
      <c r="L113" s="574"/>
      <c r="M113" s="574"/>
      <c r="N113" s="574"/>
      <c r="O113" s="574"/>
      <c r="P113" s="574"/>
      <c r="Q113" s="574"/>
    </row>
    <row r="114" spans="1:17">
      <c r="A114" s="574"/>
      <c r="B114" s="574"/>
      <c r="D114" s="574"/>
      <c r="E114" s="574"/>
      <c r="F114" s="574"/>
      <c r="G114" s="574"/>
      <c r="H114" s="574"/>
      <c r="I114" s="574"/>
      <c r="J114" s="574"/>
      <c r="K114" s="574"/>
      <c r="L114" s="574"/>
      <c r="M114" s="574"/>
      <c r="N114" s="574"/>
      <c r="O114" s="574"/>
      <c r="P114" s="574"/>
      <c r="Q114" s="574"/>
    </row>
    <row r="115" spans="1:17">
      <c r="A115" s="574"/>
      <c r="B115" s="574"/>
      <c r="D115" s="574"/>
      <c r="E115" s="574"/>
      <c r="F115" s="574"/>
      <c r="G115" s="574"/>
      <c r="H115" s="574"/>
      <c r="I115" s="574"/>
      <c r="J115" s="574"/>
      <c r="K115" s="574"/>
      <c r="L115" s="574"/>
      <c r="M115" s="574"/>
      <c r="N115" s="574"/>
      <c r="O115" s="574"/>
      <c r="P115" s="574"/>
      <c r="Q115" s="574"/>
    </row>
    <row r="116" spans="1:17">
      <c r="A116" s="574"/>
      <c r="B116" s="574"/>
      <c r="E116" s="51" t="s">
        <v>1526</v>
      </c>
      <c r="F116" s="51"/>
      <c r="G116" s="51"/>
      <c r="H116" s="51"/>
      <c r="I116" s="51"/>
      <c r="J116" s="51"/>
      <c r="K116" s="51"/>
      <c r="L116" s="51"/>
      <c r="M116" s="51"/>
      <c r="N116" s="51"/>
      <c r="O116" s="51"/>
      <c r="P116" s="11"/>
      <c r="Q116" s="11" t="s">
        <v>9479</v>
      </c>
    </row>
    <row r="117" spans="1:17">
      <c r="A117" s="574"/>
      <c r="B117" s="574"/>
      <c r="D117" s="350">
        <v>2010</v>
      </c>
      <c r="E117" s="350">
        <v>2011</v>
      </c>
      <c r="F117" s="350">
        <v>2012</v>
      </c>
      <c r="G117" s="350">
        <v>2013</v>
      </c>
      <c r="H117" s="350">
        <v>2014</v>
      </c>
      <c r="I117" s="350">
        <v>2015</v>
      </c>
      <c r="J117" s="350">
        <v>2016</v>
      </c>
      <c r="K117" s="350">
        <v>2017</v>
      </c>
      <c r="L117" s="350">
        <v>2018</v>
      </c>
      <c r="M117" s="350">
        <v>2019</v>
      </c>
      <c r="N117" s="350">
        <v>2020</v>
      </c>
      <c r="O117" s="961" t="s">
        <v>14823</v>
      </c>
      <c r="P117" s="574"/>
      <c r="Q117" s="13" t="s">
        <v>1527</v>
      </c>
    </row>
    <row r="118" spans="1:17">
      <c r="A118" s="577" t="s">
        <v>1970</v>
      </c>
      <c r="D118" s="578">
        <f t="shared" ref="D118:I118" si="115">SUM(D119:D122)+SUM(D123:D139)</f>
        <v>111499</v>
      </c>
      <c r="E118" s="578">
        <f t="shared" si="115"/>
        <v>112268</v>
      </c>
      <c r="F118" s="578">
        <f t="shared" si="115"/>
        <v>112618</v>
      </c>
      <c r="G118" s="578">
        <f t="shared" si="115"/>
        <v>110956</v>
      </c>
      <c r="H118" s="578">
        <f t="shared" si="115"/>
        <v>109362</v>
      </c>
      <c r="I118" s="578">
        <f t="shared" si="115"/>
        <v>100358</v>
      </c>
      <c r="J118" s="578">
        <f t="shared" ref="J118:O118" si="116">SUM(J119:J122)+SUM(J123:J139)</f>
        <v>97419</v>
      </c>
      <c r="K118" s="578">
        <f t="shared" si="116"/>
        <v>99724</v>
      </c>
      <c r="L118" s="578">
        <f t="shared" si="116"/>
        <v>101148</v>
      </c>
      <c r="M118" s="578">
        <f t="shared" si="116"/>
        <v>99005</v>
      </c>
      <c r="N118" s="578">
        <f t="shared" si="116"/>
        <v>101426</v>
      </c>
      <c r="O118" s="578">
        <f t="shared" si="116"/>
        <v>100925</v>
      </c>
      <c r="P118" s="574"/>
      <c r="Q118" s="574"/>
    </row>
    <row r="119" spans="1:17">
      <c r="A119" s="577" t="s">
        <v>5387</v>
      </c>
      <c r="B119" s="577" t="s">
        <v>728</v>
      </c>
      <c r="C119" s="55" t="s">
        <v>6500</v>
      </c>
      <c r="D119" s="578">
        <v>5393</v>
      </c>
      <c r="E119" s="578">
        <v>5356</v>
      </c>
      <c r="F119" s="578">
        <v>5337</v>
      </c>
      <c r="G119" s="56">
        <v>5297</v>
      </c>
      <c r="H119" s="56">
        <v>5303</v>
      </c>
      <c r="I119" s="56">
        <v>5136</v>
      </c>
      <c r="J119" s="56">
        <v>4978</v>
      </c>
      <c r="K119" s="56">
        <v>5031</v>
      </c>
      <c r="L119" s="56">
        <v>5096</v>
      </c>
      <c r="M119" s="56">
        <v>5032</v>
      </c>
      <c r="N119" s="56">
        <v>5068</v>
      </c>
      <c r="O119" s="56">
        <v>5036</v>
      </c>
      <c r="P119" s="574"/>
      <c r="Q119" s="577" t="s">
        <v>2028</v>
      </c>
    </row>
    <row r="120" spans="1:17">
      <c r="A120" s="577" t="s">
        <v>5389</v>
      </c>
      <c r="B120" s="577" t="s">
        <v>729</v>
      </c>
      <c r="C120" s="55" t="s">
        <v>6501</v>
      </c>
      <c r="D120" s="578">
        <v>5187</v>
      </c>
      <c r="E120" s="578">
        <v>5199</v>
      </c>
      <c r="F120" s="578">
        <v>5229</v>
      </c>
      <c r="G120" s="56">
        <v>5179</v>
      </c>
      <c r="H120" s="56">
        <v>5095</v>
      </c>
      <c r="I120" s="56">
        <v>4820</v>
      </c>
      <c r="J120" s="56">
        <v>4731</v>
      </c>
      <c r="K120" s="56">
        <v>4750</v>
      </c>
      <c r="L120" s="56">
        <v>4853</v>
      </c>
      <c r="M120" s="56">
        <v>4796</v>
      </c>
      <c r="N120" s="56">
        <v>4922</v>
      </c>
      <c r="O120" s="56">
        <v>4877</v>
      </c>
      <c r="P120" s="574"/>
      <c r="Q120" s="577" t="s">
        <v>2028</v>
      </c>
    </row>
    <row r="121" spans="1:17">
      <c r="A121" s="577" t="s">
        <v>5391</v>
      </c>
      <c r="B121" s="577" t="s">
        <v>730</v>
      </c>
      <c r="C121" s="55" t="s">
        <v>6502</v>
      </c>
      <c r="D121" s="578">
        <v>5334</v>
      </c>
      <c r="E121" s="578">
        <v>5402</v>
      </c>
      <c r="F121" s="578">
        <v>5362</v>
      </c>
      <c r="G121" s="56">
        <v>5181</v>
      </c>
      <c r="H121" s="56">
        <v>4983</v>
      </c>
      <c r="I121" s="56">
        <v>4070</v>
      </c>
      <c r="J121" s="56">
        <v>3898</v>
      </c>
      <c r="K121" s="56">
        <v>4167</v>
      </c>
      <c r="L121" s="56">
        <v>4388</v>
      </c>
      <c r="M121" s="56">
        <v>4125</v>
      </c>
      <c r="N121" s="56">
        <v>4278</v>
      </c>
      <c r="O121" s="56">
        <v>4324</v>
      </c>
      <c r="P121" s="574"/>
      <c r="Q121" s="577" t="s">
        <v>2031</v>
      </c>
    </row>
    <row r="122" spans="1:17">
      <c r="A122" s="577" t="s">
        <v>5393</v>
      </c>
      <c r="B122" s="577" t="s">
        <v>731</v>
      </c>
      <c r="C122" s="55" t="s">
        <v>6503</v>
      </c>
      <c r="D122" s="587">
        <v>5151</v>
      </c>
      <c r="E122" s="587">
        <v>5190</v>
      </c>
      <c r="F122" s="587">
        <v>5262</v>
      </c>
      <c r="G122" s="56">
        <v>4947</v>
      </c>
      <c r="H122" s="56">
        <v>4720</v>
      </c>
      <c r="I122" s="56">
        <v>4369</v>
      </c>
      <c r="J122" s="56">
        <v>4174</v>
      </c>
      <c r="K122" s="56">
        <v>4207</v>
      </c>
      <c r="L122" s="56">
        <v>4244</v>
      </c>
      <c r="M122" s="56">
        <v>4143</v>
      </c>
      <c r="N122" s="56">
        <v>4325</v>
      </c>
      <c r="O122" s="56">
        <v>4332</v>
      </c>
      <c r="P122" s="574"/>
      <c r="Q122" s="577" t="s">
        <v>2031</v>
      </c>
    </row>
    <row r="123" spans="1:17">
      <c r="A123" s="577" t="s">
        <v>5394</v>
      </c>
      <c r="B123" s="577" t="s">
        <v>732</v>
      </c>
      <c r="C123" s="55" t="s">
        <v>6504</v>
      </c>
      <c r="D123" s="578">
        <v>5583</v>
      </c>
      <c r="E123" s="578">
        <v>5688</v>
      </c>
      <c r="F123" s="578">
        <v>5826</v>
      </c>
      <c r="G123" s="56">
        <v>5596</v>
      </c>
      <c r="H123" s="56">
        <v>5445</v>
      </c>
      <c r="I123" s="56">
        <v>4543</v>
      </c>
      <c r="J123" s="56">
        <v>4442</v>
      </c>
      <c r="K123" s="56">
        <v>4627</v>
      </c>
      <c r="L123" s="56">
        <v>4700</v>
      </c>
      <c r="M123" s="56">
        <v>4397</v>
      </c>
      <c r="N123" s="56">
        <v>4549</v>
      </c>
      <c r="O123" s="56">
        <v>4538</v>
      </c>
      <c r="P123" s="574"/>
      <c r="Q123" s="577" t="s">
        <v>2028</v>
      </c>
    </row>
    <row r="124" spans="1:17">
      <c r="A124" s="577" t="s">
        <v>5416</v>
      </c>
      <c r="B124" s="577" t="s">
        <v>6190</v>
      </c>
      <c r="C124" s="55" t="s">
        <v>6505</v>
      </c>
      <c r="D124" s="578">
        <v>5201</v>
      </c>
      <c r="E124" s="578">
        <v>5281</v>
      </c>
      <c r="F124" s="578">
        <v>5354</v>
      </c>
      <c r="G124" s="56">
        <v>5310</v>
      </c>
      <c r="H124" s="56">
        <v>5270</v>
      </c>
      <c r="I124" s="56">
        <v>4873</v>
      </c>
      <c r="J124" s="56">
        <v>4706</v>
      </c>
      <c r="K124" s="56">
        <v>4791</v>
      </c>
      <c r="L124" s="56">
        <v>4804</v>
      </c>
      <c r="M124" s="56">
        <v>4686</v>
      </c>
      <c r="N124" s="56">
        <v>4781</v>
      </c>
      <c r="O124" s="56">
        <v>4754</v>
      </c>
      <c r="P124" s="574"/>
      <c r="Q124" s="577" t="s">
        <v>2031</v>
      </c>
    </row>
    <row r="125" spans="1:17">
      <c r="A125" s="577" t="s">
        <v>5418</v>
      </c>
      <c r="B125" s="577" t="s">
        <v>733</v>
      </c>
      <c r="C125" s="55" t="s">
        <v>6506</v>
      </c>
      <c r="D125" s="578">
        <v>5516</v>
      </c>
      <c r="E125" s="578">
        <v>5457</v>
      </c>
      <c r="F125" s="578">
        <v>5448</v>
      </c>
      <c r="G125" s="56">
        <v>5346</v>
      </c>
      <c r="H125" s="56">
        <v>5270</v>
      </c>
      <c r="I125" s="56">
        <v>5074</v>
      </c>
      <c r="J125" s="56">
        <v>4896</v>
      </c>
      <c r="K125" s="56">
        <v>4964</v>
      </c>
      <c r="L125" s="56">
        <v>4970</v>
      </c>
      <c r="M125" s="56">
        <v>4885</v>
      </c>
      <c r="N125" s="56">
        <v>4969</v>
      </c>
      <c r="O125" s="56">
        <v>4927</v>
      </c>
      <c r="P125" s="574"/>
      <c r="Q125" s="577" t="s">
        <v>2028</v>
      </c>
    </row>
    <row r="126" spans="1:17">
      <c r="A126" s="577" t="s">
        <v>5420</v>
      </c>
      <c r="B126" s="577" t="s">
        <v>734</v>
      </c>
      <c r="C126" s="55" t="s">
        <v>6507</v>
      </c>
      <c r="D126" s="578">
        <v>5413</v>
      </c>
      <c r="E126" s="578">
        <v>5516</v>
      </c>
      <c r="F126" s="578">
        <v>5485</v>
      </c>
      <c r="G126" s="56">
        <v>5414</v>
      </c>
      <c r="H126" s="56">
        <v>5373</v>
      </c>
      <c r="I126" s="56">
        <v>4968</v>
      </c>
      <c r="J126" s="56">
        <v>4743</v>
      </c>
      <c r="K126" s="56">
        <v>4826</v>
      </c>
      <c r="L126" s="56">
        <v>4836</v>
      </c>
      <c r="M126" s="56">
        <v>4809</v>
      </c>
      <c r="N126" s="56">
        <v>4929</v>
      </c>
      <c r="O126" s="56">
        <v>4941</v>
      </c>
      <c r="P126" s="574"/>
      <c r="Q126" s="577" t="s">
        <v>2031</v>
      </c>
    </row>
    <row r="127" spans="1:17">
      <c r="A127" s="577" t="s">
        <v>5422</v>
      </c>
      <c r="B127" s="577" t="s">
        <v>735</v>
      </c>
      <c r="C127" s="55" t="s">
        <v>6508</v>
      </c>
      <c r="D127" s="578">
        <v>5225</v>
      </c>
      <c r="E127" s="578">
        <v>5212</v>
      </c>
      <c r="F127" s="578">
        <v>5241</v>
      </c>
      <c r="G127" s="56">
        <v>5282</v>
      </c>
      <c r="H127" s="56">
        <v>5274</v>
      </c>
      <c r="I127" s="56">
        <v>5013</v>
      </c>
      <c r="J127" s="56">
        <v>4905</v>
      </c>
      <c r="K127" s="56">
        <v>4928</v>
      </c>
      <c r="L127" s="56">
        <v>4971</v>
      </c>
      <c r="M127" s="56">
        <v>4910</v>
      </c>
      <c r="N127" s="56">
        <v>4948</v>
      </c>
      <c r="O127" s="56">
        <v>4864</v>
      </c>
      <c r="P127" s="574"/>
      <c r="Q127" s="577" t="s">
        <v>2031</v>
      </c>
    </row>
    <row r="128" spans="1:17">
      <c r="A128" s="577" t="s">
        <v>5424</v>
      </c>
      <c r="B128" s="577" t="s">
        <v>736</v>
      </c>
      <c r="C128" s="55" t="s">
        <v>6509</v>
      </c>
      <c r="D128" s="578">
        <v>5220</v>
      </c>
      <c r="E128" s="578">
        <v>5277</v>
      </c>
      <c r="F128" s="578">
        <v>5296</v>
      </c>
      <c r="G128" s="56">
        <v>5315</v>
      </c>
      <c r="H128" s="56">
        <v>5319</v>
      </c>
      <c r="I128" s="56">
        <v>4941</v>
      </c>
      <c r="J128" s="56">
        <v>4866</v>
      </c>
      <c r="K128" s="56">
        <v>4987</v>
      </c>
      <c r="L128" s="56">
        <v>5064</v>
      </c>
      <c r="M128" s="56">
        <v>5039</v>
      </c>
      <c r="N128" s="56">
        <v>5102</v>
      </c>
      <c r="O128" s="56">
        <v>5060</v>
      </c>
      <c r="P128" s="574"/>
      <c r="Q128" s="577" t="s">
        <v>2028</v>
      </c>
    </row>
    <row r="129" spans="1:17">
      <c r="A129" s="577" t="s">
        <v>5426</v>
      </c>
      <c r="B129" s="577" t="s">
        <v>737</v>
      </c>
      <c r="C129" s="55" t="s">
        <v>6510</v>
      </c>
      <c r="D129" s="578">
        <v>5373</v>
      </c>
      <c r="E129" s="578">
        <v>5379</v>
      </c>
      <c r="F129" s="578">
        <v>5311</v>
      </c>
      <c r="G129" s="56">
        <v>5236</v>
      </c>
      <c r="H129" s="56">
        <v>5245</v>
      </c>
      <c r="I129" s="56">
        <v>4841</v>
      </c>
      <c r="J129" s="56">
        <v>4538</v>
      </c>
      <c r="K129" s="56">
        <v>4678</v>
      </c>
      <c r="L129" s="56">
        <v>4758</v>
      </c>
      <c r="M129" s="56">
        <v>4694</v>
      </c>
      <c r="N129" s="56">
        <v>4815</v>
      </c>
      <c r="O129" s="56">
        <v>4793</v>
      </c>
      <c r="P129" s="574"/>
      <c r="Q129" s="577" t="s">
        <v>2028</v>
      </c>
    </row>
    <row r="130" spans="1:17">
      <c r="A130" s="577" t="s">
        <v>5428</v>
      </c>
      <c r="B130" s="577" t="s">
        <v>738</v>
      </c>
      <c r="C130" s="55" t="s">
        <v>6511</v>
      </c>
      <c r="D130" s="578">
        <v>5396</v>
      </c>
      <c r="E130" s="578">
        <v>5468</v>
      </c>
      <c r="F130" s="578">
        <v>5505</v>
      </c>
      <c r="G130" s="56">
        <v>5422</v>
      </c>
      <c r="H130" s="56">
        <v>5347</v>
      </c>
      <c r="I130" s="56">
        <v>5006</v>
      </c>
      <c r="J130" s="56">
        <v>4965</v>
      </c>
      <c r="K130" s="56">
        <v>5036</v>
      </c>
      <c r="L130" s="56">
        <v>5071</v>
      </c>
      <c r="M130" s="56">
        <v>4965</v>
      </c>
      <c r="N130" s="56">
        <v>5127</v>
      </c>
      <c r="O130" s="56">
        <v>5133</v>
      </c>
      <c r="P130" s="574"/>
      <c r="Q130" s="577" t="s">
        <v>2031</v>
      </c>
    </row>
    <row r="131" spans="1:17">
      <c r="A131" s="577" t="s">
        <v>5429</v>
      </c>
      <c r="B131" s="577" t="s">
        <v>739</v>
      </c>
      <c r="C131" s="55" t="s">
        <v>6512</v>
      </c>
      <c r="D131" s="578">
        <v>5217</v>
      </c>
      <c r="E131" s="578">
        <v>5221</v>
      </c>
      <c r="F131" s="578">
        <v>5203</v>
      </c>
      <c r="G131" s="56">
        <v>5203</v>
      </c>
      <c r="H131" s="56">
        <v>5244</v>
      </c>
      <c r="I131" s="56">
        <v>5097</v>
      </c>
      <c r="J131" s="56">
        <v>4955</v>
      </c>
      <c r="K131" s="56">
        <v>5055</v>
      </c>
      <c r="L131" s="56">
        <v>5026</v>
      </c>
      <c r="M131" s="56">
        <v>4979</v>
      </c>
      <c r="N131" s="56">
        <v>4996</v>
      </c>
      <c r="O131" s="56">
        <v>4954</v>
      </c>
      <c r="P131" s="574"/>
      <c r="Q131" s="577" t="s">
        <v>2028</v>
      </c>
    </row>
    <row r="132" spans="1:17">
      <c r="A132" s="577" t="s">
        <v>5431</v>
      </c>
      <c r="B132" s="577" t="s">
        <v>1645</v>
      </c>
      <c r="C132" s="55" t="s">
        <v>6513</v>
      </c>
      <c r="D132" s="578">
        <v>5310</v>
      </c>
      <c r="E132" s="578">
        <v>5356</v>
      </c>
      <c r="F132" s="578">
        <v>5416</v>
      </c>
      <c r="G132" s="56">
        <v>5477</v>
      </c>
      <c r="H132" s="56">
        <v>5408</v>
      </c>
      <c r="I132" s="56">
        <v>5026</v>
      </c>
      <c r="J132" s="56">
        <v>4822</v>
      </c>
      <c r="K132" s="56">
        <v>4911</v>
      </c>
      <c r="L132" s="56">
        <v>4950</v>
      </c>
      <c r="M132" s="56">
        <v>4856</v>
      </c>
      <c r="N132" s="56">
        <v>4986</v>
      </c>
      <c r="O132" s="56">
        <v>4967</v>
      </c>
      <c r="P132" s="574"/>
      <c r="Q132" s="577" t="s">
        <v>2028</v>
      </c>
    </row>
    <row r="133" spans="1:17">
      <c r="A133" s="577" t="s">
        <v>5433</v>
      </c>
      <c r="B133" s="577" t="s">
        <v>740</v>
      </c>
      <c r="C133" s="55" t="s">
        <v>6514</v>
      </c>
      <c r="D133" s="578">
        <v>5168</v>
      </c>
      <c r="E133" s="578">
        <v>5189</v>
      </c>
      <c r="F133" s="578">
        <v>5242</v>
      </c>
      <c r="G133" s="58">
        <v>5134</v>
      </c>
      <c r="H133" s="58">
        <v>5082</v>
      </c>
      <c r="I133" s="58">
        <v>4757</v>
      </c>
      <c r="J133" s="58">
        <v>4603</v>
      </c>
      <c r="K133" s="58">
        <v>4681</v>
      </c>
      <c r="L133" s="58">
        <v>4740</v>
      </c>
      <c r="M133" s="58">
        <v>4690</v>
      </c>
      <c r="N133" s="58">
        <v>4818</v>
      </c>
      <c r="O133" s="58">
        <v>4793</v>
      </c>
      <c r="P133" s="574"/>
      <c r="Q133" s="577" t="s">
        <v>2031</v>
      </c>
    </row>
    <row r="134" spans="1:17">
      <c r="A134" s="577" t="s">
        <v>5435</v>
      </c>
      <c r="B134" s="577" t="s">
        <v>4058</v>
      </c>
      <c r="C134" s="55" t="s">
        <v>6515</v>
      </c>
      <c r="D134" s="578">
        <v>5443</v>
      </c>
      <c r="E134" s="578">
        <v>5483</v>
      </c>
      <c r="F134" s="578">
        <v>5494</v>
      </c>
      <c r="G134" s="58">
        <v>5444</v>
      </c>
      <c r="H134" s="58">
        <v>5345</v>
      </c>
      <c r="I134" s="58">
        <v>5028</v>
      </c>
      <c r="J134" s="58">
        <v>4980</v>
      </c>
      <c r="K134" s="58">
        <v>5094</v>
      </c>
      <c r="L134" s="58">
        <v>5238</v>
      </c>
      <c r="M134" s="58">
        <v>5249</v>
      </c>
      <c r="N134" s="58">
        <v>5437</v>
      </c>
      <c r="O134" s="58">
        <v>5433</v>
      </c>
      <c r="P134" s="574"/>
      <c r="Q134" s="577" t="s">
        <v>2031</v>
      </c>
    </row>
    <row r="135" spans="1:17">
      <c r="A135" s="577" t="s">
        <v>5436</v>
      </c>
      <c r="B135" s="577" t="s">
        <v>741</v>
      </c>
      <c r="C135" s="55" t="s">
        <v>6516</v>
      </c>
      <c r="D135" s="578">
        <v>5191</v>
      </c>
      <c r="E135" s="578">
        <v>5352</v>
      </c>
      <c r="F135" s="578">
        <v>5321</v>
      </c>
      <c r="G135" s="58">
        <v>5162</v>
      </c>
      <c r="H135" s="58">
        <v>5095</v>
      </c>
      <c r="I135" s="58">
        <v>4318</v>
      </c>
      <c r="J135" s="58">
        <v>4144</v>
      </c>
      <c r="K135" s="58">
        <v>4321</v>
      </c>
      <c r="L135" s="58">
        <v>4528</v>
      </c>
      <c r="M135" s="58">
        <v>4250</v>
      </c>
      <c r="N135" s="58">
        <v>4412</v>
      </c>
      <c r="O135" s="58">
        <v>4455</v>
      </c>
      <c r="P135" s="574"/>
      <c r="Q135" s="577" t="s">
        <v>2031</v>
      </c>
    </row>
    <row r="136" spans="1:17">
      <c r="A136" s="577" t="s">
        <v>5437</v>
      </c>
      <c r="B136" s="577" t="s">
        <v>742</v>
      </c>
      <c r="C136" s="55" t="s">
        <v>6517</v>
      </c>
      <c r="D136" s="578">
        <v>5340</v>
      </c>
      <c r="E136" s="578">
        <v>5322</v>
      </c>
      <c r="F136" s="578">
        <v>5281</v>
      </c>
      <c r="G136" s="58">
        <v>5195</v>
      </c>
      <c r="H136" s="58">
        <v>5155</v>
      </c>
      <c r="I136" s="58">
        <v>4757</v>
      </c>
      <c r="J136" s="58">
        <v>4546</v>
      </c>
      <c r="K136" s="58">
        <v>4652</v>
      </c>
      <c r="L136" s="58">
        <v>4753</v>
      </c>
      <c r="M136" s="58">
        <v>4640</v>
      </c>
      <c r="N136" s="58">
        <v>4748</v>
      </c>
      <c r="O136" s="58">
        <v>4698</v>
      </c>
      <c r="P136" s="574"/>
      <c r="Q136" s="577" t="s">
        <v>2031</v>
      </c>
    </row>
    <row r="137" spans="1:17">
      <c r="A137" s="577" t="s">
        <v>5439</v>
      </c>
      <c r="B137" s="577" t="s">
        <v>4538</v>
      </c>
      <c r="C137" s="55" t="s">
        <v>6518</v>
      </c>
      <c r="D137" s="578">
        <v>5242</v>
      </c>
      <c r="E137" s="578">
        <v>5265</v>
      </c>
      <c r="F137" s="578">
        <v>5281</v>
      </c>
      <c r="G137" s="58">
        <v>5229</v>
      </c>
      <c r="H137" s="58">
        <v>5152</v>
      </c>
      <c r="I137" s="58">
        <v>4693</v>
      </c>
      <c r="J137" s="58">
        <v>4533</v>
      </c>
      <c r="K137" s="58">
        <v>4571</v>
      </c>
      <c r="L137" s="58">
        <v>4512</v>
      </c>
      <c r="M137" s="58">
        <v>4368</v>
      </c>
      <c r="N137" s="58">
        <v>4567</v>
      </c>
      <c r="O137" s="58">
        <v>4536</v>
      </c>
      <c r="P137" s="574"/>
      <c r="Q137" s="577" t="s">
        <v>2031</v>
      </c>
    </row>
    <row r="138" spans="1:17">
      <c r="A138" s="577" t="s">
        <v>5441</v>
      </c>
      <c r="B138" s="577" t="s">
        <v>666</v>
      </c>
      <c r="C138" s="55" t="s">
        <v>6519</v>
      </c>
      <c r="D138" s="578">
        <v>5239</v>
      </c>
      <c r="E138" s="578">
        <v>5254</v>
      </c>
      <c r="F138" s="578">
        <v>5263</v>
      </c>
      <c r="G138" s="56">
        <v>5219</v>
      </c>
      <c r="H138" s="56">
        <v>5084</v>
      </c>
      <c r="I138" s="56">
        <v>4576</v>
      </c>
      <c r="J138" s="56">
        <v>4584</v>
      </c>
      <c r="K138" s="56">
        <v>4789</v>
      </c>
      <c r="L138" s="56">
        <v>4881</v>
      </c>
      <c r="M138" s="56">
        <v>4817</v>
      </c>
      <c r="N138" s="56">
        <v>4941</v>
      </c>
      <c r="O138" s="56">
        <v>4886</v>
      </c>
      <c r="P138" s="574"/>
      <c r="Q138" s="577" t="s">
        <v>2028</v>
      </c>
    </row>
    <row r="139" spans="1:17">
      <c r="A139" s="577" t="s">
        <v>5886</v>
      </c>
      <c r="B139" s="577" t="s">
        <v>667</v>
      </c>
      <c r="C139" s="55" t="s">
        <v>6520</v>
      </c>
      <c r="D139" s="584">
        <v>5357</v>
      </c>
      <c r="E139" s="584">
        <v>5401</v>
      </c>
      <c r="F139" s="584">
        <v>5461</v>
      </c>
      <c r="G139" s="58">
        <v>5368</v>
      </c>
      <c r="H139" s="58">
        <v>5153</v>
      </c>
      <c r="I139" s="58">
        <v>4452</v>
      </c>
      <c r="J139" s="58">
        <v>4410</v>
      </c>
      <c r="K139" s="58">
        <v>4658</v>
      </c>
      <c r="L139" s="58">
        <v>4765</v>
      </c>
      <c r="M139" s="58">
        <v>4675</v>
      </c>
      <c r="N139" s="58">
        <v>4708</v>
      </c>
      <c r="O139" s="58">
        <v>4624</v>
      </c>
      <c r="P139" s="574"/>
      <c r="Q139" s="577" t="s">
        <v>2031</v>
      </c>
    </row>
    <row r="140" spans="1:17">
      <c r="A140" s="574"/>
      <c r="B140" s="574"/>
      <c r="D140" s="584"/>
      <c r="E140" s="584"/>
      <c r="F140" s="584"/>
      <c r="G140" s="584"/>
      <c r="H140" s="584"/>
      <c r="I140" s="584"/>
      <c r="J140" s="584"/>
      <c r="K140" s="584"/>
      <c r="L140" s="584"/>
      <c r="M140" s="584"/>
      <c r="N140" s="584"/>
      <c r="O140" s="584"/>
      <c r="P140" s="574"/>
      <c r="Q140" s="574"/>
    </row>
    <row r="141" spans="1:17">
      <c r="A141" s="577" t="s">
        <v>668</v>
      </c>
      <c r="D141" s="578">
        <f t="shared" ref="D141:I141" si="117">D119+D120+D123+D125+D128+D129+D131+D132+D138</f>
        <v>48038</v>
      </c>
      <c r="E141" s="578">
        <f t="shared" si="117"/>
        <v>48187</v>
      </c>
      <c r="F141" s="578">
        <f t="shared" si="117"/>
        <v>48329</v>
      </c>
      <c r="G141" s="578">
        <f t="shared" si="117"/>
        <v>47868</v>
      </c>
      <c r="H141" s="578">
        <f t="shared" si="117"/>
        <v>47413</v>
      </c>
      <c r="I141" s="578">
        <f t="shared" si="117"/>
        <v>44054</v>
      </c>
      <c r="J141" s="578">
        <f t="shared" ref="J141:O141" si="118">J119+J120+J123+J125+J128+J129+J131+J132+J138</f>
        <v>42812</v>
      </c>
      <c r="K141" s="578">
        <f t="shared" si="118"/>
        <v>43792</v>
      </c>
      <c r="L141" s="578">
        <f t="shared" si="118"/>
        <v>44298</v>
      </c>
      <c r="M141" s="578">
        <f t="shared" si="118"/>
        <v>43495</v>
      </c>
      <c r="N141" s="578">
        <f t="shared" si="118"/>
        <v>44348</v>
      </c>
      <c r="O141" s="578">
        <f t="shared" si="118"/>
        <v>44038</v>
      </c>
      <c r="P141" s="574"/>
      <c r="Q141" s="574"/>
    </row>
    <row r="142" spans="1:17">
      <c r="A142" s="577" t="s">
        <v>2031</v>
      </c>
      <c r="D142" s="578">
        <f t="shared" ref="D142:I142" si="119">D121+D122+D124+D126+D127+D130+SUM(D133:D137)+D139</f>
        <v>63461</v>
      </c>
      <c r="E142" s="578">
        <f t="shared" si="119"/>
        <v>64081</v>
      </c>
      <c r="F142" s="578">
        <f t="shared" si="119"/>
        <v>64289</v>
      </c>
      <c r="G142" s="578">
        <f t="shared" si="119"/>
        <v>63088</v>
      </c>
      <c r="H142" s="578">
        <f t="shared" si="119"/>
        <v>61949</v>
      </c>
      <c r="I142" s="578">
        <f t="shared" si="119"/>
        <v>56304</v>
      </c>
      <c r="J142" s="578">
        <f t="shared" ref="J142:O142" si="120">J121+J122+J124+J126+J127+J130+SUM(J133:J137)+J139</f>
        <v>54607</v>
      </c>
      <c r="K142" s="578">
        <f t="shared" si="120"/>
        <v>55932</v>
      </c>
      <c r="L142" s="578">
        <f t="shared" si="120"/>
        <v>56850</v>
      </c>
      <c r="M142" s="578">
        <f t="shared" si="120"/>
        <v>55510</v>
      </c>
      <c r="N142" s="578">
        <f t="shared" si="120"/>
        <v>57078</v>
      </c>
      <c r="O142" s="578">
        <f t="shared" si="120"/>
        <v>56887</v>
      </c>
      <c r="P142" s="574"/>
      <c r="Q142" s="574"/>
    </row>
    <row r="143" spans="1:17">
      <c r="A143" s="574"/>
      <c r="B143" s="574"/>
      <c r="D143" s="574"/>
      <c r="E143" s="574"/>
      <c r="F143" s="574"/>
      <c r="G143" s="574"/>
      <c r="H143" s="574"/>
      <c r="I143" s="574"/>
      <c r="J143" s="574"/>
      <c r="K143" s="574"/>
      <c r="L143" s="574"/>
      <c r="M143" s="574"/>
      <c r="N143" s="574"/>
      <c r="O143" s="574"/>
      <c r="P143" s="574"/>
      <c r="Q143" s="574"/>
    </row>
    <row r="144" spans="1:17">
      <c r="A144" s="574" t="s">
        <v>669</v>
      </c>
      <c r="B144" s="574"/>
      <c r="D144" s="574"/>
      <c r="E144" s="574"/>
      <c r="F144" s="574"/>
      <c r="G144" s="574"/>
      <c r="H144" s="574"/>
      <c r="I144" s="574"/>
      <c r="J144" s="574"/>
      <c r="K144" s="574"/>
      <c r="L144" s="574"/>
      <c r="M144" s="574"/>
      <c r="N144" s="574"/>
      <c r="O144" s="574"/>
      <c r="P144" s="574"/>
      <c r="Q144" s="574"/>
    </row>
    <row r="145" spans="1:17">
      <c r="A145" s="574"/>
      <c r="B145" s="574"/>
      <c r="D145" s="574"/>
      <c r="E145" s="574"/>
      <c r="F145" s="574"/>
      <c r="G145" s="574"/>
      <c r="H145" s="574"/>
      <c r="I145" s="574"/>
      <c r="J145" s="574"/>
      <c r="K145" s="574"/>
      <c r="L145" s="574"/>
      <c r="M145" s="574"/>
      <c r="N145" s="574"/>
      <c r="O145" s="574"/>
      <c r="P145" s="574"/>
      <c r="Q145" s="574"/>
    </row>
    <row r="146" spans="1:17">
      <c r="A146" s="574"/>
      <c r="B146" s="574"/>
      <c r="D146" s="574"/>
      <c r="E146" s="574"/>
      <c r="F146" s="574"/>
      <c r="G146" s="574"/>
      <c r="H146" s="574"/>
      <c r="I146" s="574"/>
      <c r="J146" s="574"/>
      <c r="K146" s="574"/>
      <c r="L146" s="574"/>
      <c r="M146" s="574"/>
      <c r="N146" s="574"/>
      <c r="O146" s="574"/>
      <c r="P146" s="574"/>
      <c r="Q146" s="574"/>
    </row>
    <row r="147" spans="1:17">
      <c r="A147" s="574"/>
      <c r="B147" s="574"/>
      <c r="E147" s="51" t="s">
        <v>1526</v>
      </c>
      <c r="F147" s="51"/>
      <c r="G147" s="51"/>
      <c r="H147" s="51"/>
      <c r="I147" s="51"/>
      <c r="J147" s="51"/>
      <c r="K147" s="51"/>
      <c r="L147" s="51"/>
      <c r="M147" s="51"/>
      <c r="N147" s="51"/>
      <c r="O147" s="51"/>
      <c r="P147" s="11"/>
      <c r="Q147" s="11" t="s">
        <v>9479</v>
      </c>
    </row>
    <row r="148" spans="1:17">
      <c r="A148" s="574"/>
      <c r="B148" s="574"/>
      <c r="D148" s="350">
        <v>2010</v>
      </c>
      <c r="E148" s="350">
        <v>2011</v>
      </c>
      <c r="F148" s="350">
        <v>2012</v>
      </c>
      <c r="G148" s="350">
        <v>2013</v>
      </c>
      <c r="H148" s="350">
        <v>2014</v>
      </c>
      <c r="I148" s="350">
        <v>2015</v>
      </c>
      <c r="J148" s="350">
        <v>2016</v>
      </c>
      <c r="K148" s="350">
        <v>2017</v>
      </c>
      <c r="L148" s="350">
        <v>2018</v>
      </c>
      <c r="M148" s="350">
        <v>2019</v>
      </c>
      <c r="N148" s="350">
        <v>2020</v>
      </c>
      <c r="O148" s="961" t="s">
        <v>14823</v>
      </c>
      <c r="P148" s="574"/>
      <c r="Q148" s="13" t="s">
        <v>1527</v>
      </c>
    </row>
    <row r="149" spans="1:17">
      <c r="A149" s="577" t="s">
        <v>1330</v>
      </c>
      <c r="D149" s="578">
        <f t="shared" ref="D149:I149" si="121">SUM(D150:D164)</f>
        <v>66876</v>
      </c>
      <c r="E149" s="578">
        <f t="shared" si="121"/>
        <v>67003</v>
      </c>
      <c r="F149" s="578">
        <f t="shared" si="121"/>
        <v>66950</v>
      </c>
      <c r="G149" s="578">
        <f t="shared" si="121"/>
        <v>65897</v>
      </c>
      <c r="H149" s="578">
        <f t="shared" si="121"/>
        <v>66830</v>
      </c>
      <c r="I149" s="578">
        <f t="shared" si="121"/>
        <v>63833</v>
      </c>
      <c r="J149" s="578">
        <f t="shared" ref="J149:O149" si="122">SUM(J150:J164)</f>
        <v>63228</v>
      </c>
      <c r="K149" s="578">
        <f t="shared" si="122"/>
        <v>64147</v>
      </c>
      <c r="L149" s="578">
        <f t="shared" si="122"/>
        <v>64338</v>
      </c>
      <c r="M149" s="578">
        <f t="shared" si="122"/>
        <v>63400</v>
      </c>
      <c r="N149" s="578">
        <f t="shared" si="122"/>
        <v>63795</v>
      </c>
      <c r="O149" s="578">
        <f t="shared" si="122"/>
        <v>64982</v>
      </c>
      <c r="P149" s="574"/>
      <c r="Q149" s="574"/>
    </row>
    <row r="150" spans="1:17">
      <c r="A150" s="577" t="s">
        <v>5387</v>
      </c>
      <c r="B150" s="577" t="s">
        <v>1331</v>
      </c>
      <c r="C150" s="55" t="s">
        <v>8564</v>
      </c>
      <c r="D150" s="578">
        <v>4373</v>
      </c>
      <c r="E150" s="578">
        <v>4339</v>
      </c>
      <c r="F150" s="578">
        <v>4337</v>
      </c>
      <c r="G150" s="56">
        <v>4118</v>
      </c>
      <c r="H150" s="56">
        <v>4392</v>
      </c>
      <c r="I150" s="56">
        <v>3981</v>
      </c>
      <c r="J150" s="56">
        <v>3971</v>
      </c>
      <c r="K150" s="56">
        <v>3980</v>
      </c>
      <c r="L150" s="56">
        <v>4002</v>
      </c>
      <c r="M150" s="56">
        <v>3711</v>
      </c>
      <c r="N150" s="56">
        <v>3765</v>
      </c>
      <c r="O150" s="56">
        <v>3853</v>
      </c>
      <c r="P150" s="574"/>
      <c r="Q150" s="577" t="s">
        <v>2032</v>
      </c>
    </row>
    <row r="151" spans="1:17">
      <c r="A151" s="577" t="s">
        <v>5389</v>
      </c>
      <c r="B151" s="577" t="s">
        <v>1332</v>
      </c>
      <c r="C151" s="55" t="s">
        <v>8565</v>
      </c>
      <c r="D151" s="578">
        <v>4613</v>
      </c>
      <c r="E151" s="578">
        <v>4595</v>
      </c>
      <c r="F151" s="578">
        <v>4567</v>
      </c>
      <c r="G151" s="56">
        <v>4554</v>
      </c>
      <c r="H151" s="56">
        <v>4552</v>
      </c>
      <c r="I151" s="56">
        <v>4421</v>
      </c>
      <c r="J151" s="56">
        <v>4337</v>
      </c>
      <c r="K151" s="56">
        <v>4421</v>
      </c>
      <c r="L151" s="56">
        <v>4438</v>
      </c>
      <c r="M151" s="56">
        <v>4425</v>
      </c>
      <c r="N151" s="56">
        <v>4395</v>
      </c>
      <c r="O151" s="56">
        <v>4437</v>
      </c>
      <c r="P151" s="574"/>
      <c r="Q151" s="577" t="s">
        <v>2032</v>
      </c>
    </row>
    <row r="152" spans="1:17">
      <c r="A152" s="577" t="s">
        <v>5391</v>
      </c>
      <c r="B152" s="577" t="s">
        <v>1333</v>
      </c>
      <c r="C152" s="55" t="s">
        <v>8566</v>
      </c>
      <c r="D152" s="578">
        <v>4994</v>
      </c>
      <c r="E152" s="578">
        <v>4986</v>
      </c>
      <c r="F152" s="578">
        <v>4980</v>
      </c>
      <c r="G152" s="56">
        <v>4893</v>
      </c>
      <c r="H152" s="56">
        <v>4908</v>
      </c>
      <c r="I152" s="56">
        <v>4733</v>
      </c>
      <c r="J152" s="56">
        <v>4669</v>
      </c>
      <c r="K152" s="56">
        <v>4697</v>
      </c>
      <c r="L152" s="56">
        <v>4702</v>
      </c>
      <c r="M152" s="56">
        <v>4619</v>
      </c>
      <c r="N152" s="56">
        <v>4697</v>
      </c>
      <c r="O152" s="56">
        <v>4757</v>
      </c>
      <c r="P152" s="574"/>
      <c r="Q152" s="577" t="s">
        <v>2032</v>
      </c>
    </row>
    <row r="153" spans="1:17">
      <c r="A153" s="577" t="s">
        <v>5393</v>
      </c>
      <c r="B153" s="577" t="s">
        <v>1334</v>
      </c>
      <c r="C153" s="55" t="s">
        <v>8567</v>
      </c>
      <c r="D153" s="578">
        <v>4406</v>
      </c>
      <c r="E153" s="578">
        <v>4383</v>
      </c>
      <c r="F153" s="578">
        <v>4332</v>
      </c>
      <c r="G153" s="56">
        <v>4306</v>
      </c>
      <c r="H153" s="56">
        <v>4294</v>
      </c>
      <c r="I153" s="56">
        <v>4254</v>
      </c>
      <c r="J153" s="56">
        <v>4209</v>
      </c>
      <c r="K153" s="56">
        <v>4291</v>
      </c>
      <c r="L153" s="56">
        <v>4300</v>
      </c>
      <c r="M153" s="56">
        <v>4281</v>
      </c>
      <c r="N153" s="56">
        <v>4258</v>
      </c>
      <c r="O153" s="56">
        <v>4342</v>
      </c>
      <c r="P153" s="574"/>
      <c r="Q153" s="577" t="s">
        <v>2032</v>
      </c>
    </row>
    <row r="154" spans="1:17">
      <c r="A154" s="577" t="s">
        <v>5394</v>
      </c>
      <c r="B154" s="577" t="s">
        <v>747</v>
      </c>
      <c r="C154" s="55" t="s">
        <v>8568</v>
      </c>
      <c r="D154" s="578">
        <v>4127</v>
      </c>
      <c r="E154" s="578">
        <v>4126</v>
      </c>
      <c r="F154" s="578">
        <v>4079</v>
      </c>
      <c r="G154" s="56">
        <v>4037</v>
      </c>
      <c r="H154" s="56">
        <v>4058</v>
      </c>
      <c r="I154" s="56">
        <v>3955</v>
      </c>
      <c r="J154" s="56">
        <v>3892</v>
      </c>
      <c r="K154" s="56">
        <v>3907</v>
      </c>
      <c r="L154" s="56">
        <v>3905</v>
      </c>
      <c r="M154" s="56">
        <v>3892</v>
      </c>
      <c r="N154" s="56">
        <v>3864</v>
      </c>
      <c r="O154" s="56">
        <v>3926</v>
      </c>
      <c r="P154" s="574"/>
      <c r="Q154" s="577" t="s">
        <v>2032</v>
      </c>
    </row>
    <row r="155" spans="1:17">
      <c r="A155" s="577" t="s">
        <v>5416</v>
      </c>
      <c r="B155" s="577" t="s">
        <v>748</v>
      </c>
      <c r="C155" s="55" t="s">
        <v>8569</v>
      </c>
      <c r="D155" s="578">
        <v>3760</v>
      </c>
      <c r="E155" s="578">
        <v>3801</v>
      </c>
      <c r="F155" s="578">
        <v>3803</v>
      </c>
      <c r="G155" s="56">
        <v>3791</v>
      </c>
      <c r="H155" s="56">
        <v>3962</v>
      </c>
      <c r="I155" s="56">
        <v>3720</v>
      </c>
      <c r="J155" s="56">
        <v>3685</v>
      </c>
      <c r="K155" s="56">
        <v>3722</v>
      </c>
      <c r="L155" s="56">
        <v>3872</v>
      </c>
      <c r="M155" s="56">
        <v>3927</v>
      </c>
      <c r="N155" s="56">
        <v>4033</v>
      </c>
      <c r="O155" s="56">
        <v>4200</v>
      </c>
      <c r="P155" s="574"/>
      <c r="Q155" s="577" t="s">
        <v>2032</v>
      </c>
    </row>
    <row r="156" spans="1:17">
      <c r="A156" s="577" t="s">
        <v>5418</v>
      </c>
      <c r="B156" s="577" t="s">
        <v>749</v>
      </c>
      <c r="C156" s="55" t="s">
        <v>8570</v>
      </c>
      <c r="D156" s="578">
        <v>4432</v>
      </c>
      <c r="E156" s="578">
        <v>4381</v>
      </c>
      <c r="F156" s="578">
        <v>4412</v>
      </c>
      <c r="G156" s="56">
        <v>4313</v>
      </c>
      <c r="H156" s="56">
        <v>4419</v>
      </c>
      <c r="I156" s="56">
        <v>4187</v>
      </c>
      <c r="J156" s="56">
        <v>4150</v>
      </c>
      <c r="K156" s="56">
        <v>4214</v>
      </c>
      <c r="L156" s="56">
        <v>4213</v>
      </c>
      <c r="M156" s="56">
        <v>4010</v>
      </c>
      <c r="N156" s="56">
        <v>4028</v>
      </c>
      <c r="O156" s="56">
        <v>4130</v>
      </c>
      <c r="P156" s="574"/>
      <c r="Q156" s="577" t="s">
        <v>2032</v>
      </c>
    </row>
    <row r="157" spans="1:17">
      <c r="A157" s="577" t="s">
        <v>5420</v>
      </c>
      <c r="B157" s="577" t="s">
        <v>750</v>
      </c>
      <c r="C157" s="55" t="s">
        <v>8571</v>
      </c>
      <c r="D157" s="578">
        <v>4727</v>
      </c>
      <c r="E157" s="578">
        <v>4751</v>
      </c>
      <c r="F157" s="578">
        <v>4775</v>
      </c>
      <c r="G157" s="56">
        <v>4621</v>
      </c>
      <c r="H157" s="56">
        <v>4723</v>
      </c>
      <c r="I157" s="56">
        <v>4478</v>
      </c>
      <c r="J157" s="56">
        <v>4417</v>
      </c>
      <c r="K157" s="56">
        <v>4412</v>
      </c>
      <c r="L157" s="56">
        <v>4393</v>
      </c>
      <c r="M157" s="56">
        <v>4338</v>
      </c>
      <c r="N157" s="56">
        <v>4417</v>
      </c>
      <c r="O157" s="56">
        <v>4500</v>
      </c>
      <c r="P157" s="574"/>
      <c r="Q157" s="577" t="s">
        <v>2032</v>
      </c>
    </row>
    <row r="158" spans="1:17">
      <c r="A158" s="577" t="s">
        <v>5422</v>
      </c>
      <c r="B158" s="577" t="s">
        <v>751</v>
      </c>
      <c r="C158" s="55" t="s">
        <v>8572</v>
      </c>
      <c r="D158" s="578">
        <v>4728</v>
      </c>
      <c r="E158" s="578">
        <v>4727</v>
      </c>
      <c r="F158" s="578">
        <v>4709</v>
      </c>
      <c r="G158" s="56">
        <v>4682</v>
      </c>
      <c r="H158" s="56">
        <v>4711</v>
      </c>
      <c r="I158" s="56">
        <v>4544</v>
      </c>
      <c r="J158" s="56">
        <v>4489</v>
      </c>
      <c r="K158" s="56">
        <v>4612</v>
      </c>
      <c r="L158" s="56">
        <v>4578</v>
      </c>
      <c r="M158" s="56">
        <v>4530</v>
      </c>
      <c r="N158" s="56">
        <v>4548</v>
      </c>
      <c r="O158" s="56">
        <v>4624</v>
      </c>
      <c r="P158" s="574"/>
      <c r="Q158" s="577" t="s">
        <v>2032</v>
      </c>
    </row>
    <row r="159" spans="1:17">
      <c r="A159" s="577" t="s">
        <v>5424</v>
      </c>
      <c r="B159" s="577" t="s">
        <v>752</v>
      </c>
      <c r="C159" s="55" t="s">
        <v>8573</v>
      </c>
      <c r="D159" s="578">
        <v>4537</v>
      </c>
      <c r="E159" s="578">
        <v>4510</v>
      </c>
      <c r="F159" s="578">
        <v>4472</v>
      </c>
      <c r="G159" s="56">
        <v>4446</v>
      </c>
      <c r="H159" s="56">
        <v>4536</v>
      </c>
      <c r="I159" s="56">
        <v>4435</v>
      </c>
      <c r="J159" s="56">
        <v>4416</v>
      </c>
      <c r="K159" s="56">
        <v>4491</v>
      </c>
      <c r="L159" s="56">
        <v>4528</v>
      </c>
      <c r="M159" s="56">
        <v>4459</v>
      </c>
      <c r="N159" s="56">
        <v>4431</v>
      </c>
      <c r="O159" s="56">
        <v>4511</v>
      </c>
      <c r="P159" s="574"/>
      <c r="Q159" s="577" t="s">
        <v>2032</v>
      </c>
    </row>
    <row r="160" spans="1:17">
      <c r="A160" s="577" t="s">
        <v>5426</v>
      </c>
      <c r="B160" s="577" t="s">
        <v>753</v>
      </c>
      <c r="C160" s="55" t="s">
        <v>8574</v>
      </c>
      <c r="D160" s="578">
        <v>4173</v>
      </c>
      <c r="E160" s="578">
        <v>4233</v>
      </c>
      <c r="F160" s="578">
        <v>4214</v>
      </c>
      <c r="G160" s="56">
        <v>4237</v>
      </c>
      <c r="H160" s="56">
        <v>4260</v>
      </c>
      <c r="I160" s="56">
        <v>3946</v>
      </c>
      <c r="J160" s="56">
        <v>3887</v>
      </c>
      <c r="K160" s="56">
        <v>3969</v>
      </c>
      <c r="L160" s="56">
        <v>3951</v>
      </c>
      <c r="M160" s="56">
        <v>3806</v>
      </c>
      <c r="N160" s="56">
        <v>3817</v>
      </c>
      <c r="O160" s="56">
        <v>3881</v>
      </c>
      <c r="P160" s="574"/>
      <c r="Q160" s="577" t="s">
        <v>2032</v>
      </c>
    </row>
    <row r="161" spans="1:17">
      <c r="A161" s="577" t="s">
        <v>5428</v>
      </c>
      <c r="B161" s="577" t="s">
        <v>754</v>
      </c>
      <c r="C161" s="55" t="s">
        <v>8575</v>
      </c>
      <c r="D161" s="578">
        <v>4819</v>
      </c>
      <c r="E161" s="578">
        <v>4836</v>
      </c>
      <c r="F161" s="578">
        <v>4872</v>
      </c>
      <c r="G161" s="56">
        <v>4750</v>
      </c>
      <c r="H161" s="56">
        <v>4764</v>
      </c>
      <c r="I161" s="56">
        <v>4531</v>
      </c>
      <c r="J161" s="56">
        <v>4456</v>
      </c>
      <c r="K161" s="56">
        <v>4571</v>
      </c>
      <c r="L161" s="56">
        <v>4541</v>
      </c>
      <c r="M161" s="56">
        <v>4606</v>
      </c>
      <c r="N161" s="56">
        <v>4700</v>
      </c>
      <c r="O161" s="56">
        <v>4788</v>
      </c>
      <c r="P161" s="574"/>
      <c r="Q161" s="577" t="s">
        <v>2032</v>
      </c>
    </row>
    <row r="162" spans="1:17">
      <c r="A162" s="577" t="s">
        <v>5429</v>
      </c>
      <c r="B162" s="577" t="s">
        <v>3453</v>
      </c>
      <c r="C162" s="55" t="s">
        <v>8576</v>
      </c>
      <c r="D162" s="578">
        <v>4509</v>
      </c>
      <c r="E162" s="578">
        <v>4521</v>
      </c>
      <c r="F162" s="578">
        <v>4488</v>
      </c>
      <c r="G162" s="56">
        <v>4478</v>
      </c>
      <c r="H162" s="56">
        <v>4495</v>
      </c>
      <c r="I162" s="56">
        <v>4294</v>
      </c>
      <c r="J162" s="56">
        <v>4293</v>
      </c>
      <c r="K162" s="56">
        <v>4381</v>
      </c>
      <c r="L162" s="56">
        <v>4415</v>
      </c>
      <c r="M162" s="56">
        <v>4355</v>
      </c>
      <c r="N162" s="56">
        <v>4361</v>
      </c>
      <c r="O162" s="56">
        <v>4430</v>
      </c>
      <c r="P162" s="574"/>
      <c r="Q162" s="577" t="s">
        <v>2032</v>
      </c>
    </row>
    <row r="163" spans="1:17">
      <c r="A163" s="577" t="s">
        <v>5431</v>
      </c>
      <c r="B163" s="577" t="s">
        <v>4186</v>
      </c>
      <c r="C163" s="55" t="s">
        <v>8577</v>
      </c>
      <c r="D163" s="578">
        <v>3817</v>
      </c>
      <c r="E163" s="578">
        <v>3968</v>
      </c>
      <c r="F163" s="578">
        <v>4062</v>
      </c>
      <c r="G163" s="56">
        <v>3890</v>
      </c>
      <c r="H163" s="56">
        <v>3933</v>
      </c>
      <c r="I163" s="56">
        <v>3670</v>
      </c>
      <c r="J163" s="56">
        <v>3682</v>
      </c>
      <c r="K163" s="56">
        <v>3775</v>
      </c>
      <c r="L163" s="56">
        <v>3787</v>
      </c>
      <c r="M163" s="56">
        <v>3797</v>
      </c>
      <c r="N163" s="56">
        <v>3818</v>
      </c>
      <c r="O163" s="56">
        <v>3893</v>
      </c>
      <c r="P163" s="574"/>
      <c r="Q163" s="577" t="s">
        <v>2032</v>
      </c>
    </row>
    <row r="164" spans="1:17">
      <c r="A164" s="577" t="s">
        <v>5433</v>
      </c>
      <c r="B164" s="577" t="s">
        <v>3454</v>
      </c>
      <c r="C164" s="55" t="s">
        <v>8578</v>
      </c>
      <c r="D164" s="578">
        <v>4861</v>
      </c>
      <c r="E164" s="578">
        <v>4846</v>
      </c>
      <c r="F164" s="578">
        <v>4848</v>
      </c>
      <c r="G164" s="56">
        <v>4781</v>
      </c>
      <c r="H164" s="56">
        <v>4823</v>
      </c>
      <c r="I164" s="56">
        <v>4684</v>
      </c>
      <c r="J164" s="56">
        <v>4675</v>
      </c>
      <c r="K164" s="56">
        <v>4704</v>
      </c>
      <c r="L164" s="56">
        <v>4713</v>
      </c>
      <c r="M164" s="56">
        <v>4644</v>
      </c>
      <c r="N164" s="56">
        <v>4663</v>
      </c>
      <c r="O164" s="56">
        <v>4710</v>
      </c>
      <c r="P164" s="574"/>
      <c r="Q164" s="577" t="s">
        <v>2032</v>
      </c>
    </row>
    <row r="165" spans="1:17">
      <c r="A165" s="574"/>
      <c r="B165" s="574"/>
      <c r="D165" s="584"/>
      <c r="E165" s="584"/>
      <c r="F165" s="584"/>
      <c r="G165" s="584"/>
      <c r="H165" s="588"/>
      <c r="I165" s="588"/>
      <c r="J165" s="588"/>
      <c r="K165" s="588"/>
      <c r="L165" s="588"/>
      <c r="M165" s="588"/>
      <c r="N165" s="588"/>
      <c r="O165" s="588"/>
      <c r="P165" s="574"/>
      <c r="Q165" s="574"/>
    </row>
    <row r="166" spans="1:17">
      <c r="A166" s="577" t="s">
        <v>2032</v>
      </c>
      <c r="D166" s="578">
        <f t="shared" ref="D166:I166" si="123">SUM(D150:D164)</f>
        <v>66876</v>
      </c>
      <c r="E166" s="578">
        <f t="shared" si="123"/>
        <v>67003</v>
      </c>
      <c r="F166" s="578">
        <f t="shared" si="123"/>
        <v>66950</v>
      </c>
      <c r="G166" s="578">
        <f t="shared" si="123"/>
        <v>65897</v>
      </c>
      <c r="H166" s="578">
        <f t="shared" si="123"/>
        <v>66830</v>
      </c>
      <c r="I166" s="578">
        <f t="shared" si="123"/>
        <v>63833</v>
      </c>
      <c r="J166" s="578">
        <f t="shared" ref="J166:O166" si="124">SUM(J150:J164)</f>
        <v>63228</v>
      </c>
      <c r="K166" s="578">
        <f t="shared" si="124"/>
        <v>64147</v>
      </c>
      <c r="L166" s="578">
        <f t="shared" si="124"/>
        <v>64338</v>
      </c>
      <c r="M166" s="578">
        <f t="shared" si="124"/>
        <v>63400</v>
      </c>
      <c r="N166" s="578">
        <f t="shared" si="124"/>
        <v>63795</v>
      </c>
      <c r="O166" s="578">
        <f t="shared" si="124"/>
        <v>64982</v>
      </c>
      <c r="P166" s="574"/>
      <c r="Q166" s="574"/>
    </row>
    <row r="167" spans="1:17">
      <c r="A167" s="577"/>
      <c r="D167" s="578"/>
      <c r="E167" s="578"/>
      <c r="F167" s="578"/>
      <c r="G167" s="578"/>
      <c r="H167" s="578"/>
      <c r="I167" s="578"/>
      <c r="J167" s="578"/>
      <c r="K167" s="578"/>
      <c r="L167" s="578"/>
      <c r="M167" s="578"/>
      <c r="N167" s="578"/>
      <c r="O167" s="578"/>
      <c r="P167" s="574"/>
      <c r="Q167" s="574"/>
    </row>
    <row r="168" spans="1:17">
      <c r="A168" s="577" t="s">
        <v>3455</v>
      </c>
      <c r="D168" s="578"/>
      <c r="E168" s="578"/>
      <c r="F168" s="578"/>
      <c r="G168" s="578"/>
      <c r="H168" s="578"/>
      <c r="I168" s="578"/>
      <c r="J168" s="578"/>
      <c r="K168" s="578"/>
      <c r="L168" s="578"/>
      <c r="M168" s="578"/>
      <c r="N168" s="578"/>
      <c r="O168" s="578"/>
      <c r="P168" s="574"/>
      <c r="Q168" s="574"/>
    </row>
    <row r="169" spans="1:17">
      <c r="A169" s="577"/>
      <c r="B169" s="577"/>
      <c r="D169" s="589"/>
      <c r="E169" s="589"/>
      <c r="F169" s="589"/>
      <c r="G169" s="589"/>
      <c r="H169" s="589"/>
      <c r="I169" s="589"/>
      <c r="J169" s="589"/>
      <c r="K169" s="589"/>
      <c r="L169" s="589"/>
      <c r="M169" s="589"/>
      <c r="N169" s="589"/>
      <c r="O169" s="589"/>
      <c r="P169" s="574"/>
      <c r="Q169" s="574"/>
    </row>
    <row r="170" spans="1:17">
      <c r="A170" s="577"/>
      <c r="B170" s="577"/>
      <c r="D170" s="589"/>
      <c r="E170" s="589"/>
      <c r="F170" s="589"/>
      <c r="G170" s="589"/>
      <c r="H170" s="589"/>
      <c r="I170" s="589"/>
      <c r="J170" s="589"/>
      <c r="K170" s="589"/>
      <c r="L170" s="589"/>
      <c r="M170" s="589"/>
      <c r="N170" s="589"/>
      <c r="O170" s="589"/>
      <c r="P170" s="574"/>
      <c r="Q170" s="574"/>
    </row>
    <row r="171" spans="1:17">
      <c r="A171" s="574"/>
      <c r="B171" s="574"/>
      <c r="E171" s="51" t="s">
        <v>1526</v>
      </c>
      <c r="F171" s="51"/>
      <c r="G171" s="51"/>
      <c r="H171" s="51"/>
      <c r="I171" s="51"/>
      <c r="J171" s="51"/>
      <c r="K171" s="51"/>
      <c r="L171" s="51"/>
      <c r="M171" s="51"/>
      <c r="N171" s="51"/>
      <c r="O171" s="51"/>
      <c r="P171" s="11"/>
      <c r="Q171" s="11" t="s">
        <v>9479</v>
      </c>
    </row>
    <row r="172" spans="1:17">
      <c r="A172" s="574"/>
      <c r="B172" s="574"/>
      <c r="D172" s="350">
        <v>2010</v>
      </c>
      <c r="E172" s="350">
        <v>2011</v>
      </c>
      <c r="F172" s="350">
        <v>2012</v>
      </c>
      <c r="G172" s="350">
        <v>2013</v>
      </c>
      <c r="H172" s="350">
        <v>2014</v>
      </c>
      <c r="I172" s="350">
        <v>2015</v>
      </c>
      <c r="J172" s="350">
        <v>2016</v>
      </c>
      <c r="K172" s="350">
        <v>2017</v>
      </c>
      <c r="L172" s="350">
        <v>2018</v>
      </c>
      <c r="M172" s="350">
        <v>2019</v>
      </c>
      <c r="N172" s="350">
        <v>2020</v>
      </c>
      <c r="O172" s="961" t="s">
        <v>14823</v>
      </c>
      <c r="P172" s="574"/>
      <c r="Q172" s="13" t="s">
        <v>1527</v>
      </c>
    </row>
    <row r="173" spans="1:17">
      <c r="A173" s="577" t="s">
        <v>787</v>
      </c>
      <c r="D173" s="578">
        <f t="shared" ref="D173:M173" si="125">SUM(D174:D186,D188:D189,D191)</f>
        <v>79444</v>
      </c>
      <c r="E173" s="578">
        <f t="shared" si="125"/>
        <v>79612</v>
      </c>
      <c r="F173" s="578">
        <f t="shared" si="125"/>
        <v>80727</v>
      </c>
      <c r="G173" s="578">
        <f t="shared" si="125"/>
        <v>81776</v>
      </c>
      <c r="H173" s="578">
        <f t="shared" si="125"/>
        <v>82425</v>
      </c>
      <c r="I173" s="578">
        <f t="shared" si="125"/>
        <v>80674</v>
      </c>
      <c r="J173" s="578">
        <f t="shared" si="125"/>
        <v>81668</v>
      </c>
      <c r="K173" s="578">
        <f t="shared" si="125"/>
        <v>83952</v>
      </c>
      <c r="L173" s="578">
        <f t="shared" si="125"/>
        <v>84565</v>
      </c>
      <c r="M173" s="578">
        <f t="shared" si="125"/>
        <v>86491</v>
      </c>
      <c r="N173" s="578">
        <f>SUM(N174:N186,N188:N189,N191)</f>
        <v>87330</v>
      </c>
      <c r="O173" s="578">
        <f>SUM(O174:O186,O188:O189,O191)</f>
        <v>86687</v>
      </c>
      <c r="P173" s="574"/>
      <c r="Q173" s="574"/>
    </row>
    <row r="174" spans="1:17">
      <c r="A174" s="577" t="s">
        <v>5387</v>
      </c>
      <c r="B174" s="577" t="s">
        <v>12747</v>
      </c>
      <c r="C174" s="55" t="s">
        <v>14645</v>
      </c>
      <c r="D174" s="578">
        <v>71204</v>
      </c>
      <c r="E174" s="578">
        <v>71333</v>
      </c>
      <c r="F174" s="578">
        <v>72453</v>
      </c>
      <c r="G174" s="578">
        <v>73562</v>
      </c>
      <c r="H174" s="578">
        <v>74078</v>
      </c>
      <c r="I174" s="578">
        <v>72480</v>
      </c>
      <c r="J174" s="578">
        <v>73323</v>
      </c>
      <c r="K174" s="578">
        <v>75380</v>
      </c>
      <c r="L174" s="578">
        <v>75938</v>
      </c>
      <c r="M174" s="578">
        <v>77800</v>
      </c>
      <c r="N174" s="63">
        <v>6259</v>
      </c>
      <c r="O174" s="63">
        <v>6229</v>
      </c>
      <c r="P174" s="574"/>
      <c r="Q174" s="577" t="s">
        <v>2033</v>
      </c>
    </row>
    <row r="175" spans="1:17">
      <c r="A175" s="577" t="s">
        <v>5389</v>
      </c>
      <c r="B175" s="577" t="s">
        <v>12748</v>
      </c>
      <c r="C175" s="55" t="s">
        <v>14646</v>
      </c>
      <c r="D175" s="578">
        <v>0</v>
      </c>
      <c r="E175" s="578">
        <v>0</v>
      </c>
      <c r="F175" s="578">
        <v>0</v>
      </c>
      <c r="G175" s="578">
        <v>0</v>
      </c>
      <c r="H175" s="578">
        <v>0</v>
      </c>
      <c r="I175" s="578">
        <v>0</v>
      </c>
      <c r="J175" s="578">
        <v>0</v>
      </c>
      <c r="K175" s="578">
        <v>0</v>
      </c>
      <c r="L175" s="578">
        <v>0</v>
      </c>
      <c r="M175" s="578">
        <v>0</v>
      </c>
      <c r="N175" s="63">
        <v>6822</v>
      </c>
      <c r="O175" s="63">
        <v>6785</v>
      </c>
      <c r="P175" s="574"/>
      <c r="Q175" s="577" t="s">
        <v>2033</v>
      </c>
    </row>
    <row r="176" spans="1:17">
      <c r="A176" s="577" t="s">
        <v>5391</v>
      </c>
      <c r="B176" s="577" t="s">
        <v>788</v>
      </c>
      <c r="C176" s="55" t="s">
        <v>14647</v>
      </c>
      <c r="D176" s="578">
        <v>0</v>
      </c>
      <c r="E176" s="578">
        <v>0</v>
      </c>
      <c r="F176" s="578">
        <v>0</v>
      </c>
      <c r="G176" s="578">
        <v>0</v>
      </c>
      <c r="H176" s="578">
        <v>0</v>
      </c>
      <c r="I176" s="578">
        <v>0</v>
      </c>
      <c r="J176" s="578">
        <v>0</v>
      </c>
      <c r="K176" s="578">
        <v>0</v>
      </c>
      <c r="L176" s="578">
        <v>0</v>
      </c>
      <c r="M176" s="578">
        <v>0</v>
      </c>
      <c r="N176" s="63">
        <v>6107</v>
      </c>
      <c r="O176" s="63">
        <v>6074</v>
      </c>
      <c r="P176" s="574"/>
      <c r="Q176" s="577" t="s">
        <v>2033</v>
      </c>
    </row>
    <row r="177" spans="1:17">
      <c r="A177" s="577" t="s">
        <v>5393</v>
      </c>
      <c r="B177" s="577" t="s">
        <v>10</v>
      </c>
      <c r="C177" s="55" t="s">
        <v>14648</v>
      </c>
      <c r="D177" s="578">
        <v>0</v>
      </c>
      <c r="E177" s="578">
        <v>0</v>
      </c>
      <c r="F177" s="578">
        <v>0</v>
      </c>
      <c r="G177" s="578">
        <v>0</v>
      </c>
      <c r="H177" s="578">
        <v>0</v>
      </c>
      <c r="I177" s="578">
        <v>0</v>
      </c>
      <c r="J177" s="578">
        <v>0</v>
      </c>
      <c r="K177" s="578">
        <v>0</v>
      </c>
      <c r="L177" s="578">
        <v>0</v>
      </c>
      <c r="M177" s="578">
        <v>0</v>
      </c>
      <c r="N177" s="63">
        <v>5645</v>
      </c>
      <c r="O177" s="63">
        <v>5590</v>
      </c>
      <c r="P177" s="574"/>
      <c r="Q177" s="577" t="s">
        <v>2033</v>
      </c>
    </row>
    <row r="178" spans="1:17">
      <c r="A178" s="577" t="s">
        <v>5394</v>
      </c>
      <c r="B178" s="577" t="s">
        <v>4984</v>
      </c>
      <c r="C178" s="55" t="s">
        <v>14649</v>
      </c>
      <c r="D178" s="578">
        <v>0</v>
      </c>
      <c r="E178" s="578">
        <v>0</v>
      </c>
      <c r="F178" s="578">
        <v>0</v>
      </c>
      <c r="G178" s="578">
        <v>0</v>
      </c>
      <c r="H178" s="578">
        <v>0</v>
      </c>
      <c r="I178" s="578">
        <v>0</v>
      </c>
      <c r="J178" s="578">
        <v>0</v>
      </c>
      <c r="K178" s="578">
        <v>0</v>
      </c>
      <c r="L178" s="578">
        <v>0</v>
      </c>
      <c r="M178" s="578">
        <v>0</v>
      </c>
      <c r="N178" s="63">
        <v>5920</v>
      </c>
      <c r="O178" s="63">
        <v>5872</v>
      </c>
      <c r="P178" s="574"/>
      <c r="Q178" s="577" t="s">
        <v>2033</v>
      </c>
    </row>
    <row r="179" spans="1:17">
      <c r="A179" s="577" t="s">
        <v>5416</v>
      </c>
      <c r="B179" s="577" t="s">
        <v>12749</v>
      </c>
      <c r="C179" s="55" t="s">
        <v>14650</v>
      </c>
      <c r="D179" s="578">
        <v>0</v>
      </c>
      <c r="E179" s="578">
        <v>0</v>
      </c>
      <c r="F179" s="578">
        <v>0</v>
      </c>
      <c r="G179" s="578">
        <v>0</v>
      </c>
      <c r="H179" s="578">
        <v>0</v>
      </c>
      <c r="I179" s="578">
        <v>0</v>
      </c>
      <c r="J179" s="578">
        <v>0</v>
      </c>
      <c r="K179" s="578">
        <v>0</v>
      </c>
      <c r="L179" s="578">
        <v>0</v>
      </c>
      <c r="M179" s="578">
        <v>0</v>
      </c>
      <c r="N179" s="63">
        <v>6093</v>
      </c>
      <c r="O179" s="63">
        <v>6038</v>
      </c>
      <c r="P179" s="574"/>
      <c r="Q179" s="577" t="s">
        <v>2033</v>
      </c>
    </row>
    <row r="180" spans="1:17">
      <c r="A180" s="577" t="s">
        <v>5418</v>
      </c>
      <c r="B180" s="577" t="s">
        <v>12750</v>
      </c>
      <c r="C180" s="55" t="s">
        <v>14651</v>
      </c>
      <c r="D180" s="578">
        <v>0</v>
      </c>
      <c r="E180" s="578">
        <v>0</v>
      </c>
      <c r="F180" s="578">
        <v>0</v>
      </c>
      <c r="G180" s="578">
        <v>0</v>
      </c>
      <c r="H180" s="578">
        <v>0</v>
      </c>
      <c r="I180" s="578">
        <v>0</v>
      </c>
      <c r="J180" s="578">
        <v>0</v>
      </c>
      <c r="K180" s="578">
        <v>0</v>
      </c>
      <c r="L180" s="578">
        <v>0</v>
      </c>
      <c r="M180" s="578">
        <v>0</v>
      </c>
      <c r="N180" s="63">
        <v>6960</v>
      </c>
      <c r="O180" s="63">
        <v>6902</v>
      </c>
      <c r="P180" s="574"/>
      <c r="Q180" s="577" t="s">
        <v>2033</v>
      </c>
    </row>
    <row r="181" spans="1:17">
      <c r="A181" s="577" t="s">
        <v>5420</v>
      </c>
      <c r="B181" s="577" t="s">
        <v>4985</v>
      </c>
      <c r="C181" s="55" t="s">
        <v>14652</v>
      </c>
      <c r="D181" s="578">
        <v>0</v>
      </c>
      <c r="E181" s="578">
        <v>0</v>
      </c>
      <c r="F181" s="578">
        <v>0</v>
      </c>
      <c r="G181" s="578">
        <v>0</v>
      </c>
      <c r="H181" s="578">
        <v>0</v>
      </c>
      <c r="I181" s="578">
        <v>0</v>
      </c>
      <c r="J181" s="578">
        <v>0</v>
      </c>
      <c r="K181" s="578">
        <v>0</v>
      </c>
      <c r="L181" s="578">
        <v>0</v>
      </c>
      <c r="M181" s="578">
        <v>0</v>
      </c>
      <c r="N181" s="63">
        <v>5750</v>
      </c>
      <c r="O181" s="63">
        <v>5701</v>
      </c>
      <c r="P181" s="574"/>
      <c r="Q181" s="577" t="s">
        <v>2033</v>
      </c>
    </row>
    <row r="182" spans="1:17">
      <c r="A182" s="577" t="s">
        <v>5422</v>
      </c>
      <c r="B182" s="577" t="s">
        <v>12751</v>
      </c>
      <c r="C182" s="55" t="s">
        <v>14653</v>
      </c>
      <c r="D182" s="578">
        <v>0</v>
      </c>
      <c r="E182" s="578">
        <v>0</v>
      </c>
      <c r="F182" s="578">
        <v>0</v>
      </c>
      <c r="G182" s="578">
        <v>0</v>
      </c>
      <c r="H182" s="578">
        <v>0</v>
      </c>
      <c r="I182" s="578">
        <v>0</v>
      </c>
      <c r="J182" s="578">
        <v>0</v>
      </c>
      <c r="K182" s="578">
        <v>0</v>
      </c>
      <c r="L182" s="578">
        <v>0</v>
      </c>
      <c r="M182" s="578">
        <v>0</v>
      </c>
      <c r="N182" s="63">
        <v>6742</v>
      </c>
      <c r="O182" s="63">
        <v>6678</v>
      </c>
      <c r="P182" s="574"/>
      <c r="Q182" s="577" t="s">
        <v>2033</v>
      </c>
    </row>
    <row r="183" spans="1:17">
      <c r="A183" s="577" t="s">
        <v>5424</v>
      </c>
      <c r="B183" s="577" t="s">
        <v>12752</v>
      </c>
      <c r="C183" s="55" t="s">
        <v>14654</v>
      </c>
      <c r="D183" s="578">
        <v>0</v>
      </c>
      <c r="E183" s="578">
        <v>0</v>
      </c>
      <c r="F183" s="578">
        <v>0</v>
      </c>
      <c r="G183" s="578">
        <v>0</v>
      </c>
      <c r="H183" s="578">
        <v>0</v>
      </c>
      <c r="I183" s="578">
        <v>0</v>
      </c>
      <c r="J183" s="578">
        <v>0</v>
      </c>
      <c r="K183" s="578">
        <v>0</v>
      </c>
      <c r="L183" s="578">
        <v>0</v>
      </c>
      <c r="M183" s="578">
        <v>0</v>
      </c>
      <c r="N183" s="63">
        <v>6619</v>
      </c>
      <c r="O183" s="63">
        <v>6566</v>
      </c>
      <c r="P183" s="574"/>
      <c r="Q183" s="577" t="s">
        <v>2033</v>
      </c>
    </row>
    <row r="184" spans="1:17">
      <c r="A184" s="577" t="s">
        <v>5426</v>
      </c>
      <c r="B184" s="577" t="s">
        <v>3478</v>
      </c>
      <c r="C184" s="55" t="s">
        <v>14655</v>
      </c>
      <c r="D184" s="578">
        <v>0</v>
      </c>
      <c r="E184" s="578">
        <v>0</v>
      </c>
      <c r="F184" s="578">
        <v>0</v>
      </c>
      <c r="G184" s="578">
        <v>0</v>
      </c>
      <c r="H184" s="578">
        <v>0</v>
      </c>
      <c r="I184" s="578">
        <v>0</v>
      </c>
      <c r="J184" s="578">
        <v>0</v>
      </c>
      <c r="K184" s="578">
        <v>0</v>
      </c>
      <c r="L184" s="578">
        <v>0</v>
      </c>
      <c r="M184" s="578">
        <v>0</v>
      </c>
      <c r="N184" s="63">
        <v>6242</v>
      </c>
      <c r="O184" s="63">
        <v>6194</v>
      </c>
      <c r="P184" s="574"/>
      <c r="Q184" s="577" t="s">
        <v>2033</v>
      </c>
    </row>
    <row r="185" spans="1:17">
      <c r="A185" s="577" t="s">
        <v>5428</v>
      </c>
      <c r="B185" s="577" t="s">
        <v>12755</v>
      </c>
      <c r="C185" s="55" t="s">
        <v>14656</v>
      </c>
      <c r="D185" s="578">
        <v>0</v>
      </c>
      <c r="E185" s="578">
        <v>0</v>
      </c>
      <c r="F185" s="578">
        <v>0</v>
      </c>
      <c r="G185" s="578">
        <v>0</v>
      </c>
      <c r="H185" s="578">
        <v>0</v>
      </c>
      <c r="I185" s="578">
        <v>0</v>
      </c>
      <c r="J185" s="578">
        <v>0</v>
      </c>
      <c r="K185" s="578">
        <v>0</v>
      </c>
      <c r="L185" s="578">
        <v>0</v>
      </c>
      <c r="M185" s="578">
        <v>0</v>
      </c>
      <c r="N185" s="63">
        <v>1189</v>
      </c>
      <c r="O185" s="63">
        <v>1188</v>
      </c>
      <c r="P185" s="574"/>
      <c r="Q185" s="577" t="s">
        <v>2033</v>
      </c>
    </row>
    <row r="186" spans="1:17" ht="15.75" thickBot="1">
      <c r="A186" s="577"/>
      <c r="B186" s="577"/>
      <c r="C186" s="55" t="s">
        <v>14656</v>
      </c>
      <c r="D186" s="578">
        <v>8240</v>
      </c>
      <c r="E186" s="578">
        <v>8279</v>
      </c>
      <c r="F186" s="578">
        <v>8274</v>
      </c>
      <c r="G186" s="578">
        <v>8214</v>
      </c>
      <c r="H186" s="578">
        <v>8347</v>
      </c>
      <c r="I186" s="578">
        <v>8194</v>
      </c>
      <c r="J186" s="578">
        <v>8345</v>
      </c>
      <c r="K186" s="578">
        <v>8572</v>
      </c>
      <c r="L186" s="578">
        <v>8627</v>
      </c>
      <c r="M186" s="578">
        <v>8691</v>
      </c>
      <c r="N186" s="56">
        <v>5051</v>
      </c>
      <c r="O186" s="56">
        <v>4999</v>
      </c>
      <c r="P186" s="574"/>
      <c r="Q186" s="577" t="s">
        <v>1871</v>
      </c>
    </row>
    <row r="187" spans="1:17" ht="15.75" thickBot="1">
      <c r="A187" s="577"/>
      <c r="B187" s="577"/>
      <c r="C187" s="55" t="s">
        <v>14656</v>
      </c>
      <c r="D187" s="585">
        <f>SUM(D185:D186)</f>
        <v>8240</v>
      </c>
      <c r="E187" s="585">
        <f t="shared" ref="E187:N187" si="126">SUM(E185:E186)</f>
        <v>8279</v>
      </c>
      <c r="F187" s="585">
        <f t="shared" si="126"/>
        <v>8274</v>
      </c>
      <c r="G187" s="585">
        <f t="shared" si="126"/>
        <v>8214</v>
      </c>
      <c r="H187" s="585">
        <f t="shared" si="126"/>
        <v>8347</v>
      </c>
      <c r="I187" s="585">
        <f t="shared" si="126"/>
        <v>8194</v>
      </c>
      <c r="J187" s="585">
        <f t="shared" si="126"/>
        <v>8345</v>
      </c>
      <c r="K187" s="585">
        <f t="shared" si="126"/>
        <v>8572</v>
      </c>
      <c r="L187" s="585">
        <f t="shared" si="126"/>
        <v>8627</v>
      </c>
      <c r="M187" s="585">
        <f t="shared" si="126"/>
        <v>8691</v>
      </c>
      <c r="N187" s="585">
        <f t="shared" si="126"/>
        <v>6240</v>
      </c>
      <c r="O187" s="585">
        <f>SUM(O185:O186)</f>
        <v>6187</v>
      </c>
      <c r="P187" s="574"/>
    </row>
    <row r="188" spans="1:17">
      <c r="A188" s="577" t="s">
        <v>5429</v>
      </c>
      <c r="B188" s="577" t="s">
        <v>12753</v>
      </c>
      <c r="C188" s="55" t="s">
        <v>14657</v>
      </c>
      <c r="D188" s="578">
        <v>0</v>
      </c>
      <c r="E188" s="578">
        <v>0</v>
      </c>
      <c r="F188" s="578">
        <v>0</v>
      </c>
      <c r="G188" s="63">
        <v>0</v>
      </c>
      <c r="H188" s="63">
        <v>0</v>
      </c>
      <c r="I188" s="63">
        <v>0</v>
      </c>
      <c r="J188" s="63">
        <v>0</v>
      </c>
      <c r="K188" s="63">
        <v>0</v>
      </c>
      <c r="L188" s="63">
        <v>0</v>
      </c>
      <c r="M188" s="63">
        <v>0</v>
      </c>
      <c r="N188" s="63">
        <v>2257</v>
      </c>
      <c r="O188" s="63">
        <v>2238</v>
      </c>
      <c r="P188" s="574"/>
      <c r="Q188" s="577" t="s">
        <v>2033</v>
      </c>
    </row>
    <row r="189" spans="1:17" ht="15.75" thickBot="1">
      <c r="A189" s="577"/>
      <c r="B189" s="577"/>
      <c r="C189" s="55" t="s">
        <v>14657</v>
      </c>
      <c r="D189" s="587">
        <v>0</v>
      </c>
      <c r="E189" s="587">
        <v>0</v>
      </c>
      <c r="F189" s="587">
        <v>0</v>
      </c>
      <c r="G189" s="587">
        <v>0</v>
      </c>
      <c r="H189" s="587">
        <v>0</v>
      </c>
      <c r="I189" s="587">
        <v>0</v>
      </c>
      <c r="J189" s="587">
        <v>0</v>
      </c>
      <c r="K189" s="587">
        <v>0</v>
      </c>
      <c r="L189" s="587">
        <v>0</v>
      </c>
      <c r="M189" s="56">
        <v>0</v>
      </c>
      <c r="N189" s="56">
        <v>3700</v>
      </c>
      <c r="O189" s="56">
        <v>3694</v>
      </c>
      <c r="P189" s="574"/>
      <c r="Q189" s="577" t="s">
        <v>1871</v>
      </c>
    </row>
    <row r="190" spans="1:17" ht="15.75" thickBot="1">
      <c r="A190" s="577"/>
      <c r="B190" s="577"/>
      <c r="C190" s="55" t="s">
        <v>14657</v>
      </c>
      <c r="D190" s="585">
        <f>SUM(D188:D189)</f>
        <v>0</v>
      </c>
      <c r="E190" s="585">
        <f t="shared" ref="E190:N190" si="127">SUM(E188:E189)</f>
        <v>0</v>
      </c>
      <c r="F190" s="585">
        <f t="shared" si="127"/>
        <v>0</v>
      </c>
      <c r="G190" s="585">
        <f t="shared" si="127"/>
        <v>0</v>
      </c>
      <c r="H190" s="585">
        <f t="shared" si="127"/>
        <v>0</v>
      </c>
      <c r="I190" s="585">
        <f t="shared" si="127"/>
        <v>0</v>
      </c>
      <c r="J190" s="585">
        <f t="shared" si="127"/>
        <v>0</v>
      </c>
      <c r="K190" s="585">
        <f t="shared" si="127"/>
        <v>0</v>
      </c>
      <c r="L190" s="585">
        <f t="shared" si="127"/>
        <v>0</v>
      </c>
      <c r="M190" s="585">
        <f t="shared" si="127"/>
        <v>0</v>
      </c>
      <c r="N190" s="585">
        <f t="shared" si="127"/>
        <v>5957</v>
      </c>
      <c r="O190" s="585">
        <f>SUM(O188:O189)</f>
        <v>5932</v>
      </c>
      <c r="P190" s="574"/>
    </row>
    <row r="191" spans="1:17">
      <c r="A191" s="577" t="s">
        <v>5431</v>
      </c>
      <c r="B191" s="577" t="s">
        <v>12754</v>
      </c>
      <c r="C191" s="55" t="s">
        <v>14658</v>
      </c>
      <c r="D191" s="578">
        <v>0</v>
      </c>
      <c r="E191" s="578">
        <v>0</v>
      </c>
      <c r="F191" s="578">
        <v>0</v>
      </c>
      <c r="G191" s="63">
        <v>0</v>
      </c>
      <c r="H191" s="63">
        <v>0</v>
      </c>
      <c r="I191" s="63">
        <v>0</v>
      </c>
      <c r="J191" s="63">
        <v>0</v>
      </c>
      <c r="K191" s="63">
        <v>0</v>
      </c>
      <c r="L191" s="63">
        <v>0</v>
      </c>
      <c r="M191" s="63">
        <v>0</v>
      </c>
      <c r="N191" s="63">
        <v>5974</v>
      </c>
      <c r="O191" s="63">
        <v>5939</v>
      </c>
      <c r="P191" s="574"/>
      <c r="Q191" s="577" t="s">
        <v>2033</v>
      </c>
    </row>
    <row r="192" spans="1:17">
      <c r="A192" s="574"/>
      <c r="B192" s="574"/>
      <c r="D192" s="584"/>
      <c r="E192" s="584"/>
      <c r="F192" s="584"/>
      <c r="G192" s="584"/>
      <c r="H192" s="584"/>
      <c r="I192" s="584"/>
      <c r="J192" s="584"/>
      <c r="K192" s="590"/>
      <c r="L192" s="590"/>
      <c r="M192" s="590"/>
      <c r="N192" s="590"/>
      <c r="O192" s="590"/>
      <c r="P192" s="574"/>
      <c r="Q192" s="574"/>
    </row>
    <row r="193" spans="1:17">
      <c r="A193" s="577" t="s">
        <v>2033</v>
      </c>
      <c r="D193" s="578">
        <f t="shared" ref="D193:M193" si="128">SUM(D174:D185,D188,D191)</f>
        <v>71204</v>
      </c>
      <c r="E193" s="578">
        <f t="shared" si="128"/>
        <v>71333</v>
      </c>
      <c r="F193" s="578">
        <f t="shared" si="128"/>
        <v>72453</v>
      </c>
      <c r="G193" s="578">
        <f t="shared" si="128"/>
        <v>73562</v>
      </c>
      <c r="H193" s="578">
        <f t="shared" si="128"/>
        <v>74078</v>
      </c>
      <c r="I193" s="578">
        <f t="shared" si="128"/>
        <v>72480</v>
      </c>
      <c r="J193" s="578">
        <f t="shared" si="128"/>
        <v>73323</v>
      </c>
      <c r="K193" s="578">
        <f t="shared" si="128"/>
        <v>75380</v>
      </c>
      <c r="L193" s="578">
        <f t="shared" si="128"/>
        <v>75938</v>
      </c>
      <c r="M193" s="578">
        <f t="shared" si="128"/>
        <v>77800</v>
      </c>
      <c r="N193" s="578">
        <f>SUM(N174:N185,N188,N191)</f>
        <v>78579</v>
      </c>
      <c r="O193" s="578">
        <f>SUM(O174:O185,O188,O191)</f>
        <v>77994</v>
      </c>
      <c r="P193" s="574"/>
      <c r="Q193" s="574"/>
    </row>
    <row r="194" spans="1:17">
      <c r="A194" s="577" t="s">
        <v>789</v>
      </c>
      <c r="D194" s="578">
        <f t="shared" ref="D194:M194" si="129">SUM(D186,D189)</f>
        <v>8240</v>
      </c>
      <c r="E194" s="578">
        <f t="shared" si="129"/>
        <v>8279</v>
      </c>
      <c r="F194" s="578">
        <f t="shared" si="129"/>
        <v>8274</v>
      </c>
      <c r="G194" s="578">
        <f t="shared" si="129"/>
        <v>8214</v>
      </c>
      <c r="H194" s="578">
        <f t="shared" si="129"/>
        <v>8347</v>
      </c>
      <c r="I194" s="578">
        <f t="shared" si="129"/>
        <v>8194</v>
      </c>
      <c r="J194" s="578">
        <f t="shared" si="129"/>
        <v>8345</v>
      </c>
      <c r="K194" s="578">
        <f t="shared" si="129"/>
        <v>8572</v>
      </c>
      <c r="L194" s="578">
        <f t="shared" si="129"/>
        <v>8627</v>
      </c>
      <c r="M194" s="578">
        <f t="shared" si="129"/>
        <v>8691</v>
      </c>
      <c r="N194" s="578">
        <f>SUM(N186,N189)</f>
        <v>8751</v>
      </c>
      <c r="O194" s="578">
        <f>SUM(O186,O189)</f>
        <v>8693</v>
      </c>
      <c r="P194" s="574"/>
      <c r="Q194" s="574"/>
    </row>
    <row r="195" spans="1:17">
      <c r="A195" s="577"/>
      <c r="D195" s="578"/>
      <c r="E195" s="578"/>
      <c r="F195" s="578"/>
      <c r="G195" s="578"/>
      <c r="H195" s="578"/>
      <c r="I195" s="578"/>
      <c r="J195" s="578"/>
      <c r="K195" s="578"/>
      <c r="L195" s="578"/>
      <c r="M195" s="578"/>
      <c r="N195" s="578"/>
      <c r="O195" s="578"/>
      <c r="P195" s="574"/>
      <c r="Q195" s="574"/>
    </row>
    <row r="196" spans="1:17">
      <c r="A196" s="577" t="s">
        <v>12746</v>
      </c>
      <c r="D196" s="578"/>
      <c r="E196" s="578"/>
      <c r="F196" s="578"/>
      <c r="G196" s="578"/>
      <c r="H196" s="578"/>
      <c r="I196" s="578"/>
      <c r="J196" s="578"/>
      <c r="K196" s="578"/>
      <c r="L196" s="578"/>
      <c r="M196" s="578"/>
      <c r="N196" s="578"/>
      <c r="O196" s="578"/>
      <c r="P196" s="574"/>
      <c r="Q196" s="574"/>
    </row>
    <row r="197" spans="1:17">
      <c r="A197" s="577"/>
      <c r="D197" s="578"/>
      <c r="E197" s="578"/>
      <c r="F197" s="578"/>
      <c r="G197" s="578"/>
      <c r="H197" s="578"/>
      <c r="I197" s="578"/>
      <c r="J197" s="578"/>
      <c r="K197" s="578"/>
      <c r="L197" s="578"/>
      <c r="M197" s="578"/>
      <c r="N197" s="578"/>
      <c r="O197" s="578"/>
      <c r="P197" s="574"/>
      <c r="Q197" s="574"/>
    </row>
    <row r="198" spans="1:17">
      <c r="A198" s="1012" t="s">
        <v>16023</v>
      </c>
      <c r="B198" s="577"/>
      <c r="D198" s="589"/>
      <c r="E198" s="589"/>
      <c r="F198" s="589"/>
      <c r="G198" s="589"/>
      <c r="H198" s="589"/>
      <c r="I198" s="589"/>
      <c r="J198" s="589"/>
      <c r="K198" s="589"/>
      <c r="L198" s="589"/>
      <c r="M198" s="589"/>
      <c r="N198" s="589"/>
      <c r="O198" s="589"/>
      <c r="P198" s="574"/>
      <c r="Q198" s="574"/>
    </row>
    <row r="199" spans="1:17">
      <c r="A199" s="167" t="s">
        <v>16099</v>
      </c>
      <c r="B199" s="577"/>
      <c r="D199" s="589"/>
      <c r="E199" s="589"/>
      <c r="F199" s="589"/>
      <c r="G199" s="589"/>
      <c r="H199" s="589"/>
      <c r="I199" s="589"/>
      <c r="J199" s="589"/>
      <c r="K199" s="589"/>
      <c r="L199" s="589"/>
      <c r="M199" s="589"/>
      <c r="N199" s="589"/>
      <c r="O199" s="589"/>
      <c r="P199" s="574"/>
      <c r="Q199" s="574"/>
    </row>
    <row r="200" spans="1:17">
      <c r="A200" s="167"/>
      <c r="B200" s="577"/>
      <c r="D200" s="589"/>
      <c r="E200" s="589"/>
      <c r="F200" s="589"/>
      <c r="G200" s="589"/>
      <c r="H200" s="589"/>
      <c r="I200" s="589"/>
      <c r="J200" s="589"/>
      <c r="K200" s="589"/>
      <c r="L200" s="589"/>
      <c r="M200" s="589"/>
      <c r="N200" s="589"/>
      <c r="O200" s="589"/>
      <c r="P200" s="574"/>
      <c r="Q200" s="574"/>
    </row>
    <row r="201" spans="1:17">
      <c r="A201" s="167"/>
      <c r="B201" s="577"/>
      <c r="D201" s="589"/>
      <c r="E201" s="589"/>
      <c r="F201" s="589"/>
      <c r="G201" s="589"/>
      <c r="H201" s="589"/>
      <c r="I201" s="589"/>
      <c r="J201" s="589"/>
      <c r="K201" s="589"/>
      <c r="L201" s="589"/>
      <c r="M201" s="589"/>
      <c r="N201" s="589"/>
      <c r="O201" s="589"/>
      <c r="P201" s="574"/>
      <c r="Q201" s="574"/>
    </row>
    <row r="202" spans="1:17">
      <c r="A202" s="574"/>
      <c r="B202" s="574"/>
      <c r="E202" s="51" t="s">
        <v>1526</v>
      </c>
      <c r="F202" s="51"/>
      <c r="G202" s="51"/>
      <c r="H202" s="51"/>
      <c r="I202" s="51"/>
      <c r="J202" s="51"/>
      <c r="K202" s="51"/>
      <c r="L202" s="51"/>
      <c r="M202" s="51"/>
      <c r="N202" s="51"/>
      <c r="O202" s="51"/>
      <c r="P202" s="11"/>
      <c r="Q202" s="11" t="s">
        <v>9479</v>
      </c>
    </row>
    <row r="203" spans="1:17">
      <c r="A203" s="574"/>
      <c r="B203" s="574"/>
      <c r="D203" s="350">
        <v>2010</v>
      </c>
      <c r="E203" s="350">
        <v>2011</v>
      </c>
      <c r="F203" s="350">
        <v>2012</v>
      </c>
      <c r="G203" s="350">
        <v>2013</v>
      </c>
      <c r="H203" s="350">
        <v>2014</v>
      </c>
      <c r="I203" s="350">
        <v>2015</v>
      </c>
      <c r="J203" s="350">
        <v>2016</v>
      </c>
      <c r="K203" s="350">
        <v>2017</v>
      </c>
      <c r="L203" s="350">
        <v>2018</v>
      </c>
      <c r="M203" s="350">
        <v>2019</v>
      </c>
      <c r="N203" s="350">
        <v>2020</v>
      </c>
      <c r="O203" s="961" t="s">
        <v>14823</v>
      </c>
      <c r="P203" s="574"/>
      <c r="Q203" s="13" t="s">
        <v>1527</v>
      </c>
    </row>
    <row r="204" spans="1:17">
      <c r="A204" s="577" t="s">
        <v>2588</v>
      </c>
      <c r="D204" s="578">
        <f t="shared" ref="D204:I204" si="130">SUM(D205:D225)</f>
        <v>61208</v>
      </c>
      <c r="E204" s="578">
        <f t="shared" si="130"/>
        <v>61748</v>
      </c>
      <c r="F204" s="578">
        <f t="shared" si="130"/>
        <v>60559</v>
      </c>
      <c r="G204" s="578">
        <f t="shared" si="130"/>
        <v>61240</v>
      </c>
      <c r="H204" s="578">
        <f t="shared" si="130"/>
        <v>60486</v>
      </c>
      <c r="I204" s="578">
        <f t="shared" si="130"/>
        <v>59258</v>
      </c>
      <c r="J204" s="578">
        <f t="shared" ref="J204:O204" si="131">SUM(J205:J225)</f>
        <v>59381</v>
      </c>
      <c r="K204" s="578">
        <f t="shared" si="131"/>
        <v>60098</v>
      </c>
      <c r="L204" s="578">
        <f t="shared" si="131"/>
        <v>60428</v>
      </c>
      <c r="M204" s="578">
        <f t="shared" si="131"/>
        <v>60306</v>
      </c>
      <c r="N204" s="578">
        <f t="shared" si="131"/>
        <v>61660</v>
      </c>
      <c r="O204" s="578">
        <f t="shared" si="131"/>
        <v>62896</v>
      </c>
      <c r="P204" s="574"/>
      <c r="Q204" s="574"/>
    </row>
    <row r="205" spans="1:17">
      <c r="A205" s="577" t="s">
        <v>5387</v>
      </c>
      <c r="B205" s="577" t="s">
        <v>2589</v>
      </c>
      <c r="C205" s="55" t="s">
        <v>8579</v>
      </c>
      <c r="D205" s="578">
        <v>3549</v>
      </c>
      <c r="E205" s="578">
        <v>3594</v>
      </c>
      <c r="F205" s="578">
        <v>3549</v>
      </c>
      <c r="G205" s="56">
        <v>3567</v>
      </c>
      <c r="H205" s="56">
        <v>3510</v>
      </c>
      <c r="I205" s="56">
        <v>3439</v>
      </c>
      <c r="J205" s="56">
        <v>3443</v>
      </c>
      <c r="K205" s="56">
        <v>3450</v>
      </c>
      <c r="L205" s="56">
        <v>3408</v>
      </c>
      <c r="M205" s="56">
        <v>3394</v>
      </c>
      <c r="N205" s="56">
        <v>3429</v>
      </c>
      <c r="O205" s="56">
        <v>3479</v>
      </c>
      <c r="P205" s="574"/>
      <c r="Q205" s="577" t="s">
        <v>1858</v>
      </c>
    </row>
    <row r="206" spans="1:17">
      <c r="A206" s="577" t="s">
        <v>5389</v>
      </c>
      <c r="B206" s="577" t="s">
        <v>2590</v>
      </c>
      <c r="C206" s="55" t="s">
        <v>8580</v>
      </c>
      <c r="D206" s="578">
        <v>3679</v>
      </c>
      <c r="E206" s="578">
        <v>3735</v>
      </c>
      <c r="F206" s="578">
        <v>3600</v>
      </c>
      <c r="G206" s="56">
        <v>3665</v>
      </c>
      <c r="H206" s="56">
        <v>3581</v>
      </c>
      <c r="I206" s="56">
        <v>3558</v>
      </c>
      <c r="J206" s="56">
        <v>3621</v>
      </c>
      <c r="K206" s="56">
        <v>3634</v>
      </c>
      <c r="L206" s="56">
        <v>3611</v>
      </c>
      <c r="M206" s="56">
        <v>3586</v>
      </c>
      <c r="N206" s="56">
        <v>3624</v>
      </c>
      <c r="O206" s="56">
        <v>3745</v>
      </c>
      <c r="P206" s="574"/>
      <c r="Q206" s="577" t="s">
        <v>1858</v>
      </c>
    </row>
    <row r="207" spans="1:17">
      <c r="A207" s="577" t="s">
        <v>5391</v>
      </c>
      <c r="B207" s="577" t="s">
        <v>6024</v>
      </c>
      <c r="C207" s="55" t="s">
        <v>8581</v>
      </c>
      <c r="D207" s="578">
        <v>3592</v>
      </c>
      <c r="E207" s="578">
        <v>3516</v>
      </c>
      <c r="F207" s="578">
        <v>3287</v>
      </c>
      <c r="G207" s="56">
        <v>3407</v>
      </c>
      <c r="H207" s="56">
        <v>3205</v>
      </c>
      <c r="I207" s="56">
        <v>3015</v>
      </c>
      <c r="J207" s="56">
        <v>3073</v>
      </c>
      <c r="K207" s="56">
        <v>3201</v>
      </c>
      <c r="L207" s="56">
        <v>3232</v>
      </c>
      <c r="M207" s="56">
        <v>3243</v>
      </c>
      <c r="N207" s="56">
        <v>3267</v>
      </c>
      <c r="O207" s="56">
        <v>3341</v>
      </c>
      <c r="P207" s="574"/>
      <c r="Q207" s="577" t="s">
        <v>1858</v>
      </c>
    </row>
    <row r="208" spans="1:17">
      <c r="A208" s="577" t="s">
        <v>5393</v>
      </c>
      <c r="B208" s="577" t="s">
        <v>6190</v>
      </c>
      <c r="C208" s="55" t="s">
        <v>8582</v>
      </c>
      <c r="D208" s="578">
        <v>3373</v>
      </c>
      <c r="E208" s="578">
        <v>3400</v>
      </c>
      <c r="F208" s="578">
        <v>3329</v>
      </c>
      <c r="G208" s="56">
        <v>3361</v>
      </c>
      <c r="H208" s="56">
        <v>3345</v>
      </c>
      <c r="I208" s="56">
        <v>3267</v>
      </c>
      <c r="J208" s="56">
        <v>3246</v>
      </c>
      <c r="K208" s="56">
        <v>3330</v>
      </c>
      <c r="L208" s="56">
        <v>3290</v>
      </c>
      <c r="M208" s="56">
        <v>3289</v>
      </c>
      <c r="N208" s="56">
        <v>3320</v>
      </c>
      <c r="O208" s="56">
        <v>3395</v>
      </c>
      <c r="P208" s="574"/>
      <c r="Q208" s="577" t="s">
        <v>1858</v>
      </c>
    </row>
    <row r="209" spans="1:17">
      <c r="A209" s="577" t="s">
        <v>5394</v>
      </c>
      <c r="B209" s="577" t="s">
        <v>2591</v>
      </c>
      <c r="C209" s="55" t="s">
        <v>8583</v>
      </c>
      <c r="D209" s="578">
        <v>1258</v>
      </c>
      <c r="E209" s="578">
        <v>1282</v>
      </c>
      <c r="F209" s="578">
        <v>1248</v>
      </c>
      <c r="G209" s="56">
        <v>1247</v>
      </c>
      <c r="H209" s="56">
        <v>1240</v>
      </c>
      <c r="I209" s="56">
        <v>1220</v>
      </c>
      <c r="J209" s="56">
        <v>1228</v>
      </c>
      <c r="K209" s="56">
        <v>1267</v>
      </c>
      <c r="L209" s="56">
        <v>1256</v>
      </c>
      <c r="M209" s="56">
        <v>1247</v>
      </c>
      <c r="N209" s="56">
        <v>1273</v>
      </c>
      <c r="O209" s="56">
        <v>1291</v>
      </c>
      <c r="P209" s="574"/>
      <c r="Q209" s="577" t="s">
        <v>1858</v>
      </c>
    </row>
    <row r="210" spans="1:17">
      <c r="A210" s="577" t="s">
        <v>5416</v>
      </c>
      <c r="B210" s="577" t="s">
        <v>2592</v>
      </c>
      <c r="C210" s="55" t="s">
        <v>8584</v>
      </c>
      <c r="D210" s="578">
        <v>3535</v>
      </c>
      <c r="E210" s="578">
        <v>3584</v>
      </c>
      <c r="F210" s="578">
        <v>3484</v>
      </c>
      <c r="G210" s="56">
        <v>3521</v>
      </c>
      <c r="H210" s="56">
        <v>3440</v>
      </c>
      <c r="I210" s="56">
        <v>3367</v>
      </c>
      <c r="J210" s="56">
        <v>3368</v>
      </c>
      <c r="K210" s="56">
        <v>3353</v>
      </c>
      <c r="L210" s="56">
        <v>3350</v>
      </c>
      <c r="M210" s="56">
        <v>3358</v>
      </c>
      <c r="N210" s="56">
        <v>3431</v>
      </c>
      <c r="O210" s="56">
        <v>3463</v>
      </c>
      <c r="P210" s="574"/>
      <c r="Q210" s="577" t="s">
        <v>1858</v>
      </c>
    </row>
    <row r="211" spans="1:17">
      <c r="A211" s="577" t="s">
        <v>5418</v>
      </c>
      <c r="B211" s="577" t="s">
        <v>2593</v>
      </c>
      <c r="C211" s="55" t="s">
        <v>8585</v>
      </c>
      <c r="D211" s="578">
        <v>2529</v>
      </c>
      <c r="E211" s="578">
        <v>2560</v>
      </c>
      <c r="F211" s="578">
        <v>2488</v>
      </c>
      <c r="G211" s="56">
        <v>2517</v>
      </c>
      <c r="H211" s="56">
        <v>2391</v>
      </c>
      <c r="I211" s="56">
        <v>2335</v>
      </c>
      <c r="J211" s="56">
        <v>2332</v>
      </c>
      <c r="K211" s="56">
        <v>2404</v>
      </c>
      <c r="L211" s="56">
        <v>2411</v>
      </c>
      <c r="M211" s="56">
        <v>2403</v>
      </c>
      <c r="N211" s="56">
        <v>2400</v>
      </c>
      <c r="O211" s="56">
        <v>2449</v>
      </c>
      <c r="P211" s="574"/>
      <c r="Q211" s="577" t="s">
        <v>1858</v>
      </c>
    </row>
    <row r="212" spans="1:17">
      <c r="A212" s="577" t="s">
        <v>5420</v>
      </c>
      <c r="B212" s="577" t="s">
        <v>2594</v>
      </c>
      <c r="C212" s="55" t="s">
        <v>8586</v>
      </c>
      <c r="D212" s="578">
        <v>2337</v>
      </c>
      <c r="E212" s="578">
        <v>2330</v>
      </c>
      <c r="F212" s="578">
        <v>2310</v>
      </c>
      <c r="G212" s="56">
        <v>2313</v>
      </c>
      <c r="H212" s="56">
        <v>2260</v>
      </c>
      <c r="I212" s="56">
        <v>2241</v>
      </c>
      <c r="J212" s="56">
        <v>2237</v>
      </c>
      <c r="K212" s="56">
        <v>2210</v>
      </c>
      <c r="L212" s="56">
        <v>2195</v>
      </c>
      <c r="M212" s="56">
        <v>2154</v>
      </c>
      <c r="N212" s="56">
        <v>2178</v>
      </c>
      <c r="O212" s="56">
        <v>2225</v>
      </c>
      <c r="P212" s="574"/>
      <c r="Q212" s="577" t="s">
        <v>1858</v>
      </c>
    </row>
    <row r="213" spans="1:17">
      <c r="A213" s="577" t="s">
        <v>5422</v>
      </c>
      <c r="B213" s="577" t="s">
        <v>2595</v>
      </c>
      <c r="C213" s="55" t="s">
        <v>8587</v>
      </c>
      <c r="D213" s="578">
        <v>3589</v>
      </c>
      <c r="E213" s="578">
        <v>3676</v>
      </c>
      <c r="F213" s="578">
        <v>3725</v>
      </c>
      <c r="G213" s="56">
        <v>3729</v>
      </c>
      <c r="H213" s="56">
        <v>3694</v>
      </c>
      <c r="I213" s="56">
        <v>3615</v>
      </c>
      <c r="J213" s="56">
        <v>3654</v>
      </c>
      <c r="K213" s="56">
        <v>3669</v>
      </c>
      <c r="L213" s="56">
        <v>3792</v>
      </c>
      <c r="M213" s="56">
        <v>3793</v>
      </c>
      <c r="N213" s="56">
        <v>3965</v>
      </c>
      <c r="O213" s="56">
        <v>4038</v>
      </c>
      <c r="P213" s="574"/>
      <c r="Q213" s="577" t="s">
        <v>1858</v>
      </c>
    </row>
    <row r="214" spans="1:17">
      <c r="A214" s="577" t="s">
        <v>5424</v>
      </c>
      <c r="B214" s="577" t="s">
        <v>2596</v>
      </c>
      <c r="C214" s="55" t="s">
        <v>8588</v>
      </c>
      <c r="D214" s="578">
        <v>3400</v>
      </c>
      <c r="E214" s="578">
        <v>3386</v>
      </c>
      <c r="F214" s="578">
        <v>3281</v>
      </c>
      <c r="G214" s="56">
        <v>3285</v>
      </c>
      <c r="H214" s="56">
        <v>3286</v>
      </c>
      <c r="I214" s="56">
        <v>3212</v>
      </c>
      <c r="J214" s="56">
        <v>3156</v>
      </c>
      <c r="K214" s="56">
        <v>3137</v>
      </c>
      <c r="L214" s="56">
        <v>3120</v>
      </c>
      <c r="M214" s="56">
        <v>3098</v>
      </c>
      <c r="N214" s="56">
        <v>3124</v>
      </c>
      <c r="O214" s="56">
        <v>3136</v>
      </c>
      <c r="P214" s="574"/>
      <c r="Q214" s="577" t="s">
        <v>1858</v>
      </c>
    </row>
    <row r="215" spans="1:17">
      <c r="A215" s="577" t="s">
        <v>5426</v>
      </c>
      <c r="B215" s="577" t="s">
        <v>2597</v>
      </c>
      <c r="C215" s="55" t="s">
        <v>8589</v>
      </c>
      <c r="D215" s="578">
        <v>3218</v>
      </c>
      <c r="E215" s="578">
        <v>3231</v>
      </c>
      <c r="F215" s="578">
        <v>3147</v>
      </c>
      <c r="G215" s="56">
        <v>3134</v>
      </c>
      <c r="H215" s="56">
        <v>3099</v>
      </c>
      <c r="I215" s="56">
        <v>3056</v>
      </c>
      <c r="J215" s="56">
        <v>3032</v>
      </c>
      <c r="K215" s="56">
        <v>3083</v>
      </c>
      <c r="L215" s="56">
        <v>3157</v>
      </c>
      <c r="M215" s="56">
        <v>3264</v>
      </c>
      <c r="N215" s="56">
        <v>3428</v>
      </c>
      <c r="O215" s="56">
        <v>3501</v>
      </c>
      <c r="P215" s="574"/>
      <c r="Q215" s="577" t="s">
        <v>1858</v>
      </c>
    </row>
    <row r="216" spans="1:17">
      <c r="A216" s="577" t="s">
        <v>5428</v>
      </c>
      <c r="B216" s="577" t="s">
        <v>2598</v>
      </c>
      <c r="C216" s="55" t="s">
        <v>8590</v>
      </c>
      <c r="D216" s="578">
        <v>2139</v>
      </c>
      <c r="E216" s="578">
        <v>2166</v>
      </c>
      <c r="F216" s="578">
        <v>2109</v>
      </c>
      <c r="G216" s="56">
        <v>2142</v>
      </c>
      <c r="H216" s="56">
        <v>2113</v>
      </c>
      <c r="I216" s="56">
        <v>2067</v>
      </c>
      <c r="J216" s="56">
        <v>2021</v>
      </c>
      <c r="K216" s="56">
        <v>2028</v>
      </c>
      <c r="L216" s="56">
        <v>2029</v>
      </c>
      <c r="M216" s="56">
        <v>2011</v>
      </c>
      <c r="N216" s="56">
        <v>1990</v>
      </c>
      <c r="O216" s="56">
        <v>2024</v>
      </c>
      <c r="P216" s="574"/>
      <c r="Q216" s="577" t="s">
        <v>1858</v>
      </c>
    </row>
    <row r="217" spans="1:17">
      <c r="A217" s="577" t="s">
        <v>5429</v>
      </c>
      <c r="B217" s="577" t="s">
        <v>2599</v>
      </c>
      <c r="C217" s="55" t="s">
        <v>8591</v>
      </c>
      <c r="D217" s="578">
        <v>2671</v>
      </c>
      <c r="E217" s="578">
        <v>2741</v>
      </c>
      <c r="F217" s="578">
        <v>2791</v>
      </c>
      <c r="G217" s="56">
        <v>2855</v>
      </c>
      <c r="H217" s="56">
        <v>2897</v>
      </c>
      <c r="I217" s="56">
        <v>2834</v>
      </c>
      <c r="J217" s="56">
        <v>2845</v>
      </c>
      <c r="K217" s="56">
        <v>2851</v>
      </c>
      <c r="L217" s="56">
        <v>2901</v>
      </c>
      <c r="M217" s="56">
        <v>2879</v>
      </c>
      <c r="N217" s="56">
        <v>2998</v>
      </c>
      <c r="O217" s="56">
        <v>3053</v>
      </c>
      <c r="P217" s="574"/>
      <c r="Q217" s="577" t="s">
        <v>1858</v>
      </c>
    </row>
    <row r="218" spans="1:17">
      <c r="A218" s="577" t="s">
        <v>5431</v>
      </c>
      <c r="B218" s="577" t="s">
        <v>2600</v>
      </c>
      <c r="C218" s="55" t="s">
        <v>8592</v>
      </c>
      <c r="D218" s="578">
        <v>2596</v>
      </c>
      <c r="E218" s="578">
        <v>2589</v>
      </c>
      <c r="F218" s="578">
        <v>2472</v>
      </c>
      <c r="G218" s="56">
        <v>2494</v>
      </c>
      <c r="H218" s="56">
        <v>2440</v>
      </c>
      <c r="I218" s="56">
        <v>2422</v>
      </c>
      <c r="J218" s="56">
        <v>2412</v>
      </c>
      <c r="K218" s="56">
        <v>2465</v>
      </c>
      <c r="L218" s="56">
        <v>2462</v>
      </c>
      <c r="M218" s="56">
        <v>2444</v>
      </c>
      <c r="N218" s="56">
        <v>2480</v>
      </c>
      <c r="O218" s="56">
        <v>2519</v>
      </c>
      <c r="P218" s="574"/>
      <c r="Q218" s="577" t="s">
        <v>1858</v>
      </c>
    </row>
    <row r="219" spans="1:17">
      <c r="A219" s="577" t="s">
        <v>5433</v>
      </c>
      <c r="B219" s="577" t="s">
        <v>1645</v>
      </c>
      <c r="C219" s="55" t="s">
        <v>8593</v>
      </c>
      <c r="D219" s="578">
        <v>4253</v>
      </c>
      <c r="E219" s="578">
        <v>4284</v>
      </c>
      <c r="F219" s="578">
        <v>4225</v>
      </c>
      <c r="G219" s="56">
        <v>4305</v>
      </c>
      <c r="H219" s="56">
        <v>4270</v>
      </c>
      <c r="I219" s="56">
        <v>4152</v>
      </c>
      <c r="J219" s="56">
        <v>4146</v>
      </c>
      <c r="K219" s="56">
        <v>4133</v>
      </c>
      <c r="L219" s="56">
        <v>4082</v>
      </c>
      <c r="M219" s="56">
        <v>4054</v>
      </c>
      <c r="N219" s="56">
        <v>4096</v>
      </c>
      <c r="O219" s="56">
        <v>4147</v>
      </c>
      <c r="P219" s="574"/>
      <c r="Q219" s="577" t="s">
        <v>1858</v>
      </c>
    </row>
    <row r="220" spans="1:17">
      <c r="A220" s="577" t="s">
        <v>5435</v>
      </c>
      <c r="B220" s="577" t="s">
        <v>2601</v>
      </c>
      <c r="C220" s="55" t="s">
        <v>8594</v>
      </c>
      <c r="D220" s="578">
        <v>1186</v>
      </c>
      <c r="E220" s="578">
        <v>1188</v>
      </c>
      <c r="F220" s="578">
        <v>1190</v>
      </c>
      <c r="G220" s="58">
        <v>1193</v>
      </c>
      <c r="H220" s="58">
        <v>1186</v>
      </c>
      <c r="I220" s="58">
        <v>1183</v>
      </c>
      <c r="J220" s="58">
        <v>1200</v>
      </c>
      <c r="K220" s="58">
        <v>1251</v>
      </c>
      <c r="L220" s="58">
        <v>1294</v>
      </c>
      <c r="M220" s="58">
        <v>1341</v>
      </c>
      <c r="N220" s="58">
        <v>1410</v>
      </c>
      <c r="O220" s="58">
        <v>1446</v>
      </c>
      <c r="P220" s="574"/>
      <c r="Q220" s="577" t="s">
        <v>1858</v>
      </c>
    </row>
    <row r="221" spans="1:17">
      <c r="A221" s="577" t="s">
        <v>5436</v>
      </c>
      <c r="B221" s="577" t="s">
        <v>6030</v>
      </c>
      <c r="C221" s="55" t="s">
        <v>8595</v>
      </c>
      <c r="D221" s="578">
        <v>3458</v>
      </c>
      <c r="E221" s="578">
        <v>3525</v>
      </c>
      <c r="F221" s="578">
        <v>3565</v>
      </c>
      <c r="G221" s="58">
        <v>1158</v>
      </c>
      <c r="H221" s="58">
        <v>3675</v>
      </c>
      <c r="I221" s="58">
        <v>3636</v>
      </c>
      <c r="J221" s="58">
        <v>3639</v>
      </c>
      <c r="K221" s="58">
        <v>3628</v>
      </c>
      <c r="L221" s="58">
        <v>3642</v>
      </c>
      <c r="M221" s="58">
        <v>3573</v>
      </c>
      <c r="N221" s="58">
        <v>3601</v>
      </c>
      <c r="O221" s="58">
        <v>3656</v>
      </c>
      <c r="P221" s="574"/>
      <c r="Q221" s="577" t="s">
        <v>1858</v>
      </c>
    </row>
    <row r="222" spans="1:17">
      <c r="A222" s="577" t="s">
        <v>5437</v>
      </c>
      <c r="B222" s="577" t="s">
        <v>2602</v>
      </c>
      <c r="C222" s="55" t="s">
        <v>8596</v>
      </c>
      <c r="D222" s="578">
        <v>3452</v>
      </c>
      <c r="E222" s="578">
        <v>3494</v>
      </c>
      <c r="F222" s="578">
        <v>3463</v>
      </c>
      <c r="G222" s="58">
        <v>3612</v>
      </c>
      <c r="H222" s="58">
        <v>3441</v>
      </c>
      <c r="I222" s="58">
        <v>3372</v>
      </c>
      <c r="J222" s="58">
        <v>3311</v>
      </c>
      <c r="K222" s="58">
        <v>3371</v>
      </c>
      <c r="L222" s="58">
        <v>3419</v>
      </c>
      <c r="M222" s="58">
        <v>3378</v>
      </c>
      <c r="N222" s="58">
        <v>3503</v>
      </c>
      <c r="O222" s="58">
        <v>3604</v>
      </c>
      <c r="P222" s="574"/>
      <c r="Q222" s="577" t="s">
        <v>1858</v>
      </c>
    </row>
    <row r="223" spans="1:17">
      <c r="A223" s="577" t="s">
        <v>5439</v>
      </c>
      <c r="B223" s="577" t="s">
        <v>1229</v>
      </c>
      <c r="C223" s="55" t="s">
        <v>8597</v>
      </c>
      <c r="D223" s="578">
        <v>1187</v>
      </c>
      <c r="E223" s="578">
        <v>1164</v>
      </c>
      <c r="F223" s="578">
        <v>1152</v>
      </c>
      <c r="G223" s="58">
        <v>3504</v>
      </c>
      <c r="H223" s="58">
        <v>1178</v>
      </c>
      <c r="I223" s="58">
        <v>1134</v>
      </c>
      <c r="J223" s="58">
        <v>1149</v>
      </c>
      <c r="K223" s="58">
        <v>1139</v>
      </c>
      <c r="L223" s="58">
        <v>1128</v>
      </c>
      <c r="M223" s="58">
        <v>1110</v>
      </c>
      <c r="N223" s="58">
        <v>1130</v>
      </c>
      <c r="O223" s="58">
        <v>1174</v>
      </c>
      <c r="P223" s="574"/>
      <c r="Q223" s="577" t="s">
        <v>1858</v>
      </c>
    </row>
    <row r="224" spans="1:17">
      <c r="A224" s="577" t="s">
        <v>5441</v>
      </c>
      <c r="B224" s="577" t="s">
        <v>1230</v>
      </c>
      <c r="C224" s="55" t="s">
        <v>8598</v>
      </c>
      <c r="D224" s="578">
        <v>2299</v>
      </c>
      <c r="E224" s="578">
        <v>2369</v>
      </c>
      <c r="F224" s="578">
        <v>2299</v>
      </c>
      <c r="G224" s="58">
        <v>2338</v>
      </c>
      <c r="H224" s="58">
        <v>2317</v>
      </c>
      <c r="I224" s="58">
        <v>2260</v>
      </c>
      <c r="J224" s="58">
        <v>2316</v>
      </c>
      <c r="K224" s="58">
        <v>2377</v>
      </c>
      <c r="L224" s="58">
        <v>2381</v>
      </c>
      <c r="M224" s="58">
        <v>2356</v>
      </c>
      <c r="N224" s="58">
        <v>2423</v>
      </c>
      <c r="O224" s="58">
        <v>2489</v>
      </c>
      <c r="P224" s="574"/>
      <c r="Q224" s="577" t="s">
        <v>1858</v>
      </c>
    </row>
    <row r="225" spans="1:17">
      <c r="A225" s="577" t="s">
        <v>5886</v>
      </c>
      <c r="B225" s="577" t="s">
        <v>1207</v>
      </c>
      <c r="C225" s="55" t="s">
        <v>8599</v>
      </c>
      <c r="D225" s="578">
        <v>3908</v>
      </c>
      <c r="E225" s="578">
        <v>3934</v>
      </c>
      <c r="F225" s="578">
        <v>3845</v>
      </c>
      <c r="G225" s="58">
        <v>3893</v>
      </c>
      <c r="H225" s="58">
        <v>3918</v>
      </c>
      <c r="I225" s="58">
        <v>3873</v>
      </c>
      <c r="J225" s="58">
        <v>3952</v>
      </c>
      <c r="K225" s="58">
        <v>4117</v>
      </c>
      <c r="L225" s="58">
        <v>4268</v>
      </c>
      <c r="M225" s="58">
        <v>4331</v>
      </c>
      <c r="N225" s="58">
        <v>4590</v>
      </c>
      <c r="O225" s="58">
        <v>4721</v>
      </c>
      <c r="P225" s="574"/>
      <c r="Q225" s="577" t="s">
        <v>1858</v>
      </c>
    </row>
    <row r="226" spans="1:17">
      <c r="A226" s="574"/>
      <c r="B226" s="574"/>
      <c r="D226" s="584"/>
      <c r="E226" s="584"/>
      <c r="F226" s="584"/>
      <c r="G226" s="584"/>
      <c r="H226" s="584"/>
      <c r="I226" s="584"/>
      <c r="J226" s="584"/>
      <c r="K226" s="584"/>
      <c r="L226" s="584"/>
      <c r="M226" s="584"/>
      <c r="N226" s="584"/>
      <c r="O226" s="584"/>
      <c r="P226" s="574"/>
      <c r="Q226" s="574"/>
    </row>
    <row r="227" spans="1:17">
      <c r="A227" s="577" t="s">
        <v>1208</v>
      </c>
      <c r="D227" s="578">
        <f t="shared" ref="D227:I227" si="132">SUM(D205:D225)</f>
        <v>61208</v>
      </c>
      <c r="E227" s="578">
        <f t="shared" si="132"/>
        <v>61748</v>
      </c>
      <c r="F227" s="578">
        <f t="shared" si="132"/>
        <v>60559</v>
      </c>
      <c r="G227" s="578">
        <f t="shared" si="132"/>
        <v>61240</v>
      </c>
      <c r="H227" s="578">
        <f t="shared" si="132"/>
        <v>60486</v>
      </c>
      <c r="I227" s="578">
        <f t="shared" si="132"/>
        <v>59258</v>
      </c>
      <c r="J227" s="578">
        <f t="shared" ref="J227:O227" si="133">SUM(J205:J225)</f>
        <v>59381</v>
      </c>
      <c r="K227" s="578">
        <f t="shared" si="133"/>
        <v>60098</v>
      </c>
      <c r="L227" s="578">
        <f t="shared" si="133"/>
        <v>60428</v>
      </c>
      <c r="M227" s="578">
        <f t="shared" si="133"/>
        <v>60306</v>
      </c>
      <c r="N227" s="578">
        <f t="shared" si="133"/>
        <v>61660</v>
      </c>
      <c r="O227" s="578">
        <f t="shared" si="133"/>
        <v>62896</v>
      </c>
      <c r="P227" s="574"/>
      <c r="Q227" s="574"/>
    </row>
    <row r="228" spans="1:17">
      <c r="A228" s="577"/>
      <c r="D228" s="578"/>
      <c r="E228" s="578"/>
      <c r="F228" s="578"/>
      <c r="G228" s="578"/>
      <c r="H228" s="578"/>
      <c r="I228" s="578"/>
      <c r="J228" s="578"/>
      <c r="K228" s="578"/>
      <c r="L228" s="578"/>
      <c r="M228" s="578"/>
      <c r="N228" s="578"/>
      <c r="O228" s="578"/>
      <c r="P228" s="574"/>
      <c r="Q228" s="574"/>
    </row>
    <row r="229" spans="1:17">
      <c r="A229" s="577" t="s">
        <v>1209</v>
      </c>
      <c r="D229" s="578"/>
      <c r="E229" s="578"/>
      <c r="F229" s="578"/>
      <c r="G229" s="578"/>
      <c r="H229" s="578"/>
      <c r="I229" s="578"/>
      <c r="J229" s="578"/>
      <c r="K229" s="578"/>
      <c r="L229" s="578"/>
      <c r="M229" s="578"/>
      <c r="N229" s="578"/>
      <c r="O229" s="578"/>
      <c r="P229" s="574"/>
      <c r="Q229" s="574"/>
    </row>
    <row r="230" spans="1:17">
      <c r="A230" s="577"/>
      <c r="B230" s="577"/>
      <c r="D230" s="589"/>
      <c r="E230" s="589"/>
      <c r="F230" s="589"/>
      <c r="G230" s="589"/>
      <c r="H230" s="589"/>
      <c r="I230" s="589"/>
      <c r="J230" s="589"/>
      <c r="K230" s="589"/>
      <c r="L230" s="589"/>
      <c r="M230" s="589"/>
      <c r="N230" s="589"/>
      <c r="O230" s="589"/>
      <c r="P230" s="574"/>
      <c r="Q230" s="574"/>
    </row>
    <row r="231" spans="1:17">
      <c r="A231" s="577"/>
      <c r="B231" s="577"/>
      <c r="D231" s="589"/>
      <c r="E231" s="589"/>
      <c r="F231" s="589"/>
      <c r="G231" s="589"/>
      <c r="H231" s="589"/>
      <c r="I231" s="589"/>
      <c r="J231" s="589"/>
      <c r="K231" s="589"/>
      <c r="L231" s="589"/>
      <c r="M231" s="589"/>
      <c r="N231" s="589"/>
      <c r="O231" s="589"/>
      <c r="P231" s="574"/>
      <c r="Q231" s="574"/>
    </row>
    <row r="232" spans="1:17">
      <c r="A232" s="574"/>
      <c r="B232" s="574"/>
      <c r="E232" s="51" t="s">
        <v>1526</v>
      </c>
      <c r="F232" s="51"/>
      <c r="G232" s="51"/>
      <c r="H232" s="51"/>
      <c r="I232" s="51"/>
      <c r="J232" s="51"/>
      <c r="K232" s="51"/>
      <c r="L232" s="51"/>
      <c r="M232" s="51"/>
      <c r="N232" s="51"/>
      <c r="O232" s="51"/>
      <c r="P232" s="11"/>
      <c r="Q232" s="11" t="s">
        <v>9479</v>
      </c>
    </row>
    <row r="233" spans="1:17">
      <c r="A233" s="574"/>
      <c r="B233" s="574"/>
      <c r="D233" s="350">
        <v>2010</v>
      </c>
      <c r="E233" s="350">
        <v>2011</v>
      </c>
      <c r="F233" s="350">
        <v>2012</v>
      </c>
      <c r="G233" s="350">
        <v>2013</v>
      </c>
      <c r="H233" s="350">
        <v>2014</v>
      </c>
      <c r="I233" s="350">
        <v>2015</v>
      </c>
      <c r="J233" s="350">
        <v>2016</v>
      </c>
      <c r="K233" s="350">
        <v>2017</v>
      </c>
      <c r="L233" s="350">
        <v>2018</v>
      </c>
      <c r="M233" s="350">
        <v>2019</v>
      </c>
      <c r="N233" s="350">
        <v>2020</v>
      </c>
      <c r="O233" s="961" t="s">
        <v>14823</v>
      </c>
      <c r="P233" s="574"/>
      <c r="Q233" s="13" t="s">
        <v>1527</v>
      </c>
    </row>
    <row r="234" spans="1:17">
      <c r="A234" s="577" t="s">
        <v>1210</v>
      </c>
      <c r="D234" s="578">
        <f t="shared" ref="D234:I234" si="134">SUM(D235:D250)</f>
        <v>57978</v>
      </c>
      <c r="E234" s="578">
        <f t="shared" si="134"/>
        <v>60671</v>
      </c>
      <c r="F234" s="578">
        <f t="shared" si="134"/>
        <v>60554</v>
      </c>
      <c r="G234" s="578">
        <f t="shared" si="134"/>
        <v>60099</v>
      </c>
      <c r="H234" s="578">
        <f t="shared" si="134"/>
        <v>60381</v>
      </c>
      <c r="I234" s="578">
        <f t="shared" si="134"/>
        <v>58870</v>
      </c>
      <c r="J234" s="578">
        <f t="shared" ref="J234:O234" si="135">SUM(J235:J250)</f>
        <v>59715</v>
      </c>
      <c r="K234" s="578">
        <f t="shared" si="135"/>
        <v>63001</v>
      </c>
      <c r="L234" s="578">
        <f t="shared" si="135"/>
        <v>59021</v>
      </c>
      <c r="M234" s="578">
        <f t="shared" si="135"/>
        <v>61028</v>
      </c>
      <c r="N234" s="578">
        <f t="shared" si="135"/>
        <v>62754</v>
      </c>
      <c r="O234" s="578">
        <f t="shared" si="135"/>
        <v>62632</v>
      </c>
      <c r="P234" s="574"/>
      <c r="Q234" s="574"/>
    </row>
    <row r="235" spans="1:17">
      <c r="A235" s="577" t="s">
        <v>5387</v>
      </c>
      <c r="B235" s="577" t="s">
        <v>1211</v>
      </c>
      <c r="C235" s="55" t="s">
        <v>8600</v>
      </c>
      <c r="D235" s="578">
        <v>3932</v>
      </c>
      <c r="E235" s="578">
        <v>4055</v>
      </c>
      <c r="F235" s="578">
        <v>4058</v>
      </c>
      <c r="G235" s="63">
        <v>4036</v>
      </c>
      <c r="H235" s="63">
        <v>4054</v>
      </c>
      <c r="I235" s="63">
        <v>3966</v>
      </c>
      <c r="J235" s="63">
        <v>3982</v>
      </c>
      <c r="K235" s="63">
        <v>4216</v>
      </c>
      <c r="L235" s="63">
        <v>3944</v>
      </c>
      <c r="M235" s="63">
        <v>4103</v>
      </c>
      <c r="N235" s="63">
        <v>4187</v>
      </c>
      <c r="O235" s="63">
        <v>4195</v>
      </c>
      <c r="P235" s="574"/>
      <c r="Q235" s="577" t="s">
        <v>1860</v>
      </c>
    </row>
    <row r="236" spans="1:17">
      <c r="A236" s="577" t="s">
        <v>5389</v>
      </c>
      <c r="B236" s="577" t="s">
        <v>4414</v>
      </c>
      <c r="C236" s="55" t="s">
        <v>8601</v>
      </c>
      <c r="D236" s="578">
        <v>2969</v>
      </c>
      <c r="E236" s="578">
        <v>3360</v>
      </c>
      <c r="F236" s="578">
        <v>3348</v>
      </c>
      <c r="G236" s="63">
        <v>3252</v>
      </c>
      <c r="H236" s="63">
        <v>3261</v>
      </c>
      <c r="I236" s="63">
        <v>3121</v>
      </c>
      <c r="J236" s="63">
        <v>3233</v>
      </c>
      <c r="K236" s="63">
        <v>3421</v>
      </c>
      <c r="L236" s="63">
        <v>3210</v>
      </c>
      <c r="M236" s="63">
        <v>3330</v>
      </c>
      <c r="N236" s="63">
        <v>3425</v>
      </c>
      <c r="O236" s="63">
        <v>3434</v>
      </c>
      <c r="P236" s="574"/>
      <c r="Q236" s="577" t="s">
        <v>1860</v>
      </c>
    </row>
    <row r="237" spans="1:17">
      <c r="A237" s="577" t="s">
        <v>5391</v>
      </c>
      <c r="B237" s="577" t="s">
        <v>1212</v>
      </c>
      <c r="C237" s="55" t="s">
        <v>8602</v>
      </c>
      <c r="D237" s="578">
        <v>3253</v>
      </c>
      <c r="E237" s="578">
        <v>3288</v>
      </c>
      <c r="F237" s="578">
        <v>3249</v>
      </c>
      <c r="G237" s="63">
        <v>3292</v>
      </c>
      <c r="H237" s="63">
        <v>3289</v>
      </c>
      <c r="I237" s="63">
        <v>3272</v>
      </c>
      <c r="J237" s="63">
        <v>3333</v>
      </c>
      <c r="K237" s="63">
        <v>3417</v>
      </c>
      <c r="L237" s="63">
        <v>3216</v>
      </c>
      <c r="M237" s="63">
        <v>3293</v>
      </c>
      <c r="N237" s="63">
        <v>3331</v>
      </c>
      <c r="O237" s="63">
        <v>3323</v>
      </c>
      <c r="P237" s="574"/>
      <c r="Q237" s="577" t="s">
        <v>1860</v>
      </c>
    </row>
    <row r="238" spans="1:17">
      <c r="A238" s="577" t="s">
        <v>5393</v>
      </c>
      <c r="B238" s="577" t="s">
        <v>6024</v>
      </c>
      <c r="C238" s="55" t="s">
        <v>8603</v>
      </c>
      <c r="D238" s="578">
        <v>3402</v>
      </c>
      <c r="E238" s="578">
        <v>3713</v>
      </c>
      <c r="F238" s="578">
        <v>3651</v>
      </c>
      <c r="G238" s="63">
        <v>3589</v>
      </c>
      <c r="H238" s="63">
        <v>3631</v>
      </c>
      <c r="I238" s="63">
        <v>3545</v>
      </c>
      <c r="J238" s="63">
        <v>3596</v>
      </c>
      <c r="K238" s="63">
        <v>3815</v>
      </c>
      <c r="L238" s="63">
        <v>3525</v>
      </c>
      <c r="M238" s="63">
        <v>3644</v>
      </c>
      <c r="N238" s="63">
        <v>3881</v>
      </c>
      <c r="O238" s="63">
        <v>3897</v>
      </c>
      <c r="P238" s="574"/>
      <c r="Q238" s="577" t="s">
        <v>1860</v>
      </c>
    </row>
    <row r="239" spans="1:17">
      <c r="A239" s="577" t="s">
        <v>5394</v>
      </c>
      <c r="B239" s="577" t="s">
        <v>1631</v>
      </c>
      <c r="C239" s="55" t="s">
        <v>8604</v>
      </c>
      <c r="D239" s="578">
        <v>2951</v>
      </c>
      <c r="E239" s="578">
        <v>3228</v>
      </c>
      <c r="F239" s="578">
        <v>3294</v>
      </c>
      <c r="G239" s="63">
        <v>3256</v>
      </c>
      <c r="H239" s="63">
        <v>3294</v>
      </c>
      <c r="I239" s="63">
        <v>3194</v>
      </c>
      <c r="J239" s="63">
        <v>3260</v>
      </c>
      <c r="K239" s="63">
        <v>3483</v>
      </c>
      <c r="L239" s="63">
        <v>3255</v>
      </c>
      <c r="M239" s="63">
        <v>3353</v>
      </c>
      <c r="N239" s="63">
        <v>3466</v>
      </c>
      <c r="O239" s="63">
        <v>3455</v>
      </c>
      <c r="P239" s="574"/>
      <c r="Q239" s="577" t="s">
        <v>1860</v>
      </c>
    </row>
    <row r="240" spans="1:17">
      <c r="A240" s="577" t="s">
        <v>5416</v>
      </c>
      <c r="B240" s="577" t="s">
        <v>1213</v>
      </c>
      <c r="C240" s="55" t="s">
        <v>8605</v>
      </c>
      <c r="D240" s="578">
        <v>3557</v>
      </c>
      <c r="E240" s="578">
        <v>3688</v>
      </c>
      <c r="F240" s="578">
        <v>3673</v>
      </c>
      <c r="G240" s="63">
        <v>3628</v>
      </c>
      <c r="H240" s="63">
        <v>3631</v>
      </c>
      <c r="I240" s="63">
        <v>3514</v>
      </c>
      <c r="J240" s="63">
        <v>3547</v>
      </c>
      <c r="K240" s="63">
        <v>3764</v>
      </c>
      <c r="L240" s="63">
        <v>3509</v>
      </c>
      <c r="M240" s="63">
        <v>3637</v>
      </c>
      <c r="N240" s="63">
        <v>3715</v>
      </c>
      <c r="O240" s="63">
        <v>3685</v>
      </c>
      <c r="P240" s="574"/>
      <c r="Q240" s="577" t="s">
        <v>1860</v>
      </c>
    </row>
    <row r="241" spans="1:17">
      <c r="A241" s="577" t="s">
        <v>5418</v>
      </c>
      <c r="B241" s="577" t="s">
        <v>1159</v>
      </c>
      <c r="C241" s="55" t="s">
        <v>8606</v>
      </c>
      <c r="D241" s="578">
        <v>3443</v>
      </c>
      <c r="E241" s="578">
        <v>3499</v>
      </c>
      <c r="F241" s="578">
        <v>3452</v>
      </c>
      <c r="G241" s="63">
        <v>3502</v>
      </c>
      <c r="H241" s="63">
        <v>3569</v>
      </c>
      <c r="I241" s="63">
        <v>3477</v>
      </c>
      <c r="J241" s="63">
        <v>3569</v>
      </c>
      <c r="K241" s="63">
        <v>3748</v>
      </c>
      <c r="L241" s="63">
        <v>3500</v>
      </c>
      <c r="M241" s="63">
        <v>3573</v>
      </c>
      <c r="N241" s="63">
        <v>3704</v>
      </c>
      <c r="O241" s="63">
        <v>3705</v>
      </c>
      <c r="P241" s="574"/>
      <c r="Q241" s="577" t="s">
        <v>1860</v>
      </c>
    </row>
    <row r="242" spans="1:17">
      <c r="A242" s="577" t="s">
        <v>5420</v>
      </c>
      <c r="B242" s="577" t="s">
        <v>1160</v>
      </c>
      <c r="C242" s="55" t="s">
        <v>8607</v>
      </c>
      <c r="D242" s="578">
        <v>3460</v>
      </c>
      <c r="E242" s="578">
        <v>3550</v>
      </c>
      <c r="F242" s="578">
        <v>3561</v>
      </c>
      <c r="G242" s="63">
        <v>3513</v>
      </c>
      <c r="H242" s="63">
        <v>3562</v>
      </c>
      <c r="I242" s="63">
        <v>3517</v>
      </c>
      <c r="J242" s="63">
        <v>3508</v>
      </c>
      <c r="K242" s="63">
        <v>3650</v>
      </c>
      <c r="L242" s="63">
        <v>3437</v>
      </c>
      <c r="M242" s="63">
        <v>3565</v>
      </c>
      <c r="N242" s="63">
        <v>3663</v>
      </c>
      <c r="O242" s="63">
        <v>3652</v>
      </c>
      <c r="P242" s="574"/>
      <c r="Q242" s="577" t="s">
        <v>1860</v>
      </c>
    </row>
    <row r="243" spans="1:17">
      <c r="A243" s="577" t="s">
        <v>5422</v>
      </c>
      <c r="B243" s="577" t="s">
        <v>1161</v>
      </c>
      <c r="C243" s="55" t="s">
        <v>8608</v>
      </c>
      <c r="D243" s="578">
        <v>3398</v>
      </c>
      <c r="E243" s="578">
        <v>3506</v>
      </c>
      <c r="F243" s="578">
        <v>3525</v>
      </c>
      <c r="G243" s="63">
        <v>3487</v>
      </c>
      <c r="H243" s="63">
        <v>3505</v>
      </c>
      <c r="I243" s="63">
        <v>3425</v>
      </c>
      <c r="J243" s="63">
        <v>3485</v>
      </c>
      <c r="K243" s="63">
        <v>3757</v>
      </c>
      <c r="L243" s="63">
        <v>3596</v>
      </c>
      <c r="M243" s="63">
        <v>3708</v>
      </c>
      <c r="N243" s="63">
        <v>3809</v>
      </c>
      <c r="O243" s="63">
        <v>3781</v>
      </c>
      <c r="P243" s="574"/>
      <c r="Q243" s="577" t="s">
        <v>1860</v>
      </c>
    </row>
    <row r="244" spans="1:17">
      <c r="A244" s="577" t="s">
        <v>5424</v>
      </c>
      <c r="B244" s="577" t="s">
        <v>1162</v>
      </c>
      <c r="C244" s="55" t="s">
        <v>8609</v>
      </c>
      <c r="D244" s="578">
        <v>3077</v>
      </c>
      <c r="E244" s="578">
        <v>3365</v>
      </c>
      <c r="F244" s="578">
        <v>3329</v>
      </c>
      <c r="G244" s="63">
        <v>3315</v>
      </c>
      <c r="H244" s="63">
        <v>3286</v>
      </c>
      <c r="I244" s="63">
        <v>3196</v>
      </c>
      <c r="J244" s="63">
        <v>3239</v>
      </c>
      <c r="K244" s="63">
        <v>3418</v>
      </c>
      <c r="L244" s="63">
        <v>3215</v>
      </c>
      <c r="M244" s="63">
        <v>3316</v>
      </c>
      <c r="N244" s="63">
        <v>3472</v>
      </c>
      <c r="O244" s="63">
        <v>3469</v>
      </c>
      <c r="P244" s="574"/>
      <c r="Q244" s="577" t="s">
        <v>1860</v>
      </c>
    </row>
    <row r="245" spans="1:17">
      <c r="A245" s="577" t="s">
        <v>5426</v>
      </c>
      <c r="B245" s="577" t="s">
        <v>1163</v>
      </c>
      <c r="C245" s="55" t="s">
        <v>8610</v>
      </c>
      <c r="D245" s="578">
        <v>4885</v>
      </c>
      <c r="E245" s="578">
        <v>4988</v>
      </c>
      <c r="F245" s="578">
        <v>5012</v>
      </c>
      <c r="G245" s="63">
        <v>4993</v>
      </c>
      <c r="H245" s="63">
        <v>4980</v>
      </c>
      <c r="I245" s="63">
        <v>4872</v>
      </c>
      <c r="J245" s="63">
        <v>4964</v>
      </c>
      <c r="K245" s="63">
        <v>5234</v>
      </c>
      <c r="L245" s="63">
        <v>4894</v>
      </c>
      <c r="M245" s="63">
        <v>5090</v>
      </c>
      <c r="N245" s="63">
        <v>5184</v>
      </c>
      <c r="O245" s="63">
        <v>5157</v>
      </c>
      <c r="P245" s="574"/>
      <c r="Q245" s="577" t="s">
        <v>1860</v>
      </c>
    </row>
    <row r="246" spans="1:17">
      <c r="A246" s="577" t="s">
        <v>5428</v>
      </c>
      <c r="B246" s="577" t="s">
        <v>1218</v>
      </c>
      <c r="C246" s="55" t="s">
        <v>8611</v>
      </c>
      <c r="D246" s="578">
        <v>3005</v>
      </c>
      <c r="E246" s="578">
        <v>3182</v>
      </c>
      <c r="F246" s="578">
        <v>3232</v>
      </c>
      <c r="G246" s="63">
        <v>3182</v>
      </c>
      <c r="H246" s="63">
        <v>3118</v>
      </c>
      <c r="I246" s="63">
        <v>2919</v>
      </c>
      <c r="J246" s="63">
        <v>2999</v>
      </c>
      <c r="K246" s="63">
        <v>3207</v>
      </c>
      <c r="L246" s="63">
        <v>2966</v>
      </c>
      <c r="M246" s="63">
        <v>3085</v>
      </c>
      <c r="N246" s="63">
        <v>3189</v>
      </c>
      <c r="O246" s="63">
        <v>3171</v>
      </c>
      <c r="P246" s="574"/>
      <c r="Q246" s="577" t="s">
        <v>1860</v>
      </c>
    </row>
    <row r="247" spans="1:17">
      <c r="A247" s="577" t="s">
        <v>5429</v>
      </c>
      <c r="B247" s="577" t="s">
        <v>1219</v>
      </c>
      <c r="C247" s="55" t="s">
        <v>8612</v>
      </c>
      <c r="D247" s="578">
        <v>4854</v>
      </c>
      <c r="E247" s="578">
        <v>5143</v>
      </c>
      <c r="F247" s="578">
        <v>5146</v>
      </c>
      <c r="G247" s="63">
        <v>5059</v>
      </c>
      <c r="H247" s="63">
        <v>5145</v>
      </c>
      <c r="I247" s="63">
        <v>5029</v>
      </c>
      <c r="J247" s="63">
        <v>5093</v>
      </c>
      <c r="K247" s="63">
        <v>5382</v>
      </c>
      <c r="L247" s="63">
        <v>5016</v>
      </c>
      <c r="M247" s="63">
        <v>5195</v>
      </c>
      <c r="N247" s="63">
        <v>5366</v>
      </c>
      <c r="O247" s="63">
        <v>5335</v>
      </c>
      <c r="P247" s="574"/>
      <c r="Q247" s="577" t="s">
        <v>1860</v>
      </c>
    </row>
    <row r="248" spans="1:17">
      <c r="A248" s="577" t="s">
        <v>5431</v>
      </c>
      <c r="B248" s="577" t="s">
        <v>2974</v>
      </c>
      <c r="C248" s="55" t="s">
        <v>8613</v>
      </c>
      <c r="D248" s="578">
        <v>3261</v>
      </c>
      <c r="E248" s="578">
        <v>3408</v>
      </c>
      <c r="F248" s="578">
        <v>3425</v>
      </c>
      <c r="G248" s="578">
        <v>3438</v>
      </c>
      <c r="H248" s="63">
        <v>3460</v>
      </c>
      <c r="I248" s="63">
        <v>3337</v>
      </c>
      <c r="J248" s="63">
        <v>3357</v>
      </c>
      <c r="K248" s="63">
        <v>3556</v>
      </c>
      <c r="L248" s="63">
        <v>3324</v>
      </c>
      <c r="M248" s="63">
        <v>3459</v>
      </c>
      <c r="N248" s="63">
        <v>3550</v>
      </c>
      <c r="O248" s="63">
        <v>3542</v>
      </c>
      <c r="P248" s="574"/>
      <c r="Q248" s="577" t="s">
        <v>1860</v>
      </c>
    </row>
    <row r="249" spans="1:17">
      <c r="A249" s="577" t="s">
        <v>5433</v>
      </c>
      <c r="B249" s="577" t="s">
        <v>1220</v>
      </c>
      <c r="C249" s="55" t="s">
        <v>8614</v>
      </c>
      <c r="D249" s="578">
        <v>5091</v>
      </c>
      <c r="E249" s="578">
        <v>5145</v>
      </c>
      <c r="F249" s="578">
        <v>5109</v>
      </c>
      <c r="G249" s="578">
        <v>5065</v>
      </c>
      <c r="H249" s="63">
        <v>5058</v>
      </c>
      <c r="I249" s="63">
        <v>5018</v>
      </c>
      <c r="J249" s="63">
        <v>5076</v>
      </c>
      <c r="K249" s="63">
        <v>5221</v>
      </c>
      <c r="L249" s="63">
        <v>4971</v>
      </c>
      <c r="M249" s="63">
        <v>5124</v>
      </c>
      <c r="N249" s="63">
        <v>5161</v>
      </c>
      <c r="O249" s="63">
        <v>5166</v>
      </c>
      <c r="P249" s="574"/>
      <c r="Q249" s="577" t="s">
        <v>1860</v>
      </c>
    </row>
    <row r="250" spans="1:17">
      <c r="A250" s="577" t="s">
        <v>5435</v>
      </c>
      <c r="B250" s="577" t="s">
        <v>1221</v>
      </c>
      <c r="C250" s="55" t="s">
        <v>8615</v>
      </c>
      <c r="D250" s="578">
        <v>3440</v>
      </c>
      <c r="E250" s="578">
        <v>3553</v>
      </c>
      <c r="F250" s="578">
        <v>3490</v>
      </c>
      <c r="G250" s="578">
        <v>3492</v>
      </c>
      <c r="H250" s="63">
        <v>3538</v>
      </c>
      <c r="I250" s="63">
        <v>3468</v>
      </c>
      <c r="J250" s="63">
        <v>3474</v>
      </c>
      <c r="K250" s="63">
        <v>3712</v>
      </c>
      <c r="L250" s="63">
        <v>3443</v>
      </c>
      <c r="M250" s="63">
        <v>3553</v>
      </c>
      <c r="N250" s="63">
        <v>3651</v>
      </c>
      <c r="O250" s="63">
        <v>3665</v>
      </c>
      <c r="P250" s="574"/>
      <c r="Q250" s="577" t="s">
        <v>1860</v>
      </c>
    </row>
    <row r="251" spans="1:17">
      <c r="A251" s="574"/>
      <c r="B251" s="574"/>
      <c r="D251" s="584"/>
      <c r="E251" s="584"/>
      <c r="F251" s="584"/>
      <c r="G251" s="584"/>
      <c r="H251" s="584"/>
      <c r="I251" s="584"/>
      <c r="J251" s="584"/>
      <c r="K251" s="584"/>
      <c r="L251" s="584"/>
      <c r="M251" s="584"/>
      <c r="N251" s="584"/>
      <c r="O251" s="584"/>
      <c r="P251" s="574"/>
      <c r="Q251" s="574"/>
    </row>
    <row r="252" spans="1:17">
      <c r="A252" s="577" t="s">
        <v>1222</v>
      </c>
      <c r="D252" s="578">
        <f t="shared" ref="D252:I252" si="136">SUM(D235:D250)</f>
        <v>57978</v>
      </c>
      <c r="E252" s="578">
        <f t="shared" si="136"/>
        <v>60671</v>
      </c>
      <c r="F252" s="578">
        <f t="shared" si="136"/>
        <v>60554</v>
      </c>
      <c r="G252" s="578">
        <f t="shared" si="136"/>
        <v>60099</v>
      </c>
      <c r="H252" s="578">
        <f t="shared" si="136"/>
        <v>60381</v>
      </c>
      <c r="I252" s="578">
        <f t="shared" si="136"/>
        <v>58870</v>
      </c>
      <c r="J252" s="578">
        <f t="shared" ref="J252:O252" si="137">SUM(J235:J250)</f>
        <v>59715</v>
      </c>
      <c r="K252" s="578">
        <f t="shared" si="137"/>
        <v>63001</v>
      </c>
      <c r="L252" s="578">
        <f t="shared" si="137"/>
        <v>59021</v>
      </c>
      <c r="M252" s="578">
        <f t="shared" si="137"/>
        <v>61028</v>
      </c>
      <c r="N252" s="578">
        <f t="shared" si="137"/>
        <v>62754</v>
      </c>
      <c r="O252" s="578">
        <f t="shared" si="137"/>
        <v>62632</v>
      </c>
      <c r="P252" s="574"/>
      <c r="Q252" s="574"/>
    </row>
    <row r="253" spans="1:17">
      <c r="A253" s="577"/>
      <c r="D253" s="578"/>
      <c r="E253" s="578"/>
      <c r="F253" s="578"/>
      <c r="G253" s="578"/>
      <c r="H253" s="578"/>
      <c r="I253" s="578"/>
      <c r="J253" s="578"/>
      <c r="K253" s="578"/>
      <c r="L253" s="578"/>
      <c r="M253" s="578"/>
      <c r="N253" s="578"/>
      <c r="O253" s="578"/>
      <c r="P253" s="574"/>
      <c r="Q253" s="574"/>
    </row>
    <row r="254" spans="1:17">
      <c r="A254" s="577" t="s">
        <v>1223</v>
      </c>
      <c r="D254" s="578"/>
      <c r="E254" s="578"/>
      <c r="F254" s="578"/>
      <c r="G254" s="578"/>
      <c r="H254" s="578"/>
      <c r="I254" s="578"/>
      <c r="J254" s="578"/>
      <c r="K254" s="578"/>
      <c r="L254" s="578"/>
      <c r="M254" s="578"/>
      <c r="N254" s="578"/>
      <c r="O254" s="578"/>
      <c r="P254" s="574"/>
      <c r="Q254" s="574"/>
    </row>
    <row r="255" spans="1:17">
      <c r="B255" s="577"/>
      <c r="D255" s="589"/>
      <c r="E255" s="589"/>
      <c r="F255" s="589"/>
      <c r="G255" s="589"/>
      <c r="H255" s="589"/>
      <c r="I255" s="589"/>
      <c r="J255" s="589"/>
      <c r="K255" s="589"/>
      <c r="L255" s="589"/>
      <c r="M255" s="589"/>
      <c r="N255" s="589"/>
      <c r="O255" s="589"/>
      <c r="P255" s="574"/>
      <c r="Q255" s="574"/>
    </row>
    <row r="256" spans="1:17">
      <c r="A256" s="577"/>
      <c r="B256" s="577"/>
      <c r="D256" s="589"/>
      <c r="E256" s="589"/>
      <c r="F256" s="589"/>
      <c r="G256" s="589"/>
      <c r="H256" s="589"/>
      <c r="I256" s="589"/>
      <c r="J256" s="589"/>
      <c r="K256" s="589"/>
      <c r="L256" s="589"/>
      <c r="M256" s="589"/>
      <c r="N256" s="589"/>
      <c r="O256" s="589"/>
      <c r="P256" s="574"/>
      <c r="Q256" s="574"/>
    </row>
    <row r="257" spans="1:17">
      <c r="A257" s="574"/>
      <c r="B257" s="574"/>
      <c r="E257" s="51" t="s">
        <v>1526</v>
      </c>
      <c r="F257" s="51"/>
      <c r="G257" s="51"/>
      <c r="H257" s="51"/>
      <c r="I257" s="51"/>
      <c r="J257" s="51"/>
      <c r="K257" s="51"/>
      <c r="L257" s="51"/>
      <c r="M257" s="51"/>
      <c r="N257" s="51"/>
      <c r="O257" s="51"/>
      <c r="P257" s="11"/>
      <c r="Q257" s="11" t="s">
        <v>9479</v>
      </c>
    </row>
    <row r="258" spans="1:17">
      <c r="A258" s="574"/>
      <c r="B258" s="574"/>
      <c r="D258" s="350">
        <v>2010</v>
      </c>
      <c r="E258" s="350">
        <v>2011</v>
      </c>
      <c r="F258" s="350">
        <v>2012</v>
      </c>
      <c r="G258" s="350">
        <v>2013</v>
      </c>
      <c r="H258" s="350">
        <v>2014</v>
      </c>
      <c r="I258" s="350">
        <v>2015</v>
      </c>
      <c r="J258" s="350">
        <v>2016</v>
      </c>
      <c r="K258" s="350">
        <v>2017</v>
      </c>
      <c r="L258" s="350">
        <v>2018</v>
      </c>
      <c r="M258" s="350">
        <v>2019</v>
      </c>
      <c r="N258" s="350">
        <v>2020</v>
      </c>
      <c r="O258" s="961" t="s">
        <v>14823</v>
      </c>
      <c r="P258" s="574"/>
      <c r="Q258" s="13" t="s">
        <v>1527</v>
      </c>
    </row>
    <row r="259" spans="1:17">
      <c r="A259" s="577" t="s">
        <v>1224</v>
      </c>
      <c r="D259" s="578">
        <f t="shared" ref="D259:J259" si="138">SUM(D260:D286)</f>
        <v>107588</v>
      </c>
      <c r="E259" s="578">
        <f t="shared" si="138"/>
        <v>109144</v>
      </c>
      <c r="F259" s="578">
        <f t="shared" si="138"/>
        <v>106678</v>
      </c>
      <c r="G259" s="578">
        <f t="shared" si="138"/>
        <v>105377</v>
      </c>
      <c r="H259" s="578">
        <f t="shared" si="138"/>
        <v>99352</v>
      </c>
      <c r="I259" s="578">
        <f t="shared" si="138"/>
        <v>98929</v>
      </c>
      <c r="J259" s="578">
        <f t="shared" si="138"/>
        <v>96357</v>
      </c>
      <c r="K259" s="578">
        <f>SUM(K260:K286)</f>
        <v>102565</v>
      </c>
      <c r="L259" s="578">
        <f>SUM(L260:L286)</f>
        <v>109336</v>
      </c>
      <c r="M259" s="578">
        <f>SUM(M260:M286)</f>
        <v>104236</v>
      </c>
      <c r="N259" s="578">
        <f>SUM(N260:N286)</f>
        <v>106843</v>
      </c>
      <c r="O259" s="578">
        <f>SUM(O260:O286)</f>
        <v>109065</v>
      </c>
      <c r="P259" s="574"/>
      <c r="Q259" s="574"/>
    </row>
    <row r="260" spans="1:17">
      <c r="A260" s="577" t="s">
        <v>5387</v>
      </c>
      <c r="B260" s="577" t="s">
        <v>1225</v>
      </c>
      <c r="C260" s="55" t="s">
        <v>10812</v>
      </c>
      <c r="D260" s="578">
        <v>68750</v>
      </c>
      <c r="E260" s="578">
        <v>69254</v>
      </c>
      <c r="F260" s="578">
        <v>68503</v>
      </c>
      <c r="G260" s="578">
        <v>68281</v>
      </c>
      <c r="H260" s="63">
        <v>64339</v>
      </c>
      <c r="I260" s="56">
        <v>65465</v>
      </c>
      <c r="J260" s="56">
        <v>5392</v>
      </c>
      <c r="K260" s="56">
        <v>5503</v>
      </c>
      <c r="L260" s="56">
        <v>5706</v>
      </c>
      <c r="M260" s="56">
        <v>5494</v>
      </c>
      <c r="N260" s="56">
        <v>5557</v>
      </c>
      <c r="O260" s="56">
        <v>5625</v>
      </c>
      <c r="P260" s="574"/>
      <c r="Q260" s="577" t="s">
        <v>1865</v>
      </c>
    </row>
    <row r="261" spans="1:17">
      <c r="A261" s="577" t="s">
        <v>5389</v>
      </c>
      <c r="B261" s="577" t="s">
        <v>10810</v>
      </c>
      <c r="C261" s="55" t="s">
        <v>10815</v>
      </c>
      <c r="D261" s="578">
        <v>0</v>
      </c>
      <c r="E261" s="578">
        <v>0</v>
      </c>
      <c r="F261" s="578">
        <v>0</v>
      </c>
      <c r="G261" s="578">
        <v>0</v>
      </c>
      <c r="H261" s="63">
        <v>0</v>
      </c>
      <c r="I261" s="56">
        <v>0</v>
      </c>
      <c r="J261" s="56">
        <v>5814</v>
      </c>
      <c r="K261" s="56">
        <v>5938</v>
      </c>
      <c r="L261" s="56">
        <v>6132</v>
      </c>
      <c r="M261" s="56">
        <v>5969</v>
      </c>
      <c r="N261" s="56">
        <v>6050</v>
      </c>
      <c r="O261" s="56">
        <v>6109</v>
      </c>
      <c r="P261" s="574"/>
      <c r="Q261" s="577" t="s">
        <v>1865</v>
      </c>
    </row>
    <row r="262" spans="1:17">
      <c r="A262" s="577" t="s">
        <v>5391</v>
      </c>
      <c r="B262" s="577" t="s">
        <v>1226</v>
      </c>
      <c r="C262" s="55" t="s">
        <v>10816</v>
      </c>
      <c r="D262" s="578">
        <v>38838</v>
      </c>
      <c r="E262" s="578">
        <v>39890</v>
      </c>
      <c r="F262" s="578">
        <v>38175</v>
      </c>
      <c r="G262" s="578">
        <v>37096</v>
      </c>
      <c r="H262" s="63">
        <v>35013</v>
      </c>
      <c r="I262" s="56">
        <v>33464</v>
      </c>
      <c r="J262" s="56">
        <v>4592</v>
      </c>
      <c r="K262" s="56">
        <v>5378</v>
      </c>
      <c r="L262" s="56">
        <v>6196</v>
      </c>
      <c r="M262" s="56">
        <v>5814</v>
      </c>
      <c r="N262" s="56">
        <v>6563</v>
      </c>
      <c r="O262" s="56">
        <v>6714</v>
      </c>
      <c r="P262" s="574"/>
      <c r="Q262" s="577" t="s">
        <v>1862</v>
      </c>
    </row>
    <row r="263" spans="1:17">
      <c r="A263" s="577" t="s">
        <v>5393</v>
      </c>
      <c r="B263" s="577" t="s">
        <v>10811</v>
      </c>
      <c r="C263" s="55" t="s">
        <v>10817</v>
      </c>
      <c r="D263" s="578">
        <v>0</v>
      </c>
      <c r="E263" s="578">
        <v>0</v>
      </c>
      <c r="F263" s="578">
        <v>0</v>
      </c>
      <c r="G263" s="578">
        <v>0</v>
      </c>
      <c r="H263" s="63">
        <v>0</v>
      </c>
      <c r="I263" s="56">
        <v>0</v>
      </c>
      <c r="J263" s="56">
        <v>4446</v>
      </c>
      <c r="K263" s="56">
        <v>4506</v>
      </c>
      <c r="L263" s="56">
        <v>4689</v>
      </c>
      <c r="M263" s="56">
        <v>4533</v>
      </c>
      <c r="N263" s="56">
        <v>4598</v>
      </c>
      <c r="O263" s="56">
        <v>4671</v>
      </c>
      <c r="P263" s="574"/>
      <c r="Q263" s="577" t="s">
        <v>1865</v>
      </c>
    </row>
    <row r="264" spans="1:17">
      <c r="A264" s="577" t="s">
        <v>5394</v>
      </c>
      <c r="B264" s="577" t="s">
        <v>5904</v>
      </c>
      <c r="C264" s="55" t="s">
        <v>10818</v>
      </c>
      <c r="D264" s="578">
        <v>0</v>
      </c>
      <c r="E264" s="578">
        <v>0</v>
      </c>
      <c r="F264" s="578">
        <v>0</v>
      </c>
      <c r="G264" s="578">
        <v>0</v>
      </c>
      <c r="H264" s="63">
        <v>0</v>
      </c>
      <c r="I264" s="56">
        <v>0</v>
      </c>
      <c r="J264" s="56">
        <v>3455</v>
      </c>
      <c r="K264" s="56">
        <v>4029</v>
      </c>
      <c r="L264" s="56">
        <v>4778</v>
      </c>
      <c r="M264" s="56">
        <v>4542</v>
      </c>
      <c r="N264" s="56">
        <v>4797</v>
      </c>
      <c r="O264" s="56">
        <v>4848</v>
      </c>
      <c r="P264" s="574"/>
      <c r="Q264" s="577" t="s">
        <v>1862</v>
      </c>
    </row>
    <row r="265" spans="1:17">
      <c r="A265" s="577" t="s">
        <v>5416</v>
      </c>
      <c r="B265" s="577" t="s">
        <v>1228</v>
      </c>
      <c r="C265" s="55" t="s">
        <v>10819</v>
      </c>
      <c r="D265" s="578">
        <v>0</v>
      </c>
      <c r="E265" s="578">
        <v>0</v>
      </c>
      <c r="F265" s="578">
        <v>0</v>
      </c>
      <c r="G265" s="578">
        <v>0</v>
      </c>
      <c r="H265" s="63">
        <v>0</v>
      </c>
      <c r="I265" s="56">
        <v>0</v>
      </c>
      <c r="J265" s="56">
        <v>3276</v>
      </c>
      <c r="K265" s="56">
        <v>3404</v>
      </c>
      <c r="L265" s="56">
        <v>3656</v>
      </c>
      <c r="M265" s="56">
        <v>3482</v>
      </c>
      <c r="N265" s="56">
        <v>3553</v>
      </c>
      <c r="O265" s="56">
        <v>3600</v>
      </c>
      <c r="P265" s="574"/>
      <c r="Q265" s="577" t="s">
        <v>1862</v>
      </c>
    </row>
    <row r="266" spans="1:17">
      <c r="A266" s="577" t="s">
        <v>5418</v>
      </c>
      <c r="B266" s="577" t="s">
        <v>584</v>
      </c>
      <c r="C266" s="55" t="s">
        <v>10820</v>
      </c>
      <c r="D266" s="578">
        <v>0</v>
      </c>
      <c r="E266" s="578">
        <v>0</v>
      </c>
      <c r="F266" s="578">
        <v>0</v>
      </c>
      <c r="G266" s="578">
        <v>0</v>
      </c>
      <c r="H266" s="63">
        <v>0</v>
      </c>
      <c r="I266" s="56">
        <v>0</v>
      </c>
      <c r="J266" s="56">
        <v>1947</v>
      </c>
      <c r="K266" s="56">
        <v>2020</v>
      </c>
      <c r="L266" s="56">
        <v>2101</v>
      </c>
      <c r="M266" s="56">
        <v>2022</v>
      </c>
      <c r="N266" s="56">
        <v>2053</v>
      </c>
      <c r="O266" s="56">
        <v>2105</v>
      </c>
      <c r="P266" s="574"/>
      <c r="Q266" s="577" t="s">
        <v>1865</v>
      </c>
    </row>
    <row r="267" spans="1:17">
      <c r="A267" s="577" t="s">
        <v>5420</v>
      </c>
      <c r="B267" s="577" t="s">
        <v>2127</v>
      </c>
      <c r="C267" s="55" t="s">
        <v>10821</v>
      </c>
      <c r="D267" s="578">
        <v>0</v>
      </c>
      <c r="E267" s="578">
        <v>0</v>
      </c>
      <c r="F267" s="578">
        <v>0</v>
      </c>
      <c r="G267" s="578">
        <v>0</v>
      </c>
      <c r="H267" s="63">
        <v>0</v>
      </c>
      <c r="I267" s="56">
        <v>0</v>
      </c>
      <c r="J267" s="56">
        <v>4759</v>
      </c>
      <c r="K267" s="56">
        <v>5012</v>
      </c>
      <c r="L267" s="56">
        <v>5310</v>
      </c>
      <c r="M267" s="56">
        <v>5073</v>
      </c>
      <c r="N267" s="56">
        <v>5085</v>
      </c>
      <c r="O267" s="56">
        <v>5228</v>
      </c>
      <c r="P267" s="574"/>
      <c r="Q267" s="577" t="s">
        <v>1865</v>
      </c>
    </row>
    <row r="268" spans="1:17">
      <c r="A268" s="577" t="s">
        <v>5422</v>
      </c>
      <c r="B268" s="577" t="s">
        <v>585</v>
      </c>
      <c r="C268" s="55" t="s">
        <v>10822</v>
      </c>
      <c r="D268" s="578">
        <v>0</v>
      </c>
      <c r="E268" s="578">
        <v>0</v>
      </c>
      <c r="F268" s="578">
        <v>0</v>
      </c>
      <c r="G268" s="578">
        <v>0</v>
      </c>
      <c r="H268" s="63">
        <v>0</v>
      </c>
      <c r="I268" s="56">
        <v>0</v>
      </c>
      <c r="J268" s="56">
        <v>3268</v>
      </c>
      <c r="K268" s="56">
        <v>3356</v>
      </c>
      <c r="L268" s="56">
        <v>3548</v>
      </c>
      <c r="M268" s="56">
        <v>3396</v>
      </c>
      <c r="N268" s="56">
        <v>3404</v>
      </c>
      <c r="O268" s="56">
        <v>3457</v>
      </c>
      <c r="P268" s="574"/>
      <c r="Q268" s="577" t="s">
        <v>1865</v>
      </c>
    </row>
    <row r="269" spans="1:17">
      <c r="A269" s="577" t="s">
        <v>5424</v>
      </c>
      <c r="B269" s="577" t="s">
        <v>586</v>
      </c>
      <c r="C269" s="55" t="s">
        <v>10823</v>
      </c>
      <c r="D269" s="578">
        <v>0</v>
      </c>
      <c r="E269" s="578">
        <v>0</v>
      </c>
      <c r="F269" s="578">
        <v>0</v>
      </c>
      <c r="G269" s="578">
        <v>0</v>
      </c>
      <c r="H269" s="63">
        <v>0</v>
      </c>
      <c r="I269" s="56">
        <v>0</v>
      </c>
      <c r="J269" s="58">
        <v>3058</v>
      </c>
      <c r="K269" s="58">
        <v>3119</v>
      </c>
      <c r="L269" s="58">
        <v>3339</v>
      </c>
      <c r="M269" s="58">
        <v>3212</v>
      </c>
      <c r="N269" s="58">
        <v>3238</v>
      </c>
      <c r="O269" s="58">
        <v>3328</v>
      </c>
      <c r="P269" s="574"/>
      <c r="Q269" s="577" t="s">
        <v>1865</v>
      </c>
    </row>
    <row r="270" spans="1:17">
      <c r="A270" s="577" t="s">
        <v>5426</v>
      </c>
      <c r="B270" s="577" t="s">
        <v>587</v>
      </c>
      <c r="C270" s="55" t="s">
        <v>10824</v>
      </c>
      <c r="D270" s="578">
        <v>0</v>
      </c>
      <c r="E270" s="578">
        <v>0</v>
      </c>
      <c r="F270" s="578">
        <v>0</v>
      </c>
      <c r="G270" s="578">
        <v>0</v>
      </c>
      <c r="H270" s="63">
        <v>0</v>
      </c>
      <c r="I270" s="56">
        <v>0</v>
      </c>
      <c r="J270" s="58">
        <v>4790</v>
      </c>
      <c r="K270" s="58">
        <v>4927</v>
      </c>
      <c r="L270" s="58">
        <v>5252</v>
      </c>
      <c r="M270" s="58">
        <v>5045</v>
      </c>
      <c r="N270" s="58">
        <v>5113</v>
      </c>
      <c r="O270" s="58">
        <v>5187</v>
      </c>
      <c r="P270" s="574"/>
      <c r="Q270" s="577" t="s">
        <v>1865</v>
      </c>
    </row>
    <row r="271" spans="1:17">
      <c r="A271" s="577" t="s">
        <v>5428</v>
      </c>
      <c r="B271" s="577" t="s">
        <v>588</v>
      </c>
      <c r="C271" s="55" t="s">
        <v>10825</v>
      </c>
      <c r="D271" s="578">
        <v>0</v>
      </c>
      <c r="E271" s="578">
        <v>0</v>
      </c>
      <c r="F271" s="578">
        <v>0</v>
      </c>
      <c r="G271" s="578">
        <v>0</v>
      </c>
      <c r="H271" s="63">
        <v>0</v>
      </c>
      <c r="I271" s="56">
        <v>0</v>
      </c>
      <c r="J271" s="56">
        <v>4796</v>
      </c>
      <c r="K271" s="56">
        <v>5370</v>
      </c>
      <c r="L271" s="56">
        <v>6218</v>
      </c>
      <c r="M271" s="56">
        <v>5654</v>
      </c>
      <c r="N271" s="56">
        <v>5958</v>
      </c>
      <c r="O271" s="56">
        <v>6129</v>
      </c>
      <c r="P271" s="574"/>
      <c r="Q271" s="577" t="s">
        <v>1862</v>
      </c>
    </row>
    <row r="272" spans="1:17">
      <c r="A272" s="577" t="s">
        <v>5429</v>
      </c>
      <c r="B272" s="577" t="s">
        <v>589</v>
      </c>
      <c r="C272" s="55" t="s">
        <v>10826</v>
      </c>
      <c r="D272" s="578">
        <v>0</v>
      </c>
      <c r="E272" s="578">
        <v>0</v>
      </c>
      <c r="F272" s="578">
        <v>0</v>
      </c>
      <c r="G272" s="578">
        <v>0</v>
      </c>
      <c r="H272" s="63">
        <v>0</v>
      </c>
      <c r="I272" s="56">
        <v>0</v>
      </c>
      <c r="J272" s="58">
        <v>1639</v>
      </c>
      <c r="K272" s="58">
        <v>1729</v>
      </c>
      <c r="L272" s="58">
        <v>1791</v>
      </c>
      <c r="M272" s="58">
        <v>1741</v>
      </c>
      <c r="N272" s="58">
        <v>1771</v>
      </c>
      <c r="O272" s="58">
        <v>1798</v>
      </c>
      <c r="P272" s="574"/>
      <c r="Q272" s="577" t="s">
        <v>1865</v>
      </c>
    </row>
    <row r="273" spans="1:17">
      <c r="A273" s="577" t="s">
        <v>5431</v>
      </c>
      <c r="B273" s="577" t="s">
        <v>590</v>
      </c>
      <c r="C273" s="55" t="s">
        <v>10827</v>
      </c>
      <c r="D273" s="578">
        <v>0</v>
      </c>
      <c r="E273" s="578">
        <v>0</v>
      </c>
      <c r="F273" s="578">
        <v>0</v>
      </c>
      <c r="G273" s="578">
        <v>0</v>
      </c>
      <c r="H273" s="63">
        <v>0</v>
      </c>
      <c r="I273" s="56">
        <v>0</v>
      </c>
      <c r="J273" s="56">
        <v>3525</v>
      </c>
      <c r="K273" s="56">
        <v>3591</v>
      </c>
      <c r="L273" s="56">
        <v>3686</v>
      </c>
      <c r="M273" s="56">
        <v>3581</v>
      </c>
      <c r="N273" s="56">
        <v>3618</v>
      </c>
      <c r="O273" s="56">
        <v>3694</v>
      </c>
      <c r="P273" s="574"/>
      <c r="Q273" s="577" t="s">
        <v>1862</v>
      </c>
    </row>
    <row r="274" spans="1:17">
      <c r="A274" s="577" t="s">
        <v>5433</v>
      </c>
      <c r="B274" s="577" t="s">
        <v>4948</v>
      </c>
      <c r="C274" s="55" t="s">
        <v>10828</v>
      </c>
      <c r="D274" s="578">
        <v>0</v>
      </c>
      <c r="E274" s="578">
        <v>0</v>
      </c>
      <c r="F274" s="578">
        <v>0</v>
      </c>
      <c r="G274" s="578">
        <v>0</v>
      </c>
      <c r="H274" s="63">
        <v>0</v>
      </c>
      <c r="I274" s="56">
        <v>0</v>
      </c>
      <c r="J274" s="56">
        <v>3276</v>
      </c>
      <c r="K274" s="56">
        <v>3619</v>
      </c>
      <c r="L274" s="56">
        <v>3983</v>
      </c>
      <c r="M274" s="56">
        <v>3911</v>
      </c>
      <c r="N274" s="56">
        <v>4074</v>
      </c>
      <c r="O274" s="56">
        <v>4205</v>
      </c>
      <c r="P274" s="574"/>
      <c r="Q274" s="577" t="s">
        <v>1862</v>
      </c>
    </row>
    <row r="275" spans="1:17">
      <c r="A275" s="577" t="s">
        <v>5435</v>
      </c>
      <c r="B275" s="577" t="s">
        <v>1163</v>
      </c>
      <c r="C275" s="55" t="s">
        <v>10829</v>
      </c>
      <c r="D275" s="578">
        <v>0</v>
      </c>
      <c r="E275" s="578">
        <v>0</v>
      </c>
      <c r="F275" s="578">
        <v>0</v>
      </c>
      <c r="G275" s="578">
        <v>0</v>
      </c>
      <c r="H275" s="63">
        <v>0</v>
      </c>
      <c r="I275" s="56">
        <v>0</v>
      </c>
      <c r="J275" s="58">
        <v>1672</v>
      </c>
      <c r="K275" s="58">
        <v>1747</v>
      </c>
      <c r="L275" s="58">
        <v>1862</v>
      </c>
      <c r="M275" s="58">
        <v>1777</v>
      </c>
      <c r="N275" s="58">
        <v>1850</v>
      </c>
      <c r="O275" s="58">
        <v>1881</v>
      </c>
      <c r="P275" s="574"/>
      <c r="Q275" s="577" t="s">
        <v>1865</v>
      </c>
    </row>
    <row r="276" spans="1:17">
      <c r="A276" s="577" t="s">
        <v>5436</v>
      </c>
      <c r="B276" s="577" t="s">
        <v>591</v>
      </c>
      <c r="C276" s="55" t="s">
        <v>10830</v>
      </c>
      <c r="D276" s="578">
        <v>0</v>
      </c>
      <c r="E276" s="578">
        <v>0</v>
      </c>
      <c r="F276" s="578">
        <v>0</v>
      </c>
      <c r="G276" s="578">
        <v>0</v>
      </c>
      <c r="H276" s="63">
        <v>0</v>
      </c>
      <c r="I276" s="56">
        <v>0</v>
      </c>
      <c r="J276" s="58">
        <v>3255</v>
      </c>
      <c r="K276" s="58">
        <v>3521</v>
      </c>
      <c r="L276" s="58">
        <v>3790</v>
      </c>
      <c r="M276" s="58">
        <v>3478</v>
      </c>
      <c r="N276" s="58">
        <v>3501</v>
      </c>
      <c r="O276" s="58">
        <v>3618</v>
      </c>
      <c r="P276" s="574"/>
      <c r="Q276" s="577" t="s">
        <v>1865</v>
      </c>
    </row>
    <row r="277" spans="1:17">
      <c r="A277" s="577" t="s">
        <v>5437</v>
      </c>
      <c r="B277" s="577" t="s">
        <v>504</v>
      </c>
      <c r="C277" s="55" t="s">
        <v>10831</v>
      </c>
      <c r="D277" s="578">
        <v>0</v>
      </c>
      <c r="E277" s="578">
        <v>0</v>
      </c>
      <c r="F277" s="578">
        <v>0</v>
      </c>
      <c r="G277" s="578">
        <v>0</v>
      </c>
      <c r="H277" s="63">
        <v>0</v>
      </c>
      <c r="I277" s="56">
        <v>0</v>
      </c>
      <c r="J277" s="56">
        <v>3221</v>
      </c>
      <c r="K277" s="56">
        <v>3302</v>
      </c>
      <c r="L277" s="56">
        <v>3515</v>
      </c>
      <c r="M277" s="56">
        <v>3308</v>
      </c>
      <c r="N277" s="56">
        <v>3366</v>
      </c>
      <c r="O277" s="56">
        <v>3389</v>
      </c>
      <c r="P277" s="574"/>
      <c r="Q277" s="577" t="s">
        <v>1862</v>
      </c>
    </row>
    <row r="278" spans="1:17">
      <c r="A278" s="577" t="s">
        <v>5439</v>
      </c>
      <c r="B278" s="577" t="s">
        <v>505</v>
      </c>
      <c r="C278" s="55" t="s">
        <v>10832</v>
      </c>
      <c r="D278" s="578">
        <v>0</v>
      </c>
      <c r="E278" s="578">
        <v>0</v>
      </c>
      <c r="F278" s="578">
        <v>0</v>
      </c>
      <c r="G278" s="578">
        <v>0</v>
      </c>
      <c r="H278" s="63">
        <v>0</v>
      </c>
      <c r="I278" s="56">
        <v>0</v>
      </c>
      <c r="J278" s="56">
        <v>4868</v>
      </c>
      <c r="K278" s="56">
        <v>5246</v>
      </c>
      <c r="L278" s="56">
        <v>5659</v>
      </c>
      <c r="M278" s="56">
        <v>5219</v>
      </c>
      <c r="N278" s="56">
        <v>5538</v>
      </c>
      <c r="O278" s="56">
        <v>5646</v>
      </c>
      <c r="P278" s="574"/>
      <c r="Q278" s="577" t="s">
        <v>1862</v>
      </c>
    </row>
    <row r="279" spans="1:17">
      <c r="A279" s="577" t="s">
        <v>5441</v>
      </c>
      <c r="B279" s="577" t="s">
        <v>506</v>
      </c>
      <c r="C279" s="55" t="s">
        <v>10833</v>
      </c>
      <c r="D279" s="578">
        <v>0</v>
      </c>
      <c r="E279" s="578">
        <v>0</v>
      </c>
      <c r="F279" s="578">
        <v>0</v>
      </c>
      <c r="G279" s="578">
        <v>0</v>
      </c>
      <c r="H279" s="63">
        <v>0</v>
      </c>
      <c r="I279" s="56">
        <v>0</v>
      </c>
      <c r="J279" s="58">
        <v>1616</v>
      </c>
      <c r="K279" s="58">
        <v>1635</v>
      </c>
      <c r="L279" s="58">
        <v>1696</v>
      </c>
      <c r="M279" s="58">
        <v>1647</v>
      </c>
      <c r="N279" s="58">
        <v>1669</v>
      </c>
      <c r="O279" s="58">
        <v>1686</v>
      </c>
      <c r="P279" s="574"/>
      <c r="Q279" s="577" t="s">
        <v>1865</v>
      </c>
    </row>
    <row r="280" spans="1:17">
      <c r="A280" s="577" t="s">
        <v>5886</v>
      </c>
      <c r="B280" s="577" t="s">
        <v>507</v>
      </c>
      <c r="C280" s="55" t="s">
        <v>10834</v>
      </c>
      <c r="D280" s="578">
        <v>0</v>
      </c>
      <c r="E280" s="578">
        <v>0</v>
      </c>
      <c r="F280" s="578">
        <v>0</v>
      </c>
      <c r="G280" s="578">
        <v>0</v>
      </c>
      <c r="H280" s="63">
        <v>0</v>
      </c>
      <c r="I280" s="56">
        <v>0</v>
      </c>
      <c r="J280" s="58">
        <v>4520</v>
      </c>
      <c r="K280" s="58">
        <v>4633</v>
      </c>
      <c r="L280" s="58">
        <v>4918</v>
      </c>
      <c r="M280" s="58">
        <v>4617</v>
      </c>
      <c r="N280" s="58">
        <v>4784</v>
      </c>
      <c r="O280" s="58">
        <v>4912</v>
      </c>
      <c r="P280" s="574"/>
      <c r="Q280" s="577" t="s">
        <v>1865</v>
      </c>
    </row>
    <row r="281" spans="1:17">
      <c r="A281" s="577" t="s">
        <v>5888</v>
      </c>
      <c r="B281" s="577" t="s">
        <v>508</v>
      </c>
      <c r="C281" s="55" t="s">
        <v>10835</v>
      </c>
      <c r="D281" s="578">
        <v>0</v>
      </c>
      <c r="E281" s="578">
        <v>0</v>
      </c>
      <c r="F281" s="578">
        <v>0</v>
      </c>
      <c r="G281" s="578">
        <v>0</v>
      </c>
      <c r="H281" s="63">
        <v>0</v>
      </c>
      <c r="I281" s="56">
        <v>0</v>
      </c>
      <c r="J281" s="58">
        <v>4879</v>
      </c>
      <c r="K281" s="58">
        <v>5030</v>
      </c>
      <c r="L281" s="58">
        <v>5233</v>
      </c>
      <c r="M281" s="58">
        <v>5016</v>
      </c>
      <c r="N281" s="58">
        <v>5089</v>
      </c>
      <c r="O281" s="58">
        <v>5163</v>
      </c>
      <c r="P281" s="574"/>
      <c r="Q281" s="577" t="s">
        <v>1865</v>
      </c>
    </row>
    <row r="282" spans="1:17">
      <c r="A282" s="577" t="s">
        <v>5889</v>
      </c>
      <c r="B282" s="577" t="s">
        <v>509</v>
      </c>
      <c r="C282" s="55" t="s">
        <v>10836</v>
      </c>
      <c r="D282" s="578">
        <v>0</v>
      </c>
      <c r="E282" s="578">
        <v>0</v>
      </c>
      <c r="F282" s="578">
        <v>0</v>
      </c>
      <c r="G282" s="578">
        <v>0</v>
      </c>
      <c r="H282" s="63">
        <v>0</v>
      </c>
      <c r="I282" s="56">
        <v>0</v>
      </c>
      <c r="J282" s="58">
        <v>3535</v>
      </c>
      <c r="K282" s="58">
        <v>3571</v>
      </c>
      <c r="L282" s="58">
        <v>3687</v>
      </c>
      <c r="M282" s="58">
        <v>3589</v>
      </c>
      <c r="N282" s="58">
        <v>3637</v>
      </c>
      <c r="O282" s="58">
        <v>3688</v>
      </c>
      <c r="P282" s="574"/>
      <c r="Q282" s="577" t="s">
        <v>1865</v>
      </c>
    </row>
    <row r="283" spans="1:17">
      <c r="A283" s="577" t="s">
        <v>4431</v>
      </c>
      <c r="B283" s="577" t="s">
        <v>10813</v>
      </c>
      <c r="C283" s="55" t="s">
        <v>10837</v>
      </c>
      <c r="D283" s="578">
        <v>0</v>
      </c>
      <c r="E283" s="578">
        <v>0</v>
      </c>
      <c r="F283" s="578">
        <v>0</v>
      </c>
      <c r="G283" s="578">
        <v>0</v>
      </c>
      <c r="H283" s="63">
        <v>0</v>
      </c>
      <c r="I283" s="56">
        <v>0</v>
      </c>
      <c r="J283" s="56">
        <v>2065</v>
      </c>
      <c r="K283" s="56">
        <v>3566</v>
      </c>
      <c r="L283" s="56">
        <v>3399</v>
      </c>
      <c r="M283" s="56">
        <v>3251</v>
      </c>
      <c r="N283" s="56">
        <v>2994</v>
      </c>
      <c r="O283" s="56">
        <v>3238</v>
      </c>
      <c r="P283" s="574"/>
      <c r="Q283" s="577" t="s">
        <v>1862</v>
      </c>
    </row>
    <row r="284" spans="1:17">
      <c r="A284" s="577" t="s">
        <v>4432</v>
      </c>
      <c r="B284" s="577" t="s">
        <v>510</v>
      </c>
      <c r="C284" s="55" t="s">
        <v>10838</v>
      </c>
      <c r="D284" s="578">
        <v>0</v>
      </c>
      <c r="E284" s="578">
        <v>0</v>
      </c>
      <c r="F284" s="578">
        <v>0</v>
      </c>
      <c r="G284" s="578">
        <v>0</v>
      </c>
      <c r="H284" s="63">
        <v>0</v>
      </c>
      <c r="I284" s="56">
        <v>0</v>
      </c>
      <c r="J284" s="58">
        <v>1878</v>
      </c>
      <c r="K284" s="58">
        <v>1926</v>
      </c>
      <c r="L284" s="58">
        <v>2002</v>
      </c>
      <c r="M284" s="58">
        <v>1943</v>
      </c>
      <c r="N284" s="58">
        <v>1959</v>
      </c>
      <c r="O284" s="58">
        <v>1998</v>
      </c>
      <c r="P284" s="574"/>
      <c r="Q284" s="577" t="s">
        <v>1865</v>
      </c>
    </row>
    <row r="285" spans="1:17">
      <c r="A285" s="577" t="s">
        <v>4434</v>
      </c>
      <c r="B285" s="577" t="s">
        <v>511</v>
      </c>
      <c r="C285" s="55" t="s">
        <v>10839</v>
      </c>
      <c r="D285" s="578">
        <v>0</v>
      </c>
      <c r="E285" s="578">
        <v>0</v>
      </c>
      <c r="F285" s="578">
        <v>0</v>
      </c>
      <c r="G285" s="578">
        <v>0</v>
      </c>
      <c r="H285" s="63">
        <v>0</v>
      </c>
      <c r="I285" s="56">
        <v>0</v>
      </c>
      <c r="J285" s="58">
        <v>1604</v>
      </c>
      <c r="K285" s="58">
        <v>1622</v>
      </c>
      <c r="L285" s="58">
        <v>1669</v>
      </c>
      <c r="M285" s="58">
        <v>1635</v>
      </c>
      <c r="N285" s="58">
        <v>1675</v>
      </c>
      <c r="O285" s="58">
        <v>1705</v>
      </c>
      <c r="P285" s="574"/>
      <c r="Q285" s="577" t="s">
        <v>1865</v>
      </c>
    </row>
    <row r="286" spans="1:17">
      <c r="A286" s="577" t="s">
        <v>4533</v>
      </c>
      <c r="B286" s="577" t="s">
        <v>3148</v>
      </c>
      <c r="C286" s="55" t="s">
        <v>10840</v>
      </c>
      <c r="D286" s="578">
        <v>0</v>
      </c>
      <c r="E286" s="578">
        <v>0</v>
      </c>
      <c r="F286" s="578">
        <v>0</v>
      </c>
      <c r="G286" s="578">
        <v>0</v>
      </c>
      <c r="H286" s="63">
        <v>0</v>
      </c>
      <c r="I286" s="56">
        <v>0</v>
      </c>
      <c r="J286" s="58">
        <v>5211</v>
      </c>
      <c r="K286" s="58">
        <v>5265</v>
      </c>
      <c r="L286" s="58">
        <v>5521</v>
      </c>
      <c r="M286" s="58">
        <v>5287</v>
      </c>
      <c r="N286" s="58">
        <v>5349</v>
      </c>
      <c r="O286" s="58">
        <v>5443</v>
      </c>
      <c r="P286" s="574"/>
      <c r="Q286" s="577" t="s">
        <v>1865</v>
      </c>
    </row>
    <row r="287" spans="1:17">
      <c r="A287" s="574"/>
      <c r="B287" s="574"/>
      <c r="D287" s="584"/>
      <c r="E287" s="584"/>
      <c r="F287" s="584"/>
      <c r="G287" s="584"/>
      <c r="H287" s="584"/>
      <c r="I287" s="584"/>
      <c r="J287" s="584"/>
      <c r="K287" s="584"/>
      <c r="L287" s="584"/>
      <c r="M287" s="584"/>
      <c r="N287" s="584"/>
      <c r="O287" s="584"/>
      <c r="P287" s="574"/>
      <c r="Q287" s="574"/>
    </row>
    <row r="288" spans="1:17">
      <c r="A288" s="577" t="s">
        <v>512</v>
      </c>
      <c r="D288" s="578">
        <f>D262+D264+D265+D271+D273+D274+D277+D278+D283</f>
        <v>38838</v>
      </c>
      <c r="E288" s="578">
        <f t="shared" ref="E288:J288" si="139">E262+E264+E265+E271+E273+E274+E277+E278+E283</f>
        <v>39890</v>
      </c>
      <c r="F288" s="578">
        <f t="shared" si="139"/>
        <v>38175</v>
      </c>
      <c r="G288" s="578">
        <f t="shared" si="139"/>
        <v>37096</v>
      </c>
      <c r="H288" s="578">
        <f t="shared" si="139"/>
        <v>35013</v>
      </c>
      <c r="I288" s="578">
        <f t="shared" si="139"/>
        <v>33464</v>
      </c>
      <c r="J288" s="578">
        <f t="shared" si="139"/>
        <v>33074</v>
      </c>
      <c r="K288" s="578">
        <f>K262+K264+K265+K271+K273+K274+K277+K278+K283</f>
        <v>37505</v>
      </c>
      <c r="L288" s="578">
        <f>L262+L264+L265+L271+L273+L274+L277+L278+L283</f>
        <v>41090</v>
      </c>
      <c r="M288" s="578">
        <f>M262+M264+M265+M271+M273+M274+M277+M278+M283</f>
        <v>38762</v>
      </c>
      <c r="N288" s="578">
        <f>N262+N264+N265+N271+N273+N274+N277+N278+N283</f>
        <v>40461</v>
      </c>
      <c r="O288" s="578">
        <f>O262+O264+O265+O271+O273+O274+O277+O278+O283</f>
        <v>41463</v>
      </c>
      <c r="P288" s="574"/>
      <c r="Q288" s="574"/>
    </row>
    <row r="289" spans="1:17">
      <c r="A289" s="577" t="s">
        <v>1865</v>
      </c>
      <c r="D289" s="578">
        <f>D260+D261+D263+SUM(D266:D270)+D272+D275+D276+SUM(D279:D282)+SUM(D284:D286)</f>
        <v>68750</v>
      </c>
      <c r="E289" s="578">
        <f t="shared" ref="E289:J289" si="140">E260+E261+E263+SUM(E266:E270)+E272+E275+E276+SUM(E279:E282)+SUM(E284:E286)</f>
        <v>69254</v>
      </c>
      <c r="F289" s="578">
        <f t="shared" si="140"/>
        <v>68503</v>
      </c>
      <c r="G289" s="578">
        <f t="shared" si="140"/>
        <v>68281</v>
      </c>
      <c r="H289" s="578">
        <f t="shared" si="140"/>
        <v>64339</v>
      </c>
      <c r="I289" s="578">
        <f t="shared" si="140"/>
        <v>65465</v>
      </c>
      <c r="J289" s="578">
        <f t="shared" si="140"/>
        <v>63283</v>
      </c>
      <c r="K289" s="578">
        <f>K260+K261+K263+SUM(K266:K270)+K272+K275+K276+SUM(K279:K282)+SUM(K284:K286)</f>
        <v>65060</v>
      </c>
      <c r="L289" s="578">
        <f>L260+L261+L263+SUM(L266:L270)+L272+L275+L276+SUM(L279:L282)+SUM(L284:L286)</f>
        <v>68246</v>
      </c>
      <c r="M289" s="578">
        <f>M260+M261+M263+SUM(M266:M270)+M272+M275+M276+SUM(M279:M282)+SUM(M284:M286)</f>
        <v>65474</v>
      </c>
      <c r="N289" s="578">
        <f>N260+N261+N263+SUM(N266:N270)+N272+N275+N276+SUM(N279:N282)+SUM(N284:N286)</f>
        <v>66382</v>
      </c>
      <c r="O289" s="578">
        <f>O260+O261+O263+SUM(O266:O270)+O272+O275+O276+SUM(O279:O282)+SUM(O284:O286)</f>
        <v>67602</v>
      </c>
      <c r="P289" s="574"/>
      <c r="Q289" s="574"/>
    </row>
    <row r="290" spans="1:17">
      <c r="A290" s="577"/>
      <c r="D290" s="578"/>
      <c r="E290" s="578"/>
      <c r="F290" s="578"/>
      <c r="G290" s="578"/>
      <c r="H290" s="578"/>
      <c r="I290" s="578"/>
      <c r="J290" s="578"/>
      <c r="K290" s="578"/>
      <c r="L290" s="578"/>
      <c r="M290" s="578"/>
      <c r="N290" s="578"/>
      <c r="O290" s="578"/>
      <c r="P290" s="574"/>
      <c r="Q290" s="574"/>
    </row>
    <row r="291" spans="1:17">
      <c r="A291" s="577" t="s">
        <v>10814</v>
      </c>
      <c r="D291" s="578"/>
      <c r="E291" s="578"/>
      <c r="F291" s="578"/>
      <c r="G291" s="578"/>
      <c r="H291" s="578"/>
      <c r="I291" s="578"/>
      <c r="J291" s="578"/>
      <c r="K291" s="578"/>
      <c r="L291" s="578"/>
      <c r="M291" s="578"/>
      <c r="N291" s="578"/>
      <c r="O291" s="578"/>
      <c r="P291" s="574"/>
      <c r="Q291" s="574"/>
    </row>
    <row r="292" spans="1:17">
      <c r="A292" s="577"/>
      <c r="B292" s="577"/>
      <c r="D292" s="589"/>
      <c r="E292" s="589"/>
      <c r="F292" s="589"/>
      <c r="G292" s="589"/>
      <c r="H292" s="589"/>
      <c r="I292" s="589"/>
      <c r="J292" s="589"/>
      <c r="K292" s="589"/>
      <c r="L292" s="589"/>
      <c r="M292" s="589"/>
      <c r="N292" s="589"/>
      <c r="O292" s="589"/>
      <c r="P292" s="574"/>
      <c r="Q292" s="574"/>
    </row>
    <row r="293" spans="1:17">
      <c r="A293" s="577"/>
      <c r="B293" s="577"/>
      <c r="D293" s="589"/>
      <c r="E293" s="589"/>
      <c r="F293" s="589"/>
      <c r="G293" s="589"/>
      <c r="H293" s="589"/>
      <c r="I293" s="589"/>
      <c r="J293" s="589"/>
      <c r="K293" s="589"/>
      <c r="L293" s="589"/>
      <c r="M293" s="589"/>
      <c r="N293" s="589"/>
      <c r="O293" s="589"/>
      <c r="P293" s="574"/>
      <c r="Q293" s="574"/>
    </row>
    <row r="294" spans="1:17">
      <c r="A294" s="574"/>
      <c r="B294" s="574"/>
      <c r="E294" s="51" t="s">
        <v>1526</v>
      </c>
      <c r="F294" s="51"/>
      <c r="G294" s="51"/>
      <c r="H294" s="51"/>
      <c r="I294" s="51"/>
      <c r="J294" s="51"/>
      <c r="K294" s="51"/>
      <c r="L294" s="51"/>
      <c r="M294" s="51"/>
      <c r="N294" s="51"/>
      <c r="O294" s="51"/>
      <c r="P294" s="11"/>
      <c r="Q294" s="11" t="s">
        <v>9479</v>
      </c>
    </row>
    <row r="295" spans="1:17">
      <c r="A295" s="574"/>
      <c r="B295" s="574"/>
      <c r="D295" s="350">
        <v>2010</v>
      </c>
      <c r="E295" s="350">
        <v>2011</v>
      </c>
      <c r="F295" s="350">
        <v>2012</v>
      </c>
      <c r="G295" s="350">
        <v>2013</v>
      </c>
      <c r="H295" s="350">
        <v>2014</v>
      </c>
      <c r="I295" s="350">
        <v>2015</v>
      </c>
      <c r="J295" s="350">
        <v>2016</v>
      </c>
      <c r="K295" s="350">
        <v>2017</v>
      </c>
      <c r="L295" s="350">
        <v>2018</v>
      </c>
      <c r="M295" s="350">
        <v>2019</v>
      </c>
      <c r="N295" s="350">
        <v>2020</v>
      </c>
      <c r="O295" s="961" t="s">
        <v>14823</v>
      </c>
      <c r="P295" s="574"/>
      <c r="Q295" s="13" t="s">
        <v>1527</v>
      </c>
    </row>
    <row r="296" spans="1:17">
      <c r="A296" s="577" t="s">
        <v>1097</v>
      </c>
      <c r="D296" s="578">
        <f t="shared" ref="D296:O296" si="141">SUM(D297:D308)</f>
        <v>66461</v>
      </c>
      <c r="E296" s="578">
        <f t="shared" si="141"/>
        <v>66735</v>
      </c>
      <c r="F296" s="578">
        <f t="shared" si="141"/>
        <v>66918</v>
      </c>
      <c r="G296" s="578">
        <f t="shared" si="141"/>
        <v>66780</v>
      </c>
      <c r="H296" s="578">
        <f t="shared" si="141"/>
        <v>66688</v>
      </c>
      <c r="I296" s="578">
        <f t="shared" si="141"/>
        <v>64241</v>
      </c>
      <c r="J296" s="578">
        <f t="shared" si="141"/>
        <v>62891</v>
      </c>
      <c r="K296" s="578">
        <f t="shared" si="141"/>
        <v>63972</v>
      </c>
      <c r="L296" s="578">
        <f t="shared" si="141"/>
        <v>64257</v>
      </c>
      <c r="M296" s="578">
        <f t="shared" si="141"/>
        <v>63996</v>
      </c>
      <c r="N296" s="578">
        <f t="shared" si="141"/>
        <v>64543</v>
      </c>
      <c r="O296" s="578">
        <f t="shared" si="141"/>
        <v>65784</v>
      </c>
      <c r="P296" s="574"/>
      <c r="Q296" s="574"/>
    </row>
    <row r="297" spans="1:17">
      <c r="A297" s="577" t="s">
        <v>5387</v>
      </c>
      <c r="B297" s="576" t="s">
        <v>15071</v>
      </c>
      <c r="C297" s="576" t="s">
        <v>15070</v>
      </c>
      <c r="D297" s="578">
        <v>66461</v>
      </c>
      <c r="E297" s="578">
        <v>66735</v>
      </c>
      <c r="F297" s="578">
        <v>66918</v>
      </c>
      <c r="G297" s="56">
        <v>66780</v>
      </c>
      <c r="H297" s="56">
        <v>66688</v>
      </c>
      <c r="I297" s="56">
        <v>64241</v>
      </c>
      <c r="J297" s="56">
        <v>62891</v>
      </c>
      <c r="K297" s="56">
        <v>63972</v>
      </c>
      <c r="L297" s="56">
        <v>64257</v>
      </c>
      <c r="M297" s="56">
        <v>63996</v>
      </c>
      <c r="N297" s="56">
        <v>64543</v>
      </c>
      <c r="O297" s="56">
        <v>6646</v>
      </c>
      <c r="P297" s="574"/>
      <c r="Q297" s="577" t="s">
        <v>1866</v>
      </c>
    </row>
    <row r="298" spans="1:17">
      <c r="A298" s="577" t="s">
        <v>5389</v>
      </c>
      <c r="B298" s="576" t="s">
        <v>15073</v>
      </c>
      <c r="C298" s="576" t="s">
        <v>15072</v>
      </c>
      <c r="D298" s="578">
        <v>0</v>
      </c>
      <c r="E298" s="578">
        <v>0</v>
      </c>
      <c r="F298" s="578">
        <v>0</v>
      </c>
      <c r="G298" s="578">
        <v>0</v>
      </c>
      <c r="H298" s="578">
        <v>0</v>
      </c>
      <c r="I298" s="578">
        <v>0</v>
      </c>
      <c r="J298" s="578">
        <v>0</v>
      </c>
      <c r="K298" s="578">
        <v>0</v>
      </c>
      <c r="L298" s="578">
        <v>0</v>
      </c>
      <c r="M298" s="578">
        <v>0</v>
      </c>
      <c r="N298" s="578">
        <v>0</v>
      </c>
      <c r="O298" s="56">
        <v>6064</v>
      </c>
      <c r="P298" s="574"/>
      <c r="Q298" s="577" t="s">
        <v>1866</v>
      </c>
    </row>
    <row r="299" spans="1:17">
      <c r="A299" s="577" t="s">
        <v>5391</v>
      </c>
      <c r="B299" s="576" t="s">
        <v>15075</v>
      </c>
      <c r="C299" s="576" t="s">
        <v>15074</v>
      </c>
      <c r="D299" s="578">
        <v>0</v>
      </c>
      <c r="E299" s="578">
        <v>0</v>
      </c>
      <c r="F299" s="578">
        <v>0</v>
      </c>
      <c r="G299" s="578">
        <v>0</v>
      </c>
      <c r="H299" s="578">
        <v>0</v>
      </c>
      <c r="I299" s="578">
        <v>0</v>
      </c>
      <c r="J299" s="578">
        <v>0</v>
      </c>
      <c r="K299" s="578">
        <v>0</v>
      </c>
      <c r="L299" s="578">
        <v>0</v>
      </c>
      <c r="M299" s="578">
        <v>0</v>
      </c>
      <c r="N299" s="578">
        <v>0</v>
      </c>
      <c r="O299" s="56">
        <v>6286</v>
      </c>
      <c r="P299" s="574"/>
      <c r="Q299" s="577" t="s">
        <v>1866</v>
      </c>
    </row>
    <row r="300" spans="1:17">
      <c r="A300" s="577" t="s">
        <v>5393</v>
      </c>
      <c r="B300" s="576" t="s">
        <v>5846</v>
      </c>
      <c r="C300" s="576" t="s">
        <v>15076</v>
      </c>
      <c r="D300" s="578">
        <v>0</v>
      </c>
      <c r="E300" s="578">
        <v>0</v>
      </c>
      <c r="F300" s="578">
        <v>0</v>
      </c>
      <c r="G300" s="578">
        <v>0</v>
      </c>
      <c r="H300" s="578">
        <v>0</v>
      </c>
      <c r="I300" s="578">
        <v>0</v>
      </c>
      <c r="J300" s="578">
        <v>0</v>
      </c>
      <c r="K300" s="578">
        <v>0</v>
      </c>
      <c r="L300" s="578">
        <v>0</v>
      </c>
      <c r="M300" s="578">
        <v>0</v>
      </c>
      <c r="N300" s="578">
        <v>0</v>
      </c>
      <c r="O300" s="56">
        <v>5478</v>
      </c>
      <c r="P300" s="574"/>
      <c r="Q300" s="577" t="s">
        <v>1866</v>
      </c>
    </row>
    <row r="301" spans="1:17">
      <c r="A301" s="577" t="s">
        <v>5394</v>
      </c>
      <c r="B301" s="576" t="s">
        <v>15078</v>
      </c>
      <c r="C301" s="576" t="s">
        <v>15077</v>
      </c>
      <c r="D301" s="578">
        <v>0</v>
      </c>
      <c r="E301" s="578">
        <v>0</v>
      </c>
      <c r="F301" s="578">
        <v>0</v>
      </c>
      <c r="G301" s="578">
        <v>0</v>
      </c>
      <c r="H301" s="578">
        <v>0</v>
      </c>
      <c r="I301" s="578">
        <v>0</v>
      </c>
      <c r="J301" s="578">
        <v>0</v>
      </c>
      <c r="K301" s="578">
        <v>0</v>
      </c>
      <c r="L301" s="578">
        <v>0</v>
      </c>
      <c r="M301" s="578">
        <v>0</v>
      </c>
      <c r="N301" s="578">
        <v>0</v>
      </c>
      <c r="O301" s="56">
        <v>6093</v>
      </c>
      <c r="P301" s="574"/>
      <c r="Q301" s="577" t="s">
        <v>1866</v>
      </c>
    </row>
    <row r="302" spans="1:17">
      <c r="A302" s="577" t="s">
        <v>5416</v>
      </c>
      <c r="B302" s="576" t="s">
        <v>15080</v>
      </c>
      <c r="C302" s="576" t="s">
        <v>15079</v>
      </c>
      <c r="D302" s="578">
        <v>0</v>
      </c>
      <c r="E302" s="578">
        <v>0</v>
      </c>
      <c r="F302" s="578">
        <v>0</v>
      </c>
      <c r="G302" s="578">
        <v>0</v>
      </c>
      <c r="H302" s="578">
        <v>0</v>
      </c>
      <c r="I302" s="578">
        <v>0</v>
      </c>
      <c r="J302" s="578">
        <v>0</v>
      </c>
      <c r="K302" s="578">
        <v>0</v>
      </c>
      <c r="L302" s="578">
        <v>0</v>
      </c>
      <c r="M302" s="578">
        <v>0</v>
      </c>
      <c r="N302" s="578">
        <v>0</v>
      </c>
      <c r="O302" s="56">
        <v>4361</v>
      </c>
      <c r="P302" s="574"/>
      <c r="Q302" s="577" t="s">
        <v>1866</v>
      </c>
    </row>
    <row r="303" spans="1:17">
      <c r="A303" s="577" t="s">
        <v>5418</v>
      </c>
      <c r="B303" s="576" t="s">
        <v>15082</v>
      </c>
      <c r="C303" s="576" t="s">
        <v>15081</v>
      </c>
      <c r="D303" s="578">
        <v>0</v>
      </c>
      <c r="E303" s="578">
        <v>0</v>
      </c>
      <c r="F303" s="578">
        <v>0</v>
      </c>
      <c r="G303" s="578">
        <v>0</v>
      </c>
      <c r="H303" s="578">
        <v>0</v>
      </c>
      <c r="I303" s="578">
        <v>0</v>
      </c>
      <c r="J303" s="578">
        <v>0</v>
      </c>
      <c r="K303" s="578">
        <v>0</v>
      </c>
      <c r="L303" s="578">
        <v>0</v>
      </c>
      <c r="M303" s="578">
        <v>0</v>
      </c>
      <c r="N303" s="578">
        <v>0</v>
      </c>
      <c r="O303" s="56">
        <v>6520</v>
      </c>
      <c r="P303" s="574"/>
      <c r="Q303" s="577" t="s">
        <v>1866</v>
      </c>
    </row>
    <row r="304" spans="1:17">
      <c r="A304" s="577" t="s">
        <v>5420</v>
      </c>
      <c r="B304" s="576" t="s">
        <v>15084</v>
      </c>
      <c r="C304" s="576" t="s">
        <v>15083</v>
      </c>
      <c r="D304" s="578">
        <v>0</v>
      </c>
      <c r="E304" s="578">
        <v>0</v>
      </c>
      <c r="F304" s="578">
        <v>0</v>
      </c>
      <c r="G304" s="578">
        <v>0</v>
      </c>
      <c r="H304" s="578">
        <v>0</v>
      </c>
      <c r="I304" s="578">
        <v>0</v>
      </c>
      <c r="J304" s="578">
        <v>0</v>
      </c>
      <c r="K304" s="578">
        <v>0</v>
      </c>
      <c r="L304" s="578">
        <v>0</v>
      </c>
      <c r="M304" s="578">
        <v>0</v>
      </c>
      <c r="N304" s="578">
        <v>0</v>
      </c>
      <c r="O304" s="56">
        <v>1957</v>
      </c>
      <c r="P304" s="574"/>
      <c r="Q304" s="577" t="s">
        <v>1866</v>
      </c>
    </row>
    <row r="305" spans="1:17">
      <c r="A305" s="577" t="s">
        <v>5422</v>
      </c>
      <c r="B305" s="576" t="s">
        <v>15086</v>
      </c>
      <c r="C305" s="576" t="s">
        <v>15085</v>
      </c>
      <c r="D305" s="578">
        <v>0</v>
      </c>
      <c r="E305" s="578">
        <v>0</v>
      </c>
      <c r="F305" s="578">
        <v>0</v>
      </c>
      <c r="G305" s="578">
        <v>0</v>
      </c>
      <c r="H305" s="578">
        <v>0</v>
      </c>
      <c r="I305" s="578">
        <v>0</v>
      </c>
      <c r="J305" s="578">
        <v>0</v>
      </c>
      <c r="K305" s="578">
        <v>0</v>
      </c>
      <c r="L305" s="578">
        <v>0</v>
      </c>
      <c r="M305" s="578">
        <v>0</v>
      </c>
      <c r="N305" s="578">
        <v>0</v>
      </c>
      <c r="O305" s="56">
        <v>5466</v>
      </c>
      <c r="P305" s="574"/>
      <c r="Q305" s="577" t="s">
        <v>1866</v>
      </c>
    </row>
    <row r="306" spans="1:17">
      <c r="A306" s="577" t="s">
        <v>5424</v>
      </c>
      <c r="B306" s="576" t="s">
        <v>5021</v>
      </c>
      <c r="C306" s="576" t="s">
        <v>15087</v>
      </c>
      <c r="D306" s="578">
        <v>0</v>
      </c>
      <c r="E306" s="578">
        <v>0</v>
      </c>
      <c r="F306" s="578">
        <v>0</v>
      </c>
      <c r="G306" s="578">
        <v>0</v>
      </c>
      <c r="H306" s="578">
        <v>0</v>
      </c>
      <c r="I306" s="578">
        <v>0</v>
      </c>
      <c r="J306" s="578">
        <v>0</v>
      </c>
      <c r="K306" s="578">
        <v>0</v>
      </c>
      <c r="L306" s="578">
        <v>0</v>
      </c>
      <c r="M306" s="578">
        <v>0</v>
      </c>
      <c r="N306" s="578">
        <v>0</v>
      </c>
      <c r="O306" s="56">
        <v>5373</v>
      </c>
      <c r="P306" s="574"/>
      <c r="Q306" s="577" t="s">
        <v>1866</v>
      </c>
    </row>
    <row r="307" spans="1:17">
      <c r="A307" s="577" t="s">
        <v>5426</v>
      </c>
      <c r="B307" s="576" t="s">
        <v>15089</v>
      </c>
      <c r="C307" s="576" t="s">
        <v>15088</v>
      </c>
      <c r="D307" s="578">
        <v>0</v>
      </c>
      <c r="E307" s="578">
        <v>0</v>
      </c>
      <c r="F307" s="578">
        <v>0</v>
      </c>
      <c r="G307" s="578">
        <v>0</v>
      </c>
      <c r="H307" s="578">
        <v>0</v>
      </c>
      <c r="I307" s="578">
        <v>0</v>
      </c>
      <c r="J307" s="578">
        <v>0</v>
      </c>
      <c r="K307" s="578">
        <v>0</v>
      </c>
      <c r="L307" s="578">
        <v>0</v>
      </c>
      <c r="M307" s="578">
        <v>0</v>
      </c>
      <c r="N307" s="578">
        <v>0</v>
      </c>
      <c r="O307" s="56">
        <v>5638</v>
      </c>
      <c r="P307" s="574"/>
      <c r="Q307" s="577" t="s">
        <v>1866</v>
      </c>
    </row>
    <row r="308" spans="1:17">
      <c r="A308" s="577" t="s">
        <v>5428</v>
      </c>
      <c r="B308" s="576" t="s">
        <v>15091</v>
      </c>
      <c r="C308" s="576" t="s">
        <v>15090</v>
      </c>
      <c r="D308" s="578">
        <v>0</v>
      </c>
      <c r="E308" s="578">
        <v>0</v>
      </c>
      <c r="F308" s="578">
        <v>0</v>
      </c>
      <c r="G308" s="578">
        <v>0</v>
      </c>
      <c r="H308" s="578">
        <v>0</v>
      </c>
      <c r="I308" s="578">
        <v>0</v>
      </c>
      <c r="J308" s="578">
        <v>0</v>
      </c>
      <c r="K308" s="578">
        <v>0</v>
      </c>
      <c r="L308" s="578">
        <v>0</v>
      </c>
      <c r="M308" s="578">
        <v>0</v>
      </c>
      <c r="N308" s="578">
        <v>0</v>
      </c>
      <c r="O308" s="56">
        <v>5902</v>
      </c>
      <c r="P308" s="574"/>
      <c r="Q308" s="577" t="s">
        <v>1866</v>
      </c>
    </row>
    <row r="309" spans="1:17">
      <c r="A309" s="574"/>
      <c r="B309" s="574"/>
      <c r="D309" s="584"/>
      <c r="E309" s="584"/>
      <c r="F309" s="584"/>
      <c r="G309" s="584"/>
      <c r="H309" s="584"/>
      <c r="I309" s="584"/>
      <c r="J309" s="584"/>
      <c r="K309" s="584"/>
      <c r="L309" s="584"/>
      <c r="M309" s="584"/>
      <c r="N309" s="584"/>
      <c r="O309" s="584"/>
      <c r="P309" s="574"/>
      <c r="Q309" s="574"/>
    </row>
    <row r="310" spans="1:17">
      <c r="A310" s="577" t="s">
        <v>1866</v>
      </c>
      <c r="D310" s="578">
        <f t="shared" ref="D310:O310" si="142">SUM(D297:D308)</f>
        <v>66461</v>
      </c>
      <c r="E310" s="578">
        <f t="shared" si="142"/>
        <v>66735</v>
      </c>
      <c r="F310" s="578">
        <f t="shared" si="142"/>
        <v>66918</v>
      </c>
      <c r="G310" s="578">
        <f t="shared" si="142"/>
        <v>66780</v>
      </c>
      <c r="H310" s="578">
        <f t="shared" si="142"/>
        <v>66688</v>
      </c>
      <c r="I310" s="578">
        <f t="shared" si="142"/>
        <v>64241</v>
      </c>
      <c r="J310" s="578">
        <f t="shared" si="142"/>
        <v>62891</v>
      </c>
      <c r="K310" s="578">
        <f t="shared" si="142"/>
        <v>63972</v>
      </c>
      <c r="L310" s="578">
        <f t="shared" si="142"/>
        <v>64257</v>
      </c>
      <c r="M310" s="578">
        <f t="shared" si="142"/>
        <v>63996</v>
      </c>
      <c r="N310" s="578">
        <f t="shared" si="142"/>
        <v>64543</v>
      </c>
      <c r="O310" s="578">
        <f t="shared" si="142"/>
        <v>65784</v>
      </c>
      <c r="P310" s="574"/>
      <c r="Q310" s="574"/>
    </row>
    <row r="311" spans="1:17">
      <c r="A311" s="577"/>
      <c r="D311" s="578"/>
      <c r="E311" s="578"/>
      <c r="F311" s="578"/>
      <c r="G311" s="578"/>
      <c r="H311" s="578"/>
      <c r="I311" s="578"/>
      <c r="J311" s="578"/>
      <c r="K311" s="578"/>
      <c r="L311" s="578"/>
      <c r="M311" s="578"/>
      <c r="N311" s="578"/>
      <c r="O311" s="578"/>
      <c r="P311" s="574"/>
      <c r="Q311" s="574"/>
    </row>
    <row r="312" spans="1:17">
      <c r="A312" s="577" t="s">
        <v>9279</v>
      </c>
      <c r="D312" s="578"/>
      <c r="E312" s="578"/>
      <c r="F312" s="578"/>
      <c r="G312" s="578"/>
      <c r="H312" s="578"/>
      <c r="I312" s="578"/>
      <c r="J312" s="578"/>
      <c r="K312" s="578"/>
      <c r="L312" s="578"/>
      <c r="M312" s="578"/>
      <c r="N312" s="578"/>
      <c r="O312" s="578"/>
      <c r="P312" s="574"/>
      <c r="Q312" s="574"/>
    </row>
    <row r="313" spans="1:17">
      <c r="A313" s="577" t="s">
        <v>15092</v>
      </c>
      <c r="D313" s="578"/>
      <c r="E313" s="578"/>
      <c r="F313" s="578"/>
      <c r="G313" s="578"/>
      <c r="H313" s="578"/>
      <c r="I313" s="578"/>
      <c r="J313" s="578"/>
      <c r="K313" s="578"/>
      <c r="L313" s="578"/>
      <c r="M313" s="578"/>
      <c r="N313" s="578"/>
      <c r="O313" s="578"/>
      <c r="P313" s="574"/>
      <c r="Q313" s="574"/>
    </row>
    <row r="314" spans="1:17">
      <c r="A314" s="577"/>
      <c r="D314" s="578"/>
      <c r="E314" s="578"/>
      <c r="F314" s="578"/>
      <c r="G314" s="578"/>
      <c r="H314" s="578"/>
      <c r="I314" s="578"/>
      <c r="J314" s="578"/>
      <c r="K314" s="578"/>
      <c r="L314" s="578"/>
      <c r="M314" s="578"/>
      <c r="N314" s="578"/>
      <c r="O314" s="578"/>
      <c r="P314" s="574"/>
      <c r="Q314" s="574"/>
    </row>
    <row r="315" spans="1:17">
      <c r="A315" s="1008" t="s">
        <v>16023</v>
      </c>
      <c r="D315" s="578"/>
      <c r="E315" s="578"/>
      <c r="F315" s="578"/>
      <c r="G315" s="578"/>
      <c r="H315" s="578"/>
      <c r="I315" s="578"/>
      <c r="J315" s="578"/>
      <c r="K315" s="578"/>
      <c r="L315" s="578"/>
      <c r="M315" s="578"/>
      <c r="N315" s="578"/>
      <c r="O315" s="578"/>
      <c r="P315" s="574"/>
      <c r="Q315" s="574"/>
    </row>
    <row r="316" spans="1:17">
      <c r="A316" s="167" t="s">
        <v>16099</v>
      </c>
      <c r="D316" s="578"/>
      <c r="E316" s="578"/>
      <c r="F316" s="578"/>
      <c r="G316" s="578"/>
      <c r="H316" s="578"/>
      <c r="I316" s="578"/>
      <c r="J316" s="578"/>
      <c r="K316" s="578"/>
      <c r="L316" s="578"/>
      <c r="M316" s="578"/>
      <c r="N316" s="578"/>
      <c r="O316" s="578"/>
      <c r="P316" s="574"/>
      <c r="Q316" s="574"/>
    </row>
    <row r="317" spans="1:17">
      <c r="A317" s="577"/>
      <c r="B317" s="577"/>
      <c r="D317" s="589"/>
      <c r="E317" s="589"/>
      <c r="F317" s="589"/>
      <c r="G317" s="589"/>
      <c r="H317" s="589"/>
      <c r="I317" s="589"/>
      <c r="J317" s="589"/>
      <c r="K317" s="589"/>
      <c r="L317" s="589"/>
      <c r="M317" s="589"/>
      <c r="N317" s="589"/>
      <c r="O317" s="589"/>
      <c r="P317" s="574"/>
      <c r="Q317" s="574"/>
    </row>
    <row r="318" spans="1:17">
      <c r="A318" s="577"/>
      <c r="B318" s="577"/>
      <c r="D318" s="589"/>
      <c r="E318" s="589"/>
      <c r="F318" s="589"/>
      <c r="G318" s="589"/>
      <c r="H318" s="589"/>
      <c r="I318" s="589"/>
      <c r="J318" s="589"/>
      <c r="K318" s="589"/>
      <c r="L318" s="589"/>
      <c r="M318" s="589"/>
      <c r="N318" s="589"/>
      <c r="O318" s="589"/>
      <c r="P318" s="574"/>
      <c r="Q318" s="574"/>
    </row>
    <row r="319" spans="1:17">
      <c r="A319" s="574"/>
      <c r="B319" s="574"/>
      <c r="E319" s="51" t="s">
        <v>1526</v>
      </c>
      <c r="F319" s="51"/>
      <c r="G319" s="51"/>
      <c r="H319" s="51"/>
      <c r="I319" s="51"/>
      <c r="J319" s="51"/>
      <c r="K319" s="51"/>
      <c r="L319" s="51"/>
      <c r="M319" s="51"/>
      <c r="N319" s="51"/>
      <c r="O319" s="51"/>
      <c r="P319" s="11"/>
      <c r="Q319" s="11" t="s">
        <v>9479</v>
      </c>
    </row>
    <row r="320" spans="1:17">
      <c r="A320" s="574"/>
      <c r="B320" s="574"/>
      <c r="D320" s="350">
        <v>2010</v>
      </c>
      <c r="E320" s="350">
        <v>2011</v>
      </c>
      <c r="F320" s="350">
        <v>2012</v>
      </c>
      <c r="G320" s="350">
        <v>2013</v>
      </c>
      <c r="H320" s="350">
        <v>2014</v>
      </c>
      <c r="I320" s="350">
        <v>2015</v>
      </c>
      <c r="J320" s="350">
        <v>2016</v>
      </c>
      <c r="K320" s="350">
        <v>2017</v>
      </c>
      <c r="L320" s="350">
        <v>2018</v>
      </c>
      <c r="M320" s="350">
        <v>2019</v>
      </c>
      <c r="N320" s="350">
        <v>2020</v>
      </c>
      <c r="O320" s="961" t="s">
        <v>14823</v>
      </c>
      <c r="P320" s="574"/>
      <c r="Q320" s="13" t="s">
        <v>1527</v>
      </c>
    </row>
    <row r="321" spans="1:17">
      <c r="A321" s="577" t="s">
        <v>5023</v>
      </c>
      <c r="D321" s="578">
        <f t="shared" ref="D321:L321" si="143">SUM(D322:D325,D327:D333,D335:D336,D338:D340,D342:D344,D346:D347)</f>
        <v>96714</v>
      </c>
      <c r="E321" s="578">
        <f t="shared" si="143"/>
        <v>97094</v>
      </c>
      <c r="F321" s="578">
        <f t="shared" si="143"/>
        <v>97619</v>
      </c>
      <c r="G321" s="578">
        <f t="shared" si="143"/>
        <v>98089</v>
      </c>
      <c r="H321" s="578">
        <f t="shared" si="143"/>
        <v>96919</v>
      </c>
      <c r="I321" s="578">
        <f t="shared" si="143"/>
        <v>92823</v>
      </c>
      <c r="J321" s="578">
        <f t="shared" si="143"/>
        <v>90766</v>
      </c>
      <c r="K321" s="578">
        <f t="shared" si="143"/>
        <v>92063</v>
      </c>
      <c r="L321" s="578">
        <f t="shared" si="143"/>
        <v>92030</v>
      </c>
      <c r="M321" s="578">
        <f>SUM(M322:M325,M327:M333,M335:M336,M338:M340,M342:M344,M346:M347)</f>
        <v>91676</v>
      </c>
      <c r="N321" s="578">
        <f>SUM(N322:N325,N327:N333,N335:N336,N338:N340,N342:N344,N346:N347)</f>
        <v>94073</v>
      </c>
      <c r="O321" s="578">
        <f>SUM(O322:O325,O327:O333,O335:O336,O338:O340,O342:O344,O346:O347)</f>
        <v>96383</v>
      </c>
      <c r="P321" s="574"/>
      <c r="Q321" s="574"/>
    </row>
    <row r="322" spans="1:17">
      <c r="A322" s="577" t="s">
        <v>5387</v>
      </c>
      <c r="B322" s="577" t="s">
        <v>2590</v>
      </c>
      <c r="C322" s="55" t="s">
        <v>13876</v>
      </c>
      <c r="D322" s="578">
        <v>60746</v>
      </c>
      <c r="E322" s="578">
        <v>61025</v>
      </c>
      <c r="F322" s="578">
        <v>61548</v>
      </c>
      <c r="G322" s="578">
        <v>61844</v>
      </c>
      <c r="H322" s="578">
        <v>60948</v>
      </c>
      <c r="I322" s="578">
        <v>57542</v>
      </c>
      <c r="J322" s="578">
        <v>56110</v>
      </c>
      <c r="K322" s="578">
        <v>56623</v>
      </c>
      <c r="L322" s="578">
        <v>55937</v>
      </c>
      <c r="M322" s="56">
        <v>6145</v>
      </c>
      <c r="N322" s="56">
        <v>6247</v>
      </c>
      <c r="O322" s="56">
        <v>6354</v>
      </c>
      <c r="P322" s="574"/>
      <c r="Q322" s="577" t="s">
        <v>1867</v>
      </c>
    </row>
    <row r="323" spans="1:17">
      <c r="A323" s="577" t="s">
        <v>5389</v>
      </c>
      <c r="B323" s="577" t="s">
        <v>5024</v>
      </c>
      <c r="C323" s="55" t="s">
        <v>13877</v>
      </c>
      <c r="D323" s="578">
        <v>0</v>
      </c>
      <c r="E323" s="578">
        <v>0</v>
      </c>
      <c r="F323" s="578">
        <v>0</v>
      </c>
      <c r="G323" s="578">
        <v>0</v>
      </c>
      <c r="H323" s="578">
        <v>0</v>
      </c>
      <c r="I323" s="578">
        <v>0</v>
      </c>
      <c r="J323" s="578">
        <v>0</v>
      </c>
      <c r="K323" s="578">
        <v>0</v>
      </c>
      <c r="L323" s="578">
        <v>0</v>
      </c>
      <c r="M323" s="56">
        <v>5477</v>
      </c>
      <c r="N323" s="56">
        <v>5484</v>
      </c>
      <c r="O323" s="56">
        <v>5490</v>
      </c>
      <c r="P323" s="574"/>
      <c r="Q323" s="577" t="s">
        <v>1867</v>
      </c>
    </row>
    <row r="324" spans="1:17">
      <c r="A324" s="577" t="s">
        <v>5391</v>
      </c>
      <c r="B324" s="577" t="s">
        <v>5025</v>
      </c>
      <c r="C324" s="55" t="s">
        <v>13878</v>
      </c>
      <c r="D324" s="578">
        <v>0</v>
      </c>
      <c r="E324" s="578">
        <v>0</v>
      </c>
      <c r="F324" s="578">
        <v>0</v>
      </c>
      <c r="G324" s="578">
        <v>0</v>
      </c>
      <c r="H324" s="578">
        <v>0</v>
      </c>
      <c r="I324" s="578">
        <v>0</v>
      </c>
      <c r="J324" s="578">
        <v>0</v>
      </c>
      <c r="K324" s="578">
        <v>0</v>
      </c>
      <c r="L324" s="578">
        <v>0</v>
      </c>
      <c r="M324" s="58">
        <v>3234</v>
      </c>
      <c r="N324" s="58">
        <v>3248</v>
      </c>
      <c r="O324" s="58">
        <v>3285</v>
      </c>
      <c r="P324" s="574"/>
      <c r="Q324" s="577" t="s">
        <v>1867</v>
      </c>
    </row>
    <row r="325" spans="1:17" ht="15.75" thickBot="1">
      <c r="B325" s="577"/>
      <c r="C325" s="55" t="s">
        <v>13878</v>
      </c>
      <c r="D325" s="578">
        <v>0</v>
      </c>
      <c r="E325" s="578">
        <v>0</v>
      </c>
      <c r="F325" s="578">
        <v>0</v>
      </c>
      <c r="G325" s="578">
        <v>0</v>
      </c>
      <c r="H325" s="578">
        <v>0</v>
      </c>
      <c r="I325" s="578">
        <v>0</v>
      </c>
      <c r="J325" s="578">
        <v>0</v>
      </c>
      <c r="K325" s="578">
        <v>0</v>
      </c>
      <c r="L325" s="578">
        <v>0</v>
      </c>
      <c r="M325" s="58">
        <v>2692</v>
      </c>
      <c r="N325" s="58">
        <v>2721</v>
      </c>
      <c r="O325" s="58">
        <v>2737</v>
      </c>
      <c r="P325" s="574"/>
      <c r="Q325" s="577" t="s">
        <v>1875</v>
      </c>
    </row>
    <row r="326" spans="1:17" ht="15.75" thickBot="1">
      <c r="B326" s="577"/>
      <c r="C326" s="55" t="s">
        <v>13878</v>
      </c>
      <c r="D326" s="592">
        <f t="shared" ref="D326:N326" si="144">D324+D325</f>
        <v>0</v>
      </c>
      <c r="E326" s="592">
        <f t="shared" si="144"/>
        <v>0</v>
      </c>
      <c r="F326" s="592">
        <f t="shared" si="144"/>
        <v>0</v>
      </c>
      <c r="G326" s="592">
        <f t="shared" si="144"/>
        <v>0</v>
      </c>
      <c r="H326" s="592">
        <f t="shared" si="144"/>
        <v>0</v>
      </c>
      <c r="I326" s="592">
        <f t="shared" si="144"/>
        <v>0</v>
      </c>
      <c r="J326" s="592">
        <f t="shared" si="144"/>
        <v>0</v>
      </c>
      <c r="K326" s="592">
        <f t="shared" si="144"/>
        <v>0</v>
      </c>
      <c r="L326" s="592">
        <f t="shared" si="144"/>
        <v>0</v>
      </c>
      <c r="M326" s="592">
        <f t="shared" si="144"/>
        <v>5926</v>
      </c>
      <c r="N326" s="592">
        <f t="shared" si="144"/>
        <v>5969</v>
      </c>
      <c r="O326" s="592">
        <f>O324+O325</f>
        <v>6022</v>
      </c>
      <c r="P326" s="574"/>
      <c r="Q326" s="577"/>
    </row>
    <row r="327" spans="1:17">
      <c r="A327" s="577" t="s">
        <v>5393</v>
      </c>
      <c r="B327" s="577" t="s">
        <v>2724</v>
      </c>
      <c r="C327" s="55" t="s">
        <v>13879</v>
      </c>
      <c r="D327" s="578">
        <v>0</v>
      </c>
      <c r="E327" s="578">
        <v>0</v>
      </c>
      <c r="F327" s="578">
        <v>0</v>
      </c>
      <c r="G327" s="578">
        <v>0</v>
      </c>
      <c r="H327" s="578">
        <v>0</v>
      </c>
      <c r="I327" s="578">
        <v>0</v>
      </c>
      <c r="J327" s="578">
        <v>0</v>
      </c>
      <c r="K327" s="578">
        <v>0</v>
      </c>
      <c r="L327" s="578">
        <v>0</v>
      </c>
      <c r="M327" s="56">
        <v>5716</v>
      </c>
      <c r="N327" s="56">
        <v>6383</v>
      </c>
      <c r="O327" s="56">
        <v>6939</v>
      </c>
      <c r="P327" s="574"/>
      <c r="Q327" s="577" t="s">
        <v>1867</v>
      </c>
    </row>
    <row r="328" spans="1:17">
      <c r="A328" s="577" t="s">
        <v>5394</v>
      </c>
      <c r="B328" s="577" t="s">
        <v>5026</v>
      </c>
      <c r="C328" s="55" t="s">
        <v>13880</v>
      </c>
      <c r="D328" s="578">
        <v>0</v>
      </c>
      <c r="E328" s="578">
        <v>0</v>
      </c>
      <c r="F328" s="578">
        <v>0</v>
      </c>
      <c r="G328" s="578">
        <v>0</v>
      </c>
      <c r="H328" s="578">
        <v>0</v>
      </c>
      <c r="I328" s="578">
        <v>0</v>
      </c>
      <c r="J328" s="578">
        <v>0</v>
      </c>
      <c r="K328" s="578">
        <v>0</v>
      </c>
      <c r="L328" s="578">
        <v>0</v>
      </c>
      <c r="M328" s="56">
        <v>5748</v>
      </c>
      <c r="N328" s="56">
        <v>5943</v>
      </c>
      <c r="O328" s="56">
        <v>6051</v>
      </c>
      <c r="P328" s="574"/>
      <c r="Q328" s="577" t="s">
        <v>1867</v>
      </c>
    </row>
    <row r="329" spans="1:17">
      <c r="A329" s="577" t="s">
        <v>5416</v>
      </c>
      <c r="B329" s="577" t="s">
        <v>12430</v>
      </c>
      <c r="C329" s="55" t="s">
        <v>13881</v>
      </c>
      <c r="D329" s="578">
        <v>0</v>
      </c>
      <c r="E329" s="578">
        <v>0</v>
      </c>
      <c r="F329" s="578">
        <v>0</v>
      </c>
      <c r="G329" s="578">
        <v>0</v>
      </c>
      <c r="H329" s="578">
        <v>0</v>
      </c>
      <c r="I329" s="578">
        <v>0</v>
      </c>
      <c r="J329" s="578">
        <v>0</v>
      </c>
      <c r="K329" s="578">
        <v>0</v>
      </c>
      <c r="L329" s="578">
        <v>0</v>
      </c>
      <c r="M329" s="56">
        <v>5292</v>
      </c>
      <c r="N329" s="56">
        <v>5304</v>
      </c>
      <c r="O329" s="56">
        <v>5432</v>
      </c>
      <c r="P329" s="574"/>
      <c r="Q329" s="577" t="s">
        <v>1867</v>
      </c>
    </row>
    <row r="330" spans="1:17">
      <c r="A330" s="577" t="s">
        <v>5418</v>
      </c>
      <c r="B330" s="577" t="s">
        <v>5027</v>
      </c>
      <c r="C330" s="55" t="s">
        <v>13882</v>
      </c>
      <c r="D330" s="578">
        <v>31243</v>
      </c>
      <c r="E330" s="578">
        <v>31313</v>
      </c>
      <c r="F330" s="578">
        <v>31315</v>
      </c>
      <c r="G330" s="578">
        <v>31524</v>
      </c>
      <c r="H330" s="578">
        <v>31235</v>
      </c>
      <c r="I330" s="578">
        <v>30611</v>
      </c>
      <c r="J330" s="578">
        <v>30094</v>
      </c>
      <c r="K330" s="578">
        <v>30756</v>
      </c>
      <c r="L330" s="578">
        <v>31333</v>
      </c>
      <c r="M330" s="58">
        <v>6586</v>
      </c>
      <c r="N330" s="58">
        <v>6610</v>
      </c>
      <c r="O330" s="58">
        <v>6682</v>
      </c>
      <c r="P330" s="574"/>
      <c r="Q330" s="577" t="s">
        <v>1875</v>
      </c>
    </row>
    <row r="331" spans="1:17">
      <c r="A331" s="577" t="s">
        <v>5420</v>
      </c>
      <c r="B331" s="577" t="s">
        <v>5028</v>
      </c>
      <c r="C331" s="55" t="s">
        <v>13883</v>
      </c>
      <c r="D331" s="578">
        <v>0</v>
      </c>
      <c r="E331" s="578">
        <v>0</v>
      </c>
      <c r="F331" s="578">
        <v>0</v>
      </c>
      <c r="G331" s="578">
        <v>0</v>
      </c>
      <c r="H331" s="578">
        <v>0</v>
      </c>
      <c r="I331" s="578">
        <v>0</v>
      </c>
      <c r="J331" s="578">
        <v>0</v>
      </c>
      <c r="K331" s="578">
        <v>0</v>
      </c>
      <c r="L331" s="578">
        <v>0</v>
      </c>
      <c r="M331" s="58">
        <v>6213</v>
      </c>
      <c r="N331" s="58">
        <v>6279</v>
      </c>
      <c r="O331" s="58">
        <v>6344</v>
      </c>
      <c r="P331" s="574"/>
      <c r="Q331" s="577" t="s">
        <v>1875</v>
      </c>
    </row>
    <row r="332" spans="1:17">
      <c r="A332" s="577" t="s">
        <v>5422</v>
      </c>
      <c r="B332" s="577" t="s">
        <v>12428</v>
      </c>
      <c r="C332" s="55" t="s">
        <v>13884</v>
      </c>
      <c r="D332" s="578">
        <v>4725</v>
      </c>
      <c r="E332" s="578">
        <v>4756</v>
      </c>
      <c r="F332" s="578">
        <v>4756</v>
      </c>
      <c r="G332" s="578">
        <v>4721</v>
      </c>
      <c r="H332" s="578">
        <v>4736</v>
      </c>
      <c r="I332" s="578">
        <v>4670</v>
      </c>
      <c r="J332" s="578">
        <v>4562</v>
      </c>
      <c r="K332" s="578">
        <v>4684</v>
      </c>
      <c r="L332" s="578">
        <v>4760</v>
      </c>
      <c r="M332" s="56">
        <v>2520</v>
      </c>
      <c r="N332" s="56">
        <v>2664</v>
      </c>
      <c r="O332" s="56">
        <v>2762</v>
      </c>
      <c r="P332" s="574"/>
      <c r="Q332" s="577" t="s">
        <v>1858</v>
      </c>
    </row>
    <row r="333" spans="1:17" ht="15.75" thickBot="1">
      <c r="B333" s="577"/>
      <c r="C333" s="55" t="s">
        <v>13884</v>
      </c>
      <c r="D333" s="578">
        <v>0</v>
      </c>
      <c r="E333" s="578">
        <v>0</v>
      </c>
      <c r="F333" s="578">
        <v>0</v>
      </c>
      <c r="G333" s="578">
        <v>0</v>
      </c>
      <c r="H333" s="578">
        <v>0</v>
      </c>
      <c r="I333" s="578">
        <v>0</v>
      </c>
      <c r="J333" s="578">
        <v>0</v>
      </c>
      <c r="K333" s="578">
        <v>0</v>
      </c>
      <c r="L333" s="578">
        <v>0</v>
      </c>
      <c r="M333" s="56">
        <v>3599</v>
      </c>
      <c r="N333" s="56">
        <v>3635</v>
      </c>
      <c r="O333" s="56">
        <v>3689</v>
      </c>
      <c r="P333" s="574"/>
      <c r="Q333" s="577" t="s">
        <v>1867</v>
      </c>
    </row>
    <row r="334" spans="1:17" ht="15.75" thickBot="1">
      <c r="B334" s="577"/>
      <c r="C334" s="55" t="s">
        <v>13884</v>
      </c>
      <c r="D334" s="592">
        <f t="shared" ref="D334:N334" si="145">D332+D333</f>
        <v>4725</v>
      </c>
      <c r="E334" s="592">
        <f t="shared" si="145"/>
        <v>4756</v>
      </c>
      <c r="F334" s="592">
        <f t="shared" si="145"/>
        <v>4756</v>
      </c>
      <c r="G334" s="592">
        <f t="shared" si="145"/>
        <v>4721</v>
      </c>
      <c r="H334" s="592">
        <f t="shared" si="145"/>
        <v>4736</v>
      </c>
      <c r="I334" s="592">
        <f t="shared" si="145"/>
        <v>4670</v>
      </c>
      <c r="J334" s="592">
        <f t="shared" si="145"/>
        <v>4562</v>
      </c>
      <c r="K334" s="592">
        <f t="shared" si="145"/>
        <v>4684</v>
      </c>
      <c r="L334" s="592">
        <f t="shared" si="145"/>
        <v>4760</v>
      </c>
      <c r="M334" s="592">
        <f t="shared" si="145"/>
        <v>6119</v>
      </c>
      <c r="N334" s="592">
        <f t="shared" si="145"/>
        <v>6299</v>
      </c>
      <c r="O334" s="592">
        <f>O332+O333</f>
        <v>6451</v>
      </c>
      <c r="P334" s="574"/>
      <c r="Q334" s="577"/>
    </row>
    <row r="335" spans="1:17">
      <c r="A335" s="577" t="s">
        <v>5424</v>
      </c>
      <c r="B335" s="577" t="s">
        <v>12429</v>
      </c>
      <c r="C335" s="55" t="s">
        <v>13885</v>
      </c>
      <c r="D335" s="578">
        <v>0</v>
      </c>
      <c r="E335" s="578">
        <v>0</v>
      </c>
      <c r="F335" s="578">
        <v>0</v>
      </c>
      <c r="G335" s="578">
        <v>0</v>
      </c>
      <c r="H335" s="578">
        <v>0</v>
      </c>
      <c r="I335" s="578">
        <v>0</v>
      </c>
      <c r="J335" s="578">
        <v>0</v>
      </c>
      <c r="K335" s="578">
        <v>0</v>
      </c>
      <c r="L335" s="578">
        <v>0</v>
      </c>
      <c r="M335" s="56">
        <v>2276</v>
      </c>
      <c r="N335" s="56">
        <v>2276</v>
      </c>
      <c r="O335" s="56">
        <v>2319</v>
      </c>
      <c r="P335" s="574"/>
      <c r="Q335" s="577" t="s">
        <v>1858</v>
      </c>
    </row>
    <row r="336" spans="1:17" ht="15.75" thickBot="1">
      <c r="B336" s="577"/>
      <c r="C336" s="55" t="s">
        <v>13885</v>
      </c>
      <c r="D336" s="578">
        <v>0</v>
      </c>
      <c r="E336" s="578">
        <v>0</v>
      </c>
      <c r="F336" s="578">
        <v>0</v>
      </c>
      <c r="G336" s="578">
        <v>0</v>
      </c>
      <c r="H336" s="578">
        <v>0</v>
      </c>
      <c r="I336" s="578">
        <v>0</v>
      </c>
      <c r="J336" s="578">
        <v>0</v>
      </c>
      <c r="K336" s="578">
        <v>0</v>
      </c>
      <c r="L336" s="578">
        <v>0</v>
      </c>
      <c r="M336" s="56">
        <v>4091</v>
      </c>
      <c r="N336" s="56">
        <v>4084</v>
      </c>
      <c r="O336" s="56">
        <v>4135</v>
      </c>
      <c r="Q336" s="577" t="s">
        <v>1867</v>
      </c>
    </row>
    <row r="337" spans="1:17" ht="15.75" thickBot="1">
      <c r="B337" s="577"/>
      <c r="C337" s="55" t="s">
        <v>13885</v>
      </c>
      <c r="D337" s="592">
        <f t="shared" ref="D337:N337" si="146">D335+D336</f>
        <v>0</v>
      </c>
      <c r="E337" s="592">
        <f t="shared" si="146"/>
        <v>0</v>
      </c>
      <c r="F337" s="592">
        <f t="shared" si="146"/>
        <v>0</v>
      </c>
      <c r="G337" s="592">
        <f t="shared" si="146"/>
        <v>0</v>
      </c>
      <c r="H337" s="592">
        <f t="shared" si="146"/>
        <v>0</v>
      </c>
      <c r="I337" s="592">
        <f t="shared" si="146"/>
        <v>0</v>
      </c>
      <c r="J337" s="592">
        <f t="shared" si="146"/>
        <v>0</v>
      </c>
      <c r="K337" s="592">
        <f t="shared" si="146"/>
        <v>0</v>
      </c>
      <c r="L337" s="592">
        <f t="shared" si="146"/>
        <v>0</v>
      </c>
      <c r="M337" s="592">
        <f t="shared" si="146"/>
        <v>6367</v>
      </c>
      <c r="N337" s="592">
        <f t="shared" si="146"/>
        <v>6360</v>
      </c>
      <c r="O337" s="592">
        <f>O335+O336</f>
        <v>6454</v>
      </c>
      <c r="P337" s="574"/>
      <c r="Q337" s="577"/>
    </row>
    <row r="338" spans="1:17">
      <c r="A338" s="577" t="s">
        <v>5426</v>
      </c>
      <c r="B338" s="577" t="s">
        <v>12431</v>
      </c>
      <c r="C338" s="55" t="s">
        <v>13886</v>
      </c>
      <c r="D338" s="578">
        <v>0</v>
      </c>
      <c r="E338" s="578">
        <v>0</v>
      </c>
      <c r="F338" s="578">
        <v>0</v>
      </c>
      <c r="G338" s="578">
        <v>0</v>
      </c>
      <c r="H338" s="578">
        <v>0</v>
      </c>
      <c r="I338" s="578">
        <v>0</v>
      </c>
      <c r="J338" s="578">
        <v>0</v>
      </c>
      <c r="K338" s="578">
        <v>0</v>
      </c>
      <c r="L338" s="578">
        <v>0</v>
      </c>
      <c r="M338" s="587">
        <v>5542</v>
      </c>
      <c r="N338" s="587">
        <v>6074</v>
      </c>
      <c r="O338" s="587">
        <v>6504</v>
      </c>
      <c r="P338" s="574"/>
      <c r="Q338" s="577" t="s">
        <v>1867</v>
      </c>
    </row>
    <row r="339" spans="1:17">
      <c r="A339" s="577" t="s">
        <v>5428</v>
      </c>
      <c r="B339" s="577" t="s">
        <v>5030</v>
      </c>
      <c r="C339" s="55" t="s">
        <v>13887</v>
      </c>
      <c r="D339" s="578">
        <v>0</v>
      </c>
      <c r="E339" s="578">
        <v>0</v>
      </c>
      <c r="F339" s="578">
        <v>0</v>
      </c>
      <c r="G339" s="578">
        <v>0</v>
      </c>
      <c r="H339" s="578">
        <v>0</v>
      </c>
      <c r="I339" s="578">
        <v>0</v>
      </c>
      <c r="J339" s="578">
        <v>0</v>
      </c>
      <c r="K339" s="578">
        <v>0</v>
      </c>
      <c r="L339" s="578">
        <v>0</v>
      </c>
      <c r="M339" s="58">
        <v>227</v>
      </c>
      <c r="N339" s="58">
        <v>231</v>
      </c>
      <c r="O339" s="58">
        <v>235</v>
      </c>
      <c r="P339" s="574"/>
      <c r="Q339" s="577" t="s">
        <v>1867</v>
      </c>
    </row>
    <row r="340" spans="1:17" ht="15.75" thickBot="1">
      <c r="B340" s="577"/>
      <c r="C340" s="55" t="s">
        <v>13887</v>
      </c>
      <c r="D340" s="578">
        <v>0</v>
      </c>
      <c r="E340" s="578">
        <v>0</v>
      </c>
      <c r="F340" s="578">
        <v>0</v>
      </c>
      <c r="G340" s="578">
        <v>0</v>
      </c>
      <c r="H340" s="578">
        <v>0</v>
      </c>
      <c r="I340" s="578">
        <v>0</v>
      </c>
      <c r="J340" s="578">
        <v>0</v>
      </c>
      <c r="K340" s="578">
        <v>0</v>
      </c>
      <c r="L340" s="578">
        <v>0</v>
      </c>
      <c r="M340" s="56">
        <v>5385</v>
      </c>
      <c r="N340" s="56">
        <v>5633</v>
      </c>
      <c r="O340" s="56">
        <v>5792</v>
      </c>
      <c r="P340" s="574"/>
      <c r="Q340" s="577" t="s">
        <v>1875</v>
      </c>
    </row>
    <row r="341" spans="1:17" ht="15.75" thickBot="1">
      <c r="B341" s="577"/>
      <c r="C341" s="55" t="s">
        <v>13887</v>
      </c>
      <c r="D341" s="592">
        <f t="shared" ref="D341:N341" si="147">D339+D340</f>
        <v>0</v>
      </c>
      <c r="E341" s="592">
        <f t="shared" si="147"/>
        <v>0</v>
      </c>
      <c r="F341" s="592">
        <f t="shared" si="147"/>
        <v>0</v>
      </c>
      <c r="G341" s="592">
        <f t="shared" si="147"/>
        <v>0</v>
      </c>
      <c r="H341" s="592">
        <f t="shared" si="147"/>
        <v>0</v>
      </c>
      <c r="I341" s="592">
        <f t="shared" si="147"/>
        <v>0</v>
      </c>
      <c r="J341" s="592">
        <f t="shared" si="147"/>
        <v>0</v>
      </c>
      <c r="K341" s="592">
        <f t="shared" si="147"/>
        <v>0</v>
      </c>
      <c r="L341" s="592">
        <f t="shared" si="147"/>
        <v>0</v>
      </c>
      <c r="M341" s="592">
        <f t="shared" si="147"/>
        <v>5612</v>
      </c>
      <c r="N341" s="592">
        <f t="shared" si="147"/>
        <v>5864</v>
      </c>
      <c r="O341" s="592">
        <f>O339+O340</f>
        <v>6027</v>
      </c>
      <c r="P341" s="574"/>
      <c r="Q341" s="577"/>
    </row>
    <row r="342" spans="1:17">
      <c r="A342" s="577" t="s">
        <v>5429</v>
      </c>
      <c r="B342" s="577" t="s">
        <v>5031</v>
      </c>
      <c r="C342" s="55" t="s">
        <v>13888</v>
      </c>
      <c r="D342" s="578">
        <v>0</v>
      </c>
      <c r="E342" s="578">
        <v>0</v>
      </c>
      <c r="F342" s="578">
        <v>0</v>
      </c>
      <c r="G342" s="578">
        <v>0</v>
      </c>
      <c r="H342" s="578">
        <v>0</v>
      </c>
      <c r="I342" s="578">
        <v>0</v>
      </c>
      <c r="J342" s="578">
        <v>0</v>
      </c>
      <c r="K342" s="578">
        <v>0</v>
      </c>
      <c r="L342" s="578">
        <v>0</v>
      </c>
      <c r="M342" s="58">
        <v>4325</v>
      </c>
      <c r="N342" s="58">
        <v>4681</v>
      </c>
      <c r="O342" s="58">
        <v>4860</v>
      </c>
      <c r="P342" s="574"/>
      <c r="Q342" s="577" t="s">
        <v>1875</v>
      </c>
    </row>
    <row r="343" spans="1:17">
      <c r="A343" s="577" t="s">
        <v>5431</v>
      </c>
      <c r="B343" s="577" t="s">
        <v>5032</v>
      </c>
      <c r="C343" s="55" t="s">
        <v>13889</v>
      </c>
      <c r="D343" s="578">
        <v>0</v>
      </c>
      <c r="E343" s="578">
        <v>0</v>
      </c>
      <c r="F343" s="578">
        <v>0</v>
      </c>
      <c r="G343" s="578">
        <v>0</v>
      </c>
      <c r="H343" s="578">
        <v>0</v>
      </c>
      <c r="I343" s="578">
        <v>0</v>
      </c>
      <c r="J343" s="578">
        <v>0</v>
      </c>
      <c r="K343" s="578">
        <v>0</v>
      </c>
      <c r="L343" s="578">
        <v>0</v>
      </c>
      <c r="M343" s="56">
        <v>5443</v>
      </c>
      <c r="N343" s="56">
        <v>5402</v>
      </c>
      <c r="O343" s="56">
        <v>5418</v>
      </c>
      <c r="P343" s="574"/>
      <c r="Q343" s="577" t="s">
        <v>1867</v>
      </c>
    </row>
    <row r="344" spans="1:17" ht="15.75" thickBot="1">
      <c r="B344" s="577"/>
      <c r="C344" s="55" t="s">
        <v>13889</v>
      </c>
      <c r="D344" s="578">
        <v>0</v>
      </c>
      <c r="E344" s="578">
        <v>0</v>
      </c>
      <c r="F344" s="578">
        <v>0</v>
      </c>
      <c r="G344" s="578">
        <v>0</v>
      </c>
      <c r="H344" s="578">
        <v>0</v>
      </c>
      <c r="I344" s="578">
        <v>0</v>
      </c>
      <c r="J344" s="578">
        <v>0</v>
      </c>
      <c r="K344" s="578">
        <v>0</v>
      </c>
      <c r="L344" s="578">
        <v>0</v>
      </c>
      <c r="M344" s="56">
        <v>1</v>
      </c>
      <c r="N344" s="56">
        <v>2</v>
      </c>
      <c r="O344" s="56">
        <v>2</v>
      </c>
      <c r="P344" s="574"/>
      <c r="Q344" s="577" t="s">
        <v>1875</v>
      </c>
    </row>
    <row r="345" spans="1:17" ht="15.75" thickBot="1">
      <c r="B345" s="577"/>
      <c r="C345" s="55" t="s">
        <v>13889</v>
      </c>
      <c r="D345" s="592">
        <f t="shared" ref="D345:N345" si="148">D343+D344</f>
        <v>0</v>
      </c>
      <c r="E345" s="592">
        <f t="shared" si="148"/>
        <v>0</v>
      </c>
      <c r="F345" s="592">
        <f t="shared" si="148"/>
        <v>0</v>
      </c>
      <c r="G345" s="592">
        <f t="shared" si="148"/>
        <v>0</v>
      </c>
      <c r="H345" s="592">
        <f t="shared" si="148"/>
        <v>0</v>
      </c>
      <c r="I345" s="592">
        <f t="shared" si="148"/>
        <v>0</v>
      </c>
      <c r="J345" s="592">
        <f t="shared" si="148"/>
        <v>0</v>
      </c>
      <c r="K345" s="592">
        <f t="shared" si="148"/>
        <v>0</v>
      </c>
      <c r="L345" s="592">
        <f t="shared" si="148"/>
        <v>0</v>
      </c>
      <c r="M345" s="592">
        <f t="shared" si="148"/>
        <v>5444</v>
      </c>
      <c r="N345" s="592">
        <f t="shared" si="148"/>
        <v>5404</v>
      </c>
      <c r="O345" s="592">
        <f>O343+O344</f>
        <v>5420</v>
      </c>
      <c r="P345" s="574"/>
      <c r="Q345" s="577"/>
    </row>
    <row r="346" spans="1:17">
      <c r="A346" s="577" t="s">
        <v>5433</v>
      </c>
      <c r="B346" s="577" t="s">
        <v>12432</v>
      </c>
      <c r="C346" s="55" t="s">
        <v>13890</v>
      </c>
      <c r="D346" s="578">
        <v>0</v>
      </c>
      <c r="E346" s="578">
        <v>0</v>
      </c>
      <c r="F346" s="578">
        <v>0</v>
      </c>
      <c r="G346" s="578">
        <v>0</v>
      </c>
      <c r="H346" s="578">
        <v>0</v>
      </c>
      <c r="I346" s="578">
        <v>0</v>
      </c>
      <c r="J346" s="578">
        <v>0</v>
      </c>
      <c r="K346" s="578">
        <v>0</v>
      </c>
      <c r="L346" s="578">
        <v>0</v>
      </c>
      <c r="M346" s="56">
        <v>4998</v>
      </c>
      <c r="N346" s="56">
        <v>5042</v>
      </c>
      <c r="O346" s="56">
        <v>5147</v>
      </c>
      <c r="P346" s="574"/>
      <c r="Q346" s="577" t="s">
        <v>1867</v>
      </c>
    </row>
    <row r="347" spans="1:17">
      <c r="A347" s="577" t="s">
        <v>5435</v>
      </c>
      <c r="B347" s="577" t="s">
        <v>5035</v>
      </c>
      <c r="C347" s="55" t="s">
        <v>13891</v>
      </c>
      <c r="D347" s="578">
        <v>0</v>
      </c>
      <c r="E347" s="578">
        <v>0</v>
      </c>
      <c r="F347" s="578">
        <v>0</v>
      </c>
      <c r="G347" s="578">
        <v>0</v>
      </c>
      <c r="H347" s="578">
        <v>0</v>
      </c>
      <c r="I347" s="578">
        <v>0</v>
      </c>
      <c r="J347" s="578">
        <v>0</v>
      </c>
      <c r="K347" s="578">
        <v>0</v>
      </c>
      <c r="L347" s="578">
        <v>0</v>
      </c>
      <c r="M347" s="58">
        <v>6166</v>
      </c>
      <c r="N347" s="58">
        <v>6130</v>
      </c>
      <c r="O347" s="58">
        <v>6206</v>
      </c>
      <c r="P347" s="574"/>
      <c r="Q347" s="577" t="s">
        <v>1875</v>
      </c>
    </row>
    <row r="348" spans="1:17">
      <c r="A348" s="574"/>
      <c r="B348" s="574"/>
      <c r="D348" s="584"/>
      <c r="E348" s="584"/>
      <c r="F348" s="584"/>
      <c r="G348" s="584"/>
      <c r="H348" s="584"/>
      <c r="I348" s="584"/>
      <c r="J348" s="584"/>
      <c r="K348" s="584"/>
      <c r="L348" s="584"/>
      <c r="M348" s="584"/>
      <c r="N348" s="584"/>
      <c r="O348" s="584"/>
      <c r="P348" s="574"/>
      <c r="Q348" s="574"/>
    </row>
    <row r="349" spans="1:17">
      <c r="A349" s="577" t="s">
        <v>1208</v>
      </c>
      <c r="D349" s="578">
        <f t="shared" ref="D349:L349" si="149">SUM(D332,D335)</f>
        <v>4725</v>
      </c>
      <c r="E349" s="578">
        <f t="shared" si="149"/>
        <v>4756</v>
      </c>
      <c r="F349" s="578">
        <f t="shared" si="149"/>
        <v>4756</v>
      </c>
      <c r="G349" s="578">
        <f t="shared" si="149"/>
        <v>4721</v>
      </c>
      <c r="H349" s="578">
        <f t="shared" si="149"/>
        <v>4736</v>
      </c>
      <c r="I349" s="578">
        <f t="shared" si="149"/>
        <v>4670</v>
      </c>
      <c r="J349" s="578">
        <f t="shared" si="149"/>
        <v>4562</v>
      </c>
      <c r="K349" s="578">
        <f t="shared" si="149"/>
        <v>4684</v>
      </c>
      <c r="L349" s="578">
        <f t="shared" si="149"/>
        <v>4760</v>
      </c>
      <c r="M349" s="578">
        <f>SUM(M332,M335)</f>
        <v>4796</v>
      </c>
      <c r="N349" s="578">
        <f>SUM(N332,N335)</f>
        <v>4940</v>
      </c>
      <c r="O349" s="578">
        <f>SUM(O332,O335)</f>
        <v>5081</v>
      </c>
      <c r="P349" s="574"/>
      <c r="Q349" s="574"/>
    </row>
    <row r="350" spans="1:17">
      <c r="A350" s="577" t="s">
        <v>1867</v>
      </c>
      <c r="D350" s="578">
        <f t="shared" ref="D350:L350" si="150">SUM(D322:D324,D327:D329,D333,D336,D338:D339,D343,D346)</f>
        <v>60746</v>
      </c>
      <c r="E350" s="578">
        <f t="shared" si="150"/>
        <v>61025</v>
      </c>
      <c r="F350" s="578">
        <f t="shared" si="150"/>
        <v>61548</v>
      </c>
      <c r="G350" s="578">
        <f t="shared" si="150"/>
        <v>61844</v>
      </c>
      <c r="H350" s="578">
        <f t="shared" si="150"/>
        <v>60948</v>
      </c>
      <c r="I350" s="578">
        <f t="shared" si="150"/>
        <v>57542</v>
      </c>
      <c r="J350" s="578">
        <f t="shared" si="150"/>
        <v>56110</v>
      </c>
      <c r="K350" s="578">
        <f t="shared" si="150"/>
        <v>56623</v>
      </c>
      <c r="L350" s="578">
        <f t="shared" si="150"/>
        <v>55937</v>
      </c>
      <c r="M350" s="578">
        <f>SUM(M322:M324,M327:M329,M333,M336,M338:M339,M343,M346)</f>
        <v>55512</v>
      </c>
      <c r="N350" s="578">
        <f>SUM(N322:N324,N327:N329,N333,N336,N338:N339,N343,N346)</f>
        <v>57077</v>
      </c>
      <c r="O350" s="578">
        <f>SUM(O322:O324,O327:O329,O333,O336,O338:O339,O343,O346)</f>
        <v>58679</v>
      </c>
      <c r="P350" s="574"/>
      <c r="Q350" s="574"/>
    </row>
    <row r="351" spans="1:17">
      <c r="A351" s="577" t="s">
        <v>794</v>
      </c>
      <c r="D351" s="578">
        <f t="shared" ref="D351:L351" si="151">SUM(D325,D330:D331,D340,D342,D344,D347)</f>
        <v>31243</v>
      </c>
      <c r="E351" s="578">
        <f t="shared" si="151"/>
        <v>31313</v>
      </c>
      <c r="F351" s="578">
        <f t="shared" si="151"/>
        <v>31315</v>
      </c>
      <c r="G351" s="578">
        <f t="shared" si="151"/>
        <v>31524</v>
      </c>
      <c r="H351" s="578">
        <f t="shared" si="151"/>
        <v>31235</v>
      </c>
      <c r="I351" s="578">
        <f t="shared" si="151"/>
        <v>30611</v>
      </c>
      <c r="J351" s="578">
        <f t="shared" si="151"/>
        <v>30094</v>
      </c>
      <c r="K351" s="578">
        <f t="shared" si="151"/>
        <v>30756</v>
      </c>
      <c r="L351" s="578">
        <f t="shared" si="151"/>
        <v>31333</v>
      </c>
      <c r="M351" s="578">
        <f>SUM(M325,M330:M331,M340,M342,M344,M347)</f>
        <v>31368</v>
      </c>
      <c r="N351" s="578">
        <f>SUM(N325,N330:N331,N340,N342,N344,N347)</f>
        <v>32056</v>
      </c>
      <c r="O351" s="578">
        <f>SUM(O325,O330:O331,O340,O342,O344,O347)</f>
        <v>32623</v>
      </c>
      <c r="P351" s="574"/>
      <c r="Q351" s="574"/>
    </row>
    <row r="352" spans="1:17">
      <c r="A352" s="577"/>
      <c r="D352" s="578"/>
      <c r="E352" s="578"/>
      <c r="F352" s="578"/>
      <c r="G352" s="578"/>
      <c r="H352" s="578"/>
      <c r="I352" s="578"/>
      <c r="J352" s="578"/>
      <c r="K352" s="578"/>
      <c r="L352" s="578"/>
      <c r="M352" s="578"/>
      <c r="N352" s="578"/>
      <c r="O352" s="578"/>
      <c r="P352" s="574"/>
      <c r="Q352" s="574"/>
    </row>
    <row r="353" spans="1:17">
      <c r="A353" s="577" t="s">
        <v>13892</v>
      </c>
      <c r="D353" s="578"/>
      <c r="E353" s="578"/>
      <c r="F353" s="578"/>
      <c r="G353" s="578"/>
      <c r="H353" s="578"/>
      <c r="I353" s="578"/>
      <c r="J353" s="578"/>
      <c r="K353" s="578"/>
      <c r="L353" s="578"/>
      <c r="M353" s="578"/>
      <c r="N353" s="578"/>
      <c r="O353" s="578"/>
      <c r="P353" s="574"/>
      <c r="Q353" s="574"/>
    </row>
    <row r="354" spans="1:17">
      <c r="A354" s="576" t="s">
        <v>795</v>
      </c>
      <c r="D354" s="578"/>
      <c r="E354" s="578"/>
      <c r="F354" s="578"/>
      <c r="G354" s="578"/>
      <c r="H354" s="578"/>
      <c r="I354" s="578"/>
      <c r="J354" s="578"/>
      <c r="K354" s="578"/>
      <c r="L354" s="578"/>
      <c r="M354" s="578"/>
      <c r="N354" s="578"/>
      <c r="O354" s="578"/>
      <c r="P354" s="574"/>
      <c r="Q354" s="574"/>
    </row>
    <row r="355" spans="1:17">
      <c r="A355" s="577"/>
      <c r="B355" s="577"/>
      <c r="D355" s="589"/>
      <c r="E355" s="589"/>
      <c r="F355" s="589"/>
      <c r="G355" s="589"/>
      <c r="H355" s="589"/>
      <c r="I355" s="589"/>
      <c r="J355" s="589"/>
      <c r="K355" s="589"/>
      <c r="L355" s="589"/>
      <c r="M355" s="589"/>
      <c r="N355" s="589"/>
      <c r="O355" s="589"/>
      <c r="P355" s="574"/>
      <c r="Q355" s="574"/>
    </row>
    <row r="356" spans="1:17">
      <c r="A356" s="577"/>
      <c r="B356" s="577"/>
      <c r="D356" s="589"/>
      <c r="E356" s="589"/>
      <c r="F356" s="589"/>
      <c r="G356" s="589"/>
      <c r="H356" s="589"/>
      <c r="I356" s="589"/>
      <c r="J356" s="589"/>
      <c r="K356" s="589"/>
      <c r="L356" s="589"/>
      <c r="M356" s="589"/>
      <c r="N356" s="589"/>
      <c r="O356" s="589"/>
      <c r="P356" s="574"/>
      <c r="Q356" s="574"/>
    </row>
    <row r="357" spans="1:17">
      <c r="A357" s="574"/>
      <c r="B357" s="574"/>
      <c r="E357" s="51" t="s">
        <v>1526</v>
      </c>
      <c r="F357" s="51"/>
      <c r="G357" s="51"/>
      <c r="H357" s="51"/>
      <c r="I357" s="51"/>
      <c r="J357" s="51"/>
      <c r="K357" s="51"/>
      <c r="L357" s="51"/>
      <c r="M357" s="51"/>
      <c r="N357" s="51"/>
      <c r="O357" s="51"/>
      <c r="P357" s="11"/>
      <c r="Q357" s="11" t="s">
        <v>9479</v>
      </c>
    </row>
    <row r="358" spans="1:17">
      <c r="A358" s="574"/>
      <c r="B358" s="574"/>
      <c r="D358" s="350">
        <v>2010</v>
      </c>
      <c r="E358" s="350">
        <v>2011</v>
      </c>
      <c r="F358" s="350">
        <v>2012</v>
      </c>
      <c r="G358" s="350">
        <v>2013</v>
      </c>
      <c r="H358" s="350">
        <v>2014</v>
      </c>
      <c r="I358" s="350">
        <v>2015</v>
      </c>
      <c r="J358" s="350">
        <v>2016</v>
      </c>
      <c r="K358" s="350">
        <v>2017</v>
      </c>
      <c r="L358" s="350">
        <v>2018</v>
      </c>
      <c r="M358" s="350">
        <v>2019</v>
      </c>
      <c r="N358" s="350">
        <v>2020</v>
      </c>
      <c r="O358" s="961" t="s">
        <v>14823</v>
      </c>
      <c r="P358" s="574"/>
      <c r="Q358" s="13" t="s">
        <v>1527</v>
      </c>
    </row>
    <row r="359" spans="1:17">
      <c r="A359" s="577" t="s">
        <v>796</v>
      </c>
      <c r="D359" s="578">
        <f t="shared" ref="D359:I359" si="152">SUM(D360:D385)</f>
        <v>45891</v>
      </c>
      <c r="E359" s="578">
        <f t="shared" si="152"/>
        <v>46058</v>
      </c>
      <c r="F359" s="578">
        <f t="shared" si="152"/>
        <v>45845</v>
      </c>
      <c r="G359" s="578">
        <f t="shared" si="152"/>
        <v>45909</v>
      </c>
      <c r="H359" s="578">
        <f t="shared" si="152"/>
        <v>46181</v>
      </c>
      <c r="I359" s="578">
        <f t="shared" si="152"/>
        <v>46114</v>
      </c>
      <c r="J359" s="578">
        <f t="shared" ref="J359:O359" si="153">SUM(J360:J385)</f>
        <v>45804</v>
      </c>
      <c r="K359" s="578">
        <f t="shared" si="153"/>
        <v>45181</v>
      </c>
      <c r="L359" s="578">
        <f t="shared" si="153"/>
        <v>46375</v>
      </c>
      <c r="M359" s="578">
        <f t="shared" si="153"/>
        <v>45559</v>
      </c>
      <c r="N359" s="578">
        <f t="shared" si="153"/>
        <v>47198</v>
      </c>
      <c r="O359" s="578">
        <f t="shared" si="153"/>
        <v>48803</v>
      </c>
      <c r="P359" s="574"/>
      <c r="Q359" s="574"/>
    </row>
    <row r="360" spans="1:17">
      <c r="A360" s="577" t="s">
        <v>5387</v>
      </c>
      <c r="B360" s="576" t="s">
        <v>12439</v>
      </c>
      <c r="C360" s="55" t="s">
        <v>14349</v>
      </c>
      <c r="D360" s="578">
        <v>45891</v>
      </c>
      <c r="E360" s="578">
        <v>46058</v>
      </c>
      <c r="F360" s="578">
        <v>45845</v>
      </c>
      <c r="G360" s="63">
        <v>45909</v>
      </c>
      <c r="H360" s="63">
        <v>46181</v>
      </c>
      <c r="I360" s="63">
        <v>46114</v>
      </c>
      <c r="J360" s="63">
        <v>45804</v>
      </c>
      <c r="K360" s="63">
        <v>45181</v>
      </c>
      <c r="L360" s="63">
        <v>46375</v>
      </c>
      <c r="M360" s="63">
        <v>2003</v>
      </c>
      <c r="N360" s="63">
        <v>2037</v>
      </c>
      <c r="O360" s="63">
        <v>2114</v>
      </c>
      <c r="P360" s="574"/>
      <c r="Q360" s="577" t="s">
        <v>1868</v>
      </c>
    </row>
    <row r="361" spans="1:17">
      <c r="A361" s="577" t="s">
        <v>5389</v>
      </c>
      <c r="B361" s="576" t="s">
        <v>14351</v>
      </c>
      <c r="C361" s="55" t="s">
        <v>14350</v>
      </c>
      <c r="D361" s="578">
        <v>0</v>
      </c>
      <c r="E361" s="578">
        <v>0</v>
      </c>
      <c r="F361" s="578">
        <v>0</v>
      </c>
      <c r="G361" s="578">
        <v>0</v>
      </c>
      <c r="H361" s="578">
        <v>0</v>
      </c>
      <c r="I361" s="578">
        <v>0</v>
      </c>
      <c r="J361" s="578">
        <v>0</v>
      </c>
      <c r="K361" s="578">
        <v>0</v>
      </c>
      <c r="L361" s="578">
        <v>0</v>
      </c>
      <c r="M361" s="63">
        <v>2581</v>
      </c>
      <c r="N361" s="63">
        <v>2625</v>
      </c>
      <c r="O361" s="63">
        <v>2674</v>
      </c>
      <c r="P361" s="574"/>
      <c r="Q361" s="577" t="s">
        <v>1868</v>
      </c>
    </row>
    <row r="362" spans="1:17">
      <c r="A362" s="577" t="s">
        <v>5391</v>
      </c>
      <c r="B362" s="576" t="s">
        <v>12440</v>
      </c>
      <c r="C362" s="55" t="s">
        <v>14352</v>
      </c>
      <c r="D362" s="578">
        <v>0</v>
      </c>
      <c r="E362" s="578">
        <v>0</v>
      </c>
      <c r="F362" s="578">
        <v>0</v>
      </c>
      <c r="G362" s="578">
        <v>0</v>
      </c>
      <c r="H362" s="578">
        <v>0</v>
      </c>
      <c r="I362" s="578">
        <v>0</v>
      </c>
      <c r="J362" s="578">
        <v>0</v>
      </c>
      <c r="K362" s="578">
        <v>0</v>
      </c>
      <c r="L362" s="578">
        <v>0</v>
      </c>
      <c r="M362" s="63">
        <v>1228</v>
      </c>
      <c r="N362" s="63">
        <v>1245</v>
      </c>
      <c r="O362" s="63">
        <v>1286</v>
      </c>
      <c r="P362" s="574"/>
      <c r="Q362" s="577" t="s">
        <v>1868</v>
      </c>
    </row>
    <row r="363" spans="1:17">
      <c r="A363" s="577" t="s">
        <v>5393</v>
      </c>
      <c r="B363" s="576" t="s">
        <v>14354</v>
      </c>
      <c r="C363" s="55" t="s">
        <v>14353</v>
      </c>
      <c r="D363" s="578">
        <v>0</v>
      </c>
      <c r="E363" s="578">
        <v>0</v>
      </c>
      <c r="F363" s="578">
        <v>0</v>
      </c>
      <c r="G363" s="578">
        <v>0</v>
      </c>
      <c r="H363" s="578">
        <v>0</v>
      </c>
      <c r="I363" s="578">
        <v>0</v>
      </c>
      <c r="J363" s="578">
        <v>0</v>
      </c>
      <c r="K363" s="578">
        <v>0</v>
      </c>
      <c r="L363" s="578">
        <v>0</v>
      </c>
      <c r="M363" s="63">
        <v>1259</v>
      </c>
      <c r="N363" s="63">
        <v>1267</v>
      </c>
      <c r="O363" s="63">
        <v>1304</v>
      </c>
      <c r="P363" s="574"/>
      <c r="Q363" s="577" t="s">
        <v>1868</v>
      </c>
    </row>
    <row r="364" spans="1:17">
      <c r="A364" s="577" t="s">
        <v>5394</v>
      </c>
      <c r="B364" s="576" t="s">
        <v>797</v>
      </c>
      <c r="C364" s="55" t="s">
        <v>14355</v>
      </c>
      <c r="D364" s="578">
        <v>0</v>
      </c>
      <c r="E364" s="578">
        <v>0</v>
      </c>
      <c r="F364" s="578">
        <v>0</v>
      </c>
      <c r="G364" s="578">
        <v>0</v>
      </c>
      <c r="H364" s="578">
        <v>0</v>
      </c>
      <c r="I364" s="578">
        <v>0</v>
      </c>
      <c r="J364" s="578">
        <v>0</v>
      </c>
      <c r="K364" s="578">
        <v>0</v>
      </c>
      <c r="L364" s="578">
        <v>0</v>
      </c>
      <c r="M364" s="63">
        <v>1088</v>
      </c>
      <c r="N364" s="63">
        <v>1127</v>
      </c>
      <c r="O364" s="63">
        <v>1155</v>
      </c>
      <c r="P364" s="574"/>
      <c r="Q364" s="577" t="s">
        <v>1868</v>
      </c>
    </row>
    <row r="365" spans="1:17">
      <c r="A365" s="577" t="s">
        <v>5416</v>
      </c>
      <c r="B365" s="576" t="s">
        <v>798</v>
      </c>
      <c r="C365" s="55" t="s">
        <v>14356</v>
      </c>
      <c r="D365" s="578">
        <v>0</v>
      </c>
      <c r="E365" s="578">
        <v>0</v>
      </c>
      <c r="F365" s="578">
        <v>0</v>
      </c>
      <c r="G365" s="578">
        <v>0</v>
      </c>
      <c r="H365" s="578">
        <v>0</v>
      </c>
      <c r="I365" s="578">
        <v>0</v>
      </c>
      <c r="J365" s="578">
        <v>0</v>
      </c>
      <c r="K365" s="578">
        <v>0</v>
      </c>
      <c r="L365" s="578">
        <v>0</v>
      </c>
      <c r="M365" s="63">
        <v>1090</v>
      </c>
      <c r="N365" s="63">
        <v>1137</v>
      </c>
      <c r="O365" s="63">
        <v>1188</v>
      </c>
      <c r="P365" s="574"/>
      <c r="Q365" s="577" t="s">
        <v>1868</v>
      </c>
    </row>
    <row r="366" spans="1:17">
      <c r="A366" s="577" t="s">
        <v>5418</v>
      </c>
      <c r="B366" s="576" t="s">
        <v>14358</v>
      </c>
      <c r="C366" s="55" t="s">
        <v>14357</v>
      </c>
      <c r="D366" s="578">
        <v>0</v>
      </c>
      <c r="E366" s="578">
        <v>0</v>
      </c>
      <c r="F366" s="578">
        <v>0</v>
      </c>
      <c r="G366" s="578">
        <v>0</v>
      </c>
      <c r="H366" s="578">
        <v>0</v>
      </c>
      <c r="I366" s="578">
        <v>0</v>
      </c>
      <c r="J366" s="578">
        <v>0</v>
      </c>
      <c r="K366" s="578">
        <v>0</v>
      </c>
      <c r="L366" s="578">
        <v>0</v>
      </c>
      <c r="M366" s="63">
        <v>1280</v>
      </c>
      <c r="N366" s="63">
        <v>1333</v>
      </c>
      <c r="O366" s="63">
        <v>1352</v>
      </c>
      <c r="P366" s="574"/>
      <c r="Q366" s="577" t="s">
        <v>1868</v>
      </c>
    </row>
    <row r="367" spans="1:17">
      <c r="A367" s="577" t="s">
        <v>5420</v>
      </c>
      <c r="B367" s="576" t="s">
        <v>12441</v>
      </c>
      <c r="C367" s="55" t="s">
        <v>14359</v>
      </c>
      <c r="D367" s="578">
        <v>0</v>
      </c>
      <c r="E367" s="578">
        <v>0</v>
      </c>
      <c r="F367" s="578">
        <v>0</v>
      </c>
      <c r="G367" s="578">
        <v>0</v>
      </c>
      <c r="H367" s="578">
        <v>0</v>
      </c>
      <c r="I367" s="578">
        <v>0</v>
      </c>
      <c r="J367" s="578">
        <v>0</v>
      </c>
      <c r="K367" s="578">
        <v>0</v>
      </c>
      <c r="L367" s="578">
        <v>0</v>
      </c>
      <c r="M367" s="63">
        <v>2262</v>
      </c>
      <c r="N367" s="63">
        <v>2339</v>
      </c>
      <c r="O367" s="63">
        <v>2442</v>
      </c>
      <c r="P367" s="574"/>
      <c r="Q367" s="577" t="s">
        <v>1868</v>
      </c>
    </row>
    <row r="368" spans="1:17">
      <c r="A368" s="577" t="s">
        <v>5422</v>
      </c>
      <c r="B368" s="576" t="s">
        <v>799</v>
      </c>
      <c r="C368" s="55" t="s">
        <v>14360</v>
      </c>
      <c r="D368" s="578">
        <v>0</v>
      </c>
      <c r="E368" s="578">
        <v>0</v>
      </c>
      <c r="F368" s="578">
        <v>0</v>
      </c>
      <c r="G368" s="578">
        <v>0</v>
      </c>
      <c r="H368" s="578">
        <v>0</v>
      </c>
      <c r="I368" s="578">
        <v>0</v>
      </c>
      <c r="J368" s="578">
        <v>0</v>
      </c>
      <c r="K368" s="578">
        <v>0</v>
      </c>
      <c r="L368" s="578">
        <v>0</v>
      </c>
      <c r="M368" s="63">
        <v>2020</v>
      </c>
      <c r="N368" s="63">
        <v>2130</v>
      </c>
      <c r="O368" s="63">
        <v>2196</v>
      </c>
      <c r="P368" s="574"/>
      <c r="Q368" s="577" t="s">
        <v>1868</v>
      </c>
    </row>
    <row r="369" spans="1:17">
      <c r="A369" s="577" t="s">
        <v>5424</v>
      </c>
      <c r="B369" s="576" t="s">
        <v>12442</v>
      </c>
      <c r="C369" s="55" t="s">
        <v>14361</v>
      </c>
      <c r="D369" s="578">
        <v>0</v>
      </c>
      <c r="E369" s="578">
        <v>0</v>
      </c>
      <c r="F369" s="578">
        <v>0</v>
      </c>
      <c r="G369" s="578">
        <v>0</v>
      </c>
      <c r="H369" s="578">
        <v>0</v>
      </c>
      <c r="I369" s="578">
        <v>0</v>
      </c>
      <c r="J369" s="578">
        <v>0</v>
      </c>
      <c r="K369" s="578">
        <v>0</v>
      </c>
      <c r="L369" s="578">
        <v>0</v>
      </c>
      <c r="M369" s="63">
        <v>2109</v>
      </c>
      <c r="N369" s="63">
        <v>2194</v>
      </c>
      <c r="O369" s="63">
        <v>2266</v>
      </c>
      <c r="P369" s="574"/>
      <c r="Q369" s="577" t="s">
        <v>1868</v>
      </c>
    </row>
    <row r="370" spans="1:17">
      <c r="A370" s="577" t="s">
        <v>5426</v>
      </c>
      <c r="B370" s="576" t="s">
        <v>14363</v>
      </c>
      <c r="C370" s="55" t="s">
        <v>14362</v>
      </c>
      <c r="D370" s="578">
        <v>0</v>
      </c>
      <c r="E370" s="578">
        <v>0</v>
      </c>
      <c r="F370" s="578">
        <v>0</v>
      </c>
      <c r="G370" s="578">
        <v>0</v>
      </c>
      <c r="H370" s="578">
        <v>0</v>
      </c>
      <c r="I370" s="578">
        <v>0</v>
      </c>
      <c r="J370" s="578">
        <v>0</v>
      </c>
      <c r="K370" s="578">
        <v>0</v>
      </c>
      <c r="L370" s="578">
        <v>0</v>
      </c>
      <c r="M370" s="63">
        <v>2563</v>
      </c>
      <c r="N370" s="63">
        <v>2648</v>
      </c>
      <c r="O370" s="63">
        <v>2724</v>
      </c>
      <c r="P370" s="574"/>
      <c r="Q370" s="577" t="s">
        <v>1868</v>
      </c>
    </row>
    <row r="371" spans="1:17">
      <c r="A371" s="577" t="s">
        <v>5428</v>
      </c>
      <c r="B371" s="576" t="s">
        <v>14365</v>
      </c>
      <c r="C371" s="55" t="s">
        <v>14364</v>
      </c>
      <c r="D371" s="578">
        <v>0</v>
      </c>
      <c r="E371" s="578">
        <v>0</v>
      </c>
      <c r="F371" s="578">
        <v>0</v>
      </c>
      <c r="G371" s="578">
        <v>0</v>
      </c>
      <c r="H371" s="578">
        <v>0</v>
      </c>
      <c r="I371" s="578">
        <v>0</v>
      </c>
      <c r="J371" s="578">
        <v>0</v>
      </c>
      <c r="K371" s="578">
        <v>0</v>
      </c>
      <c r="L371" s="578">
        <v>0</v>
      </c>
      <c r="M371" s="63">
        <v>1145</v>
      </c>
      <c r="N371" s="63">
        <v>1153</v>
      </c>
      <c r="O371" s="63">
        <v>1205</v>
      </c>
      <c r="P371" s="574"/>
      <c r="Q371" s="577" t="s">
        <v>1868</v>
      </c>
    </row>
    <row r="372" spans="1:17">
      <c r="A372" s="577" t="s">
        <v>5429</v>
      </c>
      <c r="B372" s="576" t="s">
        <v>14367</v>
      </c>
      <c r="C372" s="55" t="s">
        <v>14366</v>
      </c>
      <c r="D372" s="578">
        <v>0</v>
      </c>
      <c r="E372" s="578">
        <v>0</v>
      </c>
      <c r="F372" s="578">
        <v>0</v>
      </c>
      <c r="G372" s="578">
        <v>0</v>
      </c>
      <c r="H372" s="578">
        <v>0</v>
      </c>
      <c r="I372" s="578">
        <v>0</v>
      </c>
      <c r="J372" s="578">
        <v>0</v>
      </c>
      <c r="K372" s="578">
        <v>0</v>
      </c>
      <c r="L372" s="578">
        <v>0</v>
      </c>
      <c r="M372" s="63">
        <v>1021</v>
      </c>
      <c r="N372" s="63">
        <v>1059</v>
      </c>
      <c r="O372" s="63">
        <v>1106</v>
      </c>
      <c r="P372" s="574"/>
      <c r="Q372" s="577" t="s">
        <v>1868</v>
      </c>
    </row>
    <row r="373" spans="1:17">
      <c r="A373" s="577" t="s">
        <v>5431</v>
      </c>
      <c r="B373" s="576" t="s">
        <v>800</v>
      </c>
      <c r="C373" s="55" t="s">
        <v>14368</v>
      </c>
      <c r="D373" s="578">
        <v>0</v>
      </c>
      <c r="E373" s="578">
        <v>0</v>
      </c>
      <c r="F373" s="578">
        <v>0</v>
      </c>
      <c r="G373" s="578">
        <v>0</v>
      </c>
      <c r="H373" s="578">
        <v>0</v>
      </c>
      <c r="I373" s="578">
        <v>0</v>
      </c>
      <c r="J373" s="578">
        <v>0</v>
      </c>
      <c r="K373" s="578">
        <v>0</v>
      </c>
      <c r="L373" s="578">
        <v>0</v>
      </c>
      <c r="M373" s="63">
        <v>2263</v>
      </c>
      <c r="N373" s="63">
        <v>2375</v>
      </c>
      <c r="O373" s="63">
        <v>2478</v>
      </c>
      <c r="P373" s="574"/>
      <c r="Q373" s="577" t="s">
        <v>1868</v>
      </c>
    </row>
    <row r="374" spans="1:17">
      <c r="A374" s="577" t="s">
        <v>5433</v>
      </c>
      <c r="B374" s="576" t="s">
        <v>801</v>
      </c>
      <c r="C374" s="55" t="s">
        <v>14369</v>
      </c>
      <c r="D374" s="578">
        <v>0</v>
      </c>
      <c r="E374" s="578">
        <v>0</v>
      </c>
      <c r="F374" s="578">
        <v>0</v>
      </c>
      <c r="G374" s="578">
        <v>0</v>
      </c>
      <c r="H374" s="578">
        <v>0</v>
      </c>
      <c r="I374" s="578">
        <v>0</v>
      </c>
      <c r="J374" s="578">
        <v>0</v>
      </c>
      <c r="K374" s="578">
        <v>0</v>
      </c>
      <c r="L374" s="578">
        <v>0</v>
      </c>
      <c r="M374" s="63">
        <v>2323</v>
      </c>
      <c r="N374" s="63">
        <v>2330</v>
      </c>
      <c r="O374" s="63">
        <v>2418</v>
      </c>
      <c r="P374" s="574"/>
      <c r="Q374" s="577" t="s">
        <v>1868</v>
      </c>
    </row>
    <row r="375" spans="1:17">
      <c r="A375" s="577" t="s">
        <v>5435</v>
      </c>
      <c r="B375" s="576" t="s">
        <v>2103</v>
      </c>
      <c r="C375" s="55" t="s">
        <v>14370</v>
      </c>
      <c r="D375" s="578">
        <v>0</v>
      </c>
      <c r="E375" s="578">
        <v>0</v>
      </c>
      <c r="F375" s="578">
        <v>0</v>
      </c>
      <c r="G375" s="578">
        <v>0</v>
      </c>
      <c r="H375" s="578">
        <v>0</v>
      </c>
      <c r="I375" s="578">
        <v>0</v>
      </c>
      <c r="J375" s="578">
        <v>0</v>
      </c>
      <c r="K375" s="578">
        <v>0</v>
      </c>
      <c r="L375" s="578">
        <v>0</v>
      </c>
      <c r="M375" s="63">
        <v>2251</v>
      </c>
      <c r="N375" s="63">
        <v>2420</v>
      </c>
      <c r="O375" s="63">
        <v>2547</v>
      </c>
      <c r="P375" s="574"/>
      <c r="Q375" s="577" t="s">
        <v>1868</v>
      </c>
    </row>
    <row r="376" spans="1:17">
      <c r="A376" s="577" t="s">
        <v>5436</v>
      </c>
      <c r="B376" s="576" t="s">
        <v>3510</v>
      </c>
      <c r="C376" s="55" t="s">
        <v>14371</v>
      </c>
      <c r="D376" s="578">
        <v>0</v>
      </c>
      <c r="E376" s="578">
        <v>0</v>
      </c>
      <c r="F376" s="578">
        <v>0</v>
      </c>
      <c r="G376" s="578">
        <v>0</v>
      </c>
      <c r="H376" s="578">
        <v>0</v>
      </c>
      <c r="I376" s="578">
        <v>0</v>
      </c>
      <c r="J376" s="578">
        <v>0</v>
      </c>
      <c r="K376" s="578">
        <v>0</v>
      </c>
      <c r="L376" s="578">
        <v>0</v>
      </c>
      <c r="M376" s="63">
        <v>1228</v>
      </c>
      <c r="N376" s="63">
        <v>1266</v>
      </c>
      <c r="O376" s="63">
        <v>1294</v>
      </c>
      <c r="P376" s="574"/>
      <c r="Q376" s="577" t="s">
        <v>1868</v>
      </c>
    </row>
    <row r="377" spans="1:17">
      <c r="A377" s="577" t="s">
        <v>5437</v>
      </c>
      <c r="B377" s="576" t="s">
        <v>3511</v>
      </c>
      <c r="C377" s="55" t="s">
        <v>14372</v>
      </c>
      <c r="D377" s="578">
        <v>0</v>
      </c>
      <c r="E377" s="578">
        <v>0</v>
      </c>
      <c r="F377" s="578">
        <v>0</v>
      </c>
      <c r="G377" s="578">
        <v>0</v>
      </c>
      <c r="H377" s="578">
        <v>0</v>
      </c>
      <c r="I377" s="578">
        <v>0</v>
      </c>
      <c r="J377" s="578">
        <v>0</v>
      </c>
      <c r="K377" s="578">
        <v>0</v>
      </c>
      <c r="L377" s="578">
        <v>0</v>
      </c>
      <c r="M377" s="63">
        <v>1192</v>
      </c>
      <c r="N377" s="63">
        <v>1203</v>
      </c>
      <c r="O377" s="63">
        <v>1240</v>
      </c>
      <c r="P377" s="574"/>
      <c r="Q377" s="577" t="s">
        <v>1868</v>
      </c>
    </row>
    <row r="378" spans="1:17">
      <c r="A378" s="577" t="s">
        <v>5439</v>
      </c>
      <c r="B378" s="576" t="s">
        <v>6912</v>
      </c>
      <c r="C378" s="55" t="s">
        <v>14373</v>
      </c>
      <c r="D378" s="578">
        <v>0</v>
      </c>
      <c r="E378" s="578">
        <v>0</v>
      </c>
      <c r="F378" s="578">
        <v>0</v>
      </c>
      <c r="G378" s="578">
        <v>0</v>
      </c>
      <c r="H378" s="578">
        <v>0</v>
      </c>
      <c r="I378" s="578">
        <v>0</v>
      </c>
      <c r="J378" s="578">
        <v>0</v>
      </c>
      <c r="K378" s="578">
        <v>0</v>
      </c>
      <c r="L378" s="578">
        <v>0</v>
      </c>
      <c r="M378" s="63">
        <v>2291</v>
      </c>
      <c r="N378" s="63">
        <v>2361</v>
      </c>
      <c r="O378" s="63">
        <v>2442</v>
      </c>
      <c r="P378" s="574"/>
      <c r="Q378" s="577" t="s">
        <v>1868</v>
      </c>
    </row>
    <row r="379" spans="1:17">
      <c r="A379" s="577" t="s">
        <v>5441</v>
      </c>
      <c r="B379" s="576" t="s">
        <v>3512</v>
      </c>
      <c r="C379" s="55" t="s">
        <v>14374</v>
      </c>
      <c r="D379" s="578">
        <v>0</v>
      </c>
      <c r="E379" s="578">
        <v>0</v>
      </c>
      <c r="F379" s="578">
        <v>0</v>
      </c>
      <c r="G379" s="578">
        <v>0</v>
      </c>
      <c r="H379" s="578">
        <v>0</v>
      </c>
      <c r="I379" s="578">
        <v>0</v>
      </c>
      <c r="J379" s="578">
        <v>0</v>
      </c>
      <c r="K379" s="578">
        <v>0</v>
      </c>
      <c r="L379" s="578">
        <v>0</v>
      </c>
      <c r="M379" s="63">
        <v>2459</v>
      </c>
      <c r="N379" s="63">
        <v>2568</v>
      </c>
      <c r="O379" s="63">
        <v>2696</v>
      </c>
      <c r="P379" s="574"/>
      <c r="Q379" s="577" t="s">
        <v>1868</v>
      </c>
    </row>
    <row r="380" spans="1:17">
      <c r="A380" s="577" t="s">
        <v>5886</v>
      </c>
      <c r="B380" s="576" t="s">
        <v>14376</v>
      </c>
      <c r="C380" s="55" t="s">
        <v>14375</v>
      </c>
      <c r="D380" s="578">
        <v>0</v>
      </c>
      <c r="E380" s="578">
        <v>0</v>
      </c>
      <c r="F380" s="578">
        <v>0</v>
      </c>
      <c r="G380" s="578">
        <v>0</v>
      </c>
      <c r="H380" s="578">
        <v>0</v>
      </c>
      <c r="I380" s="578">
        <v>0</v>
      </c>
      <c r="J380" s="578">
        <v>0</v>
      </c>
      <c r="K380" s="578">
        <v>0</v>
      </c>
      <c r="L380" s="578">
        <v>0</v>
      </c>
      <c r="M380" s="63">
        <v>1208</v>
      </c>
      <c r="N380" s="63">
        <v>1230</v>
      </c>
      <c r="O380" s="63">
        <v>1274</v>
      </c>
      <c r="P380" s="574"/>
      <c r="Q380" s="577" t="s">
        <v>1868</v>
      </c>
    </row>
    <row r="381" spans="1:17">
      <c r="A381" s="577" t="s">
        <v>5888</v>
      </c>
      <c r="B381" s="576" t="s">
        <v>14378</v>
      </c>
      <c r="C381" s="55" t="s">
        <v>14377</v>
      </c>
      <c r="D381" s="578">
        <v>0</v>
      </c>
      <c r="E381" s="578">
        <v>0</v>
      </c>
      <c r="F381" s="578">
        <v>0</v>
      </c>
      <c r="G381" s="578">
        <v>0</v>
      </c>
      <c r="H381" s="578">
        <v>0</v>
      </c>
      <c r="I381" s="578">
        <v>0</v>
      </c>
      <c r="J381" s="578">
        <v>0</v>
      </c>
      <c r="K381" s="578">
        <v>0</v>
      </c>
      <c r="L381" s="578">
        <v>0</v>
      </c>
      <c r="M381" s="63">
        <v>1312</v>
      </c>
      <c r="N381" s="63">
        <v>1348</v>
      </c>
      <c r="O381" s="63">
        <v>1367</v>
      </c>
      <c r="P381" s="574"/>
      <c r="Q381" s="577" t="s">
        <v>1868</v>
      </c>
    </row>
    <row r="382" spans="1:17">
      <c r="A382" s="577" t="s">
        <v>5889</v>
      </c>
      <c r="B382" s="576" t="s">
        <v>14380</v>
      </c>
      <c r="C382" s="55" t="s">
        <v>14379</v>
      </c>
      <c r="D382" s="578">
        <v>0</v>
      </c>
      <c r="E382" s="578">
        <v>0</v>
      </c>
      <c r="F382" s="578">
        <v>0</v>
      </c>
      <c r="G382" s="578">
        <v>0</v>
      </c>
      <c r="H382" s="578">
        <v>0</v>
      </c>
      <c r="I382" s="578">
        <v>0</v>
      </c>
      <c r="J382" s="578">
        <v>0</v>
      </c>
      <c r="K382" s="578">
        <v>0</v>
      </c>
      <c r="L382" s="578">
        <v>0</v>
      </c>
      <c r="M382" s="63">
        <v>2188</v>
      </c>
      <c r="N382" s="63">
        <v>2327</v>
      </c>
      <c r="O382" s="63">
        <v>2399</v>
      </c>
      <c r="P382" s="574"/>
      <c r="Q382" s="577" t="s">
        <v>1868</v>
      </c>
    </row>
    <row r="383" spans="1:17">
      <c r="A383" s="577" t="s">
        <v>4431</v>
      </c>
      <c r="B383" s="576" t="s">
        <v>12443</v>
      </c>
      <c r="C383" s="55" t="s">
        <v>14381</v>
      </c>
      <c r="D383" s="578">
        <v>0</v>
      </c>
      <c r="E383" s="578">
        <v>0</v>
      </c>
      <c r="F383" s="578">
        <v>0</v>
      </c>
      <c r="G383" s="578">
        <v>0</v>
      </c>
      <c r="H383" s="578">
        <v>0</v>
      </c>
      <c r="I383" s="578">
        <v>0</v>
      </c>
      <c r="J383" s="578">
        <v>0</v>
      </c>
      <c r="K383" s="578">
        <v>0</v>
      </c>
      <c r="L383" s="578">
        <v>0</v>
      </c>
      <c r="M383" s="63">
        <v>1105</v>
      </c>
      <c r="N383" s="63">
        <v>1128</v>
      </c>
      <c r="O383" s="63">
        <v>1169</v>
      </c>
      <c r="P383" s="574"/>
      <c r="Q383" s="577" t="s">
        <v>1868</v>
      </c>
    </row>
    <row r="384" spans="1:17">
      <c r="A384" s="593" t="s">
        <v>4432</v>
      </c>
      <c r="B384" s="576" t="s">
        <v>14383</v>
      </c>
      <c r="C384" s="55" t="s">
        <v>14382</v>
      </c>
      <c r="D384" s="578">
        <v>0</v>
      </c>
      <c r="E384" s="578">
        <v>0</v>
      </c>
      <c r="F384" s="578">
        <v>0</v>
      </c>
      <c r="G384" s="578">
        <v>0</v>
      </c>
      <c r="H384" s="578">
        <v>0</v>
      </c>
      <c r="I384" s="578">
        <v>0</v>
      </c>
      <c r="J384" s="578">
        <v>0</v>
      </c>
      <c r="K384" s="578">
        <v>0</v>
      </c>
      <c r="L384" s="578">
        <v>0</v>
      </c>
      <c r="M384" s="63">
        <v>2647</v>
      </c>
      <c r="N384" s="63">
        <v>2769</v>
      </c>
      <c r="O384" s="63">
        <v>2803</v>
      </c>
      <c r="P384" s="574"/>
      <c r="Q384" s="577" t="s">
        <v>1868</v>
      </c>
    </row>
    <row r="385" spans="1:17">
      <c r="A385" s="593" t="s">
        <v>4434</v>
      </c>
      <c r="B385" s="576" t="s">
        <v>14385</v>
      </c>
      <c r="C385" s="55" t="s">
        <v>14384</v>
      </c>
      <c r="D385" s="578">
        <v>0</v>
      </c>
      <c r="E385" s="578">
        <v>0</v>
      </c>
      <c r="F385" s="578">
        <v>0</v>
      </c>
      <c r="G385" s="578">
        <v>0</v>
      </c>
      <c r="H385" s="578">
        <v>0</v>
      </c>
      <c r="I385" s="578">
        <v>0</v>
      </c>
      <c r="J385" s="578">
        <v>0</v>
      </c>
      <c r="K385" s="578">
        <v>0</v>
      </c>
      <c r="L385" s="578">
        <v>0</v>
      </c>
      <c r="M385" s="63">
        <v>1443</v>
      </c>
      <c r="N385" s="63">
        <v>1579</v>
      </c>
      <c r="O385" s="63">
        <v>1664</v>
      </c>
      <c r="P385" s="574"/>
      <c r="Q385" s="577" t="s">
        <v>1868</v>
      </c>
    </row>
    <row r="386" spans="1:17">
      <c r="A386" s="574"/>
      <c r="B386" s="574"/>
      <c r="D386" s="584"/>
      <c r="E386" s="584"/>
      <c r="F386" s="584"/>
      <c r="G386" s="584"/>
      <c r="H386" s="584"/>
      <c r="I386" s="584"/>
      <c r="J386" s="584"/>
      <c r="K386" s="584"/>
      <c r="L386" s="584"/>
      <c r="M386" s="584"/>
      <c r="N386" s="584"/>
      <c r="O386" s="584"/>
      <c r="P386" s="574"/>
      <c r="Q386" s="574"/>
    </row>
    <row r="387" spans="1:17">
      <c r="A387" s="577" t="s">
        <v>3580</v>
      </c>
      <c r="D387" s="578">
        <f t="shared" ref="D387:I387" si="154">SUM(D360:D385)</f>
        <v>45891</v>
      </c>
      <c r="E387" s="578">
        <f t="shared" si="154"/>
        <v>46058</v>
      </c>
      <c r="F387" s="578">
        <f t="shared" si="154"/>
        <v>45845</v>
      </c>
      <c r="G387" s="578">
        <f t="shared" si="154"/>
        <v>45909</v>
      </c>
      <c r="H387" s="578">
        <f t="shared" si="154"/>
        <v>46181</v>
      </c>
      <c r="I387" s="578">
        <f t="shared" si="154"/>
        <v>46114</v>
      </c>
      <c r="J387" s="578">
        <f t="shared" ref="J387:O387" si="155">SUM(J360:J385)</f>
        <v>45804</v>
      </c>
      <c r="K387" s="578">
        <f t="shared" si="155"/>
        <v>45181</v>
      </c>
      <c r="L387" s="578">
        <f t="shared" si="155"/>
        <v>46375</v>
      </c>
      <c r="M387" s="578">
        <f t="shared" si="155"/>
        <v>45559</v>
      </c>
      <c r="N387" s="578">
        <f t="shared" si="155"/>
        <v>47198</v>
      </c>
      <c r="O387" s="578">
        <f t="shared" si="155"/>
        <v>48803</v>
      </c>
      <c r="P387" s="574"/>
      <c r="Q387" s="574"/>
    </row>
    <row r="388" spans="1:17">
      <c r="A388" s="577"/>
      <c r="D388" s="578"/>
      <c r="E388" s="578"/>
      <c r="F388" s="578"/>
      <c r="G388" s="578"/>
      <c r="H388" s="578"/>
      <c r="I388" s="578"/>
      <c r="J388" s="578"/>
      <c r="K388" s="578"/>
      <c r="L388" s="578"/>
      <c r="M388" s="578"/>
      <c r="N388" s="578"/>
      <c r="O388" s="578"/>
      <c r="P388" s="574"/>
      <c r="Q388" s="574"/>
    </row>
    <row r="389" spans="1:17">
      <c r="A389" s="577" t="s">
        <v>2183</v>
      </c>
      <c r="D389" s="578"/>
      <c r="E389" s="578"/>
      <c r="F389" s="578"/>
      <c r="G389" s="578"/>
      <c r="H389" s="578"/>
      <c r="I389" s="578"/>
      <c r="J389" s="578"/>
      <c r="K389" s="578"/>
      <c r="L389" s="578"/>
      <c r="M389" s="578"/>
      <c r="N389" s="578"/>
      <c r="O389" s="578"/>
      <c r="P389" s="574"/>
      <c r="Q389" s="574"/>
    </row>
    <row r="390" spans="1:17">
      <c r="A390" s="577" t="s">
        <v>16095</v>
      </c>
      <c r="B390" s="577"/>
      <c r="D390" s="589"/>
      <c r="E390" s="589"/>
      <c r="F390" s="589"/>
      <c r="G390" s="589"/>
      <c r="H390" s="589"/>
      <c r="I390" s="589"/>
      <c r="J390" s="589"/>
      <c r="K390" s="589"/>
      <c r="L390" s="589"/>
      <c r="M390" s="589"/>
      <c r="N390" s="589"/>
      <c r="O390" s="589"/>
      <c r="P390" s="574"/>
      <c r="Q390" s="574"/>
    </row>
    <row r="391" spans="1:17">
      <c r="A391" s="577"/>
      <c r="B391" s="577"/>
      <c r="D391" s="589"/>
      <c r="E391" s="589"/>
      <c r="F391" s="589"/>
      <c r="G391" s="589"/>
      <c r="H391" s="589"/>
      <c r="I391" s="589"/>
      <c r="J391" s="589"/>
      <c r="K391" s="589"/>
      <c r="L391" s="589"/>
      <c r="M391" s="589"/>
      <c r="N391" s="589"/>
      <c r="O391" s="589"/>
      <c r="P391" s="574"/>
      <c r="Q391" s="574"/>
    </row>
    <row r="392" spans="1:17">
      <c r="A392" s="574"/>
      <c r="B392" s="574"/>
      <c r="E392" s="51" t="s">
        <v>1526</v>
      </c>
      <c r="F392" s="51"/>
      <c r="G392" s="51"/>
      <c r="H392" s="51"/>
      <c r="I392" s="51"/>
      <c r="J392" s="51"/>
      <c r="K392" s="51"/>
      <c r="L392" s="51"/>
      <c r="M392" s="51"/>
      <c r="N392" s="51"/>
      <c r="O392" s="51"/>
      <c r="P392" s="11"/>
      <c r="Q392" s="11" t="s">
        <v>9479</v>
      </c>
    </row>
    <row r="393" spans="1:17">
      <c r="A393" s="574"/>
      <c r="B393" s="574"/>
      <c r="D393" s="350">
        <v>2010</v>
      </c>
      <c r="E393" s="350">
        <v>2011</v>
      </c>
      <c r="F393" s="350">
        <v>2012</v>
      </c>
      <c r="G393" s="350">
        <v>2013</v>
      </c>
      <c r="H393" s="350">
        <v>2014</v>
      </c>
      <c r="I393" s="350">
        <v>2015</v>
      </c>
      <c r="J393" s="350">
        <v>2016</v>
      </c>
      <c r="K393" s="350">
        <v>2017</v>
      </c>
      <c r="L393" s="350">
        <v>2018</v>
      </c>
      <c r="M393" s="350">
        <v>2019</v>
      </c>
      <c r="N393" s="350">
        <v>2020</v>
      </c>
      <c r="O393" s="961" t="s">
        <v>14823</v>
      </c>
      <c r="P393" s="574"/>
      <c r="Q393" s="13" t="s">
        <v>1527</v>
      </c>
    </row>
    <row r="394" spans="1:17">
      <c r="A394" s="577" t="s">
        <v>2184</v>
      </c>
      <c r="D394" s="578">
        <f t="shared" ref="D394:I394" si="156">SUM(D395:D408)</f>
        <v>52506</v>
      </c>
      <c r="E394" s="578">
        <f t="shared" si="156"/>
        <v>52692</v>
      </c>
      <c r="F394" s="578">
        <f t="shared" si="156"/>
        <v>52934</v>
      </c>
      <c r="G394" s="578">
        <f t="shared" si="156"/>
        <v>53014</v>
      </c>
      <c r="H394" s="578">
        <f t="shared" si="156"/>
        <v>53123</v>
      </c>
      <c r="I394" s="578">
        <f t="shared" si="156"/>
        <v>52269</v>
      </c>
      <c r="J394" s="578">
        <f t="shared" ref="J394:O394" si="157">SUM(J395:J408)</f>
        <v>51076</v>
      </c>
      <c r="K394" s="578">
        <f t="shared" si="157"/>
        <v>52211</v>
      </c>
      <c r="L394" s="578">
        <f t="shared" si="157"/>
        <v>51427</v>
      </c>
      <c r="M394" s="578">
        <f t="shared" si="157"/>
        <v>51037</v>
      </c>
      <c r="N394" s="578">
        <f t="shared" si="157"/>
        <v>52376</v>
      </c>
      <c r="O394" s="578">
        <f t="shared" si="157"/>
        <v>52268</v>
      </c>
      <c r="P394" s="574"/>
      <c r="Q394" s="574"/>
    </row>
    <row r="395" spans="1:17">
      <c r="A395" s="577" t="s">
        <v>5387</v>
      </c>
      <c r="B395" s="577" t="s">
        <v>2185</v>
      </c>
      <c r="C395" s="55" t="s">
        <v>8616</v>
      </c>
      <c r="D395" s="578">
        <v>2873</v>
      </c>
      <c r="E395" s="578">
        <v>2842</v>
      </c>
      <c r="F395" s="578">
        <v>2848</v>
      </c>
      <c r="G395" s="56">
        <v>2825</v>
      </c>
      <c r="H395" s="56">
        <v>2871</v>
      </c>
      <c r="I395" s="56">
        <v>2822</v>
      </c>
      <c r="J395" s="56">
        <v>2751</v>
      </c>
      <c r="K395" s="56">
        <v>2826</v>
      </c>
      <c r="L395" s="56">
        <v>2780</v>
      </c>
      <c r="M395" s="56">
        <v>2777</v>
      </c>
      <c r="N395" s="56">
        <v>2840</v>
      </c>
      <c r="O395" s="56">
        <v>2852</v>
      </c>
      <c r="P395" s="574"/>
      <c r="Q395" s="577" t="s">
        <v>1870</v>
      </c>
    </row>
    <row r="396" spans="1:17">
      <c r="A396" s="577" t="s">
        <v>5389</v>
      </c>
      <c r="B396" s="577" t="s">
        <v>3743</v>
      </c>
      <c r="C396" s="55" t="s">
        <v>8617</v>
      </c>
      <c r="D396" s="578">
        <v>2800</v>
      </c>
      <c r="E396" s="578">
        <v>2868</v>
      </c>
      <c r="F396" s="578">
        <v>2844</v>
      </c>
      <c r="G396" s="56">
        <v>2926</v>
      </c>
      <c r="H396" s="56">
        <v>2918</v>
      </c>
      <c r="I396" s="56">
        <v>2904</v>
      </c>
      <c r="J396" s="56">
        <v>2864</v>
      </c>
      <c r="K396" s="56">
        <v>2904</v>
      </c>
      <c r="L396" s="56">
        <v>2834</v>
      </c>
      <c r="M396" s="56">
        <v>2783</v>
      </c>
      <c r="N396" s="56">
        <v>2861</v>
      </c>
      <c r="O396" s="56">
        <v>2842</v>
      </c>
      <c r="P396" s="574"/>
      <c r="Q396" s="577" t="s">
        <v>1870</v>
      </c>
    </row>
    <row r="397" spans="1:17">
      <c r="A397" s="577" t="s">
        <v>5391</v>
      </c>
      <c r="B397" s="577" t="s">
        <v>2186</v>
      </c>
      <c r="C397" s="55" t="s">
        <v>8618</v>
      </c>
      <c r="D397" s="578">
        <v>2814</v>
      </c>
      <c r="E397" s="578">
        <v>2888</v>
      </c>
      <c r="F397" s="578">
        <v>2899</v>
      </c>
      <c r="G397" s="56">
        <v>2882</v>
      </c>
      <c r="H397" s="56">
        <v>2919</v>
      </c>
      <c r="I397" s="56">
        <v>2881</v>
      </c>
      <c r="J397" s="56">
        <v>2741</v>
      </c>
      <c r="K397" s="56">
        <v>2810</v>
      </c>
      <c r="L397" s="56">
        <v>2760</v>
      </c>
      <c r="M397" s="56">
        <v>2754</v>
      </c>
      <c r="N397" s="56">
        <v>2829</v>
      </c>
      <c r="O397" s="56">
        <v>2819</v>
      </c>
      <c r="P397" s="574"/>
      <c r="Q397" s="577" t="s">
        <v>1870</v>
      </c>
    </row>
    <row r="398" spans="1:17">
      <c r="A398" s="577" t="s">
        <v>5393</v>
      </c>
      <c r="B398" s="577" t="s">
        <v>2187</v>
      </c>
      <c r="C398" s="55" t="s">
        <v>8619</v>
      </c>
      <c r="D398" s="578">
        <v>3191</v>
      </c>
      <c r="E398" s="578">
        <v>3218</v>
      </c>
      <c r="F398" s="578">
        <v>3211</v>
      </c>
      <c r="G398" s="56">
        <v>3200</v>
      </c>
      <c r="H398" s="56">
        <v>3223</v>
      </c>
      <c r="I398" s="56">
        <v>3179</v>
      </c>
      <c r="J398" s="56">
        <v>3159</v>
      </c>
      <c r="K398" s="56">
        <v>3176</v>
      </c>
      <c r="L398" s="56">
        <v>3131</v>
      </c>
      <c r="M398" s="56">
        <v>3109</v>
      </c>
      <c r="N398" s="56">
        <v>3193</v>
      </c>
      <c r="O398" s="56">
        <v>3186</v>
      </c>
      <c r="P398" s="574"/>
      <c r="Q398" s="577" t="s">
        <v>1870</v>
      </c>
    </row>
    <row r="399" spans="1:17">
      <c r="A399" s="577" t="s">
        <v>5394</v>
      </c>
      <c r="B399" s="577" t="s">
        <v>2188</v>
      </c>
      <c r="C399" s="55" t="s">
        <v>8620</v>
      </c>
      <c r="D399" s="578">
        <v>4517</v>
      </c>
      <c r="E399" s="578">
        <v>4510</v>
      </c>
      <c r="F399" s="578">
        <v>4523</v>
      </c>
      <c r="G399" s="56">
        <v>4534</v>
      </c>
      <c r="H399" s="56">
        <v>4502</v>
      </c>
      <c r="I399" s="56">
        <v>4416</v>
      </c>
      <c r="J399" s="56">
        <v>4325</v>
      </c>
      <c r="K399" s="56">
        <v>4412</v>
      </c>
      <c r="L399" s="56">
        <v>4292</v>
      </c>
      <c r="M399" s="56">
        <v>4197</v>
      </c>
      <c r="N399" s="56">
        <v>4348</v>
      </c>
      <c r="O399" s="56">
        <v>4332</v>
      </c>
      <c r="P399" s="574"/>
      <c r="Q399" s="577" t="s">
        <v>1860</v>
      </c>
    </row>
    <row r="400" spans="1:17">
      <c r="A400" s="577" t="s">
        <v>5416</v>
      </c>
      <c r="B400" s="577" t="s">
        <v>2189</v>
      </c>
      <c r="C400" s="55" t="s">
        <v>8621</v>
      </c>
      <c r="D400" s="578">
        <v>4534</v>
      </c>
      <c r="E400" s="578">
        <v>4544</v>
      </c>
      <c r="F400" s="578">
        <v>4551</v>
      </c>
      <c r="G400" s="56">
        <v>4568</v>
      </c>
      <c r="H400" s="56">
        <v>4474</v>
      </c>
      <c r="I400" s="56">
        <v>4377</v>
      </c>
      <c r="J400" s="56">
        <v>4274</v>
      </c>
      <c r="K400" s="56">
        <v>4359</v>
      </c>
      <c r="L400" s="56">
        <v>4278</v>
      </c>
      <c r="M400" s="56">
        <v>4242</v>
      </c>
      <c r="N400" s="56">
        <v>4406</v>
      </c>
      <c r="O400" s="56">
        <v>4391</v>
      </c>
      <c r="P400" s="574"/>
      <c r="Q400" s="577" t="s">
        <v>1870</v>
      </c>
    </row>
    <row r="401" spans="1:17">
      <c r="A401" s="577" t="s">
        <v>5418</v>
      </c>
      <c r="B401" s="577" t="s">
        <v>2160</v>
      </c>
      <c r="C401" s="55" t="s">
        <v>8622</v>
      </c>
      <c r="D401" s="578">
        <v>4215</v>
      </c>
      <c r="E401" s="578">
        <v>4205</v>
      </c>
      <c r="F401" s="578">
        <v>4221</v>
      </c>
      <c r="G401" s="56">
        <v>4257</v>
      </c>
      <c r="H401" s="56">
        <v>4207</v>
      </c>
      <c r="I401" s="56">
        <v>4141</v>
      </c>
      <c r="J401" s="56">
        <v>4050</v>
      </c>
      <c r="K401" s="56">
        <v>4126</v>
      </c>
      <c r="L401" s="56">
        <v>4094</v>
      </c>
      <c r="M401" s="56">
        <v>4090</v>
      </c>
      <c r="N401" s="56">
        <v>4195</v>
      </c>
      <c r="O401" s="56">
        <v>4188</v>
      </c>
      <c r="P401" s="574"/>
      <c r="Q401" s="577" t="s">
        <v>1870</v>
      </c>
    </row>
    <row r="402" spans="1:17">
      <c r="A402" s="577" t="s">
        <v>5420</v>
      </c>
      <c r="B402" s="577" t="s">
        <v>2161</v>
      </c>
      <c r="C402" s="55" t="s">
        <v>8623</v>
      </c>
      <c r="D402" s="578">
        <v>2948</v>
      </c>
      <c r="E402" s="578">
        <v>2966</v>
      </c>
      <c r="F402" s="578">
        <v>2987</v>
      </c>
      <c r="G402" s="56">
        <v>2992</v>
      </c>
      <c r="H402" s="56">
        <v>3070</v>
      </c>
      <c r="I402" s="56">
        <v>3035</v>
      </c>
      <c r="J402" s="56">
        <v>2992</v>
      </c>
      <c r="K402" s="56">
        <v>3040</v>
      </c>
      <c r="L402" s="56">
        <v>2975</v>
      </c>
      <c r="M402" s="56">
        <v>2949</v>
      </c>
      <c r="N402" s="56">
        <v>3004</v>
      </c>
      <c r="O402" s="56">
        <v>3007</v>
      </c>
      <c r="P402" s="574"/>
      <c r="Q402" s="577" t="s">
        <v>1870</v>
      </c>
    </row>
    <row r="403" spans="1:17">
      <c r="A403" s="577" t="s">
        <v>5422</v>
      </c>
      <c r="B403" s="577" t="s">
        <v>2162</v>
      </c>
      <c r="C403" s="55" t="s">
        <v>8624</v>
      </c>
      <c r="D403" s="578">
        <v>4695</v>
      </c>
      <c r="E403" s="578">
        <v>4686</v>
      </c>
      <c r="F403" s="578">
        <v>4724</v>
      </c>
      <c r="G403" s="56">
        <v>4692</v>
      </c>
      <c r="H403" s="56">
        <v>4753</v>
      </c>
      <c r="I403" s="56">
        <v>4700</v>
      </c>
      <c r="J403" s="56">
        <v>4776</v>
      </c>
      <c r="K403" s="56">
        <v>4855</v>
      </c>
      <c r="L403" s="56">
        <v>4733</v>
      </c>
      <c r="M403" s="56">
        <v>4747</v>
      </c>
      <c r="N403" s="56">
        <v>4795</v>
      </c>
      <c r="O403" s="56">
        <v>4756</v>
      </c>
      <c r="P403" s="574"/>
      <c r="Q403" s="577" t="s">
        <v>1870</v>
      </c>
    </row>
    <row r="404" spans="1:17">
      <c r="A404" s="577" t="s">
        <v>5424</v>
      </c>
      <c r="B404" s="577" t="s">
        <v>2163</v>
      </c>
      <c r="C404" s="55" t="s">
        <v>8625</v>
      </c>
      <c r="D404" s="578">
        <v>4037</v>
      </c>
      <c r="E404" s="578">
        <v>4053</v>
      </c>
      <c r="F404" s="578">
        <v>4127</v>
      </c>
      <c r="G404" s="56">
        <v>4154</v>
      </c>
      <c r="H404" s="56">
        <v>4178</v>
      </c>
      <c r="I404" s="56">
        <v>4114</v>
      </c>
      <c r="J404" s="56">
        <v>4013</v>
      </c>
      <c r="K404" s="56">
        <v>4163</v>
      </c>
      <c r="L404" s="56">
        <v>4126</v>
      </c>
      <c r="M404" s="56">
        <v>4117</v>
      </c>
      <c r="N404" s="56">
        <v>4202</v>
      </c>
      <c r="O404" s="56">
        <v>4197</v>
      </c>
      <c r="P404" s="574"/>
      <c r="Q404" s="577" t="s">
        <v>1870</v>
      </c>
    </row>
    <row r="405" spans="1:17">
      <c r="A405" s="577" t="s">
        <v>5426</v>
      </c>
      <c r="B405" s="577" t="s">
        <v>2164</v>
      </c>
      <c r="C405" s="55" t="s">
        <v>8626</v>
      </c>
      <c r="D405" s="578">
        <v>4216</v>
      </c>
      <c r="E405" s="578">
        <v>4220</v>
      </c>
      <c r="F405" s="578">
        <v>4235</v>
      </c>
      <c r="G405" s="56">
        <v>4261</v>
      </c>
      <c r="H405" s="56">
        <v>4229</v>
      </c>
      <c r="I405" s="56">
        <v>4156</v>
      </c>
      <c r="J405" s="56">
        <v>4083</v>
      </c>
      <c r="K405" s="56">
        <v>4225</v>
      </c>
      <c r="L405" s="56">
        <v>4340</v>
      </c>
      <c r="M405" s="56">
        <v>4338</v>
      </c>
      <c r="N405" s="56">
        <v>4437</v>
      </c>
      <c r="O405" s="56">
        <v>4419</v>
      </c>
      <c r="P405" s="574"/>
      <c r="Q405" s="577" t="s">
        <v>1870</v>
      </c>
    </row>
    <row r="406" spans="1:17">
      <c r="A406" s="577" t="s">
        <v>5428</v>
      </c>
      <c r="B406" s="577" t="s">
        <v>2165</v>
      </c>
      <c r="C406" s="55" t="s">
        <v>8627</v>
      </c>
      <c r="D406" s="584">
        <v>2806</v>
      </c>
      <c r="E406" s="584">
        <v>2837</v>
      </c>
      <c r="F406" s="584">
        <v>2917</v>
      </c>
      <c r="G406" s="56">
        <v>2922</v>
      </c>
      <c r="H406" s="56">
        <v>2990</v>
      </c>
      <c r="I406" s="56">
        <v>2949</v>
      </c>
      <c r="J406" s="56">
        <v>2802</v>
      </c>
      <c r="K406" s="56">
        <v>2841</v>
      </c>
      <c r="L406" s="56">
        <v>2797</v>
      </c>
      <c r="M406" s="56">
        <v>2762</v>
      </c>
      <c r="N406" s="56">
        <v>2866</v>
      </c>
      <c r="O406" s="56">
        <v>2870</v>
      </c>
      <c r="P406" s="574"/>
      <c r="Q406" s="577" t="s">
        <v>1870</v>
      </c>
    </row>
    <row r="407" spans="1:17">
      <c r="A407" s="577" t="s">
        <v>5429</v>
      </c>
      <c r="B407" s="577" t="s">
        <v>3554</v>
      </c>
      <c r="C407" s="55" t="s">
        <v>8628</v>
      </c>
      <c r="D407" s="578">
        <v>4431</v>
      </c>
      <c r="E407" s="578">
        <v>4419</v>
      </c>
      <c r="F407" s="578">
        <v>4405</v>
      </c>
      <c r="G407" s="56">
        <v>4414</v>
      </c>
      <c r="H407" s="56">
        <v>4416</v>
      </c>
      <c r="I407" s="56">
        <v>4329</v>
      </c>
      <c r="J407" s="56">
        <v>4193</v>
      </c>
      <c r="K407" s="56">
        <v>4229</v>
      </c>
      <c r="L407" s="56">
        <v>4182</v>
      </c>
      <c r="M407" s="56">
        <v>4140</v>
      </c>
      <c r="N407" s="56">
        <v>4235</v>
      </c>
      <c r="O407" s="56">
        <v>4228</v>
      </c>
      <c r="P407" s="574"/>
      <c r="Q407" s="577" t="s">
        <v>1870</v>
      </c>
    </row>
    <row r="408" spans="1:17">
      <c r="A408" s="591">
        <v>14</v>
      </c>
      <c r="B408" s="577" t="s">
        <v>3555</v>
      </c>
      <c r="C408" s="55" t="s">
        <v>8629</v>
      </c>
      <c r="D408" s="578">
        <v>4429</v>
      </c>
      <c r="E408" s="578">
        <v>4436</v>
      </c>
      <c r="F408" s="578">
        <v>4442</v>
      </c>
      <c r="G408" s="56">
        <v>4387</v>
      </c>
      <c r="H408" s="56">
        <v>4373</v>
      </c>
      <c r="I408" s="56">
        <v>4266</v>
      </c>
      <c r="J408" s="56">
        <v>4053</v>
      </c>
      <c r="K408" s="56">
        <v>4245</v>
      </c>
      <c r="L408" s="56">
        <v>4105</v>
      </c>
      <c r="M408" s="56">
        <v>4032</v>
      </c>
      <c r="N408" s="56">
        <v>4165</v>
      </c>
      <c r="O408" s="56">
        <v>4181</v>
      </c>
      <c r="P408" s="574"/>
      <c r="Q408" s="577" t="s">
        <v>1860</v>
      </c>
    </row>
    <row r="409" spans="1:17">
      <c r="A409" s="574"/>
      <c r="B409" s="574"/>
      <c r="D409" s="584"/>
      <c r="E409" s="584"/>
      <c r="F409" s="584"/>
      <c r="G409" s="584"/>
      <c r="H409" s="584"/>
      <c r="I409" s="584"/>
      <c r="J409" s="584"/>
      <c r="K409" s="584"/>
      <c r="L409" s="584"/>
      <c r="M409" s="584"/>
      <c r="N409" s="584"/>
      <c r="O409" s="584"/>
      <c r="P409" s="574"/>
      <c r="Q409" s="574"/>
    </row>
    <row r="410" spans="1:17">
      <c r="A410" s="577" t="s">
        <v>1222</v>
      </c>
      <c r="D410" s="578">
        <f t="shared" ref="D410:I410" si="158">D399+D408</f>
        <v>8946</v>
      </c>
      <c r="E410" s="578">
        <f t="shared" si="158"/>
        <v>8946</v>
      </c>
      <c r="F410" s="578">
        <f t="shared" si="158"/>
        <v>8965</v>
      </c>
      <c r="G410" s="578">
        <f t="shared" si="158"/>
        <v>8921</v>
      </c>
      <c r="H410" s="578">
        <f t="shared" si="158"/>
        <v>8875</v>
      </c>
      <c r="I410" s="578">
        <f t="shared" si="158"/>
        <v>8682</v>
      </c>
      <c r="J410" s="578">
        <f t="shared" ref="J410:O410" si="159">J399+J408</f>
        <v>8378</v>
      </c>
      <c r="K410" s="578">
        <f t="shared" si="159"/>
        <v>8657</v>
      </c>
      <c r="L410" s="578">
        <f t="shared" si="159"/>
        <v>8397</v>
      </c>
      <c r="M410" s="578">
        <f t="shared" si="159"/>
        <v>8229</v>
      </c>
      <c r="N410" s="578">
        <f t="shared" si="159"/>
        <v>8513</v>
      </c>
      <c r="O410" s="578">
        <f t="shared" si="159"/>
        <v>8513</v>
      </c>
      <c r="P410" s="574"/>
      <c r="Q410" s="574"/>
    </row>
    <row r="411" spans="1:17">
      <c r="A411" s="577" t="s">
        <v>3556</v>
      </c>
      <c r="D411" s="578">
        <f t="shared" ref="D411:I411" si="160">SUM(D395:D398)+SUM(D400:D407)</f>
        <v>43560</v>
      </c>
      <c r="E411" s="578">
        <f t="shared" si="160"/>
        <v>43746</v>
      </c>
      <c r="F411" s="578">
        <f t="shared" si="160"/>
        <v>43969</v>
      </c>
      <c r="G411" s="578">
        <f t="shared" si="160"/>
        <v>44093</v>
      </c>
      <c r="H411" s="578">
        <f t="shared" si="160"/>
        <v>44248</v>
      </c>
      <c r="I411" s="578">
        <f t="shared" si="160"/>
        <v>43587</v>
      </c>
      <c r="J411" s="578">
        <f t="shared" ref="J411:O411" si="161">SUM(J395:J398)+SUM(J400:J407)</f>
        <v>42698</v>
      </c>
      <c r="K411" s="578">
        <f t="shared" si="161"/>
        <v>43554</v>
      </c>
      <c r="L411" s="578">
        <f t="shared" si="161"/>
        <v>43030</v>
      </c>
      <c r="M411" s="578">
        <f t="shared" si="161"/>
        <v>42808</v>
      </c>
      <c r="N411" s="578">
        <f t="shared" si="161"/>
        <v>43863</v>
      </c>
      <c r="O411" s="578">
        <f t="shared" si="161"/>
        <v>43755</v>
      </c>
      <c r="P411" s="574"/>
      <c r="Q411" s="574"/>
    </row>
    <row r="412" spans="1:17">
      <c r="A412" s="577"/>
      <c r="D412" s="578"/>
      <c r="E412" s="578"/>
      <c r="F412" s="578"/>
      <c r="G412" s="578"/>
      <c r="H412" s="578"/>
      <c r="I412" s="578"/>
      <c r="J412" s="578"/>
      <c r="K412" s="578"/>
      <c r="L412" s="578"/>
      <c r="M412" s="578"/>
      <c r="N412" s="578"/>
      <c r="O412" s="578"/>
      <c r="P412" s="574"/>
      <c r="Q412" s="574"/>
    </row>
    <row r="413" spans="1:17">
      <c r="A413" s="577" t="s">
        <v>6569</v>
      </c>
      <c r="D413" s="578"/>
      <c r="E413" s="578"/>
      <c r="F413" s="578"/>
      <c r="G413" s="578"/>
      <c r="H413" s="578"/>
      <c r="I413" s="578"/>
      <c r="J413" s="578"/>
      <c r="K413" s="578"/>
      <c r="L413" s="578"/>
      <c r="M413" s="578"/>
      <c r="N413" s="578"/>
      <c r="O413" s="578"/>
      <c r="P413" s="574"/>
      <c r="Q413" s="574"/>
    </row>
    <row r="414" spans="1:17">
      <c r="A414" s="577"/>
      <c r="B414" s="577"/>
      <c r="D414" s="589"/>
      <c r="E414" s="589"/>
      <c r="F414" s="589"/>
      <c r="G414" s="589"/>
      <c r="H414" s="589"/>
      <c r="I414" s="589"/>
      <c r="J414" s="589"/>
      <c r="K414" s="589"/>
      <c r="L414" s="589"/>
      <c r="M414" s="589"/>
      <c r="N414" s="589"/>
      <c r="O414" s="589"/>
      <c r="P414" s="574"/>
      <c r="Q414" s="574"/>
    </row>
    <row r="415" spans="1:17">
      <c r="A415" s="577"/>
      <c r="B415" s="577"/>
      <c r="D415" s="589"/>
      <c r="E415" s="589"/>
      <c r="F415" s="589"/>
      <c r="G415" s="589"/>
      <c r="H415" s="589"/>
      <c r="I415" s="589"/>
      <c r="J415" s="589"/>
      <c r="K415" s="589"/>
      <c r="L415" s="589"/>
      <c r="M415" s="589"/>
      <c r="N415" s="589"/>
      <c r="O415" s="589"/>
      <c r="P415" s="574"/>
      <c r="Q415" s="574"/>
    </row>
    <row r="416" spans="1:17">
      <c r="A416" s="574"/>
      <c r="B416" s="574"/>
      <c r="E416" s="51" t="s">
        <v>1526</v>
      </c>
      <c r="F416" s="51"/>
      <c r="G416" s="51"/>
      <c r="H416" s="51"/>
      <c r="I416" s="51"/>
      <c r="J416" s="51"/>
      <c r="K416" s="51"/>
      <c r="L416" s="51"/>
      <c r="M416" s="51"/>
      <c r="N416" s="51"/>
      <c r="O416" s="51"/>
      <c r="P416" s="11"/>
      <c r="Q416" s="11" t="s">
        <v>9479</v>
      </c>
    </row>
    <row r="417" spans="1:17">
      <c r="A417" s="574"/>
      <c r="B417" s="574"/>
      <c r="D417" s="350">
        <v>2010</v>
      </c>
      <c r="E417" s="350">
        <v>2011</v>
      </c>
      <c r="F417" s="350">
        <v>2012</v>
      </c>
      <c r="G417" s="350">
        <v>2013</v>
      </c>
      <c r="H417" s="350">
        <v>2014</v>
      </c>
      <c r="I417" s="350">
        <v>2015</v>
      </c>
      <c r="J417" s="350">
        <v>2016</v>
      </c>
      <c r="K417" s="350">
        <v>2017</v>
      </c>
      <c r="L417" s="350">
        <v>2018</v>
      </c>
      <c r="M417" s="350">
        <v>2019</v>
      </c>
      <c r="N417" s="350">
        <v>2020</v>
      </c>
      <c r="O417" s="961" t="s">
        <v>14823</v>
      </c>
      <c r="P417" s="574"/>
      <c r="Q417" s="13" t="s">
        <v>1527</v>
      </c>
    </row>
    <row r="418" spans="1:17">
      <c r="A418" s="577" t="s">
        <v>6570</v>
      </c>
      <c r="D418" s="578">
        <f t="shared" ref="D418:I418" si="162">SUM(D419:D428)+SUM(D430:D439)+SUM(D441:D445)</f>
        <v>85769</v>
      </c>
      <c r="E418" s="578">
        <f t="shared" si="162"/>
        <v>85661</v>
      </c>
      <c r="F418" s="578">
        <f t="shared" si="162"/>
        <v>85680</v>
      </c>
      <c r="G418" s="578">
        <f t="shared" si="162"/>
        <v>85731</v>
      </c>
      <c r="H418" s="578">
        <f t="shared" si="162"/>
        <v>85801</v>
      </c>
      <c r="I418" s="578">
        <f t="shared" si="162"/>
        <v>83999</v>
      </c>
      <c r="J418" s="578">
        <f t="shared" ref="J418:O418" si="163">SUM(J419:J428)+SUM(J430:J439)+SUM(J441:J445)</f>
        <v>81624</v>
      </c>
      <c r="K418" s="578">
        <f t="shared" si="163"/>
        <v>83283</v>
      </c>
      <c r="L418" s="578">
        <f t="shared" si="163"/>
        <v>83964</v>
      </c>
      <c r="M418" s="578">
        <f t="shared" si="163"/>
        <v>82998</v>
      </c>
      <c r="N418" s="578">
        <f t="shared" si="163"/>
        <v>85190</v>
      </c>
      <c r="O418" s="578">
        <f t="shared" si="163"/>
        <v>85274</v>
      </c>
      <c r="P418" s="578"/>
      <c r="Q418" s="574"/>
    </row>
    <row r="419" spans="1:17">
      <c r="A419" s="577" t="s">
        <v>5387</v>
      </c>
      <c r="B419" s="577" t="s">
        <v>6571</v>
      </c>
      <c r="C419" s="55" t="s">
        <v>10841</v>
      </c>
      <c r="D419" s="578">
        <v>31391</v>
      </c>
      <c r="E419" s="578">
        <v>31379</v>
      </c>
      <c r="F419" s="578">
        <v>31371</v>
      </c>
      <c r="G419" s="578">
        <v>31406</v>
      </c>
      <c r="H419" s="63">
        <v>31181</v>
      </c>
      <c r="I419" s="63">
        <v>30299</v>
      </c>
      <c r="J419" s="63">
        <v>3184</v>
      </c>
      <c r="K419" s="63">
        <v>3232</v>
      </c>
      <c r="L419" s="63">
        <v>3275</v>
      </c>
      <c r="M419" s="63">
        <v>3254</v>
      </c>
      <c r="N419" s="63">
        <v>3455</v>
      </c>
      <c r="O419" s="63">
        <v>3467</v>
      </c>
      <c r="P419" s="574"/>
      <c r="Q419" s="577" t="s">
        <v>1868</v>
      </c>
    </row>
    <row r="420" spans="1:17">
      <c r="A420" s="577" t="s">
        <v>5389</v>
      </c>
      <c r="B420" s="577" t="s">
        <v>6572</v>
      </c>
      <c r="C420" s="55" t="s">
        <v>10845</v>
      </c>
      <c r="D420" s="578">
        <v>0</v>
      </c>
      <c r="E420" s="578">
        <v>0</v>
      </c>
      <c r="F420" s="578">
        <v>0</v>
      </c>
      <c r="G420" s="578">
        <v>0</v>
      </c>
      <c r="H420" s="63">
        <v>0</v>
      </c>
      <c r="I420" s="63">
        <v>0</v>
      </c>
      <c r="J420" s="63">
        <v>3006</v>
      </c>
      <c r="K420" s="63">
        <v>3059</v>
      </c>
      <c r="L420" s="63">
        <v>3086</v>
      </c>
      <c r="M420" s="63">
        <v>2992</v>
      </c>
      <c r="N420" s="63">
        <v>3101</v>
      </c>
      <c r="O420" s="63">
        <v>3095</v>
      </c>
      <c r="P420" s="574"/>
      <c r="Q420" s="577" t="s">
        <v>1868</v>
      </c>
    </row>
    <row r="421" spans="1:17">
      <c r="A421" s="577" t="s">
        <v>5391</v>
      </c>
      <c r="B421" s="577" t="s">
        <v>6573</v>
      </c>
      <c r="C421" s="55" t="s">
        <v>10846</v>
      </c>
      <c r="D421" s="578">
        <v>54378</v>
      </c>
      <c r="E421" s="578">
        <v>54282</v>
      </c>
      <c r="F421" s="578">
        <v>54309</v>
      </c>
      <c r="G421" s="578">
        <v>54325</v>
      </c>
      <c r="H421" s="63">
        <v>54620</v>
      </c>
      <c r="I421" s="63">
        <v>53700</v>
      </c>
      <c r="J421" s="63">
        <v>3534</v>
      </c>
      <c r="K421" s="63">
        <v>3570</v>
      </c>
      <c r="L421" s="63">
        <v>3541</v>
      </c>
      <c r="M421" s="63">
        <v>3507</v>
      </c>
      <c r="N421" s="63">
        <v>3537</v>
      </c>
      <c r="O421" s="63">
        <v>3541</v>
      </c>
      <c r="P421" s="574"/>
      <c r="Q421" s="577" t="s">
        <v>1871</v>
      </c>
    </row>
    <row r="422" spans="1:17">
      <c r="A422" s="577" t="s">
        <v>5393</v>
      </c>
      <c r="B422" s="577" t="s">
        <v>10842</v>
      </c>
      <c r="C422" s="55" t="s">
        <v>10847</v>
      </c>
      <c r="D422" s="578">
        <v>0</v>
      </c>
      <c r="E422" s="578">
        <v>0</v>
      </c>
      <c r="F422" s="578">
        <v>0</v>
      </c>
      <c r="G422" s="578">
        <v>0</v>
      </c>
      <c r="H422" s="63">
        <v>0</v>
      </c>
      <c r="I422" s="63">
        <v>0</v>
      </c>
      <c r="J422" s="63">
        <v>3573</v>
      </c>
      <c r="K422" s="63">
        <v>3621</v>
      </c>
      <c r="L422" s="63">
        <v>3658</v>
      </c>
      <c r="M422" s="63">
        <v>3636</v>
      </c>
      <c r="N422" s="63">
        <v>3664</v>
      </c>
      <c r="O422" s="63">
        <v>3667</v>
      </c>
      <c r="P422" s="574"/>
      <c r="Q422" s="577" t="s">
        <v>1871</v>
      </c>
    </row>
    <row r="423" spans="1:17">
      <c r="A423" s="577" t="s">
        <v>5394</v>
      </c>
      <c r="B423" s="576" t="s">
        <v>10843</v>
      </c>
      <c r="C423" s="55" t="s">
        <v>10848</v>
      </c>
      <c r="D423" s="578">
        <v>0</v>
      </c>
      <c r="E423" s="578">
        <v>0</v>
      </c>
      <c r="F423" s="578">
        <v>0</v>
      </c>
      <c r="G423" s="578">
        <v>0</v>
      </c>
      <c r="H423" s="63">
        <v>0</v>
      </c>
      <c r="I423" s="63">
        <v>0</v>
      </c>
      <c r="J423" s="63">
        <v>3642</v>
      </c>
      <c r="K423" s="63">
        <v>3768</v>
      </c>
      <c r="L423" s="63">
        <v>3766</v>
      </c>
      <c r="M423" s="63">
        <v>3726</v>
      </c>
      <c r="N423" s="63">
        <v>3756</v>
      </c>
      <c r="O423" s="63">
        <v>3761</v>
      </c>
      <c r="P423" s="574"/>
      <c r="Q423" s="577" t="s">
        <v>1871</v>
      </c>
    </row>
    <row r="424" spans="1:17">
      <c r="A424" s="577" t="s">
        <v>5416</v>
      </c>
      <c r="B424" s="577" t="s">
        <v>6574</v>
      </c>
      <c r="C424" s="55" t="s">
        <v>10849</v>
      </c>
      <c r="D424" s="578">
        <v>0</v>
      </c>
      <c r="E424" s="578">
        <v>0</v>
      </c>
      <c r="F424" s="578">
        <v>0</v>
      </c>
      <c r="G424" s="578">
        <v>0</v>
      </c>
      <c r="H424" s="63">
        <v>0</v>
      </c>
      <c r="I424" s="63">
        <v>0</v>
      </c>
      <c r="J424" s="63">
        <v>2785</v>
      </c>
      <c r="K424" s="63">
        <v>2897</v>
      </c>
      <c r="L424" s="63">
        <v>2956</v>
      </c>
      <c r="M424" s="63">
        <v>2872</v>
      </c>
      <c r="N424" s="63">
        <v>2925</v>
      </c>
      <c r="O424" s="63">
        <v>2932</v>
      </c>
      <c r="P424" s="574"/>
      <c r="Q424" s="577" t="s">
        <v>1871</v>
      </c>
    </row>
    <row r="425" spans="1:17">
      <c r="A425" s="577" t="s">
        <v>5418</v>
      </c>
      <c r="B425" s="577" t="s">
        <v>10844</v>
      </c>
      <c r="C425" s="55" t="s">
        <v>10850</v>
      </c>
      <c r="D425" s="578">
        <v>0</v>
      </c>
      <c r="E425" s="578">
        <v>0</v>
      </c>
      <c r="F425" s="578">
        <v>0</v>
      </c>
      <c r="G425" s="578">
        <v>0</v>
      </c>
      <c r="H425" s="63">
        <v>0</v>
      </c>
      <c r="I425" s="63">
        <v>0</v>
      </c>
      <c r="J425" s="63">
        <v>3449</v>
      </c>
      <c r="K425" s="63">
        <v>3508</v>
      </c>
      <c r="L425" s="63">
        <v>3504</v>
      </c>
      <c r="M425" s="63">
        <v>3413</v>
      </c>
      <c r="N425" s="63">
        <v>3481</v>
      </c>
      <c r="O425" s="63">
        <v>3491</v>
      </c>
      <c r="P425" s="574"/>
      <c r="Q425" s="577" t="s">
        <v>1868</v>
      </c>
    </row>
    <row r="426" spans="1:17">
      <c r="A426" s="577" t="s">
        <v>5420</v>
      </c>
      <c r="B426" s="577" t="s">
        <v>6575</v>
      </c>
      <c r="C426" s="55" t="s">
        <v>10851</v>
      </c>
      <c r="D426" s="578">
        <v>0</v>
      </c>
      <c r="E426" s="578">
        <v>0</v>
      </c>
      <c r="F426" s="578">
        <v>0</v>
      </c>
      <c r="G426" s="578">
        <v>0</v>
      </c>
      <c r="H426" s="63">
        <v>0</v>
      </c>
      <c r="I426" s="63">
        <v>0</v>
      </c>
      <c r="J426" s="63">
        <v>3438</v>
      </c>
      <c r="K426" s="63">
        <v>3470</v>
      </c>
      <c r="L426" s="63">
        <v>3456</v>
      </c>
      <c r="M426" s="63">
        <v>3406</v>
      </c>
      <c r="N426" s="63">
        <v>3503</v>
      </c>
      <c r="O426" s="63">
        <v>3473</v>
      </c>
      <c r="P426" s="574"/>
      <c r="Q426" s="577" t="s">
        <v>1871</v>
      </c>
    </row>
    <row r="427" spans="1:17">
      <c r="A427" s="577" t="s">
        <v>5422</v>
      </c>
      <c r="B427" s="577" t="s">
        <v>5048</v>
      </c>
      <c r="C427" s="55" t="s">
        <v>10852</v>
      </c>
      <c r="D427" s="578">
        <v>0</v>
      </c>
      <c r="E427" s="578">
        <v>0</v>
      </c>
      <c r="F427" s="578">
        <v>0</v>
      </c>
      <c r="G427" s="578">
        <v>0</v>
      </c>
      <c r="H427" s="63">
        <v>0</v>
      </c>
      <c r="I427" s="63">
        <v>0</v>
      </c>
      <c r="J427" s="63">
        <v>2455</v>
      </c>
      <c r="K427" s="63">
        <v>2549</v>
      </c>
      <c r="L427" s="63">
        <v>2579</v>
      </c>
      <c r="M427" s="63">
        <v>2617</v>
      </c>
      <c r="N427" s="63">
        <v>2712</v>
      </c>
      <c r="O427" s="63">
        <v>2740</v>
      </c>
      <c r="P427" s="574"/>
      <c r="Q427" s="577" t="s">
        <v>1868</v>
      </c>
    </row>
    <row r="428" spans="1:17" ht="15.75" thickBot="1">
      <c r="A428" s="577"/>
      <c r="B428" s="577"/>
      <c r="C428" s="55" t="s">
        <v>10852</v>
      </c>
      <c r="D428" s="579">
        <v>0</v>
      </c>
      <c r="E428" s="579">
        <v>0</v>
      </c>
      <c r="F428" s="579">
        <v>0</v>
      </c>
      <c r="G428" s="579">
        <v>0</v>
      </c>
      <c r="H428" s="185">
        <v>0</v>
      </c>
      <c r="I428" s="185">
        <v>0</v>
      </c>
      <c r="J428" s="63">
        <v>336</v>
      </c>
      <c r="K428" s="63">
        <v>409</v>
      </c>
      <c r="L428" s="63">
        <v>474</v>
      </c>
      <c r="M428" s="63">
        <v>547</v>
      </c>
      <c r="N428" s="63">
        <v>574</v>
      </c>
      <c r="O428" s="63">
        <v>576</v>
      </c>
      <c r="P428" s="574"/>
      <c r="Q428" s="577" t="s">
        <v>1871</v>
      </c>
    </row>
    <row r="429" spans="1:17" ht="15.75" thickBot="1">
      <c r="A429" s="577"/>
      <c r="B429" s="577"/>
      <c r="C429" s="55" t="s">
        <v>10852</v>
      </c>
      <c r="D429" s="592">
        <f t="shared" ref="D429:I429" si="164">D427+D428</f>
        <v>0</v>
      </c>
      <c r="E429" s="592">
        <f t="shared" si="164"/>
        <v>0</v>
      </c>
      <c r="F429" s="592">
        <f t="shared" si="164"/>
        <v>0</v>
      </c>
      <c r="G429" s="592">
        <f t="shared" si="164"/>
        <v>0</v>
      </c>
      <c r="H429" s="592">
        <f t="shared" si="164"/>
        <v>0</v>
      </c>
      <c r="I429" s="592">
        <f t="shared" si="164"/>
        <v>0</v>
      </c>
      <c r="J429" s="592">
        <f t="shared" ref="J429:O429" si="165">J427+J428</f>
        <v>2791</v>
      </c>
      <c r="K429" s="592">
        <f t="shared" si="165"/>
        <v>2958</v>
      </c>
      <c r="L429" s="592">
        <f t="shared" si="165"/>
        <v>3053</v>
      </c>
      <c r="M429" s="592">
        <f t="shared" si="165"/>
        <v>3164</v>
      </c>
      <c r="N429" s="592">
        <f t="shared" si="165"/>
        <v>3286</v>
      </c>
      <c r="O429" s="592">
        <f t="shared" si="165"/>
        <v>3316</v>
      </c>
      <c r="P429" s="574"/>
      <c r="Q429" s="577"/>
    </row>
    <row r="430" spans="1:17">
      <c r="A430" s="577" t="s">
        <v>5424</v>
      </c>
      <c r="B430" s="577" t="s">
        <v>5049</v>
      </c>
      <c r="C430" s="55" t="s">
        <v>10856</v>
      </c>
      <c r="D430" s="578">
        <v>0</v>
      </c>
      <c r="E430" s="578">
        <v>0</v>
      </c>
      <c r="F430" s="578">
        <v>0</v>
      </c>
      <c r="G430" s="578">
        <v>0</v>
      </c>
      <c r="H430" s="63">
        <v>0</v>
      </c>
      <c r="I430" s="63">
        <v>0</v>
      </c>
      <c r="J430" s="63">
        <v>2844</v>
      </c>
      <c r="K430" s="63">
        <v>2930</v>
      </c>
      <c r="L430" s="63">
        <v>3001</v>
      </c>
      <c r="M430" s="63">
        <v>3021</v>
      </c>
      <c r="N430" s="63">
        <v>3176</v>
      </c>
      <c r="O430" s="63">
        <v>3188</v>
      </c>
      <c r="P430" s="574"/>
      <c r="Q430" s="577" t="s">
        <v>1868</v>
      </c>
    </row>
    <row r="431" spans="1:17">
      <c r="A431" s="577" t="s">
        <v>5426</v>
      </c>
      <c r="B431" s="577" t="s">
        <v>8968</v>
      </c>
      <c r="C431" s="55" t="s">
        <v>10857</v>
      </c>
      <c r="D431" s="578">
        <v>0</v>
      </c>
      <c r="E431" s="578">
        <v>0</v>
      </c>
      <c r="F431" s="578">
        <v>0</v>
      </c>
      <c r="G431" s="578">
        <v>0</v>
      </c>
      <c r="H431" s="63">
        <v>0</v>
      </c>
      <c r="I431" s="63">
        <v>0</v>
      </c>
      <c r="J431" s="63">
        <v>3237</v>
      </c>
      <c r="K431" s="63">
        <v>3313</v>
      </c>
      <c r="L431" s="63">
        <v>3359</v>
      </c>
      <c r="M431" s="63">
        <v>3315</v>
      </c>
      <c r="N431" s="63">
        <v>3363</v>
      </c>
      <c r="O431" s="63">
        <v>3360</v>
      </c>
      <c r="P431" s="574"/>
      <c r="Q431" s="577" t="s">
        <v>1871</v>
      </c>
    </row>
    <row r="432" spans="1:17">
      <c r="A432" s="577" t="s">
        <v>5428</v>
      </c>
      <c r="B432" s="577" t="s">
        <v>10853</v>
      </c>
      <c r="C432" s="55" t="s">
        <v>10858</v>
      </c>
      <c r="D432" s="578">
        <v>0</v>
      </c>
      <c r="E432" s="578">
        <v>0</v>
      </c>
      <c r="F432" s="578">
        <v>0</v>
      </c>
      <c r="G432" s="578">
        <v>0</v>
      </c>
      <c r="H432" s="63">
        <v>0</v>
      </c>
      <c r="I432" s="63">
        <v>0</v>
      </c>
      <c r="J432" s="63">
        <v>5486</v>
      </c>
      <c r="K432" s="63">
        <v>5557</v>
      </c>
      <c r="L432" s="63">
        <v>5554</v>
      </c>
      <c r="M432" s="63">
        <v>5478</v>
      </c>
      <c r="N432" s="63">
        <v>5626</v>
      </c>
      <c r="O432" s="63">
        <v>5627</v>
      </c>
      <c r="P432" s="574"/>
      <c r="Q432" s="577" t="s">
        <v>1871</v>
      </c>
    </row>
    <row r="433" spans="1:17">
      <c r="A433" s="577" t="s">
        <v>5429</v>
      </c>
      <c r="B433" s="577" t="s">
        <v>5050</v>
      </c>
      <c r="C433" s="55" t="s">
        <v>10859</v>
      </c>
      <c r="D433" s="578">
        <v>0</v>
      </c>
      <c r="E433" s="578">
        <v>0</v>
      </c>
      <c r="F433" s="578">
        <v>0</v>
      </c>
      <c r="G433" s="578">
        <v>0</v>
      </c>
      <c r="H433" s="63">
        <v>0</v>
      </c>
      <c r="I433" s="63">
        <v>0</v>
      </c>
      <c r="J433" s="63">
        <v>3437</v>
      </c>
      <c r="K433" s="63">
        <v>3513</v>
      </c>
      <c r="L433" s="63">
        <v>3533</v>
      </c>
      <c r="M433" s="63">
        <v>3459</v>
      </c>
      <c r="N433" s="63">
        <v>3539</v>
      </c>
      <c r="O433" s="63">
        <v>3554</v>
      </c>
      <c r="P433" s="574"/>
      <c r="Q433" s="577" t="s">
        <v>1871</v>
      </c>
    </row>
    <row r="434" spans="1:17">
      <c r="A434" s="577" t="s">
        <v>5431</v>
      </c>
      <c r="B434" s="577" t="s">
        <v>10854</v>
      </c>
      <c r="C434" s="55" t="s">
        <v>10860</v>
      </c>
      <c r="D434" s="578">
        <v>0</v>
      </c>
      <c r="E434" s="578">
        <v>0</v>
      </c>
      <c r="F434" s="578">
        <v>0</v>
      </c>
      <c r="G434" s="578">
        <v>0</v>
      </c>
      <c r="H434" s="63">
        <v>0</v>
      </c>
      <c r="I434" s="63">
        <v>0</v>
      </c>
      <c r="J434" s="63">
        <v>4550</v>
      </c>
      <c r="K434" s="63">
        <v>4636</v>
      </c>
      <c r="L434" s="63">
        <v>4635</v>
      </c>
      <c r="M434" s="63">
        <v>4608</v>
      </c>
      <c r="N434" s="63">
        <v>4665</v>
      </c>
      <c r="O434" s="63">
        <v>4685</v>
      </c>
      <c r="P434" s="574"/>
      <c r="Q434" s="577" t="s">
        <v>1871</v>
      </c>
    </row>
    <row r="435" spans="1:17">
      <c r="A435" s="577" t="s">
        <v>5433</v>
      </c>
      <c r="B435" s="577" t="s">
        <v>5051</v>
      </c>
      <c r="C435" s="55" t="s">
        <v>10861</v>
      </c>
      <c r="D435" s="578">
        <v>0</v>
      </c>
      <c r="E435" s="578">
        <v>0</v>
      </c>
      <c r="F435" s="578">
        <v>0</v>
      </c>
      <c r="G435" s="578">
        <v>0</v>
      </c>
      <c r="H435" s="63">
        <v>0</v>
      </c>
      <c r="I435" s="63">
        <v>0</v>
      </c>
      <c r="J435" s="63">
        <v>4913</v>
      </c>
      <c r="K435" s="63">
        <v>4988</v>
      </c>
      <c r="L435" s="63">
        <v>5085</v>
      </c>
      <c r="M435" s="63">
        <v>5047</v>
      </c>
      <c r="N435" s="63">
        <v>5174</v>
      </c>
      <c r="O435" s="63">
        <v>5179</v>
      </c>
      <c r="P435" s="574"/>
      <c r="Q435" s="577" t="s">
        <v>1868</v>
      </c>
    </row>
    <row r="436" spans="1:17">
      <c r="A436" s="577" t="s">
        <v>5435</v>
      </c>
      <c r="B436" s="577" t="s">
        <v>5052</v>
      </c>
      <c r="C436" s="55" t="s">
        <v>10862</v>
      </c>
      <c r="D436" s="578">
        <v>0</v>
      </c>
      <c r="E436" s="578">
        <v>0</v>
      </c>
      <c r="F436" s="578">
        <v>0</v>
      </c>
      <c r="G436" s="578">
        <v>0</v>
      </c>
      <c r="H436" s="63">
        <v>0</v>
      </c>
      <c r="I436" s="63">
        <v>0</v>
      </c>
      <c r="J436" s="63">
        <v>5370</v>
      </c>
      <c r="K436" s="63">
        <v>5481</v>
      </c>
      <c r="L436" s="63">
        <v>5484</v>
      </c>
      <c r="M436" s="63">
        <v>5323</v>
      </c>
      <c r="N436" s="63">
        <v>5510</v>
      </c>
      <c r="O436" s="63">
        <v>5520</v>
      </c>
      <c r="P436" s="574"/>
      <c r="Q436" s="577" t="s">
        <v>1871</v>
      </c>
    </row>
    <row r="437" spans="1:17">
      <c r="A437" s="577" t="s">
        <v>5436</v>
      </c>
      <c r="B437" s="577" t="s">
        <v>814</v>
      </c>
      <c r="C437" s="55" t="s">
        <v>10863</v>
      </c>
      <c r="D437" s="578">
        <v>0</v>
      </c>
      <c r="E437" s="578">
        <v>0</v>
      </c>
      <c r="F437" s="578">
        <v>0</v>
      </c>
      <c r="G437" s="578">
        <v>0</v>
      </c>
      <c r="H437" s="63">
        <v>0</v>
      </c>
      <c r="I437" s="63">
        <v>0</v>
      </c>
      <c r="J437" s="63">
        <v>3082</v>
      </c>
      <c r="K437" s="63">
        <v>3079</v>
      </c>
      <c r="L437" s="63">
        <v>3081</v>
      </c>
      <c r="M437" s="63">
        <v>3035</v>
      </c>
      <c r="N437" s="63">
        <v>3111</v>
      </c>
      <c r="O437" s="63">
        <v>3107</v>
      </c>
      <c r="P437" s="574"/>
      <c r="Q437" s="577" t="s">
        <v>1871</v>
      </c>
    </row>
    <row r="438" spans="1:17">
      <c r="A438" s="577" t="s">
        <v>5437</v>
      </c>
      <c r="B438" s="577" t="s">
        <v>10855</v>
      </c>
      <c r="C438" s="55" t="s">
        <v>10864</v>
      </c>
      <c r="D438" s="578">
        <v>0</v>
      </c>
      <c r="E438" s="578">
        <v>0</v>
      </c>
      <c r="F438" s="578">
        <v>0</v>
      </c>
      <c r="G438" s="578">
        <v>0</v>
      </c>
      <c r="H438" s="63">
        <v>0</v>
      </c>
      <c r="I438" s="63">
        <v>0</v>
      </c>
      <c r="J438" s="63">
        <v>184</v>
      </c>
      <c r="K438" s="63">
        <v>191</v>
      </c>
      <c r="L438" s="63">
        <v>189</v>
      </c>
      <c r="M438" s="63">
        <v>184</v>
      </c>
      <c r="N438" s="63">
        <v>189</v>
      </c>
      <c r="O438" s="63">
        <v>190</v>
      </c>
      <c r="P438" s="574"/>
      <c r="Q438" s="577" t="s">
        <v>1868</v>
      </c>
    </row>
    <row r="439" spans="1:17" ht="15.75" thickBot="1">
      <c r="A439" s="577"/>
      <c r="B439" s="577"/>
      <c r="C439" s="55" t="s">
        <v>10864</v>
      </c>
      <c r="D439" s="579">
        <v>0</v>
      </c>
      <c r="E439" s="579">
        <v>0</v>
      </c>
      <c r="F439" s="579">
        <v>0</v>
      </c>
      <c r="G439" s="579">
        <v>0</v>
      </c>
      <c r="H439" s="185">
        <v>0</v>
      </c>
      <c r="I439" s="185">
        <v>0</v>
      </c>
      <c r="J439" s="63">
        <v>3445</v>
      </c>
      <c r="K439" s="63">
        <v>3535</v>
      </c>
      <c r="L439" s="63">
        <v>3555</v>
      </c>
      <c r="M439" s="63">
        <v>3539</v>
      </c>
      <c r="N439" s="63">
        <v>3659</v>
      </c>
      <c r="O439" s="63">
        <v>3674</v>
      </c>
      <c r="P439" s="574"/>
      <c r="Q439" s="577" t="s">
        <v>1871</v>
      </c>
    </row>
    <row r="440" spans="1:17" ht="15.75" thickBot="1">
      <c r="A440" s="577"/>
      <c r="B440" s="577"/>
      <c r="C440" s="55" t="s">
        <v>10864</v>
      </c>
      <c r="D440" s="592">
        <f t="shared" ref="D440:O440" si="166">D438+D439</f>
        <v>0</v>
      </c>
      <c r="E440" s="592">
        <f t="shared" si="166"/>
        <v>0</v>
      </c>
      <c r="F440" s="592">
        <f t="shared" si="166"/>
        <v>0</v>
      </c>
      <c r="G440" s="592">
        <f t="shared" si="166"/>
        <v>0</v>
      </c>
      <c r="H440" s="592">
        <f t="shared" si="166"/>
        <v>0</v>
      </c>
      <c r="I440" s="592">
        <f t="shared" si="166"/>
        <v>0</v>
      </c>
      <c r="J440" s="592">
        <f t="shared" si="166"/>
        <v>3629</v>
      </c>
      <c r="K440" s="592">
        <f t="shared" si="166"/>
        <v>3726</v>
      </c>
      <c r="L440" s="592">
        <f t="shared" si="166"/>
        <v>3744</v>
      </c>
      <c r="M440" s="592">
        <f t="shared" si="166"/>
        <v>3723</v>
      </c>
      <c r="N440" s="592">
        <f t="shared" si="166"/>
        <v>3848</v>
      </c>
      <c r="O440" s="592">
        <f t="shared" si="166"/>
        <v>3864</v>
      </c>
      <c r="P440" s="574"/>
      <c r="Q440" s="577"/>
    </row>
    <row r="441" spans="1:17">
      <c r="A441" s="577" t="s">
        <v>5439</v>
      </c>
      <c r="B441" s="577" t="s">
        <v>10865</v>
      </c>
      <c r="C441" s="55" t="s">
        <v>10869</v>
      </c>
      <c r="D441" s="578">
        <v>0</v>
      </c>
      <c r="E441" s="578">
        <v>0</v>
      </c>
      <c r="F441" s="578">
        <v>0</v>
      </c>
      <c r="G441" s="578">
        <v>0</v>
      </c>
      <c r="H441" s="63">
        <v>0</v>
      </c>
      <c r="I441" s="63">
        <v>0</v>
      </c>
      <c r="J441" s="63">
        <v>3167</v>
      </c>
      <c r="K441" s="63">
        <v>3217</v>
      </c>
      <c r="L441" s="63">
        <v>3223</v>
      </c>
      <c r="M441" s="63">
        <v>3182</v>
      </c>
      <c r="N441" s="63">
        <v>3245</v>
      </c>
      <c r="O441" s="63">
        <v>3235</v>
      </c>
      <c r="P441" s="574"/>
      <c r="Q441" s="577" t="s">
        <v>1871</v>
      </c>
    </row>
    <row r="442" spans="1:17">
      <c r="A442" s="577" t="s">
        <v>5441</v>
      </c>
      <c r="B442" s="577" t="s">
        <v>10866</v>
      </c>
      <c r="C442" s="55" t="s">
        <v>10870</v>
      </c>
      <c r="D442" s="578">
        <v>0</v>
      </c>
      <c r="E442" s="578">
        <v>0</v>
      </c>
      <c r="F442" s="578">
        <v>0</v>
      </c>
      <c r="G442" s="578">
        <v>0</v>
      </c>
      <c r="H442" s="63">
        <v>0</v>
      </c>
      <c r="I442" s="63">
        <v>0</v>
      </c>
      <c r="J442" s="63">
        <v>3054</v>
      </c>
      <c r="K442" s="63">
        <v>3135</v>
      </c>
      <c r="L442" s="63">
        <v>3174</v>
      </c>
      <c r="M442" s="63">
        <v>3124</v>
      </c>
      <c r="N442" s="63">
        <v>3294</v>
      </c>
      <c r="O442" s="63">
        <v>3284</v>
      </c>
      <c r="P442" s="574"/>
      <c r="Q442" s="577" t="s">
        <v>1868</v>
      </c>
    </row>
    <row r="443" spans="1:17">
      <c r="A443" s="577" t="s">
        <v>5886</v>
      </c>
      <c r="B443" s="577" t="s">
        <v>815</v>
      </c>
      <c r="C443" s="55" t="s">
        <v>10871</v>
      </c>
      <c r="D443" s="578">
        <v>0</v>
      </c>
      <c r="E443" s="578">
        <v>0</v>
      </c>
      <c r="F443" s="578">
        <v>0</v>
      </c>
      <c r="G443" s="578">
        <v>0</v>
      </c>
      <c r="H443" s="63">
        <v>0</v>
      </c>
      <c r="I443" s="63">
        <v>0</v>
      </c>
      <c r="J443" s="63">
        <v>2998</v>
      </c>
      <c r="K443" s="63">
        <v>3033</v>
      </c>
      <c r="L443" s="63">
        <v>3090</v>
      </c>
      <c r="M443" s="63">
        <v>3041</v>
      </c>
      <c r="N443" s="63">
        <v>3085</v>
      </c>
      <c r="O443" s="63">
        <v>3080</v>
      </c>
      <c r="P443" s="574"/>
      <c r="Q443" s="577" t="s">
        <v>1871</v>
      </c>
    </row>
    <row r="444" spans="1:17">
      <c r="A444" s="594">
        <v>22</v>
      </c>
      <c r="B444" s="577" t="s">
        <v>10867</v>
      </c>
      <c r="C444" s="55" t="s">
        <v>10872</v>
      </c>
      <c r="D444" s="578">
        <v>0</v>
      </c>
      <c r="E444" s="578">
        <v>0</v>
      </c>
      <c r="F444" s="578">
        <v>0</v>
      </c>
      <c r="G444" s="578">
        <v>0</v>
      </c>
      <c r="H444" s="63">
        <v>0</v>
      </c>
      <c r="I444" s="63">
        <v>0</v>
      </c>
      <c r="J444" s="63">
        <v>3172</v>
      </c>
      <c r="K444" s="63">
        <v>3295</v>
      </c>
      <c r="L444" s="63">
        <v>3376</v>
      </c>
      <c r="M444" s="63">
        <v>3387</v>
      </c>
      <c r="N444" s="63">
        <v>3456</v>
      </c>
      <c r="O444" s="63">
        <v>3464</v>
      </c>
      <c r="P444" s="574"/>
      <c r="Q444" s="577" t="s">
        <v>1868</v>
      </c>
    </row>
    <row r="445" spans="1:17">
      <c r="A445" s="594">
        <v>23</v>
      </c>
      <c r="B445" s="577" t="s">
        <v>10868</v>
      </c>
      <c r="C445" s="55" t="s">
        <v>10873</v>
      </c>
      <c r="D445" s="578">
        <v>0</v>
      </c>
      <c r="E445" s="578">
        <v>0</v>
      </c>
      <c r="F445" s="578">
        <v>0</v>
      </c>
      <c r="G445" s="578">
        <v>0</v>
      </c>
      <c r="H445" s="63">
        <v>0</v>
      </c>
      <c r="I445" s="63">
        <v>0</v>
      </c>
      <c r="J445" s="63">
        <v>3283</v>
      </c>
      <c r="K445" s="63">
        <v>3297</v>
      </c>
      <c r="L445" s="63">
        <v>3330</v>
      </c>
      <c r="M445" s="63">
        <v>3285</v>
      </c>
      <c r="N445" s="63">
        <v>3390</v>
      </c>
      <c r="O445" s="63">
        <v>3384</v>
      </c>
      <c r="P445" s="574"/>
      <c r="Q445" s="577" t="s">
        <v>1868</v>
      </c>
    </row>
    <row r="446" spans="1:17">
      <c r="A446" s="574"/>
      <c r="B446" s="574"/>
      <c r="D446" s="584"/>
      <c r="E446" s="584"/>
      <c r="F446" s="584"/>
      <c r="G446" s="584"/>
      <c r="H446" s="584"/>
      <c r="I446" s="584"/>
      <c r="J446" s="584"/>
      <c r="K446" s="584"/>
      <c r="L446" s="584"/>
      <c r="M446" s="584"/>
      <c r="N446" s="584"/>
      <c r="O446" s="584"/>
      <c r="P446" s="574"/>
      <c r="Q446" s="574"/>
    </row>
    <row r="447" spans="1:17">
      <c r="A447" s="577" t="s">
        <v>3580</v>
      </c>
      <c r="D447" s="578">
        <f t="shared" ref="D447:I447" si="167">D419+D420+SUM(D425:D427)+D430+D435+D438+D444+D445</f>
        <v>31391</v>
      </c>
      <c r="E447" s="578">
        <f t="shared" si="167"/>
        <v>31379</v>
      </c>
      <c r="F447" s="578">
        <f t="shared" si="167"/>
        <v>31371</v>
      </c>
      <c r="G447" s="578">
        <f t="shared" si="167"/>
        <v>31406</v>
      </c>
      <c r="H447" s="578">
        <f t="shared" si="167"/>
        <v>31181</v>
      </c>
      <c r="I447" s="578">
        <f t="shared" si="167"/>
        <v>30299</v>
      </c>
      <c r="J447" s="578">
        <f t="shared" ref="J447:O447" si="168">J419+J420+J425+J427+J430+J435+J438+J442+J444+J445</f>
        <v>29544</v>
      </c>
      <c r="K447" s="578">
        <f t="shared" si="168"/>
        <v>30184</v>
      </c>
      <c r="L447" s="578">
        <f t="shared" si="168"/>
        <v>30599</v>
      </c>
      <c r="M447" s="578">
        <f t="shared" si="168"/>
        <v>30324</v>
      </c>
      <c r="N447" s="578">
        <f t="shared" si="168"/>
        <v>31428</v>
      </c>
      <c r="O447" s="578">
        <f t="shared" si="168"/>
        <v>31482</v>
      </c>
      <c r="P447" s="574"/>
      <c r="Q447" s="574"/>
    </row>
    <row r="448" spans="1:17">
      <c r="A448" s="577" t="s">
        <v>789</v>
      </c>
      <c r="D448" s="578">
        <f t="shared" ref="D448:I448" si="169">SUM(D421:D424)+D428+SUM(D431:D434)+D436+D437+D439+SUM(D441:D443)</f>
        <v>54378</v>
      </c>
      <c r="E448" s="578">
        <f t="shared" si="169"/>
        <v>54282</v>
      </c>
      <c r="F448" s="578">
        <f t="shared" si="169"/>
        <v>54309</v>
      </c>
      <c r="G448" s="578">
        <f t="shared" si="169"/>
        <v>54325</v>
      </c>
      <c r="H448" s="578">
        <f t="shared" si="169"/>
        <v>54620</v>
      </c>
      <c r="I448" s="578">
        <f t="shared" si="169"/>
        <v>53700</v>
      </c>
      <c r="J448" s="578">
        <f t="shared" ref="J448:O448" si="170">SUM(J421:J424)+J426+J428+SUM(J431:J434)+J436+J437+J439+J441+J443</f>
        <v>52080</v>
      </c>
      <c r="K448" s="578">
        <f t="shared" si="170"/>
        <v>53099</v>
      </c>
      <c r="L448" s="578">
        <f t="shared" si="170"/>
        <v>53365</v>
      </c>
      <c r="M448" s="578">
        <f t="shared" si="170"/>
        <v>52674</v>
      </c>
      <c r="N448" s="578">
        <f t="shared" si="170"/>
        <v>53762</v>
      </c>
      <c r="O448" s="578">
        <f t="shared" si="170"/>
        <v>53792</v>
      </c>
      <c r="P448" s="574"/>
      <c r="Q448" s="574"/>
    </row>
    <row r="449" spans="1:17">
      <c r="A449" s="577"/>
      <c r="D449" s="578"/>
      <c r="E449" s="578"/>
      <c r="F449" s="578"/>
      <c r="G449" s="578"/>
      <c r="H449" s="578"/>
      <c r="I449" s="578"/>
      <c r="J449" s="578"/>
      <c r="K449" s="578"/>
      <c r="L449" s="578"/>
      <c r="M449" s="578"/>
      <c r="N449" s="578"/>
      <c r="O449" s="578"/>
      <c r="P449" s="574"/>
      <c r="Q449" s="574"/>
    </row>
    <row r="450" spans="1:17">
      <c r="A450" s="577" t="s">
        <v>816</v>
      </c>
      <c r="D450" s="578"/>
      <c r="E450" s="578"/>
      <c r="F450" s="578"/>
      <c r="G450" s="578"/>
      <c r="H450" s="578"/>
      <c r="I450" s="578"/>
      <c r="J450" s="578"/>
      <c r="K450" s="578"/>
      <c r="L450" s="578"/>
      <c r="M450" s="578"/>
      <c r="N450" s="578"/>
      <c r="O450" s="578"/>
      <c r="P450" s="574"/>
      <c r="Q450" s="574"/>
    </row>
    <row r="451" spans="1:17">
      <c r="A451" s="577"/>
      <c r="B451" s="577"/>
      <c r="D451" s="589"/>
      <c r="E451" s="589"/>
      <c r="F451" s="589"/>
      <c r="G451" s="589"/>
      <c r="H451" s="589"/>
      <c r="I451" s="589"/>
      <c r="J451" s="589"/>
      <c r="K451" s="589"/>
      <c r="L451" s="589"/>
      <c r="M451" s="589"/>
      <c r="N451" s="589"/>
      <c r="O451" s="589"/>
      <c r="P451" s="574"/>
      <c r="Q451" s="574"/>
    </row>
    <row r="452" spans="1:17">
      <c r="A452" s="577"/>
      <c r="B452" s="577"/>
      <c r="D452" s="589"/>
      <c r="E452" s="589"/>
      <c r="F452" s="589"/>
      <c r="G452" s="589"/>
      <c r="H452" s="589"/>
      <c r="I452" s="589"/>
      <c r="J452" s="589"/>
      <c r="K452" s="589"/>
      <c r="L452" s="589"/>
      <c r="M452" s="589"/>
      <c r="N452" s="589"/>
      <c r="O452" s="589"/>
      <c r="P452" s="574"/>
      <c r="Q452" s="574"/>
    </row>
    <row r="453" spans="1:17">
      <c r="A453" s="574"/>
      <c r="B453" s="574"/>
      <c r="E453" s="51" t="s">
        <v>1526</v>
      </c>
      <c r="F453" s="51"/>
      <c r="G453" s="51"/>
      <c r="H453" s="51"/>
      <c r="I453" s="51"/>
      <c r="J453" s="51"/>
      <c r="K453" s="51"/>
      <c r="L453" s="51"/>
      <c r="M453" s="51"/>
      <c r="N453" s="51"/>
      <c r="O453" s="51"/>
      <c r="P453" s="11"/>
      <c r="Q453" s="11" t="s">
        <v>9479</v>
      </c>
    </row>
    <row r="454" spans="1:17">
      <c r="A454" s="574"/>
      <c r="B454" s="574"/>
      <c r="D454" s="350">
        <v>2010</v>
      </c>
      <c r="E454" s="350">
        <v>2011</v>
      </c>
      <c r="F454" s="350">
        <v>2012</v>
      </c>
      <c r="G454" s="350">
        <v>2013</v>
      </c>
      <c r="H454" s="350">
        <v>2014</v>
      </c>
      <c r="I454" s="350">
        <v>2015</v>
      </c>
      <c r="J454" s="350">
        <v>2016</v>
      </c>
      <c r="K454" s="350">
        <v>2017</v>
      </c>
      <c r="L454" s="350">
        <v>2018</v>
      </c>
      <c r="M454" s="350">
        <v>2019</v>
      </c>
      <c r="N454" s="350">
        <v>2020</v>
      </c>
      <c r="O454" s="961" t="s">
        <v>14823</v>
      </c>
      <c r="P454" s="574"/>
      <c r="Q454" s="13" t="s">
        <v>1527</v>
      </c>
    </row>
    <row r="455" spans="1:17">
      <c r="A455" s="577" t="s">
        <v>6613</v>
      </c>
      <c r="D455" s="578">
        <f t="shared" ref="D455:I455" si="171">SUM(D456:D480)</f>
        <v>84768</v>
      </c>
      <c r="E455" s="578">
        <f t="shared" si="171"/>
        <v>85583</v>
      </c>
      <c r="F455" s="578">
        <f t="shared" si="171"/>
        <v>86433</v>
      </c>
      <c r="G455" s="578">
        <f t="shared" si="171"/>
        <v>84744</v>
      </c>
      <c r="H455" s="578">
        <f t="shared" si="171"/>
        <v>86819</v>
      </c>
      <c r="I455" s="578">
        <f t="shared" si="171"/>
        <v>81784</v>
      </c>
      <c r="J455" s="578">
        <f t="shared" ref="J455:O455" si="172">SUM(J456:J480)</f>
        <v>82644</v>
      </c>
      <c r="K455" s="578">
        <f t="shared" si="172"/>
        <v>83690</v>
      </c>
      <c r="L455" s="578">
        <f t="shared" si="172"/>
        <v>84994</v>
      </c>
      <c r="M455" s="578">
        <f t="shared" si="172"/>
        <v>82818</v>
      </c>
      <c r="N455" s="578">
        <f t="shared" si="172"/>
        <v>87040</v>
      </c>
      <c r="O455" s="578">
        <f t="shared" si="172"/>
        <v>87012</v>
      </c>
      <c r="P455" s="574"/>
      <c r="Q455" s="574"/>
    </row>
    <row r="456" spans="1:17">
      <c r="A456" s="577" t="s">
        <v>5387</v>
      </c>
      <c r="B456" s="577" t="s">
        <v>1500</v>
      </c>
      <c r="C456" s="55" t="s">
        <v>8630</v>
      </c>
      <c r="D456" s="578">
        <v>4808</v>
      </c>
      <c r="E456" s="578">
        <v>4827</v>
      </c>
      <c r="F456" s="578">
        <v>4785</v>
      </c>
      <c r="G456" s="56">
        <v>4738</v>
      </c>
      <c r="H456" s="56">
        <v>4720</v>
      </c>
      <c r="I456" s="56">
        <v>4426</v>
      </c>
      <c r="J456" s="56">
        <v>4469</v>
      </c>
      <c r="K456" s="56">
        <v>4485</v>
      </c>
      <c r="L456" s="56">
        <v>4563</v>
      </c>
      <c r="M456" s="56">
        <v>4587</v>
      </c>
      <c r="N456" s="56">
        <v>4843</v>
      </c>
      <c r="O456" s="56">
        <v>4844</v>
      </c>
      <c r="P456" s="574"/>
      <c r="Q456" s="577" t="s">
        <v>1874</v>
      </c>
    </row>
    <row r="457" spans="1:17">
      <c r="A457" s="577" t="s">
        <v>5389</v>
      </c>
      <c r="B457" s="577" t="s">
        <v>1501</v>
      </c>
      <c r="C457" s="55" t="s">
        <v>8631</v>
      </c>
      <c r="D457" s="578">
        <v>4559</v>
      </c>
      <c r="E457" s="578">
        <v>4533</v>
      </c>
      <c r="F457" s="578">
        <v>4544</v>
      </c>
      <c r="G457" s="56">
        <v>4456</v>
      </c>
      <c r="H457" s="56">
        <v>4656</v>
      </c>
      <c r="I457" s="56">
        <v>4533</v>
      </c>
      <c r="J457" s="56">
        <v>4551</v>
      </c>
      <c r="K457" s="56">
        <v>4553</v>
      </c>
      <c r="L457" s="56">
        <v>4553</v>
      </c>
      <c r="M457" s="56">
        <v>4443</v>
      </c>
      <c r="N457" s="56">
        <v>4584</v>
      </c>
      <c r="O457" s="56">
        <v>4578</v>
      </c>
      <c r="P457" s="574"/>
      <c r="Q457" s="577" t="s">
        <v>1874</v>
      </c>
    </row>
    <row r="458" spans="1:17">
      <c r="A458" s="577" t="s">
        <v>5391</v>
      </c>
      <c r="B458" s="577" t="s">
        <v>1502</v>
      </c>
      <c r="C458" s="55" t="s">
        <v>8632</v>
      </c>
      <c r="D458" s="578">
        <v>3137</v>
      </c>
      <c r="E458" s="578">
        <v>3179</v>
      </c>
      <c r="F458" s="578">
        <v>3172</v>
      </c>
      <c r="G458" s="56">
        <v>3187</v>
      </c>
      <c r="H458" s="56">
        <v>3212</v>
      </c>
      <c r="I458" s="56">
        <v>3161</v>
      </c>
      <c r="J458" s="56">
        <v>3159</v>
      </c>
      <c r="K458" s="56">
        <v>3158</v>
      </c>
      <c r="L458" s="56">
        <v>3191</v>
      </c>
      <c r="M458" s="56">
        <v>3142</v>
      </c>
      <c r="N458" s="56">
        <v>3217</v>
      </c>
      <c r="O458" s="56">
        <v>3208</v>
      </c>
      <c r="P458" s="574"/>
      <c r="Q458" s="577" t="s">
        <v>1874</v>
      </c>
    </row>
    <row r="459" spans="1:17">
      <c r="A459" s="577" t="s">
        <v>5393</v>
      </c>
      <c r="B459" s="577" t="s">
        <v>2874</v>
      </c>
      <c r="C459" s="55" t="s">
        <v>8653</v>
      </c>
      <c r="D459" s="578">
        <v>1712</v>
      </c>
      <c r="E459" s="578">
        <v>1752</v>
      </c>
      <c r="F459" s="578">
        <v>1764</v>
      </c>
      <c r="G459" s="56">
        <v>1709</v>
      </c>
      <c r="H459" s="56">
        <v>1728</v>
      </c>
      <c r="I459" s="56">
        <v>1609</v>
      </c>
      <c r="J459" s="56">
        <v>1644</v>
      </c>
      <c r="K459" s="56">
        <v>1752</v>
      </c>
      <c r="L459" s="56">
        <v>1733</v>
      </c>
      <c r="M459" s="56">
        <v>1716</v>
      </c>
      <c r="N459" s="56">
        <v>1829</v>
      </c>
      <c r="O459" s="56">
        <v>1826</v>
      </c>
      <c r="P459" s="574"/>
      <c r="Q459" s="577" t="s">
        <v>1874</v>
      </c>
    </row>
    <row r="460" spans="1:17">
      <c r="A460" s="577" t="s">
        <v>5394</v>
      </c>
      <c r="B460" s="577" t="s">
        <v>2875</v>
      </c>
      <c r="C460" s="55" t="s">
        <v>8633</v>
      </c>
      <c r="D460" s="578">
        <v>2965</v>
      </c>
      <c r="E460" s="578">
        <v>2995</v>
      </c>
      <c r="F460" s="578">
        <v>3003</v>
      </c>
      <c r="G460" s="56">
        <v>2875</v>
      </c>
      <c r="H460" s="56">
        <v>2843</v>
      </c>
      <c r="I460" s="56">
        <v>2726</v>
      </c>
      <c r="J460" s="56">
        <v>2693</v>
      </c>
      <c r="K460" s="56">
        <v>2691</v>
      </c>
      <c r="L460" s="56">
        <v>2768</v>
      </c>
      <c r="M460" s="56">
        <v>2684</v>
      </c>
      <c r="N460" s="56">
        <v>2775</v>
      </c>
      <c r="O460" s="56">
        <v>2775</v>
      </c>
      <c r="P460" s="574"/>
      <c r="Q460" s="577" t="s">
        <v>1874</v>
      </c>
    </row>
    <row r="461" spans="1:17">
      <c r="A461" s="577" t="s">
        <v>5416</v>
      </c>
      <c r="B461" s="577" t="s">
        <v>2876</v>
      </c>
      <c r="C461" s="55" t="s">
        <v>8634</v>
      </c>
      <c r="D461" s="578">
        <v>3346</v>
      </c>
      <c r="E461" s="578">
        <v>3346</v>
      </c>
      <c r="F461" s="578">
        <v>3288</v>
      </c>
      <c r="G461" s="56">
        <v>3283</v>
      </c>
      <c r="H461" s="56">
        <v>3335</v>
      </c>
      <c r="I461" s="56">
        <v>3262</v>
      </c>
      <c r="J461" s="56">
        <v>3348</v>
      </c>
      <c r="K461" s="56">
        <v>3360</v>
      </c>
      <c r="L461" s="56">
        <v>3505</v>
      </c>
      <c r="M461" s="56">
        <v>3451</v>
      </c>
      <c r="N461" s="56">
        <v>3599</v>
      </c>
      <c r="O461" s="56">
        <v>3590</v>
      </c>
      <c r="P461" s="574"/>
      <c r="Q461" s="577" t="s">
        <v>1874</v>
      </c>
    </row>
    <row r="462" spans="1:17">
      <c r="A462" s="577" t="s">
        <v>5418</v>
      </c>
      <c r="B462" s="577" t="s">
        <v>2877</v>
      </c>
      <c r="C462" s="55" t="s">
        <v>8635</v>
      </c>
      <c r="D462" s="578">
        <v>3911</v>
      </c>
      <c r="E462" s="578">
        <v>3938</v>
      </c>
      <c r="F462" s="578">
        <v>3925</v>
      </c>
      <c r="G462" s="56">
        <v>3948</v>
      </c>
      <c r="H462" s="56">
        <v>3915</v>
      </c>
      <c r="I462" s="56">
        <v>3811</v>
      </c>
      <c r="J462" s="56">
        <v>3752</v>
      </c>
      <c r="K462" s="56">
        <v>3821</v>
      </c>
      <c r="L462" s="56">
        <v>3842</v>
      </c>
      <c r="M462" s="56">
        <v>3822</v>
      </c>
      <c r="N462" s="56">
        <v>3918</v>
      </c>
      <c r="O462" s="56">
        <v>3910</v>
      </c>
      <c r="P462" s="574"/>
      <c r="Q462" s="577" t="s">
        <v>1874</v>
      </c>
    </row>
    <row r="463" spans="1:17">
      <c r="A463" s="577" t="s">
        <v>5420</v>
      </c>
      <c r="B463" s="577" t="s">
        <v>2878</v>
      </c>
      <c r="C463" s="55" t="s">
        <v>8636</v>
      </c>
      <c r="D463" s="578">
        <v>4350</v>
      </c>
      <c r="E463" s="578">
        <v>4454</v>
      </c>
      <c r="F463" s="578">
        <v>5477</v>
      </c>
      <c r="G463" s="56">
        <v>5245</v>
      </c>
      <c r="H463" s="56">
        <v>5820</v>
      </c>
      <c r="I463" s="56">
        <v>4175</v>
      </c>
      <c r="J463" s="56">
        <v>4798</v>
      </c>
      <c r="K463" s="56">
        <v>4913</v>
      </c>
      <c r="L463" s="56">
        <v>5230</v>
      </c>
      <c r="M463" s="56">
        <v>4336</v>
      </c>
      <c r="N463" s="56">
        <v>5511</v>
      </c>
      <c r="O463" s="56">
        <v>5530</v>
      </c>
      <c r="P463" s="574"/>
      <c r="Q463" s="577" t="s">
        <v>1874</v>
      </c>
    </row>
    <row r="464" spans="1:17">
      <c r="A464" s="577" t="s">
        <v>5422</v>
      </c>
      <c r="B464" s="577" t="s">
        <v>2879</v>
      </c>
      <c r="C464" s="55" t="s">
        <v>8637</v>
      </c>
      <c r="D464" s="578">
        <v>3004</v>
      </c>
      <c r="E464" s="578">
        <v>3007</v>
      </c>
      <c r="F464" s="578">
        <v>2973</v>
      </c>
      <c r="G464" s="56">
        <v>2713</v>
      </c>
      <c r="H464" s="56">
        <v>2933</v>
      </c>
      <c r="I464" s="56">
        <v>2743</v>
      </c>
      <c r="J464" s="56">
        <v>2738</v>
      </c>
      <c r="K464" s="56">
        <v>2739</v>
      </c>
      <c r="L464" s="56">
        <v>2745</v>
      </c>
      <c r="M464" s="56">
        <v>2698</v>
      </c>
      <c r="N464" s="56">
        <v>2785</v>
      </c>
      <c r="O464" s="56">
        <v>2786</v>
      </c>
      <c r="P464" s="574"/>
      <c r="Q464" s="577" t="s">
        <v>1874</v>
      </c>
    </row>
    <row r="465" spans="1:17">
      <c r="A465" s="577" t="s">
        <v>5424</v>
      </c>
      <c r="B465" s="577" t="s">
        <v>2880</v>
      </c>
      <c r="C465" s="55" t="s">
        <v>8638</v>
      </c>
      <c r="D465" s="578">
        <v>1740</v>
      </c>
      <c r="E465" s="578">
        <v>1743</v>
      </c>
      <c r="F465" s="578">
        <v>1723</v>
      </c>
      <c r="G465" s="56">
        <v>1699</v>
      </c>
      <c r="H465" s="56">
        <v>1739</v>
      </c>
      <c r="I465" s="56">
        <v>1640</v>
      </c>
      <c r="J465" s="56">
        <v>1689</v>
      </c>
      <c r="K465" s="56">
        <v>1733</v>
      </c>
      <c r="L465" s="56">
        <v>1765</v>
      </c>
      <c r="M465" s="56">
        <v>1732</v>
      </c>
      <c r="N465" s="56">
        <v>1760</v>
      </c>
      <c r="O465" s="56">
        <v>1761</v>
      </c>
      <c r="P465" s="574"/>
      <c r="Q465" s="577" t="s">
        <v>1874</v>
      </c>
    </row>
    <row r="466" spans="1:17">
      <c r="A466" s="577" t="s">
        <v>5426</v>
      </c>
      <c r="B466" s="577" t="s">
        <v>2881</v>
      </c>
      <c r="C466" s="55" t="s">
        <v>8639</v>
      </c>
      <c r="D466" s="578">
        <v>3109</v>
      </c>
      <c r="E466" s="578">
        <v>3155</v>
      </c>
      <c r="F466" s="578">
        <v>3127</v>
      </c>
      <c r="G466" s="56">
        <v>3088</v>
      </c>
      <c r="H466" s="56">
        <v>3160</v>
      </c>
      <c r="I466" s="56">
        <v>3072</v>
      </c>
      <c r="J466" s="56">
        <v>3133</v>
      </c>
      <c r="K466" s="56">
        <v>3167</v>
      </c>
      <c r="L466" s="56">
        <v>3203</v>
      </c>
      <c r="M466" s="56">
        <v>3181</v>
      </c>
      <c r="N466" s="56">
        <v>3229</v>
      </c>
      <c r="O466" s="56">
        <v>3226</v>
      </c>
      <c r="P466" s="574"/>
      <c r="Q466" s="577" t="s">
        <v>1871</v>
      </c>
    </row>
    <row r="467" spans="1:17">
      <c r="A467" s="577" t="s">
        <v>5428</v>
      </c>
      <c r="B467" s="577" t="s">
        <v>5100</v>
      </c>
      <c r="C467" s="55" t="s">
        <v>8640</v>
      </c>
      <c r="D467" s="578">
        <v>4398</v>
      </c>
      <c r="E467" s="578">
        <v>4420</v>
      </c>
      <c r="F467" s="578">
        <v>4463</v>
      </c>
      <c r="G467" s="56">
        <v>4471</v>
      </c>
      <c r="H467" s="56">
        <v>4559</v>
      </c>
      <c r="I467" s="56">
        <v>4476</v>
      </c>
      <c r="J467" s="56">
        <v>4466</v>
      </c>
      <c r="K467" s="56">
        <v>4534</v>
      </c>
      <c r="L467" s="56">
        <v>4578</v>
      </c>
      <c r="M467" s="56">
        <v>4391</v>
      </c>
      <c r="N467" s="56">
        <v>4654</v>
      </c>
      <c r="O467" s="56">
        <v>4657</v>
      </c>
      <c r="P467" s="574"/>
      <c r="Q467" s="577" t="s">
        <v>1874</v>
      </c>
    </row>
    <row r="468" spans="1:17">
      <c r="A468" s="577" t="s">
        <v>5429</v>
      </c>
      <c r="B468" s="577" t="s">
        <v>2882</v>
      </c>
      <c r="C468" s="55" t="s">
        <v>8641</v>
      </c>
      <c r="D468" s="578">
        <v>2724</v>
      </c>
      <c r="E468" s="578">
        <v>2726</v>
      </c>
      <c r="F468" s="578">
        <v>2710</v>
      </c>
      <c r="G468" s="58">
        <v>2642</v>
      </c>
      <c r="H468" s="58">
        <v>2675</v>
      </c>
      <c r="I468" s="58">
        <v>2409</v>
      </c>
      <c r="J468" s="58">
        <v>2442</v>
      </c>
      <c r="K468" s="58">
        <v>2463</v>
      </c>
      <c r="L468" s="58">
        <v>2514</v>
      </c>
      <c r="M468" s="58">
        <v>2455</v>
      </c>
      <c r="N468" s="58">
        <v>2500</v>
      </c>
      <c r="O468" s="58">
        <v>2503</v>
      </c>
      <c r="P468" s="574"/>
      <c r="Q468" s="577" t="s">
        <v>1874</v>
      </c>
    </row>
    <row r="469" spans="1:17">
      <c r="A469" s="577" t="s">
        <v>5431</v>
      </c>
      <c r="B469" s="577" t="s">
        <v>2883</v>
      </c>
      <c r="C469" s="55" t="s">
        <v>8654</v>
      </c>
      <c r="D469" s="578">
        <v>1614</v>
      </c>
      <c r="E469" s="578">
        <v>1640</v>
      </c>
      <c r="F469" s="578">
        <v>1636</v>
      </c>
      <c r="G469" s="58">
        <v>1645</v>
      </c>
      <c r="H469" s="58">
        <v>1647</v>
      </c>
      <c r="I469" s="58">
        <v>1623</v>
      </c>
      <c r="J469" s="58">
        <v>1632</v>
      </c>
      <c r="K469" s="58">
        <v>1636</v>
      </c>
      <c r="L469" s="58">
        <v>1646</v>
      </c>
      <c r="M469" s="58">
        <v>1655</v>
      </c>
      <c r="N469" s="58">
        <v>1684</v>
      </c>
      <c r="O469" s="58">
        <v>1682</v>
      </c>
      <c r="P469" s="574"/>
      <c r="Q469" s="577" t="s">
        <v>1874</v>
      </c>
    </row>
    <row r="470" spans="1:17">
      <c r="A470" s="577" t="s">
        <v>5433</v>
      </c>
      <c r="B470" s="577" t="s">
        <v>2884</v>
      </c>
      <c r="C470" s="55" t="s">
        <v>8642</v>
      </c>
      <c r="D470" s="578">
        <v>3210</v>
      </c>
      <c r="E470" s="578">
        <v>3223</v>
      </c>
      <c r="F470" s="578">
        <v>3259</v>
      </c>
      <c r="G470" s="56">
        <v>3243</v>
      </c>
      <c r="H470" s="56">
        <v>3230</v>
      </c>
      <c r="I470" s="56">
        <v>3077</v>
      </c>
      <c r="J470" s="56">
        <v>3177</v>
      </c>
      <c r="K470" s="56">
        <v>3332</v>
      </c>
      <c r="L470" s="56">
        <v>3435</v>
      </c>
      <c r="M470" s="56">
        <v>3432</v>
      </c>
      <c r="N470" s="56">
        <v>3570</v>
      </c>
      <c r="O470" s="56">
        <v>3567</v>
      </c>
      <c r="P470" s="574"/>
      <c r="Q470" s="577" t="s">
        <v>1871</v>
      </c>
    </row>
    <row r="471" spans="1:17">
      <c r="A471" s="577" t="s">
        <v>5435</v>
      </c>
      <c r="B471" s="577" t="s">
        <v>2885</v>
      </c>
      <c r="C471" s="55" t="s">
        <v>8643</v>
      </c>
      <c r="D471" s="578">
        <v>3093</v>
      </c>
      <c r="E471" s="578">
        <v>3131</v>
      </c>
      <c r="F471" s="578">
        <v>3137</v>
      </c>
      <c r="G471" s="58">
        <v>3115</v>
      </c>
      <c r="H471" s="58">
        <v>3114</v>
      </c>
      <c r="I471" s="58">
        <v>3019</v>
      </c>
      <c r="J471" s="58">
        <v>3009</v>
      </c>
      <c r="K471" s="58">
        <v>3012</v>
      </c>
      <c r="L471" s="58">
        <v>3039</v>
      </c>
      <c r="M471" s="58">
        <v>2990</v>
      </c>
      <c r="N471" s="58">
        <v>3110</v>
      </c>
      <c r="O471" s="58">
        <v>3108</v>
      </c>
      <c r="P471" s="574"/>
      <c r="Q471" s="577" t="s">
        <v>1874</v>
      </c>
    </row>
    <row r="472" spans="1:17">
      <c r="A472" s="577" t="s">
        <v>5436</v>
      </c>
      <c r="B472" s="577" t="s">
        <v>6585</v>
      </c>
      <c r="C472" s="55" t="s">
        <v>8644</v>
      </c>
      <c r="D472" s="578">
        <v>1651</v>
      </c>
      <c r="E472" s="578">
        <v>1689</v>
      </c>
      <c r="F472" s="578">
        <v>1696</v>
      </c>
      <c r="G472" s="56">
        <v>1625</v>
      </c>
      <c r="H472" s="56">
        <v>1698</v>
      </c>
      <c r="I472" s="56">
        <v>1658</v>
      </c>
      <c r="J472" s="56">
        <v>1637</v>
      </c>
      <c r="K472" s="56">
        <v>1648</v>
      </c>
      <c r="L472" s="56">
        <v>1674</v>
      </c>
      <c r="M472" s="56">
        <v>1691</v>
      </c>
      <c r="N472" s="56">
        <v>1803</v>
      </c>
      <c r="O472" s="56">
        <v>1806</v>
      </c>
      <c r="P472" s="574"/>
      <c r="Q472" s="577" t="s">
        <v>1871</v>
      </c>
    </row>
    <row r="473" spans="1:17">
      <c r="A473" s="577" t="s">
        <v>5437</v>
      </c>
      <c r="B473" s="577" t="s">
        <v>5073</v>
      </c>
      <c r="C473" s="55" t="s">
        <v>8645</v>
      </c>
      <c r="D473" s="578">
        <v>3037</v>
      </c>
      <c r="E473" s="578">
        <v>3030</v>
      </c>
      <c r="F473" s="578">
        <v>3086</v>
      </c>
      <c r="G473" s="58">
        <v>3065</v>
      </c>
      <c r="H473" s="58">
        <v>3074</v>
      </c>
      <c r="I473" s="58">
        <v>2984</v>
      </c>
      <c r="J473" s="58">
        <v>3028</v>
      </c>
      <c r="K473" s="58">
        <v>3055</v>
      </c>
      <c r="L473" s="58">
        <v>3035</v>
      </c>
      <c r="M473" s="58">
        <v>2978</v>
      </c>
      <c r="N473" s="58">
        <v>3094</v>
      </c>
      <c r="O473" s="58">
        <v>3092</v>
      </c>
      <c r="P473" s="574"/>
      <c r="Q473" s="577" t="s">
        <v>1874</v>
      </c>
    </row>
    <row r="474" spans="1:17">
      <c r="A474" s="577" t="s">
        <v>5439</v>
      </c>
      <c r="B474" s="577" t="s">
        <v>5074</v>
      </c>
      <c r="C474" s="55" t="s">
        <v>8646</v>
      </c>
      <c r="D474" s="578">
        <v>4422</v>
      </c>
      <c r="E474" s="578">
        <v>4527</v>
      </c>
      <c r="F474" s="578">
        <v>4527</v>
      </c>
      <c r="G474" s="58">
        <v>4410</v>
      </c>
      <c r="H474" s="58">
        <v>4586</v>
      </c>
      <c r="I474" s="58">
        <v>4383</v>
      </c>
      <c r="J474" s="58">
        <v>4189</v>
      </c>
      <c r="K474" s="58">
        <v>4242</v>
      </c>
      <c r="L474" s="58">
        <v>4366</v>
      </c>
      <c r="M474" s="58">
        <v>4121</v>
      </c>
      <c r="N474" s="58">
        <v>4662</v>
      </c>
      <c r="O474" s="58">
        <v>4676</v>
      </c>
      <c r="P474" s="574"/>
      <c r="Q474" s="577" t="s">
        <v>1874</v>
      </c>
    </row>
    <row r="475" spans="1:17">
      <c r="A475" s="577" t="s">
        <v>5441</v>
      </c>
      <c r="B475" s="577" t="s">
        <v>5075</v>
      </c>
      <c r="C475" s="55" t="s">
        <v>8647</v>
      </c>
      <c r="D475" s="578">
        <v>3056</v>
      </c>
      <c r="E475" s="578">
        <v>3062</v>
      </c>
      <c r="F475" s="578">
        <v>3021</v>
      </c>
      <c r="G475" s="58">
        <v>2940</v>
      </c>
      <c r="H475" s="58">
        <v>3016</v>
      </c>
      <c r="I475" s="58">
        <v>2788</v>
      </c>
      <c r="J475" s="58">
        <v>2837</v>
      </c>
      <c r="K475" s="58">
        <v>2825</v>
      </c>
      <c r="L475" s="58">
        <v>2861</v>
      </c>
      <c r="M475" s="58">
        <v>2798</v>
      </c>
      <c r="N475" s="58">
        <v>2866</v>
      </c>
      <c r="O475" s="58">
        <v>2862</v>
      </c>
      <c r="P475" s="574"/>
      <c r="Q475" s="577" t="s">
        <v>1874</v>
      </c>
    </row>
    <row r="476" spans="1:17">
      <c r="A476" s="577" t="s">
        <v>5886</v>
      </c>
      <c r="B476" s="577" t="s">
        <v>861</v>
      </c>
      <c r="C476" s="55" t="s">
        <v>8648</v>
      </c>
      <c r="D476" s="578">
        <v>4906</v>
      </c>
      <c r="E476" s="578">
        <v>5006</v>
      </c>
      <c r="F476" s="578">
        <v>4972</v>
      </c>
      <c r="G476" s="58">
        <v>4817</v>
      </c>
      <c r="H476" s="58">
        <v>4854</v>
      </c>
      <c r="I476" s="58">
        <v>4513</v>
      </c>
      <c r="J476" s="58">
        <v>4546</v>
      </c>
      <c r="K476" s="58">
        <v>4546</v>
      </c>
      <c r="L476" s="58">
        <v>4620</v>
      </c>
      <c r="M476" s="58">
        <v>4497</v>
      </c>
      <c r="N476" s="58">
        <v>4603</v>
      </c>
      <c r="O476" s="58">
        <v>4601</v>
      </c>
      <c r="P476" s="574"/>
      <c r="Q476" s="577" t="s">
        <v>1874</v>
      </c>
    </row>
    <row r="477" spans="1:17">
      <c r="A477" s="577" t="s">
        <v>5888</v>
      </c>
      <c r="B477" s="577" t="s">
        <v>862</v>
      </c>
      <c r="C477" s="55" t="s">
        <v>8649</v>
      </c>
      <c r="D477" s="578">
        <v>3294</v>
      </c>
      <c r="E477" s="578">
        <v>3329</v>
      </c>
      <c r="F477" s="578">
        <v>3361</v>
      </c>
      <c r="G477" s="58">
        <v>3170</v>
      </c>
      <c r="H477" s="58">
        <v>3470</v>
      </c>
      <c r="I477" s="58">
        <v>3227</v>
      </c>
      <c r="J477" s="58">
        <v>3176</v>
      </c>
      <c r="K477" s="58">
        <v>3188</v>
      </c>
      <c r="L477" s="58">
        <v>3189</v>
      </c>
      <c r="M477" s="58">
        <v>3142</v>
      </c>
      <c r="N477" s="58">
        <v>3280</v>
      </c>
      <c r="O477" s="58">
        <v>3282</v>
      </c>
      <c r="P477" s="574"/>
      <c r="Q477" s="577" t="s">
        <v>1874</v>
      </c>
    </row>
    <row r="478" spans="1:17">
      <c r="A478" s="577" t="s">
        <v>5889</v>
      </c>
      <c r="B478" s="577" t="s">
        <v>863</v>
      </c>
      <c r="C478" s="55" t="s">
        <v>8650</v>
      </c>
      <c r="D478" s="578">
        <v>4451</v>
      </c>
      <c r="E478" s="578">
        <v>4488</v>
      </c>
      <c r="F478" s="578">
        <v>4474</v>
      </c>
      <c r="G478" s="56">
        <v>4436</v>
      </c>
      <c r="H478" s="56">
        <v>4480</v>
      </c>
      <c r="I478" s="56">
        <v>4458</v>
      </c>
      <c r="J478" s="56">
        <v>4437</v>
      </c>
      <c r="K478" s="56">
        <v>4545</v>
      </c>
      <c r="L478" s="56">
        <v>4633</v>
      </c>
      <c r="M478" s="56">
        <v>4606</v>
      </c>
      <c r="N478" s="56">
        <v>4760</v>
      </c>
      <c r="O478" s="56">
        <v>4761</v>
      </c>
      <c r="P478" s="574"/>
      <c r="Q478" s="577" t="s">
        <v>1871</v>
      </c>
    </row>
    <row r="479" spans="1:17">
      <c r="A479" s="577" t="s">
        <v>4431</v>
      </c>
      <c r="B479" s="577" t="s">
        <v>864</v>
      </c>
      <c r="C479" s="55" t="s">
        <v>8651</v>
      </c>
      <c r="D479" s="578">
        <v>4914</v>
      </c>
      <c r="E479" s="578">
        <v>4969</v>
      </c>
      <c r="F479" s="578">
        <v>4947</v>
      </c>
      <c r="G479" s="58">
        <v>4920</v>
      </c>
      <c r="H479" s="58">
        <v>5027</v>
      </c>
      <c r="I479" s="58">
        <v>4797</v>
      </c>
      <c r="J479" s="58">
        <v>4820</v>
      </c>
      <c r="K479" s="58">
        <v>4935</v>
      </c>
      <c r="L479" s="58">
        <v>4968</v>
      </c>
      <c r="M479" s="58">
        <v>4949</v>
      </c>
      <c r="N479" s="58">
        <v>5026</v>
      </c>
      <c r="O479" s="58">
        <v>5018</v>
      </c>
      <c r="P479" s="574"/>
      <c r="Q479" s="577" t="s">
        <v>1874</v>
      </c>
    </row>
    <row r="480" spans="1:17">
      <c r="A480" s="577" t="s">
        <v>4432</v>
      </c>
      <c r="B480" s="577" t="s">
        <v>865</v>
      </c>
      <c r="C480" s="55" t="s">
        <v>8652</v>
      </c>
      <c r="D480" s="578">
        <v>3357</v>
      </c>
      <c r="E480" s="578">
        <v>3414</v>
      </c>
      <c r="F480" s="578">
        <v>3363</v>
      </c>
      <c r="G480" s="58">
        <v>3304</v>
      </c>
      <c r="H480" s="58">
        <v>3328</v>
      </c>
      <c r="I480" s="58">
        <v>3214</v>
      </c>
      <c r="J480" s="58">
        <v>3274</v>
      </c>
      <c r="K480" s="58">
        <v>3357</v>
      </c>
      <c r="L480" s="58">
        <v>3338</v>
      </c>
      <c r="M480" s="58">
        <v>3321</v>
      </c>
      <c r="N480" s="58">
        <v>3378</v>
      </c>
      <c r="O480" s="58">
        <v>3363</v>
      </c>
      <c r="P480" s="574"/>
      <c r="Q480" s="577" t="s">
        <v>1874</v>
      </c>
    </row>
    <row r="481" spans="1:17">
      <c r="A481" s="577"/>
      <c r="B481" s="577"/>
      <c r="D481" s="578"/>
      <c r="E481" s="578"/>
      <c r="F481" s="578"/>
      <c r="G481" s="578"/>
      <c r="H481" s="578"/>
      <c r="I481" s="578"/>
      <c r="J481" s="578"/>
      <c r="K481" s="578"/>
      <c r="L481" s="578"/>
      <c r="M481" s="578"/>
      <c r="N481" s="578"/>
      <c r="O481" s="578"/>
      <c r="P481" s="574"/>
      <c r="Q481" s="577"/>
    </row>
    <row r="482" spans="1:17">
      <c r="A482" s="577" t="s">
        <v>789</v>
      </c>
      <c r="D482" s="578">
        <f t="shared" ref="D482:I482" si="173">D466+D470+D472+D478</f>
        <v>12421</v>
      </c>
      <c r="E482" s="578">
        <f t="shared" si="173"/>
        <v>12555</v>
      </c>
      <c r="F482" s="578">
        <f t="shared" si="173"/>
        <v>12556</v>
      </c>
      <c r="G482" s="578">
        <f t="shared" si="173"/>
        <v>12392</v>
      </c>
      <c r="H482" s="578">
        <f t="shared" si="173"/>
        <v>12568</v>
      </c>
      <c r="I482" s="578">
        <f t="shared" si="173"/>
        <v>12265</v>
      </c>
      <c r="J482" s="578">
        <f t="shared" ref="J482:O482" si="174">J466+J470+J472+J478</f>
        <v>12384</v>
      </c>
      <c r="K482" s="578">
        <f t="shared" si="174"/>
        <v>12692</v>
      </c>
      <c r="L482" s="578">
        <f t="shared" si="174"/>
        <v>12945</v>
      </c>
      <c r="M482" s="578">
        <f t="shared" si="174"/>
        <v>12910</v>
      </c>
      <c r="N482" s="578">
        <f t="shared" si="174"/>
        <v>13362</v>
      </c>
      <c r="O482" s="578">
        <f t="shared" si="174"/>
        <v>13360</v>
      </c>
      <c r="P482" s="574"/>
      <c r="Q482" s="574"/>
    </row>
    <row r="483" spans="1:17">
      <c r="A483" s="577" t="s">
        <v>1874</v>
      </c>
      <c r="D483" s="578">
        <f t="shared" ref="D483:I483" si="175">SUM(D456:D465)+SUM(D467:D469)+D471+SUM(D473:D477)+SUM(D479:D480)</f>
        <v>72347</v>
      </c>
      <c r="E483" s="578">
        <f t="shared" si="175"/>
        <v>73028</v>
      </c>
      <c r="F483" s="578">
        <f t="shared" si="175"/>
        <v>73877</v>
      </c>
      <c r="G483" s="578">
        <f t="shared" si="175"/>
        <v>72352</v>
      </c>
      <c r="H483" s="578">
        <f t="shared" si="175"/>
        <v>74251</v>
      </c>
      <c r="I483" s="578">
        <f t="shared" si="175"/>
        <v>69519</v>
      </c>
      <c r="J483" s="578">
        <f t="shared" ref="J483:O483" si="176">SUM(J456:J465)+SUM(J467:J469)+J471+SUM(J473:J477)+SUM(J479:J480)</f>
        <v>70260</v>
      </c>
      <c r="K483" s="578">
        <f t="shared" si="176"/>
        <v>70998</v>
      </c>
      <c r="L483" s="578">
        <f t="shared" si="176"/>
        <v>72049</v>
      </c>
      <c r="M483" s="578">
        <f t="shared" si="176"/>
        <v>69908</v>
      </c>
      <c r="N483" s="578">
        <f t="shared" si="176"/>
        <v>73678</v>
      </c>
      <c r="O483" s="578">
        <f t="shared" si="176"/>
        <v>73652</v>
      </c>
      <c r="P483" s="574"/>
      <c r="Q483" s="574"/>
    </row>
    <row r="484" spans="1:17">
      <c r="A484" s="577"/>
      <c r="D484" s="578"/>
      <c r="E484" s="578"/>
      <c r="F484" s="578"/>
      <c r="G484" s="578"/>
      <c r="H484" s="578"/>
      <c r="I484" s="578"/>
      <c r="J484" s="578"/>
      <c r="K484" s="578"/>
      <c r="L484" s="578"/>
      <c r="M484" s="578"/>
      <c r="N484" s="578"/>
      <c r="O484" s="578"/>
      <c r="P484" s="574"/>
      <c r="Q484" s="574"/>
    </row>
    <row r="485" spans="1:17">
      <c r="A485" s="577" t="s">
        <v>866</v>
      </c>
      <c r="D485" s="578"/>
      <c r="E485" s="578"/>
      <c r="F485" s="578"/>
      <c r="G485" s="578"/>
      <c r="H485" s="578"/>
      <c r="I485" s="578"/>
      <c r="J485" s="578"/>
      <c r="K485" s="578"/>
      <c r="L485" s="578"/>
      <c r="M485" s="578"/>
      <c r="N485" s="578"/>
      <c r="O485" s="578"/>
      <c r="P485" s="574"/>
      <c r="Q485" s="574"/>
    </row>
    <row r="486" spans="1:17">
      <c r="A486" s="577" t="s">
        <v>867</v>
      </c>
      <c r="D486" s="578"/>
      <c r="E486" s="578"/>
      <c r="F486" s="578"/>
      <c r="G486" s="578"/>
      <c r="H486" s="578"/>
      <c r="I486" s="578"/>
      <c r="J486" s="578"/>
      <c r="K486" s="578"/>
      <c r="L486" s="578"/>
      <c r="M486" s="578"/>
      <c r="N486" s="578"/>
      <c r="O486" s="578"/>
      <c r="P486" s="574"/>
      <c r="Q486" s="574"/>
    </row>
    <row r="487" spans="1:17">
      <c r="A487" s="577" t="s">
        <v>6614</v>
      </c>
      <c r="D487" s="578"/>
      <c r="E487" s="578"/>
      <c r="F487" s="578"/>
      <c r="G487" s="578"/>
      <c r="H487" s="578"/>
      <c r="I487" s="578"/>
      <c r="J487" s="578"/>
      <c r="K487" s="578"/>
      <c r="L487" s="578"/>
      <c r="M487" s="578"/>
      <c r="N487" s="578"/>
      <c r="O487" s="578"/>
      <c r="P487" s="574"/>
      <c r="Q487" s="574"/>
    </row>
    <row r="488" spans="1:17">
      <c r="A488" s="577"/>
      <c r="B488" s="577"/>
      <c r="D488" s="589"/>
      <c r="E488" s="589"/>
      <c r="F488" s="589"/>
      <c r="G488" s="589"/>
      <c r="H488" s="589"/>
      <c r="I488" s="589"/>
      <c r="J488" s="589"/>
      <c r="K488" s="589"/>
      <c r="L488" s="589"/>
      <c r="M488" s="589"/>
      <c r="N488" s="589"/>
      <c r="O488" s="589"/>
      <c r="P488" s="574"/>
      <c r="Q488" s="574"/>
    </row>
    <row r="489" spans="1:17">
      <c r="A489" s="577"/>
      <c r="B489" s="577"/>
      <c r="D489" s="589"/>
      <c r="E489" s="589"/>
      <c r="F489" s="589"/>
      <c r="G489" s="589"/>
      <c r="H489" s="589"/>
      <c r="I489" s="589"/>
      <c r="J489" s="589"/>
      <c r="K489" s="589"/>
      <c r="L489" s="589"/>
      <c r="M489" s="589"/>
      <c r="N489" s="589"/>
      <c r="O489" s="589"/>
      <c r="P489" s="574"/>
      <c r="Q489" s="574"/>
    </row>
    <row r="490" spans="1:17">
      <c r="A490" s="574"/>
      <c r="B490" s="574"/>
      <c r="E490" s="51" t="s">
        <v>1526</v>
      </c>
      <c r="F490" s="51"/>
      <c r="G490" s="51"/>
      <c r="H490" s="51"/>
      <c r="I490" s="51"/>
      <c r="J490" s="51"/>
      <c r="K490" s="51"/>
      <c r="L490" s="51"/>
      <c r="M490" s="51"/>
      <c r="N490" s="51"/>
      <c r="O490" s="51"/>
      <c r="P490" s="11"/>
      <c r="Q490" s="11" t="s">
        <v>9479</v>
      </c>
    </row>
    <row r="491" spans="1:17">
      <c r="A491" s="574"/>
      <c r="B491" s="574"/>
      <c r="D491" s="350">
        <v>2010</v>
      </c>
      <c r="E491" s="350">
        <v>2011</v>
      </c>
      <c r="F491" s="350">
        <v>2012</v>
      </c>
      <c r="G491" s="350">
        <v>2013</v>
      </c>
      <c r="H491" s="350">
        <v>2014</v>
      </c>
      <c r="I491" s="350">
        <v>2015</v>
      </c>
      <c r="J491" s="350">
        <v>2016</v>
      </c>
      <c r="K491" s="350">
        <v>2017</v>
      </c>
      <c r="L491" s="350">
        <v>2018</v>
      </c>
      <c r="M491" s="350">
        <v>2019</v>
      </c>
      <c r="N491" s="350">
        <v>2020</v>
      </c>
      <c r="O491" s="961" t="s">
        <v>14823</v>
      </c>
      <c r="P491" s="574"/>
      <c r="Q491" s="13" t="s">
        <v>1527</v>
      </c>
    </row>
    <row r="492" spans="1:17">
      <c r="A492" s="577" t="s">
        <v>868</v>
      </c>
      <c r="D492" s="578">
        <f>D493+D494+SUM(D496:D507)+SUM(D509:D520)</f>
        <v>85516</v>
      </c>
      <c r="E492" s="578">
        <f>E493+E494+SUM(E496:E507)+SUM(E509:E520)</f>
        <v>85714</v>
      </c>
      <c r="F492" s="578">
        <f>F493+F494+SUM(F496:F507)+SUM(F509:F520)</f>
        <v>85489</v>
      </c>
      <c r="G492" s="578">
        <f>G493+G494+SUM(G496:G507)+SUM(G509:G520)</f>
        <v>86091</v>
      </c>
      <c r="H492" s="578">
        <f>H493+H494+SUM(H496:H507)+SUM(H509:H520)</f>
        <v>85470</v>
      </c>
      <c r="I492" s="578">
        <f t="shared" ref="I492:N492" si="177">I493+I494+SUM(I496:I507)+SUM(I509:I520)</f>
        <v>81944</v>
      </c>
      <c r="J492" s="578">
        <f t="shared" si="177"/>
        <v>82005</v>
      </c>
      <c r="K492" s="578">
        <f t="shared" si="177"/>
        <v>85932</v>
      </c>
      <c r="L492" s="578">
        <f t="shared" si="177"/>
        <v>86831</v>
      </c>
      <c r="M492" s="578">
        <f t="shared" si="177"/>
        <v>88496</v>
      </c>
      <c r="N492" s="578">
        <f t="shared" si="177"/>
        <v>88357</v>
      </c>
      <c r="O492" s="578">
        <f>O493+O494+SUM(O496:O507)+SUM(O509:O520)</f>
        <v>89908</v>
      </c>
      <c r="P492" s="574"/>
      <c r="Q492" s="574"/>
    </row>
    <row r="493" spans="1:17">
      <c r="A493" s="577" t="s">
        <v>5387</v>
      </c>
      <c r="B493" s="577" t="s">
        <v>869</v>
      </c>
      <c r="C493" s="55" t="s">
        <v>10180</v>
      </c>
      <c r="D493" s="578">
        <v>0</v>
      </c>
      <c r="E493" s="578">
        <v>0</v>
      </c>
      <c r="F493" s="578">
        <v>0</v>
      </c>
      <c r="G493" s="56">
        <v>0</v>
      </c>
      <c r="H493" s="56">
        <v>0</v>
      </c>
      <c r="I493" s="56">
        <v>2615</v>
      </c>
      <c r="J493" s="56">
        <v>2676</v>
      </c>
      <c r="K493" s="56">
        <v>2863</v>
      </c>
      <c r="L493" s="56">
        <v>2917</v>
      </c>
      <c r="M493" s="56">
        <v>3019</v>
      </c>
      <c r="N493" s="56">
        <v>3047</v>
      </c>
      <c r="O493" s="56">
        <v>3106</v>
      </c>
      <c r="P493" s="574"/>
      <c r="Q493" s="577" t="s">
        <v>2028</v>
      </c>
    </row>
    <row r="494" spans="1:17" ht="15.75" thickBot="1">
      <c r="A494" s="577"/>
      <c r="B494" s="577"/>
      <c r="C494" s="55" t="s">
        <v>10180</v>
      </c>
      <c r="D494" s="579">
        <v>0</v>
      </c>
      <c r="E494" s="579">
        <v>0</v>
      </c>
      <c r="F494" s="579">
        <v>0</v>
      </c>
      <c r="G494" s="274">
        <v>0</v>
      </c>
      <c r="H494" s="274">
        <v>0</v>
      </c>
      <c r="I494" s="56">
        <v>1734</v>
      </c>
      <c r="J494" s="56">
        <v>1695</v>
      </c>
      <c r="K494" s="56">
        <v>1801</v>
      </c>
      <c r="L494" s="56">
        <v>1790</v>
      </c>
      <c r="M494" s="56">
        <v>1778</v>
      </c>
      <c r="N494" s="56">
        <v>1771</v>
      </c>
      <c r="O494" s="56">
        <v>1794</v>
      </c>
      <c r="P494" s="574"/>
      <c r="Q494" s="577" t="s">
        <v>1875</v>
      </c>
    </row>
    <row r="495" spans="1:17" ht="15.75" thickBot="1">
      <c r="A495" s="577"/>
      <c r="B495" s="577"/>
      <c r="C495" s="55" t="s">
        <v>10180</v>
      </c>
      <c r="D495" s="592">
        <f>D493+D494</f>
        <v>0</v>
      </c>
      <c r="E495" s="592">
        <f t="shared" ref="E495:L495" si="178">E493+E494</f>
        <v>0</v>
      </c>
      <c r="F495" s="592">
        <f t="shared" si="178"/>
        <v>0</v>
      </c>
      <c r="G495" s="592">
        <f t="shared" si="178"/>
        <v>0</v>
      </c>
      <c r="H495" s="592">
        <f t="shared" si="178"/>
        <v>0</v>
      </c>
      <c r="I495" s="592">
        <f t="shared" si="178"/>
        <v>4349</v>
      </c>
      <c r="J495" s="592">
        <f t="shared" si="178"/>
        <v>4371</v>
      </c>
      <c r="K495" s="592">
        <f t="shared" si="178"/>
        <v>4664</v>
      </c>
      <c r="L495" s="592">
        <f t="shared" si="178"/>
        <v>4707</v>
      </c>
      <c r="M495" s="592">
        <f>M493+M494</f>
        <v>4797</v>
      </c>
      <c r="N495" s="592">
        <f>N493+N494</f>
        <v>4818</v>
      </c>
      <c r="O495" s="592">
        <f>O493+O494</f>
        <v>4900</v>
      </c>
      <c r="P495" s="574"/>
      <c r="Q495" s="577"/>
    </row>
    <row r="496" spans="1:17">
      <c r="A496" s="577" t="s">
        <v>5389</v>
      </c>
      <c r="B496" s="577" t="s">
        <v>870</v>
      </c>
      <c r="C496" s="55" t="s">
        <v>10181</v>
      </c>
      <c r="D496" s="578">
        <v>40121</v>
      </c>
      <c r="E496" s="578">
        <v>40299</v>
      </c>
      <c r="F496" s="578">
        <v>40247</v>
      </c>
      <c r="G496" s="56">
        <v>40583</v>
      </c>
      <c r="H496" s="56">
        <v>40373</v>
      </c>
      <c r="I496" s="58">
        <v>2940</v>
      </c>
      <c r="J496" s="58">
        <v>2855</v>
      </c>
      <c r="K496" s="58">
        <v>2994</v>
      </c>
      <c r="L496" s="58">
        <v>3038</v>
      </c>
      <c r="M496" s="58">
        <v>3146</v>
      </c>
      <c r="N496" s="58">
        <v>3205</v>
      </c>
      <c r="O496" s="58">
        <v>3303</v>
      </c>
      <c r="P496" s="574"/>
      <c r="Q496" s="577" t="s">
        <v>1875</v>
      </c>
    </row>
    <row r="497" spans="1:17">
      <c r="A497" s="577" t="s">
        <v>5391</v>
      </c>
      <c r="B497" s="577" t="s">
        <v>9781</v>
      </c>
      <c r="C497" s="55" t="s">
        <v>10182</v>
      </c>
      <c r="D497" s="578">
        <v>0</v>
      </c>
      <c r="E497" s="578">
        <v>0</v>
      </c>
      <c r="F497" s="578">
        <v>0</v>
      </c>
      <c r="G497" s="56">
        <v>0</v>
      </c>
      <c r="H497" s="56">
        <v>0</v>
      </c>
      <c r="I497" s="58">
        <v>3289</v>
      </c>
      <c r="J497" s="58">
        <v>3058</v>
      </c>
      <c r="K497" s="58">
        <v>3231</v>
      </c>
      <c r="L497" s="58">
        <v>3271</v>
      </c>
      <c r="M497" s="58">
        <v>3382</v>
      </c>
      <c r="N497" s="58">
        <v>3412</v>
      </c>
      <c r="O497" s="58">
        <v>3501</v>
      </c>
      <c r="P497" s="574"/>
      <c r="Q497" s="577" t="s">
        <v>1875</v>
      </c>
    </row>
    <row r="498" spans="1:17">
      <c r="A498" s="577" t="s">
        <v>5393</v>
      </c>
      <c r="B498" s="577" t="s">
        <v>871</v>
      </c>
      <c r="C498" s="55" t="s">
        <v>10183</v>
      </c>
      <c r="D498" s="578">
        <v>0</v>
      </c>
      <c r="E498" s="578">
        <v>0</v>
      </c>
      <c r="F498" s="578">
        <v>0</v>
      </c>
      <c r="G498" s="56">
        <v>0</v>
      </c>
      <c r="H498" s="56">
        <v>0</v>
      </c>
      <c r="I498" s="58">
        <v>1648</v>
      </c>
      <c r="J498" s="58">
        <v>1676</v>
      </c>
      <c r="K498" s="58">
        <v>1817</v>
      </c>
      <c r="L498" s="58">
        <v>1880</v>
      </c>
      <c r="M498" s="58">
        <v>1917</v>
      </c>
      <c r="N498" s="58">
        <v>1907</v>
      </c>
      <c r="O498" s="58">
        <v>1913</v>
      </c>
      <c r="P498" s="574"/>
      <c r="Q498" s="577" t="s">
        <v>1875</v>
      </c>
    </row>
    <row r="499" spans="1:17">
      <c r="A499" s="577" t="s">
        <v>5394</v>
      </c>
      <c r="B499" s="577" t="s">
        <v>872</v>
      </c>
      <c r="C499" s="55" t="s">
        <v>10184</v>
      </c>
      <c r="D499" s="578">
        <v>0</v>
      </c>
      <c r="E499" s="578">
        <v>0</v>
      </c>
      <c r="F499" s="578">
        <v>0</v>
      </c>
      <c r="G499" s="58">
        <v>0</v>
      </c>
      <c r="H499" s="58">
        <v>0</v>
      </c>
      <c r="I499" s="58">
        <v>3576</v>
      </c>
      <c r="J499" s="58">
        <v>3522</v>
      </c>
      <c r="K499" s="58">
        <v>3663</v>
      </c>
      <c r="L499" s="58">
        <v>3695</v>
      </c>
      <c r="M499" s="58">
        <v>3764</v>
      </c>
      <c r="N499" s="58">
        <v>3710</v>
      </c>
      <c r="O499" s="58">
        <v>3756</v>
      </c>
      <c r="P499" s="574"/>
      <c r="Q499" s="577" t="s">
        <v>1875</v>
      </c>
    </row>
    <row r="500" spans="1:17">
      <c r="A500" s="577" t="s">
        <v>5416</v>
      </c>
      <c r="B500" s="577" t="s">
        <v>873</v>
      </c>
      <c r="C500" s="55" t="s">
        <v>10185</v>
      </c>
      <c r="D500" s="578">
        <v>17973</v>
      </c>
      <c r="E500" s="578">
        <v>18000</v>
      </c>
      <c r="F500" s="578">
        <v>17997</v>
      </c>
      <c r="G500" s="56">
        <v>18272</v>
      </c>
      <c r="H500" s="56">
        <v>18075</v>
      </c>
      <c r="I500" s="56">
        <v>3649</v>
      </c>
      <c r="J500" s="56">
        <v>3684</v>
      </c>
      <c r="K500" s="56">
        <v>3776</v>
      </c>
      <c r="L500" s="56">
        <v>3786</v>
      </c>
      <c r="M500" s="56">
        <v>3858</v>
      </c>
      <c r="N500" s="56">
        <v>3839</v>
      </c>
      <c r="O500" s="56">
        <v>3871</v>
      </c>
      <c r="P500" s="574"/>
      <c r="Q500" s="577" t="s">
        <v>2028</v>
      </c>
    </row>
    <row r="501" spans="1:17">
      <c r="A501" s="577" t="s">
        <v>5418</v>
      </c>
      <c r="B501" s="577" t="s">
        <v>3590</v>
      </c>
      <c r="C501" s="55" t="s">
        <v>10186</v>
      </c>
      <c r="D501" s="578">
        <v>0</v>
      </c>
      <c r="E501" s="578">
        <v>0</v>
      </c>
      <c r="F501" s="578">
        <v>0</v>
      </c>
      <c r="G501" s="58">
        <v>0</v>
      </c>
      <c r="H501" s="58">
        <v>0</v>
      </c>
      <c r="I501" s="58">
        <v>5319</v>
      </c>
      <c r="J501" s="58">
        <v>5280</v>
      </c>
      <c r="K501" s="58">
        <v>5484</v>
      </c>
      <c r="L501" s="58">
        <v>5449</v>
      </c>
      <c r="M501" s="58">
        <v>5684</v>
      </c>
      <c r="N501" s="58">
        <v>5674</v>
      </c>
      <c r="O501" s="58">
        <v>5747</v>
      </c>
      <c r="P501" s="574"/>
      <c r="Q501" s="577" t="s">
        <v>1875</v>
      </c>
    </row>
    <row r="502" spans="1:17">
      <c r="A502" s="577" t="s">
        <v>5420</v>
      </c>
      <c r="B502" s="577" t="s">
        <v>3591</v>
      </c>
      <c r="C502" s="55" t="s">
        <v>10187</v>
      </c>
      <c r="D502" s="578">
        <v>0</v>
      </c>
      <c r="E502" s="578">
        <v>0</v>
      </c>
      <c r="F502" s="578">
        <v>0</v>
      </c>
      <c r="G502" s="58">
        <v>0</v>
      </c>
      <c r="H502" s="58">
        <v>0</v>
      </c>
      <c r="I502" s="58">
        <v>3041</v>
      </c>
      <c r="J502" s="58">
        <v>3073</v>
      </c>
      <c r="K502" s="58">
        <v>3196</v>
      </c>
      <c r="L502" s="58">
        <v>3259</v>
      </c>
      <c r="M502" s="58">
        <v>3311</v>
      </c>
      <c r="N502" s="58">
        <v>3355</v>
      </c>
      <c r="O502" s="58">
        <v>3408</v>
      </c>
      <c r="P502" s="574"/>
      <c r="Q502" s="577" t="s">
        <v>1875</v>
      </c>
    </row>
    <row r="503" spans="1:17">
      <c r="A503" s="577" t="s">
        <v>5422</v>
      </c>
      <c r="B503" s="577" t="s">
        <v>9782</v>
      </c>
      <c r="C503" s="55" t="s">
        <v>10188</v>
      </c>
      <c r="D503" s="578">
        <v>0</v>
      </c>
      <c r="E503" s="578">
        <v>0</v>
      </c>
      <c r="F503" s="578">
        <v>0</v>
      </c>
      <c r="G503" s="58">
        <v>0</v>
      </c>
      <c r="H503" s="58">
        <v>0</v>
      </c>
      <c r="I503" s="58">
        <v>3517</v>
      </c>
      <c r="J503" s="58">
        <v>3500</v>
      </c>
      <c r="K503" s="58">
        <v>3633</v>
      </c>
      <c r="L503" s="58">
        <v>3611</v>
      </c>
      <c r="M503" s="58">
        <v>3661</v>
      </c>
      <c r="N503" s="58">
        <v>3709</v>
      </c>
      <c r="O503" s="58">
        <v>3757</v>
      </c>
      <c r="P503" s="574"/>
      <c r="Q503" s="577" t="s">
        <v>1875</v>
      </c>
    </row>
    <row r="504" spans="1:17">
      <c r="A504" s="577" t="s">
        <v>5424</v>
      </c>
      <c r="B504" s="577" t="s">
        <v>9783</v>
      </c>
      <c r="C504" s="55" t="s">
        <v>10189</v>
      </c>
      <c r="D504" s="578">
        <v>0</v>
      </c>
      <c r="E504" s="578">
        <v>0</v>
      </c>
      <c r="F504" s="578">
        <v>0</v>
      </c>
      <c r="G504" s="58">
        <v>0</v>
      </c>
      <c r="H504" s="58">
        <v>0</v>
      </c>
      <c r="I504" s="58">
        <v>4861</v>
      </c>
      <c r="J504" s="58">
        <v>4967</v>
      </c>
      <c r="K504" s="58">
        <v>5239</v>
      </c>
      <c r="L504" s="58">
        <v>5283</v>
      </c>
      <c r="M504" s="58">
        <v>5380</v>
      </c>
      <c r="N504" s="58">
        <v>5333</v>
      </c>
      <c r="O504" s="58">
        <v>5444</v>
      </c>
      <c r="P504" s="574"/>
      <c r="Q504" s="577" t="s">
        <v>1875</v>
      </c>
    </row>
    <row r="505" spans="1:17">
      <c r="A505" s="577" t="s">
        <v>5426</v>
      </c>
      <c r="B505" s="577" t="s">
        <v>3592</v>
      </c>
      <c r="C505" s="55" t="s">
        <v>10190</v>
      </c>
      <c r="D505" s="578">
        <v>0</v>
      </c>
      <c r="E505" s="578">
        <v>0</v>
      </c>
      <c r="F505" s="578">
        <v>0</v>
      </c>
      <c r="G505" s="56">
        <v>0</v>
      </c>
      <c r="H505" s="56">
        <v>0</v>
      </c>
      <c r="I505" s="56">
        <v>3676</v>
      </c>
      <c r="J505" s="56">
        <v>3580</v>
      </c>
      <c r="K505" s="56">
        <v>3761</v>
      </c>
      <c r="L505" s="56">
        <v>3806</v>
      </c>
      <c r="M505" s="56">
        <v>3936</v>
      </c>
      <c r="N505" s="56">
        <v>3899</v>
      </c>
      <c r="O505" s="56">
        <v>3990</v>
      </c>
      <c r="P505" s="574"/>
      <c r="Q505" s="577" t="s">
        <v>2028</v>
      </c>
    </row>
    <row r="506" spans="1:17">
      <c r="A506" s="577" t="s">
        <v>5428</v>
      </c>
      <c r="B506" s="577" t="s">
        <v>9784</v>
      </c>
      <c r="C506" s="55" t="s">
        <v>10191</v>
      </c>
      <c r="D506" s="578">
        <v>0</v>
      </c>
      <c r="E506" s="578">
        <v>0</v>
      </c>
      <c r="F506" s="578">
        <v>0</v>
      </c>
      <c r="G506" s="56">
        <v>0</v>
      </c>
      <c r="H506" s="56">
        <v>0</v>
      </c>
      <c r="I506" s="56">
        <v>2542</v>
      </c>
      <c r="J506" s="56">
        <v>2520</v>
      </c>
      <c r="K506" s="56">
        <v>2601</v>
      </c>
      <c r="L506" s="56">
        <v>2612</v>
      </c>
      <c r="M506" s="56">
        <v>2662</v>
      </c>
      <c r="N506" s="56">
        <v>2657</v>
      </c>
      <c r="O506" s="56">
        <v>2689</v>
      </c>
      <c r="P506" s="574"/>
      <c r="Q506" s="577" t="s">
        <v>2028</v>
      </c>
    </row>
    <row r="507" spans="1:17" ht="15.75" thickBot="1">
      <c r="B507" s="577"/>
      <c r="C507" s="55" t="s">
        <v>10191</v>
      </c>
      <c r="D507" s="579">
        <v>0</v>
      </c>
      <c r="E507" s="579">
        <v>0</v>
      </c>
      <c r="F507" s="579">
        <v>0</v>
      </c>
      <c r="G507" s="274">
        <v>0</v>
      </c>
      <c r="H507" s="274">
        <v>0</v>
      </c>
      <c r="I507" s="58">
        <v>1372</v>
      </c>
      <c r="J507" s="58">
        <v>2196</v>
      </c>
      <c r="K507" s="58">
        <v>2316</v>
      </c>
      <c r="L507" s="58">
        <v>2388</v>
      </c>
      <c r="M507" s="58">
        <v>2433</v>
      </c>
      <c r="N507" s="58">
        <v>2421</v>
      </c>
      <c r="O507" s="58">
        <v>2443</v>
      </c>
      <c r="P507" s="574"/>
      <c r="Q507" s="577" t="s">
        <v>1875</v>
      </c>
    </row>
    <row r="508" spans="1:17" ht="15.75" thickBot="1">
      <c r="A508" s="577"/>
      <c r="B508" s="577"/>
      <c r="C508" s="55" t="s">
        <v>10191</v>
      </c>
      <c r="D508" s="592">
        <f t="shared" ref="D508:O508" si="179">D506+D507</f>
        <v>0</v>
      </c>
      <c r="E508" s="592">
        <f t="shared" si="179"/>
        <v>0</v>
      </c>
      <c r="F508" s="592">
        <f t="shared" si="179"/>
        <v>0</v>
      </c>
      <c r="G508" s="592">
        <f t="shared" si="179"/>
        <v>0</v>
      </c>
      <c r="H508" s="592">
        <f t="shared" si="179"/>
        <v>0</v>
      </c>
      <c r="I508" s="592">
        <f t="shared" si="179"/>
        <v>3914</v>
      </c>
      <c r="J508" s="592">
        <f t="shared" si="179"/>
        <v>4716</v>
      </c>
      <c r="K508" s="592">
        <f t="shared" si="179"/>
        <v>4917</v>
      </c>
      <c r="L508" s="592">
        <f t="shared" si="179"/>
        <v>5000</v>
      </c>
      <c r="M508" s="592">
        <f t="shared" si="179"/>
        <v>5095</v>
      </c>
      <c r="N508" s="592">
        <f t="shared" si="179"/>
        <v>5078</v>
      </c>
      <c r="O508" s="592">
        <f t="shared" si="179"/>
        <v>5132</v>
      </c>
      <c r="P508" s="574"/>
      <c r="Q508" s="577"/>
    </row>
    <row r="509" spans="1:17">
      <c r="A509" s="577" t="s">
        <v>5429</v>
      </c>
      <c r="B509" s="577" t="s">
        <v>3593</v>
      </c>
      <c r="C509" s="55" t="s">
        <v>10192</v>
      </c>
      <c r="D509" s="578">
        <v>27422</v>
      </c>
      <c r="E509" s="578">
        <v>27415</v>
      </c>
      <c r="F509" s="578">
        <v>27245</v>
      </c>
      <c r="G509" s="56">
        <v>27236</v>
      </c>
      <c r="H509" s="56">
        <v>27022</v>
      </c>
      <c r="I509" s="56">
        <v>3481</v>
      </c>
      <c r="J509" s="56">
        <v>3596</v>
      </c>
      <c r="K509" s="56">
        <v>3878</v>
      </c>
      <c r="L509" s="56">
        <v>3969</v>
      </c>
      <c r="M509" s="56">
        <v>3994</v>
      </c>
      <c r="N509" s="56">
        <v>4008</v>
      </c>
      <c r="O509" s="56">
        <v>4100</v>
      </c>
      <c r="P509" s="574"/>
      <c r="Q509" s="577" t="s">
        <v>1862</v>
      </c>
    </row>
    <row r="510" spans="1:17">
      <c r="A510" s="577" t="s">
        <v>5431</v>
      </c>
      <c r="B510" s="577" t="s">
        <v>1645</v>
      </c>
      <c r="C510" s="55" t="s">
        <v>10193</v>
      </c>
      <c r="D510" s="578">
        <v>0</v>
      </c>
      <c r="E510" s="578">
        <v>0</v>
      </c>
      <c r="F510" s="578">
        <v>0</v>
      </c>
      <c r="G510" s="56">
        <v>0</v>
      </c>
      <c r="H510" s="56">
        <v>0</v>
      </c>
      <c r="I510" s="56">
        <v>3225</v>
      </c>
      <c r="J510" s="56">
        <v>3259</v>
      </c>
      <c r="K510" s="56">
        <v>3505</v>
      </c>
      <c r="L510" s="56">
        <v>3521</v>
      </c>
      <c r="M510" s="56">
        <v>3573</v>
      </c>
      <c r="N510" s="56">
        <v>3530</v>
      </c>
      <c r="O510" s="56">
        <v>3619</v>
      </c>
      <c r="P510" s="574"/>
      <c r="Q510" s="577" t="s">
        <v>1862</v>
      </c>
    </row>
    <row r="511" spans="1:17">
      <c r="A511" s="577" t="s">
        <v>5433</v>
      </c>
      <c r="B511" s="577" t="s">
        <v>3594</v>
      </c>
      <c r="C511" s="55" t="s">
        <v>10194</v>
      </c>
      <c r="D511" s="578">
        <v>0</v>
      </c>
      <c r="E511" s="578">
        <v>0</v>
      </c>
      <c r="F511" s="578">
        <v>0</v>
      </c>
      <c r="G511" s="56">
        <v>0</v>
      </c>
      <c r="H511" s="56">
        <v>0</v>
      </c>
      <c r="I511" s="56">
        <v>3068</v>
      </c>
      <c r="J511" s="56">
        <v>3166</v>
      </c>
      <c r="K511" s="56">
        <v>3372</v>
      </c>
      <c r="L511" s="56">
        <v>3508</v>
      </c>
      <c r="M511" s="56">
        <v>3593</v>
      </c>
      <c r="N511" s="56">
        <v>3571</v>
      </c>
      <c r="O511" s="56">
        <v>3706</v>
      </c>
      <c r="P511" s="574"/>
      <c r="Q511" s="577" t="s">
        <v>1862</v>
      </c>
    </row>
    <row r="512" spans="1:17">
      <c r="A512" s="577" t="s">
        <v>5435</v>
      </c>
      <c r="B512" s="577" t="s">
        <v>9786</v>
      </c>
      <c r="C512" s="55" t="s">
        <v>10195</v>
      </c>
      <c r="D512" s="578">
        <v>0</v>
      </c>
      <c r="E512" s="578">
        <v>0</v>
      </c>
      <c r="F512" s="578">
        <v>0</v>
      </c>
      <c r="G512" s="56">
        <v>0</v>
      </c>
      <c r="H512" s="56">
        <v>0</v>
      </c>
      <c r="I512" s="56">
        <v>1548</v>
      </c>
      <c r="J512" s="56">
        <v>1545</v>
      </c>
      <c r="K512" s="56">
        <v>1595</v>
      </c>
      <c r="L512" s="56">
        <v>1674</v>
      </c>
      <c r="M512" s="56">
        <v>1725</v>
      </c>
      <c r="N512" s="56">
        <v>1746</v>
      </c>
      <c r="O512" s="56">
        <v>1788</v>
      </c>
      <c r="P512" s="574"/>
      <c r="Q512" s="577" t="s">
        <v>2028</v>
      </c>
    </row>
    <row r="513" spans="1:17">
      <c r="A513" s="577" t="s">
        <v>5436</v>
      </c>
      <c r="B513" s="577" t="s">
        <v>3595</v>
      </c>
      <c r="C513" s="55" t="s">
        <v>10196</v>
      </c>
      <c r="D513" s="578">
        <v>0</v>
      </c>
      <c r="E513" s="578">
        <v>0</v>
      </c>
      <c r="F513" s="578">
        <v>0</v>
      </c>
      <c r="G513" s="56">
        <v>0</v>
      </c>
      <c r="H513" s="56">
        <v>0</v>
      </c>
      <c r="I513" s="56">
        <v>1773</v>
      </c>
      <c r="J513" s="56">
        <v>1907</v>
      </c>
      <c r="K513" s="56">
        <v>2047</v>
      </c>
      <c r="L513" s="56">
        <v>2045</v>
      </c>
      <c r="M513" s="56">
        <v>2070</v>
      </c>
      <c r="N513" s="56">
        <v>2091</v>
      </c>
      <c r="O513" s="56">
        <v>2116</v>
      </c>
      <c r="P513" s="574"/>
      <c r="Q513" s="577" t="s">
        <v>1862</v>
      </c>
    </row>
    <row r="514" spans="1:17">
      <c r="A514" s="577" t="s">
        <v>5437</v>
      </c>
      <c r="B514" s="577" t="s">
        <v>4255</v>
      </c>
      <c r="C514" s="55" t="s">
        <v>10197</v>
      </c>
      <c r="D514" s="578">
        <v>0</v>
      </c>
      <c r="E514" s="578">
        <v>0</v>
      </c>
      <c r="F514" s="578">
        <v>0</v>
      </c>
      <c r="G514" s="56">
        <v>0</v>
      </c>
      <c r="H514" s="56">
        <v>0</v>
      </c>
      <c r="I514" s="56">
        <v>4616</v>
      </c>
      <c r="J514" s="56">
        <v>4615</v>
      </c>
      <c r="K514" s="56">
        <v>4751</v>
      </c>
      <c r="L514" s="56">
        <v>4763</v>
      </c>
      <c r="M514" s="56">
        <v>4823</v>
      </c>
      <c r="N514" s="56">
        <v>4799</v>
      </c>
      <c r="O514" s="56">
        <v>4827</v>
      </c>
      <c r="P514" s="574"/>
      <c r="Q514" s="577" t="s">
        <v>1862</v>
      </c>
    </row>
    <row r="515" spans="1:17">
      <c r="A515" s="577" t="s">
        <v>5439</v>
      </c>
      <c r="B515" s="577" t="s">
        <v>4256</v>
      </c>
      <c r="C515" s="55" t="s">
        <v>10198</v>
      </c>
      <c r="D515" s="578">
        <v>0</v>
      </c>
      <c r="E515" s="578">
        <v>0</v>
      </c>
      <c r="F515" s="578">
        <v>0</v>
      </c>
      <c r="G515" s="56">
        <v>0</v>
      </c>
      <c r="H515" s="56">
        <v>0</v>
      </c>
      <c r="I515" s="56">
        <v>4294</v>
      </c>
      <c r="J515" s="56">
        <v>4260</v>
      </c>
      <c r="K515" s="56">
        <v>4484</v>
      </c>
      <c r="L515" s="56">
        <v>4502</v>
      </c>
      <c r="M515" s="56">
        <v>4552</v>
      </c>
      <c r="N515" s="56">
        <v>4469</v>
      </c>
      <c r="O515" s="56">
        <v>4558</v>
      </c>
      <c r="P515" s="574"/>
      <c r="Q515" s="577" t="s">
        <v>1862</v>
      </c>
    </row>
    <row r="516" spans="1:17">
      <c r="A516" s="577" t="s">
        <v>5441</v>
      </c>
      <c r="B516" s="577" t="s">
        <v>9785</v>
      </c>
      <c r="C516" s="55" t="s">
        <v>10199</v>
      </c>
      <c r="D516" s="578">
        <v>0</v>
      </c>
      <c r="E516" s="578">
        <v>0</v>
      </c>
      <c r="F516" s="578">
        <v>0</v>
      </c>
      <c r="G516" s="58">
        <v>0</v>
      </c>
      <c r="H516" s="58">
        <v>0</v>
      </c>
      <c r="I516" s="58">
        <v>4513</v>
      </c>
      <c r="J516" s="58">
        <v>3673</v>
      </c>
      <c r="K516" s="58">
        <v>3773</v>
      </c>
      <c r="L516" s="58">
        <v>3833</v>
      </c>
      <c r="M516" s="58">
        <v>3866</v>
      </c>
      <c r="N516" s="58">
        <v>3899</v>
      </c>
      <c r="O516" s="58">
        <v>3934</v>
      </c>
      <c r="P516" s="574"/>
      <c r="Q516" s="577" t="s">
        <v>1875</v>
      </c>
    </row>
    <row r="517" spans="1:17">
      <c r="A517" s="577" t="s">
        <v>5886</v>
      </c>
      <c r="B517" s="577" t="s">
        <v>4257</v>
      </c>
      <c r="C517" s="55" t="s">
        <v>10200</v>
      </c>
      <c r="D517" s="578">
        <v>0</v>
      </c>
      <c r="E517" s="578">
        <v>0</v>
      </c>
      <c r="F517" s="578">
        <v>0</v>
      </c>
      <c r="G517" s="58">
        <v>0</v>
      </c>
      <c r="H517" s="58">
        <v>0</v>
      </c>
      <c r="I517" s="58">
        <v>3241</v>
      </c>
      <c r="J517" s="58">
        <v>3283</v>
      </c>
      <c r="K517" s="58">
        <v>3376</v>
      </c>
      <c r="L517" s="58">
        <v>3424</v>
      </c>
      <c r="M517" s="58">
        <v>3426</v>
      </c>
      <c r="N517" s="58">
        <v>3379</v>
      </c>
      <c r="O517" s="58">
        <v>3471</v>
      </c>
      <c r="P517" s="574"/>
      <c r="Q517" s="577" t="s">
        <v>1875</v>
      </c>
    </row>
    <row r="518" spans="1:17">
      <c r="A518" s="577" t="s">
        <v>5888</v>
      </c>
      <c r="B518" s="577" t="s">
        <v>9780</v>
      </c>
      <c r="C518" s="55" t="s">
        <v>10201</v>
      </c>
      <c r="D518" s="578">
        <v>0</v>
      </c>
      <c r="E518" s="578">
        <v>0</v>
      </c>
      <c r="F518" s="578">
        <v>0</v>
      </c>
      <c r="G518" s="56">
        <v>0</v>
      </c>
      <c r="H518" s="56">
        <v>0</v>
      </c>
      <c r="I518" s="56">
        <v>3489</v>
      </c>
      <c r="J518" s="56">
        <v>3507</v>
      </c>
      <c r="K518" s="56">
        <v>3599</v>
      </c>
      <c r="L518" s="56">
        <v>3604</v>
      </c>
      <c r="M518" s="56">
        <v>3611</v>
      </c>
      <c r="N518" s="56">
        <v>3612</v>
      </c>
      <c r="O518" s="56">
        <v>3668</v>
      </c>
      <c r="P518" s="574"/>
      <c r="Q518" s="577" t="s">
        <v>2028</v>
      </c>
    </row>
    <row r="519" spans="1:17">
      <c r="A519" s="577" t="s">
        <v>5889</v>
      </c>
      <c r="B519" s="577" t="s">
        <v>4258</v>
      </c>
      <c r="C519" s="55" t="s">
        <v>10202</v>
      </c>
      <c r="D519" s="578">
        <v>0</v>
      </c>
      <c r="E519" s="578">
        <v>0</v>
      </c>
      <c r="F519" s="578">
        <v>0</v>
      </c>
      <c r="G519" s="56">
        <v>0</v>
      </c>
      <c r="H519" s="56">
        <v>0</v>
      </c>
      <c r="I519" s="56">
        <v>3342</v>
      </c>
      <c r="J519" s="56">
        <v>3320</v>
      </c>
      <c r="K519" s="56">
        <v>3477</v>
      </c>
      <c r="L519" s="56">
        <v>3448</v>
      </c>
      <c r="M519" s="56">
        <v>3501</v>
      </c>
      <c r="N519" s="56">
        <v>3462</v>
      </c>
      <c r="O519" s="56">
        <v>3520</v>
      </c>
      <c r="P519" s="574"/>
      <c r="Q519" s="577" t="s">
        <v>1862</v>
      </c>
    </row>
    <row r="520" spans="1:17">
      <c r="A520" s="577" t="s">
        <v>4431</v>
      </c>
      <c r="B520" s="577" t="s">
        <v>4259</v>
      </c>
      <c r="C520" s="55" t="s">
        <v>10203</v>
      </c>
      <c r="D520" s="584">
        <v>0</v>
      </c>
      <c r="E520" s="584">
        <v>0</v>
      </c>
      <c r="F520" s="584">
        <v>0</v>
      </c>
      <c r="G520" s="56">
        <v>0</v>
      </c>
      <c r="H520" s="56">
        <v>0</v>
      </c>
      <c r="I520" s="56">
        <v>1575</v>
      </c>
      <c r="J520" s="56">
        <v>1592</v>
      </c>
      <c r="K520" s="56">
        <v>1700</v>
      </c>
      <c r="L520" s="56">
        <v>1755</v>
      </c>
      <c r="M520" s="56">
        <v>1831</v>
      </c>
      <c r="N520" s="56">
        <v>1852</v>
      </c>
      <c r="O520" s="56">
        <v>1879</v>
      </c>
      <c r="P520" s="574"/>
      <c r="Q520" s="577" t="s">
        <v>1862</v>
      </c>
    </row>
    <row r="521" spans="1:17">
      <c r="A521" s="577"/>
      <c r="B521" s="574"/>
      <c r="C521" s="574"/>
      <c r="D521" s="584"/>
      <c r="E521" s="584"/>
      <c r="F521" s="584"/>
      <c r="G521" s="584"/>
      <c r="H521" s="584"/>
      <c r="I521" s="584"/>
      <c r="J521" s="584"/>
      <c r="K521" s="584"/>
      <c r="L521" s="584"/>
      <c r="M521" s="584"/>
      <c r="N521" s="584"/>
      <c r="O521" s="584"/>
      <c r="P521" s="574"/>
      <c r="Q521" s="574"/>
    </row>
    <row r="522" spans="1:17">
      <c r="A522" s="577" t="s">
        <v>668</v>
      </c>
      <c r="D522" s="578">
        <f>D493+D500+D505+D506+D512+D518</f>
        <v>17973</v>
      </c>
      <c r="E522" s="578">
        <f>E493+E500+E505+E506+E512+E518</f>
        <v>18000</v>
      </c>
      <c r="F522" s="578">
        <f>F493+F500+F505+F506+F512+F518</f>
        <v>17997</v>
      </c>
      <c r="G522" s="578">
        <f>G493+G500+G505+G506+G512+G518</f>
        <v>18272</v>
      </c>
      <c r="H522" s="578">
        <f>H493+H500+H505+H506+H512+H518</f>
        <v>18075</v>
      </c>
      <c r="I522" s="578">
        <f t="shared" ref="I522:N522" si="180">I493+I500+I505+I506+I512+I518</f>
        <v>17519</v>
      </c>
      <c r="J522" s="578">
        <f t="shared" si="180"/>
        <v>17512</v>
      </c>
      <c r="K522" s="578">
        <f t="shared" si="180"/>
        <v>18195</v>
      </c>
      <c r="L522" s="578">
        <f t="shared" si="180"/>
        <v>18399</v>
      </c>
      <c r="M522" s="578">
        <f t="shared" si="180"/>
        <v>18811</v>
      </c>
      <c r="N522" s="578">
        <f t="shared" si="180"/>
        <v>18800</v>
      </c>
      <c r="O522" s="578">
        <f>O493+O500+O505+O506+O512+O518</f>
        <v>19112</v>
      </c>
      <c r="P522" s="574"/>
      <c r="Q522" s="574"/>
    </row>
    <row r="523" spans="1:17">
      <c r="A523" s="577" t="s">
        <v>512</v>
      </c>
      <c r="D523" s="578">
        <f t="shared" ref="D523:O523" si="181">SUM(D509:D511)+SUM(D513:D515)+D519+D520</f>
        <v>27422</v>
      </c>
      <c r="E523" s="578">
        <f t="shared" si="181"/>
        <v>27415</v>
      </c>
      <c r="F523" s="578">
        <f t="shared" si="181"/>
        <v>27245</v>
      </c>
      <c r="G523" s="578">
        <f t="shared" si="181"/>
        <v>27236</v>
      </c>
      <c r="H523" s="578">
        <f t="shared" si="181"/>
        <v>27022</v>
      </c>
      <c r="I523" s="578">
        <f t="shared" si="181"/>
        <v>25374</v>
      </c>
      <c r="J523" s="578">
        <f t="shared" si="181"/>
        <v>25715</v>
      </c>
      <c r="K523" s="578">
        <f t="shared" si="181"/>
        <v>27214</v>
      </c>
      <c r="L523" s="578">
        <f t="shared" si="181"/>
        <v>27511</v>
      </c>
      <c r="M523" s="578">
        <f t="shared" si="181"/>
        <v>27937</v>
      </c>
      <c r="N523" s="578">
        <f t="shared" si="181"/>
        <v>27782</v>
      </c>
      <c r="O523" s="578">
        <f t="shared" si="181"/>
        <v>28325</v>
      </c>
      <c r="P523" s="578"/>
      <c r="Q523" s="574"/>
    </row>
    <row r="524" spans="1:17">
      <c r="A524" s="577" t="s">
        <v>794</v>
      </c>
      <c r="D524" s="578">
        <f t="shared" ref="D524:O524" si="182">D494+SUM(D496:D499)+SUM(D501:D504)+D507+D516+D517</f>
        <v>40121</v>
      </c>
      <c r="E524" s="578">
        <f t="shared" si="182"/>
        <v>40299</v>
      </c>
      <c r="F524" s="578">
        <f t="shared" si="182"/>
        <v>40247</v>
      </c>
      <c r="G524" s="578">
        <f t="shared" si="182"/>
        <v>40583</v>
      </c>
      <c r="H524" s="578">
        <f t="shared" si="182"/>
        <v>40373</v>
      </c>
      <c r="I524" s="578">
        <f t="shared" si="182"/>
        <v>39051</v>
      </c>
      <c r="J524" s="578">
        <f t="shared" si="182"/>
        <v>38778</v>
      </c>
      <c r="K524" s="578">
        <f t="shared" si="182"/>
        <v>40523</v>
      </c>
      <c r="L524" s="578">
        <f t="shared" si="182"/>
        <v>40921</v>
      </c>
      <c r="M524" s="578">
        <f t="shared" si="182"/>
        <v>41748</v>
      </c>
      <c r="N524" s="578">
        <f t="shared" si="182"/>
        <v>41775</v>
      </c>
      <c r="O524" s="578">
        <f t="shared" si="182"/>
        <v>42471</v>
      </c>
      <c r="P524" s="574"/>
      <c r="Q524" s="574"/>
    </row>
    <row r="525" spans="1:17">
      <c r="A525" s="574"/>
      <c r="B525" s="574"/>
      <c r="C525" s="574"/>
      <c r="D525" s="574"/>
      <c r="E525" s="574"/>
      <c r="F525" s="574"/>
      <c r="G525" s="574"/>
      <c r="H525" s="574"/>
      <c r="I525" s="574"/>
      <c r="J525" s="574"/>
      <c r="K525" s="574"/>
      <c r="L525" s="574"/>
      <c r="M525" s="574"/>
      <c r="N525" s="574"/>
      <c r="O525" s="574"/>
      <c r="P525" s="574"/>
      <c r="Q525" s="574"/>
    </row>
    <row r="526" spans="1:17">
      <c r="A526" s="574" t="s">
        <v>9787</v>
      </c>
      <c r="B526" s="574"/>
      <c r="C526" s="574"/>
      <c r="D526" s="574"/>
      <c r="E526" s="574"/>
      <c r="F526" s="574"/>
      <c r="G526" s="574"/>
      <c r="H526" s="574"/>
      <c r="I526" s="574"/>
      <c r="J526" s="574"/>
      <c r="K526" s="574"/>
      <c r="L526" s="574"/>
      <c r="M526" s="574"/>
      <c r="N526" s="574"/>
      <c r="O526" s="574"/>
      <c r="P526" s="574"/>
      <c r="Q526" s="574"/>
    </row>
    <row r="527" spans="1:17">
      <c r="B527" s="574"/>
      <c r="C527" s="574"/>
      <c r="D527" s="574"/>
      <c r="E527" s="574"/>
      <c r="F527" s="574"/>
      <c r="G527" s="574"/>
      <c r="H527" s="574"/>
      <c r="I527" s="574"/>
      <c r="J527" s="574"/>
      <c r="K527" s="574"/>
      <c r="L527" s="574"/>
      <c r="M527" s="574"/>
      <c r="N527" s="574"/>
      <c r="O527" s="574"/>
      <c r="P527" s="574"/>
      <c r="Q527" s="574"/>
    </row>
    <row r="528" spans="1:17">
      <c r="A528" s="574"/>
      <c r="B528" s="574"/>
      <c r="C528" s="574"/>
      <c r="D528" s="574"/>
      <c r="E528" s="574"/>
      <c r="F528" s="574"/>
      <c r="G528" s="574"/>
      <c r="H528" s="574"/>
      <c r="I528" s="574"/>
      <c r="J528" s="574"/>
      <c r="K528" s="574"/>
      <c r="L528" s="574"/>
      <c r="M528" s="574"/>
      <c r="N528" s="574"/>
      <c r="O528" s="574"/>
      <c r="P528" s="574"/>
      <c r="Q528" s="574"/>
    </row>
    <row r="529" spans="1:17">
      <c r="A529" s="574"/>
      <c r="B529" s="574"/>
      <c r="C529" s="574"/>
      <c r="D529" s="574"/>
      <c r="E529" s="574"/>
      <c r="F529" s="574"/>
      <c r="G529" s="574"/>
      <c r="H529" s="574"/>
      <c r="I529" s="574"/>
      <c r="J529" s="574"/>
      <c r="K529" s="574"/>
      <c r="L529" s="574"/>
      <c r="M529" s="574"/>
      <c r="N529" s="574"/>
      <c r="O529" s="574"/>
      <c r="P529" s="574"/>
      <c r="Q529" s="574"/>
    </row>
    <row r="530" spans="1:17">
      <c r="A530" s="574"/>
      <c r="B530" s="574"/>
      <c r="C530" s="574"/>
      <c r="D530" s="574"/>
      <c r="E530" s="574"/>
      <c r="F530" s="574"/>
      <c r="G530" s="574"/>
      <c r="H530" s="574"/>
      <c r="I530" s="574"/>
      <c r="J530" s="574"/>
      <c r="K530" s="574"/>
      <c r="L530" s="574"/>
      <c r="M530" s="574"/>
      <c r="N530" s="574"/>
      <c r="O530" s="574"/>
      <c r="P530" s="574"/>
      <c r="Q530" s="574"/>
    </row>
    <row r="531" spans="1:17">
      <c r="A531" s="574"/>
      <c r="B531" s="574"/>
      <c r="C531" s="574"/>
      <c r="D531" s="574"/>
      <c r="E531" s="574"/>
      <c r="F531" s="574"/>
      <c r="G531" s="574"/>
      <c r="H531" s="574"/>
      <c r="I531" s="574"/>
      <c r="J531" s="574"/>
      <c r="K531" s="574"/>
      <c r="L531" s="574"/>
      <c r="M531" s="574"/>
      <c r="N531" s="574"/>
      <c r="O531" s="574"/>
      <c r="P531" s="574"/>
      <c r="Q531" s="574"/>
    </row>
    <row r="532" spans="1:17">
      <c r="A532" s="574"/>
      <c r="B532" s="574"/>
      <c r="C532" s="574"/>
      <c r="D532" s="574"/>
      <c r="E532" s="574"/>
      <c r="F532" s="574"/>
      <c r="G532" s="574"/>
      <c r="H532" s="574"/>
      <c r="I532" s="574"/>
      <c r="J532" s="574"/>
      <c r="K532" s="574"/>
      <c r="L532" s="574"/>
      <c r="M532" s="574"/>
      <c r="N532" s="574"/>
      <c r="O532" s="574"/>
      <c r="P532" s="574"/>
      <c r="Q532" s="574"/>
    </row>
    <row r="533" spans="1:17">
      <c r="A533" s="574"/>
      <c r="B533" s="574"/>
      <c r="C533" s="574"/>
      <c r="D533" s="574"/>
      <c r="E533" s="574"/>
      <c r="F533" s="574"/>
      <c r="G533" s="574"/>
      <c r="H533" s="574"/>
      <c r="I533" s="574"/>
      <c r="J533" s="574"/>
      <c r="K533" s="574"/>
      <c r="L533" s="574"/>
      <c r="M533" s="574"/>
      <c r="N533" s="574"/>
      <c r="O533" s="574"/>
      <c r="P533" s="574"/>
      <c r="Q533" s="574"/>
    </row>
    <row r="534" spans="1:17">
      <c r="A534" s="574"/>
      <c r="B534" s="574"/>
      <c r="C534" s="574"/>
      <c r="D534" s="574"/>
      <c r="E534" s="574"/>
      <c r="F534" s="574"/>
      <c r="G534" s="574"/>
      <c r="H534" s="574"/>
      <c r="I534" s="574"/>
      <c r="J534" s="574"/>
      <c r="K534" s="574"/>
      <c r="L534" s="574"/>
      <c r="M534" s="574"/>
      <c r="N534" s="574"/>
      <c r="O534" s="574"/>
      <c r="P534" s="574"/>
      <c r="Q534" s="574"/>
    </row>
    <row r="535" spans="1:17">
      <c r="A535" s="574"/>
      <c r="B535" s="574"/>
      <c r="C535" s="574"/>
      <c r="D535" s="574"/>
      <c r="E535" s="574"/>
      <c r="F535" s="574"/>
      <c r="G535" s="574"/>
      <c r="H535" s="574"/>
      <c r="I535" s="574"/>
      <c r="J535" s="574"/>
      <c r="K535" s="574"/>
      <c r="L535" s="574"/>
      <c r="M535" s="574"/>
      <c r="N535" s="574"/>
      <c r="O535" s="574"/>
      <c r="P535" s="574"/>
      <c r="Q535" s="574"/>
    </row>
    <row r="536" spans="1:17">
      <c r="A536" s="574"/>
      <c r="B536" s="574"/>
      <c r="C536" s="574"/>
      <c r="D536" s="574"/>
      <c r="E536" s="574"/>
      <c r="F536" s="574"/>
      <c r="G536" s="574"/>
      <c r="H536" s="574"/>
      <c r="I536" s="574"/>
      <c r="J536" s="574"/>
      <c r="K536" s="574"/>
      <c r="L536" s="574"/>
      <c r="M536" s="574"/>
      <c r="N536" s="574"/>
      <c r="O536" s="574"/>
      <c r="P536" s="574"/>
      <c r="Q536" s="574"/>
    </row>
    <row r="537" spans="1:17">
      <c r="A537" s="574"/>
      <c r="B537" s="574"/>
      <c r="C537" s="574"/>
      <c r="D537" s="574"/>
      <c r="E537" s="574"/>
      <c r="F537" s="574"/>
      <c r="G537" s="574"/>
      <c r="H537" s="574"/>
      <c r="I537" s="574"/>
      <c r="J537" s="574"/>
      <c r="K537" s="574"/>
      <c r="L537" s="574"/>
      <c r="M537" s="574"/>
      <c r="N537" s="574"/>
      <c r="O537" s="574"/>
      <c r="P537" s="574"/>
      <c r="Q537" s="574"/>
    </row>
    <row r="538" spans="1:17">
      <c r="A538" s="574"/>
      <c r="B538" s="574"/>
      <c r="C538" s="574"/>
      <c r="D538" s="574"/>
      <c r="E538" s="574"/>
      <c r="F538" s="574"/>
      <c r="G538" s="574"/>
      <c r="H538" s="574"/>
      <c r="I538" s="574"/>
      <c r="J538" s="574"/>
      <c r="K538" s="574"/>
      <c r="L538" s="574"/>
      <c r="M538" s="574"/>
      <c r="N538" s="574"/>
      <c r="O538" s="574"/>
      <c r="P538" s="574"/>
      <c r="Q538" s="574"/>
    </row>
    <row r="539" spans="1:17">
      <c r="A539" s="574"/>
      <c r="B539" s="574"/>
      <c r="C539" s="574"/>
      <c r="D539" s="574"/>
      <c r="E539" s="574"/>
      <c r="F539" s="574"/>
      <c r="G539" s="574"/>
      <c r="H539" s="574"/>
      <c r="I539" s="574"/>
      <c r="J539" s="574"/>
      <c r="K539" s="574"/>
      <c r="L539" s="574"/>
      <c r="M539" s="574"/>
      <c r="N539" s="574"/>
      <c r="O539" s="574"/>
      <c r="P539" s="574"/>
      <c r="Q539" s="574"/>
    </row>
    <row r="540" spans="1:17">
      <c r="A540" s="574"/>
      <c r="B540" s="574"/>
      <c r="C540" s="574"/>
      <c r="D540" s="574"/>
      <c r="E540" s="574"/>
      <c r="F540" s="574"/>
      <c r="G540" s="574"/>
      <c r="H540" s="574"/>
      <c r="I540" s="574"/>
      <c r="J540" s="574"/>
      <c r="K540" s="574"/>
      <c r="L540" s="574"/>
      <c r="M540" s="574"/>
      <c r="N540" s="574"/>
      <c r="O540" s="574"/>
      <c r="P540" s="574"/>
      <c r="Q540" s="574"/>
    </row>
    <row r="541" spans="1:17">
      <c r="A541" s="574"/>
      <c r="B541" s="574"/>
      <c r="C541" s="574"/>
      <c r="D541" s="574"/>
      <c r="E541" s="574"/>
      <c r="F541" s="574"/>
      <c r="G541" s="574"/>
      <c r="H541" s="574"/>
      <c r="I541" s="574"/>
      <c r="J541" s="574"/>
      <c r="K541" s="574"/>
      <c r="L541" s="574"/>
      <c r="M541" s="574"/>
      <c r="N541" s="574"/>
      <c r="O541" s="574"/>
      <c r="P541" s="574"/>
      <c r="Q541" s="574"/>
    </row>
    <row r="542" spans="1:17">
      <c r="A542" s="574"/>
      <c r="B542" s="574"/>
      <c r="C542" s="574"/>
      <c r="D542" s="574"/>
      <c r="E542" s="574"/>
      <c r="F542" s="574"/>
      <c r="G542" s="574"/>
      <c r="H542" s="574"/>
      <c r="I542" s="574"/>
      <c r="J542" s="574"/>
      <c r="K542" s="574"/>
      <c r="L542" s="574"/>
      <c r="M542" s="574"/>
      <c r="N542" s="574"/>
      <c r="O542" s="574"/>
      <c r="P542" s="574"/>
      <c r="Q542" s="574"/>
    </row>
    <row r="543" spans="1:17">
      <c r="A543" s="574"/>
      <c r="B543" s="574"/>
      <c r="C543" s="574"/>
      <c r="D543" s="574"/>
      <c r="E543" s="574"/>
      <c r="F543" s="574"/>
      <c r="G543" s="574"/>
      <c r="H543" s="574"/>
      <c r="I543" s="574"/>
      <c r="J543" s="574"/>
      <c r="K543" s="574"/>
      <c r="L543" s="574"/>
      <c r="M543" s="574"/>
      <c r="N543" s="574"/>
      <c r="O543" s="574"/>
      <c r="P543" s="574"/>
      <c r="Q543" s="574"/>
    </row>
    <row r="544" spans="1:17">
      <c r="A544" s="574"/>
      <c r="B544" s="574"/>
      <c r="C544" s="574"/>
      <c r="D544" s="574"/>
      <c r="E544" s="574"/>
      <c r="F544" s="574"/>
      <c r="G544" s="574"/>
      <c r="H544" s="574"/>
      <c r="I544" s="574"/>
      <c r="J544" s="574"/>
      <c r="K544" s="574"/>
      <c r="L544" s="574"/>
      <c r="M544" s="574"/>
      <c r="N544" s="574"/>
      <c r="O544" s="574"/>
      <c r="P544" s="574"/>
      <c r="Q544" s="574"/>
    </row>
    <row r="545" spans="1:17">
      <c r="A545" s="574"/>
      <c r="B545" s="574"/>
      <c r="C545" s="574"/>
      <c r="D545" s="574"/>
      <c r="E545" s="574"/>
      <c r="F545" s="574"/>
      <c r="G545" s="574"/>
      <c r="H545" s="574"/>
      <c r="I545" s="574"/>
      <c r="J545" s="574"/>
      <c r="K545" s="574"/>
      <c r="L545" s="574"/>
      <c r="M545" s="574"/>
      <c r="N545" s="574"/>
      <c r="O545" s="574"/>
      <c r="P545" s="574"/>
      <c r="Q545" s="574"/>
    </row>
    <row r="546" spans="1:17">
      <c r="A546" s="574"/>
      <c r="B546" s="574"/>
      <c r="C546" s="574"/>
      <c r="D546" s="574"/>
      <c r="E546" s="574"/>
      <c r="F546" s="574"/>
      <c r="G546" s="574"/>
      <c r="H546" s="574"/>
      <c r="I546" s="574"/>
      <c r="J546" s="574"/>
      <c r="K546" s="574"/>
      <c r="L546" s="574"/>
      <c r="M546" s="574"/>
      <c r="N546" s="574"/>
      <c r="O546" s="574"/>
      <c r="P546" s="574"/>
      <c r="Q546" s="574"/>
    </row>
    <row r="547" spans="1:17">
      <c r="A547" s="574"/>
      <c r="B547" s="574"/>
      <c r="C547" s="574"/>
      <c r="D547" s="574"/>
      <c r="E547" s="574"/>
      <c r="F547" s="574"/>
      <c r="G547" s="574"/>
      <c r="H547" s="574"/>
      <c r="I547" s="574"/>
      <c r="J547" s="574"/>
      <c r="K547" s="574"/>
      <c r="L547" s="574"/>
      <c r="M547" s="574"/>
      <c r="N547" s="574"/>
      <c r="O547" s="574"/>
      <c r="P547" s="574"/>
      <c r="Q547" s="574"/>
    </row>
    <row r="548" spans="1:17">
      <c r="A548" s="574"/>
      <c r="B548" s="574"/>
      <c r="C548" s="574"/>
      <c r="D548" s="574"/>
      <c r="E548" s="574"/>
      <c r="F548" s="574"/>
      <c r="G548" s="574"/>
      <c r="H548" s="574"/>
      <c r="I548" s="574"/>
      <c r="J548" s="574"/>
      <c r="K548" s="574"/>
      <c r="L548" s="574"/>
      <c r="M548" s="574"/>
      <c r="N548" s="574"/>
      <c r="O548" s="574"/>
      <c r="P548" s="574"/>
      <c r="Q548" s="574"/>
    </row>
    <row r="549" spans="1:17">
      <c r="A549" s="574"/>
      <c r="B549" s="574"/>
      <c r="C549" s="574"/>
      <c r="D549" s="574"/>
      <c r="E549" s="574"/>
      <c r="F549" s="574"/>
      <c r="G549" s="574"/>
      <c r="H549" s="574"/>
      <c r="I549" s="574"/>
      <c r="J549" s="574"/>
      <c r="K549" s="574"/>
      <c r="L549" s="574"/>
      <c r="M549" s="574"/>
      <c r="N549" s="574"/>
      <c r="O549" s="574"/>
      <c r="P549" s="574"/>
      <c r="Q549" s="574"/>
    </row>
    <row r="550" spans="1:17">
      <c r="A550" s="574"/>
      <c r="B550" s="574"/>
      <c r="C550" s="574"/>
      <c r="D550" s="574"/>
      <c r="E550" s="574"/>
      <c r="F550" s="574"/>
      <c r="G550" s="574"/>
      <c r="H550" s="574"/>
      <c r="I550" s="574"/>
      <c r="J550" s="574"/>
      <c r="K550" s="574"/>
      <c r="L550" s="574"/>
      <c r="M550" s="574"/>
      <c r="N550" s="574"/>
      <c r="O550" s="574"/>
      <c r="P550" s="574"/>
      <c r="Q550" s="574"/>
    </row>
    <row r="551" spans="1:17">
      <c r="A551" s="574"/>
      <c r="B551" s="574"/>
      <c r="C551" s="574"/>
      <c r="D551" s="574"/>
      <c r="E551" s="574"/>
      <c r="F551" s="574"/>
      <c r="G551" s="574"/>
      <c r="H551" s="574"/>
      <c r="I551" s="574"/>
      <c r="J551" s="574"/>
      <c r="K551" s="574"/>
      <c r="L551" s="574"/>
      <c r="M551" s="574"/>
      <c r="N551" s="574"/>
      <c r="O551" s="574"/>
      <c r="P551" s="574"/>
      <c r="Q551" s="574"/>
    </row>
    <row r="552" spans="1:17">
      <c r="A552" s="574"/>
    </row>
  </sheetData>
  <phoneticPr fontId="6" type="noConversion"/>
  <printOptions gridLinesSet="0"/>
  <pageMargins left="0.78740157480314965" right="0" top="0.51181102362204722" bottom="0.51181102362204722" header="0.51181102362204722" footer="0.51181102362204722"/>
  <pageSetup paperSize="9" scale="63" orientation="portrait" horizontalDpi="300" verticalDpi="300" r:id="rId1"/>
  <headerFooter alignWithMargins="0">
    <oddFooter>&amp;C&amp;"Times New Roman,Regular"&amp;8&amp;P of &amp;N</oddFooter>
  </headerFooter>
  <ignoredErrors>
    <ignoredError sqref="D227:K227 D204:K204 D296:K296 D310:K310 D149:K149 D166:K166 D118:K118 D394:K394 D455:K455 D252:K252 D234:K234 D359:K359 D387:K387 D259:K259 D495:K495 D508:K508 D492:K492 D429:K429 D440:K440 D418:K418 D3:K80 D522:K524 D288:K289 D410:K411 D447:K448 D141:K142 D482:K483 L3:L86 L109 L386:L524 L348 L352 L355:L359 L195 L113:L172 L202:L296 L192 L317:L320 L199 L309:L3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Q54"/>
  <sheetViews>
    <sheetView showGridLines="0" topLeftCell="A31" zoomScale="90" zoomScaleNormal="90" workbookViewId="0">
      <selection activeCell="H58" sqref="H58"/>
    </sheetView>
  </sheetViews>
  <sheetFormatPr defaultColWidth="14.5703125" defaultRowHeight="15"/>
  <cols>
    <col min="1" max="1" width="4.85546875" style="127" customWidth="1"/>
    <col min="2" max="2" width="35.7109375" style="127" customWidth="1"/>
    <col min="3" max="3" width="11.5703125" style="127" customWidth="1"/>
    <col min="4" max="15" width="10" style="127" customWidth="1"/>
    <col min="16" max="16" width="2.28515625" style="127" customWidth="1"/>
    <col min="17" max="17" width="33.140625" style="127" customWidth="1"/>
    <col min="18" max="16384" width="14.5703125" style="127"/>
  </cols>
  <sheetData>
    <row r="1" spans="1:17">
      <c r="A1" s="397" t="s">
        <v>6924</v>
      </c>
      <c r="D1" s="398">
        <v>2010</v>
      </c>
      <c r="E1" s="398">
        <v>2011</v>
      </c>
      <c r="F1" s="398">
        <v>2012</v>
      </c>
      <c r="G1" s="398">
        <v>2013</v>
      </c>
      <c r="H1" s="398">
        <v>2014</v>
      </c>
      <c r="I1" s="398">
        <v>2015</v>
      </c>
      <c r="J1" s="398">
        <v>2016</v>
      </c>
      <c r="K1" s="398">
        <v>2017</v>
      </c>
      <c r="L1" s="398">
        <v>2018</v>
      </c>
      <c r="M1" s="398">
        <v>2019</v>
      </c>
      <c r="N1" s="398">
        <v>2020</v>
      </c>
      <c r="O1" s="943" t="s">
        <v>14823</v>
      </c>
    </row>
    <row r="3" spans="1:17">
      <c r="A3" s="397" t="s">
        <v>2475</v>
      </c>
      <c r="D3" s="401">
        <f t="shared" ref="D3:M3" si="0">SUM(D17:D35,D37:D51)</f>
        <v>134016</v>
      </c>
      <c r="E3" s="401">
        <f t="shared" si="0"/>
        <v>135236</v>
      </c>
      <c r="F3" s="401">
        <f t="shared" si="0"/>
        <v>132710</v>
      </c>
      <c r="G3" s="401">
        <f t="shared" si="0"/>
        <v>134824</v>
      </c>
      <c r="H3" s="401">
        <f t="shared" si="0"/>
        <v>130613</v>
      </c>
      <c r="I3" s="401">
        <f t="shared" si="0"/>
        <v>125207</v>
      </c>
      <c r="J3" s="401">
        <f t="shared" si="0"/>
        <v>129407</v>
      </c>
      <c r="K3" s="401">
        <f t="shared" si="0"/>
        <v>131217</v>
      </c>
      <c r="L3" s="401">
        <f t="shared" si="0"/>
        <v>129957</v>
      </c>
      <c r="M3" s="401">
        <f t="shared" si="0"/>
        <v>130711</v>
      </c>
      <c r="N3" s="401">
        <f>SUM(N17:N35,N37:N51)</f>
        <v>133140</v>
      </c>
      <c r="O3" s="401">
        <f>SUM(O17:O35,O37:O51)</f>
        <v>141444</v>
      </c>
    </row>
    <row r="4" spans="1:17">
      <c r="D4" s="399"/>
      <c r="E4" s="399"/>
      <c r="F4" s="399"/>
      <c r="G4" s="399"/>
      <c r="H4" s="399"/>
      <c r="I4" s="399"/>
      <c r="J4" s="399"/>
      <c r="K4" s="399"/>
      <c r="L4" s="399"/>
      <c r="M4" s="399"/>
      <c r="N4" s="399"/>
      <c r="O4" s="399"/>
      <c r="Q4" s="400"/>
    </row>
    <row r="5" spans="1:17">
      <c r="A5" s="397" t="s">
        <v>2476</v>
      </c>
      <c r="D5" s="401">
        <f t="shared" ref="D5:I5" si="1">D3/2</f>
        <v>67008</v>
      </c>
      <c r="E5" s="401">
        <f t="shared" si="1"/>
        <v>67618</v>
      </c>
      <c r="F5" s="401">
        <f t="shared" si="1"/>
        <v>66355</v>
      </c>
      <c r="G5" s="401">
        <f t="shared" si="1"/>
        <v>67412</v>
      </c>
      <c r="H5" s="401">
        <f t="shared" si="1"/>
        <v>65306.5</v>
      </c>
      <c r="I5" s="401">
        <f t="shared" si="1"/>
        <v>62603.5</v>
      </c>
      <c r="J5" s="401">
        <f t="shared" ref="J5:O5" si="2">J3/2</f>
        <v>64703.5</v>
      </c>
      <c r="K5" s="401">
        <f t="shared" si="2"/>
        <v>65608.5</v>
      </c>
      <c r="L5" s="401">
        <f t="shared" si="2"/>
        <v>64978.5</v>
      </c>
      <c r="M5" s="401">
        <f t="shared" si="2"/>
        <v>65355.5</v>
      </c>
      <c r="N5" s="401">
        <f t="shared" si="2"/>
        <v>66570</v>
      </c>
      <c r="O5" s="401">
        <f t="shared" si="2"/>
        <v>70722</v>
      </c>
    </row>
    <row r="6" spans="1:17">
      <c r="D6" s="402"/>
      <c r="E6" s="402"/>
      <c r="F6" s="402"/>
      <c r="G6" s="402"/>
      <c r="H6" s="402"/>
      <c r="I6" s="402"/>
      <c r="J6" s="402"/>
      <c r="K6" s="402"/>
      <c r="L6" s="402"/>
      <c r="M6" s="402"/>
      <c r="N6" s="402"/>
      <c r="O6" s="402"/>
    </row>
    <row r="7" spans="1:17">
      <c r="A7" s="397" t="s">
        <v>2477</v>
      </c>
      <c r="D7" s="401">
        <f t="shared" ref="D7:M7" si="3">SUM(D19,D22,D27:D29,D33:D34,D37:D38,D44,D46:D47,D49:D51)</f>
        <v>65992</v>
      </c>
      <c r="E7" s="401">
        <f t="shared" si="3"/>
        <v>66690</v>
      </c>
      <c r="F7" s="401">
        <f t="shared" si="3"/>
        <v>64688</v>
      </c>
      <c r="G7" s="401">
        <f t="shared" si="3"/>
        <v>65728</v>
      </c>
      <c r="H7" s="401">
        <f t="shared" si="3"/>
        <v>61505</v>
      </c>
      <c r="I7" s="401">
        <f t="shared" si="3"/>
        <v>56986</v>
      </c>
      <c r="J7" s="401">
        <f t="shared" si="3"/>
        <v>60966</v>
      </c>
      <c r="K7" s="401">
        <f t="shared" si="3"/>
        <v>61324</v>
      </c>
      <c r="L7" s="401">
        <f t="shared" si="3"/>
        <v>59887</v>
      </c>
      <c r="M7" s="401">
        <f t="shared" si="3"/>
        <v>59722</v>
      </c>
      <c r="N7" s="401">
        <f>SUM(N19,N22,N27:N29,N33:N34,N37:N38,N44,N46:N47,N49:N51)</f>
        <v>61688</v>
      </c>
      <c r="O7" s="401">
        <f>SUM(O19,O22,O27:O29,O33:O34,O37:O38,O44,O46:O47,O49:O51)</f>
        <v>67512</v>
      </c>
      <c r="Q7" s="397" t="s">
        <v>2478</v>
      </c>
    </row>
    <row r="8" spans="1:17">
      <c r="D8" s="402"/>
      <c r="E8" s="402"/>
      <c r="F8" s="402"/>
      <c r="G8" s="402"/>
      <c r="H8" s="402"/>
      <c r="I8" s="402"/>
      <c r="J8" s="402"/>
      <c r="K8" s="402"/>
      <c r="L8" s="402"/>
      <c r="M8" s="402"/>
      <c r="N8" s="402"/>
      <c r="O8" s="402"/>
    </row>
    <row r="9" spans="1:17">
      <c r="A9" s="397" t="s">
        <v>2479</v>
      </c>
      <c r="D9" s="401">
        <f t="shared" ref="D9:M9" si="4">SUM(D17:D18,D20:D21,D23:D26,D30:D32,D35,D39:D43,D45,D48)</f>
        <v>68024</v>
      </c>
      <c r="E9" s="401">
        <f t="shared" si="4"/>
        <v>68546</v>
      </c>
      <c r="F9" s="401">
        <f t="shared" si="4"/>
        <v>68022</v>
      </c>
      <c r="G9" s="401">
        <f t="shared" si="4"/>
        <v>69096</v>
      </c>
      <c r="H9" s="401">
        <f t="shared" si="4"/>
        <v>69108</v>
      </c>
      <c r="I9" s="401">
        <f t="shared" si="4"/>
        <v>68221</v>
      </c>
      <c r="J9" s="401">
        <f t="shared" si="4"/>
        <v>68441</v>
      </c>
      <c r="K9" s="401">
        <f t="shared" si="4"/>
        <v>69893</v>
      </c>
      <c r="L9" s="401">
        <f t="shared" si="4"/>
        <v>70070</v>
      </c>
      <c r="M9" s="401">
        <f t="shared" si="4"/>
        <v>70989</v>
      </c>
      <c r="N9" s="401">
        <f>SUM(N17:N18,N20:N21,N23:N26,N30:N32,N35,N39:N43,N45,N48)</f>
        <v>71452</v>
      </c>
      <c r="O9" s="401">
        <f>SUM(O17:O18,O20:O21,O23:O26,O30:O32,O35,O39:O43,O45,O48)</f>
        <v>73932</v>
      </c>
      <c r="Q9" s="397" t="s">
        <v>2478</v>
      </c>
    </row>
    <row r="10" spans="1:17">
      <c r="D10" s="402"/>
      <c r="E10" s="402"/>
      <c r="F10" s="402"/>
      <c r="G10" s="402"/>
      <c r="H10" s="402"/>
      <c r="I10" s="402"/>
      <c r="J10" s="402"/>
      <c r="K10" s="402"/>
      <c r="L10" s="402"/>
      <c r="M10" s="402"/>
      <c r="N10" s="402"/>
      <c r="O10" s="402"/>
    </row>
    <row r="11" spans="1:17">
      <c r="A11" s="397" t="s">
        <v>6796</v>
      </c>
      <c r="D11" s="401">
        <f t="shared" ref="D11:I11" si="5">D7+D9</f>
        <v>134016</v>
      </c>
      <c r="E11" s="401">
        <f t="shared" si="5"/>
        <v>135236</v>
      </c>
      <c r="F11" s="401">
        <f t="shared" si="5"/>
        <v>132710</v>
      </c>
      <c r="G11" s="401">
        <f t="shared" si="5"/>
        <v>134824</v>
      </c>
      <c r="H11" s="401">
        <f t="shared" si="5"/>
        <v>130613</v>
      </c>
      <c r="I11" s="401">
        <f t="shared" si="5"/>
        <v>125207</v>
      </c>
      <c r="J11" s="401">
        <f t="shared" ref="J11:O11" si="6">J7+J9</f>
        <v>129407</v>
      </c>
      <c r="K11" s="401">
        <f t="shared" si="6"/>
        <v>131217</v>
      </c>
      <c r="L11" s="401">
        <f t="shared" si="6"/>
        <v>129957</v>
      </c>
      <c r="M11" s="401">
        <f t="shared" si="6"/>
        <v>130711</v>
      </c>
      <c r="N11" s="401">
        <f t="shared" si="6"/>
        <v>133140</v>
      </c>
      <c r="O11" s="401">
        <f t="shared" si="6"/>
        <v>141444</v>
      </c>
    </row>
    <row r="12" spans="1:17">
      <c r="D12" s="402"/>
      <c r="E12" s="402"/>
      <c r="F12" s="402"/>
      <c r="G12" s="402"/>
      <c r="H12" s="402"/>
      <c r="I12" s="402"/>
      <c r="J12" s="402"/>
      <c r="K12" s="402"/>
      <c r="L12" s="402"/>
      <c r="M12" s="402"/>
      <c r="N12" s="402"/>
      <c r="O12" s="402"/>
    </row>
    <row r="13" spans="1:17">
      <c r="A13" s="397" t="s">
        <v>6797</v>
      </c>
      <c r="D13" s="401">
        <f t="shared" ref="D13:I13" si="7">MAX(D7,D9)-MIN(D7,D9)</f>
        <v>2032</v>
      </c>
      <c r="E13" s="401">
        <f t="shared" si="7"/>
        <v>1856</v>
      </c>
      <c r="F13" s="401">
        <f t="shared" si="7"/>
        <v>3334</v>
      </c>
      <c r="G13" s="401">
        <f t="shared" si="7"/>
        <v>3368</v>
      </c>
      <c r="H13" s="401">
        <f t="shared" si="7"/>
        <v>7603</v>
      </c>
      <c r="I13" s="401">
        <f t="shared" si="7"/>
        <v>11235</v>
      </c>
      <c r="J13" s="401">
        <f t="shared" ref="J13:O13" si="8">MAX(J7,J9)-MIN(J7,J9)</f>
        <v>7475</v>
      </c>
      <c r="K13" s="401">
        <f t="shared" si="8"/>
        <v>8569</v>
      </c>
      <c r="L13" s="401">
        <f t="shared" si="8"/>
        <v>10183</v>
      </c>
      <c r="M13" s="401">
        <f t="shared" si="8"/>
        <v>11267</v>
      </c>
      <c r="N13" s="401">
        <f t="shared" si="8"/>
        <v>9764</v>
      </c>
      <c r="O13" s="401">
        <f t="shared" si="8"/>
        <v>6420</v>
      </c>
    </row>
    <row r="14" spans="1:17">
      <c r="D14" s="402"/>
      <c r="E14" s="402"/>
      <c r="F14" s="402"/>
      <c r="G14" s="402"/>
      <c r="H14" s="402"/>
      <c r="I14" s="402"/>
      <c r="J14" s="402"/>
      <c r="K14" s="402"/>
      <c r="L14" s="402"/>
      <c r="M14" s="402"/>
      <c r="N14" s="402"/>
      <c r="O14" s="402"/>
    </row>
    <row r="15" spans="1:17">
      <c r="A15" s="397" t="s">
        <v>6800</v>
      </c>
      <c r="D15" s="401">
        <f t="shared" ref="D15:I15" si="9">STDEVP(D7,D9)</f>
        <v>1016</v>
      </c>
      <c r="E15" s="401">
        <f t="shared" si="9"/>
        <v>928</v>
      </c>
      <c r="F15" s="401">
        <f t="shared" si="9"/>
        <v>1667</v>
      </c>
      <c r="G15" s="401">
        <f t="shared" si="9"/>
        <v>1684</v>
      </c>
      <c r="H15" s="401">
        <f t="shared" si="9"/>
        <v>3801.5</v>
      </c>
      <c r="I15" s="401">
        <f t="shared" si="9"/>
        <v>5617.5</v>
      </c>
      <c r="J15" s="401">
        <f t="shared" ref="J15:O15" si="10">STDEVP(J7,J9)</f>
        <v>3737.5</v>
      </c>
      <c r="K15" s="401">
        <f t="shared" si="10"/>
        <v>4284.5</v>
      </c>
      <c r="L15" s="401">
        <f t="shared" si="10"/>
        <v>5091.5</v>
      </c>
      <c r="M15" s="401">
        <f t="shared" si="10"/>
        <v>5633.5</v>
      </c>
      <c r="N15" s="401">
        <f t="shared" si="10"/>
        <v>4882</v>
      </c>
      <c r="O15" s="401">
        <f t="shared" si="10"/>
        <v>3210</v>
      </c>
    </row>
    <row r="17" spans="1:17">
      <c r="A17" s="320">
        <v>1</v>
      </c>
      <c r="B17" s="397" t="s">
        <v>2480</v>
      </c>
      <c r="C17" s="55" t="s">
        <v>13495</v>
      </c>
      <c r="D17" s="401">
        <v>68024</v>
      </c>
      <c r="E17" s="401">
        <v>68546</v>
      </c>
      <c r="F17" s="401">
        <v>68022</v>
      </c>
      <c r="G17" s="401">
        <v>69096</v>
      </c>
      <c r="H17" s="401">
        <v>69108</v>
      </c>
      <c r="I17" s="401">
        <v>68221</v>
      </c>
      <c r="J17" s="401">
        <v>68441</v>
      </c>
      <c r="K17" s="401">
        <v>69893</v>
      </c>
      <c r="L17" s="401">
        <v>70070</v>
      </c>
      <c r="M17" s="401">
        <v>70989</v>
      </c>
      <c r="N17" s="63">
        <v>5338</v>
      </c>
      <c r="O17" s="63">
        <v>5503</v>
      </c>
      <c r="Q17" s="397" t="s">
        <v>2479</v>
      </c>
    </row>
    <row r="18" spans="1:17">
      <c r="A18" s="320">
        <v>2</v>
      </c>
      <c r="B18" s="397" t="s">
        <v>2481</v>
      </c>
      <c r="C18" s="55" t="s">
        <v>13496</v>
      </c>
      <c r="D18" s="401">
        <v>0</v>
      </c>
      <c r="E18" s="401">
        <v>0</v>
      </c>
      <c r="F18" s="401">
        <v>0</v>
      </c>
      <c r="G18" s="401">
        <v>0</v>
      </c>
      <c r="H18" s="401">
        <v>0</v>
      </c>
      <c r="I18" s="401">
        <v>0</v>
      </c>
      <c r="J18" s="401">
        <v>0</v>
      </c>
      <c r="K18" s="401">
        <v>0</v>
      </c>
      <c r="L18" s="401">
        <v>0</v>
      </c>
      <c r="M18" s="401">
        <v>0</v>
      </c>
      <c r="N18" s="63">
        <v>4192</v>
      </c>
      <c r="O18" s="63">
        <v>4321</v>
      </c>
      <c r="Q18" s="397" t="s">
        <v>2479</v>
      </c>
    </row>
    <row r="19" spans="1:17">
      <c r="A19" s="320">
        <v>3</v>
      </c>
      <c r="B19" s="397" t="s">
        <v>2482</v>
      </c>
      <c r="C19" s="55" t="s">
        <v>13497</v>
      </c>
      <c r="D19" s="401">
        <v>65992</v>
      </c>
      <c r="E19" s="401">
        <v>66690</v>
      </c>
      <c r="F19" s="401">
        <v>64688</v>
      </c>
      <c r="G19" s="401">
        <v>65728</v>
      </c>
      <c r="H19" s="401">
        <v>61505</v>
      </c>
      <c r="I19" s="401">
        <v>56986</v>
      </c>
      <c r="J19" s="401">
        <v>60966</v>
      </c>
      <c r="K19" s="401">
        <v>61324</v>
      </c>
      <c r="L19" s="401">
        <v>59887</v>
      </c>
      <c r="M19" s="401">
        <v>59722</v>
      </c>
      <c r="N19" s="63">
        <v>5238</v>
      </c>
      <c r="O19" s="63">
        <v>5896</v>
      </c>
      <c r="Q19" s="397" t="s">
        <v>2477</v>
      </c>
    </row>
    <row r="20" spans="1:17">
      <c r="A20" s="320">
        <v>4</v>
      </c>
      <c r="B20" s="397" t="s">
        <v>13499</v>
      </c>
      <c r="C20" s="55" t="s">
        <v>13498</v>
      </c>
      <c r="D20" s="401">
        <v>0</v>
      </c>
      <c r="E20" s="401">
        <v>0</v>
      </c>
      <c r="F20" s="401">
        <v>0</v>
      </c>
      <c r="G20" s="401">
        <v>0</v>
      </c>
      <c r="H20" s="401">
        <v>0</v>
      </c>
      <c r="I20" s="401">
        <v>0</v>
      </c>
      <c r="J20" s="401">
        <v>0</v>
      </c>
      <c r="K20" s="401">
        <v>0</v>
      </c>
      <c r="L20" s="401">
        <v>0</v>
      </c>
      <c r="M20" s="401">
        <v>0</v>
      </c>
      <c r="N20" s="63">
        <v>4673</v>
      </c>
      <c r="O20" s="63">
        <v>4762</v>
      </c>
      <c r="Q20" s="397" t="s">
        <v>2479</v>
      </c>
    </row>
    <row r="21" spans="1:17">
      <c r="A21" s="320">
        <v>5</v>
      </c>
      <c r="B21" s="397" t="s">
        <v>13501</v>
      </c>
      <c r="C21" s="55" t="s">
        <v>13500</v>
      </c>
      <c r="D21" s="401">
        <v>0</v>
      </c>
      <c r="E21" s="401">
        <v>0</v>
      </c>
      <c r="F21" s="401">
        <v>0</v>
      </c>
      <c r="G21" s="401">
        <v>0</v>
      </c>
      <c r="H21" s="401">
        <v>0</v>
      </c>
      <c r="I21" s="401">
        <v>0</v>
      </c>
      <c r="J21" s="401">
        <v>0</v>
      </c>
      <c r="K21" s="401">
        <v>0</v>
      </c>
      <c r="L21" s="401">
        <v>0</v>
      </c>
      <c r="M21" s="401">
        <v>0</v>
      </c>
      <c r="N21" s="63">
        <v>2375</v>
      </c>
      <c r="O21" s="63">
        <v>2420</v>
      </c>
      <c r="Q21" s="397" t="s">
        <v>2479</v>
      </c>
    </row>
    <row r="22" spans="1:17">
      <c r="A22" s="320">
        <v>6</v>
      </c>
      <c r="B22" s="397" t="s">
        <v>3904</v>
      </c>
      <c r="C22" s="55" t="s">
        <v>13502</v>
      </c>
      <c r="D22" s="401">
        <v>0</v>
      </c>
      <c r="E22" s="401">
        <v>0</v>
      </c>
      <c r="F22" s="401">
        <v>0</v>
      </c>
      <c r="G22" s="401">
        <v>0</v>
      </c>
      <c r="H22" s="401">
        <v>0</v>
      </c>
      <c r="I22" s="401">
        <v>0</v>
      </c>
      <c r="J22" s="401">
        <v>0</v>
      </c>
      <c r="K22" s="401">
        <v>0</v>
      </c>
      <c r="L22" s="401">
        <v>0</v>
      </c>
      <c r="M22" s="401">
        <v>0</v>
      </c>
      <c r="N22" s="63">
        <v>4608</v>
      </c>
      <c r="O22" s="63">
        <v>4787</v>
      </c>
      <c r="Q22" s="397" t="s">
        <v>2477</v>
      </c>
    </row>
    <row r="23" spans="1:17">
      <c r="A23" s="320">
        <v>7</v>
      </c>
      <c r="B23" s="397" t="s">
        <v>3905</v>
      </c>
      <c r="C23" s="55" t="s">
        <v>13503</v>
      </c>
      <c r="D23" s="401">
        <v>0</v>
      </c>
      <c r="E23" s="401">
        <v>0</v>
      </c>
      <c r="F23" s="401">
        <v>0</v>
      </c>
      <c r="G23" s="401">
        <v>0</v>
      </c>
      <c r="H23" s="401">
        <v>0</v>
      </c>
      <c r="I23" s="401">
        <v>0</v>
      </c>
      <c r="J23" s="401">
        <v>0</v>
      </c>
      <c r="K23" s="401">
        <v>0</v>
      </c>
      <c r="L23" s="401">
        <v>0</v>
      </c>
      <c r="M23" s="401">
        <v>0</v>
      </c>
      <c r="N23" s="63">
        <v>2356</v>
      </c>
      <c r="O23" s="63">
        <v>2387</v>
      </c>
      <c r="Q23" s="397" t="s">
        <v>2479</v>
      </c>
    </row>
    <row r="24" spans="1:17">
      <c r="A24" s="403">
        <v>8</v>
      </c>
      <c r="B24" s="397" t="s">
        <v>1130</v>
      </c>
      <c r="C24" s="55" t="s">
        <v>13504</v>
      </c>
      <c r="D24" s="401">
        <v>0</v>
      </c>
      <c r="E24" s="401">
        <v>0</v>
      </c>
      <c r="F24" s="401">
        <v>0</v>
      </c>
      <c r="G24" s="401">
        <v>0</v>
      </c>
      <c r="H24" s="401">
        <v>0</v>
      </c>
      <c r="I24" s="401">
        <v>0</v>
      </c>
      <c r="J24" s="401">
        <v>0</v>
      </c>
      <c r="K24" s="401">
        <v>0</v>
      </c>
      <c r="L24" s="401">
        <v>0</v>
      </c>
      <c r="M24" s="401">
        <v>0</v>
      </c>
      <c r="N24" s="63">
        <v>4476</v>
      </c>
      <c r="O24" s="63">
        <v>4550</v>
      </c>
      <c r="Q24" s="397" t="s">
        <v>2479</v>
      </c>
    </row>
    <row r="25" spans="1:17">
      <c r="A25" s="403">
        <v>9</v>
      </c>
      <c r="B25" s="397" t="s">
        <v>1131</v>
      </c>
      <c r="C25" s="55" t="s">
        <v>13505</v>
      </c>
      <c r="D25" s="401">
        <v>0</v>
      </c>
      <c r="E25" s="401">
        <v>0</v>
      </c>
      <c r="F25" s="401">
        <v>0</v>
      </c>
      <c r="G25" s="401">
        <v>0</v>
      </c>
      <c r="H25" s="401">
        <v>0</v>
      </c>
      <c r="I25" s="401">
        <v>0</v>
      </c>
      <c r="J25" s="401">
        <v>0</v>
      </c>
      <c r="K25" s="401">
        <v>0</v>
      </c>
      <c r="L25" s="401">
        <v>0</v>
      </c>
      <c r="M25" s="401">
        <v>0</v>
      </c>
      <c r="N25" s="63">
        <v>4393</v>
      </c>
      <c r="O25" s="63">
        <v>4604</v>
      </c>
      <c r="Q25" s="397" t="s">
        <v>2479</v>
      </c>
    </row>
    <row r="26" spans="1:17">
      <c r="A26" s="320">
        <v>10</v>
      </c>
      <c r="B26" s="397" t="s">
        <v>1132</v>
      </c>
      <c r="C26" s="55" t="s">
        <v>13506</v>
      </c>
      <c r="D26" s="401">
        <v>0</v>
      </c>
      <c r="E26" s="401">
        <v>0</v>
      </c>
      <c r="F26" s="401">
        <v>0</v>
      </c>
      <c r="G26" s="401">
        <v>0</v>
      </c>
      <c r="H26" s="401">
        <v>0</v>
      </c>
      <c r="I26" s="401">
        <v>0</v>
      </c>
      <c r="J26" s="401">
        <v>0</v>
      </c>
      <c r="K26" s="401">
        <v>0</v>
      </c>
      <c r="L26" s="401">
        <v>0</v>
      </c>
      <c r="M26" s="401">
        <v>0</v>
      </c>
      <c r="N26" s="63">
        <v>5056</v>
      </c>
      <c r="O26" s="63">
        <v>5242</v>
      </c>
      <c r="Q26" s="397" t="s">
        <v>2479</v>
      </c>
    </row>
    <row r="27" spans="1:17">
      <c r="A27" s="320">
        <v>11</v>
      </c>
      <c r="B27" s="127" t="s">
        <v>1133</v>
      </c>
      <c r="C27" s="55" t="s">
        <v>13507</v>
      </c>
      <c r="D27" s="401">
        <v>0</v>
      </c>
      <c r="E27" s="401">
        <v>0</v>
      </c>
      <c r="F27" s="401">
        <v>0</v>
      </c>
      <c r="G27" s="401">
        <v>0</v>
      </c>
      <c r="H27" s="401">
        <v>0</v>
      </c>
      <c r="I27" s="401">
        <v>0</v>
      </c>
      <c r="J27" s="401">
        <v>0</v>
      </c>
      <c r="K27" s="401">
        <v>0</v>
      </c>
      <c r="L27" s="401">
        <v>0</v>
      </c>
      <c r="M27" s="401">
        <v>0</v>
      </c>
      <c r="N27" s="63">
        <v>3628</v>
      </c>
      <c r="O27" s="63">
        <v>4334</v>
      </c>
      <c r="Q27" s="397" t="s">
        <v>2477</v>
      </c>
    </row>
    <row r="28" spans="1:17">
      <c r="A28" s="320">
        <v>12</v>
      </c>
      <c r="B28" s="397" t="s">
        <v>1134</v>
      </c>
      <c r="C28" s="55" t="s">
        <v>13508</v>
      </c>
      <c r="D28" s="401">
        <v>0</v>
      </c>
      <c r="E28" s="401">
        <v>0</v>
      </c>
      <c r="F28" s="401">
        <v>0</v>
      </c>
      <c r="G28" s="401">
        <v>0</v>
      </c>
      <c r="H28" s="401">
        <v>0</v>
      </c>
      <c r="I28" s="401">
        <v>0</v>
      </c>
      <c r="J28" s="401">
        <v>0</v>
      </c>
      <c r="K28" s="401">
        <v>0</v>
      </c>
      <c r="L28" s="401">
        <v>0</v>
      </c>
      <c r="M28" s="401">
        <v>0</v>
      </c>
      <c r="N28" s="63">
        <v>4271</v>
      </c>
      <c r="O28" s="63">
        <v>4362</v>
      </c>
      <c r="Q28" s="397" t="s">
        <v>2477</v>
      </c>
    </row>
    <row r="29" spans="1:17">
      <c r="A29" s="320">
        <v>13</v>
      </c>
      <c r="B29" s="397" t="s">
        <v>1135</v>
      </c>
      <c r="C29" s="55" t="s">
        <v>13509</v>
      </c>
      <c r="D29" s="401">
        <v>0</v>
      </c>
      <c r="E29" s="401">
        <v>0</v>
      </c>
      <c r="F29" s="401">
        <v>0</v>
      </c>
      <c r="G29" s="401">
        <v>0</v>
      </c>
      <c r="H29" s="401">
        <v>0</v>
      </c>
      <c r="I29" s="401">
        <v>0</v>
      </c>
      <c r="J29" s="401">
        <v>0</v>
      </c>
      <c r="K29" s="401">
        <v>0</v>
      </c>
      <c r="L29" s="401">
        <v>0</v>
      </c>
      <c r="M29" s="401">
        <v>0</v>
      </c>
      <c r="N29" s="63">
        <v>4186</v>
      </c>
      <c r="O29" s="63">
        <v>4500</v>
      </c>
      <c r="Q29" s="397" t="s">
        <v>2477</v>
      </c>
    </row>
    <row r="30" spans="1:17">
      <c r="A30" s="320">
        <v>14</v>
      </c>
      <c r="B30" s="397" t="s">
        <v>5300</v>
      </c>
      <c r="C30" s="55" t="s">
        <v>13510</v>
      </c>
      <c r="D30" s="401">
        <v>0</v>
      </c>
      <c r="E30" s="401">
        <v>0</v>
      </c>
      <c r="F30" s="401">
        <v>0</v>
      </c>
      <c r="G30" s="401">
        <v>0</v>
      </c>
      <c r="H30" s="401">
        <v>0</v>
      </c>
      <c r="I30" s="401">
        <v>0</v>
      </c>
      <c r="J30" s="401">
        <v>0</v>
      </c>
      <c r="K30" s="401">
        <v>0</v>
      </c>
      <c r="L30" s="401">
        <v>0</v>
      </c>
      <c r="M30" s="401">
        <v>0</v>
      </c>
      <c r="N30" s="63">
        <v>2303</v>
      </c>
      <c r="O30" s="63">
        <v>2360</v>
      </c>
      <c r="Q30" s="397" t="s">
        <v>2479</v>
      </c>
    </row>
    <row r="31" spans="1:17">
      <c r="A31" s="320">
        <v>15</v>
      </c>
      <c r="B31" s="397" t="s">
        <v>1136</v>
      </c>
      <c r="C31" s="55" t="s">
        <v>13511</v>
      </c>
      <c r="D31" s="401">
        <v>0</v>
      </c>
      <c r="E31" s="401">
        <v>0</v>
      </c>
      <c r="F31" s="401">
        <v>0</v>
      </c>
      <c r="G31" s="401">
        <v>0</v>
      </c>
      <c r="H31" s="401">
        <v>0</v>
      </c>
      <c r="I31" s="401">
        <v>0</v>
      </c>
      <c r="J31" s="401">
        <v>0</v>
      </c>
      <c r="K31" s="401">
        <v>0</v>
      </c>
      <c r="L31" s="401">
        <v>0</v>
      </c>
      <c r="M31" s="401">
        <v>0</v>
      </c>
      <c r="N31" s="63">
        <v>4270</v>
      </c>
      <c r="O31" s="63">
        <v>4373</v>
      </c>
      <c r="Q31" s="397" t="s">
        <v>2479</v>
      </c>
    </row>
    <row r="32" spans="1:17">
      <c r="A32" s="320">
        <v>16</v>
      </c>
      <c r="B32" s="397" t="s">
        <v>1137</v>
      </c>
      <c r="C32" s="55" t="s">
        <v>13512</v>
      </c>
      <c r="D32" s="401">
        <v>0</v>
      </c>
      <c r="E32" s="401">
        <v>0</v>
      </c>
      <c r="F32" s="401">
        <v>0</v>
      </c>
      <c r="G32" s="401">
        <v>0</v>
      </c>
      <c r="H32" s="401">
        <v>0</v>
      </c>
      <c r="I32" s="401">
        <v>0</v>
      </c>
      <c r="J32" s="401">
        <v>0</v>
      </c>
      <c r="K32" s="401">
        <v>0</v>
      </c>
      <c r="L32" s="401">
        <v>0</v>
      </c>
      <c r="M32" s="401">
        <v>0</v>
      </c>
      <c r="N32" s="63">
        <v>4713</v>
      </c>
      <c r="O32" s="63">
        <v>4864</v>
      </c>
      <c r="Q32" s="397" t="s">
        <v>2479</v>
      </c>
    </row>
    <row r="33" spans="1:17">
      <c r="A33" s="320">
        <v>17</v>
      </c>
      <c r="B33" s="397" t="s">
        <v>13514</v>
      </c>
      <c r="C33" s="55" t="s">
        <v>13513</v>
      </c>
      <c r="D33" s="401">
        <v>0</v>
      </c>
      <c r="E33" s="401">
        <v>0</v>
      </c>
      <c r="F33" s="401">
        <v>0</v>
      </c>
      <c r="G33" s="401">
        <v>0</v>
      </c>
      <c r="H33" s="401">
        <v>0</v>
      </c>
      <c r="I33" s="401">
        <v>0</v>
      </c>
      <c r="J33" s="401">
        <v>0</v>
      </c>
      <c r="K33" s="401">
        <v>0</v>
      </c>
      <c r="L33" s="401">
        <v>0</v>
      </c>
      <c r="M33" s="401">
        <v>0</v>
      </c>
      <c r="N33" s="63">
        <v>2390</v>
      </c>
      <c r="O33" s="63">
        <v>2478</v>
      </c>
      <c r="Q33" s="397" t="s">
        <v>2477</v>
      </c>
    </row>
    <row r="34" spans="1:17">
      <c r="A34" s="320">
        <v>18</v>
      </c>
      <c r="B34" s="397" t="s">
        <v>1138</v>
      </c>
      <c r="C34" s="55" t="s">
        <v>13515</v>
      </c>
      <c r="D34" s="401">
        <v>0</v>
      </c>
      <c r="E34" s="401">
        <v>0</v>
      </c>
      <c r="F34" s="401">
        <v>0</v>
      </c>
      <c r="G34" s="401">
        <v>0</v>
      </c>
      <c r="H34" s="401">
        <v>0</v>
      </c>
      <c r="I34" s="401">
        <v>0</v>
      </c>
      <c r="J34" s="401">
        <v>0</v>
      </c>
      <c r="K34" s="401">
        <v>0</v>
      </c>
      <c r="L34" s="401">
        <v>0</v>
      </c>
      <c r="M34" s="401">
        <v>0</v>
      </c>
      <c r="N34" s="63">
        <v>4342</v>
      </c>
      <c r="O34" s="63">
        <v>4637</v>
      </c>
      <c r="Q34" s="397" t="s">
        <v>2477</v>
      </c>
    </row>
    <row r="35" spans="1:17" ht="15.75" thickBot="1">
      <c r="A35" s="320"/>
      <c r="B35" s="397"/>
      <c r="C35" s="55" t="s">
        <v>13515</v>
      </c>
      <c r="D35" s="895">
        <v>0</v>
      </c>
      <c r="E35" s="895">
        <v>0</v>
      </c>
      <c r="F35" s="895">
        <v>0</v>
      </c>
      <c r="G35" s="895">
        <v>0</v>
      </c>
      <c r="H35" s="895">
        <v>0</v>
      </c>
      <c r="I35" s="895">
        <v>0</v>
      </c>
      <c r="J35" s="895">
        <v>0</v>
      </c>
      <c r="K35" s="895">
        <v>0</v>
      </c>
      <c r="L35" s="895">
        <v>0</v>
      </c>
      <c r="M35" s="895">
        <v>0</v>
      </c>
      <c r="N35" s="895">
        <v>216</v>
      </c>
      <c r="O35" s="895">
        <v>226</v>
      </c>
      <c r="Q35" s="397" t="s">
        <v>2479</v>
      </c>
    </row>
    <row r="36" spans="1:17" ht="15.75" thickBot="1">
      <c r="A36" s="320"/>
      <c r="B36" s="397"/>
      <c r="C36" s="55" t="s">
        <v>13515</v>
      </c>
      <c r="D36" s="900">
        <f>SUM(D34:D35)</f>
        <v>0</v>
      </c>
      <c r="E36" s="900">
        <f t="shared" ref="E36:N36" si="11">SUM(E34:E35)</f>
        <v>0</v>
      </c>
      <c r="F36" s="900">
        <f t="shared" si="11"/>
        <v>0</v>
      </c>
      <c r="G36" s="900">
        <f t="shared" si="11"/>
        <v>0</v>
      </c>
      <c r="H36" s="900">
        <f t="shared" si="11"/>
        <v>0</v>
      </c>
      <c r="I36" s="900">
        <f t="shared" si="11"/>
        <v>0</v>
      </c>
      <c r="J36" s="900">
        <f t="shared" si="11"/>
        <v>0</v>
      </c>
      <c r="K36" s="900">
        <f t="shared" si="11"/>
        <v>0</v>
      </c>
      <c r="L36" s="900">
        <f t="shared" si="11"/>
        <v>0</v>
      </c>
      <c r="M36" s="900">
        <f t="shared" si="11"/>
        <v>0</v>
      </c>
      <c r="N36" s="900">
        <f t="shared" si="11"/>
        <v>4558</v>
      </c>
      <c r="O36" s="900">
        <f>SUM(O34:O35)</f>
        <v>4863</v>
      </c>
      <c r="Q36" s="397"/>
    </row>
    <row r="37" spans="1:17">
      <c r="A37" s="320">
        <v>19</v>
      </c>
      <c r="B37" s="127" t="s">
        <v>1139</v>
      </c>
      <c r="C37" s="55" t="s">
        <v>13516</v>
      </c>
      <c r="D37" s="401">
        <v>0</v>
      </c>
      <c r="E37" s="401">
        <v>0</v>
      </c>
      <c r="F37" s="401">
        <v>0</v>
      </c>
      <c r="G37" s="401">
        <v>0</v>
      </c>
      <c r="H37" s="401">
        <v>0</v>
      </c>
      <c r="I37" s="401">
        <v>0</v>
      </c>
      <c r="J37" s="401">
        <v>0</v>
      </c>
      <c r="K37" s="401">
        <v>0</v>
      </c>
      <c r="L37" s="401">
        <v>0</v>
      </c>
      <c r="M37" s="401">
        <v>0</v>
      </c>
      <c r="N37" s="63">
        <v>4899</v>
      </c>
      <c r="O37" s="63">
        <v>5149</v>
      </c>
      <c r="Q37" s="397" t="s">
        <v>2477</v>
      </c>
    </row>
    <row r="38" spans="1:17">
      <c r="A38" s="320">
        <v>20</v>
      </c>
      <c r="B38" s="397" t="s">
        <v>13518</v>
      </c>
      <c r="C38" s="55" t="s">
        <v>13517</v>
      </c>
      <c r="D38" s="401">
        <v>0</v>
      </c>
      <c r="E38" s="401">
        <v>0</v>
      </c>
      <c r="F38" s="401">
        <v>0</v>
      </c>
      <c r="G38" s="401">
        <v>0</v>
      </c>
      <c r="H38" s="401">
        <v>0</v>
      </c>
      <c r="I38" s="401">
        <v>0</v>
      </c>
      <c r="J38" s="401">
        <v>0</v>
      </c>
      <c r="K38" s="401">
        <v>0</v>
      </c>
      <c r="L38" s="401">
        <v>0</v>
      </c>
      <c r="M38" s="401">
        <v>0</v>
      </c>
      <c r="N38" s="63">
        <v>2162</v>
      </c>
      <c r="O38" s="63">
        <v>2437</v>
      </c>
      <c r="Q38" s="397" t="s">
        <v>2477</v>
      </c>
    </row>
    <row r="39" spans="1:17">
      <c r="A39" s="320">
        <v>21</v>
      </c>
      <c r="B39" s="397" t="s">
        <v>1141</v>
      </c>
      <c r="C39" s="55" t="s">
        <v>13519</v>
      </c>
      <c r="D39" s="401">
        <v>0</v>
      </c>
      <c r="E39" s="401">
        <v>0</v>
      </c>
      <c r="F39" s="401">
        <v>0</v>
      </c>
      <c r="G39" s="401">
        <v>0</v>
      </c>
      <c r="H39" s="401">
        <v>0</v>
      </c>
      <c r="I39" s="401">
        <v>0</v>
      </c>
      <c r="J39" s="401">
        <v>0</v>
      </c>
      <c r="K39" s="401">
        <v>0</v>
      </c>
      <c r="L39" s="401">
        <v>0</v>
      </c>
      <c r="M39" s="401">
        <v>0</v>
      </c>
      <c r="N39" s="63">
        <v>4558</v>
      </c>
      <c r="O39" s="63">
        <v>4633</v>
      </c>
      <c r="Q39" s="397" t="s">
        <v>2479</v>
      </c>
    </row>
    <row r="40" spans="1:17">
      <c r="A40" s="320">
        <v>22</v>
      </c>
      <c r="B40" s="397" t="s">
        <v>1142</v>
      </c>
      <c r="C40" s="55" t="s">
        <v>13520</v>
      </c>
      <c r="D40" s="401">
        <v>0</v>
      </c>
      <c r="E40" s="401">
        <v>0</v>
      </c>
      <c r="F40" s="401">
        <v>0</v>
      </c>
      <c r="G40" s="401">
        <v>0</v>
      </c>
      <c r="H40" s="401">
        <v>0</v>
      </c>
      <c r="I40" s="401">
        <v>0</v>
      </c>
      <c r="J40" s="401">
        <v>0</v>
      </c>
      <c r="K40" s="401">
        <v>0</v>
      </c>
      <c r="L40" s="401">
        <v>0</v>
      </c>
      <c r="M40" s="401">
        <v>0</v>
      </c>
      <c r="N40" s="63">
        <v>4854</v>
      </c>
      <c r="O40" s="63">
        <v>4961</v>
      </c>
      <c r="Q40" s="397" t="s">
        <v>2479</v>
      </c>
    </row>
    <row r="41" spans="1:17">
      <c r="A41" s="320">
        <v>23</v>
      </c>
      <c r="B41" s="127" t="s">
        <v>13522</v>
      </c>
      <c r="C41" s="55" t="s">
        <v>13521</v>
      </c>
      <c r="D41" s="401">
        <v>0</v>
      </c>
      <c r="E41" s="401">
        <v>0</v>
      </c>
      <c r="F41" s="401">
        <v>0</v>
      </c>
      <c r="G41" s="401">
        <v>0</v>
      </c>
      <c r="H41" s="401">
        <v>0</v>
      </c>
      <c r="I41" s="401">
        <v>0</v>
      </c>
      <c r="J41" s="401">
        <v>0</v>
      </c>
      <c r="K41" s="401">
        <v>0</v>
      </c>
      <c r="L41" s="401">
        <v>0</v>
      </c>
      <c r="M41" s="401">
        <v>0</v>
      </c>
      <c r="N41" s="63">
        <v>2217</v>
      </c>
      <c r="O41" s="63">
        <v>2302</v>
      </c>
      <c r="Q41" s="397" t="s">
        <v>2479</v>
      </c>
    </row>
    <row r="42" spans="1:17">
      <c r="A42" s="320">
        <v>24</v>
      </c>
      <c r="B42" s="397" t="s">
        <v>1143</v>
      </c>
      <c r="C42" s="55" t="s">
        <v>13523</v>
      </c>
      <c r="D42" s="401">
        <v>0</v>
      </c>
      <c r="E42" s="401">
        <v>0</v>
      </c>
      <c r="F42" s="401">
        <v>0</v>
      </c>
      <c r="G42" s="401">
        <v>0</v>
      </c>
      <c r="H42" s="401">
        <v>0</v>
      </c>
      <c r="I42" s="401">
        <v>0</v>
      </c>
      <c r="J42" s="401">
        <v>0</v>
      </c>
      <c r="K42" s="401">
        <v>0</v>
      </c>
      <c r="L42" s="401">
        <v>0</v>
      </c>
      <c r="M42" s="401">
        <v>0</v>
      </c>
      <c r="N42" s="63">
        <v>4293</v>
      </c>
      <c r="O42" s="63">
        <v>4410</v>
      </c>
      <c r="Q42" s="397" t="s">
        <v>2479</v>
      </c>
    </row>
    <row r="43" spans="1:17">
      <c r="A43" s="320">
        <v>25</v>
      </c>
      <c r="B43" s="397" t="s">
        <v>1144</v>
      </c>
      <c r="C43" s="55" t="s">
        <v>13524</v>
      </c>
      <c r="D43" s="401">
        <v>0</v>
      </c>
      <c r="E43" s="401">
        <v>0</v>
      </c>
      <c r="F43" s="401">
        <v>0</v>
      </c>
      <c r="G43" s="401">
        <v>0</v>
      </c>
      <c r="H43" s="401">
        <v>0</v>
      </c>
      <c r="I43" s="401">
        <v>0</v>
      </c>
      <c r="J43" s="401">
        <v>0</v>
      </c>
      <c r="K43" s="401">
        <v>0</v>
      </c>
      <c r="L43" s="401">
        <v>0</v>
      </c>
      <c r="M43" s="401">
        <v>0</v>
      </c>
      <c r="N43" s="63">
        <v>4439</v>
      </c>
      <c r="O43" s="63">
        <v>5108</v>
      </c>
      <c r="Q43" s="397" t="s">
        <v>2479</v>
      </c>
    </row>
    <row r="44" spans="1:17">
      <c r="A44" s="320">
        <v>26</v>
      </c>
      <c r="B44" s="397" t="s">
        <v>1145</v>
      </c>
      <c r="C44" s="55" t="s">
        <v>13525</v>
      </c>
      <c r="D44" s="401">
        <v>0</v>
      </c>
      <c r="E44" s="401">
        <v>0</v>
      </c>
      <c r="F44" s="401">
        <v>0</v>
      </c>
      <c r="G44" s="401">
        <v>0</v>
      </c>
      <c r="H44" s="401">
        <v>0</v>
      </c>
      <c r="I44" s="401">
        <v>0</v>
      </c>
      <c r="J44" s="401">
        <v>0</v>
      </c>
      <c r="K44" s="401">
        <v>0</v>
      </c>
      <c r="L44" s="401">
        <v>0</v>
      </c>
      <c r="M44" s="401">
        <v>0</v>
      </c>
      <c r="N44" s="63">
        <v>4893</v>
      </c>
      <c r="O44" s="63">
        <v>5385</v>
      </c>
      <c r="Q44" s="397" t="s">
        <v>2477</v>
      </c>
    </row>
    <row r="45" spans="1:17">
      <c r="A45" s="320">
        <v>27</v>
      </c>
      <c r="B45" s="127" t="s">
        <v>1146</v>
      </c>
      <c r="C45" s="55" t="s">
        <v>13526</v>
      </c>
      <c r="D45" s="401">
        <v>0</v>
      </c>
      <c r="E45" s="401">
        <v>0</v>
      </c>
      <c r="F45" s="401">
        <v>0</v>
      </c>
      <c r="G45" s="401">
        <v>0</v>
      </c>
      <c r="H45" s="401">
        <v>0</v>
      </c>
      <c r="I45" s="401">
        <v>0</v>
      </c>
      <c r="J45" s="401">
        <v>0</v>
      </c>
      <c r="K45" s="401">
        <v>0</v>
      </c>
      <c r="L45" s="401">
        <v>0</v>
      </c>
      <c r="M45" s="401">
        <v>0</v>
      </c>
      <c r="N45" s="63">
        <v>2052</v>
      </c>
      <c r="O45" s="63">
        <v>2112</v>
      </c>
      <c r="Q45" s="397" t="s">
        <v>2479</v>
      </c>
    </row>
    <row r="46" spans="1:17">
      <c r="A46" s="320">
        <v>28</v>
      </c>
      <c r="B46" s="397" t="s">
        <v>1147</v>
      </c>
      <c r="C46" s="55" t="s">
        <v>13527</v>
      </c>
      <c r="D46" s="401">
        <v>0</v>
      </c>
      <c r="E46" s="401">
        <v>0</v>
      </c>
      <c r="F46" s="401">
        <v>0</v>
      </c>
      <c r="G46" s="401">
        <v>0</v>
      </c>
      <c r="H46" s="401">
        <v>0</v>
      </c>
      <c r="I46" s="401">
        <v>0</v>
      </c>
      <c r="J46" s="401">
        <v>0</v>
      </c>
      <c r="K46" s="401">
        <v>0</v>
      </c>
      <c r="L46" s="401">
        <v>0</v>
      </c>
      <c r="M46" s="401">
        <v>0</v>
      </c>
      <c r="N46" s="63">
        <v>4181</v>
      </c>
      <c r="O46" s="63">
        <v>4659</v>
      </c>
      <c r="Q46" s="397" t="s">
        <v>2477</v>
      </c>
    </row>
    <row r="47" spans="1:17">
      <c r="A47" s="320">
        <v>29</v>
      </c>
      <c r="B47" s="397" t="s">
        <v>1148</v>
      </c>
      <c r="C47" s="55" t="s">
        <v>13528</v>
      </c>
      <c r="D47" s="401">
        <v>0</v>
      </c>
      <c r="E47" s="401">
        <v>0</v>
      </c>
      <c r="F47" s="401">
        <v>0</v>
      </c>
      <c r="G47" s="401">
        <v>0</v>
      </c>
      <c r="H47" s="401">
        <v>0</v>
      </c>
      <c r="I47" s="401">
        <v>0</v>
      </c>
      <c r="J47" s="401">
        <v>0</v>
      </c>
      <c r="K47" s="401">
        <v>0</v>
      </c>
      <c r="L47" s="401">
        <v>0</v>
      </c>
      <c r="M47" s="401">
        <v>0</v>
      </c>
      <c r="N47" s="63">
        <v>3954</v>
      </c>
      <c r="O47" s="63">
        <v>4261</v>
      </c>
      <c r="Q47" s="397" t="s">
        <v>2477</v>
      </c>
    </row>
    <row r="48" spans="1:17">
      <c r="A48" s="320">
        <v>30</v>
      </c>
      <c r="B48" s="397" t="s">
        <v>1149</v>
      </c>
      <c r="C48" s="55" t="s">
        <v>13529</v>
      </c>
      <c r="D48" s="401">
        <v>0</v>
      </c>
      <c r="E48" s="401">
        <v>0</v>
      </c>
      <c r="F48" s="401">
        <v>0</v>
      </c>
      <c r="G48" s="401">
        <v>0</v>
      </c>
      <c r="H48" s="401">
        <v>0</v>
      </c>
      <c r="I48" s="401">
        <v>0</v>
      </c>
      <c r="J48" s="401">
        <v>0</v>
      </c>
      <c r="K48" s="401">
        <v>0</v>
      </c>
      <c r="L48" s="401">
        <v>0</v>
      </c>
      <c r="M48" s="401">
        <v>0</v>
      </c>
      <c r="N48" s="63">
        <v>4678</v>
      </c>
      <c r="O48" s="63">
        <v>4794</v>
      </c>
      <c r="Q48" s="397" t="s">
        <v>2479</v>
      </c>
    </row>
    <row r="49" spans="1:17">
      <c r="A49" s="320">
        <v>31</v>
      </c>
      <c r="B49" s="397" t="s">
        <v>1150</v>
      </c>
      <c r="C49" s="55" t="s">
        <v>13530</v>
      </c>
      <c r="D49" s="401">
        <v>0</v>
      </c>
      <c r="E49" s="401">
        <v>0</v>
      </c>
      <c r="F49" s="401">
        <v>0</v>
      </c>
      <c r="G49" s="401">
        <v>0</v>
      </c>
      <c r="H49" s="401">
        <v>0</v>
      </c>
      <c r="I49" s="401">
        <v>0</v>
      </c>
      <c r="J49" s="401">
        <v>0</v>
      </c>
      <c r="K49" s="401">
        <v>0</v>
      </c>
      <c r="L49" s="401">
        <v>0</v>
      </c>
      <c r="M49" s="401">
        <v>0</v>
      </c>
      <c r="N49" s="63">
        <v>3618</v>
      </c>
      <c r="O49" s="63">
        <v>4863</v>
      </c>
      <c r="Q49" s="397" t="s">
        <v>2477</v>
      </c>
    </row>
    <row r="50" spans="1:17">
      <c r="A50" s="320">
        <v>32</v>
      </c>
      <c r="B50" s="397" t="s">
        <v>1151</v>
      </c>
      <c r="C50" s="55" t="s">
        <v>13531</v>
      </c>
      <c r="D50" s="401">
        <v>0</v>
      </c>
      <c r="E50" s="401">
        <v>0</v>
      </c>
      <c r="F50" s="401">
        <v>0</v>
      </c>
      <c r="G50" s="401">
        <v>0</v>
      </c>
      <c r="H50" s="401">
        <v>0</v>
      </c>
      <c r="I50" s="401">
        <v>0</v>
      </c>
      <c r="J50" s="401">
        <v>0</v>
      </c>
      <c r="K50" s="401">
        <v>0</v>
      </c>
      <c r="L50" s="401">
        <v>0</v>
      </c>
      <c r="M50" s="401">
        <v>0</v>
      </c>
      <c r="N50" s="63">
        <v>4327</v>
      </c>
      <c r="O50" s="63">
        <v>4463</v>
      </c>
      <c r="Q50" s="397" t="s">
        <v>2477</v>
      </c>
    </row>
    <row r="51" spans="1:17">
      <c r="A51" s="320">
        <v>33</v>
      </c>
      <c r="B51" s="397" t="s">
        <v>13533</v>
      </c>
      <c r="C51" s="55" t="s">
        <v>13532</v>
      </c>
      <c r="D51" s="401">
        <v>0</v>
      </c>
      <c r="E51" s="401">
        <v>0</v>
      </c>
      <c r="F51" s="401">
        <v>0</v>
      </c>
      <c r="G51" s="401">
        <v>0</v>
      </c>
      <c r="H51" s="401">
        <v>0</v>
      </c>
      <c r="I51" s="401">
        <v>0</v>
      </c>
      <c r="J51" s="401">
        <v>0</v>
      </c>
      <c r="K51" s="401">
        <v>0</v>
      </c>
      <c r="L51" s="401">
        <v>0</v>
      </c>
      <c r="M51" s="401">
        <v>0</v>
      </c>
      <c r="N51" s="63">
        <v>4991</v>
      </c>
      <c r="O51" s="63">
        <v>5301</v>
      </c>
      <c r="Q51" s="397" t="s">
        <v>2477</v>
      </c>
    </row>
    <row r="52" spans="1:17">
      <c r="D52" s="402"/>
      <c r="E52" s="402"/>
      <c r="F52" s="402"/>
      <c r="G52" s="402"/>
      <c r="H52" s="402"/>
      <c r="I52" s="402"/>
      <c r="J52" s="402"/>
      <c r="K52" s="402"/>
      <c r="L52" s="402"/>
    </row>
    <row r="53" spans="1:17">
      <c r="A53" s="397" t="s">
        <v>16086</v>
      </c>
    </row>
    <row r="54" spans="1:17">
      <c r="A54" s="397" t="s">
        <v>16087</v>
      </c>
    </row>
  </sheetData>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ignoredErrors>
    <ignoredError sqref="D5:D6 E5:E6 F5:F6 G5:G6 H5:H6 K10:K15 J10:J15 I5:I6 J5:J6 K5:K6 L5:L6 D10:D15 E10:E15 F10:F15 G10:G16 H10:H15 I10:I16 L10:L15"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dimension ref="A1:Q42"/>
  <sheetViews>
    <sheetView showGridLines="0" topLeftCell="A4" zoomScale="90" zoomScaleNormal="90" workbookViewId="0">
      <selection activeCell="O3" sqref="O3"/>
    </sheetView>
  </sheetViews>
  <sheetFormatPr defaultColWidth="12.5703125" defaultRowHeight="15"/>
  <cols>
    <col min="1" max="1" width="4.85546875" style="143" customWidth="1"/>
    <col min="2" max="2" width="34.42578125" style="143" customWidth="1"/>
    <col min="3" max="3" width="11.7109375" style="143" customWidth="1"/>
    <col min="4" max="15" width="10" style="143" customWidth="1"/>
    <col min="16" max="16" width="2.28515625" style="143" customWidth="1"/>
    <col min="17" max="17" width="35.7109375" style="143" customWidth="1"/>
    <col min="18" max="16384" width="12.5703125" style="143"/>
  </cols>
  <sheetData>
    <row r="1" spans="1:17">
      <c r="A1" s="562" t="s">
        <v>6924</v>
      </c>
      <c r="B1" s="563"/>
      <c r="C1" s="563"/>
      <c r="D1" s="564">
        <v>2010</v>
      </c>
      <c r="E1" s="564">
        <v>2011</v>
      </c>
      <c r="F1" s="564">
        <v>2012</v>
      </c>
      <c r="G1" s="564">
        <v>2013</v>
      </c>
      <c r="H1" s="564">
        <v>2014</v>
      </c>
      <c r="I1" s="564">
        <v>2015</v>
      </c>
      <c r="J1" s="564">
        <v>2016</v>
      </c>
      <c r="K1" s="564">
        <v>2017</v>
      </c>
      <c r="L1" s="564">
        <v>2018</v>
      </c>
      <c r="M1" s="564">
        <v>2019</v>
      </c>
      <c r="N1" s="564">
        <v>2020</v>
      </c>
      <c r="O1" s="960" t="s">
        <v>14823</v>
      </c>
      <c r="P1" s="563"/>
    </row>
    <row r="2" spans="1:17">
      <c r="A2" s="563"/>
      <c r="B2" s="563"/>
      <c r="C2" s="563"/>
      <c r="D2" s="563"/>
      <c r="E2" s="563"/>
      <c r="F2" s="563"/>
      <c r="G2" s="563"/>
      <c r="H2" s="563"/>
      <c r="I2" s="563"/>
      <c r="J2" s="563"/>
      <c r="K2" s="563"/>
      <c r="L2" s="563"/>
      <c r="M2" s="563"/>
      <c r="N2" s="563"/>
      <c r="O2" s="563"/>
      <c r="P2" s="563"/>
      <c r="Q2" s="563"/>
    </row>
    <row r="3" spans="1:17">
      <c r="A3" s="562" t="s">
        <v>1051</v>
      </c>
      <c r="D3" s="565">
        <f t="shared" ref="D3:I3" si="0">SUM(D19:D39)</f>
        <v>215534</v>
      </c>
      <c r="E3" s="565">
        <f t="shared" si="0"/>
        <v>218242</v>
      </c>
      <c r="F3" s="565">
        <f t="shared" si="0"/>
        <v>221621</v>
      </c>
      <c r="G3" s="565">
        <f t="shared" si="0"/>
        <v>220937</v>
      </c>
      <c r="H3" s="565">
        <f t="shared" si="0"/>
        <v>219873</v>
      </c>
      <c r="I3" s="565">
        <f t="shared" si="0"/>
        <v>206793</v>
      </c>
      <c r="J3" s="565">
        <f t="shared" ref="J3:O3" si="1">SUM(J19:J39)</f>
        <v>210775</v>
      </c>
      <c r="K3" s="565">
        <f t="shared" si="1"/>
        <v>217838</v>
      </c>
      <c r="L3" s="565">
        <f t="shared" si="1"/>
        <v>219271</v>
      </c>
      <c r="M3" s="565">
        <f t="shared" si="1"/>
        <v>214815</v>
      </c>
      <c r="N3" s="565">
        <f t="shared" si="1"/>
        <v>218441</v>
      </c>
      <c r="O3" s="565">
        <f t="shared" si="1"/>
        <v>220320</v>
      </c>
      <c r="P3" s="563"/>
    </row>
    <row r="4" spans="1:17">
      <c r="A4" s="563"/>
      <c r="B4" s="563"/>
      <c r="C4" s="563"/>
      <c r="D4" s="563"/>
      <c r="E4" s="563"/>
      <c r="F4" s="563"/>
      <c r="G4" s="563"/>
      <c r="H4" s="563"/>
      <c r="I4" s="563"/>
      <c r="J4" s="563"/>
      <c r="K4" s="563"/>
      <c r="L4" s="563"/>
      <c r="M4" s="563"/>
      <c r="N4" s="563"/>
      <c r="O4" s="563"/>
      <c r="P4" s="563"/>
      <c r="Q4" s="563"/>
    </row>
    <row r="5" spans="1:17">
      <c r="A5" s="562" t="s">
        <v>1052</v>
      </c>
      <c r="B5" s="563"/>
      <c r="C5" s="563"/>
      <c r="D5" s="565">
        <f t="shared" ref="D5:I5" si="2">D3/3</f>
        <v>71844.666666666672</v>
      </c>
      <c r="E5" s="565">
        <f t="shared" si="2"/>
        <v>72747.333333333328</v>
      </c>
      <c r="F5" s="565">
        <f t="shared" si="2"/>
        <v>73873.666666666672</v>
      </c>
      <c r="G5" s="565">
        <f t="shared" si="2"/>
        <v>73645.666666666672</v>
      </c>
      <c r="H5" s="565">
        <f t="shared" si="2"/>
        <v>73291</v>
      </c>
      <c r="I5" s="565">
        <f t="shared" si="2"/>
        <v>68931</v>
      </c>
      <c r="J5" s="565">
        <f t="shared" ref="J5:O5" si="3">J3/3</f>
        <v>70258.333333333328</v>
      </c>
      <c r="K5" s="565">
        <f t="shared" si="3"/>
        <v>72612.666666666672</v>
      </c>
      <c r="L5" s="565">
        <f t="shared" si="3"/>
        <v>73090.333333333328</v>
      </c>
      <c r="M5" s="565">
        <f t="shared" si="3"/>
        <v>71605</v>
      </c>
      <c r="N5" s="565">
        <f t="shared" si="3"/>
        <v>72813.666666666672</v>
      </c>
      <c r="O5" s="565">
        <f t="shared" si="3"/>
        <v>73440</v>
      </c>
      <c r="P5" s="563"/>
      <c r="Q5" s="563"/>
    </row>
    <row r="6" spans="1:17">
      <c r="A6" s="562"/>
      <c r="B6" s="563"/>
      <c r="C6" s="563"/>
      <c r="D6" s="570"/>
      <c r="E6" s="570"/>
      <c r="F6" s="570"/>
      <c r="G6" s="570"/>
      <c r="H6" s="570"/>
      <c r="I6" s="570"/>
      <c r="J6" s="570"/>
      <c r="K6" s="570"/>
      <c r="L6" s="570"/>
      <c r="M6" s="570"/>
      <c r="N6" s="570"/>
      <c r="O6" s="570"/>
      <c r="P6" s="563"/>
      <c r="Q6" s="563"/>
    </row>
    <row r="7" spans="1:17">
      <c r="A7" s="562" t="s">
        <v>3843</v>
      </c>
      <c r="D7" s="565">
        <f>D22+D25+D28+D30+D31+D33+D35+D36</f>
        <v>73320</v>
      </c>
      <c r="E7" s="565">
        <f>E22+E25+E28+E30+E31+E33+E35+E36</f>
        <v>74377</v>
      </c>
      <c r="F7" s="565">
        <f>F22+F25+F28+F30+F31+F33+F35+F36</f>
        <v>76009</v>
      </c>
      <c r="G7" s="565">
        <f>G22+G25+G28+G30+G31+G33+G35+G36</f>
        <v>76741</v>
      </c>
      <c r="H7" s="565">
        <f>H22+H25+H28+H30+H31+H33+H35+H36</f>
        <v>76347</v>
      </c>
      <c r="I7" s="565">
        <f t="shared" ref="I7:N7" si="4">I22+I25+I28+I30+I31+I35+I36</f>
        <v>74819</v>
      </c>
      <c r="J7" s="565">
        <f t="shared" si="4"/>
        <v>75755</v>
      </c>
      <c r="K7" s="565">
        <f t="shared" si="4"/>
        <v>78283</v>
      </c>
      <c r="L7" s="565">
        <f t="shared" si="4"/>
        <v>78895</v>
      </c>
      <c r="M7" s="565">
        <f t="shared" si="4"/>
        <v>78176</v>
      </c>
      <c r="N7" s="565">
        <f t="shared" si="4"/>
        <v>78647</v>
      </c>
      <c r="O7" s="565">
        <f>O22+O25+O28+O30+O31+O35+O36</f>
        <v>78754</v>
      </c>
      <c r="P7" s="563"/>
      <c r="Q7" s="562" t="s">
        <v>3844</v>
      </c>
    </row>
    <row r="8" spans="1:17">
      <c r="A8" s="563"/>
      <c r="D8" s="567"/>
      <c r="E8" s="567"/>
      <c r="F8" s="567"/>
      <c r="G8" s="567"/>
      <c r="H8" s="567"/>
      <c r="I8" s="567"/>
      <c r="J8" s="567"/>
      <c r="K8" s="567"/>
      <c r="L8" s="567"/>
      <c r="M8" s="567"/>
      <c r="N8" s="567"/>
      <c r="O8" s="567"/>
      <c r="P8" s="563"/>
      <c r="Q8" s="563"/>
    </row>
    <row r="9" spans="1:17">
      <c r="A9" s="562" t="s">
        <v>3845</v>
      </c>
      <c r="D9" s="565">
        <f>D20+D24+D26+D29+D32+D34+D39</f>
        <v>77156</v>
      </c>
      <c r="E9" s="565">
        <f>E20+E24+E26+E29+E32+E34+E39</f>
        <v>78433</v>
      </c>
      <c r="F9" s="565">
        <f>F20+F24+F26+F29+F32+F34+F39</f>
        <v>80038</v>
      </c>
      <c r="G9" s="565">
        <f>G20+G24+G26+G29+G32+G34+G39</f>
        <v>78404</v>
      </c>
      <c r="H9" s="565">
        <f>H20+H24+H26+H29+H32+H34+H39</f>
        <v>77879</v>
      </c>
      <c r="I9" s="565">
        <f t="shared" ref="I9:N9" si="5">I20+I24+I26+I29+SUM(I32:I34)+I39</f>
        <v>70055</v>
      </c>
      <c r="J9" s="565">
        <f t="shared" si="5"/>
        <v>72227</v>
      </c>
      <c r="K9" s="565">
        <f t="shared" si="5"/>
        <v>74554</v>
      </c>
      <c r="L9" s="565">
        <f t="shared" si="5"/>
        <v>75341</v>
      </c>
      <c r="M9" s="565">
        <f t="shared" si="5"/>
        <v>73097</v>
      </c>
      <c r="N9" s="565">
        <f t="shared" si="5"/>
        <v>75616</v>
      </c>
      <c r="O9" s="565">
        <f>O20+O24+O26+O29+SUM(O32:O34)+O39</f>
        <v>77012</v>
      </c>
      <c r="P9" s="563"/>
      <c r="Q9" s="562" t="s">
        <v>3844</v>
      </c>
    </row>
    <row r="10" spans="1:17">
      <c r="A10" s="563"/>
      <c r="D10" s="567"/>
      <c r="E10" s="567"/>
      <c r="F10" s="567"/>
      <c r="G10" s="567"/>
      <c r="H10" s="567"/>
      <c r="I10" s="567"/>
      <c r="J10" s="567"/>
      <c r="K10" s="567"/>
      <c r="L10" s="567"/>
      <c r="M10" s="567"/>
      <c r="N10" s="567"/>
      <c r="O10" s="567"/>
      <c r="P10" s="563"/>
      <c r="Q10" s="563"/>
    </row>
    <row r="11" spans="1:17">
      <c r="A11" s="562" t="s">
        <v>3846</v>
      </c>
      <c r="D11" s="565">
        <f>D19+D21+D23+D27+D37+D38</f>
        <v>65058</v>
      </c>
      <c r="E11" s="565">
        <f>E19+E21+E23+E27+E37+E38</f>
        <v>65432</v>
      </c>
      <c r="F11" s="565">
        <f>F19+F21+F23+F27+F37+F38</f>
        <v>65574</v>
      </c>
      <c r="G11" s="565">
        <f>G19+G21+G23+G27+G37+G38</f>
        <v>65792</v>
      </c>
      <c r="H11" s="565">
        <f>H19+H21+H23+H27+H37+H38</f>
        <v>65647</v>
      </c>
      <c r="I11" s="565">
        <f t="shared" ref="I11:N11" si="6">I19+I21+I23+I27+I37+I38</f>
        <v>61919</v>
      </c>
      <c r="J11" s="565">
        <f t="shared" si="6"/>
        <v>62793</v>
      </c>
      <c r="K11" s="565">
        <f t="shared" si="6"/>
        <v>65001</v>
      </c>
      <c r="L11" s="565">
        <f t="shared" si="6"/>
        <v>65035</v>
      </c>
      <c r="M11" s="565">
        <f t="shared" si="6"/>
        <v>63542</v>
      </c>
      <c r="N11" s="565">
        <f t="shared" si="6"/>
        <v>64178</v>
      </c>
      <c r="O11" s="565">
        <f>O19+O21+O23+O27+O37+O38</f>
        <v>64554</v>
      </c>
      <c r="P11" s="563"/>
      <c r="Q11" s="562" t="s">
        <v>3844</v>
      </c>
    </row>
    <row r="12" spans="1:17">
      <c r="A12" s="563"/>
      <c r="D12" s="567"/>
      <c r="E12" s="567"/>
      <c r="F12" s="567"/>
      <c r="G12" s="567"/>
      <c r="H12" s="567"/>
      <c r="I12" s="567"/>
      <c r="J12" s="567"/>
      <c r="K12" s="567"/>
      <c r="L12" s="567"/>
      <c r="M12" s="567"/>
      <c r="N12" s="567"/>
      <c r="O12" s="567"/>
      <c r="P12" s="563"/>
      <c r="Q12" s="563"/>
    </row>
    <row r="13" spans="1:17">
      <c r="A13" s="562" t="s">
        <v>6796</v>
      </c>
      <c r="B13" s="563"/>
      <c r="C13" s="563"/>
      <c r="D13" s="565">
        <f t="shared" ref="D13:I13" si="7">D7+D9+D11</f>
        <v>215534</v>
      </c>
      <c r="E13" s="565">
        <f t="shared" si="7"/>
        <v>218242</v>
      </c>
      <c r="F13" s="565">
        <f t="shared" si="7"/>
        <v>221621</v>
      </c>
      <c r="G13" s="565">
        <f t="shared" si="7"/>
        <v>220937</v>
      </c>
      <c r="H13" s="565">
        <f t="shared" si="7"/>
        <v>219873</v>
      </c>
      <c r="I13" s="565">
        <f t="shared" si="7"/>
        <v>206793</v>
      </c>
      <c r="J13" s="565">
        <f t="shared" ref="J13:O13" si="8">J7+J9+J11</f>
        <v>210775</v>
      </c>
      <c r="K13" s="565">
        <f t="shared" si="8"/>
        <v>217838</v>
      </c>
      <c r="L13" s="565">
        <f t="shared" si="8"/>
        <v>219271</v>
      </c>
      <c r="M13" s="565">
        <f t="shared" si="8"/>
        <v>214815</v>
      </c>
      <c r="N13" s="565">
        <f t="shared" si="8"/>
        <v>218441</v>
      </c>
      <c r="O13" s="565">
        <f t="shared" si="8"/>
        <v>220320</v>
      </c>
      <c r="P13" s="563"/>
      <c r="Q13" s="563"/>
    </row>
    <row r="14" spans="1:17">
      <c r="A14" s="563"/>
      <c r="B14" s="563"/>
      <c r="C14" s="563"/>
      <c r="D14" s="567"/>
      <c r="E14" s="567"/>
      <c r="F14" s="567"/>
      <c r="G14" s="567"/>
      <c r="H14" s="567"/>
      <c r="I14" s="567"/>
      <c r="J14" s="567"/>
      <c r="K14" s="567"/>
      <c r="L14" s="567"/>
      <c r="M14" s="567"/>
      <c r="N14" s="567"/>
      <c r="O14" s="567"/>
      <c r="P14" s="563"/>
      <c r="Q14" s="563"/>
    </row>
    <row r="15" spans="1:17">
      <c r="A15" s="562" t="s">
        <v>6797</v>
      </c>
      <c r="B15" s="563"/>
      <c r="C15" s="563"/>
      <c r="D15" s="565">
        <f t="shared" ref="D15:I15" si="9">MAX(D7,D9,D11)-MIN(D7,D9,D11)</f>
        <v>12098</v>
      </c>
      <c r="E15" s="565">
        <f t="shared" si="9"/>
        <v>13001</v>
      </c>
      <c r="F15" s="565">
        <f t="shared" si="9"/>
        <v>14464</v>
      </c>
      <c r="G15" s="565">
        <f t="shared" si="9"/>
        <v>12612</v>
      </c>
      <c r="H15" s="565">
        <f t="shared" si="9"/>
        <v>12232</v>
      </c>
      <c r="I15" s="565">
        <f t="shared" si="9"/>
        <v>12900</v>
      </c>
      <c r="J15" s="565">
        <f t="shared" ref="J15:O15" si="10">MAX(J7,J9,J11)-MIN(J7,J9,J11)</f>
        <v>12962</v>
      </c>
      <c r="K15" s="565">
        <f t="shared" si="10"/>
        <v>13282</v>
      </c>
      <c r="L15" s="565">
        <f t="shared" si="10"/>
        <v>13860</v>
      </c>
      <c r="M15" s="565">
        <f t="shared" si="10"/>
        <v>14634</v>
      </c>
      <c r="N15" s="565">
        <f t="shared" si="10"/>
        <v>14469</v>
      </c>
      <c r="O15" s="565">
        <f t="shared" si="10"/>
        <v>14200</v>
      </c>
      <c r="P15" s="563"/>
      <c r="Q15" s="563"/>
    </row>
    <row r="16" spans="1:17">
      <c r="A16" s="563"/>
      <c r="B16" s="563"/>
      <c r="C16" s="563"/>
      <c r="D16" s="567"/>
      <c r="E16" s="567"/>
      <c r="F16" s="567"/>
      <c r="G16" s="567"/>
      <c r="H16" s="567"/>
      <c r="I16" s="567"/>
      <c r="J16" s="567"/>
      <c r="K16" s="567"/>
      <c r="L16" s="567"/>
      <c r="M16" s="567"/>
      <c r="N16" s="567"/>
      <c r="O16" s="567"/>
      <c r="P16" s="563"/>
      <c r="Q16" s="563"/>
    </row>
    <row r="17" spans="1:17">
      <c r="A17" s="562" t="s">
        <v>6800</v>
      </c>
      <c r="B17" s="563"/>
      <c r="C17" s="563"/>
      <c r="D17" s="565">
        <f t="shared" ref="D17:I17" si="11">STDEVP(D7,D9,D11)</f>
        <v>5047.960468237532</v>
      </c>
      <c r="E17" s="565">
        <f t="shared" si="11"/>
        <v>5431.2896156335555</v>
      </c>
      <c r="F17" s="565">
        <f t="shared" si="11"/>
        <v>6094.8918685148874</v>
      </c>
      <c r="G17" s="565">
        <f t="shared" si="11"/>
        <v>5594.7268228415069</v>
      </c>
      <c r="H17" s="565">
        <f t="shared" si="11"/>
        <v>5441.1890857299441</v>
      </c>
      <c r="I17" s="565">
        <f t="shared" si="11"/>
        <v>5326.0386780420586</v>
      </c>
      <c r="J17" s="565">
        <f t="shared" ref="J17:O17" si="12">STDEVP(J7,J9,J11)</f>
        <v>5471.7515375690164</v>
      </c>
      <c r="K17" s="565">
        <f t="shared" si="12"/>
        <v>5593.4165071289144</v>
      </c>
      <c r="L17" s="565">
        <f t="shared" si="12"/>
        <v>5877.8695308948645</v>
      </c>
      <c r="M17" s="565">
        <f t="shared" si="12"/>
        <v>6066.7419592397364</v>
      </c>
      <c r="N17" s="565">
        <f t="shared" si="12"/>
        <v>6230.4517938553672</v>
      </c>
      <c r="O17" s="565">
        <f t="shared" si="12"/>
        <v>6323.4688792360375</v>
      </c>
      <c r="P17" s="563"/>
      <c r="Q17" s="563"/>
    </row>
    <row r="18" spans="1:17">
      <c r="A18" s="562"/>
      <c r="B18" s="563"/>
      <c r="C18" s="563"/>
      <c r="D18" s="565"/>
      <c r="E18" s="565"/>
      <c r="F18" s="565"/>
      <c r="G18" s="565"/>
      <c r="H18" s="565"/>
      <c r="I18" s="565"/>
      <c r="J18" s="565"/>
      <c r="K18" s="565"/>
      <c r="L18" s="565"/>
      <c r="M18" s="565"/>
      <c r="N18" s="565"/>
      <c r="O18" s="565"/>
      <c r="P18" s="563"/>
      <c r="Q18" s="563"/>
    </row>
    <row r="19" spans="1:17">
      <c r="A19" s="562" t="s">
        <v>5387</v>
      </c>
      <c r="B19" s="562" t="s">
        <v>6402</v>
      </c>
      <c r="C19" s="55" t="s">
        <v>10159</v>
      </c>
      <c r="D19" s="565">
        <v>65058</v>
      </c>
      <c r="E19" s="565">
        <v>65432</v>
      </c>
      <c r="F19" s="565">
        <v>65574</v>
      </c>
      <c r="G19" s="58">
        <v>65792</v>
      </c>
      <c r="H19" s="58">
        <v>65647</v>
      </c>
      <c r="I19" s="58">
        <v>11583</v>
      </c>
      <c r="J19" s="58">
        <v>11923</v>
      </c>
      <c r="K19" s="58">
        <v>12237</v>
      </c>
      <c r="L19" s="58">
        <v>12192</v>
      </c>
      <c r="M19" s="58">
        <v>12269</v>
      </c>
      <c r="N19" s="58">
        <v>12451</v>
      </c>
      <c r="O19" s="58">
        <v>12595</v>
      </c>
      <c r="P19" s="563"/>
      <c r="Q19" s="562" t="s">
        <v>3846</v>
      </c>
    </row>
    <row r="20" spans="1:17">
      <c r="A20" s="562" t="s">
        <v>5389</v>
      </c>
      <c r="B20" s="562" t="s">
        <v>1748</v>
      </c>
      <c r="C20" s="55" t="s">
        <v>10160</v>
      </c>
      <c r="D20" s="565">
        <v>77156</v>
      </c>
      <c r="E20" s="565">
        <v>78433</v>
      </c>
      <c r="F20" s="565">
        <v>80038</v>
      </c>
      <c r="G20" s="56">
        <v>78404</v>
      </c>
      <c r="H20" s="56">
        <v>77879</v>
      </c>
      <c r="I20" s="56">
        <v>8145</v>
      </c>
      <c r="J20" s="56">
        <v>8136</v>
      </c>
      <c r="K20" s="56">
        <v>8489</v>
      </c>
      <c r="L20" s="56">
        <v>8447</v>
      </c>
      <c r="M20" s="56">
        <v>8271</v>
      </c>
      <c r="N20" s="56">
        <v>8278</v>
      </c>
      <c r="O20" s="56">
        <v>8294</v>
      </c>
      <c r="P20" s="563"/>
      <c r="Q20" s="562" t="s">
        <v>3845</v>
      </c>
    </row>
    <row r="21" spans="1:17">
      <c r="A21" s="562" t="s">
        <v>5391</v>
      </c>
      <c r="B21" s="562" t="s">
        <v>3847</v>
      </c>
      <c r="C21" s="55" t="s">
        <v>10161</v>
      </c>
      <c r="D21" s="565">
        <v>0</v>
      </c>
      <c r="E21" s="565">
        <v>0</v>
      </c>
      <c r="F21" s="565">
        <v>0</v>
      </c>
      <c r="G21" s="565">
        <v>0</v>
      </c>
      <c r="H21" s="565">
        <v>0</v>
      </c>
      <c r="I21" s="58">
        <v>11388</v>
      </c>
      <c r="J21" s="58">
        <v>11412</v>
      </c>
      <c r="K21" s="58">
        <v>11737</v>
      </c>
      <c r="L21" s="58">
        <v>11845</v>
      </c>
      <c r="M21" s="58">
        <v>11646</v>
      </c>
      <c r="N21" s="58">
        <v>11690</v>
      </c>
      <c r="O21" s="58">
        <v>11676</v>
      </c>
      <c r="P21" s="563"/>
      <c r="Q21" s="562" t="s">
        <v>3846</v>
      </c>
    </row>
    <row r="22" spans="1:17">
      <c r="A22" s="562" t="s">
        <v>5393</v>
      </c>
      <c r="B22" s="562" t="s">
        <v>3848</v>
      </c>
      <c r="C22" s="55" t="s">
        <v>10162</v>
      </c>
      <c r="D22" s="565">
        <v>73320</v>
      </c>
      <c r="E22" s="565">
        <v>74377</v>
      </c>
      <c r="F22" s="565">
        <v>76009</v>
      </c>
      <c r="G22" s="56">
        <v>76741</v>
      </c>
      <c r="H22" s="56">
        <v>76347</v>
      </c>
      <c r="I22" s="56">
        <v>11144</v>
      </c>
      <c r="J22" s="56">
        <v>11199</v>
      </c>
      <c r="K22" s="56">
        <v>11446</v>
      </c>
      <c r="L22" s="56">
        <v>11428</v>
      </c>
      <c r="M22" s="56">
        <v>11319</v>
      </c>
      <c r="N22" s="56">
        <v>11372</v>
      </c>
      <c r="O22" s="56">
        <v>11349</v>
      </c>
      <c r="P22" s="563"/>
      <c r="Q22" s="562" t="s">
        <v>3843</v>
      </c>
    </row>
    <row r="23" spans="1:17">
      <c r="A23" s="562" t="s">
        <v>5394</v>
      </c>
      <c r="B23" s="562" t="s">
        <v>9926</v>
      </c>
      <c r="C23" s="55" t="s">
        <v>10163</v>
      </c>
      <c r="D23" s="565">
        <v>0</v>
      </c>
      <c r="E23" s="565">
        <v>0</v>
      </c>
      <c r="F23" s="565">
        <v>0</v>
      </c>
      <c r="G23" s="58">
        <v>0</v>
      </c>
      <c r="H23" s="58">
        <v>0</v>
      </c>
      <c r="I23" s="58">
        <v>12133</v>
      </c>
      <c r="J23" s="58">
        <v>12260</v>
      </c>
      <c r="K23" s="58">
        <v>12799</v>
      </c>
      <c r="L23" s="58">
        <v>12792</v>
      </c>
      <c r="M23" s="58">
        <v>12551</v>
      </c>
      <c r="N23" s="58">
        <v>12496</v>
      </c>
      <c r="O23" s="58">
        <v>12491</v>
      </c>
      <c r="P23" s="563"/>
      <c r="Q23" s="562" t="s">
        <v>3846</v>
      </c>
    </row>
    <row r="24" spans="1:17">
      <c r="A24" s="562" t="s">
        <v>5416</v>
      </c>
      <c r="B24" s="562" t="s">
        <v>5904</v>
      </c>
      <c r="C24" s="55" t="s">
        <v>10164</v>
      </c>
      <c r="D24" s="565">
        <v>0</v>
      </c>
      <c r="E24" s="565">
        <v>0</v>
      </c>
      <c r="F24" s="565">
        <v>0</v>
      </c>
      <c r="G24" s="56">
        <v>0</v>
      </c>
      <c r="H24" s="56">
        <v>0</v>
      </c>
      <c r="I24" s="56">
        <v>7572</v>
      </c>
      <c r="J24" s="56">
        <v>9148</v>
      </c>
      <c r="K24" s="56">
        <v>9355</v>
      </c>
      <c r="L24" s="56">
        <v>9591</v>
      </c>
      <c r="M24" s="56">
        <v>8703</v>
      </c>
      <c r="N24" s="56">
        <v>10460</v>
      </c>
      <c r="O24" s="56">
        <v>11372</v>
      </c>
      <c r="P24" s="563"/>
      <c r="Q24" s="562" t="s">
        <v>3845</v>
      </c>
    </row>
    <row r="25" spans="1:17">
      <c r="A25" s="562" t="s">
        <v>5418</v>
      </c>
      <c r="B25" s="562" t="s">
        <v>2448</v>
      </c>
      <c r="C25" s="55" t="s">
        <v>10165</v>
      </c>
      <c r="D25" s="565">
        <v>0</v>
      </c>
      <c r="E25" s="565">
        <v>0</v>
      </c>
      <c r="F25" s="565">
        <v>0</v>
      </c>
      <c r="G25" s="56">
        <v>0</v>
      </c>
      <c r="H25" s="56">
        <v>0</v>
      </c>
      <c r="I25" s="56">
        <v>11989</v>
      </c>
      <c r="J25" s="56">
        <v>12158</v>
      </c>
      <c r="K25" s="56">
        <v>12604</v>
      </c>
      <c r="L25" s="56">
        <v>12650</v>
      </c>
      <c r="M25" s="56">
        <v>12392</v>
      </c>
      <c r="N25" s="56">
        <v>12286</v>
      </c>
      <c r="O25" s="56">
        <v>12333</v>
      </c>
      <c r="P25" s="563"/>
      <c r="Q25" s="562" t="s">
        <v>3843</v>
      </c>
    </row>
    <row r="26" spans="1:17">
      <c r="A26" s="562" t="s">
        <v>5420</v>
      </c>
      <c r="B26" s="562" t="s">
        <v>2449</v>
      </c>
      <c r="C26" s="55" t="s">
        <v>10166</v>
      </c>
      <c r="D26" s="565">
        <v>0</v>
      </c>
      <c r="E26" s="565">
        <v>0</v>
      </c>
      <c r="F26" s="565">
        <v>0</v>
      </c>
      <c r="G26" s="56">
        <v>0</v>
      </c>
      <c r="H26" s="56">
        <v>0</v>
      </c>
      <c r="I26" s="56">
        <v>7807</v>
      </c>
      <c r="J26" s="56">
        <v>7780</v>
      </c>
      <c r="K26" s="56">
        <v>8091</v>
      </c>
      <c r="L26" s="56">
        <v>8043</v>
      </c>
      <c r="M26" s="56">
        <v>7836</v>
      </c>
      <c r="N26" s="56">
        <v>7801</v>
      </c>
      <c r="O26" s="56">
        <v>7805</v>
      </c>
      <c r="P26" s="563"/>
      <c r="Q26" s="562" t="s">
        <v>3845</v>
      </c>
    </row>
    <row r="27" spans="1:17">
      <c r="A27" s="562" t="s">
        <v>5422</v>
      </c>
      <c r="B27" s="562" t="s">
        <v>6615</v>
      </c>
      <c r="C27" s="55" t="s">
        <v>10167</v>
      </c>
      <c r="D27" s="565">
        <v>0</v>
      </c>
      <c r="E27" s="565">
        <v>0</v>
      </c>
      <c r="F27" s="565">
        <v>0</v>
      </c>
      <c r="G27" s="56">
        <v>0</v>
      </c>
      <c r="H27" s="56">
        <v>0</v>
      </c>
      <c r="I27" s="58">
        <v>7514</v>
      </c>
      <c r="J27" s="58">
        <v>7366</v>
      </c>
      <c r="K27" s="58">
        <v>7731</v>
      </c>
      <c r="L27" s="58">
        <v>7728</v>
      </c>
      <c r="M27" s="58">
        <v>7316</v>
      </c>
      <c r="N27" s="58">
        <v>7342</v>
      </c>
      <c r="O27" s="58">
        <v>7384</v>
      </c>
      <c r="P27" s="563"/>
      <c r="Q27" s="562" t="s">
        <v>3846</v>
      </c>
    </row>
    <row r="28" spans="1:17">
      <c r="A28" s="562" t="s">
        <v>5424</v>
      </c>
      <c r="B28" s="562" t="s">
        <v>9927</v>
      </c>
      <c r="C28" s="55" t="s">
        <v>10168</v>
      </c>
      <c r="D28" s="565">
        <v>0</v>
      </c>
      <c r="E28" s="565">
        <v>0</v>
      </c>
      <c r="F28" s="565">
        <v>0</v>
      </c>
      <c r="G28" s="56">
        <v>0</v>
      </c>
      <c r="H28" s="56">
        <v>0</v>
      </c>
      <c r="I28" s="56">
        <v>12186</v>
      </c>
      <c r="J28" s="56">
        <v>12388</v>
      </c>
      <c r="K28" s="56">
        <v>13052</v>
      </c>
      <c r="L28" s="56">
        <v>13376</v>
      </c>
      <c r="M28" s="56">
        <v>13581</v>
      </c>
      <c r="N28" s="56">
        <v>13784</v>
      </c>
      <c r="O28" s="56">
        <v>13856</v>
      </c>
      <c r="P28" s="563"/>
      <c r="Q28" s="562" t="s">
        <v>3843</v>
      </c>
    </row>
    <row r="29" spans="1:17">
      <c r="A29" s="562" t="s">
        <v>5426</v>
      </c>
      <c r="B29" s="562" t="s">
        <v>1799</v>
      </c>
      <c r="C29" s="55" t="s">
        <v>10169</v>
      </c>
      <c r="D29" s="565">
        <v>0</v>
      </c>
      <c r="E29" s="565">
        <v>0</v>
      </c>
      <c r="F29" s="565">
        <v>0</v>
      </c>
      <c r="G29" s="58">
        <v>0</v>
      </c>
      <c r="H29" s="58">
        <v>0</v>
      </c>
      <c r="I29" s="56">
        <v>12037</v>
      </c>
      <c r="J29" s="56">
        <v>12263</v>
      </c>
      <c r="K29" s="56">
        <v>12565</v>
      </c>
      <c r="L29" s="56">
        <v>12523</v>
      </c>
      <c r="M29" s="56">
        <v>12281</v>
      </c>
      <c r="N29" s="56">
        <v>12398</v>
      </c>
      <c r="O29" s="56">
        <v>12503</v>
      </c>
      <c r="P29" s="563"/>
      <c r="Q29" s="562" t="s">
        <v>3845</v>
      </c>
    </row>
    <row r="30" spans="1:17">
      <c r="A30" s="562" t="s">
        <v>5428</v>
      </c>
      <c r="B30" s="562" t="s">
        <v>9928</v>
      </c>
      <c r="C30" s="55" t="s">
        <v>10170</v>
      </c>
      <c r="D30" s="565">
        <v>0</v>
      </c>
      <c r="E30" s="565">
        <v>0</v>
      </c>
      <c r="F30" s="565">
        <v>0</v>
      </c>
      <c r="G30" s="56">
        <v>0</v>
      </c>
      <c r="H30" s="56">
        <v>0</v>
      </c>
      <c r="I30" s="56">
        <v>11233</v>
      </c>
      <c r="J30" s="56">
        <v>11328</v>
      </c>
      <c r="K30" s="56">
        <v>11716</v>
      </c>
      <c r="L30" s="56">
        <v>11865</v>
      </c>
      <c r="M30" s="56">
        <v>11619</v>
      </c>
      <c r="N30" s="56">
        <v>11869</v>
      </c>
      <c r="O30" s="56">
        <v>11849</v>
      </c>
      <c r="P30" s="563"/>
      <c r="Q30" s="562" t="s">
        <v>3843</v>
      </c>
    </row>
    <row r="31" spans="1:17">
      <c r="A31" s="562" t="s">
        <v>5429</v>
      </c>
      <c r="B31" s="562" t="s">
        <v>1076</v>
      </c>
      <c r="C31" s="55" t="s">
        <v>10171</v>
      </c>
      <c r="D31" s="565">
        <v>0</v>
      </c>
      <c r="E31" s="565">
        <v>0</v>
      </c>
      <c r="F31" s="565">
        <v>0</v>
      </c>
      <c r="G31" s="56">
        <v>0</v>
      </c>
      <c r="H31" s="56">
        <v>0</v>
      </c>
      <c r="I31" s="56">
        <v>12181</v>
      </c>
      <c r="J31" s="56">
        <v>12248</v>
      </c>
      <c r="K31" s="56">
        <v>12353</v>
      </c>
      <c r="L31" s="56">
        <v>12267</v>
      </c>
      <c r="M31" s="56">
        <v>12013</v>
      </c>
      <c r="N31" s="56">
        <v>12020</v>
      </c>
      <c r="O31" s="56">
        <v>12003</v>
      </c>
      <c r="P31" s="563"/>
      <c r="Q31" s="562" t="s">
        <v>3843</v>
      </c>
    </row>
    <row r="32" spans="1:17">
      <c r="A32" s="562" t="s">
        <v>5431</v>
      </c>
      <c r="B32" s="562" t="s">
        <v>9929</v>
      </c>
      <c r="C32" s="55" t="s">
        <v>10172</v>
      </c>
      <c r="D32" s="565">
        <v>0</v>
      </c>
      <c r="E32" s="565">
        <v>0</v>
      </c>
      <c r="F32" s="565">
        <v>0</v>
      </c>
      <c r="G32" s="56">
        <v>0</v>
      </c>
      <c r="H32" s="56">
        <v>0</v>
      </c>
      <c r="I32" s="56">
        <v>6398</v>
      </c>
      <c r="J32" s="56">
        <v>6578</v>
      </c>
      <c r="K32" s="56">
        <v>6790</v>
      </c>
      <c r="L32" s="56">
        <v>6989</v>
      </c>
      <c r="M32" s="56">
        <v>6865</v>
      </c>
      <c r="N32" s="56">
        <v>7294</v>
      </c>
      <c r="O32" s="56">
        <v>7492</v>
      </c>
      <c r="P32" s="563"/>
      <c r="Q32" s="562" t="s">
        <v>3845</v>
      </c>
    </row>
    <row r="33" spans="1:17">
      <c r="A33" s="562" t="s">
        <v>5433</v>
      </c>
      <c r="B33" s="562" t="s">
        <v>1077</v>
      </c>
      <c r="C33" s="55" t="s">
        <v>10173</v>
      </c>
      <c r="D33" s="565">
        <v>0</v>
      </c>
      <c r="E33" s="565">
        <v>0</v>
      </c>
      <c r="F33" s="565">
        <v>0</v>
      </c>
      <c r="G33" s="56">
        <v>0</v>
      </c>
      <c r="H33" s="56">
        <v>0</v>
      </c>
      <c r="I33" s="56">
        <v>8503</v>
      </c>
      <c r="J33" s="56">
        <v>8542</v>
      </c>
      <c r="K33" s="56">
        <v>8684</v>
      </c>
      <c r="L33" s="56">
        <v>8773</v>
      </c>
      <c r="M33" s="56">
        <v>8616</v>
      </c>
      <c r="N33" s="56">
        <v>8545</v>
      </c>
      <c r="O33" s="56">
        <v>8565</v>
      </c>
      <c r="P33" s="563"/>
      <c r="Q33" s="562" t="s">
        <v>3845</v>
      </c>
    </row>
    <row r="34" spans="1:17">
      <c r="A34" s="562" t="s">
        <v>5435</v>
      </c>
      <c r="B34" s="562" t="s">
        <v>1078</v>
      </c>
      <c r="C34" s="55" t="s">
        <v>10174</v>
      </c>
      <c r="D34" s="565">
        <v>0</v>
      </c>
      <c r="E34" s="565">
        <v>0</v>
      </c>
      <c r="F34" s="565">
        <v>0</v>
      </c>
      <c r="G34" s="58">
        <v>0</v>
      </c>
      <c r="H34" s="58">
        <v>0</v>
      </c>
      <c r="I34" s="56">
        <v>11636</v>
      </c>
      <c r="J34" s="56">
        <v>11842</v>
      </c>
      <c r="K34" s="56">
        <v>12359</v>
      </c>
      <c r="L34" s="56">
        <v>12588</v>
      </c>
      <c r="M34" s="56">
        <v>12249</v>
      </c>
      <c r="N34" s="56">
        <v>12447</v>
      </c>
      <c r="O34" s="56">
        <v>12617</v>
      </c>
      <c r="P34" s="563"/>
      <c r="Q34" s="562" t="s">
        <v>3845</v>
      </c>
    </row>
    <row r="35" spans="1:17">
      <c r="A35" s="562" t="s">
        <v>5436</v>
      </c>
      <c r="B35" s="562" t="s">
        <v>1079</v>
      </c>
      <c r="C35" s="55" t="s">
        <v>10175</v>
      </c>
      <c r="D35" s="565">
        <v>0</v>
      </c>
      <c r="E35" s="565">
        <v>0</v>
      </c>
      <c r="F35" s="565">
        <v>0</v>
      </c>
      <c r="G35" s="56">
        <v>0</v>
      </c>
      <c r="H35" s="56">
        <v>0</v>
      </c>
      <c r="I35" s="56">
        <v>7881</v>
      </c>
      <c r="J35" s="56">
        <v>7980</v>
      </c>
      <c r="K35" s="56">
        <v>8198</v>
      </c>
      <c r="L35" s="56">
        <v>8207</v>
      </c>
      <c r="M35" s="56">
        <v>8200</v>
      </c>
      <c r="N35" s="56">
        <v>8214</v>
      </c>
      <c r="O35" s="56">
        <v>8217</v>
      </c>
      <c r="P35" s="563"/>
      <c r="Q35" s="562" t="s">
        <v>3843</v>
      </c>
    </row>
    <row r="36" spans="1:17">
      <c r="A36" s="562" t="s">
        <v>5437</v>
      </c>
      <c r="B36" s="562" t="s">
        <v>9930</v>
      </c>
      <c r="C36" s="55" t="s">
        <v>10176</v>
      </c>
      <c r="D36" s="565">
        <v>0</v>
      </c>
      <c r="E36" s="565">
        <v>0</v>
      </c>
      <c r="F36" s="565">
        <v>0</v>
      </c>
      <c r="G36" s="56">
        <v>0</v>
      </c>
      <c r="H36" s="56">
        <v>0</v>
      </c>
      <c r="I36" s="56">
        <v>8205</v>
      </c>
      <c r="J36" s="56">
        <v>8454</v>
      </c>
      <c r="K36" s="56">
        <v>8914</v>
      </c>
      <c r="L36" s="56">
        <v>9102</v>
      </c>
      <c r="M36" s="56">
        <v>9052</v>
      </c>
      <c r="N36" s="56">
        <v>9102</v>
      </c>
      <c r="O36" s="56">
        <v>9147</v>
      </c>
      <c r="P36" s="563"/>
      <c r="Q36" s="562" t="s">
        <v>3843</v>
      </c>
    </row>
    <row r="37" spans="1:17">
      <c r="A37" s="562" t="s">
        <v>5439</v>
      </c>
      <c r="B37" s="562" t="s">
        <v>1080</v>
      </c>
      <c r="C37" s="55" t="s">
        <v>10177</v>
      </c>
      <c r="D37" s="565">
        <v>0</v>
      </c>
      <c r="E37" s="565">
        <v>0</v>
      </c>
      <c r="F37" s="565">
        <v>0</v>
      </c>
      <c r="G37" s="56">
        <v>0</v>
      </c>
      <c r="H37" s="56">
        <v>0</v>
      </c>
      <c r="I37" s="58">
        <v>6332</v>
      </c>
      <c r="J37" s="58">
        <v>6724</v>
      </c>
      <c r="K37" s="58">
        <v>6971</v>
      </c>
      <c r="L37" s="58">
        <v>6903</v>
      </c>
      <c r="M37" s="58">
        <v>6427</v>
      </c>
      <c r="N37" s="58">
        <v>6846</v>
      </c>
      <c r="O37" s="58">
        <v>7106</v>
      </c>
      <c r="P37" s="563"/>
      <c r="Q37" s="562" t="s">
        <v>3846</v>
      </c>
    </row>
    <row r="38" spans="1:17">
      <c r="A38" s="562" t="s">
        <v>5441</v>
      </c>
      <c r="B38" s="562" t="s">
        <v>9931</v>
      </c>
      <c r="C38" s="55" t="s">
        <v>10178</v>
      </c>
      <c r="D38" s="565">
        <v>0</v>
      </c>
      <c r="E38" s="565">
        <v>0</v>
      </c>
      <c r="F38" s="565">
        <v>0</v>
      </c>
      <c r="G38" s="56">
        <v>0</v>
      </c>
      <c r="H38" s="56">
        <v>0</v>
      </c>
      <c r="I38" s="58">
        <v>12969</v>
      </c>
      <c r="J38" s="58">
        <v>13108</v>
      </c>
      <c r="K38" s="58">
        <v>13526</v>
      </c>
      <c r="L38" s="58">
        <v>13575</v>
      </c>
      <c r="M38" s="58">
        <v>13333</v>
      </c>
      <c r="N38" s="58">
        <v>13353</v>
      </c>
      <c r="O38" s="58">
        <v>13302</v>
      </c>
      <c r="P38" s="563"/>
      <c r="Q38" s="562" t="s">
        <v>3846</v>
      </c>
    </row>
    <row r="39" spans="1:17">
      <c r="A39" s="562" t="s">
        <v>5886</v>
      </c>
      <c r="B39" s="562" t="s">
        <v>9932</v>
      </c>
      <c r="C39" s="55" t="s">
        <v>10179</v>
      </c>
      <c r="D39" s="565">
        <v>0</v>
      </c>
      <c r="E39" s="565">
        <v>0</v>
      </c>
      <c r="F39" s="565">
        <v>0</v>
      </c>
      <c r="G39" s="58">
        <v>0</v>
      </c>
      <c r="H39" s="58">
        <v>0</v>
      </c>
      <c r="I39" s="56">
        <v>7957</v>
      </c>
      <c r="J39" s="56">
        <v>7938</v>
      </c>
      <c r="K39" s="56">
        <v>8221</v>
      </c>
      <c r="L39" s="56">
        <v>8387</v>
      </c>
      <c r="M39" s="56">
        <v>8276</v>
      </c>
      <c r="N39" s="56">
        <v>8393</v>
      </c>
      <c r="O39" s="56">
        <v>8364</v>
      </c>
      <c r="P39" s="563"/>
      <c r="Q39" s="562" t="s">
        <v>3845</v>
      </c>
    </row>
    <row r="40" spans="1:17">
      <c r="A40" s="563"/>
      <c r="B40" s="563"/>
      <c r="C40" s="563"/>
      <c r="D40" s="567"/>
      <c r="E40" s="567"/>
      <c r="F40" s="567"/>
      <c r="G40" s="567"/>
      <c r="H40" s="567"/>
      <c r="I40" s="567"/>
      <c r="J40" s="567"/>
      <c r="K40" s="567"/>
      <c r="L40" s="567"/>
      <c r="M40" s="563"/>
      <c r="N40" s="563"/>
      <c r="O40" s="563"/>
      <c r="P40" s="563"/>
      <c r="Q40" s="563"/>
    </row>
    <row r="41" spans="1:17">
      <c r="A41" s="562" t="s">
        <v>9933</v>
      </c>
      <c r="B41" s="563"/>
      <c r="C41" s="563"/>
      <c r="D41" s="563"/>
      <c r="E41" s="563"/>
      <c r="F41" s="563"/>
      <c r="G41" s="563"/>
      <c r="H41" s="563"/>
      <c r="I41" s="563"/>
      <c r="J41" s="563"/>
      <c r="K41" s="563"/>
      <c r="L41" s="563"/>
      <c r="M41" s="563"/>
      <c r="N41" s="563"/>
      <c r="O41" s="563"/>
      <c r="P41" s="563"/>
      <c r="Q41" s="563"/>
    </row>
    <row r="42" spans="1:17">
      <c r="A42" s="562"/>
      <c r="B42" s="563"/>
      <c r="C42" s="563"/>
      <c r="D42" s="563"/>
      <c r="E42" s="563"/>
      <c r="F42" s="563"/>
      <c r="G42" s="563"/>
      <c r="H42" s="563"/>
      <c r="I42" s="563"/>
      <c r="J42" s="563"/>
      <c r="K42" s="563"/>
      <c r="L42" s="563"/>
      <c r="M42" s="563"/>
      <c r="N42" s="563"/>
      <c r="O42" s="563"/>
      <c r="P42" s="563"/>
      <c r="Q42" s="563"/>
    </row>
  </sheetData>
  <phoneticPr fontId="6" type="noConversion"/>
  <printOptions gridLinesSet="0"/>
  <pageMargins left="0.78740157480314965" right="0" top="0.51181102362204722" bottom="0.51181102362204722" header="0.51181102362204722" footer="0.51181102362204722"/>
  <pageSetup paperSize="9" scale="77" orientation="portrait" horizontalDpi="300" verticalDpi="300" r:id="rId1"/>
  <headerFooter alignWithMargins="0">
    <oddFooter>&amp;C&amp;"Times New Roman,Regular"&amp;8&amp;P of &amp;N</oddFooter>
  </headerFooter>
  <ignoredErrors>
    <ignoredError sqref="D3:D4 E3:E4 F3:F4 G3:G4 D5:D6 E5:E6 F5:F6 G5:G6 H3:H4 H5:H6 D12:D17 E12:E17 F12:F17 G12:G17 H12:H17 D7:H11 I3:I17 J3:J17 K3:K17 L3:L17" unlocked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dimension ref="A1:Q335"/>
  <sheetViews>
    <sheetView showGridLines="0" topLeftCell="A295" zoomScale="90" zoomScaleNormal="90" workbookViewId="0">
      <selection activeCell="A105" sqref="A105"/>
    </sheetView>
  </sheetViews>
  <sheetFormatPr defaultColWidth="12.5703125" defaultRowHeight="15"/>
  <cols>
    <col min="1" max="1" width="4.85546875" style="143" customWidth="1"/>
    <col min="2" max="2" width="51" style="143" customWidth="1"/>
    <col min="3" max="3" width="11.5703125" style="143" customWidth="1"/>
    <col min="4" max="15" width="10" style="143" customWidth="1"/>
    <col min="16" max="16" width="2.28515625" style="143" customWidth="1"/>
    <col min="17" max="17" width="35.7109375" style="143" customWidth="1"/>
    <col min="18" max="16384" width="12.5703125" style="143"/>
  </cols>
  <sheetData>
    <row r="1" spans="1:17">
      <c r="A1" s="562" t="s">
        <v>6924</v>
      </c>
      <c r="B1" s="563"/>
      <c r="C1" s="563"/>
      <c r="D1" s="564">
        <v>2010</v>
      </c>
      <c r="E1" s="564">
        <v>2011</v>
      </c>
      <c r="F1" s="564">
        <v>2012</v>
      </c>
      <c r="G1" s="564">
        <v>2013</v>
      </c>
      <c r="H1" s="564">
        <v>2014</v>
      </c>
      <c r="I1" s="564">
        <v>2015</v>
      </c>
      <c r="J1" s="564">
        <v>2016</v>
      </c>
      <c r="K1" s="564">
        <v>2017</v>
      </c>
      <c r="L1" s="564">
        <v>2018</v>
      </c>
      <c r="M1" s="564">
        <v>2019</v>
      </c>
      <c r="N1" s="564">
        <v>2020</v>
      </c>
      <c r="O1" s="960" t="s">
        <v>14823</v>
      </c>
      <c r="P1" s="563"/>
    </row>
    <row r="2" spans="1:17">
      <c r="A2" s="563"/>
      <c r="B2" s="563"/>
      <c r="C2" s="563"/>
      <c r="D2" s="563"/>
      <c r="E2" s="563"/>
      <c r="F2" s="563"/>
      <c r="G2" s="563"/>
      <c r="H2" s="563"/>
      <c r="I2" s="563"/>
      <c r="J2" s="563"/>
      <c r="K2" s="563"/>
      <c r="L2" s="563"/>
      <c r="M2" s="563"/>
      <c r="N2" s="563"/>
      <c r="O2" s="563"/>
      <c r="P2" s="563"/>
      <c r="Q2" s="563"/>
    </row>
    <row r="3" spans="1:17">
      <c r="A3" s="562" t="s">
        <v>1081</v>
      </c>
      <c r="C3" s="562"/>
      <c r="D3" s="565">
        <f t="shared" ref="D3:I3" si="0">SUM(D7:D13)</f>
        <v>503903</v>
      </c>
      <c r="E3" s="565">
        <f t="shared" si="0"/>
        <v>508199</v>
      </c>
      <c r="F3" s="565">
        <f t="shared" si="0"/>
        <v>510354</v>
      </c>
      <c r="G3" s="565">
        <f t="shared" si="0"/>
        <v>514121</v>
      </c>
      <c r="H3" s="565">
        <f t="shared" si="0"/>
        <v>514689</v>
      </c>
      <c r="I3" s="565">
        <f t="shared" si="0"/>
        <v>496919</v>
      </c>
      <c r="J3" s="565">
        <f t="shared" ref="J3:O3" si="1">SUM(J7:J13)</f>
        <v>496493</v>
      </c>
      <c r="K3" s="565">
        <f t="shared" si="1"/>
        <v>510754</v>
      </c>
      <c r="L3" s="565">
        <f t="shared" si="1"/>
        <v>514623</v>
      </c>
      <c r="M3" s="565">
        <f t="shared" si="1"/>
        <v>516674</v>
      </c>
      <c r="N3" s="565">
        <f t="shared" si="1"/>
        <v>533506</v>
      </c>
      <c r="O3" s="565">
        <f t="shared" si="1"/>
        <v>534229</v>
      </c>
      <c r="P3" s="563"/>
    </row>
    <row r="4" spans="1:17" ht="15.75" thickBot="1">
      <c r="A4" s="562" t="s">
        <v>1082</v>
      </c>
      <c r="C4" s="562"/>
      <c r="D4" s="566">
        <f t="shared" ref="D4:I4" si="2">D54</f>
        <v>29006</v>
      </c>
      <c r="E4" s="566">
        <f t="shared" si="2"/>
        <v>28437</v>
      </c>
      <c r="F4" s="566">
        <f t="shared" si="2"/>
        <v>28331</v>
      </c>
      <c r="G4" s="566">
        <f t="shared" si="2"/>
        <v>28707</v>
      </c>
      <c r="H4" s="566">
        <f t="shared" si="2"/>
        <v>28954</v>
      </c>
      <c r="I4" s="566">
        <f t="shared" si="2"/>
        <v>29053</v>
      </c>
      <c r="J4" s="566">
        <f t="shared" ref="J4:O4" si="3">J54</f>
        <v>27355</v>
      </c>
      <c r="K4" s="566">
        <f t="shared" si="3"/>
        <v>28933</v>
      </c>
      <c r="L4" s="566">
        <f t="shared" si="3"/>
        <v>28836</v>
      </c>
      <c r="M4" s="566">
        <f t="shared" si="3"/>
        <v>29106</v>
      </c>
      <c r="N4" s="566">
        <f t="shared" si="3"/>
        <v>29128</v>
      </c>
      <c r="O4" s="566">
        <f t="shared" si="3"/>
        <v>30154</v>
      </c>
      <c r="P4" s="563"/>
    </row>
    <row r="5" spans="1:17" ht="15.75" thickBot="1">
      <c r="A5" s="563"/>
      <c r="C5" s="563"/>
      <c r="D5" s="566">
        <f t="shared" ref="D5:I5" si="4">SUM(D3:D4)</f>
        <v>532909</v>
      </c>
      <c r="E5" s="566">
        <f t="shared" si="4"/>
        <v>536636</v>
      </c>
      <c r="F5" s="566">
        <f t="shared" si="4"/>
        <v>538685</v>
      </c>
      <c r="G5" s="566">
        <f t="shared" si="4"/>
        <v>542828</v>
      </c>
      <c r="H5" s="566">
        <f t="shared" si="4"/>
        <v>543643</v>
      </c>
      <c r="I5" s="566">
        <f t="shared" si="4"/>
        <v>525972</v>
      </c>
      <c r="J5" s="566">
        <f t="shared" ref="J5:O5" si="5">SUM(J3:J4)</f>
        <v>523848</v>
      </c>
      <c r="K5" s="566">
        <f t="shared" si="5"/>
        <v>539687</v>
      </c>
      <c r="L5" s="566">
        <f t="shared" si="5"/>
        <v>543459</v>
      </c>
      <c r="M5" s="566">
        <f t="shared" si="5"/>
        <v>545780</v>
      </c>
      <c r="N5" s="566">
        <f t="shared" si="5"/>
        <v>562634</v>
      </c>
      <c r="O5" s="566">
        <f t="shared" si="5"/>
        <v>564383</v>
      </c>
      <c r="P5" s="563"/>
    </row>
    <row r="6" spans="1:17">
      <c r="A6" s="563"/>
      <c r="C6" s="563"/>
      <c r="D6" s="567"/>
      <c r="E6" s="567"/>
      <c r="F6" s="567"/>
      <c r="G6" s="567"/>
      <c r="H6" s="567"/>
      <c r="I6" s="567"/>
      <c r="J6" s="567"/>
      <c r="K6" s="567"/>
      <c r="L6" s="567"/>
      <c r="M6" s="567"/>
      <c r="N6" s="567"/>
      <c r="O6" s="567"/>
      <c r="P6" s="563"/>
      <c r="Q6" s="563"/>
    </row>
    <row r="7" spans="1:17">
      <c r="A7" s="562" t="s">
        <v>1083</v>
      </c>
      <c r="C7" s="562"/>
      <c r="D7" s="565">
        <f t="shared" ref="D7:I7" si="6">D78</f>
        <v>72515</v>
      </c>
      <c r="E7" s="565">
        <f t="shared" si="6"/>
        <v>73026</v>
      </c>
      <c r="F7" s="565">
        <f t="shared" si="6"/>
        <v>73140</v>
      </c>
      <c r="G7" s="565">
        <f t="shared" si="6"/>
        <v>73787</v>
      </c>
      <c r="H7" s="565">
        <f t="shared" si="6"/>
        <v>73430</v>
      </c>
      <c r="I7" s="565">
        <f t="shared" si="6"/>
        <v>72327</v>
      </c>
      <c r="J7" s="565">
        <f t="shared" ref="J7:O7" si="7">J78</f>
        <v>72073</v>
      </c>
      <c r="K7" s="565">
        <f t="shared" si="7"/>
        <v>73738</v>
      </c>
      <c r="L7" s="565">
        <f t="shared" si="7"/>
        <v>74499</v>
      </c>
      <c r="M7" s="565">
        <f t="shared" si="7"/>
        <v>74605</v>
      </c>
      <c r="N7" s="565">
        <f t="shared" si="7"/>
        <v>76234</v>
      </c>
      <c r="O7" s="565">
        <f t="shared" si="7"/>
        <v>76056</v>
      </c>
      <c r="P7" s="563"/>
      <c r="Q7" s="568"/>
    </row>
    <row r="8" spans="1:17">
      <c r="A8" s="562" t="s">
        <v>1084</v>
      </c>
      <c r="C8" s="562"/>
      <c r="D8" s="565">
        <f t="shared" ref="D8:I8" si="8">D109</f>
        <v>129911</v>
      </c>
      <c r="E8" s="565">
        <f t="shared" si="8"/>
        <v>130936</v>
      </c>
      <c r="F8" s="565">
        <f t="shared" si="8"/>
        <v>131782</v>
      </c>
      <c r="G8" s="565">
        <f t="shared" si="8"/>
        <v>132712</v>
      </c>
      <c r="H8" s="565">
        <f t="shared" si="8"/>
        <v>133185</v>
      </c>
      <c r="I8" s="565">
        <f t="shared" si="8"/>
        <v>124752</v>
      </c>
      <c r="J8" s="565">
        <f t="shared" ref="J8:O8" si="9">J109</f>
        <v>127526</v>
      </c>
      <c r="K8" s="565">
        <f t="shared" si="9"/>
        <v>131411</v>
      </c>
      <c r="L8" s="565">
        <f t="shared" si="9"/>
        <v>129612</v>
      </c>
      <c r="M8" s="565">
        <f t="shared" si="9"/>
        <v>129609</v>
      </c>
      <c r="N8" s="565">
        <f t="shared" si="9"/>
        <v>137035</v>
      </c>
      <c r="O8" s="565">
        <f t="shared" si="9"/>
        <v>137316</v>
      </c>
      <c r="P8" s="563"/>
      <c r="Q8" s="568"/>
    </row>
    <row r="9" spans="1:17">
      <c r="A9" s="562" t="s">
        <v>1085</v>
      </c>
      <c r="C9" s="562"/>
      <c r="D9" s="565">
        <f t="shared" ref="D9:I9" si="10">D147</f>
        <v>65051</v>
      </c>
      <c r="E9" s="565">
        <f t="shared" si="10"/>
        <v>65594</v>
      </c>
      <c r="F9" s="565">
        <f t="shared" si="10"/>
        <v>65748</v>
      </c>
      <c r="G9" s="565">
        <f t="shared" si="10"/>
        <v>66579</v>
      </c>
      <c r="H9" s="565">
        <f t="shared" si="10"/>
        <v>67111</v>
      </c>
      <c r="I9" s="565">
        <f t="shared" si="10"/>
        <v>65562</v>
      </c>
      <c r="J9" s="565">
        <f t="shared" ref="J9:O9" si="11">J147</f>
        <v>63449</v>
      </c>
      <c r="K9" s="565">
        <f t="shared" si="11"/>
        <v>66650</v>
      </c>
      <c r="L9" s="565">
        <f t="shared" si="11"/>
        <v>67688</v>
      </c>
      <c r="M9" s="565">
        <f t="shared" si="11"/>
        <v>68408</v>
      </c>
      <c r="N9" s="565">
        <f t="shared" si="11"/>
        <v>71122</v>
      </c>
      <c r="O9" s="565">
        <f t="shared" si="11"/>
        <v>71190</v>
      </c>
      <c r="P9" s="563"/>
      <c r="Q9" s="568"/>
    </row>
    <row r="10" spans="1:17">
      <c r="A10" s="562" t="s">
        <v>1086</v>
      </c>
      <c r="C10" s="562"/>
      <c r="D10" s="565">
        <f t="shared" ref="D10:I10" si="12">D183</f>
        <v>82877</v>
      </c>
      <c r="E10" s="565">
        <f t="shared" si="12"/>
        <v>83309</v>
      </c>
      <c r="F10" s="565">
        <f t="shared" si="12"/>
        <v>84001</v>
      </c>
      <c r="G10" s="565">
        <f t="shared" si="12"/>
        <v>84838</v>
      </c>
      <c r="H10" s="565">
        <f t="shared" si="12"/>
        <v>84913</v>
      </c>
      <c r="I10" s="565">
        <f t="shared" si="12"/>
        <v>84052</v>
      </c>
      <c r="J10" s="565">
        <f t="shared" ref="J10:O10" si="13">J183</f>
        <v>83628</v>
      </c>
      <c r="K10" s="565">
        <f t="shared" si="13"/>
        <v>84789</v>
      </c>
      <c r="L10" s="565">
        <f t="shared" si="13"/>
        <v>86573</v>
      </c>
      <c r="M10" s="565">
        <f t="shared" si="13"/>
        <v>85808</v>
      </c>
      <c r="N10" s="565">
        <f t="shared" si="13"/>
        <v>87602</v>
      </c>
      <c r="O10" s="565">
        <f t="shared" si="13"/>
        <v>87542</v>
      </c>
      <c r="P10" s="563"/>
      <c r="Q10" s="568"/>
    </row>
    <row r="11" spans="1:17">
      <c r="A11" s="562" t="s">
        <v>1087</v>
      </c>
      <c r="C11" s="562"/>
      <c r="D11" s="565">
        <f t="shared" ref="D11:I11" si="14">D209</f>
        <v>37655</v>
      </c>
      <c r="E11" s="565">
        <f t="shared" si="14"/>
        <v>38266</v>
      </c>
      <c r="F11" s="565">
        <f t="shared" si="14"/>
        <v>38399</v>
      </c>
      <c r="G11" s="565">
        <f t="shared" si="14"/>
        <v>38381</v>
      </c>
      <c r="H11" s="565">
        <f t="shared" si="14"/>
        <v>38473</v>
      </c>
      <c r="I11" s="565">
        <f t="shared" si="14"/>
        <v>37633</v>
      </c>
      <c r="J11" s="565">
        <f t="shared" ref="J11:O11" si="15">J209</f>
        <v>36820</v>
      </c>
      <c r="K11" s="565">
        <f t="shared" si="15"/>
        <v>37948</v>
      </c>
      <c r="L11" s="565">
        <f t="shared" si="15"/>
        <v>38246</v>
      </c>
      <c r="M11" s="565">
        <f t="shared" si="15"/>
        <v>38285</v>
      </c>
      <c r="N11" s="565">
        <f t="shared" si="15"/>
        <v>39339</v>
      </c>
      <c r="O11" s="565">
        <f t="shared" si="15"/>
        <v>39259</v>
      </c>
      <c r="P11" s="563"/>
      <c r="Q11" s="568"/>
    </row>
    <row r="12" spans="1:17">
      <c r="A12" s="562" t="s">
        <v>1088</v>
      </c>
      <c r="C12" s="562"/>
      <c r="D12" s="565">
        <f t="shared" ref="D12:I12" si="16">D234</f>
        <v>71108</v>
      </c>
      <c r="E12" s="565">
        <f t="shared" si="16"/>
        <v>72022</v>
      </c>
      <c r="F12" s="565">
        <f t="shared" si="16"/>
        <v>72392</v>
      </c>
      <c r="G12" s="565">
        <f t="shared" si="16"/>
        <v>72823</v>
      </c>
      <c r="H12" s="565">
        <f t="shared" si="16"/>
        <v>72678</v>
      </c>
      <c r="I12" s="565">
        <f t="shared" si="16"/>
        <v>70231</v>
      </c>
      <c r="J12" s="565">
        <f t="shared" ref="J12:O12" si="17">J234</f>
        <v>71377</v>
      </c>
      <c r="K12" s="565">
        <f t="shared" si="17"/>
        <v>74767</v>
      </c>
      <c r="L12" s="565">
        <f t="shared" si="17"/>
        <v>76225</v>
      </c>
      <c r="M12" s="565">
        <f t="shared" si="17"/>
        <v>77909</v>
      </c>
      <c r="N12" s="565">
        <f t="shared" si="17"/>
        <v>78748</v>
      </c>
      <c r="O12" s="565">
        <f t="shared" si="17"/>
        <v>79551</v>
      </c>
      <c r="P12" s="563"/>
      <c r="Q12" s="568"/>
    </row>
    <row r="13" spans="1:17">
      <c r="A13" s="562" t="s">
        <v>1089</v>
      </c>
      <c r="C13" s="562"/>
      <c r="D13" s="565">
        <f t="shared" ref="D13:I13" si="18">D281</f>
        <v>44786</v>
      </c>
      <c r="E13" s="565">
        <f t="shared" si="18"/>
        <v>45046</v>
      </c>
      <c r="F13" s="565">
        <f t="shared" si="18"/>
        <v>44892</v>
      </c>
      <c r="G13" s="565">
        <f t="shared" si="18"/>
        <v>45001</v>
      </c>
      <c r="H13" s="565">
        <f t="shared" si="18"/>
        <v>44899</v>
      </c>
      <c r="I13" s="565">
        <f t="shared" si="18"/>
        <v>42362</v>
      </c>
      <c r="J13" s="565">
        <f t="shared" ref="J13:O13" si="19">J281</f>
        <v>41620</v>
      </c>
      <c r="K13" s="565">
        <f t="shared" si="19"/>
        <v>41451</v>
      </c>
      <c r="L13" s="565">
        <f t="shared" si="19"/>
        <v>41780</v>
      </c>
      <c r="M13" s="565">
        <f t="shared" si="19"/>
        <v>42050</v>
      </c>
      <c r="N13" s="565">
        <f t="shared" si="19"/>
        <v>43426</v>
      </c>
      <c r="O13" s="565">
        <f t="shared" si="19"/>
        <v>43315</v>
      </c>
      <c r="P13" s="563"/>
      <c r="Q13" s="568"/>
    </row>
    <row r="14" spans="1:17">
      <c r="A14" s="563"/>
      <c r="B14" s="563"/>
      <c r="C14" s="563"/>
      <c r="D14" s="563"/>
      <c r="E14" s="563"/>
      <c r="F14" s="563"/>
      <c r="G14" s="563"/>
      <c r="H14" s="563"/>
      <c r="I14" s="563"/>
      <c r="J14" s="563"/>
      <c r="K14" s="563"/>
      <c r="L14" s="563"/>
      <c r="M14" s="563"/>
      <c r="N14" s="563"/>
      <c r="O14" s="563"/>
      <c r="P14" s="563"/>
      <c r="Q14" s="563"/>
    </row>
    <row r="15" spans="1:17">
      <c r="A15" s="569" t="s">
        <v>1811</v>
      </c>
      <c r="B15" s="563"/>
      <c r="C15" s="563"/>
      <c r="D15" s="565">
        <f t="shared" ref="D15:I15" si="20">D3/7</f>
        <v>71986.142857142855</v>
      </c>
      <c r="E15" s="565">
        <f t="shared" si="20"/>
        <v>72599.857142857145</v>
      </c>
      <c r="F15" s="565">
        <f t="shared" si="20"/>
        <v>72907.71428571429</v>
      </c>
      <c r="G15" s="565">
        <f t="shared" si="20"/>
        <v>73445.857142857145</v>
      </c>
      <c r="H15" s="565">
        <f t="shared" si="20"/>
        <v>73527</v>
      </c>
      <c r="I15" s="565">
        <f t="shared" si="20"/>
        <v>70988.428571428565</v>
      </c>
      <c r="J15" s="565">
        <f t="shared" ref="J15:O15" si="21">J3/7</f>
        <v>70927.571428571435</v>
      </c>
      <c r="K15" s="565">
        <f t="shared" si="21"/>
        <v>72964.857142857145</v>
      </c>
      <c r="L15" s="565">
        <f t="shared" si="21"/>
        <v>73517.571428571435</v>
      </c>
      <c r="M15" s="565">
        <f t="shared" si="21"/>
        <v>73810.571428571435</v>
      </c>
      <c r="N15" s="565">
        <f t="shared" si="21"/>
        <v>76215.142857142855</v>
      </c>
      <c r="O15" s="565">
        <f t="shared" si="21"/>
        <v>76318.428571428565</v>
      </c>
      <c r="P15" s="563"/>
      <c r="Q15" s="563"/>
    </row>
    <row r="16" spans="1:17">
      <c r="A16" s="562" t="s">
        <v>1812</v>
      </c>
      <c r="B16" s="563"/>
      <c r="C16" s="563"/>
      <c r="D16" s="565">
        <f t="shared" ref="D16:I16" si="22">D4/1</f>
        <v>29006</v>
      </c>
      <c r="E16" s="565">
        <f t="shared" si="22"/>
        <v>28437</v>
      </c>
      <c r="F16" s="565">
        <f t="shared" si="22"/>
        <v>28331</v>
      </c>
      <c r="G16" s="565">
        <f t="shared" si="22"/>
        <v>28707</v>
      </c>
      <c r="H16" s="565">
        <f t="shared" si="22"/>
        <v>28954</v>
      </c>
      <c r="I16" s="565">
        <f t="shared" si="22"/>
        <v>29053</v>
      </c>
      <c r="J16" s="565">
        <f t="shared" ref="J16:O16" si="23">J4/1</f>
        <v>27355</v>
      </c>
      <c r="K16" s="565">
        <f t="shared" si="23"/>
        <v>28933</v>
      </c>
      <c r="L16" s="565">
        <f t="shared" si="23"/>
        <v>28836</v>
      </c>
      <c r="M16" s="565">
        <f t="shared" si="23"/>
        <v>29106</v>
      </c>
      <c r="N16" s="565">
        <f t="shared" si="23"/>
        <v>29128</v>
      </c>
      <c r="O16" s="565">
        <f t="shared" si="23"/>
        <v>30154</v>
      </c>
      <c r="P16" s="563"/>
      <c r="Q16" s="563"/>
    </row>
    <row r="17" spans="1:17">
      <c r="A17" s="562" t="s">
        <v>4885</v>
      </c>
      <c r="B17" s="563"/>
      <c r="C17" s="563"/>
      <c r="D17" s="565">
        <f t="shared" ref="D17:I17" si="24">D5/7</f>
        <v>76129.857142857145</v>
      </c>
      <c r="E17" s="565">
        <f t="shared" si="24"/>
        <v>76662.28571428571</v>
      </c>
      <c r="F17" s="565">
        <f t="shared" si="24"/>
        <v>76955</v>
      </c>
      <c r="G17" s="565">
        <f t="shared" si="24"/>
        <v>77546.857142857145</v>
      </c>
      <c r="H17" s="565">
        <f t="shared" si="24"/>
        <v>77663.28571428571</v>
      </c>
      <c r="I17" s="565">
        <f t="shared" si="24"/>
        <v>75138.857142857145</v>
      </c>
      <c r="J17" s="565">
        <f t="shared" ref="J17:O17" si="25">J5/7</f>
        <v>74835.428571428565</v>
      </c>
      <c r="K17" s="565">
        <f t="shared" si="25"/>
        <v>77098.142857142855</v>
      </c>
      <c r="L17" s="565">
        <f t="shared" si="25"/>
        <v>77637</v>
      </c>
      <c r="M17" s="565">
        <f t="shared" si="25"/>
        <v>77968.571428571435</v>
      </c>
      <c r="N17" s="565">
        <f t="shared" si="25"/>
        <v>80376.28571428571</v>
      </c>
      <c r="O17" s="565">
        <f t="shared" si="25"/>
        <v>80626.142857142855</v>
      </c>
      <c r="P17" s="563"/>
      <c r="Q17" s="563"/>
    </row>
    <row r="18" spans="1:17">
      <c r="A18" s="562"/>
      <c r="B18" s="563"/>
      <c r="C18" s="563"/>
      <c r="D18" s="570"/>
      <c r="E18" s="570"/>
      <c r="F18" s="570"/>
      <c r="G18" s="570"/>
      <c r="H18" s="570"/>
      <c r="I18" s="570"/>
      <c r="J18" s="570"/>
      <c r="K18" s="570"/>
      <c r="L18" s="570"/>
      <c r="M18" s="570"/>
      <c r="N18" s="570"/>
      <c r="O18" s="570"/>
      <c r="P18" s="563"/>
      <c r="Q18" s="563"/>
    </row>
    <row r="19" spans="1:17">
      <c r="A19" s="562" t="s">
        <v>1813</v>
      </c>
      <c r="D19" s="565">
        <f t="shared" ref="D19:I19" si="26">D201</f>
        <v>77351</v>
      </c>
      <c r="E19" s="565">
        <f t="shared" si="26"/>
        <v>77787</v>
      </c>
      <c r="F19" s="565">
        <f t="shared" si="26"/>
        <v>78400</v>
      </c>
      <c r="G19" s="565">
        <f t="shared" si="26"/>
        <v>79198</v>
      </c>
      <c r="H19" s="565">
        <f t="shared" si="26"/>
        <v>79289</v>
      </c>
      <c r="I19" s="565">
        <f t="shared" si="26"/>
        <v>78512</v>
      </c>
      <c r="J19" s="565">
        <f t="shared" ref="J19:O19" si="27">J201</f>
        <v>78188</v>
      </c>
      <c r="K19" s="565">
        <f t="shared" si="27"/>
        <v>79359</v>
      </c>
      <c r="L19" s="565">
        <f t="shared" si="27"/>
        <v>81097</v>
      </c>
      <c r="M19" s="565">
        <f t="shared" si="27"/>
        <v>80462</v>
      </c>
      <c r="N19" s="565">
        <f t="shared" si="27"/>
        <v>82158</v>
      </c>
      <c r="O19" s="565">
        <f t="shared" si="27"/>
        <v>82098</v>
      </c>
      <c r="P19" s="563"/>
      <c r="Q19" s="562" t="s">
        <v>1814</v>
      </c>
    </row>
    <row r="20" spans="1:17">
      <c r="A20" s="563"/>
      <c r="D20" s="567"/>
      <c r="E20" s="567"/>
      <c r="F20" s="567"/>
      <c r="G20" s="567"/>
      <c r="H20" s="567"/>
      <c r="I20" s="567"/>
      <c r="J20" s="567"/>
      <c r="K20" s="567"/>
      <c r="L20" s="567"/>
      <c r="M20" s="567"/>
      <c r="N20" s="567"/>
      <c r="O20" s="567"/>
      <c r="P20" s="563"/>
      <c r="Q20" s="563"/>
    </row>
    <row r="21" spans="1:17">
      <c r="A21" s="562" t="s">
        <v>1815</v>
      </c>
      <c r="D21" s="565">
        <f t="shared" ref="D21:I21" si="28">D100</f>
        <v>16761</v>
      </c>
      <c r="E21" s="565">
        <f t="shared" si="28"/>
        <v>16880</v>
      </c>
      <c r="F21" s="565">
        <f t="shared" si="28"/>
        <v>16881</v>
      </c>
      <c r="G21" s="565">
        <f t="shared" si="28"/>
        <v>16815</v>
      </c>
      <c r="H21" s="565">
        <f t="shared" si="28"/>
        <v>16757</v>
      </c>
      <c r="I21" s="565">
        <f t="shared" si="28"/>
        <v>16653</v>
      </c>
      <c r="J21" s="565">
        <f t="shared" ref="J21:O21" si="29">J100</f>
        <v>16562</v>
      </c>
      <c r="K21" s="565">
        <f t="shared" si="29"/>
        <v>17065</v>
      </c>
      <c r="L21" s="565">
        <f t="shared" si="29"/>
        <v>17216</v>
      </c>
      <c r="M21" s="565">
        <f t="shared" si="29"/>
        <v>17209</v>
      </c>
      <c r="N21" s="565">
        <f t="shared" si="29"/>
        <v>17608</v>
      </c>
      <c r="O21" s="565">
        <f t="shared" si="29"/>
        <v>17548</v>
      </c>
      <c r="P21" s="563"/>
      <c r="Q21" s="562" t="s">
        <v>1816</v>
      </c>
    </row>
    <row r="22" spans="1:17">
      <c r="A22" s="563"/>
      <c r="D22" s="565">
        <f t="shared" ref="D22:I22" si="30">D139</f>
        <v>52447</v>
      </c>
      <c r="E22" s="565">
        <f t="shared" si="30"/>
        <v>53052</v>
      </c>
      <c r="F22" s="565">
        <f t="shared" si="30"/>
        <v>53713</v>
      </c>
      <c r="G22" s="565">
        <f t="shared" si="30"/>
        <v>54438</v>
      </c>
      <c r="H22" s="565">
        <f t="shared" si="30"/>
        <v>54762</v>
      </c>
      <c r="I22" s="565">
        <f t="shared" si="30"/>
        <v>54819</v>
      </c>
      <c r="J22" s="565">
        <f t="shared" ref="J22:O22" si="31">J139</f>
        <v>53457</v>
      </c>
      <c r="K22" s="565">
        <f t="shared" si="31"/>
        <v>54305</v>
      </c>
      <c r="L22" s="565">
        <f t="shared" si="31"/>
        <v>55749</v>
      </c>
      <c r="M22" s="565">
        <f t="shared" si="31"/>
        <v>55682</v>
      </c>
      <c r="N22" s="565">
        <f t="shared" si="31"/>
        <v>57091</v>
      </c>
      <c r="O22" s="565">
        <f t="shared" si="31"/>
        <v>57243</v>
      </c>
      <c r="P22" s="563"/>
      <c r="Q22" s="562" t="s">
        <v>1817</v>
      </c>
    </row>
    <row r="23" spans="1:17" ht="15.75" thickBot="1">
      <c r="A23" s="563"/>
      <c r="D23" s="566">
        <f t="shared" ref="D23:I23" si="32">D202</f>
        <v>5526</v>
      </c>
      <c r="E23" s="566">
        <f t="shared" si="32"/>
        <v>5522</v>
      </c>
      <c r="F23" s="566">
        <f t="shared" si="32"/>
        <v>5601</v>
      </c>
      <c r="G23" s="566">
        <f t="shared" si="32"/>
        <v>5640</v>
      </c>
      <c r="H23" s="566">
        <f t="shared" si="32"/>
        <v>5624</v>
      </c>
      <c r="I23" s="566">
        <f t="shared" si="32"/>
        <v>5540</v>
      </c>
      <c r="J23" s="566">
        <f t="shared" ref="J23:O23" si="33">J202</f>
        <v>5440</v>
      </c>
      <c r="K23" s="566">
        <f t="shared" si="33"/>
        <v>5430</v>
      </c>
      <c r="L23" s="566">
        <f t="shared" si="33"/>
        <v>5476</v>
      </c>
      <c r="M23" s="566">
        <f t="shared" si="33"/>
        <v>5346</v>
      </c>
      <c r="N23" s="566">
        <f t="shared" si="33"/>
        <v>5444</v>
      </c>
      <c r="O23" s="566">
        <f t="shared" si="33"/>
        <v>5444</v>
      </c>
      <c r="P23" s="563"/>
      <c r="Q23" s="562" t="s">
        <v>1814</v>
      </c>
    </row>
    <row r="24" spans="1:17" ht="15.75" thickBot="1">
      <c r="A24" s="563"/>
      <c r="D24" s="566">
        <f t="shared" ref="D24:I24" si="34">SUM(D21:D23)</f>
        <v>74734</v>
      </c>
      <c r="E24" s="566">
        <f t="shared" si="34"/>
        <v>75454</v>
      </c>
      <c r="F24" s="566">
        <f t="shared" si="34"/>
        <v>76195</v>
      </c>
      <c r="G24" s="566">
        <f t="shared" si="34"/>
        <v>76893</v>
      </c>
      <c r="H24" s="566">
        <f t="shared" si="34"/>
        <v>77143</v>
      </c>
      <c r="I24" s="566">
        <f t="shared" si="34"/>
        <v>77012</v>
      </c>
      <c r="J24" s="566">
        <f t="shared" ref="J24:O24" si="35">SUM(J21:J23)</f>
        <v>75459</v>
      </c>
      <c r="K24" s="566">
        <f t="shared" si="35"/>
        <v>76800</v>
      </c>
      <c r="L24" s="566">
        <f t="shared" si="35"/>
        <v>78441</v>
      </c>
      <c r="M24" s="566">
        <f t="shared" si="35"/>
        <v>78237</v>
      </c>
      <c r="N24" s="566">
        <f t="shared" si="35"/>
        <v>80143</v>
      </c>
      <c r="O24" s="566">
        <f t="shared" si="35"/>
        <v>80235</v>
      </c>
      <c r="P24" s="563"/>
      <c r="Q24" s="563"/>
    </row>
    <row r="25" spans="1:17">
      <c r="A25" s="563"/>
      <c r="D25" s="567"/>
      <c r="E25" s="567"/>
      <c r="F25" s="567"/>
      <c r="G25" s="567"/>
      <c r="H25" s="567"/>
      <c r="I25" s="567"/>
      <c r="J25" s="567"/>
      <c r="K25" s="567"/>
      <c r="L25" s="567"/>
      <c r="M25" s="567"/>
      <c r="N25" s="567"/>
      <c r="O25" s="567"/>
      <c r="P25" s="563"/>
      <c r="Q25" s="563"/>
    </row>
    <row r="26" spans="1:17">
      <c r="A26" s="562" t="s">
        <v>1818</v>
      </c>
      <c r="D26" s="565">
        <f t="shared" ref="D26:I26" si="36">D174</f>
        <v>33339</v>
      </c>
      <c r="E26" s="565">
        <f t="shared" si="36"/>
        <v>33707</v>
      </c>
      <c r="F26" s="565">
        <f t="shared" si="36"/>
        <v>33708</v>
      </c>
      <c r="G26" s="565">
        <f t="shared" si="36"/>
        <v>34379</v>
      </c>
      <c r="H26" s="565">
        <f t="shared" si="36"/>
        <v>34870</v>
      </c>
      <c r="I26" s="565">
        <f t="shared" si="36"/>
        <v>34252</v>
      </c>
      <c r="J26" s="565">
        <f t="shared" ref="J26:O26" si="37">J174</f>
        <v>33347</v>
      </c>
      <c r="K26" s="565">
        <f t="shared" si="37"/>
        <v>35091</v>
      </c>
      <c r="L26" s="565">
        <f t="shared" si="37"/>
        <v>35615</v>
      </c>
      <c r="M26" s="565">
        <f t="shared" si="37"/>
        <v>35787</v>
      </c>
      <c r="N26" s="565">
        <f t="shared" si="37"/>
        <v>37248</v>
      </c>
      <c r="O26" s="565">
        <f t="shared" si="37"/>
        <v>37324</v>
      </c>
      <c r="P26" s="563"/>
      <c r="Q26" s="562" t="s">
        <v>3201</v>
      </c>
    </row>
    <row r="27" spans="1:17" ht="15.75" thickBot="1">
      <c r="A27" s="563"/>
      <c r="D27" s="566">
        <f t="shared" ref="D27:I27" si="38">D293</f>
        <v>44786</v>
      </c>
      <c r="E27" s="566">
        <f t="shared" si="38"/>
        <v>45046</v>
      </c>
      <c r="F27" s="566">
        <f t="shared" si="38"/>
        <v>44892</v>
      </c>
      <c r="G27" s="566">
        <f t="shared" si="38"/>
        <v>45001</v>
      </c>
      <c r="H27" s="566">
        <f t="shared" si="38"/>
        <v>44899</v>
      </c>
      <c r="I27" s="566">
        <f t="shared" si="38"/>
        <v>42362</v>
      </c>
      <c r="J27" s="566">
        <f t="shared" ref="J27:O27" si="39">J293</f>
        <v>41620</v>
      </c>
      <c r="K27" s="566">
        <f t="shared" si="39"/>
        <v>41451</v>
      </c>
      <c r="L27" s="566">
        <f t="shared" si="39"/>
        <v>41780</v>
      </c>
      <c r="M27" s="566">
        <f t="shared" si="39"/>
        <v>42050</v>
      </c>
      <c r="N27" s="566">
        <f t="shared" si="39"/>
        <v>43426</v>
      </c>
      <c r="O27" s="566">
        <f t="shared" si="39"/>
        <v>43315</v>
      </c>
      <c r="P27" s="563"/>
      <c r="Q27" s="562" t="s">
        <v>5958</v>
      </c>
    </row>
    <row r="28" spans="1:17" ht="15.75" thickBot="1">
      <c r="A28" s="563"/>
      <c r="D28" s="566">
        <f t="shared" ref="D28:I28" si="40">D26+D27</f>
        <v>78125</v>
      </c>
      <c r="E28" s="566">
        <f t="shared" si="40"/>
        <v>78753</v>
      </c>
      <c r="F28" s="566">
        <f t="shared" si="40"/>
        <v>78600</v>
      </c>
      <c r="G28" s="566">
        <f t="shared" si="40"/>
        <v>79380</v>
      </c>
      <c r="H28" s="566">
        <f t="shared" si="40"/>
        <v>79769</v>
      </c>
      <c r="I28" s="566">
        <f t="shared" si="40"/>
        <v>76614</v>
      </c>
      <c r="J28" s="566">
        <f t="shared" ref="J28:O28" si="41">J26+J27</f>
        <v>74967</v>
      </c>
      <c r="K28" s="566">
        <f t="shared" si="41"/>
        <v>76542</v>
      </c>
      <c r="L28" s="566">
        <f t="shared" si="41"/>
        <v>77395</v>
      </c>
      <c r="M28" s="566">
        <f t="shared" si="41"/>
        <v>77837</v>
      </c>
      <c r="N28" s="566">
        <f t="shared" si="41"/>
        <v>80674</v>
      </c>
      <c r="O28" s="566">
        <f t="shared" si="41"/>
        <v>80639</v>
      </c>
      <c r="P28" s="563"/>
      <c r="Q28" s="563"/>
    </row>
    <row r="29" spans="1:17">
      <c r="A29" s="563"/>
      <c r="D29" s="567"/>
      <c r="E29" s="567"/>
      <c r="F29" s="567"/>
      <c r="G29" s="567"/>
      <c r="H29" s="567"/>
      <c r="I29" s="567"/>
      <c r="J29" s="567"/>
      <c r="K29" s="567"/>
      <c r="L29" s="567"/>
      <c r="M29" s="567"/>
      <c r="N29" s="567"/>
      <c r="O29" s="567"/>
      <c r="P29" s="563"/>
      <c r="Q29" s="563"/>
    </row>
    <row r="30" spans="1:17">
      <c r="A30" s="562" t="s">
        <v>3202</v>
      </c>
      <c r="D30" s="565">
        <f t="shared" ref="D30:I30" si="42">D140</f>
        <v>77464</v>
      </c>
      <c r="E30" s="565">
        <f t="shared" si="42"/>
        <v>77884</v>
      </c>
      <c r="F30" s="565">
        <f t="shared" si="42"/>
        <v>78069</v>
      </c>
      <c r="G30" s="565">
        <f t="shared" si="42"/>
        <v>78274</v>
      </c>
      <c r="H30" s="565">
        <f t="shared" si="42"/>
        <v>78423</v>
      </c>
      <c r="I30" s="565">
        <f t="shared" si="42"/>
        <v>69933</v>
      </c>
      <c r="J30" s="565">
        <f t="shared" ref="J30:O30" si="43">J140</f>
        <v>74069</v>
      </c>
      <c r="K30" s="565">
        <f t="shared" si="43"/>
        <v>77106</v>
      </c>
      <c r="L30" s="565">
        <f t="shared" si="43"/>
        <v>73863</v>
      </c>
      <c r="M30" s="565">
        <f t="shared" si="43"/>
        <v>73927</v>
      </c>
      <c r="N30" s="565">
        <f t="shared" si="43"/>
        <v>79944</v>
      </c>
      <c r="O30" s="565">
        <f t="shared" si="43"/>
        <v>80073</v>
      </c>
      <c r="P30" s="563"/>
      <c r="Q30" s="562" t="s">
        <v>1817</v>
      </c>
    </row>
    <row r="31" spans="1:17">
      <c r="A31" s="563"/>
      <c r="D31" s="567"/>
      <c r="E31" s="567"/>
      <c r="F31" s="567"/>
      <c r="G31" s="567"/>
      <c r="H31" s="567"/>
      <c r="I31" s="567"/>
      <c r="J31" s="567"/>
      <c r="K31" s="567"/>
      <c r="L31" s="567"/>
      <c r="M31" s="567"/>
      <c r="N31" s="567"/>
      <c r="O31" s="567"/>
      <c r="P31" s="563"/>
      <c r="Q31" s="563"/>
    </row>
    <row r="32" spans="1:17">
      <c r="A32" s="562" t="s">
        <v>3203</v>
      </c>
      <c r="D32" s="565">
        <f t="shared" ref="D32:I32" si="44">D274</f>
        <v>71108</v>
      </c>
      <c r="E32" s="565">
        <f t="shared" si="44"/>
        <v>72022</v>
      </c>
      <c r="F32" s="565">
        <f t="shared" si="44"/>
        <v>72392</v>
      </c>
      <c r="G32" s="565">
        <f t="shared" si="44"/>
        <v>72823</v>
      </c>
      <c r="H32" s="565">
        <f t="shared" si="44"/>
        <v>72678</v>
      </c>
      <c r="I32" s="565">
        <f t="shared" si="44"/>
        <v>70231</v>
      </c>
      <c r="J32" s="565">
        <f t="shared" ref="J32:O32" si="45">J274</f>
        <v>71377</v>
      </c>
      <c r="K32" s="565">
        <f t="shared" si="45"/>
        <v>74767</v>
      </c>
      <c r="L32" s="565">
        <f t="shared" si="45"/>
        <v>76225</v>
      </c>
      <c r="M32" s="565">
        <f t="shared" si="45"/>
        <v>77909</v>
      </c>
      <c r="N32" s="565">
        <f t="shared" si="45"/>
        <v>78748</v>
      </c>
      <c r="O32" s="565">
        <f t="shared" si="45"/>
        <v>79551</v>
      </c>
      <c r="P32" s="563"/>
      <c r="Q32" s="562" t="s">
        <v>5957</v>
      </c>
    </row>
    <row r="33" spans="1:17">
      <c r="A33" s="563"/>
      <c r="D33" s="567"/>
      <c r="E33" s="567"/>
      <c r="F33" s="567"/>
      <c r="G33" s="567"/>
      <c r="H33" s="567"/>
      <c r="I33" s="567"/>
      <c r="J33" s="567"/>
      <c r="K33" s="567"/>
      <c r="L33" s="567"/>
      <c r="M33" s="567"/>
      <c r="N33" s="567"/>
      <c r="O33" s="567"/>
      <c r="P33" s="563"/>
      <c r="Q33" s="563"/>
    </row>
    <row r="34" spans="1:17">
      <c r="A34" s="562" t="s">
        <v>3204</v>
      </c>
      <c r="D34" s="565">
        <f t="shared" ref="D34:I34" si="46">D175</f>
        <v>10435</v>
      </c>
      <c r="E34" s="565">
        <f t="shared" si="46"/>
        <v>10621</v>
      </c>
      <c r="F34" s="565">
        <f t="shared" si="46"/>
        <v>10635</v>
      </c>
      <c r="G34" s="565">
        <f t="shared" si="46"/>
        <v>10731</v>
      </c>
      <c r="H34" s="565">
        <f t="shared" si="46"/>
        <v>10741</v>
      </c>
      <c r="I34" s="565">
        <f t="shared" si="46"/>
        <v>10385</v>
      </c>
      <c r="J34" s="565">
        <f t="shared" ref="J34:O34" si="47">J175</f>
        <v>9820</v>
      </c>
      <c r="K34" s="565">
        <f t="shared" si="47"/>
        <v>10551</v>
      </c>
      <c r="L34" s="565">
        <f t="shared" si="47"/>
        <v>10702</v>
      </c>
      <c r="M34" s="565">
        <f t="shared" si="47"/>
        <v>10799</v>
      </c>
      <c r="N34" s="565">
        <f t="shared" si="47"/>
        <v>11374</v>
      </c>
      <c r="O34" s="565">
        <f t="shared" si="47"/>
        <v>11351</v>
      </c>
      <c r="P34" s="563"/>
      <c r="Q34" s="562" t="s">
        <v>3201</v>
      </c>
    </row>
    <row r="35" spans="1:17">
      <c r="A35" s="563"/>
      <c r="B35" s="563"/>
      <c r="C35" s="563"/>
      <c r="D35" s="565">
        <f t="shared" ref="D35:I35" si="48">D227</f>
        <v>37655</v>
      </c>
      <c r="E35" s="565">
        <f t="shared" si="48"/>
        <v>38266</v>
      </c>
      <c r="F35" s="565">
        <f t="shared" si="48"/>
        <v>38399</v>
      </c>
      <c r="G35" s="565">
        <f t="shared" si="48"/>
        <v>38381</v>
      </c>
      <c r="H35" s="565">
        <f t="shared" si="48"/>
        <v>38473</v>
      </c>
      <c r="I35" s="565">
        <f t="shared" si="48"/>
        <v>37633</v>
      </c>
      <c r="J35" s="565">
        <f t="shared" ref="J35:O35" si="49">J227</f>
        <v>36820</v>
      </c>
      <c r="K35" s="565">
        <f t="shared" si="49"/>
        <v>37948</v>
      </c>
      <c r="L35" s="565">
        <f t="shared" si="49"/>
        <v>38246</v>
      </c>
      <c r="M35" s="565">
        <f t="shared" si="49"/>
        <v>38285</v>
      </c>
      <c r="N35" s="565">
        <f t="shared" si="49"/>
        <v>39339</v>
      </c>
      <c r="O35" s="565">
        <f t="shared" si="49"/>
        <v>39259</v>
      </c>
      <c r="P35" s="563"/>
      <c r="Q35" s="562" t="s">
        <v>5956</v>
      </c>
    </row>
    <row r="36" spans="1:17" ht="15.75" thickBot="1">
      <c r="A36" s="563"/>
      <c r="B36" s="563"/>
      <c r="C36" s="563"/>
      <c r="D36" s="566">
        <f t="shared" ref="D36:I36" si="50">D71</f>
        <v>29006</v>
      </c>
      <c r="E36" s="566">
        <f t="shared" si="50"/>
        <v>28437</v>
      </c>
      <c r="F36" s="566">
        <f t="shared" si="50"/>
        <v>28331</v>
      </c>
      <c r="G36" s="566">
        <f t="shared" si="50"/>
        <v>28707</v>
      </c>
      <c r="H36" s="566">
        <f t="shared" si="50"/>
        <v>28954</v>
      </c>
      <c r="I36" s="566">
        <f t="shared" si="50"/>
        <v>29053</v>
      </c>
      <c r="J36" s="566">
        <f t="shared" ref="J36:O36" si="51">J71</f>
        <v>27355</v>
      </c>
      <c r="K36" s="566">
        <f t="shared" si="51"/>
        <v>28933</v>
      </c>
      <c r="L36" s="566">
        <f t="shared" si="51"/>
        <v>28836</v>
      </c>
      <c r="M36" s="566">
        <f t="shared" si="51"/>
        <v>29106</v>
      </c>
      <c r="N36" s="566">
        <f t="shared" si="51"/>
        <v>29128</v>
      </c>
      <c r="O36" s="566">
        <f t="shared" si="51"/>
        <v>30154</v>
      </c>
      <c r="P36" s="563"/>
      <c r="Q36" s="562" t="s">
        <v>3205</v>
      </c>
    </row>
    <row r="37" spans="1:17" ht="15.75" thickBot="1">
      <c r="A37" s="563"/>
      <c r="B37" s="563"/>
      <c r="C37" s="563"/>
      <c r="D37" s="566">
        <f t="shared" ref="D37:I37" si="52">SUM(D34:D36)</f>
        <v>77096</v>
      </c>
      <c r="E37" s="566">
        <f t="shared" si="52"/>
        <v>77324</v>
      </c>
      <c r="F37" s="566">
        <f t="shared" si="52"/>
        <v>77365</v>
      </c>
      <c r="G37" s="566">
        <f t="shared" si="52"/>
        <v>77819</v>
      </c>
      <c r="H37" s="566">
        <f t="shared" si="52"/>
        <v>78168</v>
      </c>
      <c r="I37" s="566">
        <f t="shared" si="52"/>
        <v>77071</v>
      </c>
      <c r="J37" s="566">
        <f t="shared" ref="J37:O37" si="53">SUM(J34:J36)</f>
        <v>73995</v>
      </c>
      <c r="K37" s="566">
        <f t="shared" si="53"/>
        <v>77432</v>
      </c>
      <c r="L37" s="566">
        <f t="shared" si="53"/>
        <v>77784</v>
      </c>
      <c r="M37" s="566">
        <f t="shared" si="53"/>
        <v>78190</v>
      </c>
      <c r="N37" s="566">
        <f t="shared" si="53"/>
        <v>79841</v>
      </c>
      <c r="O37" s="566">
        <f t="shared" si="53"/>
        <v>80764</v>
      </c>
      <c r="P37" s="563"/>
      <c r="Q37" s="563"/>
    </row>
    <row r="38" spans="1:17">
      <c r="A38" s="563"/>
      <c r="B38" s="563"/>
      <c r="C38" s="563"/>
      <c r="D38" s="571"/>
      <c r="E38" s="571"/>
      <c r="F38" s="571"/>
      <c r="G38" s="571"/>
      <c r="H38" s="571"/>
      <c r="I38" s="571"/>
      <c r="J38" s="571"/>
      <c r="K38" s="571"/>
      <c r="L38" s="571"/>
      <c r="M38" s="571"/>
      <c r="N38" s="571"/>
      <c r="O38" s="571"/>
      <c r="P38" s="563"/>
      <c r="Q38" s="563"/>
    </row>
    <row r="39" spans="1:17">
      <c r="A39" s="562" t="s">
        <v>3206</v>
      </c>
      <c r="D39" s="565">
        <f t="shared" ref="D39:I39" si="54">D101</f>
        <v>55754</v>
      </c>
      <c r="E39" s="565">
        <f t="shared" si="54"/>
        <v>56146</v>
      </c>
      <c r="F39" s="565">
        <f t="shared" si="54"/>
        <v>56259</v>
      </c>
      <c r="G39" s="565">
        <f t="shared" si="54"/>
        <v>56972</v>
      </c>
      <c r="H39" s="565">
        <f t="shared" si="54"/>
        <v>56673</v>
      </c>
      <c r="I39" s="565">
        <f t="shared" si="54"/>
        <v>55674</v>
      </c>
      <c r="J39" s="565">
        <f t="shared" ref="J39:O39" si="55">J101</f>
        <v>55511</v>
      </c>
      <c r="K39" s="565">
        <f t="shared" si="55"/>
        <v>56673</v>
      </c>
      <c r="L39" s="565">
        <f t="shared" si="55"/>
        <v>57283</v>
      </c>
      <c r="M39" s="565">
        <f t="shared" si="55"/>
        <v>57396</v>
      </c>
      <c r="N39" s="565">
        <f t="shared" si="55"/>
        <v>58626</v>
      </c>
      <c r="O39" s="565">
        <f t="shared" si="55"/>
        <v>58508</v>
      </c>
      <c r="P39" s="563"/>
      <c r="Q39" s="562" t="s">
        <v>1816</v>
      </c>
    </row>
    <row r="40" spans="1:17" ht="15.75" thickBot="1">
      <c r="A40" s="563"/>
      <c r="D40" s="566">
        <f t="shared" ref="D40:I40" si="56">D176</f>
        <v>21277</v>
      </c>
      <c r="E40" s="566">
        <f t="shared" si="56"/>
        <v>21266</v>
      </c>
      <c r="F40" s="566">
        <f t="shared" si="56"/>
        <v>21405</v>
      </c>
      <c r="G40" s="566">
        <f t="shared" si="56"/>
        <v>21469</v>
      </c>
      <c r="H40" s="566">
        <f t="shared" si="56"/>
        <v>21500</v>
      </c>
      <c r="I40" s="566">
        <f t="shared" si="56"/>
        <v>20925</v>
      </c>
      <c r="J40" s="566">
        <f t="shared" ref="J40:O40" si="57">J176</f>
        <v>20282</v>
      </c>
      <c r="K40" s="566">
        <f t="shared" si="57"/>
        <v>21008</v>
      </c>
      <c r="L40" s="566">
        <f t="shared" si="57"/>
        <v>21371</v>
      </c>
      <c r="M40" s="566">
        <f t="shared" si="57"/>
        <v>21822</v>
      </c>
      <c r="N40" s="566">
        <f t="shared" si="57"/>
        <v>22500</v>
      </c>
      <c r="O40" s="566">
        <f t="shared" si="57"/>
        <v>22515</v>
      </c>
      <c r="P40" s="563"/>
      <c r="Q40" s="562" t="s">
        <v>3201</v>
      </c>
    </row>
    <row r="41" spans="1:17" ht="15.75" thickBot="1">
      <c r="A41" s="563"/>
      <c r="D41" s="566">
        <f t="shared" ref="D41:I41" si="58">D39+D40</f>
        <v>77031</v>
      </c>
      <c r="E41" s="566">
        <f t="shared" si="58"/>
        <v>77412</v>
      </c>
      <c r="F41" s="566">
        <f t="shared" si="58"/>
        <v>77664</v>
      </c>
      <c r="G41" s="566">
        <f t="shared" si="58"/>
        <v>78441</v>
      </c>
      <c r="H41" s="566">
        <f t="shared" si="58"/>
        <v>78173</v>
      </c>
      <c r="I41" s="566">
        <f t="shared" si="58"/>
        <v>76599</v>
      </c>
      <c r="J41" s="566">
        <f t="shared" ref="J41:O41" si="59">J39+J40</f>
        <v>75793</v>
      </c>
      <c r="K41" s="566">
        <f t="shared" si="59"/>
        <v>77681</v>
      </c>
      <c r="L41" s="566">
        <f t="shared" si="59"/>
        <v>78654</v>
      </c>
      <c r="M41" s="566">
        <f t="shared" si="59"/>
        <v>79218</v>
      </c>
      <c r="N41" s="566">
        <f t="shared" si="59"/>
        <v>81126</v>
      </c>
      <c r="O41" s="566">
        <f t="shared" si="59"/>
        <v>81023</v>
      </c>
      <c r="P41" s="563"/>
      <c r="Q41" s="563"/>
    </row>
    <row r="42" spans="1:17">
      <c r="A42" s="563"/>
      <c r="B42" s="563"/>
      <c r="C42" s="563"/>
      <c r="D42" s="567"/>
      <c r="E42" s="567"/>
      <c r="F42" s="567"/>
      <c r="G42" s="567"/>
      <c r="H42" s="567"/>
      <c r="I42" s="567"/>
      <c r="J42" s="567"/>
      <c r="K42" s="567"/>
      <c r="L42" s="567"/>
      <c r="M42" s="567"/>
      <c r="N42" s="567"/>
      <c r="O42" s="567"/>
      <c r="P42" s="563"/>
      <c r="Q42" s="563"/>
    </row>
    <row r="43" spans="1:17">
      <c r="A43" s="562" t="s">
        <v>6796</v>
      </c>
      <c r="B43" s="563"/>
      <c r="C43" s="563"/>
      <c r="D43" s="565">
        <f t="shared" ref="D43:I43" si="60">D19+D24+D28+D30+D32+D37+D41</f>
        <v>532909</v>
      </c>
      <c r="E43" s="565">
        <f t="shared" si="60"/>
        <v>536636</v>
      </c>
      <c r="F43" s="565">
        <f t="shared" si="60"/>
        <v>538685</v>
      </c>
      <c r="G43" s="565">
        <f t="shared" si="60"/>
        <v>542828</v>
      </c>
      <c r="H43" s="565">
        <f t="shared" si="60"/>
        <v>543643</v>
      </c>
      <c r="I43" s="565">
        <f t="shared" si="60"/>
        <v>525972</v>
      </c>
      <c r="J43" s="565">
        <f t="shared" ref="J43:O43" si="61">J19+J24+J28+J30+J32+J37+J41</f>
        <v>523848</v>
      </c>
      <c r="K43" s="565">
        <f t="shared" si="61"/>
        <v>539687</v>
      </c>
      <c r="L43" s="565">
        <f t="shared" si="61"/>
        <v>543459</v>
      </c>
      <c r="M43" s="565">
        <f t="shared" si="61"/>
        <v>545780</v>
      </c>
      <c r="N43" s="565">
        <f t="shared" si="61"/>
        <v>562634</v>
      </c>
      <c r="O43" s="565">
        <f t="shared" si="61"/>
        <v>564383</v>
      </c>
      <c r="P43" s="563"/>
      <c r="Q43" s="563"/>
    </row>
    <row r="44" spans="1:17">
      <c r="A44" s="563"/>
      <c r="B44" s="563"/>
      <c r="C44" s="563"/>
      <c r="D44" s="567"/>
      <c r="E44" s="567"/>
      <c r="F44" s="567"/>
      <c r="G44" s="567"/>
      <c r="H44" s="567"/>
      <c r="I44" s="567"/>
      <c r="J44" s="567"/>
      <c r="K44" s="567"/>
      <c r="L44" s="567"/>
      <c r="M44" s="567"/>
      <c r="N44" s="567"/>
      <c r="O44" s="567"/>
      <c r="P44" s="563"/>
      <c r="Q44" s="563"/>
    </row>
    <row r="45" spans="1:17">
      <c r="A45" s="562" t="s">
        <v>6797</v>
      </c>
      <c r="B45" s="563"/>
      <c r="C45" s="563"/>
      <c r="D45" s="565">
        <f t="shared" ref="D45:I45" si="62">MAX(D19,D24,D28,D30,D32,D37,D41)-MIN(D19,D24,D28,D30,D32,D37,D41)</f>
        <v>7017</v>
      </c>
      <c r="E45" s="565">
        <f t="shared" si="62"/>
        <v>6731</v>
      </c>
      <c r="F45" s="565">
        <f t="shared" si="62"/>
        <v>6208</v>
      </c>
      <c r="G45" s="565">
        <f t="shared" si="62"/>
        <v>6557</v>
      </c>
      <c r="H45" s="565">
        <f t="shared" si="62"/>
        <v>7091</v>
      </c>
      <c r="I45" s="565">
        <f t="shared" si="62"/>
        <v>8579</v>
      </c>
      <c r="J45" s="565">
        <f t="shared" ref="J45:O45" si="63">MAX(J19,J24,J28,J30,J32,J37,J41)-MIN(J19,J24,J28,J30,J32,J37,J41)</f>
        <v>6811</v>
      </c>
      <c r="K45" s="565">
        <f t="shared" si="63"/>
        <v>4592</v>
      </c>
      <c r="L45" s="565">
        <f t="shared" si="63"/>
        <v>7234</v>
      </c>
      <c r="M45" s="565">
        <f t="shared" si="63"/>
        <v>6535</v>
      </c>
      <c r="N45" s="565">
        <f t="shared" si="63"/>
        <v>3410</v>
      </c>
      <c r="O45" s="565">
        <f t="shared" si="63"/>
        <v>2547</v>
      </c>
      <c r="P45" s="563"/>
      <c r="Q45" s="563"/>
    </row>
    <row r="46" spans="1:17">
      <c r="A46" s="563"/>
      <c r="B46" s="563"/>
      <c r="C46" s="563"/>
      <c r="D46" s="567"/>
      <c r="E46" s="567"/>
      <c r="F46" s="567"/>
      <c r="G46" s="567"/>
      <c r="H46" s="567"/>
      <c r="I46" s="567"/>
      <c r="J46" s="567"/>
      <c r="K46" s="567"/>
      <c r="L46" s="567"/>
      <c r="M46" s="567"/>
      <c r="N46" s="567"/>
      <c r="O46" s="567"/>
      <c r="P46" s="563"/>
      <c r="Q46" s="563"/>
    </row>
    <row r="47" spans="1:17">
      <c r="A47" s="562" t="s">
        <v>6800</v>
      </c>
      <c r="B47" s="563"/>
      <c r="C47" s="563"/>
      <c r="D47" s="565">
        <f t="shared" ref="D47:I47" si="64">STDEVP(D19,D24,D28,D30,D32,D37,D41)</f>
        <v>2272.9678162872324</v>
      </c>
      <c r="E47" s="565">
        <f t="shared" si="64"/>
        <v>2108.5132686520215</v>
      </c>
      <c r="F47" s="565">
        <f t="shared" si="64"/>
        <v>2003.7249597401621</v>
      </c>
      <c r="G47" s="565">
        <f t="shared" si="64"/>
        <v>2078.1630232059292</v>
      </c>
      <c r="H47" s="565">
        <f t="shared" si="64"/>
        <v>2180.8406448815435</v>
      </c>
      <c r="I47" s="565">
        <f t="shared" si="64"/>
        <v>3253.9208625275196</v>
      </c>
      <c r="J47" s="565">
        <f t="shared" ref="J47:O47" si="65">STDEVP(J19,J24,J28,J30,J32,J37,J41)</f>
        <v>1920.4646652860461</v>
      </c>
      <c r="K47" s="565">
        <f t="shared" si="65"/>
        <v>1275.8823757442117</v>
      </c>
      <c r="L47" s="565">
        <f t="shared" si="65"/>
        <v>2069.1370872212128</v>
      </c>
      <c r="M47" s="565">
        <f t="shared" si="65"/>
        <v>1861.4319263208449</v>
      </c>
      <c r="N47" s="565">
        <f t="shared" si="65"/>
        <v>1000.3106252253725</v>
      </c>
      <c r="O47" s="565">
        <f t="shared" si="65"/>
        <v>751.94232844422481</v>
      </c>
      <c r="P47" s="563"/>
      <c r="Q47" s="563"/>
    </row>
    <row r="48" spans="1:17">
      <c r="A48" s="562"/>
      <c r="B48" s="563"/>
      <c r="C48" s="563"/>
      <c r="D48" s="565"/>
      <c r="E48" s="565"/>
      <c r="F48" s="565"/>
      <c r="G48" s="565"/>
      <c r="H48" s="565"/>
      <c r="I48" s="565"/>
      <c r="J48" s="565"/>
      <c r="K48" s="565"/>
      <c r="L48" s="565"/>
      <c r="M48" s="565"/>
      <c r="N48" s="565"/>
      <c r="O48" s="565"/>
      <c r="P48" s="563"/>
      <c r="Q48" s="563"/>
    </row>
    <row r="49" spans="1:17">
      <c r="A49" s="562" t="s">
        <v>3207</v>
      </c>
      <c r="B49" s="563"/>
      <c r="C49" s="563"/>
      <c r="D49" s="563"/>
      <c r="E49" s="563"/>
      <c r="F49" s="563"/>
      <c r="G49" s="563"/>
      <c r="H49" s="563"/>
      <c r="I49" s="563"/>
      <c r="J49" s="563"/>
      <c r="K49" s="563"/>
      <c r="L49" s="563"/>
      <c r="M49" s="563"/>
      <c r="N49" s="563"/>
      <c r="O49" s="563"/>
      <c r="P49" s="563"/>
      <c r="Q49" s="563"/>
    </row>
    <row r="50" spans="1:17">
      <c r="A50" s="562"/>
      <c r="B50" s="563"/>
      <c r="C50" s="563"/>
      <c r="D50" s="563"/>
      <c r="E50" s="563"/>
      <c r="F50" s="563"/>
      <c r="G50" s="563"/>
      <c r="H50" s="563"/>
      <c r="I50" s="563"/>
      <c r="J50" s="563"/>
      <c r="K50" s="563"/>
      <c r="L50" s="563"/>
      <c r="M50" s="563"/>
      <c r="N50" s="563"/>
      <c r="O50" s="563"/>
      <c r="P50" s="563"/>
      <c r="Q50" s="563"/>
    </row>
    <row r="51" spans="1:17">
      <c r="A51" s="50"/>
      <c r="B51" s="563"/>
      <c r="C51" s="563"/>
      <c r="D51" s="563"/>
      <c r="E51" s="563"/>
      <c r="F51" s="563"/>
      <c r="G51" s="563"/>
      <c r="H51" s="563"/>
      <c r="I51" s="563"/>
      <c r="J51" s="563"/>
      <c r="K51" s="563"/>
      <c r="L51" s="563"/>
      <c r="M51" s="563"/>
      <c r="N51" s="563"/>
      <c r="O51" s="563"/>
      <c r="P51" s="563"/>
      <c r="Q51" s="563"/>
    </row>
    <row r="52" spans="1:17">
      <c r="A52" s="563"/>
      <c r="B52" s="563"/>
      <c r="C52" s="563"/>
      <c r="E52" s="51" t="s">
        <v>1526</v>
      </c>
      <c r="F52" s="51"/>
      <c r="G52" s="51"/>
      <c r="H52" s="51"/>
      <c r="I52" s="51"/>
      <c r="J52" s="51"/>
      <c r="K52" s="51"/>
      <c r="L52" s="51"/>
      <c r="M52" s="51"/>
      <c r="N52" s="51"/>
      <c r="O52" s="51"/>
      <c r="P52" s="11"/>
      <c r="Q52" s="13" t="s">
        <v>9479</v>
      </c>
    </row>
    <row r="53" spans="1:17">
      <c r="A53" s="563"/>
      <c r="B53" s="563"/>
      <c r="C53" s="563"/>
      <c r="D53" s="350">
        <v>2010</v>
      </c>
      <c r="E53" s="350">
        <v>2011</v>
      </c>
      <c r="F53" s="350">
        <v>2012</v>
      </c>
      <c r="G53" s="350">
        <v>2013</v>
      </c>
      <c r="H53" s="350">
        <v>2014</v>
      </c>
      <c r="I53" s="350">
        <v>2015</v>
      </c>
      <c r="J53" s="350">
        <v>2016</v>
      </c>
      <c r="K53" s="350">
        <v>2017</v>
      </c>
      <c r="L53" s="350">
        <v>2018</v>
      </c>
      <c r="M53" s="350">
        <v>2019</v>
      </c>
      <c r="N53" s="350">
        <v>2020</v>
      </c>
      <c r="O53" s="960" t="s">
        <v>14823</v>
      </c>
      <c r="P53" s="563"/>
      <c r="Q53" s="13" t="s">
        <v>1527</v>
      </c>
    </row>
    <row r="54" spans="1:17">
      <c r="A54" s="562" t="s">
        <v>1082</v>
      </c>
      <c r="C54" s="562"/>
      <c r="D54" s="565">
        <f t="shared" ref="D54:N54" si="66">SUM(D55:D69)</f>
        <v>29006</v>
      </c>
      <c r="E54" s="565">
        <f t="shared" si="66"/>
        <v>28437</v>
      </c>
      <c r="F54" s="565">
        <f t="shared" si="66"/>
        <v>28331</v>
      </c>
      <c r="G54" s="565">
        <f t="shared" si="66"/>
        <v>28707</v>
      </c>
      <c r="H54" s="565">
        <f t="shared" si="66"/>
        <v>28954</v>
      </c>
      <c r="I54" s="565">
        <f t="shared" si="66"/>
        <v>29053</v>
      </c>
      <c r="J54" s="565">
        <f t="shared" si="66"/>
        <v>27355</v>
      </c>
      <c r="K54" s="565">
        <f t="shared" si="66"/>
        <v>28933</v>
      </c>
      <c r="L54" s="565">
        <f t="shared" si="66"/>
        <v>28836</v>
      </c>
      <c r="M54" s="565">
        <f t="shared" si="66"/>
        <v>29106</v>
      </c>
      <c r="N54" s="565">
        <f t="shared" si="66"/>
        <v>29128</v>
      </c>
      <c r="O54" s="565">
        <f>SUM(O55:O69)</f>
        <v>30154</v>
      </c>
      <c r="P54" s="563"/>
      <c r="Q54" s="563"/>
    </row>
    <row r="55" spans="1:17">
      <c r="A55" s="562" t="s">
        <v>5387</v>
      </c>
      <c r="B55" s="143" t="s">
        <v>13381</v>
      </c>
      <c r="C55" s="143" t="s">
        <v>13380</v>
      </c>
      <c r="D55" s="565">
        <v>29006</v>
      </c>
      <c r="E55" s="565">
        <v>28437</v>
      </c>
      <c r="F55" s="565">
        <v>28331</v>
      </c>
      <c r="G55" s="63">
        <v>28707</v>
      </c>
      <c r="H55" s="63">
        <v>28954</v>
      </c>
      <c r="I55" s="63">
        <v>29053</v>
      </c>
      <c r="J55" s="63">
        <v>27355</v>
      </c>
      <c r="K55" s="63">
        <v>28933</v>
      </c>
      <c r="L55" s="63">
        <v>28836</v>
      </c>
      <c r="M55" s="63">
        <v>29106</v>
      </c>
      <c r="N55" s="63">
        <v>1547</v>
      </c>
      <c r="O55" s="63">
        <v>1671</v>
      </c>
      <c r="P55" s="563"/>
      <c r="Q55" s="562" t="s">
        <v>3204</v>
      </c>
    </row>
    <row r="56" spans="1:17">
      <c r="A56" s="562" t="s">
        <v>5389</v>
      </c>
      <c r="B56" s="143" t="s">
        <v>13383</v>
      </c>
      <c r="C56" s="143" t="s">
        <v>13382</v>
      </c>
      <c r="D56" s="565">
        <v>0</v>
      </c>
      <c r="E56" s="565">
        <v>0</v>
      </c>
      <c r="F56" s="565">
        <v>0</v>
      </c>
      <c r="G56" s="565">
        <v>0</v>
      </c>
      <c r="H56" s="565">
        <v>0</v>
      </c>
      <c r="I56" s="565">
        <v>0</v>
      </c>
      <c r="J56" s="565">
        <v>0</v>
      </c>
      <c r="K56" s="565">
        <v>0</v>
      </c>
      <c r="L56" s="565">
        <v>0</v>
      </c>
      <c r="M56" s="565">
        <v>0</v>
      </c>
      <c r="N56" s="63">
        <v>2004</v>
      </c>
      <c r="O56" s="63">
        <v>2092</v>
      </c>
      <c r="P56" s="563"/>
      <c r="Q56" s="562" t="s">
        <v>3204</v>
      </c>
    </row>
    <row r="57" spans="1:17">
      <c r="A57" s="562" t="s">
        <v>5391</v>
      </c>
      <c r="B57" s="143" t="s">
        <v>3208</v>
      </c>
      <c r="C57" s="143" t="s">
        <v>13384</v>
      </c>
      <c r="D57" s="565">
        <v>0</v>
      </c>
      <c r="E57" s="565">
        <v>0</v>
      </c>
      <c r="F57" s="565">
        <v>0</v>
      </c>
      <c r="G57" s="565">
        <v>0</v>
      </c>
      <c r="H57" s="565">
        <v>0</v>
      </c>
      <c r="I57" s="565">
        <v>0</v>
      </c>
      <c r="J57" s="565">
        <v>0</v>
      </c>
      <c r="K57" s="565">
        <v>0</v>
      </c>
      <c r="L57" s="565">
        <v>0</v>
      </c>
      <c r="M57" s="565">
        <v>0</v>
      </c>
      <c r="N57" s="63">
        <v>1951</v>
      </c>
      <c r="O57" s="63">
        <v>2077</v>
      </c>
      <c r="P57" s="563"/>
      <c r="Q57" s="562" t="s">
        <v>3204</v>
      </c>
    </row>
    <row r="58" spans="1:17">
      <c r="A58" s="562" t="s">
        <v>5393</v>
      </c>
      <c r="B58" s="143" t="s">
        <v>3209</v>
      </c>
      <c r="C58" s="143" t="s">
        <v>13385</v>
      </c>
      <c r="D58" s="565">
        <v>0</v>
      </c>
      <c r="E58" s="565">
        <v>0</v>
      </c>
      <c r="F58" s="565">
        <v>0</v>
      </c>
      <c r="G58" s="565">
        <v>0</v>
      </c>
      <c r="H58" s="565">
        <v>0</v>
      </c>
      <c r="I58" s="565">
        <v>0</v>
      </c>
      <c r="J58" s="565">
        <v>0</v>
      </c>
      <c r="K58" s="565">
        <v>0</v>
      </c>
      <c r="L58" s="565">
        <v>0</v>
      </c>
      <c r="M58" s="565">
        <v>0</v>
      </c>
      <c r="N58" s="63">
        <v>1153</v>
      </c>
      <c r="O58" s="63">
        <v>1198</v>
      </c>
      <c r="P58" s="563"/>
      <c r="Q58" s="562" t="s">
        <v>3204</v>
      </c>
    </row>
    <row r="59" spans="1:17">
      <c r="A59" s="562" t="s">
        <v>5394</v>
      </c>
      <c r="B59" s="143" t="s">
        <v>3210</v>
      </c>
      <c r="C59" s="143" t="s">
        <v>13386</v>
      </c>
      <c r="D59" s="565">
        <v>0</v>
      </c>
      <c r="E59" s="565">
        <v>0</v>
      </c>
      <c r="F59" s="565">
        <v>0</v>
      </c>
      <c r="G59" s="565">
        <v>0</v>
      </c>
      <c r="H59" s="565">
        <v>0</v>
      </c>
      <c r="I59" s="565">
        <v>0</v>
      </c>
      <c r="J59" s="565">
        <v>0</v>
      </c>
      <c r="K59" s="565">
        <v>0</v>
      </c>
      <c r="L59" s="565">
        <v>0</v>
      </c>
      <c r="M59" s="565">
        <v>0</v>
      </c>
      <c r="N59" s="63">
        <v>1116</v>
      </c>
      <c r="O59" s="63">
        <v>1159</v>
      </c>
      <c r="P59" s="563"/>
      <c r="Q59" s="562" t="s">
        <v>3204</v>
      </c>
    </row>
    <row r="60" spans="1:17">
      <c r="A60" s="562" t="s">
        <v>5416</v>
      </c>
      <c r="B60" s="143" t="s">
        <v>3211</v>
      </c>
      <c r="C60" s="143" t="s">
        <v>13387</v>
      </c>
      <c r="D60" s="565">
        <v>0</v>
      </c>
      <c r="E60" s="565">
        <v>0</v>
      </c>
      <c r="F60" s="565">
        <v>0</v>
      </c>
      <c r="G60" s="565">
        <v>0</v>
      </c>
      <c r="H60" s="565">
        <v>0</v>
      </c>
      <c r="I60" s="565">
        <v>0</v>
      </c>
      <c r="J60" s="565">
        <v>0</v>
      </c>
      <c r="K60" s="565">
        <v>0</v>
      </c>
      <c r="L60" s="565">
        <v>0</v>
      </c>
      <c r="M60" s="565">
        <v>0</v>
      </c>
      <c r="N60" s="63">
        <v>2219</v>
      </c>
      <c r="O60" s="63">
        <v>2243</v>
      </c>
      <c r="P60" s="563"/>
      <c r="Q60" s="562" t="s">
        <v>3204</v>
      </c>
    </row>
    <row r="61" spans="1:17">
      <c r="A61" s="562" t="s">
        <v>5418</v>
      </c>
      <c r="B61" s="143" t="s">
        <v>3212</v>
      </c>
      <c r="C61" s="143" t="s">
        <v>13388</v>
      </c>
      <c r="D61" s="565">
        <v>0</v>
      </c>
      <c r="E61" s="565">
        <v>0</v>
      </c>
      <c r="F61" s="565">
        <v>0</v>
      </c>
      <c r="G61" s="565">
        <v>0</v>
      </c>
      <c r="H61" s="565">
        <v>0</v>
      </c>
      <c r="I61" s="565">
        <v>0</v>
      </c>
      <c r="J61" s="565">
        <v>0</v>
      </c>
      <c r="K61" s="565">
        <v>0</v>
      </c>
      <c r="L61" s="565">
        <v>0</v>
      </c>
      <c r="M61" s="565">
        <v>0</v>
      </c>
      <c r="N61" s="63">
        <v>1154</v>
      </c>
      <c r="O61" s="63">
        <v>1187</v>
      </c>
      <c r="P61" s="563"/>
      <c r="Q61" s="562" t="s">
        <v>3204</v>
      </c>
    </row>
    <row r="62" spans="1:17">
      <c r="A62" s="562" t="s">
        <v>5420</v>
      </c>
      <c r="B62" s="143" t="s">
        <v>3213</v>
      </c>
      <c r="C62" s="143" t="s">
        <v>13389</v>
      </c>
      <c r="D62" s="565">
        <v>0</v>
      </c>
      <c r="E62" s="565">
        <v>0</v>
      </c>
      <c r="F62" s="565">
        <v>0</v>
      </c>
      <c r="G62" s="565">
        <v>0</v>
      </c>
      <c r="H62" s="565">
        <v>0</v>
      </c>
      <c r="I62" s="565">
        <v>0</v>
      </c>
      <c r="J62" s="565">
        <v>0</v>
      </c>
      <c r="K62" s="565">
        <v>0</v>
      </c>
      <c r="L62" s="565">
        <v>0</v>
      </c>
      <c r="M62" s="565">
        <v>0</v>
      </c>
      <c r="N62" s="63">
        <v>1133</v>
      </c>
      <c r="O62" s="63">
        <v>1141</v>
      </c>
      <c r="P62" s="563"/>
      <c r="Q62" s="562" t="s">
        <v>3204</v>
      </c>
    </row>
    <row r="63" spans="1:17">
      <c r="A63" s="562" t="s">
        <v>5422</v>
      </c>
      <c r="B63" s="143" t="s">
        <v>5531</v>
      </c>
      <c r="C63" s="143" t="s">
        <v>13390</v>
      </c>
      <c r="D63" s="565">
        <v>0</v>
      </c>
      <c r="E63" s="565">
        <v>0</v>
      </c>
      <c r="F63" s="565">
        <v>0</v>
      </c>
      <c r="G63" s="565">
        <v>0</v>
      </c>
      <c r="H63" s="565">
        <v>0</v>
      </c>
      <c r="I63" s="565">
        <v>0</v>
      </c>
      <c r="J63" s="565">
        <v>0</v>
      </c>
      <c r="K63" s="565">
        <v>0</v>
      </c>
      <c r="L63" s="565">
        <v>0</v>
      </c>
      <c r="M63" s="565">
        <v>0</v>
      </c>
      <c r="N63" s="63">
        <v>2284</v>
      </c>
      <c r="O63" s="63">
        <v>2321</v>
      </c>
      <c r="P63" s="563"/>
      <c r="Q63" s="562" t="s">
        <v>3204</v>
      </c>
    </row>
    <row r="64" spans="1:17">
      <c r="A64" s="562" t="s">
        <v>5424</v>
      </c>
      <c r="B64" s="143" t="s">
        <v>3214</v>
      </c>
      <c r="C64" s="143" t="s">
        <v>13391</v>
      </c>
      <c r="D64" s="565">
        <v>0</v>
      </c>
      <c r="E64" s="565">
        <v>0</v>
      </c>
      <c r="F64" s="565">
        <v>0</v>
      </c>
      <c r="G64" s="565">
        <v>0</v>
      </c>
      <c r="H64" s="565">
        <v>0</v>
      </c>
      <c r="I64" s="565">
        <v>0</v>
      </c>
      <c r="J64" s="565">
        <v>0</v>
      </c>
      <c r="K64" s="565">
        <v>0</v>
      </c>
      <c r="L64" s="565">
        <v>0</v>
      </c>
      <c r="M64" s="565">
        <v>0</v>
      </c>
      <c r="N64" s="63">
        <v>2123</v>
      </c>
      <c r="O64" s="63">
        <v>2183</v>
      </c>
      <c r="P64" s="563"/>
      <c r="Q64" s="562" t="s">
        <v>3204</v>
      </c>
    </row>
    <row r="65" spans="1:17">
      <c r="A65" s="562" t="s">
        <v>5426</v>
      </c>
      <c r="B65" s="143" t="s">
        <v>3215</v>
      </c>
      <c r="C65" s="143" t="s">
        <v>13392</v>
      </c>
      <c r="D65" s="565">
        <v>0</v>
      </c>
      <c r="E65" s="565">
        <v>0</v>
      </c>
      <c r="F65" s="565">
        <v>0</v>
      </c>
      <c r="G65" s="565">
        <v>0</v>
      </c>
      <c r="H65" s="565">
        <v>0</v>
      </c>
      <c r="I65" s="565">
        <v>0</v>
      </c>
      <c r="J65" s="565">
        <v>0</v>
      </c>
      <c r="K65" s="565">
        <v>0</v>
      </c>
      <c r="L65" s="565">
        <v>0</v>
      </c>
      <c r="M65" s="565">
        <v>0</v>
      </c>
      <c r="N65" s="63">
        <v>2449</v>
      </c>
      <c r="O65" s="63">
        <v>2524</v>
      </c>
      <c r="P65" s="563"/>
      <c r="Q65" s="562" t="s">
        <v>3204</v>
      </c>
    </row>
    <row r="66" spans="1:17">
      <c r="A66" s="562" t="s">
        <v>5428</v>
      </c>
      <c r="B66" s="143" t="s">
        <v>13394</v>
      </c>
      <c r="C66" s="143" t="s">
        <v>13393</v>
      </c>
      <c r="D66" s="565">
        <v>0</v>
      </c>
      <c r="E66" s="565">
        <v>0</v>
      </c>
      <c r="F66" s="565">
        <v>0</v>
      </c>
      <c r="G66" s="565">
        <v>0</v>
      </c>
      <c r="H66" s="565">
        <v>0</v>
      </c>
      <c r="I66" s="565">
        <v>0</v>
      </c>
      <c r="J66" s="565">
        <v>0</v>
      </c>
      <c r="K66" s="565">
        <v>0</v>
      </c>
      <c r="L66" s="565">
        <v>0</v>
      </c>
      <c r="M66" s="565">
        <v>0</v>
      </c>
      <c r="N66" s="63">
        <v>3600</v>
      </c>
      <c r="O66" s="63">
        <v>3758</v>
      </c>
      <c r="P66" s="563"/>
      <c r="Q66" s="562" t="s">
        <v>3204</v>
      </c>
    </row>
    <row r="67" spans="1:17">
      <c r="A67" s="562" t="s">
        <v>5429</v>
      </c>
      <c r="B67" s="143" t="s">
        <v>13396</v>
      </c>
      <c r="C67" s="143" t="s">
        <v>13395</v>
      </c>
      <c r="D67" s="565">
        <v>0</v>
      </c>
      <c r="E67" s="565">
        <v>0</v>
      </c>
      <c r="F67" s="565">
        <v>0</v>
      </c>
      <c r="G67" s="565">
        <v>0</v>
      </c>
      <c r="H67" s="565">
        <v>0</v>
      </c>
      <c r="I67" s="565">
        <v>0</v>
      </c>
      <c r="J67" s="565">
        <v>0</v>
      </c>
      <c r="K67" s="565">
        <v>0</v>
      </c>
      <c r="L67" s="565">
        <v>0</v>
      </c>
      <c r="M67" s="565">
        <v>0</v>
      </c>
      <c r="N67" s="63">
        <v>2290</v>
      </c>
      <c r="O67" s="63">
        <v>2314</v>
      </c>
      <c r="P67" s="563"/>
      <c r="Q67" s="562" t="s">
        <v>3204</v>
      </c>
    </row>
    <row r="68" spans="1:17">
      <c r="A68" s="562" t="s">
        <v>5431</v>
      </c>
      <c r="B68" s="143" t="s">
        <v>1825</v>
      </c>
      <c r="C68" s="143" t="s">
        <v>13397</v>
      </c>
      <c r="D68" s="565">
        <v>0</v>
      </c>
      <c r="E68" s="565">
        <v>0</v>
      </c>
      <c r="F68" s="565">
        <v>0</v>
      </c>
      <c r="G68" s="565">
        <v>0</v>
      </c>
      <c r="H68" s="565">
        <v>0</v>
      </c>
      <c r="I68" s="565">
        <v>0</v>
      </c>
      <c r="J68" s="565">
        <v>0</v>
      </c>
      <c r="K68" s="565">
        <v>0</v>
      </c>
      <c r="L68" s="565">
        <v>0</v>
      </c>
      <c r="M68" s="565">
        <v>0</v>
      </c>
      <c r="N68" s="63">
        <v>3008</v>
      </c>
      <c r="O68" s="63">
        <v>3176</v>
      </c>
      <c r="P68" s="563"/>
      <c r="Q68" s="562" t="s">
        <v>3204</v>
      </c>
    </row>
    <row r="69" spans="1:17">
      <c r="A69" s="562" t="s">
        <v>5433</v>
      </c>
      <c r="B69" s="143" t="s">
        <v>1826</v>
      </c>
      <c r="C69" s="143" t="s">
        <v>13398</v>
      </c>
      <c r="D69" s="565">
        <v>0</v>
      </c>
      <c r="E69" s="565">
        <v>0</v>
      </c>
      <c r="F69" s="565">
        <v>0</v>
      </c>
      <c r="G69" s="565">
        <v>0</v>
      </c>
      <c r="H69" s="565">
        <v>0</v>
      </c>
      <c r="I69" s="565">
        <v>0</v>
      </c>
      <c r="J69" s="565">
        <v>0</v>
      </c>
      <c r="K69" s="565">
        <v>0</v>
      </c>
      <c r="L69" s="565">
        <v>0</v>
      </c>
      <c r="M69" s="565">
        <v>0</v>
      </c>
      <c r="N69" s="63">
        <v>1097</v>
      </c>
      <c r="O69" s="63">
        <v>1110</v>
      </c>
      <c r="P69" s="563"/>
      <c r="Q69" s="562" t="s">
        <v>3204</v>
      </c>
    </row>
    <row r="70" spans="1:17">
      <c r="A70" s="563"/>
      <c r="B70" s="563"/>
      <c r="D70" s="567"/>
      <c r="E70" s="567"/>
      <c r="F70" s="567"/>
      <c r="G70" s="567"/>
      <c r="H70" s="567"/>
      <c r="I70" s="567"/>
      <c r="J70" s="567"/>
      <c r="K70" s="567"/>
      <c r="L70" s="567"/>
      <c r="M70" s="567"/>
      <c r="N70" s="567"/>
      <c r="O70" s="567"/>
      <c r="P70" s="563"/>
      <c r="Q70" s="563"/>
    </row>
    <row r="71" spans="1:17">
      <c r="A71" s="562" t="s">
        <v>4696</v>
      </c>
      <c r="D71" s="565">
        <f t="shared" ref="D71:N71" si="67">SUM(D55:D69)</f>
        <v>29006</v>
      </c>
      <c r="E71" s="565">
        <f t="shared" si="67"/>
        <v>28437</v>
      </c>
      <c r="F71" s="565">
        <f t="shared" si="67"/>
        <v>28331</v>
      </c>
      <c r="G71" s="565">
        <f t="shared" si="67"/>
        <v>28707</v>
      </c>
      <c r="H71" s="565">
        <f t="shared" si="67"/>
        <v>28954</v>
      </c>
      <c r="I71" s="565">
        <f t="shared" si="67"/>
        <v>29053</v>
      </c>
      <c r="J71" s="565">
        <f t="shared" si="67"/>
        <v>27355</v>
      </c>
      <c r="K71" s="565">
        <f t="shared" si="67"/>
        <v>28933</v>
      </c>
      <c r="L71" s="565">
        <f t="shared" si="67"/>
        <v>28836</v>
      </c>
      <c r="M71" s="565">
        <f t="shared" si="67"/>
        <v>29106</v>
      </c>
      <c r="N71" s="565">
        <f t="shared" si="67"/>
        <v>29128</v>
      </c>
      <c r="O71" s="565">
        <f>SUM(O55:O69)</f>
        <v>30154</v>
      </c>
      <c r="P71" s="563"/>
      <c r="Q71" s="563"/>
    </row>
    <row r="72" spans="1:17">
      <c r="A72" s="563"/>
      <c r="B72" s="563"/>
      <c r="D72" s="563"/>
      <c r="E72" s="563"/>
      <c r="F72" s="563"/>
      <c r="G72" s="563"/>
      <c r="H72" s="563"/>
      <c r="I72" s="563"/>
      <c r="J72" s="563"/>
      <c r="K72" s="563"/>
      <c r="L72" s="563"/>
      <c r="M72" s="563"/>
      <c r="N72" s="563"/>
      <c r="O72" s="563"/>
      <c r="P72" s="563"/>
      <c r="Q72" s="563"/>
    </row>
    <row r="73" spans="1:17">
      <c r="A73" s="562" t="s">
        <v>13399</v>
      </c>
      <c r="B73" s="563"/>
      <c r="D73" s="563"/>
      <c r="E73" s="563"/>
      <c r="F73" s="563"/>
      <c r="G73" s="563"/>
      <c r="H73" s="563"/>
      <c r="I73" s="563"/>
      <c r="J73" s="563"/>
      <c r="K73" s="563"/>
      <c r="L73" s="563"/>
      <c r="M73" s="563"/>
      <c r="N73" s="563"/>
      <c r="O73" s="563"/>
      <c r="P73" s="563"/>
      <c r="Q73" s="563"/>
    </row>
    <row r="74" spans="1:17">
      <c r="A74" s="50"/>
      <c r="B74" s="563"/>
      <c r="D74" s="563"/>
      <c r="E74" s="563"/>
      <c r="F74" s="563"/>
      <c r="G74" s="563"/>
      <c r="H74" s="563"/>
      <c r="I74" s="563"/>
      <c r="J74" s="563"/>
      <c r="K74" s="563"/>
      <c r="L74" s="563"/>
      <c r="M74" s="563"/>
      <c r="N74" s="563"/>
      <c r="O74" s="563"/>
      <c r="P74" s="563"/>
      <c r="Q74" s="563"/>
    </row>
    <row r="75" spans="1:17">
      <c r="A75" s="50"/>
      <c r="B75" s="563"/>
      <c r="D75" s="563"/>
      <c r="E75" s="563"/>
      <c r="F75" s="563"/>
      <c r="G75" s="563"/>
      <c r="H75" s="563"/>
      <c r="I75" s="563"/>
      <c r="J75" s="563"/>
      <c r="K75" s="563"/>
      <c r="L75" s="563"/>
      <c r="M75" s="563"/>
      <c r="N75" s="563"/>
      <c r="O75" s="563"/>
      <c r="P75" s="563"/>
      <c r="Q75" s="563"/>
    </row>
    <row r="76" spans="1:17">
      <c r="A76" s="563"/>
      <c r="B76" s="563"/>
      <c r="E76" s="51" t="s">
        <v>1526</v>
      </c>
      <c r="F76" s="51"/>
      <c r="G76" s="51"/>
      <c r="H76" s="51"/>
      <c r="I76" s="51"/>
      <c r="J76" s="51"/>
      <c r="K76" s="51"/>
      <c r="L76" s="51"/>
      <c r="M76" s="51"/>
      <c r="N76" s="51"/>
      <c r="O76" s="51"/>
      <c r="P76" s="11"/>
      <c r="Q76" s="13" t="s">
        <v>9479</v>
      </c>
    </row>
    <row r="77" spans="1:17">
      <c r="A77" s="563"/>
      <c r="B77" s="563"/>
      <c r="D77" s="350">
        <v>2010</v>
      </c>
      <c r="E77" s="350">
        <v>2011</v>
      </c>
      <c r="F77" s="350">
        <v>2012</v>
      </c>
      <c r="G77" s="350">
        <v>2013</v>
      </c>
      <c r="H77" s="350">
        <v>2014</v>
      </c>
      <c r="I77" s="350">
        <v>2015</v>
      </c>
      <c r="J77" s="350">
        <v>2016</v>
      </c>
      <c r="K77" s="350">
        <v>2017</v>
      </c>
      <c r="L77" s="350">
        <v>2018</v>
      </c>
      <c r="M77" s="350">
        <v>2019</v>
      </c>
      <c r="N77" s="350">
        <v>2020</v>
      </c>
      <c r="O77" s="960" t="s">
        <v>14823</v>
      </c>
      <c r="P77" s="563"/>
      <c r="Q77" s="13" t="s">
        <v>1527</v>
      </c>
    </row>
    <row r="78" spans="1:17">
      <c r="A78" s="562" t="s">
        <v>4697</v>
      </c>
      <c r="D78" s="565">
        <f t="shared" ref="D78:L78" si="68">SUM(D79:D97)</f>
        <v>72515</v>
      </c>
      <c r="E78" s="565">
        <f t="shared" si="68"/>
        <v>73026</v>
      </c>
      <c r="F78" s="565">
        <f t="shared" si="68"/>
        <v>73140</v>
      </c>
      <c r="G78" s="565">
        <f t="shared" si="68"/>
        <v>73787</v>
      </c>
      <c r="H78" s="565">
        <f t="shared" si="68"/>
        <v>73430</v>
      </c>
      <c r="I78" s="565">
        <f t="shared" si="68"/>
        <v>72327</v>
      </c>
      <c r="J78" s="565">
        <f t="shared" si="68"/>
        <v>72073</v>
      </c>
      <c r="K78" s="565">
        <f t="shared" si="68"/>
        <v>73738</v>
      </c>
      <c r="L78" s="565">
        <f t="shared" si="68"/>
        <v>74499</v>
      </c>
      <c r="M78" s="565">
        <f>SUM(M79:M97)</f>
        <v>74605</v>
      </c>
      <c r="N78" s="565">
        <f>SUM(N79:N97)</f>
        <v>76234</v>
      </c>
      <c r="O78" s="565">
        <f>SUM(O79:O97)</f>
        <v>76056</v>
      </c>
      <c r="P78" s="563"/>
      <c r="Q78" s="563"/>
    </row>
    <row r="79" spans="1:17">
      <c r="A79" s="562" t="s">
        <v>5387</v>
      </c>
      <c r="B79" s="562" t="s">
        <v>4698</v>
      </c>
      <c r="C79" s="55" t="s">
        <v>8453</v>
      </c>
      <c r="D79" s="565">
        <v>3704</v>
      </c>
      <c r="E79" s="565">
        <v>3731</v>
      </c>
      <c r="F79" s="565">
        <v>3717</v>
      </c>
      <c r="G79" s="565">
        <v>3717</v>
      </c>
      <c r="H79" s="56">
        <v>3700</v>
      </c>
      <c r="I79" s="56">
        <v>3615</v>
      </c>
      <c r="J79" s="56">
        <v>3672</v>
      </c>
      <c r="K79" s="56">
        <v>3823</v>
      </c>
      <c r="L79" s="56">
        <v>3880</v>
      </c>
      <c r="M79" s="56">
        <v>3906</v>
      </c>
      <c r="N79" s="56">
        <v>3988</v>
      </c>
      <c r="O79" s="56">
        <v>3987</v>
      </c>
      <c r="P79" s="563"/>
      <c r="Q79" s="562" t="s">
        <v>3206</v>
      </c>
    </row>
    <row r="80" spans="1:17">
      <c r="A80" s="562" t="s">
        <v>5389</v>
      </c>
      <c r="B80" s="562" t="s">
        <v>4699</v>
      </c>
      <c r="C80" s="55" t="s">
        <v>8454</v>
      </c>
      <c r="D80" s="565">
        <v>3648</v>
      </c>
      <c r="E80" s="565">
        <v>3690</v>
      </c>
      <c r="F80" s="565">
        <v>3707</v>
      </c>
      <c r="G80" s="565">
        <v>3731</v>
      </c>
      <c r="H80" s="56">
        <v>3702</v>
      </c>
      <c r="I80" s="56">
        <v>3676</v>
      </c>
      <c r="J80" s="56">
        <v>3720</v>
      </c>
      <c r="K80" s="56">
        <v>3833</v>
      </c>
      <c r="L80" s="56">
        <v>3923</v>
      </c>
      <c r="M80" s="56">
        <v>4041</v>
      </c>
      <c r="N80" s="56">
        <v>4192</v>
      </c>
      <c r="O80" s="56">
        <v>4185</v>
      </c>
      <c r="P80" s="563"/>
      <c r="Q80" s="562" t="s">
        <v>3206</v>
      </c>
    </row>
    <row r="81" spans="1:17">
      <c r="A81" s="562" t="s">
        <v>5391</v>
      </c>
      <c r="B81" s="562" t="s">
        <v>1833</v>
      </c>
      <c r="C81" s="55" t="s">
        <v>8455</v>
      </c>
      <c r="D81" s="565">
        <v>5380</v>
      </c>
      <c r="E81" s="565">
        <v>5399</v>
      </c>
      <c r="F81" s="565">
        <v>5511</v>
      </c>
      <c r="G81" s="565">
        <v>5634</v>
      </c>
      <c r="H81" s="56">
        <v>5812</v>
      </c>
      <c r="I81" s="56">
        <v>5857</v>
      </c>
      <c r="J81" s="56">
        <v>5933</v>
      </c>
      <c r="K81" s="56">
        <v>6040</v>
      </c>
      <c r="L81" s="56">
        <v>6144</v>
      </c>
      <c r="M81" s="56">
        <v>6100</v>
      </c>
      <c r="N81" s="56">
        <v>6155</v>
      </c>
      <c r="O81" s="56">
        <v>6145</v>
      </c>
      <c r="P81" s="563"/>
      <c r="Q81" s="562" t="s">
        <v>3206</v>
      </c>
    </row>
    <row r="82" spans="1:17">
      <c r="A82" s="562" t="s">
        <v>5393</v>
      </c>
      <c r="B82" s="562" t="s">
        <v>1834</v>
      </c>
      <c r="C82" s="55" t="s">
        <v>8456</v>
      </c>
      <c r="D82" s="565">
        <v>1757</v>
      </c>
      <c r="E82" s="565">
        <v>1760</v>
      </c>
      <c r="F82" s="565">
        <v>1739</v>
      </c>
      <c r="G82" s="565">
        <v>1734</v>
      </c>
      <c r="H82" s="56">
        <v>1691</v>
      </c>
      <c r="I82" s="56">
        <v>1690</v>
      </c>
      <c r="J82" s="56">
        <v>1733</v>
      </c>
      <c r="K82" s="56">
        <v>1825</v>
      </c>
      <c r="L82" s="56">
        <v>1888</v>
      </c>
      <c r="M82" s="56">
        <v>1904</v>
      </c>
      <c r="N82" s="56">
        <v>1937</v>
      </c>
      <c r="O82" s="56">
        <v>1928</v>
      </c>
      <c r="P82" s="563"/>
      <c r="Q82" s="562" t="s">
        <v>3206</v>
      </c>
    </row>
    <row r="83" spans="1:17">
      <c r="A83" s="562" t="s">
        <v>5394</v>
      </c>
      <c r="B83" s="562" t="s">
        <v>1835</v>
      </c>
      <c r="C83" s="55" t="s">
        <v>8457</v>
      </c>
      <c r="D83" s="565">
        <v>3984</v>
      </c>
      <c r="E83" s="565">
        <v>4011</v>
      </c>
      <c r="F83" s="565">
        <v>4034</v>
      </c>
      <c r="G83" s="565">
        <v>4064</v>
      </c>
      <c r="H83" s="56">
        <v>4017</v>
      </c>
      <c r="I83" s="56">
        <v>4021</v>
      </c>
      <c r="J83" s="56">
        <v>4030</v>
      </c>
      <c r="K83" s="56">
        <v>4277</v>
      </c>
      <c r="L83" s="56">
        <v>4348</v>
      </c>
      <c r="M83" s="56">
        <v>4334</v>
      </c>
      <c r="N83" s="56">
        <v>4452</v>
      </c>
      <c r="O83" s="56">
        <v>4444</v>
      </c>
      <c r="P83" s="563"/>
      <c r="Q83" s="562" t="s">
        <v>1815</v>
      </c>
    </row>
    <row r="84" spans="1:17">
      <c r="A84" s="562" t="s">
        <v>5416</v>
      </c>
      <c r="B84" s="562" t="s">
        <v>1836</v>
      </c>
      <c r="C84" s="55" t="s">
        <v>8458</v>
      </c>
      <c r="D84" s="565">
        <v>3496</v>
      </c>
      <c r="E84" s="565">
        <v>3552</v>
      </c>
      <c r="F84" s="565">
        <v>3652</v>
      </c>
      <c r="G84" s="565">
        <v>3695</v>
      </c>
      <c r="H84" s="56">
        <v>3632</v>
      </c>
      <c r="I84" s="56">
        <v>3558</v>
      </c>
      <c r="J84" s="56">
        <v>3574</v>
      </c>
      <c r="K84" s="56">
        <v>3638</v>
      </c>
      <c r="L84" s="56">
        <v>3689</v>
      </c>
      <c r="M84" s="56">
        <v>3870</v>
      </c>
      <c r="N84" s="56">
        <v>4208</v>
      </c>
      <c r="O84" s="56">
        <v>4244</v>
      </c>
      <c r="P84" s="563"/>
      <c r="Q84" s="562" t="s">
        <v>3206</v>
      </c>
    </row>
    <row r="85" spans="1:17">
      <c r="A85" s="562" t="s">
        <v>5418</v>
      </c>
      <c r="B85" s="562" t="s">
        <v>5371</v>
      </c>
      <c r="C85" s="55" t="s">
        <v>8459</v>
      </c>
      <c r="D85" s="565">
        <v>3816</v>
      </c>
      <c r="E85" s="565">
        <v>3801</v>
      </c>
      <c r="F85" s="565">
        <v>3830</v>
      </c>
      <c r="G85" s="565">
        <v>3893</v>
      </c>
      <c r="H85" s="56">
        <v>3852</v>
      </c>
      <c r="I85" s="56">
        <v>3789</v>
      </c>
      <c r="J85" s="56">
        <v>3713</v>
      </c>
      <c r="K85" s="56">
        <v>3759</v>
      </c>
      <c r="L85" s="56">
        <v>3769</v>
      </c>
      <c r="M85" s="56">
        <v>3769</v>
      </c>
      <c r="N85" s="56">
        <v>3762</v>
      </c>
      <c r="O85" s="56">
        <v>3751</v>
      </c>
      <c r="P85" s="563"/>
      <c r="Q85" s="562" t="s">
        <v>1815</v>
      </c>
    </row>
    <row r="86" spans="1:17">
      <c r="A86" s="562" t="s">
        <v>5420</v>
      </c>
      <c r="B86" s="562" t="s">
        <v>2873</v>
      </c>
      <c r="C86" s="55" t="s">
        <v>10119</v>
      </c>
      <c r="D86" s="565">
        <v>5526</v>
      </c>
      <c r="E86" s="565">
        <v>5581</v>
      </c>
      <c r="F86" s="565">
        <v>5556</v>
      </c>
      <c r="G86" s="565">
        <v>5415</v>
      </c>
      <c r="H86" s="56">
        <v>5445</v>
      </c>
      <c r="I86" s="56">
        <v>5326</v>
      </c>
      <c r="J86" s="56">
        <v>5324</v>
      </c>
      <c r="K86" s="56">
        <v>5507</v>
      </c>
      <c r="L86" s="56">
        <v>5603</v>
      </c>
      <c r="M86" s="56">
        <v>5734</v>
      </c>
      <c r="N86" s="56">
        <v>5887</v>
      </c>
      <c r="O86" s="56">
        <v>5869</v>
      </c>
      <c r="P86" s="563"/>
      <c r="Q86" s="562" t="s">
        <v>1815</v>
      </c>
    </row>
    <row r="87" spans="1:17">
      <c r="A87" s="562" t="s">
        <v>5422</v>
      </c>
      <c r="B87" s="562" t="s">
        <v>3855</v>
      </c>
      <c r="C87" s="55" t="s">
        <v>8460</v>
      </c>
      <c r="D87" s="565">
        <v>2050</v>
      </c>
      <c r="E87" s="565">
        <v>2050</v>
      </c>
      <c r="F87" s="565">
        <v>2029</v>
      </c>
      <c r="G87" s="565">
        <v>2049</v>
      </c>
      <c r="H87" s="56">
        <v>2012</v>
      </c>
      <c r="I87" s="56">
        <v>1973</v>
      </c>
      <c r="J87" s="56">
        <v>1915</v>
      </c>
      <c r="K87" s="56">
        <v>1909</v>
      </c>
      <c r="L87" s="56">
        <v>1911</v>
      </c>
      <c r="M87" s="56">
        <v>1903</v>
      </c>
      <c r="N87" s="56">
        <v>1934</v>
      </c>
      <c r="O87" s="56">
        <v>1925</v>
      </c>
      <c r="P87" s="563"/>
      <c r="Q87" s="562" t="s">
        <v>3206</v>
      </c>
    </row>
    <row r="88" spans="1:17">
      <c r="A88" s="562" t="s">
        <v>5424</v>
      </c>
      <c r="B88" s="562" t="s">
        <v>3856</v>
      </c>
      <c r="C88" s="55" t="s">
        <v>8461</v>
      </c>
      <c r="D88" s="565">
        <v>3435</v>
      </c>
      <c r="E88" s="565">
        <v>3487</v>
      </c>
      <c r="F88" s="565">
        <v>3461</v>
      </c>
      <c r="G88" s="565">
        <v>3443</v>
      </c>
      <c r="H88" s="56">
        <v>3443</v>
      </c>
      <c r="I88" s="56">
        <v>3397</v>
      </c>
      <c r="J88" s="56">
        <v>3362</v>
      </c>
      <c r="K88" s="56">
        <v>3391</v>
      </c>
      <c r="L88" s="56">
        <v>3371</v>
      </c>
      <c r="M88" s="56">
        <v>3372</v>
      </c>
      <c r="N88" s="56">
        <v>3380</v>
      </c>
      <c r="O88" s="56">
        <v>3357</v>
      </c>
      <c r="P88" s="563"/>
      <c r="Q88" s="562" t="s">
        <v>1815</v>
      </c>
    </row>
    <row r="89" spans="1:17">
      <c r="A89" s="562" t="s">
        <v>5426</v>
      </c>
      <c r="B89" s="562" t="s">
        <v>3857</v>
      </c>
      <c r="C89" s="55" t="s">
        <v>8462</v>
      </c>
      <c r="D89" s="565">
        <v>4113</v>
      </c>
      <c r="E89" s="565">
        <v>4129</v>
      </c>
      <c r="F89" s="565">
        <v>4129</v>
      </c>
      <c r="G89" s="565">
        <v>4112</v>
      </c>
      <c r="H89" s="56">
        <v>4087</v>
      </c>
      <c r="I89" s="56">
        <v>3978</v>
      </c>
      <c r="J89" s="56">
        <v>3945</v>
      </c>
      <c r="K89" s="56">
        <v>4024</v>
      </c>
      <c r="L89" s="56">
        <v>4028</v>
      </c>
      <c r="M89" s="56">
        <v>4005</v>
      </c>
      <c r="N89" s="56">
        <v>4060</v>
      </c>
      <c r="O89" s="56">
        <v>4046</v>
      </c>
      <c r="P89" s="563"/>
      <c r="Q89" s="562" t="s">
        <v>3206</v>
      </c>
    </row>
    <row r="90" spans="1:17">
      <c r="A90" s="562" t="s">
        <v>5428</v>
      </c>
      <c r="B90" s="562" t="s">
        <v>5531</v>
      </c>
      <c r="C90" s="55" t="s">
        <v>8463</v>
      </c>
      <c r="D90" s="565">
        <v>1950</v>
      </c>
      <c r="E90" s="565">
        <v>1983</v>
      </c>
      <c r="F90" s="565">
        <v>2010</v>
      </c>
      <c r="G90" s="565">
        <v>2032</v>
      </c>
      <c r="H90" s="56">
        <v>2030</v>
      </c>
      <c r="I90" s="56">
        <v>2012</v>
      </c>
      <c r="J90" s="56">
        <v>2030</v>
      </c>
      <c r="K90" s="56">
        <v>2109</v>
      </c>
      <c r="L90" s="56">
        <v>2116</v>
      </c>
      <c r="M90" s="56">
        <v>2106</v>
      </c>
      <c r="N90" s="56">
        <v>2194</v>
      </c>
      <c r="O90" s="56">
        <v>2185</v>
      </c>
      <c r="P90" s="563"/>
      <c r="Q90" s="562" t="s">
        <v>3206</v>
      </c>
    </row>
    <row r="91" spans="1:17">
      <c r="A91" s="562" t="s">
        <v>5429</v>
      </c>
      <c r="B91" s="562" t="s">
        <v>3858</v>
      </c>
      <c r="C91" s="55" t="s">
        <v>8464</v>
      </c>
      <c r="D91" s="565">
        <v>3873</v>
      </c>
      <c r="E91" s="565">
        <v>3922</v>
      </c>
      <c r="F91" s="565">
        <v>3889</v>
      </c>
      <c r="G91" s="565">
        <v>3957</v>
      </c>
      <c r="H91" s="56">
        <v>3872</v>
      </c>
      <c r="I91" s="56">
        <v>3813</v>
      </c>
      <c r="J91" s="56">
        <v>3817</v>
      </c>
      <c r="K91" s="56">
        <v>3907</v>
      </c>
      <c r="L91" s="56">
        <v>3956</v>
      </c>
      <c r="M91" s="56">
        <v>3950</v>
      </c>
      <c r="N91" s="56">
        <v>4063</v>
      </c>
      <c r="O91" s="56">
        <v>4048</v>
      </c>
      <c r="P91" s="563"/>
      <c r="Q91" s="562" t="s">
        <v>3206</v>
      </c>
    </row>
    <row r="92" spans="1:17">
      <c r="A92" s="562" t="s">
        <v>5431</v>
      </c>
      <c r="B92" s="562" t="s">
        <v>3859</v>
      </c>
      <c r="C92" s="55" t="s">
        <v>8465</v>
      </c>
      <c r="D92" s="565">
        <v>3703</v>
      </c>
      <c r="E92" s="565">
        <v>3721</v>
      </c>
      <c r="F92" s="565">
        <v>3731</v>
      </c>
      <c r="G92" s="565">
        <v>3738</v>
      </c>
      <c r="H92" s="56">
        <v>3808</v>
      </c>
      <c r="I92" s="56">
        <v>3758</v>
      </c>
      <c r="J92" s="56">
        <v>3755</v>
      </c>
      <c r="K92" s="56">
        <v>3761</v>
      </c>
      <c r="L92" s="56">
        <v>3736</v>
      </c>
      <c r="M92" s="56">
        <v>3694</v>
      </c>
      <c r="N92" s="56">
        <v>3775</v>
      </c>
      <c r="O92" s="56">
        <v>3777</v>
      </c>
      <c r="P92" s="563"/>
      <c r="Q92" s="562" t="s">
        <v>3206</v>
      </c>
    </row>
    <row r="93" spans="1:17">
      <c r="A93" s="562" t="s">
        <v>5433</v>
      </c>
      <c r="B93" s="562" t="s">
        <v>1091</v>
      </c>
      <c r="C93" s="55" t="s">
        <v>8466</v>
      </c>
      <c r="D93" s="565">
        <v>5371</v>
      </c>
      <c r="E93" s="565">
        <v>5405</v>
      </c>
      <c r="F93" s="565">
        <v>5396</v>
      </c>
      <c r="G93" s="565">
        <v>5451</v>
      </c>
      <c r="H93" s="56">
        <v>5328</v>
      </c>
      <c r="I93" s="56">
        <v>5209</v>
      </c>
      <c r="J93" s="56">
        <v>5142</v>
      </c>
      <c r="K93" s="56">
        <v>5088</v>
      </c>
      <c r="L93" s="56">
        <v>5047</v>
      </c>
      <c r="M93" s="56">
        <v>4913</v>
      </c>
      <c r="N93" s="56">
        <v>4929</v>
      </c>
      <c r="O93" s="56">
        <v>4915</v>
      </c>
      <c r="P93" s="563"/>
      <c r="Q93" s="562" t="s">
        <v>3206</v>
      </c>
    </row>
    <row r="94" spans="1:17">
      <c r="A94" s="562" t="s">
        <v>5435</v>
      </c>
      <c r="B94" s="562" t="s">
        <v>1092</v>
      </c>
      <c r="C94" s="55" t="s">
        <v>8467</v>
      </c>
      <c r="D94" s="565">
        <v>5673</v>
      </c>
      <c r="E94" s="565">
        <v>5681</v>
      </c>
      <c r="F94" s="565">
        <v>5667</v>
      </c>
      <c r="G94" s="565">
        <v>5711</v>
      </c>
      <c r="H94" s="58">
        <v>5666</v>
      </c>
      <c r="I94" s="58">
        <v>5581</v>
      </c>
      <c r="J94" s="58">
        <v>5494</v>
      </c>
      <c r="K94" s="58">
        <v>5584</v>
      </c>
      <c r="L94" s="58">
        <v>5634</v>
      </c>
      <c r="M94" s="58">
        <v>5585</v>
      </c>
      <c r="N94" s="58">
        <v>5625</v>
      </c>
      <c r="O94" s="58">
        <v>5601</v>
      </c>
      <c r="P94" s="563"/>
      <c r="Q94" s="562" t="s">
        <v>3206</v>
      </c>
    </row>
    <row r="95" spans="1:17">
      <c r="A95" s="562" t="s">
        <v>5436</v>
      </c>
      <c r="B95" s="562" t="s">
        <v>1093</v>
      </c>
      <c r="C95" s="55" t="s">
        <v>8468</v>
      </c>
      <c r="D95" s="565">
        <v>5906</v>
      </c>
      <c r="E95" s="565">
        <v>5922</v>
      </c>
      <c r="F95" s="565">
        <v>5936</v>
      </c>
      <c r="G95" s="565">
        <v>6052</v>
      </c>
      <c r="H95" s="58">
        <v>6098</v>
      </c>
      <c r="I95" s="58">
        <v>5999</v>
      </c>
      <c r="J95" s="58">
        <v>6021</v>
      </c>
      <c r="K95" s="58">
        <v>6306</v>
      </c>
      <c r="L95" s="58">
        <v>6536</v>
      </c>
      <c r="M95" s="58">
        <v>6630</v>
      </c>
      <c r="N95" s="58">
        <v>6854</v>
      </c>
      <c r="O95" s="58">
        <v>6832</v>
      </c>
      <c r="P95" s="563"/>
      <c r="Q95" s="562" t="s">
        <v>3206</v>
      </c>
    </row>
    <row r="96" spans="1:17">
      <c r="A96" s="562" t="s">
        <v>5437</v>
      </c>
      <c r="B96" s="562" t="s">
        <v>4308</v>
      </c>
      <c r="C96" s="55" t="s">
        <v>10120</v>
      </c>
      <c r="D96" s="565">
        <v>0</v>
      </c>
      <c r="E96" s="565">
        <v>0</v>
      </c>
      <c r="F96" s="565">
        <v>0</v>
      </c>
      <c r="G96" s="63">
        <v>0</v>
      </c>
      <c r="H96" s="56">
        <v>0</v>
      </c>
      <c r="I96" s="56">
        <v>120</v>
      </c>
      <c r="J96" s="58">
        <v>133</v>
      </c>
      <c r="K96" s="58">
        <v>131</v>
      </c>
      <c r="L96" s="58">
        <v>125</v>
      </c>
      <c r="M96" s="58">
        <v>0</v>
      </c>
      <c r="N96" s="58">
        <v>127</v>
      </c>
      <c r="O96" s="58">
        <v>127</v>
      </c>
      <c r="P96" s="563"/>
      <c r="Q96" s="562" t="s">
        <v>1815</v>
      </c>
    </row>
    <row r="97" spans="1:17" ht="15.75" thickBot="1">
      <c r="A97" s="562"/>
      <c r="B97" s="562"/>
      <c r="C97" s="55" t="s">
        <v>10120</v>
      </c>
      <c r="D97" s="566">
        <v>5130</v>
      </c>
      <c r="E97" s="566">
        <v>5201</v>
      </c>
      <c r="F97" s="566">
        <v>5146</v>
      </c>
      <c r="G97" s="566">
        <v>5359</v>
      </c>
      <c r="H97" s="394">
        <v>5235</v>
      </c>
      <c r="I97" s="394">
        <v>4955</v>
      </c>
      <c r="J97" s="394">
        <v>4760</v>
      </c>
      <c r="K97" s="58">
        <v>4826</v>
      </c>
      <c r="L97" s="58">
        <v>4795</v>
      </c>
      <c r="M97" s="58">
        <v>4789</v>
      </c>
      <c r="N97" s="58">
        <v>4712</v>
      </c>
      <c r="O97" s="58">
        <v>4690</v>
      </c>
      <c r="P97" s="563"/>
      <c r="Q97" s="562" t="s">
        <v>3206</v>
      </c>
    </row>
    <row r="98" spans="1:17" ht="15.75" thickBot="1">
      <c r="A98" s="562"/>
      <c r="B98" s="562"/>
      <c r="C98" s="55" t="s">
        <v>10120</v>
      </c>
      <c r="D98" s="572">
        <f>D96+D97</f>
        <v>5130</v>
      </c>
      <c r="E98" s="572">
        <f t="shared" ref="E98:J98" si="69">E96+E97</f>
        <v>5201</v>
      </c>
      <c r="F98" s="572">
        <f t="shared" si="69"/>
        <v>5146</v>
      </c>
      <c r="G98" s="572">
        <f t="shared" si="69"/>
        <v>5359</v>
      </c>
      <c r="H98" s="572">
        <f t="shared" si="69"/>
        <v>5235</v>
      </c>
      <c r="I98" s="572">
        <f t="shared" si="69"/>
        <v>5075</v>
      </c>
      <c r="J98" s="572">
        <f t="shared" si="69"/>
        <v>4893</v>
      </c>
      <c r="K98" s="572">
        <f>K96+K97</f>
        <v>4957</v>
      </c>
      <c r="L98" s="572">
        <f>L96+L97</f>
        <v>4920</v>
      </c>
      <c r="M98" s="572">
        <f>M96+M97</f>
        <v>4789</v>
      </c>
      <c r="N98" s="572">
        <f>N96+N97</f>
        <v>4839</v>
      </c>
      <c r="O98" s="572">
        <f>O96+O97</f>
        <v>4817</v>
      </c>
      <c r="P98" s="563"/>
      <c r="Q98" s="562"/>
    </row>
    <row r="99" spans="1:17">
      <c r="A99" s="563"/>
      <c r="B99" s="563"/>
      <c r="D99" s="567"/>
      <c r="E99" s="567"/>
      <c r="F99" s="567"/>
      <c r="G99" s="567"/>
      <c r="H99" s="567"/>
      <c r="I99" s="567"/>
      <c r="J99" s="567"/>
      <c r="K99" s="567"/>
      <c r="L99" s="567"/>
      <c r="M99" s="567"/>
      <c r="N99" s="567"/>
      <c r="O99" s="567"/>
      <c r="P99" s="563"/>
      <c r="Q99" s="563"/>
    </row>
    <row r="100" spans="1:17">
      <c r="A100" s="562" t="s">
        <v>1094</v>
      </c>
      <c r="D100" s="565">
        <f t="shared" ref="D100:M100" si="70">D83+D85+D86+D88+D96</f>
        <v>16761</v>
      </c>
      <c r="E100" s="565">
        <f t="shared" si="70"/>
        <v>16880</v>
      </c>
      <c r="F100" s="565">
        <f t="shared" si="70"/>
        <v>16881</v>
      </c>
      <c r="G100" s="565">
        <f t="shared" si="70"/>
        <v>16815</v>
      </c>
      <c r="H100" s="565">
        <f t="shared" si="70"/>
        <v>16757</v>
      </c>
      <c r="I100" s="565">
        <f t="shared" si="70"/>
        <v>16653</v>
      </c>
      <c r="J100" s="565">
        <f t="shared" si="70"/>
        <v>16562</v>
      </c>
      <c r="K100" s="565">
        <f t="shared" si="70"/>
        <v>17065</v>
      </c>
      <c r="L100" s="565">
        <f t="shared" si="70"/>
        <v>17216</v>
      </c>
      <c r="M100" s="565">
        <f t="shared" si="70"/>
        <v>17209</v>
      </c>
      <c r="N100" s="565">
        <f>N83+N85+N86+N88+N96</f>
        <v>17608</v>
      </c>
      <c r="O100" s="565">
        <f>O83+O85+O86+O88+O96</f>
        <v>17548</v>
      </c>
      <c r="P100" s="563"/>
      <c r="Q100" s="563"/>
    </row>
    <row r="101" spans="1:17">
      <c r="A101" s="562" t="s">
        <v>1095</v>
      </c>
      <c r="D101" s="565">
        <f t="shared" ref="D101:L101" si="71">SUM(D79:D82)+D84+D87+SUM(D89:D95)+D97</f>
        <v>55754</v>
      </c>
      <c r="E101" s="565">
        <f t="shared" si="71"/>
        <v>56146</v>
      </c>
      <c r="F101" s="565">
        <f t="shared" si="71"/>
        <v>56259</v>
      </c>
      <c r="G101" s="565">
        <f t="shared" si="71"/>
        <v>56972</v>
      </c>
      <c r="H101" s="565">
        <f t="shared" si="71"/>
        <v>56673</v>
      </c>
      <c r="I101" s="565">
        <f t="shared" si="71"/>
        <v>55674</v>
      </c>
      <c r="J101" s="565">
        <f t="shared" si="71"/>
        <v>55511</v>
      </c>
      <c r="K101" s="565">
        <f t="shared" si="71"/>
        <v>56673</v>
      </c>
      <c r="L101" s="565">
        <f t="shared" si="71"/>
        <v>57283</v>
      </c>
      <c r="M101" s="565">
        <f>SUM(M79:M82)+M84+M87+SUM(M89:M95)+M97</f>
        <v>57396</v>
      </c>
      <c r="N101" s="565">
        <f>SUM(N79:N82)+N84+N87+SUM(N89:N95)+N97</f>
        <v>58626</v>
      </c>
      <c r="O101" s="565">
        <f>SUM(O79:O82)+O84+O87+SUM(O89:O95)+O97</f>
        <v>58508</v>
      </c>
      <c r="P101" s="563"/>
      <c r="Q101" s="563"/>
    </row>
    <row r="102" spans="1:17">
      <c r="A102" s="562"/>
      <c r="D102" s="565"/>
      <c r="E102" s="565"/>
      <c r="F102" s="565"/>
      <c r="G102" s="565"/>
      <c r="H102" s="565"/>
      <c r="I102" s="565"/>
      <c r="J102" s="565"/>
      <c r="K102" s="565"/>
      <c r="L102" s="565"/>
      <c r="M102" s="565"/>
      <c r="N102" s="565"/>
      <c r="O102" s="565"/>
      <c r="P102" s="563"/>
      <c r="Q102" s="563"/>
    </row>
    <row r="103" spans="1:17">
      <c r="A103" s="562" t="s">
        <v>10118</v>
      </c>
      <c r="D103" s="565"/>
      <c r="E103" s="565"/>
      <c r="F103" s="565"/>
      <c r="G103" s="565"/>
      <c r="H103" s="565"/>
      <c r="I103" s="565"/>
      <c r="J103" s="565"/>
      <c r="K103" s="565"/>
      <c r="L103" s="565"/>
      <c r="M103" s="565"/>
      <c r="N103" s="565"/>
      <c r="O103" s="565"/>
      <c r="P103" s="563"/>
      <c r="Q103" s="563"/>
    </row>
    <row r="104" spans="1:17">
      <c r="A104" s="562" t="s">
        <v>16096</v>
      </c>
      <c r="D104" s="565"/>
      <c r="E104" s="565"/>
      <c r="F104" s="565"/>
      <c r="G104" s="565"/>
      <c r="H104" s="565"/>
      <c r="I104" s="565"/>
      <c r="J104" s="565"/>
      <c r="K104" s="565"/>
      <c r="L104" s="565"/>
      <c r="M104" s="565"/>
      <c r="N104" s="565"/>
      <c r="O104" s="565"/>
      <c r="P104" s="563"/>
      <c r="Q104" s="563"/>
    </row>
    <row r="105" spans="1:17">
      <c r="A105" s="21"/>
      <c r="B105" s="562"/>
      <c r="D105" s="573"/>
      <c r="E105" s="573"/>
      <c r="F105" s="573"/>
      <c r="G105" s="573"/>
      <c r="H105" s="573"/>
      <c r="I105" s="573"/>
      <c r="J105" s="573"/>
      <c r="K105" s="573"/>
      <c r="L105" s="573"/>
      <c r="M105" s="573"/>
      <c r="N105" s="573"/>
      <c r="O105" s="573"/>
      <c r="P105" s="563"/>
      <c r="Q105" s="563"/>
    </row>
    <row r="106" spans="1:17">
      <c r="A106" s="562"/>
      <c r="B106" s="562"/>
      <c r="D106" s="573"/>
      <c r="E106" s="573"/>
      <c r="F106" s="573"/>
      <c r="G106" s="573"/>
      <c r="H106" s="573"/>
      <c r="I106" s="573"/>
      <c r="J106" s="573"/>
      <c r="K106" s="573"/>
      <c r="L106" s="573"/>
      <c r="M106" s="573"/>
      <c r="N106" s="573"/>
      <c r="O106" s="573"/>
      <c r="P106" s="563"/>
      <c r="Q106" s="563"/>
    </row>
    <row r="107" spans="1:17">
      <c r="A107" s="563"/>
      <c r="B107" s="563"/>
      <c r="E107" s="51" t="s">
        <v>1526</v>
      </c>
      <c r="F107" s="51"/>
      <c r="G107" s="51"/>
      <c r="H107" s="51"/>
      <c r="I107" s="51"/>
      <c r="J107" s="51"/>
      <c r="K107" s="51"/>
      <c r="L107" s="51"/>
      <c r="M107" s="51"/>
      <c r="N107" s="51"/>
      <c r="O107" s="51"/>
      <c r="P107" s="11"/>
      <c r="Q107" s="13" t="s">
        <v>9479</v>
      </c>
    </row>
    <row r="108" spans="1:17">
      <c r="A108" s="563"/>
      <c r="B108" s="563"/>
      <c r="D108" s="350">
        <v>2010</v>
      </c>
      <c r="E108" s="350">
        <v>2011</v>
      </c>
      <c r="F108" s="350">
        <v>2012</v>
      </c>
      <c r="G108" s="350">
        <v>2013</v>
      </c>
      <c r="H108" s="350">
        <v>2014</v>
      </c>
      <c r="I108" s="350">
        <v>2015</v>
      </c>
      <c r="J108" s="350">
        <v>2016</v>
      </c>
      <c r="K108" s="350">
        <v>2017</v>
      </c>
      <c r="L108" s="350">
        <v>2018</v>
      </c>
      <c r="M108" s="350">
        <v>2019</v>
      </c>
      <c r="N108" s="350">
        <v>2020</v>
      </c>
      <c r="O108" s="960" t="s">
        <v>14823</v>
      </c>
      <c r="P108" s="563"/>
      <c r="Q108" s="13" t="s">
        <v>1527</v>
      </c>
    </row>
    <row r="109" spans="1:17">
      <c r="A109" s="562" t="s">
        <v>1670</v>
      </c>
      <c r="D109" s="565">
        <f t="shared" ref="D109:I109" si="72">SUM(D110:D137)</f>
        <v>129911</v>
      </c>
      <c r="E109" s="565">
        <f t="shared" si="72"/>
        <v>130936</v>
      </c>
      <c r="F109" s="565">
        <f t="shared" si="72"/>
        <v>131782</v>
      </c>
      <c r="G109" s="565">
        <f t="shared" si="72"/>
        <v>132712</v>
      </c>
      <c r="H109" s="565">
        <f t="shared" si="72"/>
        <v>133185</v>
      </c>
      <c r="I109" s="565">
        <f t="shared" si="72"/>
        <v>124752</v>
      </c>
      <c r="J109" s="565">
        <f t="shared" ref="J109:O109" si="73">SUM(J110:J137)</f>
        <v>127526</v>
      </c>
      <c r="K109" s="565">
        <f t="shared" si="73"/>
        <v>131411</v>
      </c>
      <c r="L109" s="565">
        <f t="shared" si="73"/>
        <v>129612</v>
      </c>
      <c r="M109" s="565">
        <f t="shared" si="73"/>
        <v>129609</v>
      </c>
      <c r="N109" s="565">
        <f t="shared" si="73"/>
        <v>137035</v>
      </c>
      <c r="O109" s="565">
        <f t="shared" si="73"/>
        <v>137316</v>
      </c>
      <c r="P109" s="563"/>
      <c r="Q109" s="563"/>
    </row>
    <row r="110" spans="1:17">
      <c r="A110" s="562" t="s">
        <v>5387</v>
      </c>
      <c r="B110" s="562" t="s">
        <v>1671</v>
      </c>
      <c r="C110" s="55" t="s">
        <v>8469</v>
      </c>
      <c r="D110" s="565">
        <v>5169</v>
      </c>
      <c r="E110" s="565">
        <v>5192</v>
      </c>
      <c r="F110" s="565">
        <v>5302</v>
      </c>
      <c r="G110" s="56">
        <v>5297</v>
      </c>
      <c r="H110" s="56">
        <v>5273</v>
      </c>
      <c r="I110" s="56">
        <v>5310</v>
      </c>
      <c r="J110" s="56">
        <v>5213</v>
      </c>
      <c r="K110" s="56">
        <v>5359</v>
      </c>
      <c r="L110" s="56">
        <v>5469</v>
      </c>
      <c r="M110" s="56">
        <v>5471</v>
      </c>
      <c r="N110" s="56">
        <v>5723</v>
      </c>
      <c r="O110" s="56">
        <v>5734</v>
      </c>
      <c r="P110" s="563"/>
      <c r="Q110" s="562" t="s">
        <v>1815</v>
      </c>
    </row>
    <row r="111" spans="1:17">
      <c r="A111" s="562" t="s">
        <v>5389</v>
      </c>
      <c r="B111" s="562" t="s">
        <v>1672</v>
      </c>
      <c r="C111" s="55" t="s">
        <v>8470</v>
      </c>
      <c r="D111" s="565">
        <v>5023</v>
      </c>
      <c r="E111" s="565">
        <v>5151</v>
      </c>
      <c r="F111" s="565">
        <v>5299</v>
      </c>
      <c r="G111" s="56">
        <v>5407</v>
      </c>
      <c r="H111" s="56">
        <v>5427</v>
      </c>
      <c r="I111" s="56">
        <v>5405</v>
      </c>
      <c r="J111" s="56">
        <v>5223</v>
      </c>
      <c r="K111" s="56">
        <v>5314</v>
      </c>
      <c r="L111" s="56">
        <v>5390</v>
      </c>
      <c r="M111" s="56">
        <v>5422</v>
      </c>
      <c r="N111" s="56">
        <v>5708</v>
      </c>
      <c r="O111" s="56">
        <v>5736</v>
      </c>
      <c r="P111" s="563"/>
      <c r="Q111" s="562" t="s">
        <v>3202</v>
      </c>
    </row>
    <row r="112" spans="1:17">
      <c r="A112" s="562" t="s">
        <v>5391</v>
      </c>
      <c r="B112" s="562" t="s">
        <v>1673</v>
      </c>
      <c r="C112" s="55" t="s">
        <v>8471</v>
      </c>
      <c r="D112" s="565">
        <v>4372</v>
      </c>
      <c r="E112" s="565">
        <v>4578</v>
      </c>
      <c r="F112" s="565">
        <v>4717</v>
      </c>
      <c r="G112" s="56">
        <v>4949</v>
      </c>
      <c r="H112" s="56">
        <v>5192</v>
      </c>
      <c r="I112" s="56">
        <v>5327</v>
      </c>
      <c r="J112" s="56">
        <v>5250</v>
      </c>
      <c r="K112" s="56">
        <v>5331</v>
      </c>
      <c r="L112" s="56">
        <v>5516</v>
      </c>
      <c r="M112" s="56">
        <v>5542</v>
      </c>
      <c r="N112" s="56">
        <v>5724</v>
      </c>
      <c r="O112" s="56">
        <v>5733</v>
      </c>
      <c r="P112" s="563"/>
      <c r="Q112" s="562" t="s">
        <v>1815</v>
      </c>
    </row>
    <row r="113" spans="1:17">
      <c r="A113" s="562" t="s">
        <v>5393</v>
      </c>
      <c r="B113" s="562" t="s">
        <v>1674</v>
      </c>
      <c r="C113" s="55" t="s">
        <v>8472</v>
      </c>
      <c r="D113" s="565">
        <v>5290</v>
      </c>
      <c r="E113" s="565">
        <v>5294</v>
      </c>
      <c r="F113" s="565">
        <v>5334</v>
      </c>
      <c r="G113" s="56">
        <v>5349</v>
      </c>
      <c r="H113" s="56">
        <v>5239</v>
      </c>
      <c r="I113" s="56">
        <v>5214</v>
      </c>
      <c r="J113" s="56">
        <v>5108</v>
      </c>
      <c r="K113" s="56">
        <v>5138</v>
      </c>
      <c r="L113" s="56">
        <v>5178</v>
      </c>
      <c r="M113" s="56">
        <v>5126</v>
      </c>
      <c r="N113" s="56">
        <v>5148</v>
      </c>
      <c r="O113" s="56">
        <v>5148</v>
      </c>
      <c r="P113" s="563"/>
      <c r="Q113" s="562" t="s">
        <v>1815</v>
      </c>
    </row>
    <row r="114" spans="1:17">
      <c r="A114" s="562" t="s">
        <v>5394</v>
      </c>
      <c r="B114" s="562" t="s">
        <v>1675</v>
      </c>
      <c r="C114" s="55" t="s">
        <v>8473</v>
      </c>
      <c r="D114" s="565">
        <v>2236</v>
      </c>
      <c r="E114" s="565">
        <v>2250</v>
      </c>
      <c r="F114" s="565">
        <v>2268</v>
      </c>
      <c r="G114" s="56">
        <v>2276</v>
      </c>
      <c r="H114" s="56">
        <v>2246</v>
      </c>
      <c r="I114" s="56">
        <v>2249</v>
      </c>
      <c r="J114" s="56">
        <v>2287</v>
      </c>
      <c r="K114" s="56">
        <v>2340</v>
      </c>
      <c r="L114" s="56">
        <v>2335</v>
      </c>
      <c r="M114" s="56">
        <v>2289</v>
      </c>
      <c r="N114" s="56">
        <v>2313</v>
      </c>
      <c r="O114" s="56">
        <v>2307</v>
      </c>
      <c r="P114" s="563"/>
      <c r="Q114" s="562" t="s">
        <v>1815</v>
      </c>
    </row>
    <row r="115" spans="1:17">
      <c r="A115" s="562" t="s">
        <v>5416</v>
      </c>
      <c r="B115" s="562" t="s">
        <v>1676</v>
      </c>
      <c r="C115" s="55" t="s">
        <v>8474</v>
      </c>
      <c r="D115" s="565">
        <v>2716</v>
      </c>
      <c r="E115" s="565">
        <v>2773</v>
      </c>
      <c r="F115" s="565">
        <v>2771</v>
      </c>
      <c r="G115" s="56">
        <v>2803</v>
      </c>
      <c r="H115" s="56">
        <v>2746</v>
      </c>
      <c r="I115" s="56">
        <v>2682</v>
      </c>
      <c r="J115" s="56">
        <v>2484</v>
      </c>
      <c r="K115" s="56">
        <v>2500</v>
      </c>
      <c r="L115" s="56">
        <v>2596</v>
      </c>
      <c r="M115" s="56">
        <v>2576</v>
      </c>
      <c r="N115" s="56">
        <v>2770</v>
      </c>
      <c r="O115" s="56">
        <v>2780</v>
      </c>
      <c r="P115" s="563"/>
      <c r="Q115" s="562" t="s">
        <v>1815</v>
      </c>
    </row>
    <row r="116" spans="1:17">
      <c r="A116" s="562" t="s">
        <v>5418</v>
      </c>
      <c r="B116" s="562" t="s">
        <v>1677</v>
      </c>
      <c r="C116" s="55" t="s">
        <v>8475</v>
      </c>
      <c r="D116" s="565">
        <v>5366</v>
      </c>
      <c r="E116" s="565">
        <v>5319</v>
      </c>
      <c r="F116" s="565">
        <v>5289</v>
      </c>
      <c r="G116" s="56">
        <v>5384</v>
      </c>
      <c r="H116" s="56">
        <v>5424</v>
      </c>
      <c r="I116" s="56">
        <v>2458</v>
      </c>
      <c r="J116" s="56">
        <v>5056</v>
      </c>
      <c r="K116" s="56">
        <v>5202</v>
      </c>
      <c r="L116" s="56">
        <v>2591</v>
      </c>
      <c r="M116" s="56">
        <v>4200</v>
      </c>
      <c r="N116" s="56">
        <v>5227</v>
      </c>
      <c r="O116" s="56">
        <v>5178</v>
      </c>
      <c r="P116" s="563"/>
      <c r="Q116" s="562" t="s">
        <v>3202</v>
      </c>
    </row>
    <row r="117" spans="1:17">
      <c r="A117" s="562" t="s">
        <v>5420</v>
      </c>
      <c r="B117" s="562" t="s">
        <v>1678</v>
      </c>
      <c r="C117" s="55" t="s">
        <v>8476</v>
      </c>
      <c r="D117" s="565">
        <v>4764</v>
      </c>
      <c r="E117" s="565">
        <v>4824</v>
      </c>
      <c r="F117" s="565">
        <v>4844</v>
      </c>
      <c r="G117" s="56">
        <v>4915</v>
      </c>
      <c r="H117" s="56">
        <v>5015</v>
      </c>
      <c r="I117" s="56">
        <v>5028</v>
      </c>
      <c r="J117" s="56">
        <v>4864</v>
      </c>
      <c r="K117" s="56">
        <v>4892</v>
      </c>
      <c r="L117" s="56">
        <v>5000</v>
      </c>
      <c r="M117" s="56">
        <v>4904</v>
      </c>
      <c r="N117" s="56">
        <v>5010</v>
      </c>
      <c r="O117" s="56">
        <v>5004</v>
      </c>
      <c r="P117" s="563"/>
      <c r="Q117" s="562" t="s">
        <v>3202</v>
      </c>
    </row>
    <row r="118" spans="1:17">
      <c r="A118" s="562" t="s">
        <v>5422</v>
      </c>
      <c r="B118" s="562" t="s">
        <v>1679</v>
      </c>
      <c r="C118" s="55" t="s">
        <v>8477</v>
      </c>
      <c r="D118" s="565">
        <v>4654</v>
      </c>
      <c r="E118" s="565">
        <v>4630</v>
      </c>
      <c r="F118" s="565">
        <v>4634</v>
      </c>
      <c r="G118" s="58">
        <v>4625</v>
      </c>
      <c r="H118" s="58">
        <v>4631</v>
      </c>
      <c r="I118" s="58">
        <v>4540</v>
      </c>
      <c r="J118" s="58">
        <v>4482</v>
      </c>
      <c r="K118" s="58">
        <v>4478</v>
      </c>
      <c r="L118" s="58">
        <v>4568</v>
      </c>
      <c r="M118" s="58">
        <v>4414</v>
      </c>
      <c r="N118" s="58">
        <v>4451</v>
      </c>
      <c r="O118" s="58">
        <v>4447</v>
      </c>
      <c r="P118" s="563"/>
      <c r="Q118" s="562" t="s">
        <v>3202</v>
      </c>
    </row>
    <row r="119" spans="1:17">
      <c r="A119" s="562" t="s">
        <v>5424</v>
      </c>
      <c r="B119" s="562" t="s">
        <v>1680</v>
      </c>
      <c r="C119" s="55" t="s">
        <v>8478</v>
      </c>
      <c r="D119" s="565">
        <v>4370</v>
      </c>
      <c r="E119" s="565">
        <v>4448</v>
      </c>
      <c r="F119" s="565">
        <v>4427</v>
      </c>
      <c r="G119" s="58">
        <v>4417</v>
      </c>
      <c r="H119" s="58">
        <v>4251</v>
      </c>
      <c r="I119" s="58">
        <v>4154</v>
      </c>
      <c r="J119" s="58">
        <v>4085</v>
      </c>
      <c r="K119" s="58">
        <v>4130</v>
      </c>
      <c r="L119" s="58">
        <v>4159</v>
      </c>
      <c r="M119" s="58">
        <v>4131</v>
      </c>
      <c r="N119" s="58">
        <v>4319</v>
      </c>
      <c r="O119" s="58">
        <v>4321</v>
      </c>
      <c r="P119" s="563"/>
      <c r="Q119" s="562" t="s">
        <v>3202</v>
      </c>
    </row>
    <row r="120" spans="1:17">
      <c r="A120" s="562" t="s">
        <v>5426</v>
      </c>
      <c r="B120" s="562" t="s">
        <v>1043</v>
      </c>
      <c r="C120" s="55" t="s">
        <v>8479</v>
      </c>
      <c r="D120" s="565">
        <v>4650</v>
      </c>
      <c r="E120" s="565">
        <v>4611</v>
      </c>
      <c r="F120" s="565">
        <v>4684</v>
      </c>
      <c r="G120" s="58">
        <v>4692</v>
      </c>
      <c r="H120" s="58">
        <v>4674</v>
      </c>
      <c r="I120" s="58">
        <v>4383</v>
      </c>
      <c r="J120" s="58">
        <v>4239</v>
      </c>
      <c r="K120" s="58">
        <v>4532</v>
      </c>
      <c r="L120" s="58">
        <v>4339</v>
      </c>
      <c r="M120" s="58">
        <v>4284</v>
      </c>
      <c r="N120" s="58">
        <v>4586</v>
      </c>
      <c r="O120" s="58">
        <v>4588</v>
      </c>
      <c r="P120" s="563"/>
      <c r="Q120" s="562" t="s">
        <v>3202</v>
      </c>
    </row>
    <row r="121" spans="1:17">
      <c r="A121" s="562" t="s">
        <v>5428</v>
      </c>
      <c r="B121" s="562" t="s">
        <v>1044</v>
      </c>
      <c r="C121" s="55" t="s">
        <v>8480</v>
      </c>
      <c r="D121" s="565">
        <v>4058</v>
      </c>
      <c r="E121" s="565">
        <v>4360</v>
      </c>
      <c r="F121" s="565">
        <v>4258</v>
      </c>
      <c r="G121" s="58">
        <v>3835</v>
      </c>
      <c r="H121" s="58">
        <v>3943</v>
      </c>
      <c r="I121" s="58">
        <v>2966</v>
      </c>
      <c r="J121" s="58">
        <v>3975</v>
      </c>
      <c r="K121" s="58">
        <v>4059</v>
      </c>
      <c r="L121" s="58">
        <v>3082</v>
      </c>
      <c r="M121" s="58">
        <v>3703</v>
      </c>
      <c r="N121" s="58">
        <v>3944</v>
      </c>
      <c r="O121" s="58">
        <v>3965</v>
      </c>
      <c r="P121" s="563"/>
      <c r="Q121" s="562" t="s">
        <v>3202</v>
      </c>
    </row>
    <row r="122" spans="1:17">
      <c r="A122" s="562" t="s">
        <v>5429</v>
      </c>
      <c r="B122" s="562" t="s">
        <v>1045</v>
      </c>
      <c r="C122" s="55" t="s">
        <v>8481</v>
      </c>
      <c r="D122" s="565">
        <v>4591</v>
      </c>
      <c r="E122" s="565">
        <v>4593</v>
      </c>
      <c r="F122" s="565">
        <v>4624</v>
      </c>
      <c r="G122" s="58">
        <v>4559</v>
      </c>
      <c r="H122" s="58">
        <v>4546</v>
      </c>
      <c r="I122" s="58">
        <v>4303</v>
      </c>
      <c r="J122" s="58">
        <v>4500</v>
      </c>
      <c r="K122" s="58">
        <v>4594</v>
      </c>
      <c r="L122" s="58">
        <v>4435</v>
      </c>
      <c r="M122" s="58">
        <v>4450</v>
      </c>
      <c r="N122" s="58">
        <v>4632</v>
      </c>
      <c r="O122" s="58">
        <v>4628</v>
      </c>
      <c r="P122" s="563"/>
      <c r="Q122" s="562" t="s">
        <v>3202</v>
      </c>
    </row>
    <row r="123" spans="1:17">
      <c r="A123" s="562" t="s">
        <v>5431</v>
      </c>
      <c r="B123" s="562" t="s">
        <v>1053</v>
      </c>
      <c r="C123" s="55" t="s">
        <v>8482</v>
      </c>
      <c r="D123" s="565">
        <v>5087</v>
      </c>
      <c r="E123" s="565">
        <v>5163</v>
      </c>
      <c r="F123" s="565">
        <v>5283</v>
      </c>
      <c r="G123" s="58">
        <v>5405</v>
      </c>
      <c r="H123" s="58">
        <v>5419</v>
      </c>
      <c r="I123" s="58">
        <v>5456</v>
      </c>
      <c r="J123" s="58">
        <v>5499</v>
      </c>
      <c r="K123" s="58">
        <v>5669</v>
      </c>
      <c r="L123" s="58">
        <v>5858</v>
      </c>
      <c r="M123" s="58">
        <v>5996</v>
      </c>
      <c r="N123" s="58">
        <v>6397</v>
      </c>
      <c r="O123" s="58">
        <v>6434</v>
      </c>
      <c r="P123" s="563"/>
      <c r="Q123" s="562" t="s">
        <v>3202</v>
      </c>
    </row>
    <row r="124" spans="1:17">
      <c r="A124" s="562" t="s">
        <v>5433</v>
      </c>
      <c r="B124" s="562" t="s">
        <v>1054</v>
      </c>
      <c r="C124" s="55" t="s">
        <v>8483</v>
      </c>
      <c r="D124" s="565">
        <v>5685</v>
      </c>
      <c r="E124" s="565">
        <v>5697</v>
      </c>
      <c r="F124" s="565">
        <v>5574</v>
      </c>
      <c r="G124" s="58">
        <v>5686</v>
      </c>
      <c r="H124" s="58">
        <v>5751</v>
      </c>
      <c r="I124" s="58">
        <v>3476</v>
      </c>
      <c r="J124" s="58">
        <v>4046</v>
      </c>
      <c r="K124" s="58">
        <v>4754</v>
      </c>
      <c r="L124" s="58">
        <v>4611</v>
      </c>
      <c r="M124" s="58">
        <v>3664</v>
      </c>
      <c r="N124" s="58">
        <v>5380</v>
      </c>
      <c r="O124" s="58">
        <v>5417</v>
      </c>
      <c r="P124" s="563"/>
      <c r="Q124" s="562" t="s">
        <v>3202</v>
      </c>
    </row>
    <row r="125" spans="1:17">
      <c r="A125" s="562" t="s">
        <v>5435</v>
      </c>
      <c r="B125" s="562" t="s">
        <v>1055</v>
      </c>
      <c r="C125" s="55" t="s">
        <v>8484</v>
      </c>
      <c r="D125" s="565">
        <v>5004</v>
      </c>
      <c r="E125" s="565">
        <v>4830</v>
      </c>
      <c r="F125" s="565">
        <v>4843</v>
      </c>
      <c r="G125" s="58">
        <v>4928</v>
      </c>
      <c r="H125" s="58">
        <v>4853</v>
      </c>
      <c r="I125" s="58">
        <v>3363</v>
      </c>
      <c r="J125" s="58">
        <v>4024</v>
      </c>
      <c r="K125" s="58">
        <v>4773</v>
      </c>
      <c r="L125" s="58">
        <v>4678</v>
      </c>
      <c r="M125" s="58">
        <v>3785</v>
      </c>
      <c r="N125" s="58">
        <v>4741</v>
      </c>
      <c r="O125" s="58">
        <v>4787</v>
      </c>
      <c r="P125" s="563"/>
      <c r="Q125" s="562" t="s">
        <v>3202</v>
      </c>
    </row>
    <row r="126" spans="1:17">
      <c r="A126" s="562" t="s">
        <v>5436</v>
      </c>
      <c r="B126" s="562" t="s">
        <v>1056</v>
      </c>
      <c r="C126" s="55" t="s">
        <v>8485</v>
      </c>
      <c r="D126" s="565">
        <v>5343</v>
      </c>
      <c r="E126" s="565">
        <v>5368</v>
      </c>
      <c r="F126" s="565">
        <v>5382</v>
      </c>
      <c r="G126" s="56">
        <v>5430</v>
      </c>
      <c r="H126" s="56">
        <v>5451</v>
      </c>
      <c r="I126" s="56">
        <v>5440</v>
      </c>
      <c r="J126" s="56">
        <v>5247</v>
      </c>
      <c r="K126" s="56">
        <v>5274</v>
      </c>
      <c r="L126" s="56">
        <v>5339</v>
      </c>
      <c r="M126" s="56">
        <v>5274</v>
      </c>
      <c r="N126" s="56">
        <v>5390</v>
      </c>
      <c r="O126" s="56">
        <v>5402</v>
      </c>
      <c r="P126" s="563"/>
      <c r="Q126" s="562" t="s">
        <v>1815</v>
      </c>
    </row>
    <row r="127" spans="1:17">
      <c r="A127" s="562" t="s">
        <v>5437</v>
      </c>
      <c r="B127" s="562" t="s">
        <v>1057</v>
      </c>
      <c r="C127" s="55" t="s">
        <v>8486</v>
      </c>
      <c r="D127" s="565">
        <v>2533</v>
      </c>
      <c r="E127" s="565">
        <v>2546</v>
      </c>
      <c r="F127" s="565">
        <v>2582</v>
      </c>
      <c r="G127" s="56">
        <v>2551</v>
      </c>
      <c r="H127" s="56">
        <v>2565</v>
      </c>
      <c r="I127" s="56">
        <v>2560</v>
      </c>
      <c r="J127" s="56">
        <v>2539</v>
      </c>
      <c r="K127" s="56">
        <v>2622</v>
      </c>
      <c r="L127" s="56">
        <v>2945</v>
      </c>
      <c r="M127" s="56">
        <v>3114</v>
      </c>
      <c r="N127" s="56">
        <v>3444</v>
      </c>
      <c r="O127" s="56">
        <v>3476</v>
      </c>
      <c r="P127" s="563"/>
      <c r="Q127" s="562" t="s">
        <v>1815</v>
      </c>
    </row>
    <row r="128" spans="1:17">
      <c r="A128" s="562" t="s">
        <v>5439</v>
      </c>
      <c r="B128" s="562" t="s">
        <v>1058</v>
      </c>
      <c r="C128" s="55" t="s">
        <v>8487</v>
      </c>
      <c r="D128" s="571">
        <v>5230</v>
      </c>
      <c r="E128" s="571">
        <v>5247</v>
      </c>
      <c r="F128" s="571">
        <v>5285</v>
      </c>
      <c r="G128" s="58">
        <v>5324</v>
      </c>
      <c r="H128" s="58">
        <v>5390</v>
      </c>
      <c r="I128" s="58">
        <v>5449</v>
      </c>
      <c r="J128" s="58">
        <v>5463</v>
      </c>
      <c r="K128" s="58">
        <v>5601</v>
      </c>
      <c r="L128" s="58">
        <v>5682</v>
      </c>
      <c r="M128" s="58">
        <v>5622</v>
      </c>
      <c r="N128" s="58">
        <v>5696</v>
      </c>
      <c r="O128" s="58">
        <v>5702</v>
      </c>
      <c r="P128" s="563"/>
      <c r="Q128" s="562" t="s">
        <v>3202</v>
      </c>
    </row>
    <row r="129" spans="1:17">
      <c r="A129" s="562" t="s">
        <v>5441</v>
      </c>
      <c r="B129" s="562" t="s">
        <v>1059</v>
      </c>
      <c r="C129" s="55" t="s">
        <v>8488</v>
      </c>
      <c r="D129" s="565">
        <v>5032</v>
      </c>
      <c r="E129" s="565">
        <v>5043</v>
      </c>
      <c r="F129" s="565">
        <v>5146</v>
      </c>
      <c r="G129" s="56">
        <v>5329</v>
      </c>
      <c r="H129" s="56">
        <v>5418</v>
      </c>
      <c r="I129" s="56">
        <v>5450</v>
      </c>
      <c r="J129" s="56">
        <v>5292</v>
      </c>
      <c r="K129" s="56">
        <v>5453</v>
      </c>
      <c r="L129" s="56">
        <v>5758</v>
      </c>
      <c r="M129" s="56">
        <v>5944</v>
      </c>
      <c r="N129" s="56">
        <v>6238</v>
      </c>
      <c r="O129" s="56">
        <v>6261</v>
      </c>
      <c r="P129" s="563"/>
      <c r="Q129" s="562" t="s">
        <v>1815</v>
      </c>
    </row>
    <row r="130" spans="1:17">
      <c r="A130" s="562" t="s">
        <v>5886</v>
      </c>
      <c r="B130" s="562" t="s">
        <v>1060</v>
      </c>
      <c r="C130" s="55" t="s">
        <v>8489</v>
      </c>
      <c r="D130" s="565">
        <v>5285</v>
      </c>
      <c r="E130" s="565">
        <v>5291</v>
      </c>
      <c r="F130" s="565">
        <v>5276</v>
      </c>
      <c r="G130" s="58">
        <v>5305</v>
      </c>
      <c r="H130" s="58">
        <v>5241</v>
      </c>
      <c r="I130" s="58">
        <v>5172</v>
      </c>
      <c r="J130" s="58">
        <v>5094</v>
      </c>
      <c r="K130" s="58">
        <v>5157</v>
      </c>
      <c r="L130" s="58">
        <v>5134</v>
      </c>
      <c r="M130" s="58">
        <v>5076</v>
      </c>
      <c r="N130" s="58">
        <v>5191</v>
      </c>
      <c r="O130" s="58">
        <v>5209</v>
      </c>
      <c r="P130" s="563"/>
      <c r="Q130" s="562" t="s">
        <v>3202</v>
      </c>
    </row>
    <row r="131" spans="1:17">
      <c r="A131" s="562" t="s">
        <v>5888</v>
      </c>
      <c r="B131" s="562" t="s">
        <v>1061</v>
      </c>
      <c r="C131" s="55" t="s">
        <v>8490</v>
      </c>
      <c r="D131" s="565">
        <v>5588</v>
      </c>
      <c r="E131" s="565">
        <v>5555</v>
      </c>
      <c r="F131" s="565">
        <v>5580</v>
      </c>
      <c r="G131" s="58">
        <v>5603</v>
      </c>
      <c r="H131" s="58">
        <v>5573</v>
      </c>
      <c r="I131" s="58">
        <v>5500</v>
      </c>
      <c r="J131" s="58">
        <v>5418</v>
      </c>
      <c r="K131" s="58">
        <v>5586</v>
      </c>
      <c r="L131" s="58">
        <v>5726</v>
      </c>
      <c r="M131" s="58">
        <v>5676</v>
      </c>
      <c r="N131" s="58">
        <v>5870</v>
      </c>
      <c r="O131" s="58">
        <v>5885</v>
      </c>
      <c r="P131" s="563"/>
      <c r="Q131" s="562" t="s">
        <v>3202</v>
      </c>
    </row>
    <row r="132" spans="1:17">
      <c r="A132" s="562" t="s">
        <v>5889</v>
      </c>
      <c r="B132" s="562" t="s">
        <v>1062</v>
      </c>
      <c r="C132" s="55" t="s">
        <v>8491</v>
      </c>
      <c r="D132" s="565">
        <v>5609</v>
      </c>
      <c r="E132" s="565">
        <v>5647</v>
      </c>
      <c r="F132" s="565">
        <v>5666</v>
      </c>
      <c r="G132" s="58">
        <v>5652</v>
      </c>
      <c r="H132" s="58">
        <v>5726</v>
      </c>
      <c r="I132" s="58">
        <v>5746</v>
      </c>
      <c r="J132" s="58">
        <v>5615</v>
      </c>
      <c r="K132" s="58">
        <v>5801</v>
      </c>
      <c r="L132" s="58">
        <v>6041</v>
      </c>
      <c r="M132" s="58">
        <v>6039</v>
      </c>
      <c r="N132" s="58">
        <v>6184</v>
      </c>
      <c r="O132" s="58">
        <v>6171</v>
      </c>
      <c r="P132" s="563"/>
      <c r="Q132" s="562" t="s">
        <v>3202</v>
      </c>
    </row>
    <row r="133" spans="1:17">
      <c r="A133" s="562" t="s">
        <v>4431</v>
      </c>
      <c r="B133" s="562" t="s">
        <v>1063</v>
      </c>
      <c r="C133" s="55" t="s">
        <v>8492</v>
      </c>
      <c r="D133" s="565">
        <v>4834</v>
      </c>
      <c r="E133" s="565">
        <v>4927</v>
      </c>
      <c r="F133" s="565">
        <v>5078</v>
      </c>
      <c r="G133" s="56">
        <v>5138</v>
      </c>
      <c r="H133" s="56">
        <v>5307</v>
      </c>
      <c r="I133" s="56">
        <v>5322</v>
      </c>
      <c r="J133" s="56">
        <v>5223</v>
      </c>
      <c r="K133" s="56">
        <v>5298</v>
      </c>
      <c r="L133" s="56">
        <v>5428</v>
      </c>
      <c r="M133" s="56">
        <v>5418</v>
      </c>
      <c r="N133" s="56">
        <v>5432</v>
      </c>
      <c r="O133" s="56">
        <v>5471</v>
      </c>
      <c r="P133" s="563"/>
      <c r="Q133" s="562" t="s">
        <v>1815</v>
      </c>
    </row>
    <row r="134" spans="1:17">
      <c r="A134" s="562" t="s">
        <v>4432</v>
      </c>
      <c r="B134" s="562" t="s">
        <v>1064</v>
      </c>
      <c r="C134" s="55" t="s">
        <v>8493</v>
      </c>
      <c r="D134" s="565">
        <v>5165</v>
      </c>
      <c r="E134" s="565">
        <v>5206</v>
      </c>
      <c r="F134" s="565">
        <v>5168</v>
      </c>
      <c r="G134" s="56">
        <v>5206</v>
      </c>
      <c r="H134" s="56">
        <v>5259</v>
      </c>
      <c r="I134" s="56">
        <v>5185</v>
      </c>
      <c r="J134" s="56">
        <v>4985</v>
      </c>
      <c r="K134" s="56">
        <v>5014</v>
      </c>
      <c r="L134" s="56">
        <v>5065</v>
      </c>
      <c r="M134" s="56">
        <v>4986</v>
      </c>
      <c r="N134" s="56">
        <v>5026</v>
      </c>
      <c r="O134" s="56">
        <v>5031</v>
      </c>
      <c r="P134" s="563"/>
      <c r="Q134" s="562" t="s">
        <v>1815</v>
      </c>
    </row>
    <row r="135" spans="1:17">
      <c r="A135" s="562" t="s">
        <v>4434</v>
      </c>
      <c r="B135" s="562" t="s">
        <v>1065</v>
      </c>
      <c r="C135" s="55" t="s">
        <v>8494</v>
      </c>
      <c r="D135" s="565">
        <v>2500</v>
      </c>
      <c r="E135" s="565">
        <v>2518</v>
      </c>
      <c r="F135" s="565">
        <v>2503</v>
      </c>
      <c r="G135" s="58">
        <v>2537</v>
      </c>
      <c r="H135" s="58">
        <v>2559</v>
      </c>
      <c r="I135" s="58">
        <v>2534</v>
      </c>
      <c r="J135" s="58">
        <v>2486</v>
      </c>
      <c r="K135" s="58">
        <v>2564</v>
      </c>
      <c r="L135" s="58">
        <v>2569</v>
      </c>
      <c r="M135" s="58">
        <v>2561</v>
      </c>
      <c r="N135" s="58">
        <v>2608</v>
      </c>
      <c r="O135" s="58">
        <v>2601</v>
      </c>
      <c r="P135" s="563"/>
      <c r="Q135" s="562" t="s">
        <v>3202</v>
      </c>
    </row>
    <row r="136" spans="1:17">
      <c r="A136" s="562" t="s">
        <v>4533</v>
      </c>
      <c r="B136" s="562" t="s">
        <v>1066</v>
      </c>
      <c r="C136" s="55" t="s">
        <v>8495</v>
      </c>
      <c r="D136" s="565">
        <v>7427</v>
      </c>
      <c r="E136" s="565">
        <v>7547</v>
      </c>
      <c r="F136" s="565">
        <v>7597</v>
      </c>
      <c r="G136" s="56">
        <v>7692</v>
      </c>
      <c r="H136" s="56">
        <v>7620</v>
      </c>
      <c r="I136" s="56">
        <v>7633</v>
      </c>
      <c r="J136" s="56">
        <v>7414</v>
      </c>
      <c r="K136" s="56">
        <v>7542</v>
      </c>
      <c r="L136" s="56">
        <v>7651</v>
      </c>
      <c r="M136" s="56">
        <v>7522</v>
      </c>
      <c r="N136" s="56">
        <v>7475</v>
      </c>
      <c r="O136" s="56">
        <v>7491</v>
      </c>
      <c r="P136" s="563"/>
      <c r="Q136" s="562" t="s">
        <v>1815</v>
      </c>
    </row>
    <row r="137" spans="1:17">
      <c r="A137" s="562" t="s">
        <v>4535</v>
      </c>
      <c r="B137" s="562" t="s">
        <v>1067</v>
      </c>
      <c r="C137" s="55" t="s">
        <v>8496</v>
      </c>
      <c r="D137" s="565">
        <v>2330</v>
      </c>
      <c r="E137" s="565">
        <v>2328</v>
      </c>
      <c r="F137" s="565">
        <v>2368</v>
      </c>
      <c r="G137" s="56">
        <v>2418</v>
      </c>
      <c r="H137" s="56">
        <v>2446</v>
      </c>
      <c r="I137" s="56">
        <v>2447</v>
      </c>
      <c r="J137" s="56">
        <v>2415</v>
      </c>
      <c r="K137" s="56">
        <v>2434</v>
      </c>
      <c r="L137" s="56">
        <v>2469</v>
      </c>
      <c r="M137" s="56">
        <v>2420</v>
      </c>
      <c r="N137" s="56">
        <v>2408</v>
      </c>
      <c r="O137" s="56">
        <v>2409</v>
      </c>
      <c r="P137" s="563"/>
      <c r="Q137" s="562" t="s">
        <v>1815</v>
      </c>
    </row>
    <row r="138" spans="1:17">
      <c r="A138" s="563"/>
      <c r="B138" s="563"/>
      <c r="D138" s="567"/>
      <c r="E138" s="567"/>
      <c r="F138" s="567"/>
      <c r="G138" s="567"/>
      <c r="H138" s="567"/>
      <c r="I138" s="567"/>
      <c r="J138" s="567"/>
      <c r="K138" s="567"/>
      <c r="L138" s="567"/>
      <c r="M138" s="567"/>
      <c r="N138" s="567"/>
      <c r="O138" s="567"/>
      <c r="P138" s="563"/>
      <c r="Q138" s="563"/>
    </row>
    <row r="139" spans="1:17">
      <c r="A139" s="562" t="s">
        <v>1094</v>
      </c>
      <c r="D139" s="565">
        <f t="shared" ref="D139:I139" si="74">D110+SUM(D112:D115)+D126+D127+D129+D133+D134+D136+D137</f>
        <v>52447</v>
      </c>
      <c r="E139" s="565">
        <f t="shared" si="74"/>
        <v>53052</v>
      </c>
      <c r="F139" s="565">
        <f t="shared" si="74"/>
        <v>53713</v>
      </c>
      <c r="G139" s="565">
        <f t="shared" si="74"/>
        <v>54438</v>
      </c>
      <c r="H139" s="565">
        <f t="shared" si="74"/>
        <v>54762</v>
      </c>
      <c r="I139" s="565">
        <f t="shared" si="74"/>
        <v>54819</v>
      </c>
      <c r="J139" s="565">
        <f t="shared" ref="J139:O139" si="75">J110+SUM(J112:J115)+J126+J127+J129+J133+J134+J136+J137</f>
        <v>53457</v>
      </c>
      <c r="K139" s="565">
        <f t="shared" si="75"/>
        <v>54305</v>
      </c>
      <c r="L139" s="565">
        <f t="shared" si="75"/>
        <v>55749</v>
      </c>
      <c r="M139" s="565">
        <f t="shared" si="75"/>
        <v>55682</v>
      </c>
      <c r="N139" s="565">
        <f t="shared" si="75"/>
        <v>57091</v>
      </c>
      <c r="O139" s="565">
        <f t="shared" si="75"/>
        <v>57243</v>
      </c>
      <c r="P139" s="563"/>
      <c r="Q139" s="563"/>
    </row>
    <row r="140" spans="1:17">
      <c r="A140" s="562" t="s">
        <v>3202</v>
      </c>
      <c r="D140" s="565">
        <f t="shared" ref="D140:I140" si="76">D111+SUM(D116:D125)+D128+SUM(D130:D132)+D135</f>
        <v>77464</v>
      </c>
      <c r="E140" s="565">
        <f t="shared" si="76"/>
        <v>77884</v>
      </c>
      <c r="F140" s="565">
        <f t="shared" si="76"/>
        <v>78069</v>
      </c>
      <c r="G140" s="565">
        <f t="shared" si="76"/>
        <v>78274</v>
      </c>
      <c r="H140" s="565">
        <f t="shared" si="76"/>
        <v>78423</v>
      </c>
      <c r="I140" s="565">
        <f t="shared" si="76"/>
        <v>69933</v>
      </c>
      <c r="J140" s="565">
        <f t="shared" ref="J140:O140" si="77">J111+SUM(J116:J125)+J128+SUM(J130:J132)+J135</f>
        <v>74069</v>
      </c>
      <c r="K140" s="565">
        <f t="shared" si="77"/>
        <v>77106</v>
      </c>
      <c r="L140" s="565">
        <f t="shared" si="77"/>
        <v>73863</v>
      </c>
      <c r="M140" s="565">
        <f t="shared" si="77"/>
        <v>73927</v>
      </c>
      <c r="N140" s="565">
        <f t="shared" si="77"/>
        <v>79944</v>
      </c>
      <c r="O140" s="565">
        <f t="shared" si="77"/>
        <v>80073</v>
      </c>
      <c r="P140" s="563"/>
      <c r="Q140" s="563"/>
    </row>
    <row r="141" spans="1:17">
      <c r="A141" s="562"/>
      <c r="D141" s="565"/>
      <c r="E141" s="565"/>
      <c r="F141" s="565"/>
      <c r="G141" s="565"/>
      <c r="H141" s="565"/>
      <c r="I141" s="565"/>
      <c r="J141" s="565"/>
      <c r="K141" s="565"/>
      <c r="L141" s="565"/>
      <c r="M141" s="565"/>
      <c r="N141" s="565"/>
      <c r="O141" s="565"/>
      <c r="P141" s="563"/>
      <c r="Q141" s="563"/>
    </row>
    <row r="142" spans="1:17">
      <c r="A142" s="562" t="s">
        <v>1068</v>
      </c>
      <c r="D142" s="565"/>
      <c r="E142" s="565"/>
      <c r="F142" s="565"/>
      <c r="G142" s="565"/>
      <c r="H142" s="565"/>
      <c r="I142" s="565"/>
      <c r="J142" s="565"/>
      <c r="K142" s="565"/>
      <c r="L142" s="565"/>
      <c r="M142" s="565"/>
      <c r="N142" s="565"/>
      <c r="O142" s="565"/>
      <c r="P142" s="563"/>
      <c r="Q142" s="563"/>
    </row>
    <row r="143" spans="1:17">
      <c r="A143" s="562"/>
      <c r="B143" s="562"/>
      <c r="D143" s="573"/>
      <c r="E143" s="573"/>
      <c r="F143" s="573"/>
      <c r="G143" s="573"/>
      <c r="H143" s="573"/>
      <c r="I143" s="573"/>
      <c r="J143" s="573"/>
      <c r="K143" s="573"/>
      <c r="L143" s="573"/>
      <c r="M143" s="573"/>
      <c r="N143" s="573"/>
      <c r="O143" s="573"/>
      <c r="P143" s="563"/>
      <c r="Q143" s="563"/>
    </row>
    <row r="144" spans="1:17">
      <c r="A144" s="562"/>
      <c r="B144" s="562"/>
      <c r="D144" s="573"/>
      <c r="E144" s="573"/>
      <c r="F144" s="573"/>
      <c r="G144" s="573"/>
      <c r="H144" s="573"/>
      <c r="I144" s="573"/>
      <c r="J144" s="573"/>
      <c r="K144" s="573"/>
      <c r="L144" s="573"/>
      <c r="M144" s="573"/>
      <c r="N144" s="573"/>
      <c r="O144" s="573"/>
      <c r="P144" s="563"/>
      <c r="Q144" s="563"/>
    </row>
    <row r="145" spans="1:17">
      <c r="A145" s="563"/>
      <c r="B145" s="563"/>
      <c r="E145" s="51" t="s">
        <v>1526</v>
      </c>
      <c r="F145" s="51"/>
      <c r="G145" s="51"/>
      <c r="H145" s="51"/>
      <c r="I145" s="51"/>
      <c r="J145" s="51"/>
      <c r="K145" s="51"/>
      <c r="L145" s="51"/>
      <c r="M145" s="51"/>
      <c r="N145" s="51"/>
      <c r="O145" s="51"/>
      <c r="P145" s="11"/>
      <c r="Q145" s="13" t="s">
        <v>9479</v>
      </c>
    </row>
    <row r="146" spans="1:17">
      <c r="A146" s="563"/>
      <c r="B146" s="563"/>
      <c r="D146" s="350">
        <v>2010</v>
      </c>
      <c r="E146" s="350">
        <v>2011</v>
      </c>
      <c r="F146" s="350">
        <v>2012</v>
      </c>
      <c r="G146" s="350">
        <v>2013</v>
      </c>
      <c r="H146" s="350">
        <v>2014</v>
      </c>
      <c r="I146" s="350">
        <v>2015</v>
      </c>
      <c r="J146" s="350">
        <v>2016</v>
      </c>
      <c r="K146" s="350">
        <v>2017</v>
      </c>
      <c r="L146" s="350">
        <v>2018</v>
      </c>
      <c r="M146" s="350">
        <v>2019</v>
      </c>
      <c r="N146" s="350">
        <v>2020</v>
      </c>
      <c r="O146" s="960" t="s">
        <v>14823</v>
      </c>
      <c r="P146" s="563"/>
      <c r="Q146" s="13" t="s">
        <v>1527</v>
      </c>
    </row>
    <row r="147" spans="1:17">
      <c r="A147" s="562" t="s">
        <v>1069</v>
      </c>
      <c r="D147" s="565">
        <f t="shared" ref="D147:M147" si="78">SUM(D148:D150,D152:D156,D158:D159,D161:D172)</f>
        <v>65051</v>
      </c>
      <c r="E147" s="565">
        <f t="shared" si="78"/>
        <v>65594</v>
      </c>
      <c r="F147" s="565">
        <f t="shared" si="78"/>
        <v>65748</v>
      </c>
      <c r="G147" s="565">
        <f t="shared" si="78"/>
        <v>66579</v>
      </c>
      <c r="H147" s="565">
        <f t="shared" si="78"/>
        <v>67111</v>
      </c>
      <c r="I147" s="565">
        <f t="shared" si="78"/>
        <v>65562</v>
      </c>
      <c r="J147" s="565">
        <f t="shared" si="78"/>
        <v>63449</v>
      </c>
      <c r="K147" s="565">
        <f t="shared" si="78"/>
        <v>66650</v>
      </c>
      <c r="L147" s="565">
        <f t="shared" si="78"/>
        <v>67688</v>
      </c>
      <c r="M147" s="565">
        <f t="shared" si="78"/>
        <v>68408</v>
      </c>
      <c r="N147" s="565">
        <f>SUM(N148:N150,N152:N156,N158:N159,N161:N172)</f>
        <v>71122</v>
      </c>
      <c r="O147" s="565">
        <f>SUM(O148:O150,O152:O156,O158:O159,O161:O172)</f>
        <v>71190</v>
      </c>
      <c r="P147" s="563"/>
      <c r="Q147" s="563"/>
    </row>
    <row r="148" spans="1:17">
      <c r="A148" s="562" t="s">
        <v>5387</v>
      </c>
      <c r="B148" s="562" t="s">
        <v>14164</v>
      </c>
      <c r="C148" s="55" t="s">
        <v>14172</v>
      </c>
      <c r="D148" s="571">
        <v>10435</v>
      </c>
      <c r="E148" s="571">
        <v>10621</v>
      </c>
      <c r="F148" s="571">
        <v>10635</v>
      </c>
      <c r="G148" s="571">
        <v>10731</v>
      </c>
      <c r="H148" s="571">
        <v>10741</v>
      </c>
      <c r="I148" s="571">
        <v>10385</v>
      </c>
      <c r="J148" s="571">
        <v>9820</v>
      </c>
      <c r="K148" s="571">
        <v>10551</v>
      </c>
      <c r="L148" s="571">
        <v>10702</v>
      </c>
      <c r="M148" s="571">
        <v>10799</v>
      </c>
      <c r="N148" s="56">
        <v>2087</v>
      </c>
      <c r="O148" s="56">
        <v>2079</v>
      </c>
      <c r="P148" s="563"/>
      <c r="Q148" s="562" t="s">
        <v>3204</v>
      </c>
    </row>
    <row r="149" spans="1:17">
      <c r="A149" s="562" t="s">
        <v>5389</v>
      </c>
      <c r="B149" s="562" t="s">
        <v>1070</v>
      </c>
      <c r="C149" s="55" t="s">
        <v>14173</v>
      </c>
      <c r="D149" s="571">
        <v>0</v>
      </c>
      <c r="E149" s="571">
        <v>0</v>
      </c>
      <c r="F149" s="571">
        <v>0</v>
      </c>
      <c r="G149" s="571">
        <v>0</v>
      </c>
      <c r="H149" s="571">
        <v>0</v>
      </c>
      <c r="I149" s="571">
        <v>0</v>
      </c>
      <c r="J149" s="571">
        <v>0</v>
      </c>
      <c r="K149" s="571">
        <v>0</v>
      </c>
      <c r="L149" s="571">
        <v>0</v>
      </c>
      <c r="M149" s="571">
        <v>0</v>
      </c>
      <c r="N149" s="56">
        <v>1929</v>
      </c>
      <c r="O149" s="56">
        <v>1929</v>
      </c>
      <c r="P149" s="563"/>
      <c r="Q149" s="562" t="s">
        <v>1818</v>
      </c>
    </row>
    <row r="150" spans="1:17" ht="15.75" thickBot="1">
      <c r="A150" s="562"/>
      <c r="B150" s="562"/>
      <c r="C150" s="55" t="s">
        <v>14173</v>
      </c>
      <c r="D150" s="571">
        <v>0</v>
      </c>
      <c r="E150" s="571">
        <v>0</v>
      </c>
      <c r="F150" s="571">
        <v>0</v>
      </c>
      <c r="G150" s="571">
        <v>0</v>
      </c>
      <c r="H150" s="571">
        <v>0</v>
      </c>
      <c r="I150" s="571">
        <v>0</v>
      </c>
      <c r="J150" s="571">
        <v>0</v>
      </c>
      <c r="K150" s="571">
        <v>0</v>
      </c>
      <c r="L150" s="571">
        <v>0</v>
      </c>
      <c r="M150" s="571">
        <v>0</v>
      </c>
      <c r="N150" s="56">
        <v>511</v>
      </c>
      <c r="O150" s="56">
        <v>513</v>
      </c>
      <c r="P150" s="563"/>
      <c r="Q150" s="562" t="s">
        <v>3206</v>
      </c>
    </row>
    <row r="151" spans="1:17" ht="15.75" thickBot="1">
      <c r="A151" s="562"/>
      <c r="B151" s="562"/>
      <c r="C151" s="55" t="s">
        <v>14173</v>
      </c>
      <c r="D151" s="572">
        <f>D149+D150</f>
        <v>0</v>
      </c>
      <c r="E151" s="572">
        <f t="shared" ref="E151:N151" si="79">E149+E150</f>
        <v>0</v>
      </c>
      <c r="F151" s="572">
        <f t="shared" si="79"/>
        <v>0</v>
      </c>
      <c r="G151" s="572">
        <f t="shared" si="79"/>
        <v>0</v>
      </c>
      <c r="H151" s="572">
        <f t="shared" si="79"/>
        <v>0</v>
      </c>
      <c r="I151" s="572">
        <f t="shared" si="79"/>
        <v>0</v>
      </c>
      <c r="J151" s="572">
        <f t="shared" si="79"/>
        <v>0</v>
      </c>
      <c r="K151" s="572">
        <f t="shared" si="79"/>
        <v>0</v>
      </c>
      <c r="L151" s="572">
        <f t="shared" si="79"/>
        <v>0</v>
      </c>
      <c r="M151" s="572">
        <f t="shared" si="79"/>
        <v>0</v>
      </c>
      <c r="N151" s="572">
        <f t="shared" si="79"/>
        <v>2440</v>
      </c>
      <c r="O151" s="572">
        <f>O149+O150</f>
        <v>2442</v>
      </c>
      <c r="P151" s="563"/>
      <c r="Q151" s="562"/>
    </row>
    <row r="152" spans="1:17">
      <c r="A152" s="562" t="s">
        <v>5391</v>
      </c>
      <c r="B152" s="562" t="s">
        <v>14170</v>
      </c>
      <c r="C152" s="55" t="s">
        <v>14174</v>
      </c>
      <c r="D152" s="571">
        <v>21277</v>
      </c>
      <c r="E152" s="571">
        <v>21266</v>
      </c>
      <c r="F152" s="571">
        <v>21405</v>
      </c>
      <c r="G152" s="571">
        <v>21469</v>
      </c>
      <c r="H152" s="571">
        <v>21500</v>
      </c>
      <c r="I152" s="571">
        <v>20925</v>
      </c>
      <c r="J152" s="571">
        <v>20282</v>
      </c>
      <c r="K152" s="571">
        <v>21008</v>
      </c>
      <c r="L152" s="571">
        <v>21371</v>
      </c>
      <c r="M152" s="571">
        <v>21822</v>
      </c>
      <c r="N152" s="56">
        <v>3642</v>
      </c>
      <c r="O152" s="56">
        <v>3666</v>
      </c>
      <c r="P152" s="563"/>
      <c r="Q152" s="562" t="s">
        <v>3206</v>
      </c>
    </row>
    <row r="153" spans="1:17">
      <c r="A153" s="562" t="s">
        <v>5393</v>
      </c>
      <c r="B153" s="562" t="s">
        <v>14166</v>
      </c>
      <c r="C153" s="55" t="s">
        <v>14175</v>
      </c>
      <c r="D153" s="571">
        <v>0</v>
      </c>
      <c r="E153" s="571">
        <v>0</v>
      </c>
      <c r="F153" s="571">
        <v>0</v>
      </c>
      <c r="G153" s="571">
        <v>0</v>
      </c>
      <c r="H153" s="571">
        <v>0</v>
      </c>
      <c r="I153" s="571">
        <v>0</v>
      </c>
      <c r="J153" s="571">
        <v>0</v>
      </c>
      <c r="K153" s="571">
        <v>0</v>
      </c>
      <c r="L153" s="571">
        <v>0</v>
      </c>
      <c r="M153" s="571">
        <v>0</v>
      </c>
      <c r="N153" s="56">
        <v>3994</v>
      </c>
      <c r="O153" s="56">
        <v>4011</v>
      </c>
      <c r="P153" s="563"/>
      <c r="Q153" s="562" t="s">
        <v>3206</v>
      </c>
    </row>
    <row r="154" spans="1:17">
      <c r="A154" s="562" t="s">
        <v>5394</v>
      </c>
      <c r="B154" s="562" t="s">
        <v>1127</v>
      </c>
      <c r="C154" s="55" t="s">
        <v>14176</v>
      </c>
      <c r="D154" s="571">
        <v>0</v>
      </c>
      <c r="E154" s="571">
        <v>0</v>
      </c>
      <c r="F154" s="571">
        <v>0</v>
      </c>
      <c r="G154" s="571">
        <v>0</v>
      </c>
      <c r="H154" s="571">
        <v>0</v>
      </c>
      <c r="I154" s="571">
        <v>0</v>
      </c>
      <c r="J154" s="571">
        <v>0</v>
      </c>
      <c r="K154" s="571">
        <v>0</v>
      </c>
      <c r="L154" s="571">
        <v>0</v>
      </c>
      <c r="M154" s="571">
        <v>0</v>
      </c>
      <c r="N154" s="58">
        <v>2104</v>
      </c>
      <c r="O154" s="58">
        <v>2095</v>
      </c>
      <c r="P154" s="563"/>
      <c r="Q154" s="562" t="s">
        <v>3206</v>
      </c>
    </row>
    <row r="155" spans="1:17">
      <c r="A155" s="562" t="s">
        <v>5416</v>
      </c>
      <c r="B155" s="562" t="s">
        <v>76</v>
      </c>
      <c r="C155" s="55" t="s">
        <v>14177</v>
      </c>
      <c r="D155" s="571">
        <v>0</v>
      </c>
      <c r="E155" s="571">
        <v>0</v>
      </c>
      <c r="F155" s="571">
        <v>0</v>
      </c>
      <c r="G155" s="571">
        <v>0</v>
      </c>
      <c r="H155" s="571">
        <v>0</v>
      </c>
      <c r="I155" s="571">
        <v>0</v>
      </c>
      <c r="J155" s="571">
        <v>0</v>
      </c>
      <c r="K155" s="571">
        <v>0</v>
      </c>
      <c r="L155" s="571">
        <v>0</v>
      </c>
      <c r="M155" s="571">
        <v>0</v>
      </c>
      <c r="N155" s="58">
        <v>4206</v>
      </c>
      <c r="O155" s="58">
        <v>4212</v>
      </c>
      <c r="P155" s="563"/>
      <c r="Q155" s="562" t="s">
        <v>1818</v>
      </c>
    </row>
    <row r="156" spans="1:17" ht="15.75" thickBot="1">
      <c r="A156" s="562"/>
      <c r="B156" s="562"/>
      <c r="C156" s="55" t="s">
        <v>14177</v>
      </c>
      <c r="D156" s="571">
        <v>0</v>
      </c>
      <c r="E156" s="571">
        <v>0</v>
      </c>
      <c r="F156" s="571">
        <v>0</v>
      </c>
      <c r="G156" s="571">
        <v>0</v>
      </c>
      <c r="H156" s="571">
        <v>0</v>
      </c>
      <c r="I156" s="571">
        <v>0</v>
      </c>
      <c r="J156" s="571">
        <v>0</v>
      </c>
      <c r="K156" s="571">
        <v>0</v>
      </c>
      <c r="L156" s="571">
        <v>0</v>
      </c>
      <c r="M156" s="571">
        <v>0</v>
      </c>
      <c r="N156" s="58">
        <v>203</v>
      </c>
      <c r="O156" s="58">
        <v>203</v>
      </c>
      <c r="P156" s="563"/>
      <c r="Q156" s="562" t="s">
        <v>3206</v>
      </c>
    </row>
    <row r="157" spans="1:17" ht="15.75" thickBot="1">
      <c r="A157" s="562"/>
      <c r="B157" s="562"/>
      <c r="C157" s="55" t="s">
        <v>14177</v>
      </c>
      <c r="D157" s="572">
        <f>D155+D156</f>
        <v>0</v>
      </c>
      <c r="E157" s="572">
        <f t="shared" ref="E157:N157" si="80">E155+E156</f>
        <v>0</v>
      </c>
      <c r="F157" s="572">
        <f t="shared" si="80"/>
        <v>0</v>
      </c>
      <c r="G157" s="572">
        <f t="shared" si="80"/>
        <v>0</v>
      </c>
      <c r="H157" s="572">
        <f t="shared" si="80"/>
        <v>0</v>
      </c>
      <c r="I157" s="572">
        <f t="shared" si="80"/>
        <v>0</v>
      </c>
      <c r="J157" s="572">
        <f t="shared" si="80"/>
        <v>0</v>
      </c>
      <c r="K157" s="572">
        <f t="shared" si="80"/>
        <v>0</v>
      </c>
      <c r="L157" s="572">
        <f t="shared" si="80"/>
        <v>0</v>
      </c>
      <c r="M157" s="572">
        <f t="shared" si="80"/>
        <v>0</v>
      </c>
      <c r="N157" s="572">
        <f t="shared" si="80"/>
        <v>4409</v>
      </c>
      <c r="O157" s="572">
        <f>O155+O156</f>
        <v>4415</v>
      </c>
      <c r="P157" s="563"/>
      <c r="Q157" s="562"/>
    </row>
    <row r="158" spans="1:17">
      <c r="A158" s="562" t="s">
        <v>5418</v>
      </c>
      <c r="B158" s="562" t="s">
        <v>77</v>
      </c>
      <c r="C158" s="55" t="s">
        <v>14178</v>
      </c>
      <c r="D158" s="571">
        <v>0</v>
      </c>
      <c r="E158" s="571">
        <v>0</v>
      </c>
      <c r="F158" s="571">
        <v>0</v>
      </c>
      <c r="G158" s="571">
        <v>0</v>
      </c>
      <c r="H158" s="571">
        <v>0</v>
      </c>
      <c r="I158" s="571">
        <v>0</v>
      </c>
      <c r="J158" s="571">
        <v>0</v>
      </c>
      <c r="K158" s="571">
        <v>0</v>
      </c>
      <c r="L158" s="571">
        <v>0</v>
      </c>
      <c r="M158" s="571">
        <v>0</v>
      </c>
      <c r="N158" s="58">
        <v>4022</v>
      </c>
      <c r="O158" s="58">
        <v>4027</v>
      </c>
      <c r="P158" s="563"/>
      <c r="Q158" s="562" t="s">
        <v>1818</v>
      </c>
    </row>
    <row r="159" spans="1:17" ht="15.75" thickBot="1">
      <c r="A159" s="562"/>
      <c r="B159" s="562"/>
      <c r="C159" s="55" t="s">
        <v>14178</v>
      </c>
      <c r="D159" s="571">
        <v>0</v>
      </c>
      <c r="E159" s="571">
        <v>0</v>
      </c>
      <c r="F159" s="571">
        <v>0</v>
      </c>
      <c r="G159" s="571">
        <v>0</v>
      </c>
      <c r="H159" s="571">
        <v>0</v>
      </c>
      <c r="I159" s="571">
        <v>0</v>
      </c>
      <c r="J159" s="571">
        <v>0</v>
      </c>
      <c r="K159" s="571">
        <v>0</v>
      </c>
      <c r="L159" s="571">
        <v>0</v>
      </c>
      <c r="M159" s="571">
        <v>0</v>
      </c>
      <c r="N159" s="58">
        <v>312</v>
      </c>
      <c r="O159" s="58">
        <v>312</v>
      </c>
      <c r="P159" s="563"/>
      <c r="Q159" s="562" t="s">
        <v>3204</v>
      </c>
    </row>
    <row r="160" spans="1:17" ht="15.75" thickBot="1">
      <c r="A160" s="562"/>
      <c r="B160" s="562"/>
      <c r="C160" s="55" t="s">
        <v>14178</v>
      </c>
      <c r="D160" s="572">
        <f>D158+D159</f>
        <v>0</v>
      </c>
      <c r="E160" s="572">
        <f t="shared" ref="E160:N160" si="81">E158+E159</f>
        <v>0</v>
      </c>
      <c r="F160" s="572">
        <f t="shared" si="81"/>
        <v>0</v>
      </c>
      <c r="G160" s="572">
        <f t="shared" si="81"/>
        <v>0</v>
      </c>
      <c r="H160" s="572">
        <f t="shared" si="81"/>
        <v>0</v>
      </c>
      <c r="I160" s="572">
        <f t="shared" si="81"/>
        <v>0</v>
      </c>
      <c r="J160" s="572">
        <f t="shared" si="81"/>
        <v>0</v>
      </c>
      <c r="K160" s="572">
        <f t="shared" si="81"/>
        <v>0</v>
      </c>
      <c r="L160" s="572">
        <f t="shared" si="81"/>
        <v>0</v>
      </c>
      <c r="M160" s="572">
        <f t="shared" si="81"/>
        <v>0</v>
      </c>
      <c r="N160" s="572">
        <f t="shared" si="81"/>
        <v>4334</v>
      </c>
      <c r="O160" s="572">
        <f>O158+O159</f>
        <v>4339</v>
      </c>
      <c r="P160" s="563"/>
      <c r="Q160" s="562"/>
    </row>
    <row r="161" spans="1:17">
      <c r="A161" s="562" t="s">
        <v>5420</v>
      </c>
      <c r="B161" s="562" t="s">
        <v>14163</v>
      </c>
      <c r="C161" s="55" t="s">
        <v>14179</v>
      </c>
      <c r="D161" s="571">
        <v>33339</v>
      </c>
      <c r="E161" s="571">
        <v>33707</v>
      </c>
      <c r="F161" s="571">
        <v>33708</v>
      </c>
      <c r="G161" s="571">
        <v>34379</v>
      </c>
      <c r="H161" s="571">
        <v>34870</v>
      </c>
      <c r="I161" s="571">
        <v>34252</v>
      </c>
      <c r="J161" s="571">
        <v>33347</v>
      </c>
      <c r="K161" s="571">
        <v>35091</v>
      </c>
      <c r="L161" s="571">
        <v>35615</v>
      </c>
      <c r="M161" s="571">
        <v>35787</v>
      </c>
      <c r="N161" s="56">
        <v>6287</v>
      </c>
      <c r="O161" s="56">
        <v>6297</v>
      </c>
      <c r="P161" s="563"/>
      <c r="Q161" s="562" t="s">
        <v>1818</v>
      </c>
    </row>
    <row r="162" spans="1:17">
      <c r="A162" s="562" t="s">
        <v>5422</v>
      </c>
      <c r="B162" s="562" t="s">
        <v>78</v>
      </c>
      <c r="C162" s="55" t="s">
        <v>14180</v>
      </c>
      <c r="D162" s="571">
        <v>0</v>
      </c>
      <c r="E162" s="571">
        <v>0</v>
      </c>
      <c r="F162" s="571">
        <v>0</v>
      </c>
      <c r="G162" s="571">
        <v>0</v>
      </c>
      <c r="H162" s="571">
        <v>0</v>
      </c>
      <c r="I162" s="571">
        <v>0</v>
      </c>
      <c r="J162" s="571">
        <v>0</v>
      </c>
      <c r="K162" s="571">
        <v>0</v>
      </c>
      <c r="L162" s="571">
        <v>0</v>
      </c>
      <c r="M162" s="571">
        <v>0</v>
      </c>
      <c r="N162" s="56">
        <v>1696</v>
      </c>
      <c r="O162" s="56">
        <v>1698</v>
      </c>
      <c r="P162" s="563"/>
      <c r="Q162" s="562" t="s">
        <v>1818</v>
      </c>
    </row>
    <row r="163" spans="1:17">
      <c r="A163" s="562" t="s">
        <v>5424</v>
      </c>
      <c r="B163" s="562" t="s">
        <v>14167</v>
      </c>
      <c r="C163" s="55" t="s">
        <v>14181</v>
      </c>
      <c r="D163" s="571">
        <v>0</v>
      </c>
      <c r="E163" s="571">
        <v>0</v>
      </c>
      <c r="F163" s="571">
        <v>0</v>
      </c>
      <c r="G163" s="571">
        <v>0</v>
      </c>
      <c r="H163" s="571">
        <v>0</v>
      </c>
      <c r="I163" s="571">
        <v>0</v>
      </c>
      <c r="J163" s="571">
        <v>0</v>
      </c>
      <c r="K163" s="571">
        <v>0</v>
      </c>
      <c r="L163" s="571">
        <v>0</v>
      </c>
      <c r="M163" s="571">
        <v>0</v>
      </c>
      <c r="N163" s="56">
        <v>3841</v>
      </c>
      <c r="O163" s="56">
        <v>3844</v>
      </c>
      <c r="P163" s="563"/>
      <c r="Q163" s="562" t="s">
        <v>3206</v>
      </c>
    </row>
    <row r="164" spans="1:17">
      <c r="A164" s="562" t="s">
        <v>5426</v>
      </c>
      <c r="B164" s="562" t="s">
        <v>14168</v>
      </c>
      <c r="C164" s="55" t="s">
        <v>14182</v>
      </c>
      <c r="D164" s="571">
        <v>0</v>
      </c>
      <c r="E164" s="571">
        <v>0</v>
      </c>
      <c r="F164" s="571">
        <v>0</v>
      </c>
      <c r="G164" s="571">
        <v>0</v>
      </c>
      <c r="H164" s="571">
        <v>0</v>
      </c>
      <c r="I164" s="571">
        <v>0</v>
      </c>
      <c r="J164" s="571">
        <v>0</v>
      </c>
      <c r="K164" s="571">
        <v>0</v>
      </c>
      <c r="L164" s="571">
        <v>0</v>
      </c>
      <c r="M164" s="571">
        <v>0</v>
      </c>
      <c r="N164" s="56">
        <v>3825</v>
      </c>
      <c r="O164" s="56">
        <v>3825</v>
      </c>
      <c r="P164" s="563"/>
      <c r="Q164" s="562" t="s">
        <v>3206</v>
      </c>
    </row>
    <row r="165" spans="1:17">
      <c r="A165" s="562" t="s">
        <v>5428</v>
      </c>
      <c r="B165" s="562" t="s">
        <v>14171</v>
      </c>
      <c r="C165" s="55" t="s">
        <v>14183</v>
      </c>
      <c r="D165" s="571">
        <v>0</v>
      </c>
      <c r="E165" s="571">
        <v>0</v>
      </c>
      <c r="F165" s="571">
        <v>0</v>
      </c>
      <c r="G165" s="571">
        <v>0</v>
      </c>
      <c r="H165" s="571">
        <v>0</v>
      </c>
      <c r="I165" s="571">
        <v>0</v>
      </c>
      <c r="J165" s="571">
        <v>0</v>
      </c>
      <c r="K165" s="571">
        <v>0</v>
      </c>
      <c r="L165" s="571">
        <v>0</v>
      </c>
      <c r="M165" s="571">
        <v>0</v>
      </c>
      <c r="N165" s="58">
        <v>4272</v>
      </c>
      <c r="O165" s="58">
        <v>4546</v>
      </c>
      <c r="P165" s="563"/>
      <c r="Q165" s="562" t="s">
        <v>1818</v>
      </c>
    </row>
    <row r="166" spans="1:17">
      <c r="A166" s="562" t="s">
        <v>5429</v>
      </c>
      <c r="B166" s="562" t="s">
        <v>3241</v>
      </c>
      <c r="C166" s="55" t="s">
        <v>14184</v>
      </c>
      <c r="D166" s="571">
        <v>0</v>
      </c>
      <c r="E166" s="571">
        <v>0</v>
      </c>
      <c r="F166" s="571">
        <v>0</v>
      </c>
      <c r="G166" s="571">
        <v>0</v>
      </c>
      <c r="H166" s="571">
        <v>0</v>
      </c>
      <c r="I166" s="571">
        <v>0</v>
      </c>
      <c r="J166" s="571">
        <v>0</v>
      </c>
      <c r="K166" s="571">
        <v>0</v>
      </c>
      <c r="L166" s="571">
        <v>0</v>
      </c>
      <c r="M166" s="571">
        <v>0</v>
      </c>
      <c r="N166" s="58">
        <v>4248</v>
      </c>
      <c r="O166" s="58">
        <v>4283</v>
      </c>
      <c r="P166" s="563"/>
      <c r="Q166" s="562" t="s">
        <v>1818</v>
      </c>
    </row>
    <row r="167" spans="1:17">
      <c r="A167" s="562" t="s">
        <v>5431</v>
      </c>
      <c r="B167" s="562" t="s">
        <v>3242</v>
      </c>
      <c r="C167" s="55" t="s">
        <v>14185</v>
      </c>
      <c r="D167" s="571">
        <v>0</v>
      </c>
      <c r="E167" s="571">
        <v>0</v>
      </c>
      <c r="F167" s="571">
        <v>0</v>
      </c>
      <c r="G167" s="571">
        <v>0</v>
      </c>
      <c r="H167" s="571">
        <v>0</v>
      </c>
      <c r="I167" s="571">
        <v>0</v>
      </c>
      <c r="J167" s="571">
        <v>0</v>
      </c>
      <c r="K167" s="571">
        <v>0</v>
      </c>
      <c r="L167" s="571">
        <v>0</v>
      </c>
      <c r="M167" s="571">
        <v>0</v>
      </c>
      <c r="N167" s="58">
        <v>6054</v>
      </c>
      <c r="O167" s="58">
        <v>4257</v>
      </c>
      <c r="P167" s="563"/>
      <c r="Q167" s="562" t="s">
        <v>1818</v>
      </c>
    </row>
    <row r="168" spans="1:17">
      <c r="A168" s="562" t="s">
        <v>5433</v>
      </c>
      <c r="B168" s="562" t="s">
        <v>3243</v>
      </c>
      <c r="C168" s="55" t="s">
        <v>14186</v>
      </c>
      <c r="D168" s="571">
        <v>0</v>
      </c>
      <c r="E168" s="571">
        <v>0</v>
      </c>
      <c r="F168" s="571">
        <v>0</v>
      </c>
      <c r="G168" s="571">
        <v>0</v>
      </c>
      <c r="H168" s="571">
        <v>0</v>
      </c>
      <c r="I168" s="571">
        <v>0</v>
      </c>
      <c r="J168" s="571">
        <v>0</v>
      </c>
      <c r="K168" s="571">
        <v>0</v>
      </c>
      <c r="L168" s="571">
        <v>0</v>
      </c>
      <c r="M168" s="571">
        <v>0</v>
      </c>
      <c r="N168" s="58">
        <v>4534</v>
      </c>
      <c r="O168" s="58">
        <v>6075</v>
      </c>
      <c r="P168" s="563"/>
      <c r="Q168" s="562" t="s">
        <v>1818</v>
      </c>
    </row>
    <row r="169" spans="1:17">
      <c r="A169" s="562" t="s">
        <v>5435</v>
      </c>
      <c r="B169" s="562" t="s">
        <v>3234</v>
      </c>
      <c r="C169" s="55" t="s">
        <v>14187</v>
      </c>
      <c r="D169" s="571">
        <v>0</v>
      </c>
      <c r="E169" s="571">
        <v>0</v>
      </c>
      <c r="F169" s="571">
        <v>0</v>
      </c>
      <c r="G169" s="571">
        <v>0</v>
      </c>
      <c r="H169" s="571">
        <v>0</v>
      </c>
      <c r="I169" s="571">
        <v>0</v>
      </c>
      <c r="J169" s="571">
        <v>0</v>
      </c>
      <c r="K169" s="571">
        <v>0</v>
      </c>
      <c r="L169" s="571">
        <v>0</v>
      </c>
      <c r="M169" s="571">
        <v>0</v>
      </c>
      <c r="N169" s="56">
        <v>2112</v>
      </c>
      <c r="O169" s="56">
        <v>2097</v>
      </c>
      <c r="P169" s="563"/>
      <c r="Q169" s="562" t="s">
        <v>3206</v>
      </c>
    </row>
    <row r="170" spans="1:17">
      <c r="A170" s="562" t="s">
        <v>5436</v>
      </c>
      <c r="B170" s="562" t="s">
        <v>3235</v>
      </c>
      <c r="C170" s="55" t="s">
        <v>14188</v>
      </c>
      <c r="D170" s="571">
        <v>0</v>
      </c>
      <c r="E170" s="571">
        <v>0</v>
      </c>
      <c r="F170" s="571">
        <v>0</v>
      </c>
      <c r="G170" s="571">
        <v>0</v>
      </c>
      <c r="H170" s="571">
        <v>0</v>
      </c>
      <c r="I170" s="571">
        <v>0</v>
      </c>
      <c r="J170" s="571">
        <v>0</v>
      </c>
      <c r="K170" s="571">
        <v>0</v>
      </c>
      <c r="L170" s="571">
        <v>0</v>
      </c>
      <c r="M170" s="571">
        <v>0</v>
      </c>
      <c r="N170" s="56">
        <v>2304</v>
      </c>
      <c r="O170" s="56">
        <v>2284</v>
      </c>
      <c r="P170" s="563"/>
      <c r="Q170" s="562" t="s">
        <v>3204</v>
      </c>
    </row>
    <row r="171" spans="1:17">
      <c r="A171" s="562" t="s">
        <v>5437</v>
      </c>
      <c r="B171" s="562" t="s">
        <v>14165</v>
      </c>
      <c r="C171" s="55" t="s">
        <v>14189</v>
      </c>
      <c r="D171" s="571">
        <v>0</v>
      </c>
      <c r="E171" s="571">
        <v>0</v>
      </c>
      <c r="F171" s="571">
        <v>0</v>
      </c>
      <c r="G171" s="571">
        <v>0</v>
      </c>
      <c r="H171" s="571">
        <v>0</v>
      </c>
      <c r="I171" s="571">
        <v>0</v>
      </c>
      <c r="J171" s="571">
        <v>0</v>
      </c>
      <c r="K171" s="571">
        <v>0</v>
      </c>
      <c r="L171" s="571">
        <v>0</v>
      </c>
      <c r="M171" s="571">
        <v>0</v>
      </c>
      <c r="N171" s="56">
        <v>6671</v>
      </c>
      <c r="O171" s="56">
        <v>6676</v>
      </c>
      <c r="P171" s="563"/>
      <c r="Q171" s="562" t="s">
        <v>3204</v>
      </c>
    </row>
    <row r="172" spans="1:17">
      <c r="A172" s="562" t="s">
        <v>5439</v>
      </c>
      <c r="B172" s="562" t="s">
        <v>3236</v>
      </c>
      <c r="C172" s="55" t="s">
        <v>14190</v>
      </c>
      <c r="D172" s="571">
        <v>0</v>
      </c>
      <c r="E172" s="571">
        <v>0</v>
      </c>
      <c r="F172" s="571">
        <v>0</v>
      </c>
      <c r="G172" s="571">
        <v>0</v>
      </c>
      <c r="H172" s="571">
        <v>0</v>
      </c>
      <c r="I172" s="571">
        <v>0</v>
      </c>
      <c r="J172" s="571">
        <v>0</v>
      </c>
      <c r="K172" s="571">
        <v>0</v>
      </c>
      <c r="L172" s="571">
        <v>0</v>
      </c>
      <c r="M172" s="571">
        <v>0</v>
      </c>
      <c r="N172" s="56">
        <v>2268</v>
      </c>
      <c r="O172" s="56">
        <v>2261</v>
      </c>
      <c r="P172" s="563"/>
      <c r="Q172" s="562" t="s">
        <v>3206</v>
      </c>
    </row>
    <row r="173" spans="1:17">
      <c r="A173" s="563"/>
      <c r="B173" s="563"/>
      <c r="D173" s="567"/>
      <c r="E173" s="567"/>
      <c r="F173" s="567"/>
      <c r="G173" s="567"/>
      <c r="H173" s="567"/>
      <c r="I173" s="567"/>
      <c r="J173" s="567"/>
      <c r="K173" s="567"/>
      <c r="L173" s="567"/>
      <c r="M173" s="567"/>
      <c r="N173" s="567"/>
      <c r="O173" s="567"/>
      <c r="P173" s="563"/>
      <c r="Q173" s="563"/>
    </row>
    <row r="174" spans="1:17">
      <c r="A174" s="562" t="s">
        <v>3237</v>
      </c>
      <c r="D174" s="565">
        <f t="shared" ref="D174:M174" si="82">SUM(D149,D155,D158,D161:D162,D165:D168)</f>
        <v>33339</v>
      </c>
      <c r="E174" s="565">
        <f t="shared" si="82"/>
        <v>33707</v>
      </c>
      <c r="F174" s="565">
        <f t="shared" si="82"/>
        <v>33708</v>
      </c>
      <c r="G174" s="565">
        <f t="shared" si="82"/>
        <v>34379</v>
      </c>
      <c r="H174" s="565">
        <f t="shared" si="82"/>
        <v>34870</v>
      </c>
      <c r="I174" s="565">
        <f t="shared" si="82"/>
        <v>34252</v>
      </c>
      <c r="J174" s="565">
        <f t="shared" si="82"/>
        <v>33347</v>
      </c>
      <c r="K174" s="565">
        <f t="shared" si="82"/>
        <v>35091</v>
      </c>
      <c r="L174" s="565">
        <f t="shared" si="82"/>
        <v>35615</v>
      </c>
      <c r="M174" s="565">
        <f t="shared" si="82"/>
        <v>35787</v>
      </c>
      <c r="N174" s="565">
        <f>SUM(N149,N155,N158,N161:N162,N165:N168)</f>
        <v>37248</v>
      </c>
      <c r="O174" s="565">
        <f>SUM(O149,O155,O158,O161:O162,O165:O168)</f>
        <v>37324</v>
      </c>
      <c r="P174" s="563"/>
      <c r="Q174" s="563"/>
    </row>
    <row r="175" spans="1:17">
      <c r="A175" s="562" t="s">
        <v>4696</v>
      </c>
      <c r="D175" s="565">
        <f t="shared" ref="D175:M175" si="83">SUM(D148,D159,D170:D171)</f>
        <v>10435</v>
      </c>
      <c r="E175" s="565">
        <f t="shared" si="83"/>
        <v>10621</v>
      </c>
      <c r="F175" s="565">
        <f t="shared" si="83"/>
        <v>10635</v>
      </c>
      <c r="G175" s="565">
        <f t="shared" si="83"/>
        <v>10731</v>
      </c>
      <c r="H175" s="565">
        <f t="shared" si="83"/>
        <v>10741</v>
      </c>
      <c r="I175" s="565">
        <f t="shared" si="83"/>
        <v>10385</v>
      </c>
      <c r="J175" s="565">
        <f t="shared" si="83"/>
        <v>9820</v>
      </c>
      <c r="K175" s="565">
        <f t="shared" si="83"/>
        <v>10551</v>
      </c>
      <c r="L175" s="565">
        <f t="shared" si="83"/>
        <v>10702</v>
      </c>
      <c r="M175" s="565">
        <f t="shared" si="83"/>
        <v>10799</v>
      </c>
      <c r="N175" s="565">
        <f>SUM(N148,N159,N170:N171)</f>
        <v>11374</v>
      </c>
      <c r="O175" s="565">
        <f>SUM(O148,O159,O170:O171)</f>
        <v>11351</v>
      </c>
      <c r="P175" s="563"/>
      <c r="Q175" s="563"/>
    </row>
    <row r="176" spans="1:17">
      <c r="A176" s="562" t="s">
        <v>1095</v>
      </c>
      <c r="D176" s="565">
        <f t="shared" ref="D176:M176" si="84">SUM(D150,D152:D154,D156,D163:D164,D169,D172)</f>
        <v>21277</v>
      </c>
      <c r="E176" s="565">
        <f t="shared" si="84"/>
        <v>21266</v>
      </c>
      <c r="F176" s="565">
        <f t="shared" si="84"/>
        <v>21405</v>
      </c>
      <c r="G176" s="565">
        <f t="shared" si="84"/>
        <v>21469</v>
      </c>
      <c r="H176" s="565">
        <f t="shared" si="84"/>
        <v>21500</v>
      </c>
      <c r="I176" s="565">
        <f t="shared" si="84"/>
        <v>20925</v>
      </c>
      <c r="J176" s="565">
        <f t="shared" si="84"/>
        <v>20282</v>
      </c>
      <c r="K176" s="565">
        <f t="shared" si="84"/>
        <v>21008</v>
      </c>
      <c r="L176" s="565">
        <f t="shared" si="84"/>
        <v>21371</v>
      </c>
      <c r="M176" s="565">
        <f t="shared" si="84"/>
        <v>21822</v>
      </c>
      <c r="N176" s="565">
        <f>SUM(N150,N152:N154,N156,N163:N164,N169,N172)</f>
        <v>22500</v>
      </c>
      <c r="O176" s="565">
        <f>SUM(O150,O152:O154,O156,O163:O164,O169,O172)</f>
        <v>22515</v>
      </c>
      <c r="P176" s="563"/>
      <c r="Q176" s="563"/>
    </row>
    <row r="177" spans="1:17">
      <c r="A177" s="562"/>
      <c r="D177" s="565"/>
      <c r="E177" s="565"/>
      <c r="F177" s="565"/>
      <c r="G177" s="565"/>
      <c r="H177" s="565"/>
      <c r="I177" s="565"/>
      <c r="J177" s="565"/>
      <c r="K177" s="565"/>
      <c r="L177" s="565"/>
      <c r="M177" s="565"/>
      <c r="N177" s="565"/>
      <c r="O177" s="565"/>
      <c r="P177" s="563"/>
      <c r="Q177" s="563"/>
    </row>
    <row r="178" spans="1:17">
      <c r="A178" s="562" t="s">
        <v>14169</v>
      </c>
      <c r="D178" s="565"/>
      <c r="E178" s="565"/>
      <c r="F178" s="565"/>
      <c r="G178" s="565"/>
      <c r="H178" s="565"/>
      <c r="I178" s="565"/>
      <c r="J178" s="565"/>
      <c r="K178" s="565"/>
      <c r="L178" s="565"/>
      <c r="M178" s="565"/>
      <c r="N178" s="565"/>
      <c r="O178" s="565"/>
      <c r="P178" s="563"/>
      <c r="Q178" s="563"/>
    </row>
    <row r="179" spans="1:17">
      <c r="A179" s="562"/>
      <c r="B179" s="562"/>
      <c r="D179" s="573"/>
      <c r="E179" s="573"/>
      <c r="F179" s="573"/>
      <c r="G179" s="573"/>
      <c r="H179" s="573"/>
      <c r="I179" s="573"/>
      <c r="J179" s="573"/>
      <c r="K179" s="573"/>
      <c r="L179" s="573"/>
      <c r="M179" s="573"/>
      <c r="N179" s="573"/>
      <c r="O179" s="573"/>
      <c r="P179" s="563"/>
      <c r="Q179" s="563"/>
    </row>
    <row r="180" spans="1:17">
      <c r="A180" s="562"/>
      <c r="B180" s="562"/>
      <c r="D180" s="573"/>
      <c r="E180" s="573"/>
      <c r="F180" s="573"/>
      <c r="G180" s="573"/>
      <c r="H180" s="573"/>
      <c r="I180" s="573"/>
      <c r="J180" s="573"/>
      <c r="K180" s="573"/>
      <c r="L180" s="573"/>
      <c r="M180" s="573"/>
      <c r="N180" s="573"/>
      <c r="O180" s="573"/>
      <c r="P180" s="563"/>
      <c r="Q180" s="563"/>
    </row>
    <row r="181" spans="1:17">
      <c r="A181" s="563"/>
      <c r="B181" s="563"/>
      <c r="E181" s="51" t="s">
        <v>1526</v>
      </c>
      <c r="F181" s="51"/>
      <c r="G181" s="51"/>
      <c r="H181" s="51"/>
      <c r="I181" s="51"/>
      <c r="J181" s="51"/>
      <c r="K181" s="51"/>
      <c r="L181" s="51"/>
      <c r="M181" s="51"/>
      <c r="N181" s="51"/>
      <c r="O181" s="51"/>
      <c r="P181" s="11"/>
      <c r="Q181" s="13" t="s">
        <v>9479</v>
      </c>
    </row>
    <row r="182" spans="1:17">
      <c r="A182" s="563"/>
      <c r="B182" s="563"/>
      <c r="D182" s="350">
        <v>2010</v>
      </c>
      <c r="E182" s="350">
        <v>2011</v>
      </c>
      <c r="F182" s="350">
        <v>2012</v>
      </c>
      <c r="G182" s="350">
        <v>2013</v>
      </c>
      <c r="H182" s="350">
        <v>2014</v>
      </c>
      <c r="I182" s="350">
        <v>2015</v>
      </c>
      <c r="J182" s="350">
        <v>2016</v>
      </c>
      <c r="K182" s="350">
        <v>2017</v>
      </c>
      <c r="L182" s="350">
        <v>2018</v>
      </c>
      <c r="M182" s="350">
        <v>2019</v>
      </c>
      <c r="N182" s="350">
        <v>2020</v>
      </c>
      <c r="O182" s="960" t="s">
        <v>14823</v>
      </c>
      <c r="P182" s="563"/>
      <c r="Q182" s="13" t="s">
        <v>1527</v>
      </c>
    </row>
    <row r="183" spans="1:17">
      <c r="A183" s="562" t="s">
        <v>1884</v>
      </c>
      <c r="D183" s="565">
        <f t="shared" ref="D183:I183" si="85">SUM(D184:D199)</f>
        <v>82877</v>
      </c>
      <c r="E183" s="565">
        <f t="shared" si="85"/>
        <v>83309</v>
      </c>
      <c r="F183" s="565">
        <f t="shared" si="85"/>
        <v>84001</v>
      </c>
      <c r="G183" s="565">
        <f t="shared" si="85"/>
        <v>84838</v>
      </c>
      <c r="H183" s="565">
        <f t="shared" si="85"/>
        <v>84913</v>
      </c>
      <c r="I183" s="565">
        <f t="shared" si="85"/>
        <v>84052</v>
      </c>
      <c r="J183" s="565">
        <f t="shared" ref="J183:O183" si="86">SUM(J184:J199)</f>
        <v>83628</v>
      </c>
      <c r="K183" s="565">
        <f t="shared" si="86"/>
        <v>84789</v>
      </c>
      <c r="L183" s="565">
        <f t="shared" si="86"/>
        <v>86573</v>
      </c>
      <c r="M183" s="565">
        <f t="shared" si="86"/>
        <v>85808</v>
      </c>
      <c r="N183" s="565">
        <f t="shared" si="86"/>
        <v>87602</v>
      </c>
      <c r="O183" s="565">
        <f t="shared" si="86"/>
        <v>87542</v>
      </c>
      <c r="P183" s="563"/>
      <c r="Q183" s="563"/>
    </row>
    <row r="184" spans="1:17">
      <c r="A184" s="562" t="s">
        <v>5387</v>
      </c>
      <c r="B184" s="562" t="s">
        <v>1885</v>
      </c>
      <c r="C184" s="55" t="s">
        <v>8497</v>
      </c>
      <c r="D184" s="565">
        <v>2735</v>
      </c>
      <c r="E184" s="565">
        <v>2753</v>
      </c>
      <c r="F184" s="565">
        <v>2745</v>
      </c>
      <c r="G184" s="63">
        <v>2786</v>
      </c>
      <c r="H184" s="63">
        <v>2755</v>
      </c>
      <c r="I184" s="56">
        <v>2759</v>
      </c>
      <c r="J184" s="56">
        <v>2763</v>
      </c>
      <c r="K184" s="56">
        <v>2842</v>
      </c>
      <c r="L184" s="56">
        <v>2902</v>
      </c>
      <c r="M184" s="56">
        <v>2914</v>
      </c>
      <c r="N184" s="56">
        <v>3016</v>
      </c>
      <c r="O184" s="56">
        <v>3005</v>
      </c>
      <c r="P184" s="563"/>
      <c r="Q184" s="562" t="s">
        <v>1813</v>
      </c>
    </row>
    <row r="185" spans="1:17">
      <c r="A185" s="562" t="s">
        <v>5389</v>
      </c>
      <c r="B185" s="562" t="s">
        <v>1886</v>
      </c>
      <c r="C185" s="55" t="s">
        <v>8498</v>
      </c>
      <c r="D185" s="565">
        <v>2624</v>
      </c>
      <c r="E185" s="565">
        <v>2628</v>
      </c>
      <c r="F185" s="565">
        <v>2633</v>
      </c>
      <c r="G185" s="63">
        <v>2661</v>
      </c>
      <c r="H185" s="63">
        <v>2615</v>
      </c>
      <c r="I185" s="56">
        <v>2584</v>
      </c>
      <c r="J185" s="56">
        <v>2572</v>
      </c>
      <c r="K185" s="56">
        <v>2622</v>
      </c>
      <c r="L185" s="56">
        <v>2654</v>
      </c>
      <c r="M185" s="56">
        <v>2609</v>
      </c>
      <c r="N185" s="56">
        <v>2638</v>
      </c>
      <c r="O185" s="56">
        <v>2634</v>
      </c>
      <c r="P185" s="563"/>
      <c r="Q185" s="562" t="s">
        <v>1813</v>
      </c>
    </row>
    <row r="186" spans="1:17">
      <c r="A186" s="562" t="s">
        <v>5391</v>
      </c>
      <c r="B186" s="562" t="s">
        <v>1887</v>
      </c>
      <c r="C186" s="55" t="s">
        <v>8499</v>
      </c>
      <c r="D186" s="565">
        <v>7009</v>
      </c>
      <c r="E186" s="565">
        <v>7075</v>
      </c>
      <c r="F186" s="565">
        <v>7177</v>
      </c>
      <c r="G186" s="63">
        <v>7274</v>
      </c>
      <c r="H186" s="63">
        <v>7153</v>
      </c>
      <c r="I186" s="56">
        <v>6965</v>
      </c>
      <c r="J186" s="56">
        <v>6803</v>
      </c>
      <c r="K186" s="56">
        <v>6825</v>
      </c>
      <c r="L186" s="56">
        <v>6983</v>
      </c>
      <c r="M186" s="56">
        <v>6844</v>
      </c>
      <c r="N186" s="56">
        <v>6937</v>
      </c>
      <c r="O186" s="56">
        <v>6917</v>
      </c>
      <c r="P186" s="563"/>
      <c r="Q186" s="562" t="s">
        <v>1813</v>
      </c>
    </row>
    <row r="187" spans="1:17">
      <c r="A187" s="562" t="s">
        <v>5393</v>
      </c>
      <c r="B187" s="562" t="s">
        <v>553</v>
      </c>
      <c r="C187" s="55" t="s">
        <v>8500</v>
      </c>
      <c r="D187" s="565">
        <v>4639</v>
      </c>
      <c r="E187" s="565">
        <v>4625</v>
      </c>
      <c r="F187" s="565">
        <v>4680</v>
      </c>
      <c r="G187" s="63">
        <v>4756</v>
      </c>
      <c r="H187" s="63">
        <v>4788</v>
      </c>
      <c r="I187" s="56">
        <v>4707</v>
      </c>
      <c r="J187" s="56">
        <v>4605</v>
      </c>
      <c r="K187" s="56">
        <v>4721</v>
      </c>
      <c r="L187" s="56">
        <v>4742</v>
      </c>
      <c r="M187" s="56">
        <v>4723</v>
      </c>
      <c r="N187" s="56">
        <v>4745</v>
      </c>
      <c r="O187" s="56">
        <v>4733</v>
      </c>
      <c r="P187" s="563"/>
      <c r="Q187" s="562" t="s">
        <v>1813</v>
      </c>
    </row>
    <row r="188" spans="1:17">
      <c r="A188" s="562" t="s">
        <v>5394</v>
      </c>
      <c r="B188" s="562" t="s">
        <v>554</v>
      </c>
      <c r="C188" s="55" t="s">
        <v>8501</v>
      </c>
      <c r="D188" s="565">
        <v>7246</v>
      </c>
      <c r="E188" s="565">
        <v>7197</v>
      </c>
      <c r="F188" s="565">
        <v>7189</v>
      </c>
      <c r="G188" s="63">
        <v>7240</v>
      </c>
      <c r="H188" s="63">
        <v>7165</v>
      </c>
      <c r="I188" s="56">
        <v>7186</v>
      </c>
      <c r="J188" s="56">
        <v>7322</v>
      </c>
      <c r="K188" s="56">
        <v>7601</v>
      </c>
      <c r="L188" s="56">
        <v>7933</v>
      </c>
      <c r="M188" s="56">
        <v>7897</v>
      </c>
      <c r="N188" s="56">
        <v>8149</v>
      </c>
      <c r="O188" s="56">
        <v>8148</v>
      </c>
      <c r="P188" s="563"/>
      <c r="Q188" s="562" t="s">
        <v>1813</v>
      </c>
    </row>
    <row r="189" spans="1:17">
      <c r="A189" s="562" t="s">
        <v>5416</v>
      </c>
      <c r="B189" s="562" t="s">
        <v>555</v>
      </c>
      <c r="C189" s="55" t="s">
        <v>8502</v>
      </c>
      <c r="D189" s="565">
        <v>2853</v>
      </c>
      <c r="E189" s="565">
        <v>2906</v>
      </c>
      <c r="F189" s="565">
        <v>2865</v>
      </c>
      <c r="G189" s="63">
        <v>2880</v>
      </c>
      <c r="H189" s="63">
        <v>2989</v>
      </c>
      <c r="I189" s="56">
        <v>2940</v>
      </c>
      <c r="J189" s="56">
        <v>2924</v>
      </c>
      <c r="K189" s="56">
        <v>2955</v>
      </c>
      <c r="L189" s="56">
        <v>2989</v>
      </c>
      <c r="M189" s="56">
        <v>2949</v>
      </c>
      <c r="N189" s="56">
        <v>2972</v>
      </c>
      <c r="O189" s="56">
        <v>2973</v>
      </c>
      <c r="P189" s="563"/>
      <c r="Q189" s="562" t="s">
        <v>1813</v>
      </c>
    </row>
    <row r="190" spans="1:17">
      <c r="A190" s="562" t="s">
        <v>5418</v>
      </c>
      <c r="B190" s="562" t="s">
        <v>556</v>
      </c>
      <c r="C190" s="55" t="s">
        <v>8503</v>
      </c>
      <c r="D190" s="565">
        <v>7441</v>
      </c>
      <c r="E190" s="565">
        <v>7585</v>
      </c>
      <c r="F190" s="565">
        <v>7798</v>
      </c>
      <c r="G190" s="63">
        <v>7915</v>
      </c>
      <c r="H190" s="63">
        <v>7977</v>
      </c>
      <c r="I190" s="56">
        <v>7820</v>
      </c>
      <c r="J190" s="56">
        <v>7687</v>
      </c>
      <c r="K190" s="56">
        <v>7752</v>
      </c>
      <c r="L190" s="56">
        <v>7860</v>
      </c>
      <c r="M190" s="56">
        <v>7774</v>
      </c>
      <c r="N190" s="56">
        <v>7916</v>
      </c>
      <c r="O190" s="56">
        <v>7917</v>
      </c>
      <c r="P190" s="563"/>
      <c r="Q190" s="562" t="s">
        <v>1813</v>
      </c>
    </row>
    <row r="191" spans="1:17">
      <c r="A191" s="562" t="s">
        <v>5420</v>
      </c>
      <c r="B191" s="562" t="s">
        <v>557</v>
      </c>
      <c r="C191" s="55" t="s">
        <v>8504</v>
      </c>
      <c r="D191" s="565">
        <v>5526</v>
      </c>
      <c r="E191" s="565">
        <v>5522</v>
      </c>
      <c r="F191" s="565">
        <v>5601</v>
      </c>
      <c r="G191" s="565">
        <v>5640</v>
      </c>
      <c r="H191" s="63">
        <v>5624</v>
      </c>
      <c r="I191" s="58">
        <v>5540</v>
      </c>
      <c r="J191" s="58">
        <v>5440</v>
      </c>
      <c r="K191" s="58">
        <v>5430</v>
      </c>
      <c r="L191" s="58">
        <v>5476</v>
      </c>
      <c r="M191" s="58">
        <v>5346</v>
      </c>
      <c r="N191" s="58">
        <v>5444</v>
      </c>
      <c r="O191" s="58">
        <v>5444</v>
      </c>
      <c r="P191" s="563"/>
      <c r="Q191" s="562" t="s">
        <v>1815</v>
      </c>
    </row>
    <row r="192" spans="1:17">
      <c r="A192" s="562" t="s">
        <v>5422</v>
      </c>
      <c r="B192" s="562" t="s">
        <v>558</v>
      </c>
      <c r="C192" s="55" t="s">
        <v>8505</v>
      </c>
      <c r="D192" s="565">
        <v>4649</v>
      </c>
      <c r="E192" s="565">
        <v>4709</v>
      </c>
      <c r="F192" s="565">
        <v>4770</v>
      </c>
      <c r="G192" s="63">
        <v>4845</v>
      </c>
      <c r="H192" s="63">
        <v>4792</v>
      </c>
      <c r="I192" s="56">
        <v>4717</v>
      </c>
      <c r="J192" s="56">
        <v>4510</v>
      </c>
      <c r="K192" s="56">
        <v>4560</v>
      </c>
      <c r="L192" s="56">
        <v>4804</v>
      </c>
      <c r="M192" s="56">
        <v>4808</v>
      </c>
      <c r="N192" s="56">
        <v>4955</v>
      </c>
      <c r="O192" s="56">
        <v>4957</v>
      </c>
      <c r="P192" s="563"/>
      <c r="Q192" s="562" t="s">
        <v>1813</v>
      </c>
    </row>
    <row r="193" spans="1:17">
      <c r="A193" s="562" t="s">
        <v>5424</v>
      </c>
      <c r="B193" s="562" t="s">
        <v>559</v>
      </c>
      <c r="C193" s="55" t="s">
        <v>8506</v>
      </c>
      <c r="D193" s="565">
        <v>6646</v>
      </c>
      <c r="E193" s="565">
        <v>6647</v>
      </c>
      <c r="F193" s="565">
        <v>6735</v>
      </c>
      <c r="G193" s="63">
        <v>6777</v>
      </c>
      <c r="H193" s="63">
        <v>6778</v>
      </c>
      <c r="I193" s="56">
        <v>6725</v>
      </c>
      <c r="J193" s="56">
        <v>6662</v>
      </c>
      <c r="K193" s="56">
        <v>6724</v>
      </c>
      <c r="L193" s="56">
        <v>6892</v>
      </c>
      <c r="M193" s="56">
        <v>6775</v>
      </c>
      <c r="N193" s="56">
        <v>6957</v>
      </c>
      <c r="O193" s="56">
        <v>6972</v>
      </c>
      <c r="P193" s="563"/>
      <c r="Q193" s="562" t="s">
        <v>1813</v>
      </c>
    </row>
    <row r="194" spans="1:17">
      <c r="A194" s="562" t="s">
        <v>5426</v>
      </c>
      <c r="B194" s="562" t="s">
        <v>560</v>
      </c>
      <c r="C194" s="55" t="s">
        <v>8507</v>
      </c>
      <c r="D194" s="565">
        <v>7614</v>
      </c>
      <c r="E194" s="565">
        <v>7629</v>
      </c>
      <c r="F194" s="565">
        <v>7619</v>
      </c>
      <c r="G194" s="63">
        <v>7659</v>
      </c>
      <c r="H194" s="63">
        <v>7715</v>
      </c>
      <c r="I194" s="56">
        <v>7695</v>
      </c>
      <c r="J194" s="56">
        <v>7900</v>
      </c>
      <c r="K194" s="56">
        <v>7998</v>
      </c>
      <c r="L194" s="56">
        <v>8127</v>
      </c>
      <c r="M194" s="56">
        <v>7981</v>
      </c>
      <c r="N194" s="56">
        <v>8163</v>
      </c>
      <c r="O194" s="56">
        <v>8148</v>
      </c>
      <c r="P194" s="563"/>
      <c r="Q194" s="562" t="s">
        <v>1813</v>
      </c>
    </row>
    <row r="195" spans="1:17">
      <c r="A195" s="562" t="s">
        <v>5428</v>
      </c>
      <c r="B195" s="562" t="s">
        <v>561</v>
      </c>
      <c r="C195" s="55" t="s">
        <v>8508</v>
      </c>
      <c r="D195" s="565">
        <v>4924</v>
      </c>
      <c r="E195" s="565">
        <v>4945</v>
      </c>
      <c r="F195" s="565">
        <v>5047</v>
      </c>
      <c r="G195" s="63">
        <v>5208</v>
      </c>
      <c r="H195" s="63">
        <v>5284</v>
      </c>
      <c r="I195" s="56">
        <v>5254</v>
      </c>
      <c r="J195" s="56">
        <v>5237</v>
      </c>
      <c r="K195" s="56">
        <v>5326</v>
      </c>
      <c r="L195" s="56">
        <v>5361</v>
      </c>
      <c r="M195" s="56">
        <v>5309</v>
      </c>
      <c r="N195" s="56">
        <v>5417</v>
      </c>
      <c r="O195" s="56">
        <v>5419</v>
      </c>
      <c r="P195" s="563"/>
      <c r="Q195" s="562" t="s">
        <v>1813</v>
      </c>
    </row>
    <row r="196" spans="1:17">
      <c r="A196" s="562" t="s">
        <v>5429</v>
      </c>
      <c r="B196" s="562" t="s">
        <v>562</v>
      </c>
      <c r="C196" s="55" t="s">
        <v>8509</v>
      </c>
      <c r="D196" s="565">
        <v>4652</v>
      </c>
      <c r="E196" s="565">
        <v>4668</v>
      </c>
      <c r="F196" s="565">
        <v>4698</v>
      </c>
      <c r="G196" s="63">
        <v>4654</v>
      </c>
      <c r="H196" s="63">
        <v>4679</v>
      </c>
      <c r="I196" s="56">
        <v>4647</v>
      </c>
      <c r="J196" s="56">
        <v>4651</v>
      </c>
      <c r="K196" s="56">
        <v>4697</v>
      </c>
      <c r="L196" s="56">
        <v>4780</v>
      </c>
      <c r="M196" s="56">
        <v>4752</v>
      </c>
      <c r="N196" s="56">
        <v>4888</v>
      </c>
      <c r="O196" s="56">
        <v>4890</v>
      </c>
      <c r="P196" s="563"/>
      <c r="Q196" s="562" t="s">
        <v>1813</v>
      </c>
    </row>
    <row r="197" spans="1:17">
      <c r="A197" s="562" t="s">
        <v>5431</v>
      </c>
      <c r="B197" s="562" t="s">
        <v>563</v>
      </c>
      <c r="C197" s="55" t="s">
        <v>8510</v>
      </c>
      <c r="D197" s="565">
        <v>6526</v>
      </c>
      <c r="E197" s="565">
        <v>6573</v>
      </c>
      <c r="F197" s="565">
        <v>6576</v>
      </c>
      <c r="G197" s="63">
        <v>6629</v>
      </c>
      <c r="H197" s="63">
        <v>6644</v>
      </c>
      <c r="I197" s="56">
        <v>6626</v>
      </c>
      <c r="J197" s="56">
        <v>6606</v>
      </c>
      <c r="K197" s="56">
        <v>6726</v>
      </c>
      <c r="L197" s="56">
        <v>6931</v>
      </c>
      <c r="M197" s="56">
        <v>6960</v>
      </c>
      <c r="N197" s="56">
        <v>7056</v>
      </c>
      <c r="O197" s="56">
        <v>7033</v>
      </c>
      <c r="P197" s="563"/>
      <c r="Q197" s="562" t="s">
        <v>1813</v>
      </c>
    </row>
    <row r="198" spans="1:17">
      <c r="A198" s="562" t="s">
        <v>5433</v>
      </c>
      <c r="B198" s="562" t="s">
        <v>564</v>
      </c>
      <c r="C198" s="55" t="s">
        <v>8511</v>
      </c>
      <c r="D198" s="565">
        <v>5267</v>
      </c>
      <c r="E198" s="565">
        <v>5320</v>
      </c>
      <c r="F198" s="565">
        <v>5370</v>
      </c>
      <c r="G198" s="63">
        <v>5399</v>
      </c>
      <c r="H198" s="63">
        <v>5444</v>
      </c>
      <c r="I198" s="56">
        <v>5391</v>
      </c>
      <c r="J198" s="56">
        <v>5471</v>
      </c>
      <c r="K198" s="56">
        <v>5473</v>
      </c>
      <c r="L198" s="56">
        <v>5581</v>
      </c>
      <c r="M198" s="56">
        <v>5566</v>
      </c>
      <c r="N198" s="56">
        <v>5696</v>
      </c>
      <c r="O198" s="56">
        <v>5703</v>
      </c>
      <c r="P198" s="563"/>
      <c r="Q198" s="562" t="s">
        <v>1813</v>
      </c>
    </row>
    <row r="199" spans="1:17">
      <c r="A199" s="562" t="s">
        <v>5435</v>
      </c>
      <c r="B199" s="562" t="s">
        <v>565</v>
      </c>
      <c r="C199" s="55" t="s">
        <v>8512</v>
      </c>
      <c r="D199" s="565">
        <v>2526</v>
      </c>
      <c r="E199" s="565">
        <v>2527</v>
      </c>
      <c r="F199" s="565">
        <v>2498</v>
      </c>
      <c r="G199" s="63">
        <v>2515</v>
      </c>
      <c r="H199" s="63">
        <v>2511</v>
      </c>
      <c r="I199" s="56">
        <v>2496</v>
      </c>
      <c r="J199" s="56">
        <v>2475</v>
      </c>
      <c r="K199" s="56">
        <v>2537</v>
      </c>
      <c r="L199" s="56">
        <v>2558</v>
      </c>
      <c r="M199" s="56">
        <v>2601</v>
      </c>
      <c r="N199" s="56">
        <v>2653</v>
      </c>
      <c r="O199" s="56">
        <v>2649</v>
      </c>
      <c r="P199" s="563"/>
      <c r="Q199" s="562" t="s">
        <v>1813</v>
      </c>
    </row>
    <row r="200" spans="1:17">
      <c r="A200" s="563"/>
      <c r="B200" s="563"/>
      <c r="D200" s="567"/>
      <c r="E200" s="567"/>
      <c r="F200" s="567"/>
      <c r="G200" s="567"/>
      <c r="H200" s="567"/>
      <c r="I200" s="567"/>
      <c r="J200" s="567"/>
      <c r="K200" s="567"/>
      <c r="L200" s="567"/>
      <c r="M200" s="567"/>
      <c r="N200" s="567"/>
      <c r="O200" s="567"/>
      <c r="P200" s="563"/>
      <c r="Q200" s="563"/>
    </row>
    <row r="201" spans="1:17">
      <c r="A201" s="562" t="s">
        <v>1813</v>
      </c>
      <c r="D201" s="565">
        <f t="shared" ref="D201:I201" si="87">SUM(D184:D190)+SUM(D192:D199)</f>
        <v>77351</v>
      </c>
      <c r="E201" s="565">
        <f t="shared" si="87"/>
        <v>77787</v>
      </c>
      <c r="F201" s="565">
        <f t="shared" si="87"/>
        <v>78400</v>
      </c>
      <c r="G201" s="565">
        <f t="shared" si="87"/>
        <v>79198</v>
      </c>
      <c r="H201" s="565">
        <f t="shared" si="87"/>
        <v>79289</v>
      </c>
      <c r="I201" s="565">
        <f t="shared" si="87"/>
        <v>78512</v>
      </c>
      <c r="J201" s="565">
        <f t="shared" ref="J201:O201" si="88">SUM(J184:J190)+SUM(J192:J199)</f>
        <v>78188</v>
      </c>
      <c r="K201" s="565">
        <f t="shared" si="88"/>
        <v>79359</v>
      </c>
      <c r="L201" s="565">
        <f t="shared" si="88"/>
        <v>81097</v>
      </c>
      <c r="M201" s="565">
        <f t="shared" si="88"/>
        <v>80462</v>
      </c>
      <c r="N201" s="565">
        <f t="shared" si="88"/>
        <v>82158</v>
      </c>
      <c r="O201" s="565">
        <f t="shared" si="88"/>
        <v>82098</v>
      </c>
      <c r="P201" s="563"/>
      <c r="Q201" s="563"/>
    </row>
    <row r="202" spans="1:17">
      <c r="A202" s="562" t="s">
        <v>1094</v>
      </c>
      <c r="D202" s="565">
        <f t="shared" ref="D202:I202" si="89">D191</f>
        <v>5526</v>
      </c>
      <c r="E202" s="565">
        <f t="shared" si="89"/>
        <v>5522</v>
      </c>
      <c r="F202" s="565">
        <f t="shared" si="89"/>
        <v>5601</v>
      </c>
      <c r="G202" s="565">
        <f t="shared" si="89"/>
        <v>5640</v>
      </c>
      <c r="H202" s="565">
        <f t="shared" si="89"/>
        <v>5624</v>
      </c>
      <c r="I202" s="565">
        <f t="shared" si="89"/>
        <v>5540</v>
      </c>
      <c r="J202" s="565">
        <f t="shared" ref="J202:O202" si="90">J191</f>
        <v>5440</v>
      </c>
      <c r="K202" s="565">
        <f t="shared" si="90"/>
        <v>5430</v>
      </c>
      <c r="L202" s="565">
        <f t="shared" si="90"/>
        <v>5476</v>
      </c>
      <c r="M202" s="565">
        <f t="shared" si="90"/>
        <v>5346</v>
      </c>
      <c r="N202" s="565">
        <f t="shared" si="90"/>
        <v>5444</v>
      </c>
      <c r="O202" s="565">
        <f t="shared" si="90"/>
        <v>5444</v>
      </c>
      <c r="P202" s="563"/>
      <c r="Q202" s="563"/>
    </row>
    <row r="203" spans="1:17">
      <c r="A203" s="562"/>
      <c r="D203" s="565"/>
      <c r="E203" s="565"/>
      <c r="F203" s="565"/>
      <c r="G203" s="565"/>
      <c r="H203" s="565"/>
      <c r="I203" s="565"/>
      <c r="J203" s="565"/>
      <c r="K203" s="565"/>
      <c r="L203" s="565"/>
      <c r="M203" s="565"/>
      <c r="N203" s="565"/>
      <c r="O203" s="565"/>
      <c r="P203" s="563"/>
      <c r="Q203" s="563"/>
    </row>
    <row r="204" spans="1:17">
      <c r="A204" s="562" t="s">
        <v>566</v>
      </c>
      <c r="D204" s="565"/>
      <c r="E204" s="565"/>
      <c r="F204" s="565"/>
      <c r="G204" s="565"/>
      <c r="H204" s="565"/>
      <c r="I204" s="565"/>
      <c r="J204" s="565"/>
      <c r="K204" s="565"/>
      <c r="L204" s="565"/>
      <c r="M204" s="565"/>
      <c r="N204" s="565"/>
      <c r="O204" s="565"/>
      <c r="P204" s="563"/>
      <c r="Q204" s="563"/>
    </row>
    <row r="205" spans="1:17">
      <c r="A205" s="562"/>
      <c r="B205" s="562"/>
      <c r="D205" s="573"/>
      <c r="E205" s="573"/>
      <c r="F205" s="573"/>
      <c r="G205" s="573"/>
      <c r="H205" s="573"/>
      <c r="I205" s="565"/>
      <c r="J205" s="565"/>
      <c r="K205" s="565"/>
      <c r="L205" s="565"/>
      <c r="M205" s="573"/>
      <c r="N205" s="573"/>
      <c r="O205" s="573"/>
      <c r="P205" s="563"/>
      <c r="Q205" s="563"/>
    </row>
    <row r="206" spans="1:17">
      <c r="A206" s="562"/>
      <c r="B206" s="562"/>
      <c r="D206" s="573"/>
      <c r="E206" s="573"/>
      <c r="F206" s="573"/>
      <c r="G206" s="573"/>
      <c r="H206" s="573"/>
      <c r="I206" s="573"/>
      <c r="J206" s="573"/>
      <c r="K206" s="573"/>
      <c r="L206" s="573"/>
      <c r="M206" s="573"/>
      <c r="N206" s="573"/>
      <c r="O206" s="573"/>
      <c r="P206" s="563"/>
      <c r="Q206" s="563"/>
    </row>
    <row r="207" spans="1:17">
      <c r="A207" s="563"/>
      <c r="B207" s="563"/>
      <c r="E207" s="51" t="s">
        <v>1526</v>
      </c>
      <c r="F207" s="51"/>
      <c r="G207" s="51"/>
      <c r="H207" s="51"/>
      <c r="I207" s="51"/>
      <c r="J207" s="51"/>
      <c r="K207" s="51"/>
      <c r="L207" s="51"/>
      <c r="M207" s="51"/>
      <c r="N207" s="51"/>
      <c r="O207" s="51"/>
      <c r="P207" s="11"/>
      <c r="Q207" s="13" t="s">
        <v>9479</v>
      </c>
    </row>
    <row r="208" spans="1:17">
      <c r="A208" s="563"/>
      <c r="B208" s="563"/>
      <c r="D208" s="350">
        <v>2010</v>
      </c>
      <c r="E208" s="350">
        <v>2011</v>
      </c>
      <c r="F208" s="350">
        <v>2012</v>
      </c>
      <c r="G208" s="350">
        <v>2013</v>
      </c>
      <c r="H208" s="350">
        <v>2014</v>
      </c>
      <c r="I208" s="350">
        <v>2015</v>
      </c>
      <c r="J208" s="350">
        <v>2016</v>
      </c>
      <c r="K208" s="350">
        <v>2017</v>
      </c>
      <c r="L208" s="350">
        <v>2018</v>
      </c>
      <c r="M208" s="350">
        <v>2019</v>
      </c>
      <c r="N208" s="350">
        <v>2020</v>
      </c>
      <c r="O208" s="960" t="s">
        <v>14823</v>
      </c>
      <c r="P208" s="563"/>
      <c r="Q208" s="13" t="s">
        <v>1527</v>
      </c>
    </row>
    <row r="209" spans="1:17">
      <c r="A209" s="562" t="s">
        <v>567</v>
      </c>
      <c r="D209" s="565">
        <f t="shared" ref="D209:I209" si="91">SUM(D210:D225)</f>
        <v>37655</v>
      </c>
      <c r="E209" s="565">
        <f t="shared" si="91"/>
        <v>38266</v>
      </c>
      <c r="F209" s="565">
        <f t="shared" si="91"/>
        <v>38399</v>
      </c>
      <c r="G209" s="565">
        <f t="shared" si="91"/>
        <v>38381</v>
      </c>
      <c r="H209" s="565">
        <f t="shared" si="91"/>
        <v>38473</v>
      </c>
      <c r="I209" s="565">
        <f t="shared" si="91"/>
        <v>37633</v>
      </c>
      <c r="J209" s="565">
        <f t="shared" ref="J209:O209" si="92">SUM(J210:J225)</f>
        <v>36820</v>
      </c>
      <c r="K209" s="565">
        <f t="shared" si="92"/>
        <v>37948</v>
      </c>
      <c r="L209" s="565">
        <f t="shared" si="92"/>
        <v>38246</v>
      </c>
      <c r="M209" s="565">
        <f t="shared" si="92"/>
        <v>38285</v>
      </c>
      <c r="N209" s="565">
        <f t="shared" si="92"/>
        <v>39339</v>
      </c>
      <c r="O209" s="565">
        <f t="shared" si="92"/>
        <v>39259</v>
      </c>
      <c r="P209" s="563"/>
      <c r="Q209" s="563"/>
    </row>
    <row r="210" spans="1:17">
      <c r="A210" s="562" t="s">
        <v>5387</v>
      </c>
      <c r="B210" s="562" t="s">
        <v>568</v>
      </c>
      <c r="C210" s="55" t="s">
        <v>8513</v>
      </c>
      <c r="D210" s="565">
        <v>2549</v>
      </c>
      <c r="E210" s="565">
        <v>2595</v>
      </c>
      <c r="F210" s="565">
        <v>2618</v>
      </c>
      <c r="G210" s="63">
        <v>2674</v>
      </c>
      <c r="H210" s="63">
        <v>2655</v>
      </c>
      <c r="I210" s="63">
        <v>2586</v>
      </c>
      <c r="J210" s="63">
        <v>2536</v>
      </c>
      <c r="K210" s="63">
        <v>2593</v>
      </c>
      <c r="L210" s="63">
        <v>2593</v>
      </c>
      <c r="M210" s="63">
        <v>2570</v>
      </c>
      <c r="N210" s="63">
        <v>2679</v>
      </c>
      <c r="O210" s="63">
        <v>2672</v>
      </c>
      <c r="P210" s="563"/>
      <c r="Q210" s="562" t="s">
        <v>3204</v>
      </c>
    </row>
    <row r="211" spans="1:17">
      <c r="A211" s="562" t="s">
        <v>5389</v>
      </c>
      <c r="B211" s="562" t="s">
        <v>1795</v>
      </c>
      <c r="C211" s="55" t="s">
        <v>8514</v>
      </c>
      <c r="D211" s="565">
        <v>2860</v>
      </c>
      <c r="E211" s="565">
        <v>2864</v>
      </c>
      <c r="F211" s="565">
        <v>2910</v>
      </c>
      <c r="G211" s="63">
        <v>2883</v>
      </c>
      <c r="H211" s="63">
        <v>2873</v>
      </c>
      <c r="I211" s="63">
        <v>2859</v>
      </c>
      <c r="J211" s="63">
        <v>2833</v>
      </c>
      <c r="K211" s="63">
        <v>2878</v>
      </c>
      <c r="L211" s="63">
        <v>2928</v>
      </c>
      <c r="M211" s="63">
        <v>2925</v>
      </c>
      <c r="N211" s="63">
        <v>2950</v>
      </c>
      <c r="O211" s="63">
        <v>2946</v>
      </c>
      <c r="P211" s="563"/>
      <c r="Q211" s="562" t="s">
        <v>3204</v>
      </c>
    </row>
    <row r="212" spans="1:17">
      <c r="A212" s="562" t="s">
        <v>5391</v>
      </c>
      <c r="B212" s="562" t="s">
        <v>569</v>
      </c>
      <c r="C212" s="55" t="s">
        <v>8515</v>
      </c>
      <c r="D212" s="565">
        <v>1418</v>
      </c>
      <c r="E212" s="565">
        <v>1484</v>
      </c>
      <c r="F212" s="565">
        <v>1472</v>
      </c>
      <c r="G212" s="63">
        <v>1454</v>
      </c>
      <c r="H212" s="63">
        <v>1445</v>
      </c>
      <c r="I212" s="63">
        <v>1437</v>
      </c>
      <c r="J212" s="63">
        <v>1455</v>
      </c>
      <c r="K212" s="63">
        <v>1509</v>
      </c>
      <c r="L212" s="63">
        <v>1496</v>
      </c>
      <c r="M212" s="63">
        <v>1475</v>
      </c>
      <c r="N212" s="63">
        <v>1502</v>
      </c>
      <c r="O212" s="63">
        <v>1496</v>
      </c>
      <c r="P212" s="563"/>
      <c r="Q212" s="562" t="s">
        <v>3204</v>
      </c>
    </row>
    <row r="213" spans="1:17">
      <c r="A213" s="562" t="s">
        <v>5393</v>
      </c>
      <c r="B213" s="562" t="s">
        <v>570</v>
      </c>
      <c r="C213" s="55" t="s">
        <v>8516</v>
      </c>
      <c r="D213" s="565">
        <v>1398</v>
      </c>
      <c r="E213" s="565">
        <v>1442</v>
      </c>
      <c r="F213" s="565">
        <v>1454</v>
      </c>
      <c r="G213" s="63">
        <v>1444</v>
      </c>
      <c r="H213" s="63">
        <v>1447</v>
      </c>
      <c r="I213" s="63">
        <v>1435</v>
      </c>
      <c r="J213" s="63">
        <v>1409</v>
      </c>
      <c r="K213" s="63">
        <v>1434</v>
      </c>
      <c r="L213" s="63">
        <v>1457</v>
      </c>
      <c r="M213" s="63">
        <v>1441</v>
      </c>
      <c r="N213" s="63">
        <v>1494</v>
      </c>
      <c r="O213" s="63">
        <v>1486</v>
      </c>
      <c r="P213" s="563"/>
      <c r="Q213" s="562" t="s">
        <v>3204</v>
      </c>
    </row>
    <row r="214" spans="1:17">
      <c r="A214" s="562" t="s">
        <v>5394</v>
      </c>
      <c r="B214" s="562" t="s">
        <v>571</v>
      </c>
      <c r="C214" s="55" t="s">
        <v>8517</v>
      </c>
      <c r="D214" s="565">
        <v>1392</v>
      </c>
      <c r="E214" s="565">
        <v>1432</v>
      </c>
      <c r="F214" s="565">
        <v>1414</v>
      </c>
      <c r="G214" s="63">
        <v>1421</v>
      </c>
      <c r="H214" s="63">
        <v>1379</v>
      </c>
      <c r="I214" s="63">
        <v>1370</v>
      </c>
      <c r="J214" s="63">
        <v>1336</v>
      </c>
      <c r="K214" s="63">
        <v>1401</v>
      </c>
      <c r="L214" s="63">
        <v>1378</v>
      </c>
      <c r="M214" s="63">
        <v>1367</v>
      </c>
      <c r="N214" s="63">
        <v>1419</v>
      </c>
      <c r="O214" s="63">
        <v>1417</v>
      </c>
      <c r="P214" s="563"/>
      <c r="Q214" s="562" t="s">
        <v>3204</v>
      </c>
    </row>
    <row r="215" spans="1:17">
      <c r="A215" s="562" t="s">
        <v>5416</v>
      </c>
      <c r="B215" s="562" t="s">
        <v>572</v>
      </c>
      <c r="C215" s="55" t="s">
        <v>8518</v>
      </c>
      <c r="D215" s="565">
        <v>3164</v>
      </c>
      <c r="E215" s="565">
        <v>3214</v>
      </c>
      <c r="F215" s="565">
        <v>3262</v>
      </c>
      <c r="G215" s="63">
        <v>3251</v>
      </c>
      <c r="H215" s="63">
        <v>3274</v>
      </c>
      <c r="I215" s="63">
        <v>3289</v>
      </c>
      <c r="J215" s="63">
        <v>3153</v>
      </c>
      <c r="K215" s="63">
        <v>3225</v>
      </c>
      <c r="L215" s="63">
        <v>3247</v>
      </c>
      <c r="M215" s="63">
        <v>3236</v>
      </c>
      <c r="N215" s="63">
        <v>3377</v>
      </c>
      <c r="O215" s="63">
        <v>3370</v>
      </c>
      <c r="P215" s="563"/>
      <c r="Q215" s="562" t="s">
        <v>3204</v>
      </c>
    </row>
    <row r="216" spans="1:17">
      <c r="A216" s="562" t="s">
        <v>5418</v>
      </c>
      <c r="B216" s="562" t="s">
        <v>573</v>
      </c>
      <c r="C216" s="55" t="s">
        <v>8519</v>
      </c>
      <c r="D216" s="565">
        <v>2664</v>
      </c>
      <c r="E216" s="565">
        <v>2697</v>
      </c>
      <c r="F216" s="565">
        <v>2713</v>
      </c>
      <c r="G216" s="63">
        <v>2718</v>
      </c>
      <c r="H216" s="63">
        <v>2745</v>
      </c>
      <c r="I216" s="63">
        <v>2650</v>
      </c>
      <c r="J216" s="63">
        <v>2595</v>
      </c>
      <c r="K216" s="63">
        <v>2687</v>
      </c>
      <c r="L216" s="63">
        <v>2691</v>
      </c>
      <c r="M216" s="63">
        <v>2703</v>
      </c>
      <c r="N216" s="63">
        <v>2723</v>
      </c>
      <c r="O216" s="63">
        <v>2719</v>
      </c>
      <c r="P216" s="563"/>
      <c r="Q216" s="562" t="s">
        <v>3204</v>
      </c>
    </row>
    <row r="217" spans="1:17">
      <c r="A217" s="562" t="s">
        <v>5420</v>
      </c>
      <c r="B217" s="562" t="s">
        <v>574</v>
      </c>
      <c r="C217" s="55" t="s">
        <v>8520</v>
      </c>
      <c r="D217" s="565">
        <v>3927</v>
      </c>
      <c r="E217" s="565">
        <v>4041</v>
      </c>
      <c r="F217" s="565">
        <v>3949</v>
      </c>
      <c r="G217" s="63">
        <v>3902</v>
      </c>
      <c r="H217" s="63">
        <v>3980</v>
      </c>
      <c r="I217" s="63">
        <v>3886</v>
      </c>
      <c r="J217" s="63">
        <v>3767</v>
      </c>
      <c r="K217" s="63">
        <v>3824</v>
      </c>
      <c r="L217" s="63">
        <v>3814</v>
      </c>
      <c r="M217" s="63">
        <v>3876</v>
      </c>
      <c r="N217" s="63">
        <v>3973</v>
      </c>
      <c r="O217" s="63">
        <v>3966</v>
      </c>
      <c r="P217" s="563"/>
      <c r="Q217" s="562" t="s">
        <v>3204</v>
      </c>
    </row>
    <row r="218" spans="1:17">
      <c r="A218" s="562" t="s">
        <v>5422</v>
      </c>
      <c r="B218" s="562" t="s">
        <v>575</v>
      </c>
      <c r="C218" s="55" t="s">
        <v>8521</v>
      </c>
      <c r="D218" s="565">
        <v>2625</v>
      </c>
      <c r="E218" s="565">
        <v>2647</v>
      </c>
      <c r="F218" s="565">
        <v>2666</v>
      </c>
      <c r="G218" s="63">
        <v>2732</v>
      </c>
      <c r="H218" s="63">
        <v>2725</v>
      </c>
      <c r="I218" s="63">
        <v>2581</v>
      </c>
      <c r="J218" s="63">
        <v>2608</v>
      </c>
      <c r="K218" s="63">
        <v>2679</v>
      </c>
      <c r="L218" s="63">
        <v>2735</v>
      </c>
      <c r="M218" s="63">
        <v>2759</v>
      </c>
      <c r="N218" s="63">
        <v>2808</v>
      </c>
      <c r="O218" s="63">
        <v>2806</v>
      </c>
      <c r="P218" s="563"/>
      <c r="Q218" s="562" t="s">
        <v>3204</v>
      </c>
    </row>
    <row r="219" spans="1:17">
      <c r="A219" s="562" t="s">
        <v>5424</v>
      </c>
      <c r="B219" s="562" t="s">
        <v>576</v>
      </c>
      <c r="C219" s="55" t="s">
        <v>8522</v>
      </c>
      <c r="D219" s="565">
        <v>3770</v>
      </c>
      <c r="E219" s="565">
        <v>3819</v>
      </c>
      <c r="F219" s="565">
        <v>3835</v>
      </c>
      <c r="G219" s="63">
        <v>3824</v>
      </c>
      <c r="H219" s="63">
        <v>3806</v>
      </c>
      <c r="I219" s="63">
        <v>3689</v>
      </c>
      <c r="J219" s="63">
        <v>3656</v>
      </c>
      <c r="K219" s="63">
        <v>3801</v>
      </c>
      <c r="L219" s="63">
        <v>3921</v>
      </c>
      <c r="M219" s="63">
        <v>4042</v>
      </c>
      <c r="N219" s="63">
        <v>4112</v>
      </c>
      <c r="O219" s="63">
        <v>4105</v>
      </c>
      <c r="P219" s="563"/>
      <c r="Q219" s="562" t="s">
        <v>3204</v>
      </c>
    </row>
    <row r="220" spans="1:17">
      <c r="A220" s="562" t="s">
        <v>5426</v>
      </c>
      <c r="B220" s="562" t="s">
        <v>577</v>
      </c>
      <c r="C220" s="55" t="s">
        <v>8523</v>
      </c>
      <c r="D220" s="565">
        <v>3940</v>
      </c>
      <c r="E220" s="565">
        <v>3978</v>
      </c>
      <c r="F220" s="565">
        <v>4057</v>
      </c>
      <c r="G220" s="63">
        <v>4048</v>
      </c>
      <c r="H220" s="63">
        <v>4040</v>
      </c>
      <c r="I220" s="63">
        <v>3925</v>
      </c>
      <c r="J220" s="63">
        <v>3816</v>
      </c>
      <c r="K220" s="63">
        <v>3987</v>
      </c>
      <c r="L220" s="63">
        <v>4016</v>
      </c>
      <c r="M220" s="63">
        <v>3875</v>
      </c>
      <c r="N220" s="63">
        <v>3998</v>
      </c>
      <c r="O220" s="63">
        <v>3991</v>
      </c>
      <c r="P220" s="563"/>
      <c r="Q220" s="562" t="s">
        <v>3204</v>
      </c>
    </row>
    <row r="221" spans="1:17">
      <c r="A221" s="562" t="s">
        <v>5428</v>
      </c>
      <c r="B221" s="562" t="s">
        <v>578</v>
      </c>
      <c r="C221" s="55" t="s">
        <v>8524</v>
      </c>
      <c r="D221" s="565">
        <v>2553</v>
      </c>
      <c r="E221" s="565">
        <v>2546</v>
      </c>
      <c r="F221" s="565">
        <v>2579</v>
      </c>
      <c r="G221" s="63">
        <v>2533</v>
      </c>
      <c r="H221" s="63">
        <v>2558</v>
      </c>
      <c r="I221" s="63">
        <v>2466</v>
      </c>
      <c r="J221" s="63">
        <v>2383</v>
      </c>
      <c r="K221" s="63">
        <v>2481</v>
      </c>
      <c r="L221" s="63">
        <v>2519</v>
      </c>
      <c r="M221" s="63">
        <v>2541</v>
      </c>
      <c r="N221" s="63">
        <v>2645</v>
      </c>
      <c r="O221" s="63">
        <v>2648</v>
      </c>
      <c r="P221" s="563"/>
      <c r="Q221" s="562" t="s">
        <v>3204</v>
      </c>
    </row>
    <row r="222" spans="1:17">
      <c r="A222" s="562" t="s">
        <v>5429</v>
      </c>
      <c r="B222" s="562" t="s">
        <v>579</v>
      </c>
      <c r="C222" s="55" t="s">
        <v>8525</v>
      </c>
      <c r="D222" s="565">
        <v>1563</v>
      </c>
      <c r="E222" s="565">
        <v>1592</v>
      </c>
      <c r="F222" s="565">
        <v>1602</v>
      </c>
      <c r="G222" s="63">
        <v>1592</v>
      </c>
      <c r="H222" s="63">
        <v>1596</v>
      </c>
      <c r="I222" s="63">
        <v>1583</v>
      </c>
      <c r="J222" s="63">
        <v>1482</v>
      </c>
      <c r="K222" s="63">
        <v>1568</v>
      </c>
      <c r="L222" s="63">
        <v>1542</v>
      </c>
      <c r="M222" s="63">
        <v>1562</v>
      </c>
      <c r="N222" s="63">
        <v>1569</v>
      </c>
      <c r="O222" s="63">
        <v>1568</v>
      </c>
      <c r="P222" s="563"/>
      <c r="Q222" s="562" t="s">
        <v>3204</v>
      </c>
    </row>
    <row r="223" spans="1:17">
      <c r="A223" s="562" t="s">
        <v>5431</v>
      </c>
      <c r="B223" s="562" t="s">
        <v>580</v>
      </c>
      <c r="C223" s="55" t="s">
        <v>8526</v>
      </c>
      <c r="D223" s="565">
        <v>1390</v>
      </c>
      <c r="E223" s="565">
        <v>1406</v>
      </c>
      <c r="F223" s="565">
        <v>1412</v>
      </c>
      <c r="G223" s="63">
        <v>1431</v>
      </c>
      <c r="H223" s="63">
        <v>1417</v>
      </c>
      <c r="I223" s="63">
        <v>1395</v>
      </c>
      <c r="J223" s="63">
        <v>1374</v>
      </c>
      <c r="K223" s="63">
        <v>1383</v>
      </c>
      <c r="L223" s="63">
        <v>1411</v>
      </c>
      <c r="M223" s="63">
        <v>1409</v>
      </c>
      <c r="N223" s="63">
        <v>1487</v>
      </c>
      <c r="O223" s="63">
        <v>1485</v>
      </c>
      <c r="P223" s="563"/>
      <c r="Q223" s="562" t="s">
        <v>3204</v>
      </c>
    </row>
    <row r="224" spans="1:17">
      <c r="A224" s="562" t="s">
        <v>5433</v>
      </c>
      <c r="B224" s="562" t="s">
        <v>581</v>
      </c>
      <c r="C224" s="55" t="s">
        <v>8527</v>
      </c>
      <c r="D224" s="565">
        <v>1243</v>
      </c>
      <c r="E224" s="565">
        <v>1285</v>
      </c>
      <c r="F224" s="565">
        <v>1239</v>
      </c>
      <c r="G224" s="63">
        <v>1266</v>
      </c>
      <c r="H224" s="63">
        <v>1320</v>
      </c>
      <c r="I224" s="63">
        <v>1292</v>
      </c>
      <c r="J224" s="63">
        <v>1269</v>
      </c>
      <c r="K224" s="63">
        <v>1282</v>
      </c>
      <c r="L224" s="63">
        <v>1286</v>
      </c>
      <c r="M224" s="63">
        <v>1272</v>
      </c>
      <c r="N224" s="63">
        <v>1315</v>
      </c>
      <c r="O224" s="63">
        <v>1305</v>
      </c>
      <c r="P224" s="563"/>
      <c r="Q224" s="562" t="s">
        <v>3204</v>
      </c>
    </row>
    <row r="225" spans="1:17">
      <c r="A225" s="562" t="s">
        <v>5435</v>
      </c>
      <c r="B225" s="562" t="s">
        <v>582</v>
      </c>
      <c r="C225" s="55" t="s">
        <v>8528</v>
      </c>
      <c r="D225" s="565">
        <v>1199</v>
      </c>
      <c r="E225" s="565">
        <v>1224</v>
      </c>
      <c r="F225" s="565">
        <v>1217</v>
      </c>
      <c r="G225" s="63">
        <v>1208</v>
      </c>
      <c r="H225" s="63">
        <v>1213</v>
      </c>
      <c r="I225" s="63">
        <v>1190</v>
      </c>
      <c r="J225" s="63">
        <v>1148</v>
      </c>
      <c r="K225" s="63">
        <v>1216</v>
      </c>
      <c r="L225" s="63">
        <v>1212</v>
      </c>
      <c r="M225" s="63">
        <v>1232</v>
      </c>
      <c r="N225" s="63">
        <v>1288</v>
      </c>
      <c r="O225" s="63">
        <v>1279</v>
      </c>
      <c r="P225" s="563"/>
      <c r="Q225" s="562" t="s">
        <v>3204</v>
      </c>
    </row>
    <row r="226" spans="1:17">
      <c r="A226" s="563"/>
      <c r="B226" s="563"/>
      <c r="D226" s="567"/>
      <c r="E226" s="567"/>
      <c r="F226" s="567"/>
      <c r="G226" s="567"/>
      <c r="H226" s="567"/>
      <c r="I226" s="567"/>
      <c r="J226" s="567"/>
      <c r="K226" s="567"/>
      <c r="L226" s="567"/>
      <c r="M226" s="567"/>
      <c r="N226" s="567"/>
      <c r="O226" s="567"/>
      <c r="P226" s="563"/>
      <c r="Q226" s="563"/>
    </row>
    <row r="227" spans="1:17">
      <c r="A227" s="562" t="s">
        <v>4696</v>
      </c>
      <c r="D227" s="565">
        <f t="shared" ref="D227:I227" si="93">SUM(D210:D225)</f>
        <v>37655</v>
      </c>
      <c r="E227" s="565">
        <f t="shared" si="93"/>
        <v>38266</v>
      </c>
      <c r="F227" s="565">
        <f t="shared" si="93"/>
        <v>38399</v>
      </c>
      <c r="G227" s="565">
        <f t="shared" si="93"/>
        <v>38381</v>
      </c>
      <c r="H227" s="565">
        <f t="shared" si="93"/>
        <v>38473</v>
      </c>
      <c r="I227" s="565">
        <f t="shared" si="93"/>
        <v>37633</v>
      </c>
      <c r="J227" s="565">
        <f t="shared" ref="J227:O227" si="94">SUM(J210:J225)</f>
        <v>36820</v>
      </c>
      <c r="K227" s="565">
        <f t="shared" si="94"/>
        <v>37948</v>
      </c>
      <c r="L227" s="565">
        <f t="shared" si="94"/>
        <v>38246</v>
      </c>
      <c r="M227" s="565">
        <f t="shared" si="94"/>
        <v>38285</v>
      </c>
      <c r="N227" s="565">
        <f t="shared" si="94"/>
        <v>39339</v>
      </c>
      <c r="O227" s="565">
        <f t="shared" si="94"/>
        <v>39259</v>
      </c>
      <c r="P227" s="563"/>
      <c r="Q227" s="563"/>
    </row>
    <row r="228" spans="1:17">
      <c r="A228" s="562"/>
      <c r="D228" s="565"/>
      <c r="E228" s="565"/>
      <c r="F228" s="565"/>
      <c r="G228" s="565"/>
      <c r="H228" s="565"/>
      <c r="I228" s="565"/>
      <c r="J228" s="565"/>
      <c r="K228" s="565"/>
      <c r="L228" s="565"/>
      <c r="M228" s="565"/>
      <c r="N228" s="565"/>
      <c r="O228" s="565"/>
      <c r="P228" s="563"/>
      <c r="Q228" s="563"/>
    </row>
    <row r="229" spans="1:17">
      <c r="A229" s="562" t="s">
        <v>3319</v>
      </c>
      <c r="D229" s="565"/>
      <c r="E229" s="565"/>
      <c r="F229" s="565"/>
      <c r="G229" s="565"/>
      <c r="H229" s="565"/>
      <c r="I229" s="565"/>
      <c r="J229" s="565"/>
      <c r="K229" s="565"/>
      <c r="L229" s="565"/>
      <c r="M229" s="565"/>
      <c r="N229" s="565"/>
      <c r="O229" s="565"/>
      <c r="P229" s="563"/>
      <c r="Q229" s="563"/>
    </row>
    <row r="230" spans="1:17">
      <c r="A230" s="562"/>
      <c r="B230" s="562"/>
      <c r="D230" s="573"/>
      <c r="E230" s="573"/>
      <c r="F230" s="573"/>
      <c r="G230" s="573"/>
      <c r="H230" s="573"/>
      <c r="I230" s="573"/>
      <c r="J230" s="573"/>
      <c r="K230" s="573"/>
      <c r="L230" s="573"/>
      <c r="M230" s="573"/>
      <c r="N230" s="573"/>
      <c r="O230" s="573"/>
      <c r="P230" s="563"/>
      <c r="Q230" s="563"/>
    </row>
    <row r="231" spans="1:17">
      <c r="A231" s="562"/>
      <c r="B231" s="562"/>
      <c r="D231" s="573"/>
      <c r="E231" s="573"/>
      <c r="F231" s="573"/>
      <c r="G231" s="573"/>
      <c r="H231" s="573"/>
      <c r="I231" s="573"/>
      <c r="J231" s="573"/>
      <c r="K231" s="573"/>
      <c r="L231" s="573"/>
      <c r="M231" s="573"/>
      <c r="N231" s="573"/>
      <c r="O231" s="573"/>
      <c r="P231" s="563"/>
      <c r="Q231" s="563"/>
    </row>
    <row r="232" spans="1:17">
      <c r="A232" s="563"/>
      <c r="B232" s="563"/>
      <c r="E232" s="51" t="s">
        <v>1526</v>
      </c>
      <c r="F232" s="51"/>
      <c r="G232" s="51"/>
      <c r="H232" s="51"/>
      <c r="I232" s="51"/>
      <c r="J232" s="51"/>
      <c r="K232" s="51"/>
      <c r="L232" s="51"/>
      <c r="M232" s="51"/>
      <c r="N232" s="51"/>
      <c r="O232" s="51"/>
      <c r="P232" s="11"/>
      <c r="Q232" s="13" t="s">
        <v>9479</v>
      </c>
    </row>
    <row r="233" spans="1:17">
      <c r="A233" s="563"/>
      <c r="B233" s="563"/>
      <c r="D233" s="350">
        <v>2010</v>
      </c>
      <c r="E233" s="350">
        <v>2011</v>
      </c>
      <c r="F233" s="350">
        <v>2012</v>
      </c>
      <c r="G233" s="350">
        <v>2013</v>
      </c>
      <c r="H233" s="350">
        <v>2014</v>
      </c>
      <c r="I233" s="350">
        <v>2015</v>
      </c>
      <c r="J233" s="350">
        <v>2016</v>
      </c>
      <c r="K233" s="350">
        <v>2017</v>
      </c>
      <c r="L233" s="350">
        <v>2018</v>
      </c>
      <c r="M233" s="350">
        <v>2019</v>
      </c>
      <c r="N233" s="350">
        <v>2020</v>
      </c>
      <c r="O233" s="960" t="s">
        <v>14823</v>
      </c>
      <c r="P233" s="563"/>
      <c r="Q233" s="13" t="s">
        <v>1527</v>
      </c>
    </row>
    <row r="234" spans="1:17">
      <c r="A234" s="562" t="s">
        <v>3320</v>
      </c>
      <c r="D234" s="565">
        <f t="shared" ref="D234:O234" si="95">SUM(D235:D272)</f>
        <v>71108</v>
      </c>
      <c r="E234" s="565">
        <f t="shared" si="95"/>
        <v>72022</v>
      </c>
      <c r="F234" s="565">
        <f t="shared" si="95"/>
        <v>72392</v>
      </c>
      <c r="G234" s="565">
        <f t="shared" si="95"/>
        <v>72823</v>
      </c>
      <c r="H234" s="565">
        <f t="shared" si="95"/>
        <v>72678</v>
      </c>
      <c r="I234" s="565">
        <f t="shared" si="95"/>
        <v>70231</v>
      </c>
      <c r="J234" s="565">
        <f t="shared" si="95"/>
        <v>71377</v>
      </c>
      <c r="K234" s="565">
        <f t="shared" si="95"/>
        <v>74767</v>
      </c>
      <c r="L234" s="565">
        <f t="shared" si="95"/>
        <v>76225</v>
      </c>
      <c r="M234" s="565">
        <f t="shared" si="95"/>
        <v>77909</v>
      </c>
      <c r="N234" s="565">
        <f t="shared" si="95"/>
        <v>78748</v>
      </c>
      <c r="O234" s="565">
        <f t="shared" si="95"/>
        <v>79551</v>
      </c>
      <c r="P234" s="563"/>
      <c r="Q234" s="563"/>
    </row>
    <row r="235" spans="1:17">
      <c r="A235" s="562" t="s">
        <v>5387</v>
      </c>
      <c r="B235" s="562" t="s">
        <v>3321</v>
      </c>
      <c r="C235" s="55" t="s">
        <v>10121</v>
      </c>
      <c r="D235" s="565">
        <v>71108</v>
      </c>
      <c r="E235" s="565">
        <v>72022</v>
      </c>
      <c r="F235" s="565">
        <v>72392</v>
      </c>
      <c r="G235" s="63">
        <v>72823</v>
      </c>
      <c r="H235" s="56">
        <v>72678</v>
      </c>
      <c r="I235" s="56">
        <v>1751</v>
      </c>
      <c r="J235" s="56">
        <v>1731</v>
      </c>
      <c r="K235" s="56">
        <v>1815</v>
      </c>
      <c r="L235" s="56">
        <v>1870</v>
      </c>
      <c r="M235" s="56">
        <v>1983</v>
      </c>
      <c r="N235" s="56">
        <v>1997</v>
      </c>
      <c r="O235" s="56">
        <v>2008</v>
      </c>
      <c r="P235" s="563"/>
      <c r="Q235" s="562" t="s">
        <v>3203</v>
      </c>
    </row>
    <row r="236" spans="1:17">
      <c r="A236" s="562" t="s">
        <v>5389</v>
      </c>
      <c r="B236" s="562" t="s">
        <v>3322</v>
      </c>
      <c r="C236" s="55" t="s">
        <v>10122</v>
      </c>
      <c r="D236" s="565">
        <v>0</v>
      </c>
      <c r="E236" s="565">
        <v>0</v>
      </c>
      <c r="F236" s="565">
        <v>0</v>
      </c>
      <c r="G236" s="63">
        <v>0</v>
      </c>
      <c r="H236" s="56">
        <v>0</v>
      </c>
      <c r="I236" s="56">
        <v>1918</v>
      </c>
      <c r="J236" s="56">
        <v>2101</v>
      </c>
      <c r="K236" s="56">
        <v>2295</v>
      </c>
      <c r="L236" s="56">
        <v>2402</v>
      </c>
      <c r="M236" s="56">
        <v>2473</v>
      </c>
      <c r="N236" s="56">
        <v>2502</v>
      </c>
      <c r="O236" s="56">
        <v>2509</v>
      </c>
      <c r="P236" s="563"/>
      <c r="Q236" s="562" t="s">
        <v>3203</v>
      </c>
    </row>
    <row r="237" spans="1:17">
      <c r="A237" s="562" t="s">
        <v>5391</v>
      </c>
      <c r="B237" s="562" t="s">
        <v>3323</v>
      </c>
      <c r="C237" s="55" t="s">
        <v>10123</v>
      </c>
      <c r="D237" s="565">
        <v>0</v>
      </c>
      <c r="E237" s="565">
        <v>0</v>
      </c>
      <c r="F237" s="565">
        <v>0</v>
      </c>
      <c r="G237" s="63">
        <v>0</v>
      </c>
      <c r="H237" s="56">
        <v>0</v>
      </c>
      <c r="I237" s="56">
        <v>1945</v>
      </c>
      <c r="J237" s="56">
        <v>1995</v>
      </c>
      <c r="K237" s="56">
        <v>2007</v>
      </c>
      <c r="L237" s="56">
        <v>2022</v>
      </c>
      <c r="M237" s="56">
        <v>2094</v>
      </c>
      <c r="N237" s="56">
        <v>2134</v>
      </c>
      <c r="O237" s="56">
        <v>2151</v>
      </c>
      <c r="P237" s="563"/>
      <c r="Q237" s="562" t="s">
        <v>3203</v>
      </c>
    </row>
    <row r="238" spans="1:17">
      <c r="A238" s="562" t="s">
        <v>5393</v>
      </c>
      <c r="B238" s="562" t="s">
        <v>3324</v>
      </c>
      <c r="C238" s="55" t="s">
        <v>10124</v>
      </c>
      <c r="D238" s="565">
        <v>0</v>
      </c>
      <c r="E238" s="565">
        <v>0</v>
      </c>
      <c r="F238" s="565">
        <v>0</v>
      </c>
      <c r="G238" s="63">
        <v>0</v>
      </c>
      <c r="H238" s="56">
        <v>0</v>
      </c>
      <c r="I238" s="56">
        <v>1870</v>
      </c>
      <c r="J238" s="56">
        <v>1941</v>
      </c>
      <c r="K238" s="56">
        <v>2042</v>
      </c>
      <c r="L238" s="56">
        <v>2120</v>
      </c>
      <c r="M238" s="56">
        <v>2317</v>
      </c>
      <c r="N238" s="56">
        <v>2421</v>
      </c>
      <c r="O238" s="56">
        <v>2456</v>
      </c>
      <c r="P238" s="563"/>
      <c r="Q238" s="562" t="s">
        <v>3203</v>
      </c>
    </row>
    <row r="239" spans="1:17">
      <c r="A239" s="562" t="s">
        <v>5394</v>
      </c>
      <c r="B239" s="143" t="s">
        <v>9935</v>
      </c>
      <c r="C239" s="55" t="s">
        <v>10125</v>
      </c>
      <c r="D239" s="565">
        <v>0</v>
      </c>
      <c r="E239" s="565">
        <v>0</v>
      </c>
      <c r="F239" s="565">
        <v>0</v>
      </c>
      <c r="G239" s="63">
        <v>0</v>
      </c>
      <c r="H239" s="56">
        <v>0</v>
      </c>
      <c r="I239" s="56">
        <v>1799</v>
      </c>
      <c r="J239" s="56">
        <v>1951</v>
      </c>
      <c r="K239" s="56">
        <v>2118</v>
      </c>
      <c r="L239" s="56">
        <v>2117</v>
      </c>
      <c r="M239" s="56">
        <v>2136</v>
      </c>
      <c r="N239" s="56">
        <v>2190</v>
      </c>
      <c r="O239" s="56">
        <v>2207</v>
      </c>
      <c r="P239" s="563"/>
      <c r="Q239" s="562" t="s">
        <v>3203</v>
      </c>
    </row>
    <row r="240" spans="1:17">
      <c r="A240" s="562" t="s">
        <v>5416</v>
      </c>
      <c r="B240" s="143" t="s">
        <v>9936</v>
      </c>
      <c r="C240" s="55" t="s">
        <v>10126</v>
      </c>
      <c r="D240" s="565">
        <v>0</v>
      </c>
      <c r="E240" s="565">
        <v>0</v>
      </c>
      <c r="F240" s="565">
        <v>0</v>
      </c>
      <c r="G240" s="63">
        <v>0</v>
      </c>
      <c r="H240" s="56">
        <v>0</v>
      </c>
      <c r="I240" s="56">
        <v>1970</v>
      </c>
      <c r="J240" s="56">
        <v>1977</v>
      </c>
      <c r="K240" s="56">
        <v>2061</v>
      </c>
      <c r="L240" s="56">
        <v>2092</v>
      </c>
      <c r="M240" s="56">
        <v>2081</v>
      </c>
      <c r="N240" s="56">
        <v>2107</v>
      </c>
      <c r="O240" s="56">
        <v>2136</v>
      </c>
      <c r="P240" s="563"/>
      <c r="Q240" s="562" t="s">
        <v>3203</v>
      </c>
    </row>
    <row r="241" spans="1:17">
      <c r="A241" s="562" t="s">
        <v>5418</v>
      </c>
      <c r="B241" s="143" t="s">
        <v>9937</v>
      </c>
      <c r="C241" s="55" t="s">
        <v>10127</v>
      </c>
      <c r="D241" s="565">
        <v>0</v>
      </c>
      <c r="E241" s="565">
        <v>0</v>
      </c>
      <c r="F241" s="565">
        <v>0</v>
      </c>
      <c r="G241" s="63">
        <v>0</v>
      </c>
      <c r="H241" s="56">
        <v>0</v>
      </c>
      <c r="I241" s="56">
        <v>1860</v>
      </c>
      <c r="J241" s="56">
        <v>1866</v>
      </c>
      <c r="K241" s="56">
        <v>1923</v>
      </c>
      <c r="L241" s="56">
        <v>1942</v>
      </c>
      <c r="M241" s="56">
        <v>2056</v>
      </c>
      <c r="N241" s="56">
        <v>2096</v>
      </c>
      <c r="O241" s="56">
        <v>2130</v>
      </c>
      <c r="P241" s="563"/>
      <c r="Q241" s="562" t="s">
        <v>3203</v>
      </c>
    </row>
    <row r="242" spans="1:17">
      <c r="A242" s="562" t="s">
        <v>5420</v>
      </c>
      <c r="B242" s="562" t="s">
        <v>5939</v>
      </c>
      <c r="C242" s="55" t="s">
        <v>10128</v>
      </c>
      <c r="D242" s="565">
        <v>0</v>
      </c>
      <c r="E242" s="565">
        <v>0</v>
      </c>
      <c r="F242" s="565">
        <v>0</v>
      </c>
      <c r="G242" s="63">
        <v>0</v>
      </c>
      <c r="H242" s="56">
        <v>0</v>
      </c>
      <c r="I242" s="56">
        <v>1704</v>
      </c>
      <c r="J242" s="56">
        <v>1724</v>
      </c>
      <c r="K242" s="56">
        <v>1779</v>
      </c>
      <c r="L242" s="56">
        <v>1972</v>
      </c>
      <c r="M242" s="56">
        <v>2161</v>
      </c>
      <c r="N242" s="56">
        <v>2201</v>
      </c>
      <c r="O242" s="56">
        <v>2223</v>
      </c>
      <c r="P242" s="563"/>
      <c r="Q242" s="562" t="s">
        <v>3203</v>
      </c>
    </row>
    <row r="243" spans="1:17">
      <c r="A243" s="562" t="s">
        <v>5422</v>
      </c>
      <c r="B243" s="562" t="s">
        <v>9938</v>
      </c>
      <c r="C243" s="55" t="s">
        <v>10129</v>
      </c>
      <c r="D243" s="565">
        <v>0</v>
      </c>
      <c r="E243" s="565">
        <v>0</v>
      </c>
      <c r="F243" s="565">
        <v>0</v>
      </c>
      <c r="G243" s="63">
        <v>0</v>
      </c>
      <c r="H243" s="56">
        <v>0</v>
      </c>
      <c r="I243" s="56">
        <v>1958</v>
      </c>
      <c r="J243" s="56">
        <v>1987</v>
      </c>
      <c r="K243" s="56">
        <v>2123</v>
      </c>
      <c r="L243" s="56">
        <v>2206</v>
      </c>
      <c r="M243" s="56">
        <v>2243</v>
      </c>
      <c r="N243" s="56">
        <v>2281</v>
      </c>
      <c r="O243" s="56">
        <v>2314</v>
      </c>
      <c r="P243" s="563"/>
      <c r="Q243" s="562" t="s">
        <v>3203</v>
      </c>
    </row>
    <row r="244" spans="1:17">
      <c r="A244" s="562" t="s">
        <v>5424</v>
      </c>
      <c r="B244" s="143" t="s">
        <v>9939</v>
      </c>
      <c r="C244" s="55" t="s">
        <v>10130</v>
      </c>
      <c r="D244" s="565">
        <v>0</v>
      </c>
      <c r="E244" s="565">
        <v>0</v>
      </c>
      <c r="F244" s="565">
        <v>0</v>
      </c>
      <c r="G244" s="63">
        <v>0</v>
      </c>
      <c r="H244" s="56">
        <v>0</v>
      </c>
      <c r="I244" s="56">
        <v>2034</v>
      </c>
      <c r="J244" s="56">
        <v>2056</v>
      </c>
      <c r="K244" s="56">
        <v>2081</v>
      </c>
      <c r="L244" s="56">
        <v>2071</v>
      </c>
      <c r="M244" s="56">
        <v>2120</v>
      </c>
      <c r="N244" s="56">
        <v>2098</v>
      </c>
      <c r="O244" s="56">
        <v>2108</v>
      </c>
      <c r="P244" s="563"/>
      <c r="Q244" s="562" t="s">
        <v>3203</v>
      </c>
    </row>
    <row r="245" spans="1:17">
      <c r="A245" s="562" t="s">
        <v>5426</v>
      </c>
      <c r="B245" s="562" t="s">
        <v>9940</v>
      </c>
      <c r="C245" s="55" t="s">
        <v>10131</v>
      </c>
      <c r="D245" s="565">
        <v>0</v>
      </c>
      <c r="E245" s="565">
        <v>0</v>
      </c>
      <c r="F245" s="565">
        <v>0</v>
      </c>
      <c r="G245" s="63">
        <v>0</v>
      </c>
      <c r="H245" s="56">
        <v>0</v>
      </c>
      <c r="I245" s="56">
        <v>1996</v>
      </c>
      <c r="J245" s="56">
        <v>2013</v>
      </c>
      <c r="K245" s="56">
        <v>2075</v>
      </c>
      <c r="L245" s="56">
        <v>2097</v>
      </c>
      <c r="M245" s="56">
        <v>2114</v>
      </c>
      <c r="N245" s="56">
        <v>2091</v>
      </c>
      <c r="O245" s="56">
        <v>2114</v>
      </c>
      <c r="P245" s="563"/>
      <c r="Q245" s="562" t="s">
        <v>3203</v>
      </c>
    </row>
    <row r="246" spans="1:17">
      <c r="A246" s="562" t="s">
        <v>5428</v>
      </c>
      <c r="B246" s="562" t="s">
        <v>9941</v>
      </c>
      <c r="C246" s="55" t="s">
        <v>10132</v>
      </c>
      <c r="D246" s="565">
        <v>0</v>
      </c>
      <c r="E246" s="565">
        <v>0</v>
      </c>
      <c r="F246" s="565">
        <v>0</v>
      </c>
      <c r="G246" s="63">
        <v>0</v>
      </c>
      <c r="H246" s="56">
        <v>0</v>
      </c>
      <c r="I246" s="56">
        <v>1858</v>
      </c>
      <c r="J246" s="56">
        <v>1905</v>
      </c>
      <c r="K246" s="56">
        <v>1946</v>
      </c>
      <c r="L246" s="56">
        <v>1969</v>
      </c>
      <c r="M246" s="56">
        <v>1966</v>
      </c>
      <c r="N246" s="56">
        <v>1966</v>
      </c>
      <c r="O246" s="56">
        <v>1981</v>
      </c>
      <c r="P246" s="563"/>
      <c r="Q246" s="562" t="s">
        <v>3203</v>
      </c>
    </row>
    <row r="247" spans="1:17">
      <c r="A247" s="562" t="s">
        <v>5429</v>
      </c>
      <c r="B247" s="562" t="s">
        <v>9942</v>
      </c>
      <c r="C247" s="55" t="s">
        <v>10133</v>
      </c>
      <c r="D247" s="565">
        <v>0</v>
      </c>
      <c r="E247" s="565">
        <v>0</v>
      </c>
      <c r="F247" s="565">
        <v>0</v>
      </c>
      <c r="G247" s="63">
        <v>0</v>
      </c>
      <c r="H247" s="56">
        <v>0</v>
      </c>
      <c r="I247" s="56">
        <v>1134</v>
      </c>
      <c r="J247" s="56">
        <v>1236</v>
      </c>
      <c r="K247" s="56">
        <v>1366</v>
      </c>
      <c r="L247" s="56">
        <v>1408</v>
      </c>
      <c r="M247" s="56">
        <v>1450</v>
      </c>
      <c r="N247" s="56">
        <v>1478</v>
      </c>
      <c r="O247" s="56">
        <v>1521</v>
      </c>
      <c r="P247" s="563"/>
      <c r="Q247" s="562" t="s">
        <v>3203</v>
      </c>
    </row>
    <row r="248" spans="1:17">
      <c r="A248" s="562" t="s">
        <v>5431</v>
      </c>
      <c r="B248" s="562" t="s">
        <v>9943</v>
      </c>
      <c r="C248" s="55" t="s">
        <v>10134</v>
      </c>
      <c r="D248" s="565">
        <v>0</v>
      </c>
      <c r="E248" s="565">
        <v>0</v>
      </c>
      <c r="F248" s="565">
        <v>0</v>
      </c>
      <c r="G248" s="63">
        <v>0</v>
      </c>
      <c r="H248" s="56">
        <v>0</v>
      </c>
      <c r="I248" s="56">
        <v>1773</v>
      </c>
      <c r="J248" s="56">
        <v>1767</v>
      </c>
      <c r="K248" s="56">
        <v>1841</v>
      </c>
      <c r="L248" s="56">
        <v>1927</v>
      </c>
      <c r="M248" s="56">
        <v>2012</v>
      </c>
      <c r="N248" s="56">
        <v>2028</v>
      </c>
      <c r="O248" s="56">
        <v>2060</v>
      </c>
      <c r="P248" s="563"/>
      <c r="Q248" s="562" t="s">
        <v>3203</v>
      </c>
    </row>
    <row r="249" spans="1:17">
      <c r="A249" s="562" t="s">
        <v>5433</v>
      </c>
      <c r="B249" s="562" t="s">
        <v>9944</v>
      </c>
      <c r="C249" s="55" t="s">
        <v>10135</v>
      </c>
      <c r="D249" s="565">
        <v>0</v>
      </c>
      <c r="E249" s="565">
        <v>0</v>
      </c>
      <c r="F249" s="565">
        <v>0</v>
      </c>
      <c r="G249" s="63">
        <v>0</v>
      </c>
      <c r="H249" s="56">
        <v>0</v>
      </c>
      <c r="I249" s="56">
        <v>1985</v>
      </c>
      <c r="J249" s="56">
        <v>2026</v>
      </c>
      <c r="K249" s="56">
        <v>2067</v>
      </c>
      <c r="L249" s="56">
        <v>2086</v>
      </c>
      <c r="M249" s="56">
        <v>2089</v>
      </c>
      <c r="N249" s="56">
        <v>2086</v>
      </c>
      <c r="O249" s="56">
        <v>2107</v>
      </c>
      <c r="P249" s="563"/>
      <c r="Q249" s="562" t="s">
        <v>3203</v>
      </c>
    </row>
    <row r="250" spans="1:17">
      <c r="A250" s="562" t="s">
        <v>5435</v>
      </c>
      <c r="B250" s="143" t="s">
        <v>9945</v>
      </c>
      <c r="C250" s="55" t="s">
        <v>10136</v>
      </c>
      <c r="D250" s="565">
        <v>0</v>
      </c>
      <c r="E250" s="565">
        <v>0</v>
      </c>
      <c r="F250" s="565">
        <v>0</v>
      </c>
      <c r="G250" s="63">
        <v>0</v>
      </c>
      <c r="H250" s="56">
        <v>0</v>
      </c>
      <c r="I250" s="58">
        <v>1725</v>
      </c>
      <c r="J250" s="58">
        <v>1720</v>
      </c>
      <c r="K250" s="58">
        <v>1776</v>
      </c>
      <c r="L250" s="58">
        <v>1812</v>
      </c>
      <c r="M250" s="58">
        <v>1815</v>
      </c>
      <c r="N250" s="58">
        <v>1798</v>
      </c>
      <c r="O250" s="58">
        <v>1816</v>
      </c>
      <c r="P250" s="563"/>
      <c r="Q250" s="562" t="s">
        <v>3203</v>
      </c>
    </row>
    <row r="251" spans="1:17">
      <c r="A251" s="562" t="s">
        <v>5436</v>
      </c>
      <c r="B251" s="143" t="s">
        <v>9946</v>
      </c>
      <c r="C251" s="55" t="s">
        <v>10137</v>
      </c>
      <c r="D251" s="565">
        <v>0</v>
      </c>
      <c r="E251" s="565">
        <v>0</v>
      </c>
      <c r="F251" s="565">
        <v>0</v>
      </c>
      <c r="G251" s="63">
        <v>0</v>
      </c>
      <c r="H251" s="56">
        <v>0</v>
      </c>
      <c r="I251" s="58">
        <v>1602</v>
      </c>
      <c r="J251" s="58">
        <v>1666</v>
      </c>
      <c r="K251" s="58">
        <v>1711</v>
      </c>
      <c r="L251" s="58">
        <v>1729</v>
      </c>
      <c r="M251" s="58">
        <v>1763</v>
      </c>
      <c r="N251" s="58">
        <v>1829</v>
      </c>
      <c r="O251" s="58">
        <v>1885</v>
      </c>
      <c r="P251" s="563"/>
      <c r="Q251" s="562" t="s">
        <v>3203</v>
      </c>
    </row>
    <row r="252" spans="1:17">
      <c r="A252" s="562" t="s">
        <v>5437</v>
      </c>
      <c r="B252" s="143" t="s">
        <v>9947</v>
      </c>
      <c r="C252" s="55" t="s">
        <v>10138</v>
      </c>
      <c r="D252" s="565">
        <v>0</v>
      </c>
      <c r="E252" s="565">
        <v>0</v>
      </c>
      <c r="F252" s="565">
        <v>0</v>
      </c>
      <c r="G252" s="63">
        <v>0</v>
      </c>
      <c r="H252" s="56">
        <v>0</v>
      </c>
      <c r="I252" s="58">
        <v>1875</v>
      </c>
      <c r="J252" s="58">
        <v>1906</v>
      </c>
      <c r="K252" s="58">
        <v>1989</v>
      </c>
      <c r="L252" s="58">
        <v>2031</v>
      </c>
      <c r="M252" s="58">
        <v>2031</v>
      </c>
      <c r="N252" s="58">
        <v>2064</v>
      </c>
      <c r="O252" s="58">
        <v>2083</v>
      </c>
      <c r="P252" s="563"/>
      <c r="Q252" s="562" t="s">
        <v>3203</v>
      </c>
    </row>
    <row r="253" spans="1:17">
      <c r="A253" s="562" t="s">
        <v>5439</v>
      </c>
      <c r="B253" s="562" t="s">
        <v>3713</v>
      </c>
      <c r="C253" s="55" t="s">
        <v>10139</v>
      </c>
      <c r="D253" s="565">
        <v>0</v>
      </c>
      <c r="E253" s="565">
        <v>0</v>
      </c>
      <c r="F253" s="565">
        <v>0</v>
      </c>
      <c r="G253" s="63">
        <v>0</v>
      </c>
      <c r="H253" s="56">
        <v>0</v>
      </c>
      <c r="I253" s="58">
        <v>1987</v>
      </c>
      <c r="J253" s="58">
        <v>1994</v>
      </c>
      <c r="K253" s="58">
        <v>2065</v>
      </c>
      <c r="L253" s="58">
        <v>2073</v>
      </c>
      <c r="M253" s="58">
        <v>2110</v>
      </c>
      <c r="N253" s="58">
        <v>2079</v>
      </c>
      <c r="O253" s="58">
        <v>2086</v>
      </c>
      <c r="P253" s="563"/>
      <c r="Q253" s="562" t="s">
        <v>3203</v>
      </c>
    </row>
    <row r="254" spans="1:17">
      <c r="A254" s="562" t="s">
        <v>5441</v>
      </c>
      <c r="B254" s="143" t="s">
        <v>3125</v>
      </c>
      <c r="C254" s="55" t="s">
        <v>10140</v>
      </c>
      <c r="D254" s="565">
        <v>0</v>
      </c>
      <c r="E254" s="565">
        <v>0</v>
      </c>
      <c r="F254" s="565">
        <v>0</v>
      </c>
      <c r="G254" s="63">
        <v>0</v>
      </c>
      <c r="H254" s="56">
        <v>0</v>
      </c>
      <c r="I254" s="58">
        <v>1748</v>
      </c>
      <c r="J254" s="58">
        <v>1767</v>
      </c>
      <c r="K254" s="58">
        <v>1836</v>
      </c>
      <c r="L254" s="58">
        <v>1821</v>
      </c>
      <c r="M254" s="58">
        <v>1823</v>
      </c>
      <c r="N254" s="58">
        <v>1834</v>
      </c>
      <c r="O254" s="58">
        <v>1845</v>
      </c>
      <c r="P254" s="563"/>
      <c r="Q254" s="562" t="s">
        <v>3203</v>
      </c>
    </row>
    <row r="255" spans="1:17">
      <c r="A255" s="562" t="s">
        <v>5886</v>
      </c>
      <c r="B255" s="143" t="s">
        <v>9948</v>
      </c>
      <c r="C255" s="55" t="s">
        <v>10141</v>
      </c>
      <c r="D255" s="565">
        <v>0</v>
      </c>
      <c r="E255" s="565">
        <v>0</v>
      </c>
      <c r="F255" s="565">
        <v>0</v>
      </c>
      <c r="G255" s="63">
        <v>0</v>
      </c>
      <c r="H255" s="56">
        <v>0</v>
      </c>
      <c r="I255" s="58">
        <v>1950</v>
      </c>
      <c r="J255" s="58">
        <v>1986</v>
      </c>
      <c r="K255" s="58">
        <v>2052</v>
      </c>
      <c r="L255" s="58">
        <v>2021</v>
      </c>
      <c r="M255" s="58">
        <v>2025</v>
      </c>
      <c r="N255" s="58">
        <v>1995</v>
      </c>
      <c r="O255" s="58">
        <v>2009</v>
      </c>
      <c r="P255" s="563"/>
      <c r="Q255" s="562" t="s">
        <v>3203</v>
      </c>
    </row>
    <row r="256" spans="1:17">
      <c r="A256" s="562" t="s">
        <v>5888</v>
      </c>
      <c r="B256" s="562" t="s">
        <v>9949</v>
      </c>
      <c r="C256" s="55" t="s">
        <v>10142</v>
      </c>
      <c r="D256" s="565">
        <v>0</v>
      </c>
      <c r="E256" s="565">
        <v>0</v>
      </c>
      <c r="F256" s="565">
        <v>0</v>
      </c>
      <c r="G256" s="63">
        <v>0</v>
      </c>
      <c r="H256" s="56">
        <v>0</v>
      </c>
      <c r="I256" s="58">
        <v>1384</v>
      </c>
      <c r="J256" s="58">
        <v>1385</v>
      </c>
      <c r="K256" s="58">
        <v>1416</v>
      </c>
      <c r="L256" s="58">
        <v>1472</v>
      </c>
      <c r="M256" s="58">
        <v>1555</v>
      </c>
      <c r="N256" s="58">
        <v>1632</v>
      </c>
      <c r="O256" s="58">
        <v>1673</v>
      </c>
      <c r="P256" s="563"/>
      <c r="Q256" s="562" t="s">
        <v>3203</v>
      </c>
    </row>
    <row r="257" spans="1:17">
      <c r="A257" s="562" t="s">
        <v>5889</v>
      </c>
      <c r="B257" s="143" t="s">
        <v>9950</v>
      </c>
      <c r="C257" s="55" t="s">
        <v>10143</v>
      </c>
      <c r="D257" s="565">
        <v>0</v>
      </c>
      <c r="E257" s="565">
        <v>0</v>
      </c>
      <c r="F257" s="565">
        <v>0</v>
      </c>
      <c r="G257" s="63">
        <v>0</v>
      </c>
      <c r="H257" s="56">
        <v>0</v>
      </c>
      <c r="I257" s="58">
        <v>1896</v>
      </c>
      <c r="J257" s="58">
        <v>1901</v>
      </c>
      <c r="K257" s="58">
        <v>1982</v>
      </c>
      <c r="L257" s="58">
        <v>2008</v>
      </c>
      <c r="M257" s="58">
        <v>2174</v>
      </c>
      <c r="N257" s="58">
        <v>2274</v>
      </c>
      <c r="O257" s="58">
        <v>2322</v>
      </c>
      <c r="P257" s="563"/>
      <c r="Q257" s="562" t="s">
        <v>3203</v>
      </c>
    </row>
    <row r="258" spans="1:17">
      <c r="A258" s="562" t="s">
        <v>4431</v>
      </c>
      <c r="B258" s="562" t="s">
        <v>9951</v>
      </c>
      <c r="C258" s="55" t="s">
        <v>10144</v>
      </c>
      <c r="D258" s="565">
        <v>0</v>
      </c>
      <c r="E258" s="565">
        <v>0</v>
      </c>
      <c r="F258" s="565">
        <v>0</v>
      </c>
      <c r="G258" s="63">
        <v>0</v>
      </c>
      <c r="H258" s="56">
        <v>0</v>
      </c>
      <c r="I258" s="58">
        <v>1859</v>
      </c>
      <c r="J258" s="58">
        <v>1866</v>
      </c>
      <c r="K258" s="58">
        <v>1920</v>
      </c>
      <c r="L258" s="58">
        <v>1919</v>
      </c>
      <c r="M258" s="58">
        <v>1946</v>
      </c>
      <c r="N258" s="58">
        <v>1934</v>
      </c>
      <c r="O258" s="58">
        <v>1954</v>
      </c>
      <c r="P258" s="563"/>
      <c r="Q258" s="562" t="s">
        <v>3203</v>
      </c>
    </row>
    <row r="259" spans="1:17">
      <c r="A259" s="562" t="s">
        <v>4432</v>
      </c>
      <c r="B259" s="143" t="s">
        <v>9952</v>
      </c>
      <c r="C259" s="55" t="s">
        <v>10145</v>
      </c>
      <c r="D259" s="565">
        <v>0</v>
      </c>
      <c r="E259" s="565">
        <v>0</v>
      </c>
      <c r="F259" s="565">
        <v>0</v>
      </c>
      <c r="G259" s="63">
        <v>0</v>
      </c>
      <c r="H259" s="56">
        <v>0</v>
      </c>
      <c r="I259" s="58">
        <v>1773</v>
      </c>
      <c r="J259" s="58">
        <v>1801</v>
      </c>
      <c r="K259" s="58">
        <v>2044</v>
      </c>
      <c r="L259" s="58">
        <v>2177</v>
      </c>
      <c r="M259" s="58">
        <v>2212</v>
      </c>
      <c r="N259" s="58">
        <v>2252</v>
      </c>
      <c r="O259" s="58">
        <v>2277</v>
      </c>
      <c r="P259" s="563"/>
      <c r="Q259" s="562" t="s">
        <v>3203</v>
      </c>
    </row>
    <row r="260" spans="1:17">
      <c r="A260" s="562" t="s">
        <v>4434</v>
      </c>
      <c r="B260" s="143" t="s">
        <v>9953</v>
      </c>
      <c r="C260" s="55" t="s">
        <v>10146</v>
      </c>
      <c r="D260" s="565">
        <v>0</v>
      </c>
      <c r="E260" s="565">
        <v>0</v>
      </c>
      <c r="F260" s="565">
        <v>0</v>
      </c>
      <c r="G260" s="63">
        <v>0</v>
      </c>
      <c r="H260" s="56">
        <v>0</v>
      </c>
      <c r="I260" s="58">
        <v>1677</v>
      </c>
      <c r="J260" s="58">
        <v>1709</v>
      </c>
      <c r="K260" s="58">
        <v>1727</v>
      </c>
      <c r="L260" s="58">
        <v>1686</v>
      </c>
      <c r="M260" s="58">
        <v>1732</v>
      </c>
      <c r="N260" s="58">
        <v>1807</v>
      </c>
      <c r="O260" s="58">
        <v>1843</v>
      </c>
      <c r="P260" s="563"/>
      <c r="Q260" s="562" t="s">
        <v>3203</v>
      </c>
    </row>
    <row r="261" spans="1:17">
      <c r="A261" s="562" t="s">
        <v>4533</v>
      </c>
      <c r="B261" s="562" t="s">
        <v>9954</v>
      </c>
      <c r="C261" s="55" t="s">
        <v>10147</v>
      </c>
      <c r="D261" s="565">
        <v>0</v>
      </c>
      <c r="E261" s="565">
        <v>0</v>
      </c>
      <c r="F261" s="565">
        <v>0</v>
      </c>
      <c r="G261" s="63">
        <v>0</v>
      </c>
      <c r="H261" s="56">
        <v>0</v>
      </c>
      <c r="I261" s="58">
        <v>1999</v>
      </c>
      <c r="J261" s="58">
        <v>2017</v>
      </c>
      <c r="K261" s="58">
        <v>2059</v>
      </c>
      <c r="L261" s="58">
        <v>2121</v>
      </c>
      <c r="M261" s="58">
        <v>2139</v>
      </c>
      <c r="N261" s="58">
        <v>2152</v>
      </c>
      <c r="O261" s="58">
        <v>2166</v>
      </c>
      <c r="P261" s="563"/>
      <c r="Q261" s="562" t="s">
        <v>3203</v>
      </c>
    </row>
    <row r="262" spans="1:17">
      <c r="A262" s="562" t="s">
        <v>4535</v>
      </c>
      <c r="B262" s="143" t="s">
        <v>9955</v>
      </c>
      <c r="C262" s="55" t="s">
        <v>10148</v>
      </c>
      <c r="D262" s="565">
        <v>0</v>
      </c>
      <c r="E262" s="565">
        <v>0</v>
      </c>
      <c r="F262" s="565">
        <v>0</v>
      </c>
      <c r="G262" s="63">
        <v>0</v>
      </c>
      <c r="H262" s="56">
        <v>0</v>
      </c>
      <c r="I262" s="58">
        <v>1779</v>
      </c>
      <c r="J262" s="58">
        <v>1852</v>
      </c>
      <c r="K262" s="58">
        <v>1978</v>
      </c>
      <c r="L262" s="58">
        <v>2007</v>
      </c>
      <c r="M262" s="58">
        <v>1955</v>
      </c>
      <c r="N262" s="58">
        <v>1968</v>
      </c>
      <c r="O262" s="58">
        <v>1986</v>
      </c>
      <c r="P262" s="563"/>
      <c r="Q262" s="562" t="s">
        <v>3203</v>
      </c>
    </row>
    <row r="263" spans="1:17">
      <c r="A263" s="547">
        <v>29</v>
      </c>
      <c r="B263" s="562" t="s">
        <v>9956</v>
      </c>
      <c r="C263" s="55" t="s">
        <v>10149</v>
      </c>
      <c r="D263" s="565">
        <v>0</v>
      </c>
      <c r="E263" s="565">
        <v>0</v>
      </c>
      <c r="F263" s="565">
        <v>0</v>
      </c>
      <c r="G263" s="63">
        <v>0</v>
      </c>
      <c r="H263" s="56">
        <v>0</v>
      </c>
      <c r="I263" s="58">
        <v>1840</v>
      </c>
      <c r="J263" s="58">
        <v>1829</v>
      </c>
      <c r="K263" s="58">
        <v>1832</v>
      </c>
      <c r="L263" s="58">
        <v>1928</v>
      </c>
      <c r="M263" s="58">
        <v>1978</v>
      </c>
      <c r="N263" s="58">
        <v>1993</v>
      </c>
      <c r="O263" s="58">
        <v>1997</v>
      </c>
      <c r="P263" s="563"/>
      <c r="Q263" s="562" t="s">
        <v>3203</v>
      </c>
    </row>
    <row r="264" spans="1:17">
      <c r="A264" s="547">
        <v>30</v>
      </c>
      <c r="B264" s="562" t="s">
        <v>9957</v>
      </c>
      <c r="C264" s="55" t="s">
        <v>10150</v>
      </c>
      <c r="D264" s="565">
        <v>0</v>
      </c>
      <c r="E264" s="565">
        <v>0</v>
      </c>
      <c r="F264" s="565">
        <v>0</v>
      </c>
      <c r="G264" s="63">
        <v>0</v>
      </c>
      <c r="H264" s="56">
        <v>0</v>
      </c>
      <c r="I264" s="58">
        <v>1954</v>
      </c>
      <c r="J264" s="58">
        <v>1943</v>
      </c>
      <c r="K264" s="58">
        <v>2047</v>
      </c>
      <c r="L264" s="58">
        <v>2103</v>
      </c>
      <c r="M264" s="58">
        <v>2117</v>
      </c>
      <c r="N264" s="58">
        <v>2144</v>
      </c>
      <c r="O264" s="58">
        <v>2170</v>
      </c>
      <c r="P264" s="563"/>
      <c r="Q264" s="562" t="s">
        <v>3203</v>
      </c>
    </row>
    <row r="265" spans="1:17">
      <c r="A265" s="547">
        <v>31</v>
      </c>
      <c r="B265" s="562" t="s">
        <v>9958</v>
      </c>
      <c r="C265" s="55" t="s">
        <v>10151</v>
      </c>
      <c r="D265" s="565">
        <v>0</v>
      </c>
      <c r="E265" s="565">
        <v>0</v>
      </c>
      <c r="F265" s="565">
        <v>0</v>
      </c>
      <c r="G265" s="63">
        <v>0</v>
      </c>
      <c r="H265" s="56">
        <v>0</v>
      </c>
      <c r="I265" s="58">
        <v>1950</v>
      </c>
      <c r="J265" s="58">
        <v>1936</v>
      </c>
      <c r="K265" s="58">
        <v>2084</v>
      </c>
      <c r="L265" s="58">
        <v>2191</v>
      </c>
      <c r="M265" s="58">
        <v>2302</v>
      </c>
      <c r="N265" s="58">
        <v>2367</v>
      </c>
      <c r="O265" s="58">
        <v>2390</v>
      </c>
      <c r="P265" s="563"/>
      <c r="Q265" s="562" t="s">
        <v>3203</v>
      </c>
    </row>
    <row r="266" spans="1:17">
      <c r="A266" s="547">
        <v>32</v>
      </c>
      <c r="B266" s="562" t="s">
        <v>9959</v>
      </c>
      <c r="C266" s="55" t="s">
        <v>10152</v>
      </c>
      <c r="D266" s="565">
        <v>0</v>
      </c>
      <c r="E266" s="565">
        <v>0</v>
      </c>
      <c r="F266" s="565">
        <v>0</v>
      </c>
      <c r="G266" s="63">
        <v>0</v>
      </c>
      <c r="H266" s="56">
        <v>0</v>
      </c>
      <c r="I266" s="58">
        <v>2071</v>
      </c>
      <c r="J266" s="58">
        <v>2191</v>
      </c>
      <c r="K266" s="58">
        <v>2368</v>
      </c>
      <c r="L266" s="58">
        <v>2380</v>
      </c>
      <c r="M266" s="58">
        <v>2369</v>
      </c>
      <c r="N266" s="58">
        <v>2356</v>
      </c>
      <c r="O266" s="58">
        <v>2386</v>
      </c>
      <c r="P266" s="563"/>
      <c r="Q266" s="562" t="s">
        <v>3203</v>
      </c>
    </row>
    <row r="267" spans="1:17">
      <c r="A267" s="547">
        <v>33</v>
      </c>
      <c r="B267" s="562" t="s">
        <v>9960</v>
      </c>
      <c r="C267" s="55" t="s">
        <v>10153</v>
      </c>
      <c r="D267" s="565">
        <v>0</v>
      </c>
      <c r="E267" s="565">
        <v>0</v>
      </c>
      <c r="F267" s="565">
        <v>0</v>
      </c>
      <c r="G267" s="63">
        <v>0</v>
      </c>
      <c r="H267" s="56">
        <v>0</v>
      </c>
      <c r="I267" s="58">
        <v>1664</v>
      </c>
      <c r="J267" s="58">
        <v>1673</v>
      </c>
      <c r="K267" s="58">
        <v>1875</v>
      </c>
      <c r="L267" s="58">
        <v>1925</v>
      </c>
      <c r="M267" s="58">
        <v>1947</v>
      </c>
      <c r="N267" s="58">
        <v>1961</v>
      </c>
      <c r="O267" s="58">
        <v>1965</v>
      </c>
      <c r="P267" s="563"/>
      <c r="Q267" s="562" t="s">
        <v>3203</v>
      </c>
    </row>
    <row r="268" spans="1:17">
      <c r="A268" s="547">
        <v>34</v>
      </c>
      <c r="B268" s="143" t="s">
        <v>9961</v>
      </c>
      <c r="C268" s="55" t="s">
        <v>10154</v>
      </c>
      <c r="D268" s="565">
        <v>0</v>
      </c>
      <c r="E268" s="565">
        <v>0</v>
      </c>
      <c r="F268" s="565">
        <v>0</v>
      </c>
      <c r="G268" s="63">
        <v>0</v>
      </c>
      <c r="H268" s="56">
        <v>0</v>
      </c>
      <c r="I268" s="58">
        <v>1672</v>
      </c>
      <c r="J268" s="58">
        <v>1705</v>
      </c>
      <c r="K268" s="58">
        <v>1864</v>
      </c>
      <c r="L268" s="58">
        <v>1814</v>
      </c>
      <c r="M268" s="58">
        <v>1835</v>
      </c>
      <c r="N268" s="58">
        <v>1802</v>
      </c>
      <c r="O268" s="58">
        <v>1790</v>
      </c>
      <c r="P268" s="563"/>
      <c r="Q268" s="562" t="s">
        <v>3203</v>
      </c>
    </row>
    <row r="269" spans="1:17">
      <c r="A269" s="547">
        <v>35</v>
      </c>
      <c r="B269" s="143" t="s">
        <v>9962</v>
      </c>
      <c r="C269" s="55" t="s">
        <v>10155</v>
      </c>
      <c r="D269" s="565">
        <v>0</v>
      </c>
      <c r="E269" s="565">
        <v>0</v>
      </c>
      <c r="F269" s="565">
        <v>0</v>
      </c>
      <c r="G269" s="63">
        <v>0</v>
      </c>
      <c r="H269" s="56">
        <v>0</v>
      </c>
      <c r="I269" s="58">
        <v>2006</v>
      </c>
      <c r="J269" s="58">
        <v>1996</v>
      </c>
      <c r="K269" s="58">
        <v>2091</v>
      </c>
      <c r="L269" s="58">
        <v>2109</v>
      </c>
      <c r="M269" s="58">
        <v>2076</v>
      </c>
      <c r="N269" s="58">
        <v>2078</v>
      </c>
      <c r="O269" s="58">
        <v>2078</v>
      </c>
      <c r="P269" s="563"/>
      <c r="Q269" s="562" t="s">
        <v>3203</v>
      </c>
    </row>
    <row r="270" spans="1:17">
      <c r="A270" s="547">
        <v>36</v>
      </c>
      <c r="B270" s="562" t="s">
        <v>812</v>
      </c>
      <c r="C270" s="55" t="s">
        <v>10156</v>
      </c>
      <c r="D270" s="565">
        <v>0</v>
      </c>
      <c r="E270" s="565">
        <v>0</v>
      </c>
      <c r="F270" s="565">
        <v>0</v>
      </c>
      <c r="G270" s="63">
        <v>0</v>
      </c>
      <c r="H270" s="56">
        <v>0</v>
      </c>
      <c r="I270" s="58">
        <v>1898</v>
      </c>
      <c r="J270" s="58">
        <v>1884</v>
      </c>
      <c r="K270" s="58">
        <v>1946</v>
      </c>
      <c r="L270" s="58">
        <v>1995</v>
      </c>
      <c r="M270" s="58">
        <v>2076</v>
      </c>
      <c r="N270" s="58">
        <v>2061</v>
      </c>
      <c r="O270" s="58">
        <v>2064</v>
      </c>
      <c r="P270" s="563"/>
      <c r="Q270" s="562" t="s">
        <v>3203</v>
      </c>
    </row>
    <row r="271" spans="1:17">
      <c r="A271" s="547">
        <v>37</v>
      </c>
      <c r="B271" s="562" t="s">
        <v>6073</v>
      </c>
      <c r="C271" s="55" t="s">
        <v>10157</v>
      </c>
      <c r="D271" s="565">
        <v>0</v>
      </c>
      <c r="E271" s="565">
        <v>0</v>
      </c>
      <c r="F271" s="565">
        <v>0</v>
      </c>
      <c r="G271" s="63">
        <v>0</v>
      </c>
      <c r="H271" s="56">
        <v>0</v>
      </c>
      <c r="I271" s="58">
        <v>2143</v>
      </c>
      <c r="J271" s="58">
        <v>2123</v>
      </c>
      <c r="K271" s="58">
        <v>2216</v>
      </c>
      <c r="L271" s="58">
        <v>2234</v>
      </c>
      <c r="M271" s="58">
        <v>2254</v>
      </c>
      <c r="N271" s="58">
        <v>2290</v>
      </c>
      <c r="O271" s="58">
        <v>2315</v>
      </c>
      <c r="P271" s="563"/>
      <c r="Q271" s="562" t="s">
        <v>3203</v>
      </c>
    </row>
    <row r="272" spans="1:17">
      <c r="A272" s="547">
        <v>38</v>
      </c>
      <c r="B272" s="562" t="s">
        <v>9963</v>
      </c>
      <c r="C272" s="55" t="s">
        <v>10158</v>
      </c>
      <c r="D272" s="565">
        <v>0</v>
      </c>
      <c r="E272" s="565">
        <v>0</v>
      </c>
      <c r="F272" s="565">
        <v>0</v>
      </c>
      <c r="G272" s="63">
        <v>0</v>
      </c>
      <c r="H272" s="56">
        <v>0</v>
      </c>
      <c r="I272" s="58">
        <v>2224</v>
      </c>
      <c r="J272" s="58">
        <v>2251</v>
      </c>
      <c r="K272" s="58">
        <v>2350</v>
      </c>
      <c r="L272" s="58">
        <v>2368</v>
      </c>
      <c r="M272" s="58">
        <v>2380</v>
      </c>
      <c r="N272" s="58">
        <v>2402</v>
      </c>
      <c r="O272" s="58">
        <v>2426</v>
      </c>
      <c r="P272" s="563"/>
      <c r="Q272" s="562" t="s">
        <v>3203</v>
      </c>
    </row>
    <row r="273" spans="1:17">
      <c r="A273" s="563"/>
      <c r="B273" s="563"/>
      <c r="D273" s="567"/>
      <c r="E273" s="567"/>
      <c r="F273" s="567"/>
      <c r="G273" s="567"/>
      <c r="H273" s="567"/>
      <c r="I273" s="567"/>
      <c r="J273" s="567"/>
      <c r="K273" s="567"/>
      <c r="L273" s="567"/>
      <c r="M273" s="567"/>
      <c r="N273" s="567"/>
      <c r="O273" s="567"/>
      <c r="P273" s="563"/>
      <c r="Q273" s="563"/>
    </row>
    <row r="274" spans="1:17">
      <c r="A274" s="562" t="s">
        <v>3203</v>
      </c>
      <c r="D274" s="565">
        <f t="shared" ref="D274:O274" si="96">SUM(D235:D272)</f>
        <v>71108</v>
      </c>
      <c r="E274" s="565">
        <f t="shared" si="96"/>
        <v>72022</v>
      </c>
      <c r="F274" s="565">
        <f t="shared" si="96"/>
        <v>72392</v>
      </c>
      <c r="G274" s="565">
        <f t="shared" si="96"/>
        <v>72823</v>
      </c>
      <c r="H274" s="565">
        <f t="shared" si="96"/>
        <v>72678</v>
      </c>
      <c r="I274" s="565">
        <f t="shared" si="96"/>
        <v>70231</v>
      </c>
      <c r="J274" s="565">
        <f t="shared" si="96"/>
        <v>71377</v>
      </c>
      <c r="K274" s="565">
        <f t="shared" si="96"/>
        <v>74767</v>
      </c>
      <c r="L274" s="565">
        <f t="shared" si="96"/>
        <v>76225</v>
      </c>
      <c r="M274" s="565">
        <f t="shared" si="96"/>
        <v>77909</v>
      </c>
      <c r="N274" s="565">
        <f t="shared" si="96"/>
        <v>78748</v>
      </c>
      <c r="O274" s="565">
        <f t="shared" si="96"/>
        <v>79551</v>
      </c>
      <c r="P274" s="563"/>
      <c r="Q274" s="563"/>
    </row>
    <row r="275" spans="1:17">
      <c r="A275" s="562"/>
      <c r="D275" s="565"/>
      <c r="E275" s="565"/>
      <c r="F275" s="565"/>
      <c r="G275" s="565"/>
      <c r="H275" s="565"/>
      <c r="I275" s="565"/>
      <c r="J275" s="565"/>
      <c r="K275" s="565"/>
      <c r="L275" s="565"/>
      <c r="M275" s="565"/>
      <c r="N275" s="565"/>
      <c r="O275" s="565"/>
      <c r="P275" s="563"/>
      <c r="Q275" s="563"/>
    </row>
    <row r="276" spans="1:17">
      <c r="A276" s="562" t="s">
        <v>9934</v>
      </c>
      <c r="D276" s="565"/>
      <c r="E276" s="565"/>
      <c r="F276" s="565"/>
      <c r="G276" s="565"/>
      <c r="H276" s="565"/>
      <c r="I276" s="565"/>
      <c r="J276" s="565"/>
      <c r="K276" s="565"/>
      <c r="L276" s="565"/>
      <c r="M276" s="565"/>
      <c r="N276" s="565"/>
      <c r="O276" s="565"/>
      <c r="P276" s="563"/>
      <c r="Q276" s="563"/>
    </row>
    <row r="277" spans="1:17">
      <c r="A277" s="562"/>
      <c r="B277" s="562"/>
      <c r="D277" s="573"/>
      <c r="E277" s="573"/>
      <c r="F277" s="573"/>
      <c r="G277" s="573"/>
      <c r="H277" s="573"/>
      <c r="I277" s="573"/>
      <c r="J277" s="573"/>
      <c r="K277" s="573"/>
      <c r="L277" s="573"/>
      <c r="M277" s="573"/>
      <c r="N277" s="573"/>
      <c r="O277" s="573"/>
      <c r="P277" s="563"/>
      <c r="Q277" s="563"/>
    </row>
    <row r="278" spans="1:17">
      <c r="A278" s="562"/>
      <c r="B278" s="562"/>
      <c r="D278" s="573"/>
      <c r="E278" s="573"/>
      <c r="F278" s="573"/>
      <c r="G278" s="573"/>
      <c r="H278" s="573"/>
      <c r="I278" s="573"/>
      <c r="J278" s="573"/>
      <c r="K278" s="573"/>
      <c r="L278" s="573"/>
      <c r="M278" s="573"/>
      <c r="N278" s="573"/>
      <c r="O278" s="573"/>
      <c r="P278" s="563"/>
      <c r="Q278" s="563"/>
    </row>
    <row r="279" spans="1:17">
      <c r="A279" s="563"/>
      <c r="B279" s="563"/>
      <c r="E279" s="51" t="s">
        <v>1526</v>
      </c>
      <c r="F279" s="51"/>
      <c r="G279" s="51"/>
      <c r="H279" s="51"/>
      <c r="I279" s="51"/>
      <c r="J279" s="51"/>
      <c r="K279" s="51"/>
      <c r="L279" s="51"/>
      <c r="M279" s="51"/>
      <c r="N279" s="51"/>
      <c r="O279" s="51"/>
      <c r="P279" s="11"/>
      <c r="Q279" s="13" t="s">
        <v>9479</v>
      </c>
    </row>
    <row r="280" spans="1:17">
      <c r="A280" s="563"/>
      <c r="B280" s="563"/>
      <c r="D280" s="350">
        <v>2010</v>
      </c>
      <c r="E280" s="350">
        <v>2011</v>
      </c>
      <c r="F280" s="350">
        <v>2012</v>
      </c>
      <c r="G280" s="350">
        <v>2013</v>
      </c>
      <c r="H280" s="350">
        <v>2014</v>
      </c>
      <c r="I280" s="350">
        <v>2015</v>
      </c>
      <c r="J280" s="350">
        <v>2016</v>
      </c>
      <c r="K280" s="350">
        <v>2017</v>
      </c>
      <c r="L280" s="350">
        <v>2018</v>
      </c>
      <c r="M280" s="350">
        <v>2019</v>
      </c>
      <c r="N280" s="350">
        <v>2020</v>
      </c>
      <c r="O280" s="960" t="s">
        <v>14823</v>
      </c>
      <c r="P280" s="563"/>
      <c r="Q280" s="13" t="s">
        <v>1527</v>
      </c>
    </row>
    <row r="281" spans="1:17">
      <c r="A281" s="562" t="s">
        <v>813</v>
      </c>
      <c r="D281" s="565">
        <f t="shared" ref="D281:I281" si="97">SUM(D282:D291)</f>
        <v>44786</v>
      </c>
      <c r="E281" s="565">
        <f t="shared" si="97"/>
        <v>45046</v>
      </c>
      <c r="F281" s="565">
        <f t="shared" si="97"/>
        <v>44892</v>
      </c>
      <c r="G281" s="565">
        <f t="shared" si="97"/>
        <v>45001</v>
      </c>
      <c r="H281" s="565">
        <f t="shared" si="97"/>
        <v>44899</v>
      </c>
      <c r="I281" s="565">
        <f t="shared" si="97"/>
        <v>42362</v>
      </c>
      <c r="J281" s="565">
        <f t="shared" ref="J281:O281" si="98">SUM(J282:J291)</f>
        <v>41620</v>
      </c>
      <c r="K281" s="565">
        <f t="shared" si="98"/>
        <v>41451</v>
      </c>
      <c r="L281" s="565">
        <f t="shared" si="98"/>
        <v>41780</v>
      </c>
      <c r="M281" s="565">
        <f t="shared" si="98"/>
        <v>42050</v>
      </c>
      <c r="N281" s="565">
        <f t="shared" si="98"/>
        <v>43426</v>
      </c>
      <c r="O281" s="565">
        <f t="shared" si="98"/>
        <v>43315</v>
      </c>
      <c r="P281" s="563"/>
      <c r="Q281" s="563"/>
    </row>
    <row r="282" spans="1:17">
      <c r="A282" s="562" t="s">
        <v>5387</v>
      </c>
      <c r="B282" s="562" t="s">
        <v>0</v>
      </c>
      <c r="C282" s="55" t="s">
        <v>8529</v>
      </c>
      <c r="D282" s="565">
        <v>3148</v>
      </c>
      <c r="E282" s="565">
        <v>3183</v>
      </c>
      <c r="F282" s="565">
        <v>3181</v>
      </c>
      <c r="G282" s="63">
        <v>3172</v>
      </c>
      <c r="H282" s="63">
        <v>3176</v>
      </c>
      <c r="I282" s="56">
        <v>3139</v>
      </c>
      <c r="J282" s="56">
        <v>3047</v>
      </c>
      <c r="K282" s="56">
        <v>3017</v>
      </c>
      <c r="L282" s="56">
        <v>3058</v>
      </c>
      <c r="M282" s="56">
        <v>3068</v>
      </c>
      <c r="N282" s="56">
        <v>3105</v>
      </c>
      <c r="O282" s="56">
        <v>3099</v>
      </c>
      <c r="P282" s="563"/>
      <c r="Q282" s="562" t="s">
        <v>1818</v>
      </c>
    </row>
    <row r="283" spans="1:17">
      <c r="A283" s="562" t="s">
        <v>5389</v>
      </c>
      <c r="B283" s="562" t="s">
        <v>1</v>
      </c>
      <c r="C283" s="55" t="s">
        <v>8530</v>
      </c>
      <c r="D283" s="565">
        <v>5476</v>
      </c>
      <c r="E283" s="565">
        <v>5579</v>
      </c>
      <c r="F283" s="565">
        <v>5485</v>
      </c>
      <c r="G283" s="63">
        <v>5398</v>
      </c>
      <c r="H283" s="63">
        <v>5445</v>
      </c>
      <c r="I283" s="56">
        <v>3809</v>
      </c>
      <c r="J283" s="56">
        <v>4267</v>
      </c>
      <c r="K283" s="56">
        <v>3704</v>
      </c>
      <c r="L283" s="56">
        <v>3806</v>
      </c>
      <c r="M283" s="56">
        <v>3799</v>
      </c>
      <c r="N283" s="56">
        <v>4306</v>
      </c>
      <c r="O283" s="56">
        <v>4278</v>
      </c>
      <c r="P283" s="563"/>
      <c r="Q283" s="562" t="s">
        <v>1818</v>
      </c>
    </row>
    <row r="284" spans="1:17">
      <c r="A284" s="562" t="s">
        <v>5391</v>
      </c>
      <c r="B284" s="562" t="s">
        <v>2</v>
      </c>
      <c r="C284" s="55" t="s">
        <v>8531</v>
      </c>
      <c r="D284" s="565">
        <v>3310</v>
      </c>
      <c r="E284" s="565">
        <v>3366</v>
      </c>
      <c r="F284" s="565">
        <v>3389</v>
      </c>
      <c r="G284" s="63">
        <v>3443</v>
      </c>
      <c r="H284" s="63">
        <v>3398</v>
      </c>
      <c r="I284" s="56">
        <v>3240</v>
      </c>
      <c r="J284" s="56">
        <v>3186</v>
      </c>
      <c r="K284" s="56">
        <v>3260</v>
      </c>
      <c r="L284" s="56">
        <v>3295</v>
      </c>
      <c r="M284" s="56">
        <v>3306</v>
      </c>
      <c r="N284" s="56">
        <v>3361</v>
      </c>
      <c r="O284" s="56">
        <v>3342</v>
      </c>
      <c r="P284" s="563"/>
      <c r="Q284" s="562" t="s">
        <v>1818</v>
      </c>
    </row>
    <row r="285" spans="1:17">
      <c r="A285" s="562" t="s">
        <v>5393</v>
      </c>
      <c r="B285" s="562" t="s">
        <v>3</v>
      </c>
      <c r="C285" s="55" t="s">
        <v>8532</v>
      </c>
      <c r="D285" s="565">
        <v>3462</v>
      </c>
      <c r="E285" s="565">
        <v>3446</v>
      </c>
      <c r="F285" s="565">
        <v>3452</v>
      </c>
      <c r="G285" s="63">
        <v>3501</v>
      </c>
      <c r="H285" s="63">
        <v>3491</v>
      </c>
      <c r="I285" s="56">
        <v>3314</v>
      </c>
      <c r="J285" s="56">
        <v>3247</v>
      </c>
      <c r="K285" s="56">
        <v>3334</v>
      </c>
      <c r="L285" s="56">
        <v>3381</v>
      </c>
      <c r="M285" s="56">
        <v>3314</v>
      </c>
      <c r="N285" s="56">
        <v>3364</v>
      </c>
      <c r="O285" s="56">
        <v>3364</v>
      </c>
      <c r="P285" s="563"/>
      <c r="Q285" s="562" t="s">
        <v>1818</v>
      </c>
    </row>
    <row r="286" spans="1:17">
      <c r="A286" s="562" t="s">
        <v>5394</v>
      </c>
      <c r="B286" s="562" t="s">
        <v>4</v>
      </c>
      <c r="C286" s="55" t="s">
        <v>8533</v>
      </c>
      <c r="D286" s="565">
        <v>3537</v>
      </c>
      <c r="E286" s="565">
        <v>3529</v>
      </c>
      <c r="F286" s="565">
        <v>3539</v>
      </c>
      <c r="G286" s="63">
        <v>3584</v>
      </c>
      <c r="H286" s="63">
        <v>3619</v>
      </c>
      <c r="I286" s="56">
        <v>3525</v>
      </c>
      <c r="J286" s="56">
        <v>3425</v>
      </c>
      <c r="K286" s="56">
        <v>3502</v>
      </c>
      <c r="L286" s="56">
        <v>3464</v>
      </c>
      <c r="M286" s="56">
        <v>3438</v>
      </c>
      <c r="N286" s="56">
        <v>3502</v>
      </c>
      <c r="O286" s="56">
        <v>3494</v>
      </c>
      <c r="P286" s="563"/>
      <c r="Q286" s="562" t="s">
        <v>1818</v>
      </c>
    </row>
    <row r="287" spans="1:17">
      <c r="A287" s="562" t="s">
        <v>5416</v>
      </c>
      <c r="B287" s="562" t="s">
        <v>5</v>
      </c>
      <c r="C287" s="55" t="s">
        <v>8534</v>
      </c>
      <c r="D287" s="565">
        <v>5965</v>
      </c>
      <c r="E287" s="565">
        <v>5985</v>
      </c>
      <c r="F287" s="565">
        <v>5947</v>
      </c>
      <c r="G287" s="63">
        <v>5998</v>
      </c>
      <c r="H287" s="63">
        <v>5907</v>
      </c>
      <c r="I287" s="56">
        <v>5844</v>
      </c>
      <c r="J287" s="56">
        <v>5644</v>
      </c>
      <c r="K287" s="56">
        <v>5710</v>
      </c>
      <c r="L287" s="56">
        <v>5766</v>
      </c>
      <c r="M287" s="56">
        <v>5885</v>
      </c>
      <c r="N287" s="56">
        <v>5962</v>
      </c>
      <c r="O287" s="56">
        <v>5975</v>
      </c>
      <c r="P287" s="563"/>
      <c r="Q287" s="562" t="s">
        <v>1818</v>
      </c>
    </row>
    <row r="288" spans="1:17">
      <c r="A288" s="562" t="s">
        <v>5418</v>
      </c>
      <c r="B288" s="562" t="s">
        <v>6</v>
      </c>
      <c r="C288" s="55" t="s">
        <v>8535</v>
      </c>
      <c r="D288" s="565">
        <v>4856</v>
      </c>
      <c r="E288" s="565">
        <v>4868</v>
      </c>
      <c r="F288" s="565">
        <v>4841</v>
      </c>
      <c r="G288" s="63">
        <v>4797</v>
      </c>
      <c r="H288" s="63">
        <v>4821</v>
      </c>
      <c r="I288" s="56">
        <v>4732</v>
      </c>
      <c r="J288" s="56">
        <v>4584</v>
      </c>
      <c r="K288" s="56">
        <v>4564</v>
      </c>
      <c r="L288" s="56">
        <v>4586</v>
      </c>
      <c r="M288" s="56">
        <v>4772</v>
      </c>
      <c r="N288" s="56">
        <v>4793</v>
      </c>
      <c r="O288" s="56">
        <v>4775</v>
      </c>
      <c r="P288" s="563"/>
      <c r="Q288" s="562" t="s">
        <v>1818</v>
      </c>
    </row>
    <row r="289" spans="1:17">
      <c r="A289" s="562" t="s">
        <v>5420</v>
      </c>
      <c r="B289" s="562" t="s">
        <v>7</v>
      </c>
      <c r="C289" s="55" t="s">
        <v>8536</v>
      </c>
      <c r="D289" s="565">
        <v>5009</v>
      </c>
      <c r="E289" s="565">
        <v>5029</v>
      </c>
      <c r="F289" s="565">
        <v>5045</v>
      </c>
      <c r="G289" s="63">
        <v>5029</v>
      </c>
      <c r="H289" s="63">
        <v>5048</v>
      </c>
      <c r="I289" s="56">
        <v>4907</v>
      </c>
      <c r="J289" s="56">
        <v>4817</v>
      </c>
      <c r="K289" s="56">
        <v>4898</v>
      </c>
      <c r="L289" s="56">
        <v>4955</v>
      </c>
      <c r="M289" s="56">
        <v>4941</v>
      </c>
      <c r="N289" s="56">
        <v>5131</v>
      </c>
      <c r="O289" s="56">
        <v>5108</v>
      </c>
      <c r="P289" s="563"/>
      <c r="Q289" s="562" t="s">
        <v>1818</v>
      </c>
    </row>
    <row r="290" spans="1:17">
      <c r="A290" s="562" t="s">
        <v>5422</v>
      </c>
      <c r="B290" s="562" t="s">
        <v>8</v>
      </c>
      <c r="C290" s="55" t="s">
        <v>8537</v>
      </c>
      <c r="D290" s="565">
        <v>4842</v>
      </c>
      <c r="E290" s="565">
        <v>4814</v>
      </c>
      <c r="F290" s="565">
        <v>4768</v>
      </c>
      <c r="G290" s="63">
        <v>4778</v>
      </c>
      <c r="H290" s="63">
        <v>4739</v>
      </c>
      <c r="I290" s="56">
        <v>4677</v>
      </c>
      <c r="J290" s="56">
        <v>4475</v>
      </c>
      <c r="K290" s="56">
        <v>4510</v>
      </c>
      <c r="L290" s="56">
        <v>4556</v>
      </c>
      <c r="M290" s="56">
        <v>4606</v>
      </c>
      <c r="N290" s="56">
        <v>4818</v>
      </c>
      <c r="O290" s="56">
        <v>4814</v>
      </c>
      <c r="P290" s="563"/>
      <c r="Q290" s="562" t="s">
        <v>1818</v>
      </c>
    </row>
    <row r="291" spans="1:17">
      <c r="A291" s="562" t="s">
        <v>5424</v>
      </c>
      <c r="B291" s="562" t="s">
        <v>9</v>
      </c>
      <c r="C291" s="55" t="s">
        <v>8538</v>
      </c>
      <c r="D291" s="565">
        <v>5181</v>
      </c>
      <c r="E291" s="565">
        <v>5247</v>
      </c>
      <c r="F291" s="565">
        <v>5245</v>
      </c>
      <c r="G291" s="63">
        <v>5301</v>
      </c>
      <c r="H291" s="63">
        <v>5255</v>
      </c>
      <c r="I291" s="56">
        <v>5175</v>
      </c>
      <c r="J291" s="56">
        <v>4928</v>
      </c>
      <c r="K291" s="56">
        <v>4952</v>
      </c>
      <c r="L291" s="56">
        <v>4913</v>
      </c>
      <c r="M291" s="56">
        <v>4921</v>
      </c>
      <c r="N291" s="56">
        <v>5084</v>
      </c>
      <c r="O291" s="56">
        <v>5066</v>
      </c>
      <c r="P291" s="563"/>
      <c r="Q291" s="562" t="s">
        <v>1818</v>
      </c>
    </row>
    <row r="292" spans="1:17">
      <c r="A292" s="563"/>
      <c r="B292" s="563"/>
      <c r="C292" s="563"/>
      <c r="D292" s="567"/>
      <c r="E292" s="567"/>
      <c r="F292" s="567"/>
      <c r="G292" s="567"/>
      <c r="H292" s="567"/>
      <c r="I292" s="567"/>
      <c r="J292" s="567"/>
      <c r="K292" s="567"/>
      <c r="L292" s="567"/>
      <c r="M292" s="567"/>
      <c r="N292" s="567"/>
      <c r="O292" s="567"/>
      <c r="P292" s="563"/>
      <c r="Q292" s="563"/>
    </row>
    <row r="293" spans="1:17">
      <c r="A293" s="562" t="s">
        <v>3237</v>
      </c>
      <c r="D293" s="565">
        <f t="shared" ref="D293:L293" si="99">SUM(D282:D291)</f>
        <v>44786</v>
      </c>
      <c r="E293" s="565">
        <f t="shared" si="99"/>
        <v>45046</v>
      </c>
      <c r="F293" s="565">
        <f t="shared" si="99"/>
        <v>44892</v>
      </c>
      <c r="G293" s="565">
        <f t="shared" si="99"/>
        <v>45001</v>
      </c>
      <c r="H293" s="565">
        <f t="shared" si="99"/>
        <v>44899</v>
      </c>
      <c r="I293" s="565">
        <f t="shared" si="99"/>
        <v>42362</v>
      </c>
      <c r="J293" s="565">
        <f t="shared" si="99"/>
        <v>41620</v>
      </c>
      <c r="K293" s="565">
        <f t="shared" si="99"/>
        <v>41451</v>
      </c>
      <c r="L293" s="565">
        <f t="shared" si="99"/>
        <v>41780</v>
      </c>
      <c r="M293" s="565">
        <f>SUM(M282:M291)</f>
        <v>42050</v>
      </c>
      <c r="N293" s="565">
        <f>SUM(N282:N291)</f>
        <v>43426</v>
      </c>
      <c r="O293" s="565">
        <f>SUM(O282:O291)</f>
        <v>43315</v>
      </c>
      <c r="P293" s="563"/>
      <c r="Q293" s="563"/>
    </row>
    <row r="294" spans="1:17">
      <c r="A294" s="562"/>
      <c r="B294" s="562"/>
      <c r="C294" s="562"/>
      <c r="D294" s="573"/>
      <c r="E294" s="573"/>
      <c r="F294" s="573"/>
      <c r="G294" s="573"/>
      <c r="H294" s="573"/>
      <c r="I294" s="573"/>
      <c r="J294" s="573"/>
      <c r="K294" s="573"/>
      <c r="L294" s="573"/>
      <c r="M294" s="563"/>
      <c r="N294" s="563"/>
      <c r="O294" s="563"/>
      <c r="P294" s="563"/>
      <c r="Q294" s="563"/>
    </row>
    <row r="295" spans="1:17">
      <c r="A295" s="562" t="s">
        <v>1424</v>
      </c>
      <c r="B295" s="562"/>
      <c r="C295" s="562"/>
      <c r="D295" s="573"/>
      <c r="E295" s="573"/>
      <c r="F295" s="573"/>
      <c r="G295" s="573"/>
      <c r="H295" s="573"/>
      <c r="I295" s="573"/>
      <c r="J295" s="573"/>
      <c r="K295" s="573"/>
      <c r="L295" s="573"/>
      <c r="M295" s="563"/>
      <c r="N295" s="563"/>
      <c r="O295" s="563"/>
      <c r="P295" s="563"/>
      <c r="Q295" s="563"/>
    </row>
    <row r="320" spans="1:17">
      <c r="A320" s="563"/>
      <c r="B320" s="563"/>
      <c r="C320" s="563"/>
      <c r="D320" s="563"/>
      <c r="E320" s="563"/>
      <c r="F320" s="563"/>
      <c r="G320" s="563"/>
      <c r="H320" s="563"/>
      <c r="I320" s="563"/>
      <c r="J320" s="563"/>
      <c r="K320" s="563"/>
      <c r="L320" s="563"/>
      <c r="M320" s="563"/>
      <c r="N320" s="563"/>
      <c r="O320" s="563"/>
      <c r="P320" s="563"/>
      <c r="Q320" s="563"/>
    </row>
    <row r="321" spans="1:17">
      <c r="A321" s="563"/>
      <c r="B321" s="563"/>
      <c r="C321" s="563"/>
      <c r="D321" s="563"/>
      <c r="E321" s="563"/>
      <c r="F321" s="563"/>
      <c r="G321" s="563"/>
      <c r="H321" s="563"/>
      <c r="I321" s="563"/>
      <c r="J321" s="563"/>
      <c r="K321" s="563"/>
      <c r="L321" s="563"/>
      <c r="M321" s="563"/>
      <c r="N321" s="563"/>
      <c r="O321" s="563"/>
      <c r="P321" s="563"/>
      <c r="Q321" s="563"/>
    </row>
    <row r="322" spans="1:17">
      <c r="A322" s="563"/>
      <c r="B322" s="563"/>
      <c r="C322" s="563"/>
      <c r="D322" s="563"/>
      <c r="E322" s="563"/>
      <c r="F322" s="563"/>
      <c r="G322" s="563"/>
      <c r="H322" s="563"/>
      <c r="I322" s="563"/>
      <c r="J322" s="563"/>
      <c r="K322" s="563"/>
      <c r="L322" s="563"/>
      <c r="M322" s="563"/>
      <c r="N322" s="563"/>
      <c r="O322" s="563"/>
      <c r="P322" s="563"/>
      <c r="Q322" s="563"/>
    </row>
    <row r="323" spans="1:17">
      <c r="A323" s="563"/>
      <c r="B323" s="563"/>
      <c r="C323" s="563"/>
      <c r="D323" s="563"/>
      <c r="E323" s="563"/>
      <c r="F323" s="563"/>
      <c r="G323" s="563"/>
      <c r="H323" s="563"/>
      <c r="I323" s="563"/>
      <c r="J323" s="563"/>
      <c r="K323" s="563"/>
      <c r="L323" s="563"/>
      <c r="M323" s="563"/>
      <c r="N323" s="563"/>
      <c r="O323" s="563"/>
      <c r="P323" s="563"/>
      <c r="Q323" s="563"/>
    </row>
    <row r="324" spans="1:17">
      <c r="A324" s="563"/>
      <c r="B324" s="563"/>
      <c r="C324" s="563"/>
      <c r="D324" s="563"/>
      <c r="E324" s="563"/>
      <c r="F324" s="563"/>
      <c r="G324" s="563"/>
      <c r="H324" s="563"/>
      <c r="I324" s="563"/>
      <c r="J324" s="563"/>
      <c r="K324" s="563"/>
      <c r="L324" s="563"/>
      <c r="M324" s="563"/>
      <c r="N324" s="563"/>
      <c r="O324" s="563"/>
      <c r="P324" s="563"/>
      <c r="Q324" s="563"/>
    </row>
    <row r="325" spans="1:17">
      <c r="A325" s="563"/>
      <c r="B325" s="563"/>
      <c r="C325" s="563"/>
      <c r="D325" s="563"/>
      <c r="E325" s="563"/>
      <c r="F325" s="563"/>
      <c r="G325" s="563"/>
      <c r="H325" s="563"/>
      <c r="I325" s="563"/>
      <c r="J325" s="563"/>
      <c r="K325" s="563"/>
      <c r="L325" s="563"/>
      <c r="M325" s="563"/>
      <c r="N325" s="563"/>
      <c r="O325" s="563"/>
      <c r="P325" s="563"/>
      <c r="Q325" s="563"/>
    </row>
    <row r="326" spans="1:17">
      <c r="A326" s="563"/>
      <c r="B326" s="563"/>
      <c r="C326" s="563"/>
      <c r="D326" s="563"/>
      <c r="E326" s="563"/>
      <c r="F326" s="563"/>
      <c r="G326" s="563"/>
      <c r="H326" s="563"/>
      <c r="I326" s="563"/>
      <c r="J326" s="563"/>
      <c r="K326" s="563"/>
      <c r="L326" s="563"/>
      <c r="M326" s="563"/>
      <c r="N326" s="563"/>
      <c r="O326" s="563"/>
      <c r="P326" s="563"/>
      <c r="Q326" s="563"/>
    </row>
    <row r="327" spans="1:17">
      <c r="A327" s="563"/>
      <c r="B327" s="563"/>
      <c r="C327" s="563"/>
      <c r="D327" s="563"/>
      <c r="E327" s="563"/>
      <c r="F327" s="563"/>
      <c r="G327" s="563"/>
      <c r="H327" s="563"/>
      <c r="I327" s="563"/>
      <c r="J327" s="563"/>
      <c r="K327" s="563"/>
      <c r="L327" s="563"/>
      <c r="M327" s="563"/>
      <c r="N327" s="563"/>
      <c r="O327" s="563"/>
      <c r="P327" s="563"/>
      <c r="Q327" s="563"/>
    </row>
    <row r="328" spans="1:17">
      <c r="A328" s="563"/>
      <c r="B328" s="563"/>
      <c r="C328" s="563"/>
      <c r="D328" s="563"/>
      <c r="E328" s="563"/>
      <c r="F328" s="563"/>
      <c r="G328" s="563"/>
      <c r="H328" s="563"/>
      <c r="I328" s="563"/>
      <c r="J328" s="563"/>
      <c r="K328" s="563"/>
      <c r="L328" s="563"/>
      <c r="M328" s="563"/>
      <c r="N328" s="563"/>
      <c r="O328" s="563"/>
      <c r="P328" s="563"/>
      <c r="Q328" s="563"/>
    </row>
    <row r="329" spans="1:17">
      <c r="A329" s="563"/>
      <c r="B329" s="563"/>
      <c r="C329" s="563"/>
      <c r="D329" s="563"/>
      <c r="E329" s="563"/>
      <c r="F329" s="563"/>
      <c r="G329" s="563"/>
      <c r="H329" s="563"/>
      <c r="I329" s="563"/>
      <c r="J329" s="563"/>
      <c r="K329" s="563"/>
      <c r="L329" s="563"/>
      <c r="M329" s="563"/>
      <c r="N329" s="563"/>
      <c r="O329" s="563"/>
      <c r="P329" s="563"/>
      <c r="Q329" s="563"/>
    </row>
    <row r="330" spans="1:17">
      <c r="A330" s="563"/>
      <c r="B330" s="563"/>
      <c r="C330" s="563"/>
      <c r="D330" s="563"/>
      <c r="E330" s="563"/>
      <c r="F330" s="563"/>
      <c r="G330" s="563"/>
      <c r="H330" s="563"/>
      <c r="I330" s="563"/>
      <c r="J330" s="563"/>
      <c r="K330" s="563"/>
      <c r="L330" s="563"/>
      <c r="M330" s="563"/>
      <c r="N330" s="563"/>
      <c r="O330" s="563"/>
      <c r="P330" s="563"/>
      <c r="Q330" s="563"/>
    </row>
    <row r="331" spans="1:17">
      <c r="A331" s="563"/>
      <c r="B331" s="563"/>
      <c r="C331" s="563"/>
      <c r="D331" s="563"/>
      <c r="E331" s="563"/>
      <c r="F331" s="563"/>
      <c r="G331" s="563"/>
      <c r="H331" s="563"/>
      <c r="I331" s="563"/>
      <c r="J331" s="563"/>
      <c r="K331" s="563"/>
      <c r="L331" s="563"/>
      <c r="M331" s="563"/>
      <c r="N331" s="563"/>
      <c r="O331" s="563"/>
      <c r="P331" s="563"/>
      <c r="Q331" s="563"/>
    </row>
    <row r="332" spans="1:17">
      <c r="A332" s="563"/>
      <c r="B332" s="563"/>
      <c r="C332" s="563"/>
      <c r="D332" s="563"/>
      <c r="E332" s="563"/>
      <c r="F332" s="563"/>
      <c r="G332" s="563"/>
      <c r="H332" s="563"/>
      <c r="I332" s="563"/>
      <c r="J332" s="563"/>
      <c r="K332" s="563"/>
      <c r="L332" s="563"/>
      <c r="M332" s="563"/>
      <c r="N332" s="563"/>
      <c r="O332" s="563"/>
      <c r="P332" s="563"/>
      <c r="Q332" s="563"/>
    </row>
    <row r="333" spans="1:17">
      <c r="A333" s="563"/>
      <c r="B333" s="563"/>
      <c r="C333" s="563"/>
      <c r="D333" s="563"/>
      <c r="E333" s="563"/>
      <c r="F333" s="563"/>
      <c r="G333" s="563"/>
      <c r="H333" s="563"/>
      <c r="I333" s="563"/>
      <c r="J333" s="563"/>
      <c r="K333" s="563"/>
      <c r="L333" s="563"/>
      <c r="M333" s="563"/>
      <c r="N333" s="563"/>
      <c r="O333" s="563"/>
      <c r="P333" s="563"/>
      <c r="Q333" s="563"/>
    </row>
    <row r="334" spans="1:17">
      <c r="A334" s="563"/>
      <c r="B334" s="563"/>
      <c r="C334" s="563"/>
      <c r="D334" s="563"/>
      <c r="E334" s="563"/>
      <c r="F334" s="563"/>
      <c r="G334" s="563"/>
      <c r="H334" s="563"/>
      <c r="I334" s="563"/>
      <c r="J334" s="563"/>
      <c r="K334" s="563"/>
      <c r="L334" s="563"/>
      <c r="M334" s="563"/>
      <c r="N334" s="563"/>
      <c r="O334" s="563"/>
      <c r="P334" s="563"/>
      <c r="Q334" s="563"/>
    </row>
    <row r="335" spans="1:17">
      <c r="A335" s="563"/>
      <c r="B335" s="563"/>
      <c r="C335" s="563"/>
      <c r="D335" s="563"/>
      <c r="E335" s="563"/>
      <c r="F335" s="563"/>
      <c r="G335" s="563"/>
      <c r="H335" s="563"/>
      <c r="I335" s="563"/>
      <c r="J335" s="563"/>
      <c r="K335" s="563"/>
      <c r="L335" s="563"/>
      <c r="M335" s="563"/>
      <c r="N335" s="563"/>
      <c r="O335" s="563"/>
      <c r="P335" s="563"/>
      <c r="Q335" s="563"/>
    </row>
  </sheetData>
  <phoneticPr fontId="6" type="noConversion"/>
  <printOptions gridLinesSet="0"/>
  <pageMargins left="0.78740157480314965" right="0" top="0.51181102362204722" bottom="0.51181102362204722" header="0.51181102362204722" footer="0.51181102362204722"/>
  <pageSetup paperSize="9" scale="65" orientation="portrait" horizontalDpi="300" verticalDpi="300" r:id="rId1"/>
  <headerFooter alignWithMargins="0">
    <oddFooter>&amp;C&amp;"Times New Roman,Regular"&amp;8&amp;P of &amp;N</oddFooter>
  </headerFooter>
  <rowBreaks count="8" manualBreakCount="8">
    <brk id="49" max="16383" man="1"/>
    <brk id="74" max="16383" man="1"/>
    <brk id="105" max="16383" man="1"/>
    <brk id="143" max="16383" man="1"/>
    <brk id="173" max="16383" man="1"/>
    <brk id="199" max="16383" man="1"/>
    <brk id="230" max="10" man="1"/>
    <brk id="277" max="10" man="1"/>
  </rowBreaks>
  <ignoredErrors>
    <ignoredError sqref="D183:K183 D209:K209 D227:K227 D54:K54 D71:K71 D281:K281 D293:K293 D109:K109 D3:L15 D274:K274 D234:K234 D98:K98 D100:K100 D139:K140 D201:K202 D17:K47 L17:L54 L79:L100 L206:L293 L189:L204 L70:L77 L180:L186 L173 L102:L146" unlockedFormula="1"/>
    <ignoredError sqref="D16:L16" formula="1" unlocked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dimension ref="A1:Q60"/>
  <sheetViews>
    <sheetView showGridLines="0" topLeftCell="A22" zoomScale="90" zoomScaleNormal="90" workbookViewId="0">
      <selection activeCell="A59" sqref="A59:A60"/>
    </sheetView>
  </sheetViews>
  <sheetFormatPr defaultColWidth="12.5703125" defaultRowHeight="15"/>
  <cols>
    <col min="1" max="1" width="4.85546875" style="142" customWidth="1"/>
    <col min="2" max="2" width="40.7109375" style="142" customWidth="1"/>
    <col min="3" max="3" width="11.5703125" style="142" customWidth="1"/>
    <col min="4" max="15" width="10" style="142" customWidth="1"/>
    <col min="16" max="16" width="2.28515625" style="142" customWidth="1"/>
    <col min="17" max="17" width="30.85546875" style="142" customWidth="1"/>
    <col min="18" max="16384" width="12.5703125" style="142"/>
  </cols>
  <sheetData>
    <row r="1" spans="1:17">
      <c r="A1" s="553" t="s">
        <v>5719</v>
      </c>
      <c r="B1" s="554"/>
      <c r="C1" s="554"/>
      <c r="D1" s="555">
        <v>2010</v>
      </c>
      <c r="E1" s="555">
        <v>2011</v>
      </c>
      <c r="F1" s="555">
        <v>2012</v>
      </c>
      <c r="G1" s="555">
        <v>2013</v>
      </c>
      <c r="H1" s="555">
        <v>2014</v>
      </c>
      <c r="I1" s="555">
        <v>2015</v>
      </c>
      <c r="J1" s="555">
        <v>2016</v>
      </c>
      <c r="K1" s="555">
        <v>2017</v>
      </c>
      <c r="L1" s="555">
        <v>2018</v>
      </c>
      <c r="M1" s="555">
        <v>2019</v>
      </c>
      <c r="N1" s="555">
        <v>2020</v>
      </c>
      <c r="O1" s="959" t="s">
        <v>14823</v>
      </c>
      <c r="P1" s="554"/>
    </row>
    <row r="2" spans="1:17">
      <c r="A2" s="554"/>
      <c r="B2" s="554"/>
      <c r="C2" s="554"/>
      <c r="D2" s="554"/>
      <c r="E2" s="554"/>
      <c r="F2" s="554"/>
      <c r="G2" s="554"/>
      <c r="H2" s="554"/>
      <c r="I2" s="554"/>
      <c r="J2" s="554"/>
      <c r="K2" s="554"/>
      <c r="L2" s="554"/>
      <c r="M2" s="554"/>
      <c r="N2" s="554"/>
      <c r="O2" s="554"/>
      <c r="P2" s="554"/>
      <c r="Q2" s="554"/>
    </row>
    <row r="3" spans="1:17">
      <c r="A3" s="553" t="s">
        <v>4809</v>
      </c>
      <c r="B3" s="554"/>
      <c r="C3" s="554"/>
      <c r="D3" s="556">
        <f t="shared" ref="D3:N3" si="0">SUM(D27:D29,D31:D40,D42:D45,D47:D50,D52:D53)</f>
        <v>167913</v>
      </c>
      <c r="E3" s="556">
        <f t="shared" si="0"/>
        <v>171868</v>
      </c>
      <c r="F3" s="556">
        <f t="shared" si="0"/>
        <v>173203</v>
      </c>
      <c r="G3" s="556">
        <f t="shared" si="0"/>
        <v>175750</v>
      </c>
      <c r="H3" s="556">
        <f t="shared" si="0"/>
        <v>178734</v>
      </c>
      <c r="I3" s="556">
        <f t="shared" si="0"/>
        <v>173468</v>
      </c>
      <c r="J3" s="556">
        <f t="shared" si="0"/>
        <v>167222</v>
      </c>
      <c r="K3" s="556">
        <f t="shared" si="0"/>
        <v>176913</v>
      </c>
      <c r="L3" s="556">
        <f t="shared" si="0"/>
        <v>180774</v>
      </c>
      <c r="M3" s="556">
        <f t="shared" si="0"/>
        <v>176741</v>
      </c>
      <c r="N3" s="556">
        <f t="shared" si="0"/>
        <v>181632</v>
      </c>
      <c r="O3" s="556">
        <f>SUM(O27:O29,O31:O40,O42:O45,O47:O50,O52:O53)</f>
        <v>190269</v>
      </c>
      <c r="P3" s="554"/>
    </row>
    <row r="4" spans="1:17">
      <c r="A4" s="554"/>
      <c r="B4" s="554"/>
      <c r="C4" s="554"/>
      <c r="D4" s="554"/>
      <c r="E4" s="554"/>
      <c r="F4" s="554"/>
      <c r="G4" s="554"/>
      <c r="H4" s="554"/>
      <c r="I4" s="554"/>
      <c r="J4" s="554"/>
      <c r="K4" s="554"/>
      <c r="L4" s="554"/>
      <c r="M4" s="554"/>
      <c r="N4" s="554"/>
      <c r="O4" s="554"/>
      <c r="P4" s="554"/>
      <c r="Q4" s="554"/>
    </row>
    <row r="5" spans="1:17">
      <c r="A5" s="553" t="s">
        <v>5720</v>
      </c>
      <c r="B5" s="554"/>
      <c r="C5" s="554"/>
      <c r="D5" s="556">
        <f t="shared" ref="D5:I5" si="1">D3/2</f>
        <v>83956.5</v>
      </c>
      <c r="E5" s="556">
        <f t="shared" si="1"/>
        <v>85934</v>
      </c>
      <c r="F5" s="556">
        <f t="shared" si="1"/>
        <v>86601.5</v>
      </c>
      <c r="G5" s="556">
        <f t="shared" si="1"/>
        <v>87875</v>
      </c>
      <c r="H5" s="556">
        <f t="shared" si="1"/>
        <v>89367</v>
      </c>
      <c r="I5" s="556">
        <f t="shared" si="1"/>
        <v>86734</v>
      </c>
      <c r="J5" s="556">
        <f t="shared" ref="J5:O5" si="2">J3/2</f>
        <v>83611</v>
      </c>
      <c r="K5" s="556">
        <f t="shared" si="2"/>
        <v>88456.5</v>
      </c>
      <c r="L5" s="556">
        <f t="shared" si="2"/>
        <v>90387</v>
      </c>
      <c r="M5" s="556">
        <f t="shared" si="2"/>
        <v>88370.5</v>
      </c>
      <c r="N5" s="556">
        <f t="shared" si="2"/>
        <v>90816</v>
      </c>
      <c r="O5" s="556">
        <f t="shared" si="2"/>
        <v>95134.5</v>
      </c>
      <c r="P5" s="554"/>
      <c r="Q5" s="554"/>
    </row>
    <row r="6" spans="1:17">
      <c r="A6" s="50"/>
      <c r="B6" s="554"/>
      <c r="C6" s="554"/>
      <c r="D6" s="557"/>
      <c r="E6" s="557"/>
      <c r="F6" s="557"/>
      <c r="G6" s="557"/>
      <c r="H6" s="557"/>
      <c r="I6" s="557"/>
      <c r="J6" s="557"/>
      <c r="K6" s="557"/>
      <c r="L6" s="557"/>
      <c r="M6" s="557"/>
      <c r="N6" s="557"/>
      <c r="O6" s="557"/>
      <c r="P6" s="554"/>
      <c r="Q6" s="554"/>
    </row>
    <row r="7" spans="1:17">
      <c r="A7" s="553" t="s">
        <v>3307</v>
      </c>
      <c r="D7" s="556">
        <f t="shared" ref="D7:N7" si="3">SUM(D28,D31,D33:D34,D36,D39,D42,D44,D47,D49,D53)</f>
        <v>64809</v>
      </c>
      <c r="E7" s="556">
        <f t="shared" si="3"/>
        <v>67590</v>
      </c>
      <c r="F7" s="556">
        <f t="shared" si="3"/>
        <v>68405</v>
      </c>
      <c r="G7" s="556">
        <f t="shared" si="3"/>
        <v>70178</v>
      </c>
      <c r="H7" s="556">
        <f t="shared" si="3"/>
        <v>71651</v>
      </c>
      <c r="I7" s="556">
        <f t="shared" si="3"/>
        <v>69292</v>
      </c>
      <c r="J7" s="556">
        <f t="shared" si="3"/>
        <v>67166</v>
      </c>
      <c r="K7" s="556">
        <f t="shared" si="3"/>
        <v>72220</v>
      </c>
      <c r="L7" s="556">
        <f t="shared" si="3"/>
        <v>74576</v>
      </c>
      <c r="M7" s="556">
        <f t="shared" si="3"/>
        <v>72385</v>
      </c>
      <c r="N7" s="556">
        <f t="shared" si="3"/>
        <v>75716</v>
      </c>
      <c r="O7" s="556">
        <f>SUM(O28,O31,O33:O34,O36,O39,O42,O44,O47,O49,O53)</f>
        <v>78547</v>
      </c>
      <c r="P7" s="554"/>
      <c r="Q7" s="553" t="s">
        <v>3308</v>
      </c>
    </row>
    <row r="8" spans="1:17">
      <c r="A8" s="554"/>
      <c r="D8" s="557"/>
      <c r="E8" s="557"/>
      <c r="F8" s="557"/>
      <c r="G8" s="557"/>
      <c r="H8" s="557"/>
      <c r="I8" s="557"/>
      <c r="J8" s="557"/>
      <c r="K8" s="557"/>
      <c r="L8" s="557"/>
      <c r="M8" s="557"/>
      <c r="N8" s="557"/>
      <c r="O8" s="557"/>
      <c r="P8" s="554"/>
      <c r="Q8" s="554"/>
    </row>
    <row r="9" spans="1:17">
      <c r="A9" s="553" t="s">
        <v>3309</v>
      </c>
      <c r="D9" s="556">
        <f t="shared" ref="D9:N9" si="4">SUM(D29,D32,D35,D38,D40,D43,D45,D50)</f>
        <v>64937</v>
      </c>
      <c r="E9" s="556">
        <f t="shared" si="4"/>
        <v>65508</v>
      </c>
      <c r="F9" s="556">
        <f t="shared" si="4"/>
        <v>65797</v>
      </c>
      <c r="G9" s="556">
        <f t="shared" si="4"/>
        <v>66116</v>
      </c>
      <c r="H9" s="556">
        <f t="shared" si="4"/>
        <v>66939</v>
      </c>
      <c r="I9" s="556">
        <f t="shared" si="4"/>
        <v>64984</v>
      </c>
      <c r="J9" s="556">
        <f t="shared" si="4"/>
        <v>62366</v>
      </c>
      <c r="K9" s="556">
        <f t="shared" si="4"/>
        <v>65099</v>
      </c>
      <c r="L9" s="556">
        <f t="shared" si="4"/>
        <v>65970</v>
      </c>
      <c r="M9" s="556">
        <f t="shared" si="4"/>
        <v>65020</v>
      </c>
      <c r="N9" s="556">
        <f t="shared" si="4"/>
        <v>65657</v>
      </c>
      <c r="O9" s="556">
        <f>SUM(O29,O32,O35,O38,O40,O43,O45,O50)</f>
        <v>70528</v>
      </c>
      <c r="P9" s="554"/>
      <c r="Q9" s="553" t="s">
        <v>3308</v>
      </c>
    </row>
    <row r="10" spans="1:17">
      <c r="A10" s="554"/>
      <c r="D10" s="557"/>
      <c r="E10" s="557"/>
      <c r="F10" s="557"/>
      <c r="G10" s="557"/>
      <c r="H10" s="557"/>
      <c r="I10" s="557"/>
      <c r="J10" s="557"/>
      <c r="K10" s="557"/>
      <c r="L10" s="557"/>
      <c r="M10" s="557"/>
      <c r="N10" s="557"/>
      <c r="O10" s="557"/>
      <c r="P10" s="554"/>
    </row>
    <row r="11" spans="1:17">
      <c r="A11" s="553" t="s">
        <v>3310</v>
      </c>
      <c r="D11" s="558">
        <f>BROMLEY!D17</f>
        <v>30185</v>
      </c>
      <c r="E11" s="558">
        <f>BROMLEY!E17</f>
        <v>30629</v>
      </c>
      <c r="F11" s="558">
        <f>BROMLEY!F17</f>
        <v>30935</v>
      </c>
      <c r="G11" s="558">
        <f>BROMLEY!G17</f>
        <v>30545</v>
      </c>
      <c r="H11" s="558">
        <f>BROMLEY!H17</f>
        <v>30154</v>
      </c>
      <c r="I11" s="558">
        <f>BROMLEY!I17</f>
        <v>30342</v>
      </c>
      <c r="J11" s="558">
        <f>BROMLEY!J17</f>
        <v>29963</v>
      </c>
      <c r="K11" s="558">
        <f>BROMLEY!K17</f>
        <v>30687</v>
      </c>
      <c r="L11" s="558">
        <f>BROMLEY!L17</f>
        <v>30922</v>
      </c>
      <c r="M11" s="558">
        <f>BROMLEY!M17</f>
        <v>31090</v>
      </c>
      <c r="N11" s="558">
        <f>BROMLEY!N17</f>
        <v>31604</v>
      </c>
      <c r="O11" s="558">
        <f>BROMLEY!O17</f>
        <v>32801</v>
      </c>
      <c r="Q11" s="559" t="s">
        <v>3304</v>
      </c>
    </row>
    <row r="12" spans="1:17" ht="15.75" thickBot="1">
      <c r="A12" s="553"/>
      <c r="D12" s="556">
        <f t="shared" ref="D12:N12" si="5">SUM(D27,D37,D48,D52)</f>
        <v>38167</v>
      </c>
      <c r="E12" s="556">
        <f t="shared" si="5"/>
        <v>38770</v>
      </c>
      <c r="F12" s="556">
        <f t="shared" si="5"/>
        <v>39001</v>
      </c>
      <c r="G12" s="556">
        <f t="shared" si="5"/>
        <v>39456</v>
      </c>
      <c r="H12" s="556">
        <f t="shared" si="5"/>
        <v>40144</v>
      </c>
      <c r="I12" s="556">
        <f t="shared" si="5"/>
        <v>39192</v>
      </c>
      <c r="J12" s="556">
        <f t="shared" si="5"/>
        <v>37690</v>
      </c>
      <c r="K12" s="556">
        <f t="shared" si="5"/>
        <v>39594</v>
      </c>
      <c r="L12" s="556">
        <f t="shared" si="5"/>
        <v>40228</v>
      </c>
      <c r="M12" s="556">
        <f t="shared" si="5"/>
        <v>39336</v>
      </c>
      <c r="N12" s="556">
        <f t="shared" si="5"/>
        <v>40259</v>
      </c>
      <c r="O12" s="556">
        <f>SUM(O27,O37,O48,O52)</f>
        <v>41194</v>
      </c>
      <c r="P12" s="554"/>
      <c r="Q12" s="553" t="s">
        <v>3308</v>
      </c>
    </row>
    <row r="13" spans="1:17" ht="15.75" thickBot="1">
      <c r="A13" s="553"/>
      <c r="D13" s="560">
        <f t="shared" ref="D13:I13" si="6">D11+D12</f>
        <v>68352</v>
      </c>
      <c r="E13" s="560">
        <f t="shared" si="6"/>
        <v>69399</v>
      </c>
      <c r="F13" s="560">
        <f t="shared" si="6"/>
        <v>69936</v>
      </c>
      <c r="G13" s="560">
        <f t="shared" si="6"/>
        <v>70001</v>
      </c>
      <c r="H13" s="560">
        <f t="shared" si="6"/>
        <v>70298</v>
      </c>
      <c r="I13" s="560">
        <f t="shared" si="6"/>
        <v>69534</v>
      </c>
      <c r="J13" s="560">
        <f t="shared" ref="J13:O13" si="7">J11+J12</f>
        <v>67653</v>
      </c>
      <c r="K13" s="560">
        <f t="shared" si="7"/>
        <v>70281</v>
      </c>
      <c r="L13" s="560">
        <f t="shared" si="7"/>
        <v>71150</v>
      </c>
      <c r="M13" s="560">
        <f t="shared" si="7"/>
        <v>70426</v>
      </c>
      <c r="N13" s="560">
        <f t="shared" si="7"/>
        <v>71863</v>
      </c>
      <c r="O13" s="560">
        <f t="shared" si="7"/>
        <v>73995</v>
      </c>
      <c r="P13" s="554"/>
      <c r="Q13" s="559"/>
    </row>
    <row r="14" spans="1:17">
      <c r="A14" s="553"/>
      <c r="D14" s="556"/>
      <c r="E14" s="556"/>
      <c r="F14" s="556"/>
      <c r="G14" s="556"/>
      <c r="H14" s="556"/>
      <c r="I14" s="556"/>
      <c r="J14" s="556"/>
      <c r="K14" s="556"/>
      <c r="L14" s="556"/>
      <c r="M14" s="556"/>
      <c r="N14" s="556"/>
      <c r="O14" s="556"/>
      <c r="P14" s="554"/>
      <c r="Q14" s="559"/>
    </row>
    <row r="15" spans="1:17">
      <c r="A15" s="559" t="s">
        <v>3303</v>
      </c>
      <c r="D15" s="556">
        <f>BROMLEY!D7</f>
        <v>66029</v>
      </c>
      <c r="E15" s="556">
        <f>BROMLEY!E7</f>
        <v>66470</v>
      </c>
      <c r="F15" s="556">
        <f>BROMLEY!F7</f>
        <v>67185</v>
      </c>
      <c r="G15" s="556">
        <f>BROMLEY!G7</f>
        <v>67054</v>
      </c>
      <c r="H15" s="556">
        <f>BROMLEY!H7</f>
        <v>66899</v>
      </c>
      <c r="I15" s="556">
        <f>BROMLEY!I7</f>
        <v>66654</v>
      </c>
      <c r="J15" s="556">
        <f>BROMLEY!J7</f>
        <v>66067</v>
      </c>
      <c r="K15" s="556">
        <f>BROMLEY!K7</f>
        <v>67390</v>
      </c>
      <c r="L15" s="556">
        <f>BROMLEY!L7</f>
        <v>67524</v>
      </c>
      <c r="M15" s="556">
        <f>BROMLEY!M7</f>
        <v>67589</v>
      </c>
      <c r="N15" s="556">
        <f>BROMLEY!N7</f>
        <v>67614</v>
      </c>
      <c r="O15" s="556">
        <f>BROMLEY!O7</f>
        <v>68934</v>
      </c>
      <c r="P15" s="554"/>
      <c r="Q15" s="559" t="s">
        <v>3304</v>
      </c>
    </row>
    <row r="16" spans="1:17">
      <c r="A16" s="553"/>
      <c r="D16" s="556"/>
      <c r="E16" s="556"/>
      <c r="F16" s="556"/>
      <c r="G16" s="556"/>
      <c r="H16" s="556"/>
      <c r="I16" s="556"/>
      <c r="J16" s="556"/>
      <c r="K16" s="556"/>
      <c r="L16" s="556"/>
      <c r="M16" s="556"/>
      <c r="N16" s="556"/>
      <c r="O16" s="556"/>
      <c r="P16" s="554"/>
      <c r="Q16" s="553"/>
    </row>
    <row r="17" spans="1:17">
      <c r="A17" s="559" t="s">
        <v>3305</v>
      </c>
      <c r="D17" s="556">
        <f>BROMLEY!D9</f>
        <v>65210</v>
      </c>
      <c r="E17" s="556">
        <f>BROMLEY!E9</f>
        <v>65508</v>
      </c>
      <c r="F17" s="556">
        <f>BROMLEY!F9</f>
        <v>65885</v>
      </c>
      <c r="G17" s="556">
        <f>BROMLEY!G9</f>
        <v>65183</v>
      </c>
      <c r="H17" s="556">
        <f>BROMLEY!H9</f>
        <v>64582</v>
      </c>
      <c r="I17" s="556">
        <f>BROMLEY!I9</f>
        <v>64556</v>
      </c>
      <c r="J17" s="556">
        <f>BROMLEY!J9</f>
        <v>63339</v>
      </c>
      <c r="K17" s="556">
        <f>BROMLEY!K9</f>
        <v>64452</v>
      </c>
      <c r="L17" s="556">
        <f>BROMLEY!L9</f>
        <v>64702</v>
      </c>
      <c r="M17" s="556">
        <f>BROMLEY!M9</f>
        <v>64919</v>
      </c>
      <c r="N17" s="556">
        <f>BROMLEY!N9</f>
        <v>65195</v>
      </c>
      <c r="O17" s="556">
        <f>BROMLEY!O9</f>
        <v>66840</v>
      </c>
      <c r="P17" s="554"/>
      <c r="Q17" s="559" t="s">
        <v>3304</v>
      </c>
    </row>
    <row r="18" spans="1:17">
      <c r="A18" s="553"/>
      <c r="D18" s="556"/>
      <c r="E18" s="556"/>
      <c r="F18" s="556"/>
      <c r="G18" s="556"/>
      <c r="H18" s="556"/>
      <c r="I18" s="556"/>
      <c r="J18" s="556"/>
      <c r="K18" s="556"/>
      <c r="L18" s="556"/>
      <c r="M18" s="556"/>
      <c r="N18" s="556"/>
      <c r="O18" s="556"/>
      <c r="P18" s="554"/>
      <c r="Q18" s="553"/>
    </row>
    <row r="19" spans="1:17">
      <c r="A19" s="559" t="s">
        <v>3306</v>
      </c>
      <c r="D19" s="556">
        <f>BROMLEY!D11</f>
        <v>67765</v>
      </c>
      <c r="E19" s="556">
        <f>BROMLEY!E11</f>
        <v>68221</v>
      </c>
      <c r="F19" s="556">
        <f>BROMLEY!F11</f>
        <v>68282</v>
      </c>
      <c r="G19" s="556">
        <f>BROMLEY!G11</f>
        <v>68023</v>
      </c>
      <c r="H19" s="556">
        <f>BROMLEY!H11</f>
        <v>67592</v>
      </c>
      <c r="I19" s="556">
        <f>BROMLEY!I11</f>
        <v>67623</v>
      </c>
      <c r="J19" s="556">
        <f>BROMLEY!J11</f>
        <v>66724</v>
      </c>
      <c r="K19" s="556">
        <f>BROMLEY!K11</f>
        <v>67837</v>
      </c>
      <c r="L19" s="556">
        <f>BROMLEY!L11</f>
        <v>67821</v>
      </c>
      <c r="M19" s="556">
        <f>BROMLEY!M11</f>
        <v>67928</v>
      </c>
      <c r="N19" s="556">
        <f>BROMLEY!N11</f>
        <v>67989</v>
      </c>
      <c r="O19" s="556">
        <f>BROMLEY!O11</f>
        <v>69102</v>
      </c>
      <c r="P19" s="554"/>
      <c r="Q19" s="559" t="s">
        <v>3304</v>
      </c>
    </row>
    <row r="20" spans="1:17">
      <c r="A20" s="554"/>
      <c r="B20" s="554"/>
      <c r="C20" s="554"/>
      <c r="D20" s="557"/>
      <c r="E20" s="557"/>
      <c r="F20" s="557"/>
      <c r="G20" s="557"/>
      <c r="H20" s="557"/>
      <c r="I20" s="557"/>
      <c r="J20" s="557"/>
      <c r="K20" s="557"/>
      <c r="L20" s="557"/>
      <c r="M20" s="557"/>
      <c r="N20" s="557"/>
      <c r="O20" s="557"/>
      <c r="P20" s="554"/>
      <c r="Q20" s="554"/>
    </row>
    <row r="21" spans="1:17">
      <c r="A21" s="553" t="s">
        <v>6796</v>
      </c>
      <c r="B21" s="554"/>
      <c r="C21" s="554"/>
      <c r="D21" s="556">
        <f t="shared" ref="D21:I21" si="8">D7+D9+D12</f>
        <v>167913</v>
      </c>
      <c r="E21" s="556">
        <f t="shared" si="8"/>
        <v>171868</v>
      </c>
      <c r="F21" s="556">
        <f t="shared" si="8"/>
        <v>173203</v>
      </c>
      <c r="G21" s="556">
        <f t="shared" si="8"/>
        <v>175750</v>
      </c>
      <c r="H21" s="556">
        <f t="shared" si="8"/>
        <v>178734</v>
      </c>
      <c r="I21" s="556">
        <f t="shared" si="8"/>
        <v>173468</v>
      </c>
      <c r="J21" s="556">
        <f t="shared" ref="J21:O21" si="9">J7+J9+J12</f>
        <v>167222</v>
      </c>
      <c r="K21" s="556">
        <f t="shared" si="9"/>
        <v>176913</v>
      </c>
      <c r="L21" s="556">
        <f t="shared" si="9"/>
        <v>180774</v>
      </c>
      <c r="M21" s="556">
        <f t="shared" si="9"/>
        <v>176741</v>
      </c>
      <c r="N21" s="556">
        <f t="shared" si="9"/>
        <v>181632</v>
      </c>
      <c r="O21" s="556">
        <f t="shared" si="9"/>
        <v>190269</v>
      </c>
      <c r="P21" s="554"/>
      <c r="Q21" s="554"/>
    </row>
    <row r="22" spans="1:17">
      <c r="A22" s="554"/>
      <c r="B22" s="554"/>
      <c r="C22" s="554"/>
      <c r="D22" s="557"/>
      <c r="E22" s="557"/>
      <c r="F22" s="557"/>
      <c r="G22" s="557"/>
      <c r="H22" s="557"/>
      <c r="I22" s="557"/>
      <c r="J22" s="557"/>
      <c r="K22" s="557"/>
      <c r="L22" s="557"/>
      <c r="M22" s="557"/>
      <c r="N22" s="557"/>
      <c r="O22" s="557"/>
      <c r="P22" s="554"/>
      <c r="Q22" s="554"/>
    </row>
    <row r="23" spans="1:17">
      <c r="A23" s="553" t="s">
        <v>6797</v>
      </c>
      <c r="B23" s="554"/>
      <c r="C23" s="554"/>
      <c r="D23" s="556">
        <f t="shared" ref="D23:I23" si="10">MAX(D7,D9,D13,D15,D17,D19)-MIN(D7,D9,D13,D15,D17,D19)</f>
        <v>3543</v>
      </c>
      <c r="E23" s="556">
        <f t="shared" si="10"/>
        <v>3891</v>
      </c>
      <c r="F23" s="556">
        <f t="shared" si="10"/>
        <v>4139</v>
      </c>
      <c r="G23" s="556">
        <f t="shared" si="10"/>
        <v>4995</v>
      </c>
      <c r="H23" s="556">
        <f t="shared" si="10"/>
        <v>7069</v>
      </c>
      <c r="I23" s="556">
        <f t="shared" si="10"/>
        <v>4978</v>
      </c>
      <c r="J23" s="556">
        <f t="shared" ref="J23:O23" si="11">MAX(J7,J9,J13,J15,J17,J19)-MIN(J7,J9,J13,J15,J17,J19)</f>
        <v>5287</v>
      </c>
      <c r="K23" s="556">
        <f t="shared" si="11"/>
        <v>7768</v>
      </c>
      <c r="L23" s="556">
        <f t="shared" si="11"/>
        <v>9874</v>
      </c>
      <c r="M23" s="556">
        <f t="shared" si="11"/>
        <v>7466</v>
      </c>
      <c r="N23" s="556">
        <f t="shared" si="11"/>
        <v>10521</v>
      </c>
      <c r="O23" s="556">
        <f t="shared" si="11"/>
        <v>11707</v>
      </c>
      <c r="P23" s="554"/>
      <c r="Q23" s="554"/>
    </row>
    <row r="24" spans="1:17">
      <c r="A24" s="554"/>
      <c r="B24" s="554"/>
      <c r="C24" s="554"/>
      <c r="D24" s="557"/>
      <c r="E24" s="557"/>
      <c r="F24" s="557"/>
      <c r="G24" s="557"/>
      <c r="H24" s="557"/>
      <c r="I24" s="557"/>
      <c r="J24" s="557"/>
      <c r="K24" s="557"/>
      <c r="L24" s="557"/>
      <c r="M24" s="557"/>
      <c r="N24" s="557"/>
      <c r="O24" s="557"/>
      <c r="P24" s="554"/>
      <c r="Q24" s="554"/>
    </row>
    <row r="25" spans="1:17">
      <c r="A25" s="553" t="s">
        <v>6800</v>
      </c>
      <c r="B25" s="554"/>
      <c r="C25" s="554"/>
      <c r="D25" s="556">
        <f t="shared" ref="D25:I25" si="12">STDEVP(D7,D9,D13,D15,D17,D19)</f>
        <v>1391.5290949966595</v>
      </c>
      <c r="E25" s="556">
        <f t="shared" si="12"/>
        <v>1428.6610281425519</v>
      </c>
      <c r="F25" s="556">
        <f t="shared" si="12"/>
        <v>1468.1216646525663</v>
      </c>
      <c r="G25" s="556">
        <f t="shared" si="12"/>
        <v>1861.0064854505179</v>
      </c>
      <c r="H25" s="556">
        <f t="shared" si="12"/>
        <v>2337.999910892499</v>
      </c>
      <c r="I25" s="556">
        <f t="shared" si="12"/>
        <v>1921.4035162407249</v>
      </c>
      <c r="J25" s="556">
        <f t="shared" ref="J25:O25" si="13">STDEVP(J7,J9,J13,J15,J17,J19)</f>
        <v>1987.7109741274426</v>
      </c>
      <c r="K25" s="556">
        <f t="shared" si="13"/>
        <v>2718.0720751215476</v>
      </c>
      <c r="L25" s="556">
        <f t="shared" si="13"/>
        <v>3318.8248129253357</v>
      </c>
      <c r="M25" s="556">
        <f t="shared" si="13"/>
        <v>2697.1863580405416</v>
      </c>
      <c r="N25" s="556">
        <f t="shared" si="13"/>
        <v>3694.5460554113488</v>
      </c>
      <c r="O25" s="556">
        <f t="shared" si="13"/>
        <v>3887.9134363934709</v>
      </c>
      <c r="P25" s="554"/>
      <c r="Q25" s="554"/>
    </row>
    <row r="26" spans="1:17">
      <c r="A26" s="554"/>
      <c r="B26" s="554"/>
      <c r="C26" s="554"/>
      <c r="D26" s="557"/>
      <c r="E26" s="557"/>
      <c r="F26" s="557"/>
      <c r="G26" s="557"/>
      <c r="H26" s="557"/>
      <c r="I26" s="557"/>
      <c r="J26" s="557"/>
      <c r="K26" s="557"/>
      <c r="L26" s="557"/>
      <c r="M26" s="557"/>
      <c r="N26" s="557"/>
      <c r="O26" s="557"/>
      <c r="P26" s="554"/>
      <c r="Q26" s="554"/>
    </row>
    <row r="27" spans="1:17">
      <c r="A27" s="553" t="s">
        <v>5387</v>
      </c>
      <c r="B27" s="553" t="s">
        <v>4810</v>
      </c>
      <c r="C27" s="55" t="s">
        <v>15739</v>
      </c>
      <c r="D27" s="561">
        <v>38167</v>
      </c>
      <c r="E27" s="561">
        <v>38770</v>
      </c>
      <c r="F27" s="561">
        <v>39001</v>
      </c>
      <c r="G27" s="561">
        <v>39456</v>
      </c>
      <c r="H27" s="56">
        <v>40144</v>
      </c>
      <c r="I27" s="56">
        <v>39192</v>
      </c>
      <c r="J27" s="56">
        <v>37690</v>
      </c>
      <c r="K27" s="56">
        <v>39594</v>
      </c>
      <c r="L27" s="56">
        <v>40228</v>
      </c>
      <c r="M27" s="56">
        <v>39336</v>
      </c>
      <c r="N27" s="56">
        <v>40259</v>
      </c>
      <c r="O27" s="56">
        <v>6861</v>
      </c>
      <c r="P27" s="554"/>
      <c r="Q27" s="553" t="s">
        <v>3310</v>
      </c>
    </row>
    <row r="28" spans="1:17">
      <c r="A28" s="553" t="s">
        <v>5389</v>
      </c>
      <c r="B28" s="553" t="s">
        <v>4811</v>
      </c>
      <c r="C28" s="55" t="s">
        <v>15740</v>
      </c>
      <c r="D28" s="561">
        <v>0</v>
      </c>
      <c r="E28" s="561">
        <v>0</v>
      </c>
      <c r="F28" s="561">
        <v>0</v>
      </c>
      <c r="G28" s="561">
        <v>0</v>
      </c>
      <c r="H28" s="56">
        <v>0</v>
      </c>
      <c r="I28" s="56">
        <v>0</v>
      </c>
      <c r="J28" s="56">
        <v>0</v>
      </c>
      <c r="K28" s="56">
        <v>0</v>
      </c>
      <c r="L28" s="56">
        <v>0</v>
      </c>
      <c r="M28" s="56">
        <v>0</v>
      </c>
      <c r="N28" s="56">
        <v>0</v>
      </c>
      <c r="O28" s="56">
        <v>865</v>
      </c>
      <c r="P28" s="554"/>
      <c r="Q28" s="553" t="s">
        <v>3307</v>
      </c>
    </row>
    <row r="29" spans="1:17" ht="15.75" thickBot="1">
      <c r="C29" s="55" t="s">
        <v>15740</v>
      </c>
      <c r="D29" s="561">
        <v>0</v>
      </c>
      <c r="E29" s="561">
        <v>0</v>
      </c>
      <c r="F29" s="561">
        <v>0</v>
      </c>
      <c r="G29" s="561">
        <v>0</v>
      </c>
      <c r="H29" s="56">
        <v>0</v>
      </c>
      <c r="I29" s="56">
        <v>0</v>
      </c>
      <c r="J29" s="56">
        <v>0</v>
      </c>
      <c r="K29" s="56">
        <v>0</v>
      </c>
      <c r="L29" s="56">
        <v>0</v>
      </c>
      <c r="M29" s="56">
        <v>0</v>
      </c>
      <c r="N29" s="56">
        <v>0</v>
      </c>
      <c r="O29" s="56">
        <v>9640</v>
      </c>
      <c r="P29" s="554"/>
      <c r="Q29" s="553" t="s">
        <v>3309</v>
      </c>
    </row>
    <row r="30" spans="1:17" ht="15.75" thickBot="1">
      <c r="C30" s="55" t="s">
        <v>15740</v>
      </c>
      <c r="D30" s="572">
        <f>D28+D29</f>
        <v>0</v>
      </c>
      <c r="E30" s="572">
        <f t="shared" ref="E30:J30" si="14">E28+E29</f>
        <v>0</v>
      </c>
      <c r="F30" s="572">
        <f t="shared" si="14"/>
        <v>0</v>
      </c>
      <c r="G30" s="572">
        <f t="shared" si="14"/>
        <v>0</v>
      </c>
      <c r="H30" s="572">
        <f t="shared" si="14"/>
        <v>0</v>
      </c>
      <c r="I30" s="572">
        <f t="shared" si="14"/>
        <v>0</v>
      </c>
      <c r="J30" s="572">
        <f t="shared" si="14"/>
        <v>0</v>
      </c>
      <c r="K30" s="572">
        <f>K28+K29</f>
        <v>0</v>
      </c>
      <c r="L30" s="572">
        <f>L28+L29</f>
        <v>0</v>
      </c>
      <c r="M30" s="572">
        <f>M28+M29</f>
        <v>0</v>
      </c>
      <c r="N30" s="572">
        <f>N28+N29</f>
        <v>0</v>
      </c>
      <c r="O30" s="572">
        <f>O28+O29</f>
        <v>10505</v>
      </c>
      <c r="P30" s="554"/>
      <c r="Q30" s="553"/>
    </row>
    <row r="31" spans="1:17">
      <c r="A31" s="553" t="s">
        <v>5391</v>
      </c>
      <c r="B31" s="553" t="s">
        <v>4812</v>
      </c>
      <c r="C31" s="55" t="s">
        <v>15741</v>
      </c>
      <c r="D31" s="561">
        <v>64809</v>
      </c>
      <c r="E31" s="561">
        <v>67590</v>
      </c>
      <c r="F31" s="561">
        <v>68405</v>
      </c>
      <c r="G31" s="561">
        <v>70178</v>
      </c>
      <c r="H31" s="561">
        <v>71651</v>
      </c>
      <c r="I31" s="561">
        <v>69292</v>
      </c>
      <c r="J31" s="561">
        <v>67166</v>
      </c>
      <c r="K31" s="561">
        <v>72220</v>
      </c>
      <c r="L31" s="561">
        <v>74576</v>
      </c>
      <c r="M31" s="561">
        <v>72385</v>
      </c>
      <c r="N31" s="561">
        <v>75716</v>
      </c>
      <c r="O31" s="56">
        <v>12108</v>
      </c>
      <c r="P31" s="554"/>
      <c r="Q31" s="553" t="s">
        <v>3307</v>
      </c>
    </row>
    <row r="32" spans="1:17">
      <c r="A32" s="553" t="s">
        <v>5393</v>
      </c>
      <c r="B32" s="553" t="s">
        <v>4813</v>
      </c>
      <c r="C32" s="55" t="s">
        <v>15742</v>
      </c>
      <c r="D32" s="561">
        <v>64937</v>
      </c>
      <c r="E32" s="561">
        <v>65508</v>
      </c>
      <c r="F32" s="561">
        <v>65797</v>
      </c>
      <c r="G32" s="561">
        <v>66116</v>
      </c>
      <c r="H32" s="561">
        <v>66939</v>
      </c>
      <c r="I32" s="561">
        <v>64984</v>
      </c>
      <c r="J32" s="561">
        <v>62366</v>
      </c>
      <c r="K32" s="561">
        <v>65099</v>
      </c>
      <c r="L32" s="561">
        <v>65970</v>
      </c>
      <c r="M32" s="561">
        <v>65020</v>
      </c>
      <c r="N32" s="561">
        <v>65657</v>
      </c>
      <c r="O32" s="56">
        <v>11163</v>
      </c>
      <c r="P32" s="554"/>
      <c r="Q32" s="553" t="s">
        <v>3309</v>
      </c>
    </row>
    <row r="33" spans="1:17">
      <c r="A33" s="553" t="s">
        <v>5394</v>
      </c>
      <c r="B33" s="553" t="s">
        <v>4814</v>
      </c>
      <c r="C33" s="55" t="s">
        <v>15743</v>
      </c>
      <c r="D33" s="561">
        <v>0</v>
      </c>
      <c r="E33" s="561">
        <v>0</v>
      </c>
      <c r="F33" s="561">
        <v>0</v>
      </c>
      <c r="G33" s="561">
        <v>0</v>
      </c>
      <c r="H33" s="561">
        <v>0</v>
      </c>
      <c r="I33" s="561">
        <v>0</v>
      </c>
      <c r="J33" s="561">
        <v>0</v>
      </c>
      <c r="K33" s="561">
        <v>0</v>
      </c>
      <c r="L33" s="561">
        <v>0</v>
      </c>
      <c r="M33" s="561">
        <v>0</v>
      </c>
      <c r="N33" s="561">
        <v>0</v>
      </c>
      <c r="O33" s="56">
        <v>10726</v>
      </c>
      <c r="P33" s="554"/>
      <c r="Q33" s="553" t="s">
        <v>3307</v>
      </c>
    </row>
    <row r="34" spans="1:17">
      <c r="A34" s="553" t="s">
        <v>5416</v>
      </c>
      <c r="B34" s="553" t="s">
        <v>15736</v>
      </c>
      <c r="C34" s="55" t="s">
        <v>15744</v>
      </c>
      <c r="D34" s="561">
        <v>0</v>
      </c>
      <c r="E34" s="561">
        <v>0</v>
      </c>
      <c r="F34" s="561">
        <v>0</v>
      </c>
      <c r="G34" s="561">
        <v>0</v>
      </c>
      <c r="H34" s="561">
        <v>0</v>
      </c>
      <c r="I34" s="561">
        <v>0</v>
      </c>
      <c r="J34" s="561">
        <v>0</v>
      </c>
      <c r="K34" s="561">
        <v>0</v>
      </c>
      <c r="L34" s="561">
        <v>0</v>
      </c>
      <c r="M34" s="561">
        <v>0</v>
      </c>
      <c r="N34" s="561">
        <v>0</v>
      </c>
      <c r="O34" s="58">
        <v>10792</v>
      </c>
      <c r="P34" s="554"/>
      <c r="Q34" s="553" t="s">
        <v>3307</v>
      </c>
    </row>
    <row r="35" spans="1:17">
      <c r="A35" s="553" t="s">
        <v>5418</v>
      </c>
      <c r="B35" s="553" t="s">
        <v>4815</v>
      </c>
      <c r="C35" s="55" t="s">
        <v>15745</v>
      </c>
      <c r="D35" s="561">
        <v>0</v>
      </c>
      <c r="E35" s="561">
        <v>0</v>
      </c>
      <c r="F35" s="561">
        <v>0</v>
      </c>
      <c r="G35" s="561">
        <v>0</v>
      </c>
      <c r="H35" s="561">
        <v>0</v>
      </c>
      <c r="I35" s="561">
        <v>0</v>
      </c>
      <c r="J35" s="561">
        <v>0</v>
      </c>
      <c r="K35" s="561">
        <v>0</v>
      </c>
      <c r="L35" s="561">
        <v>0</v>
      </c>
      <c r="M35" s="561">
        <v>0</v>
      </c>
      <c r="N35" s="561">
        <v>0</v>
      </c>
      <c r="O35" s="56">
        <v>11172</v>
      </c>
      <c r="P35" s="554"/>
      <c r="Q35" s="553" t="s">
        <v>3309</v>
      </c>
    </row>
    <row r="36" spans="1:17">
      <c r="A36" s="553" t="s">
        <v>5420</v>
      </c>
      <c r="B36" s="553" t="s">
        <v>4816</v>
      </c>
      <c r="C36" s="55" t="s">
        <v>15746</v>
      </c>
      <c r="D36" s="561">
        <v>0</v>
      </c>
      <c r="E36" s="561">
        <v>0</v>
      </c>
      <c r="F36" s="561">
        <v>0</v>
      </c>
      <c r="G36" s="561">
        <v>0</v>
      </c>
      <c r="H36" s="561">
        <v>0</v>
      </c>
      <c r="I36" s="561">
        <v>0</v>
      </c>
      <c r="J36" s="561">
        <v>0</v>
      </c>
      <c r="K36" s="561">
        <v>0</v>
      </c>
      <c r="L36" s="561">
        <v>0</v>
      </c>
      <c r="M36" s="561">
        <v>0</v>
      </c>
      <c r="N36" s="561">
        <v>0</v>
      </c>
      <c r="O36" s="56">
        <v>8286</v>
      </c>
      <c r="P36" s="554"/>
      <c r="Q36" s="553" t="s">
        <v>3307</v>
      </c>
    </row>
    <row r="37" spans="1:17">
      <c r="A37" s="553" t="s">
        <v>5422</v>
      </c>
      <c r="B37" s="553" t="s">
        <v>4817</v>
      </c>
      <c r="C37" s="55" t="s">
        <v>15747</v>
      </c>
      <c r="D37" s="561">
        <v>0</v>
      </c>
      <c r="E37" s="561">
        <v>0</v>
      </c>
      <c r="F37" s="561">
        <v>0</v>
      </c>
      <c r="G37" s="561">
        <v>0</v>
      </c>
      <c r="H37" s="561">
        <v>0</v>
      </c>
      <c r="I37" s="561">
        <v>0</v>
      </c>
      <c r="J37" s="561">
        <v>0</v>
      </c>
      <c r="K37" s="561">
        <v>0</v>
      </c>
      <c r="L37" s="561">
        <v>0</v>
      </c>
      <c r="M37" s="561">
        <v>0</v>
      </c>
      <c r="N37" s="561">
        <v>0</v>
      </c>
      <c r="O37" s="56">
        <v>10511</v>
      </c>
      <c r="P37" s="554"/>
      <c r="Q37" s="553" t="s">
        <v>3310</v>
      </c>
    </row>
    <row r="38" spans="1:17">
      <c r="A38" s="553" t="s">
        <v>5424</v>
      </c>
      <c r="B38" s="553" t="s">
        <v>4818</v>
      </c>
      <c r="C38" s="55" t="s">
        <v>15748</v>
      </c>
      <c r="D38" s="561">
        <v>0</v>
      </c>
      <c r="E38" s="561">
        <v>0</v>
      </c>
      <c r="F38" s="561">
        <v>0</v>
      </c>
      <c r="G38" s="561">
        <v>0</v>
      </c>
      <c r="H38" s="561">
        <v>0</v>
      </c>
      <c r="I38" s="561">
        <v>0</v>
      </c>
      <c r="J38" s="561">
        <v>0</v>
      </c>
      <c r="K38" s="561">
        <v>0</v>
      </c>
      <c r="L38" s="561">
        <v>0</v>
      </c>
      <c r="M38" s="561">
        <v>0</v>
      </c>
      <c r="N38" s="561">
        <v>0</v>
      </c>
      <c r="O38" s="56">
        <v>9858</v>
      </c>
      <c r="P38" s="554"/>
      <c r="Q38" s="553" t="s">
        <v>3309</v>
      </c>
    </row>
    <row r="39" spans="1:17">
      <c r="A39" s="553" t="s">
        <v>5426</v>
      </c>
      <c r="B39" s="553" t="s">
        <v>15737</v>
      </c>
      <c r="C39" s="55" t="s">
        <v>15749</v>
      </c>
      <c r="D39" s="561">
        <v>0</v>
      </c>
      <c r="E39" s="561">
        <v>0</v>
      </c>
      <c r="F39" s="561">
        <v>0</v>
      </c>
      <c r="G39" s="561">
        <v>0</v>
      </c>
      <c r="H39" s="561">
        <v>0</v>
      </c>
      <c r="I39" s="561">
        <v>0</v>
      </c>
      <c r="J39" s="561">
        <v>0</v>
      </c>
      <c r="K39" s="561">
        <v>0</v>
      </c>
      <c r="L39" s="561">
        <v>0</v>
      </c>
      <c r="M39" s="561">
        <v>0</v>
      </c>
      <c r="N39" s="561">
        <v>0</v>
      </c>
      <c r="O39" s="56">
        <v>2602</v>
      </c>
      <c r="P39" s="554"/>
      <c r="Q39" s="553" t="s">
        <v>3307</v>
      </c>
    </row>
    <row r="40" spans="1:17" ht="15.75" thickBot="1">
      <c r="C40" s="55" t="s">
        <v>15749</v>
      </c>
      <c r="D40" s="561">
        <v>0</v>
      </c>
      <c r="E40" s="561">
        <v>0</v>
      </c>
      <c r="F40" s="561">
        <v>0</v>
      </c>
      <c r="G40" s="561">
        <v>0</v>
      </c>
      <c r="H40" s="561">
        <v>0</v>
      </c>
      <c r="I40" s="561">
        <v>0</v>
      </c>
      <c r="J40" s="561">
        <v>0</v>
      </c>
      <c r="K40" s="561">
        <v>0</v>
      </c>
      <c r="L40" s="561">
        <v>0</v>
      </c>
      <c r="M40" s="561">
        <v>0</v>
      </c>
      <c r="N40" s="561">
        <v>0</v>
      </c>
      <c r="O40" s="58">
        <v>9491</v>
      </c>
      <c r="P40" s="554"/>
      <c r="Q40" s="553" t="s">
        <v>3309</v>
      </c>
    </row>
    <row r="41" spans="1:17" ht="15.75" thickBot="1">
      <c r="C41" s="55" t="s">
        <v>15749</v>
      </c>
      <c r="D41" s="572">
        <f>D39+D40</f>
        <v>0</v>
      </c>
      <c r="E41" s="572">
        <f t="shared" ref="E41:J41" si="15">E39+E40</f>
        <v>0</v>
      </c>
      <c r="F41" s="572">
        <f t="shared" si="15"/>
        <v>0</v>
      </c>
      <c r="G41" s="572">
        <f t="shared" si="15"/>
        <v>0</v>
      </c>
      <c r="H41" s="572">
        <f t="shared" si="15"/>
        <v>0</v>
      </c>
      <c r="I41" s="572">
        <f t="shared" si="15"/>
        <v>0</v>
      </c>
      <c r="J41" s="572">
        <f t="shared" si="15"/>
        <v>0</v>
      </c>
      <c r="K41" s="572">
        <f>K39+K40</f>
        <v>0</v>
      </c>
      <c r="L41" s="572">
        <f>L39+L40</f>
        <v>0</v>
      </c>
      <c r="M41" s="572">
        <f>M39+M40</f>
        <v>0</v>
      </c>
      <c r="N41" s="572">
        <f>N39+N40</f>
        <v>0</v>
      </c>
      <c r="O41" s="572">
        <f>O39+O40</f>
        <v>12093</v>
      </c>
      <c r="P41" s="554"/>
      <c r="Q41" s="553"/>
    </row>
    <row r="42" spans="1:17">
      <c r="A42" s="553" t="s">
        <v>5428</v>
      </c>
      <c r="B42" s="553" t="s">
        <v>4819</v>
      </c>
      <c r="C42" s="55" t="s">
        <v>15750</v>
      </c>
      <c r="D42" s="561">
        <v>0</v>
      </c>
      <c r="E42" s="561">
        <v>0</v>
      </c>
      <c r="F42" s="561">
        <v>0</v>
      </c>
      <c r="G42" s="561">
        <v>0</v>
      </c>
      <c r="H42" s="561">
        <v>0</v>
      </c>
      <c r="I42" s="561">
        <v>0</v>
      </c>
      <c r="J42" s="561">
        <v>0</v>
      </c>
      <c r="K42" s="561">
        <v>0</v>
      </c>
      <c r="L42" s="561">
        <v>0</v>
      </c>
      <c r="M42" s="561">
        <v>0</v>
      </c>
      <c r="N42" s="561">
        <v>0</v>
      </c>
      <c r="O42" s="58">
        <v>10386</v>
      </c>
      <c r="P42" s="554"/>
      <c r="Q42" s="553" t="s">
        <v>3307</v>
      </c>
    </row>
    <row r="43" spans="1:17">
      <c r="A43" s="553" t="s">
        <v>5429</v>
      </c>
      <c r="B43" s="553" t="s">
        <v>4820</v>
      </c>
      <c r="C43" s="55" t="s">
        <v>15751</v>
      </c>
      <c r="D43" s="561">
        <v>0</v>
      </c>
      <c r="E43" s="561">
        <v>0</v>
      </c>
      <c r="F43" s="561">
        <v>0</v>
      </c>
      <c r="G43" s="561">
        <v>0</v>
      </c>
      <c r="H43" s="561">
        <v>0</v>
      </c>
      <c r="I43" s="561">
        <v>0</v>
      </c>
      <c r="J43" s="561">
        <v>0</v>
      </c>
      <c r="K43" s="561">
        <v>0</v>
      </c>
      <c r="L43" s="561">
        <v>0</v>
      </c>
      <c r="M43" s="561">
        <v>0</v>
      </c>
      <c r="N43" s="561">
        <v>0</v>
      </c>
      <c r="O43" s="56">
        <v>9804</v>
      </c>
      <c r="P43" s="554"/>
      <c r="Q43" s="553" t="s">
        <v>3309</v>
      </c>
    </row>
    <row r="44" spans="1:17">
      <c r="A44" s="553" t="s">
        <v>5431</v>
      </c>
      <c r="B44" s="553" t="s">
        <v>4821</v>
      </c>
      <c r="C44" s="55" t="s">
        <v>15752</v>
      </c>
      <c r="D44" s="561">
        <v>0</v>
      </c>
      <c r="E44" s="561">
        <v>0</v>
      </c>
      <c r="F44" s="561">
        <v>0</v>
      </c>
      <c r="G44" s="561">
        <v>0</v>
      </c>
      <c r="H44" s="561">
        <v>0</v>
      </c>
      <c r="I44" s="561">
        <v>0</v>
      </c>
      <c r="J44" s="561">
        <v>0</v>
      </c>
      <c r="K44" s="561">
        <v>0</v>
      </c>
      <c r="L44" s="561">
        <v>0</v>
      </c>
      <c r="M44" s="561">
        <v>0</v>
      </c>
      <c r="N44" s="561">
        <v>0</v>
      </c>
      <c r="O44" s="56">
        <v>4682</v>
      </c>
      <c r="P44" s="554"/>
      <c r="Q44" s="553" t="s">
        <v>3307</v>
      </c>
    </row>
    <row r="45" spans="1:17" ht="15.75" thickBot="1">
      <c r="C45" s="55" t="s">
        <v>15752</v>
      </c>
      <c r="D45" s="561">
        <v>0</v>
      </c>
      <c r="E45" s="561">
        <v>0</v>
      </c>
      <c r="F45" s="561">
        <v>0</v>
      </c>
      <c r="G45" s="561">
        <v>0</v>
      </c>
      <c r="H45" s="561">
        <v>0</v>
      </c>
      <c r="I45" s="561">
        <v>0</v>
      </c>
      <c r="J45" s="561">
        <v>0</v>
      </c>
      <c r="K45" s="561">
        <v>0</v>
      </c>
      <c r="L45" s="561">
        <v>0</v>
      </c>
      <c r="M45" s="561">
        <v>0</v>
      </c>
      <c r="N45" s="561">
        <v>0</v>
      </c>
      <c r="O45" s="56">
        <v>17</v>
      </c>
      <c r="P45" s="554"/>
      <c r="Q45" s="553" t="s">
        <v>3309</v>
      </c>
    </row>
    <row r="46" spans="1:17" ht="15.75" thickBot="1">
      <c r="C46" s="55" t="s">
        <v>15752</v>
      </c>
      <c r="D46" s="572">
        <f>D44+D45</f>
        <v>0</v>
      </c>
      <c r="E46" s="572">
        <f t="shared" ref="E46:J46" si="16">E44+E45</f>
        <v>0</v>
      </c>
      <c r="F46" s="572">
        <f t="shared" si="16"/>
        <v>0</v>
      </c>
      <c r="G46" s="572">
        <f t="shared" si="16"/>
        <v>0</v>
      </c>
      <c r="H46" s="572">
        <f t="shared" si="16"/>
        <v>0</v>
      </c>
      <c r="I46" s="572">
        <f t="shared" si="16"/>
        <v>0</v>
      </c>
      <c r="J46" s="572">
        <f t="shared" si="16"/>
        <v>0</v>
      </c>
      <c r="K46" s="572">
        <f>K44+K45</f>
        <v>0</v>
      </c>
      <c r="L46" s="572">
        <f>L44+L45</f>
        <v>0</v>
      </c>
      <c r="M46" s="572">
        <f>M44+M45</f>
        <v>0</v>
      </c>
      <c r="N46" s="572">
        <f>N44+N45</f>
        <v>0</v>
      </c>
      <c r="O46" s="572">
        <f>O44+O45</f>
        <v>4699</v>
      </c>
      <c r="P46" s="554"/>
      <c r="Q46" s="553"/>
    </row>
    <row r="47" spans="1:17">
      <c r="A47" s="553" t="s">
        <v>5433</v>
      </c>
      <c r="B47" s="553" t="s">
        <v>15738</v>
      </c>
      <c r="C47" s="55" t="s">
        <v>15753</v>
      </c>
      <c r="D47" s="561">
        <v>0</v>
      </c>
      <c r="E47" s="561">
        <v>0</v>
      </c>
      <c r="F47" s="561">
        <v>0</v>
      </c>
      <c r="G47" s="561">
        <v>0</v>
      </c>
      <c r="H47" s="561">
        <v>0</v>
      </c>
      <c r="I47" s="561">
        <v>0</v>
      </c>
      <c r="J47" s="561">
        <v>0</v>
      </c>
      <c r="K47" s="561">
        <v>0</v>
      </c>
      <c r="L47" s="561">
        <v>0</v>
      </c>
      <c r="M47" s="561">
        <v>0</v>
      </c>
      <c r="N47" s="561">
        <v>0</v>
      </c>
      <c r="O47" s="56">
        <v>5329</v>
      </c>
      <c r="P47" s="554"/>
      <c r="Q47" s="553" t="s">
        <v>3307</v>
      </c>
    </row>
    <row r="48" spans="1:17">
      <c r="A48" s="553" t="s">
        <v>5435</v>
      </c>
      <c r="B48" s="553" t="s">
        <v>4822</v>
      </c>
      <c r="C48" s="55" t="s">
        <v>15754</v>
      </c>
      <c r="D48" s="561">
        <v>0</v>
      </c>
      <c r="E48" s="561">
        <v>0</v>
      </c>
      <c r="F48" s="561">
        <v>0</v>
      </c>
      <c r="G48" s="561">
        <v>0</v>
      </c>
      <c r="H48" s="561">
        <v>0</v>
      </c>
      <c r="I48" s="561">
        <v>0</v>
      </c>
      <c r="J48" s="561">
        <v>0</v>
      </c>
      <c r="K48" s="561">
        <v>0</v>
      </c>
      <c r="L48" s="561">
        <v>0</v>
      </c>
      <c r="M48" s="561">
        <v>0</v>
      </c>
      <c r="N48" s="561">
        <v>0</v>
      </c>
      <c r="O48" s="56">
        <v>12187</v>
      </c>
      <c r="P48" s="554"/>
      <c r="Q48" s="553" t="s">
        <v>3310</v>
      </c>
    </row>
    <row r="49" spans="1:17">
      <c r="A49" s="553" t="s">
        <v>5436</v>
      </c>
      <c r="B49" s="553" t="s">
        <v>4823</v>
      </c>
      <c r="C49" s="55" t="s">
        <v>15755</v>
      </c>
      <c r="D49" s="561">
        <v>0</v>
      </c>
      <c r="E49" s="561">
        <v>0</v>
      </c>
      <c r="F49" s="561">
        <v>0</v>
      </c>
      <c r="G49" s="561">
        <v>0</v>
      </c>
      <c r="H49" s="561">
        <v>0</v>
      </c>
      <c r="I49" s="561">
        <v>0</v>
      </c>
      <c r="J49" s="561">
        <v>0</v>
      </c>
      <c r="K49" s="561">
        <v>0</v>
      </c>
      <c r="L49" s="561">
        <v>0</v>
      </c>
      <c r="M49" s="561">
        <v>0</v>
      </c>
      <c r="N49" s="561">
        <v>0</v>
      </c>
      <c r="O49" s="56">
        <v>1372</v>
      </c>
      <c r="P49" s="554"/>
      <c r="Q49" s="553" t="s">
        <v>3307</v>
      </c>
    </row>
    <row r="50" spans="1:17" ht="15.75" thickBot="1">
      <c r="C50" s="55" t="s">
        <v>15755</v>
      </c>
      <c r="D50" s="561">
        <v>0</v>
      </c>
      <c r="E50" s="561">
        <v>0</v>
      </c>
      <c r="F50" s="561">
        <v>0</v>
      </c>
      <c r="G50" s="561">
        <v>0</v>
      </c>
      <c r="H50" s="561">
        <v>0</v>
      </c>
      <c r="I50" s="561">
        <v>0</v>
      </c>
      <c r="J50" s="561">
        <v>0</v>
      </c>
      <c r="K50" s="561">
        <v>0</v>
      </c>
      <c r="L50" s="561">
        <v>0</v>
      </c>
      <c r="M50" s="561">
        <v>0</v>
      </c>
      <c r="N50" s="561">
        <v>0</v>
      </c>
      <c r="O50" s="56">
        <v>9383</v>
      </c>
      <c r="P50" s="554"/>
      <c r="Q50" s="553" t="s">
        <v>3309</v>
      </c>
    </row>
    <row r="51" spans="1:17" ht="15.75" thickBot="1">
      <c r="C51" s="55" t="s">
        <v>15755</v>
      </c>
      <c r="D51" s="572">
        <f>D49+D50</f>
        <v>0</v>
      </c>
      <c r="E51" s="572">
        <f t="shared" ref="E51:J51" si="17">E49+E50</f>
        <v>0</v>
      </c>
      <c r="F51" s="572">
        <f t="shared" si="17"/>
        <v>0</v>
      </c>
      <c r="G51" s="572">
        <f t="shared" si="17"/>
        <v>0</v>
      </c>
      <c r="H51" s="572">
        <f t="shared" si="17"/>
        <v>0</v>
      </c>
      <c r="I51" s="572">
        <f t="shared" si="17"/>
        <v>0</v>
      </c>
      <c r="J51" s="572">
        <f t="shared" si="17"/>
        <v>0</v>
      </c>
      <c r="K51" s="572">
        <f>K49+K50</f>
        <v>0</v>
      </c>
      <c r="L51" s="572">
        <f>L49+L50</f>
        <v>0</v>
      </c>
      <c r="M51" s="572">
        <f>M49+M50</f>
        <v>0</v>
      </c>
      <c r="N51" s="572">
        <f>N49+N50</f>
        <v>0</v>
      </c>
      <c r="O51" s="572">
        <f>O49+O50</f>
        <v>10755</v>
      </c>
      <c r="P51" s="554"/>
      <c r="Q51" s="553"/>
    </row>
    <row r="52" spans="1:17">
      <c r="A52" s="553" t="s">
        <v>5437</v>
      </c>
      <c r="B52" s="553" t="s">
        <v>4824</v>
      </c>
      <c r="C52" s="55" t="s">
        <v>15756</v>
      </c>
      <c r="D52" s="561">
        <v>0</v>
      </c>
      <c r="E52" s="561">
        <v>0</v>
      </c>
      <c r="F52" s="561">
        <v>0</v>
      </c>
      <c r="G52" s="561">
        <v>0</v>
      </c>
      <c r="H52" s="561">
        <v>0</v>
      </c>
      <c r="I52" s="561">
        <v>0</v>
      </c>
      <c r="J52" s="561">
        <v>0</v>
      </c>
      <c r="K52" s="561">
        <v>0</v>
      </c>
      <c r="L52" s="561">
        <v>0</v>
      </c>
      <c r="M52" s="561">
        <v>0</v>
      </c>
      <c r="N52" s="561">
        <v>0</v>
      </c>
      <c r="O52" s="56">
        <v>11635</v>
      </c>
      <c r="P52" s="554"/>
      <c r="Q52" s="553" t="s">
        <v>3310</v>
      </c>
    </row>
    <row r="53" spans="1:17">
      <c r="A53" s="553">
        <v>19</v>
      </c>
      <c r="B53" s="553" t="s">
        <v>4825</v>
      </c>
      <c r="C53" s="55" t="s">
        <v>15757</v>
      </c>
      <c r="D53" s="561">
        <v>0</v>
      </c>
      <c r="E53" s="561">
        <v>0</v>
      </c>
      <c r="F53" s="561">
        <v>0</v>
      </c>
      <c r="G53" s="561">
        <v>0</v>
      </c>
      <c r="H53" s="561">
        <v>0</v>
      </c>
      <c r="I53" s="561">
        <v>0</v>
      </c>
      <c r="J53" s="561">
        <v>0</v>
      </c>
      <c r="K53" s="561">
        <v>0</v>
      </c>
      <c r="L53" s="561">
        <v>0</v>
      </c>
      <c r="M53" s="561">
        <v>0</v>
      </c>
      <c r="N53" s="561">
        <v>0</v>
      </c>
      <c r="O53" s="56">
        <v>11399</v>
      </c>
      <c r="P53" s="554"/>
      <c r="Q53" s="553" t="s">
        <v>3307</v>
      </c>
    </row>
    <row r="54" spans="1:17">
      <c r="A54" s="553"/>
      <c r="B54" s="553"/>
      <c r="C54" s="55"/>
      <c r="D54" s="561"/>
      <c r="E54" s="561"/>
      <c r="F54" s="561"/>
      <c r="G54" s="561"/>
      <c r="H54" s="56"/>
      <c r="I54" s="56"/>
      <c r="J54" s="56"/>
      <c r="K54" s="56"/>
      <c r="L54" s="56"/>
      <c r="M54" s="56"/>
      <c r="N54" s="56"/>
      <c r="O54" s="56"/>
      <c r="P54" s="554"/>
      <c r="Q54" s="553"/>
    </row>
    <row r="55" spans="1:17">
      <c r="A55" s="554" t="s">
        <v>4826</v>
      </c>
      <c r="B55" s="554"/>
      <c r="C55" s="554"/>
      <c r="D55" s="554"/>
      <c r="E55" s="554"/>
      <c r="F55" s="554"/>
      <c r="G55" s="554"/>
      <c r="H55" s="554"/>
      <c r="I55" s="554"/>
      <c r="J55" s="554"/>
      <c r="K55" s="554"/>
      <c r="L55" s="554"/>
      <c r="M55" s="554"/>
      <c r="N55" s="554"/>
      <c r="O55" s="554"/>
      <c r="P55" s="554"/>
      <c r="Q55" s="554"/>
    </row>
    <row r="56" spans="1:17">
      <c r="A56" s="142" t="s">
        <v>15791</v>
      </c>
    </row>
    <row r="57" spans="1:17">
      <c r="A57" s="142" t="s">
        <v>4834</v>
      </c>
    </row>
    <row r="59" spans="1:17">
      <c r="A59" s="1008" t="s">
        <v>16023</v>
      </c>
    </row>
    <row r="60" spans="1:17">
      <c r="A60" s="167" t="s">
        <v>16099</v>
      </c>
    </row>
  </sheetData>
  <phoneticPr fontId="6" type="noConversion"/>
  <printOptions gridLinesSet="0"/>
  <pageMargins left="0.78740157480314965" right="0" top="0.51181102362204722" bottom="0.51181102362204722" header="0.51181102362204722" footer="0.51181102362204722"/>
  <pageSetup paperSize="9" scale="90" orientation="portrait" horizontalDpi="300" verticalDpi="300" r:id="rId1"/>
  <headerFooter alignWithMargins="0">
    <oddFooter>&amp;C&amp;"Times New Roman,Regular"&amp;8&amp;P of &amp;N</oddFooter>
  </headerFooter>
  <ignoredErrors>
    <ignoredError sqref="D4 E4 F4 G4 D5:D6 E5:E6 F5:F6 G5:G6 H4 H5:H6 I4:I6 I10:I11 I8 J4:J6 K4:K6 L4:L6 D8 E8 F8 G8 H8 J8 K8 L8 D10:D11 E10:E11 F10:F11 G10:G11 H10:H11 J10:J11 K10:K11 L10:L11 I13:I25 D13:D25 E13:E25 F13:F25 G13:G25 H13:H25 J13:J25 K13:K25 L13:L25"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dimension ref="A1:Q292"/>
  <sheetViews>
    <sheetView showGridLines="0" zoomScale="90" zoomScaleNormal="90" workbookViewId="0">
      <selection activeCell="Q115" sqref="Q115"/>
    </sheetView>
  </sheetViews>
  <sheetFormatPr defaultColWidth="12.5703125" defaultRowHeight="15"/>
  <cols>
    <col min="1" max="1" width="4.85546875" style="141" customWidth="1"/>
    <col min="2" max="2" width="40.5703125" style="141" customWidth="1"/>
    <col min="3" max="3" width="11.5703125" style="141" customWidth="1"/>
    <col min="4" max="12" width="10.140625" style="141" customWidth="1"/>
    <col min="13" max="15" width="10" style="141" customWidth="1"/>
    <col min="16" max="16" width="2.28515625" style="141" customWidth="1"/>
    <col min="17" max="17" width="35.85546875" style="141" customWidth="1"/>
    <col min="18" max="16384" width="12.5703125" style="141"/>
  </cols>
  <sheetData>
    <row r="1" spans="1:17">
      <c r="A1" s="540" t="s">
        <v>6924</v>
      </c>
      <c r="B1" s="410"/>
      <c r="C1" s="410"/>
      <c r="D1" s="541">
        <v>2010</v>
      </c>
      <c r="E1" s="541">
        <v>2011</v>
      </c>
      <c r="F1" s="541">
        <v>2012</v>
      </c>
      <c r="G1" s="541">
        <v>2013</v>
      </c>
      <c r="H1" s="541">
        <v>2014</v>
      </c>
      <c r="I1" s="541">
        <v>2015</v>
      </c>
      <c r="J1" s="541">
        <v>2016</v>
      </c>
      <c r="K1" s="541">
        <v>2017</v>
      </c>
      <c r="L1" s="541">
        <v>2018</v>
      </c>
      <c r="M1" s="541">
        <v>2019</v>
      </c>
      <c r="N1" s="541">
        <v>2020</v>
      </c>
      <c r="O1" s="958" t="s">
        <v>14823</v>
      </c>
      <c r="P1" s="410"/>
    </row>
    <row r="2" spans="1:17">
      <c r="A2" s="410"/>
      <c r="B2" s="410"/>
      <c r="C2" s="410"/>
      <c r="D2" s="410"/>
      <c r="E2" s="410"/>
      <c r="F2" s="410"/>
      <c r="G2" s="410"/>
      <c r="H2" s="410"/>
      <c r="I2" s="410"/>
      <c r="J2" s="410"/>
      <c r="K2" s="410"/>
      <c r="L2" s="410"/>
      <c r="M2" s="410"/>
      <c r="N2" s="410"/>
      <c r="O2" s="410"/>
      <c r="P2" s="410"/>
      <c r="Q2" s="410"/>
    </row>
    <row r="3" spans="1:17">
      <c r="A3" s="540" t="s">
        <v>6645</v>
      </c>
      <c r="B3" s="410"/>
      <c r="C3" s="410"/>
      <c r="D3" s="542">
        <f t="shared" ref="D3:I3" si="0">SUM(D5:D11)</f>
        <v>532705</v>
      </c>
      <c r="E3" s="542">
        <f t="shared" si="0"/>
        <v>534928</v>
      </c>
      <c r="F3" s="542">
        <f t="shared" si="0"/>
        <v>536244</v>
      </c>
      <c r="G3" s="542">
        <f t="shared" si="0"/>
        <v>534542</v>
      </c>
      <c r="H3" s="542">
        <f t="shared" si="0"/>
        <v>538485</v>
      </c>
      <c r="I3" s="542">
        <f t="shared" si="0"/>
        <v>521797</v>
      </c>
      <c r="J3" s="542">
        <f t="shared" ref="J3:O3" si="1">SUM(J5:J11)</f>
        <v>521281</v>
      </c>
      <c r="K3" s="542">
        <f t="shared" si="1"/>
        <v>536375</v>
      </c>
      <c r="L3" s="542">
        <f t="shared" si="1"/>
        <v>537728</v>
      </c>
      <c r="M3" s="542">
        <f t="shared" si="1"/>
        <v>534518</v>
      </c>
      <c r="N3" s="542">
        <f t="shared" si="1"/>
        <v>552906</v>
      </c>
      <c r="O3" s="542">
        <f t="shared" si="1"/>
        <v>551904</v>
      </c>
      <c r="P3" s="410"/>
    </row>
    <row r="4" spans="1:17">
      <c r="A4" s="410"/>
      <c r="B4" s="410"/>
      <c r="C4" s="410"/>
      <c r="D4" s="543"/>
      <c r="E4" s="543"/>
      <c r="F4" s="543"/>
      <c r="G4" s="543"/>
      <c r="H4" s="543"/>
      <c r="I4" s="543"/>
      <c r="J4" s="543"/>
      <c r="K4" s="543"/>
      <c r="L4" s="543"/>
      <c r="M4" s="543"/>
      <c r="N4" s="543"/>
      <c r="O4" s="543"/>
      <c r="P4" s="410"/>
      <c r="Q4" s="410"/>
    </row>
    <row r="5" spans="1:17">
      <c r="A5" s="540" t="s">
        <v>1425</v>
      </c>
      <c r="C5" s="540"/>
      <c r="D5" s="542">
        <f t="shared" ref="D5:I5" si="2">D48</f>
        <v>44167</v>
      </c>
      <c r="E5" s="542">
        <f t="shared" si="2"/>
        <v>44117</v>
      </c>
      <c r="F5" s="542">
        <f t="shared" si="2"/>
        <v>44030</v>
      </c>
      <c r="G5" s="542">
        <f t="shared" si="2"/>
        <v>43915</v>
      </c>
      <c r="H5" s="542">
        <f t="shared" si="2"/>
        <v>43313</v>
      </c>
      <c r="I5" s="542">
        <f t="shared" si="2"/>
        <v>40833</v>
      </c>
      <c r="J5" s="542">
        <f t="shared" ref="J5:O5" si="3">J48</f>
        <v>39834</v>
      </c>
      <c r="K5" s="542">
        <f t="shared" si="3"/>
        <v>39739</v>
      </c>
      <c r="L5" s="542">
        <f t="shared" si="3"/>
        <v>40157</v>
      </c>
      <c r="M5" s="542">
        <f t="shared" si="3"/>
        <v>40526</v>
      </c>
      <c r="N5" s="542">
        <f t="shared" si="3"/>
        <v>41254</v>
      </c>
      <c r="O5" s="542">
        <f t="shared" si="3"/>
        <v>41259</v>
      </c>
      <c r="P5" s="410"/>
      <c r="Q5" s="544"/>
    </row>
    <row r="6" spans="1:17">
      <c r="A6" s="540" t="s">
        <v>1426</v>
      </c>
      <c r="C6" s="540"/>
      <c r="D6" s="542">
        <f t="shared" ref="D6:I6" si="4">D72</f>
        <v>105825</v>
      </c>
      <c r="E6" s="542">
        <f t="shared" si="4"/>
        <v>104586</v>
      </c>
      <c r="F6" s="542">
        <f t="shared" si="4"/>
        <v>104757</v>
      </c>
      <c r="G6" s="542">
        <f t="shared" si="4"/>
        <v>101192</v>
      </c>
      <c r="H6" s="542">
        <f t="shared" si="4"/>
        <v>106037</v>
      </c>
      <c r="I6" s="542">
        <f t="shared" si="4"/>
        <v>100037</v>
      </c>
      <c r="J6" s="542">
        <f t="shared" ref="J6:O6" si="5">J72</f>
        <v>102964</v>
      </c>
      <c r="K6" s="542">
        <f t="shared" si="5"/>
        <v>107124</v>
      </c>
      <c r="L6" s="542">
        <f t="shared" si="5"/>
        <v>108850</v>
      </c>
      <c r="M6" s="542">
        <f t="shared" si="5"/>
        <v>108567</v>
      </c>
      <c r="N6" s="542">
        <f t="shared" si="5"/>
        <v>111240</v>
      </c>
      <c r="O6" s="542">
        <f t="shared" si="5"/>
        <v>110506</v>
      </c>
      <c r="P6" s="410"/>
      <c r="Q6" s="544"/>
    </row>
    <row r="7" spans="1:17">
      <c r="A7" s="540" t="s">
        <v>1427</v>
      </c>
      <c r="C7" s="540"/>
      <c r="D7" s="542">
        <f t="shared" ref="D7:I7" si="6">D122</f>
        <v>63464</v>
      </c>
      <c r="E7" s="542">
        <f t="shared" si="6"/>
        <v>63215</v>
      </c>
      <c r="F7" s="542">
        <f t="shared" si="6"/>
        <v>63266</v>
      </c>
      <c r="G7" s="542">
        <f t="shared" si="6"/>
        <v>62447</v>
      </c>
      <c r="H7" s="542">
        <f t="shared" si="6"/>
        <v>61327</v>
      </c>
      <c r="I7" s="542">
        <f t="shared" si="6"/>
        <v>60111</v>
      </c>
      <c r="J7" s="542">
        <f t="shared" ref="J7:O7" si="7">J122</f>
        <v>57705</v>
      </c>
      <c r="K7" s="542">
        <f t="shared" si="7"/>
        <v>58963</v>
      </c>
      <c r="L7" s="542">
        <f t="shared" si="7"/>
        <v>58504</v>
      </c>
      <c r="M7" s="542">
        <f t="shared" si="7"/>
        <v>56908</v>
      </c>
      <c r="N7" s="542">
        <f t="shared" si="7"/>
        <v>64324</v>
      </c>
      <c r="O7" s="542">
        <f t="shared" si="7"/>
        <v>63939</v>
      </c>
      <c r="P7" s="410"/>
      <c r="Q7" s="544"/>
    </row>
    <row r="8" spans="1:17">
      <c r="A8" s="540" t="s">
        <v>1428</v>
      </c>
      <c r="C8" s="540"/>
      <c r="D8" s="542">
        <f t="shared" ref="D8:I8" si="8">D142</f>
        <v>81126</v>
      </c>
      <c r="E8" s="542">
        <f t="shared" si="8"/>
        <v>81989</v>
      </c>
      <c r="F8" s="542">
        <f t="shared" si="8"/>
        <v>83130</v>
      </c>
      <c r="G8" s="542">
        <f t="shared" si="8"/>
        <v>83815</v>
      </c>
      <c r="H8" s="542">
        <f t="shared" si="8"/>
        <v>84539</v>
      </c>
      <c r="I8" s="542">
        <f t="shared" si="8"/>
        <v>81591</v>
      </c>
      <c r="J8" s="542">
        <f t="shared" ref="J8:O8" si="9">J142</f>
        <v>83059</v>
      </c>
      <c r="K8" s="542">
        <f t="shared" si="9"/>
        <v>85520</v>
      </c>
      <c r="L8" s="542">
        <f t="shared" si="9"/>
        <v>86946</v>
      </c>
      <c r="M8" s="542">
        <f t="shared" si="9"/>
        <v>87893</v>
      </c>
      <c r="N8" s="542">
        <f t="shared" si="9"/>
        <v>91902</v>
      </c>
      <c r="O8" s="542">
        <f t="shared" si="9"/>
        <v>90165</v>
      </c>
      <c r="P8" s="410"/>
      <c r="Q8" s="544"/>
    </row>
    <row r="9" spans="1:17">
      <c r="A9" s="540" t="s">
        <v>1429</v>
      </c>
      <c r="C9" s="540"/>
      <c r="D9" s="542">
        <f t="shared" ref="D9:I9" si="10">D178</f>
        <v>66166</v>
      </c>
      <c r="E9" s="542">
        <f t="shared" si="10"/>
        <v>66318</v>
      </c>
      <c r="F9" s="542">
        <f t="shared" si="10"/>
        <v>66084</v>
      </c>
      <c r="G9" s="542">
        <f t="shared" si="10"/>
        <v>65930</v>
      </c>
      <c r="H9" s="542">
        <f t="shared" si="10"/>
        <v>64854</v>
      </c>
      <c r="I9" s="542">
        <f t="shared" si="10"/>
        <v>64719</v>
      </c>
      <c r="J9" s="542">
        <f t="shared" ref="J9:O9" si="11">J178</f>
        <v>63636</v>
      </c>
      <c r="K9" s="542">
        <f t="shared" si="11"/>
        <v>66560</v>
      </c>
      <c r="L9" s="542">
        <f t="shared" si="11"/>
        <v>65795</v>
      </c>
      <c r="M9" s="542">
        <f t="shared" si="11"/>
        <v>65096</v>
      </c>
      <c r="N9" s="542">
        <f t="shared" si="11"/>
        <v>65479</v>
      </c>
      <c r="O9" s="542">
        <f t="shared" si="11"/>
        <v>65069</v>
      </c>
      <c r="P9" s="410"/>
      <c r="Q9" s="544"/>
    </row>
    <row r="10" spans="1:17">
      <c r="A10" s="540" t="s">
        <v>1430</v>
      </c>
      <c r="C10" s="540"/>
      <c r="D10" s="542">
        <f t="shared" ref="D10:I10" si="12">D205</f>
        <v>100933</v>
      </c>
      <c r="E10" s="542">
        <f t="shared" si="12"/>
        <v>102758</v>
      </c>
      <c r="F10" s="542">
        <f t="shared" si="12"/>
        <v>102743</v>
      </c>
      <c r="G10" s="542">
        <f t="shared" si="12"/>
        <v>104467</v>
      </c>
      <c r="H10" s="542">
        <f t="shared" si="12"/>
        <v>105100</v>
      </c>
      <c r="I10" s="542">
        <f t="shared" si="12"/>
        <v>102679</v>
      </c>
      <c r="J10" s="542">
        <f t="shared" ref="J10:O10" si="13">J205</f>
        <v>101682</v>
      </c>
      <c r="K10" s="542">
        <f t="shared" si="13"/>
        <v>105585</v>
      </c>
      <c r="L10" s="542">
        <f t="shared" si="13"/>
        <v>104537</v>
      </c>
      <c r="M10" s="542">
        <f t="shared" si="13"/>
        <v>103129</v>
      </c>
      <c r="N10" s="542">
        <f t="shared" si="13"/>
        <v>104918</v>
      </c>
      <c r="O10" s="542">
        <f t="shared" si="13"/>
        <v>106216</v>
      </c>
      <c r="P10" s="410"/>
      <c r="Q10" s="544"/>
    </row>
    <row r="11" spans="1:17">
      <c r="A11" s="540" t="s">
        <v>909</v>
      </c>
      <c r="C11" s="540"/>
      <c r="D11" s="542">
        <f t="shared" ref="D11:I11" si="14">D252</f>
        <v>71024</v>
      </c>
      <c r="E11" s="542">
        <f t="shared" si="14"/>
        <v>71945</v>
      </c>
      <c r="F11" s="542">
        <f t="shared" si="14"/>
        <v>72234</v>
      </c>
      <c r="G11" s="542">
        <f t="shared" si="14"/>
        <v>72776</v>
      </c>
      <c r="H11" s="542">
        <f t="shared" si="14"/>
        <v>73315</v>
      </c>
      <c r="I11" s="542">
        <f t="shared" si="14"/>
        <v>71827</v>
      </c>
      <c r="J11" s="542">
        <f t="shared" ref="J11:O11" si="15">J252</f>
        <v>72401</v>
      </c>
      <c r="K11" s="542">
        <f t="shared" si="15"/>
        <v>72884</v>
      </c>
      <c r="L11" s="542">
        <f t="shared" si="15"/>
        <v>72939</v>
      </c>
      <c r="M11" s="542">
        <f t="shared" si="15"/>
        <v>72399</v>
      </c>
      <c r="N11" s="542">
        <f t="shared" si="15"/>
        <v>73789</v>
      </c>
      <c r="O11" s="542">
        <f t="shared" si="15"/>
        <v>74750</v>
      </c>
      <c r="P11" s="410"/>
      <c r="Q11" s="544"/>
    </row>
    <row r="12" spans="1:17">
      <c r="A12" s="410"/>
      <c r="B12" s="410"/>
      <c r="C12" s="410"/>
      <c r="D12" s="410"/>
      <c r="E12" s="410"/>
      <c r="F12" s="410"/>
      <c r="G12" s="410"/>
      <c r="H12" s="410"/>
      <c r="I12" s="410"/>
      <c r="J12" s="410"/>
      <c r="K12" s="410"/>
      <c r="L12" s="410"/>
      <c r="M12" s="410"/>
      <c r="N12" s="410"/>
      <c r="O12" s="410"/>
      <c r="P12" s="410"/>
      <c r="Q12" s="410"/>
    </row>
    <row r="13" spans="1:17">
      <c r="A13" s="540" t="s">
        <v>6216</v>
      </c>
      <c r="B13" s="410"/>
      <c r="C13" s="410"/>
      <c r="D13" s="542">
        <f t="shared" ref="D13:I13" si="16">D3/7</f>
        <v>76100.71428571429</v>
      </c>
      <c r="E13" s="542">
        <f t="shared" si="16"/>
        <v>76418.28571428571</v>
      </c>
      <c r="F13" s="542">
        <f t="shared" si="16"/>
        <v>76606.28571428571</v>
      </c>
      <c r="G13" s="542">
        <f t="shared" si="16"/>
        <v>76363.142857142855</v>
      </c>
      <c r="H13" s="542">
        <f t="shared" si="16"/>
        <v>76926.428571428565</v>
      </c>
      <c r="I13" s="542">
        <f t="shared" si="16"/>
        <v>74542.428571428565</v>
      </c>
      <c r="J13" s="542">
        <f t="shared" ref="J13:O13" si="17">J3/7</f>
        <v>74468.71428571429</v>
      </c>
      <c r="K13" s="542">
        <f t="shared" si="17"/>
        <v>76625</v>
      </c>
      <c r="L13" s="542">
        <f t="shared" si="17"/>
        <v>76818.28571428571</v>
      </c>
      <c r="M13" s="542">
        <f t="shared" si="17"/>
        <v>76359.71428571429</v>
      </c>
      <c r="N13" s="542">
        <f t="shared" si="17"/>
        <v>78986.571428571435</v>
      </c>
      <c r="O13" s="542">
        <f t="shared" si="17"/>
        <v>78843.428571428565</v>
      </c>
      <c r="P13" s="410"/>
      <c r="Q13" s="410"/>
    </row>
    <row r="14" spans="1:17">
      <c r="A14" s="410"/>
      <c r="B14" s="410"/>
      <c r="C14" s="410"/>
      <c r="D14" s="543"/>
      <c r="E14" s="543"/>
      <c r="F14" s="543"/>
      <c r="G14" s="543"/>
      <c r="H14" s="543"/>
      <c r="I14" s="543"/>
      <c r="J14" s="543"/>
      <c r="K14" s="543"/>
      <c r="L14" s="543"/>
      <c r="M14" s="543"/>
      <c r="N14" s="543"/>
      <c r="O14" s="543"/>
      <c r="P14" s="410"/>
      <c r="Q14" s="410"/>
    </row>
    <row r="15" spans="1:17">
      <c r="A15" s="540" t="s">
        <v>911</v>
      </c>
      <c r="D15" s="542">
        <f t="shared" ref="D15:I15" si="18">D65</f>
        <v>44167</v>
      </c>
      <c r="E15" s="542">
        <f t="shared" si="18"/>
        <v>44117</v>
      </c>
      <c r="F15" s="542">
        <f t="shared" si="18"/>
        <v>44030</v>
      </c>
      <c r="G15" s="542">
        <f t="shared" si="18"/>
        <v>43915</v>
      </c>
      <c r="H15" s="542">
        <f t="shared" si="18"/>
        <v>43313</v>
      </c>
      <c r="I15" s="542">
        <f t="shared" si="18"/>
        <v>40833</v>
      </c>
      <c r="J15" s="542">
        <f t="shared" ref="J15:O15" si="19">J65</f>
        <v>39834</v>
      </c>
      <c r="K15" s="542">
        <f t="shared" si="19"/>
        <v>39739</v>
      </c>
      <c r="L15" s="542">
        <f t="shared" si="19"/>
        <v>40157</v>
      </c>
      <c r="M15" s="542">
        <f t="shared" si="19"/>
        <v>40526</v>
      </c>
      <c r="N15" s="542">
        <f t="shared" si="19"/>
        <v>41254</v>
      </c>
      <c r="O15" s="542">
        <f t="shared" si="19"/>
        <v>41259</v>
      </c>
      <c r="P15" s="410"/>
      <c r="Q15" s="540" t="s">
        <v>5961</v>
      </c>
    </row>
    <row r="16" spans="1:17" ht="15.75" thickBot="1">
      <c r="A16" s="410"/>
      <c r="D16" s="545">
        <f t="shared" ref="D16:I16" si="20">D113</f>
        <v>26806</v>
      </c>
      <c r="E16" s="545">
        <f t="shared" si="20"/>
        <v>26503</v>
      </c>
      <c r="F16" s="545">
        <f t="shared" si="20"/>
        <v>26698</v>
      </c>
      <c r="G16" s="545">
        <f t="shared" si="20"/>
        <v>25570</v>
      </c>
      <c r="H16" s="545">
        <f t="shared" si="20"/>
        <v>27196</v>
      </c>
      <c r="I16" s="545">
        <f t="shared" si="20"/>
        <v>25382</v>
      </c>
      <c r="J16" s="545">
        <f t="shared" ref="J16:O16" si="21">J113</f>
        <v>26416</v>
      </c>
      <c r="K16" s="545">
        <f t="shared" si="21"/>
        <v>27768</v>
      </c>
      <c r="L16" s="545">
        <f t="shared" si="21"/>
        <v>28337</v>
      </c>
      <c r="M16" s="545">
        <f t="shared" si="21"/>
        <v>28450</v>
      </c>
      <c r="N16" s="545">
        <f t="shared" si="21"/>
        <v>29113</v>
      </c>
      <c r="O16" s="545">
        <f t="shared" si="21"/>
        <v>28921</v>
      </c>
      <c r="P16" s="410"/>
      <c r="Q16" s="540" t="s">
        <v>912</v>
      </c>
    </row>
    <row r="17" spans="1:17" ht="15.75" thickBot="1">
      <c r="A17" s="410"/>
      <c r="D17" s="545">
        <f t="shared" ref="D17:I17" si="22">D15+D16</f>
        <v>70973</v>
      </c>
      <c r="E17" s="545">
        <f t="shared" si="22"/>
        <v>70620</v>
      </c>
      <c r="F17" s="545">
        <f t="shared" si="22"/>
        <v>70728</v>
      </c>
      <c r="G17" s="545">
        <f t="shared" si="22"/>
        <v>69485</v>
      </c>
      <c r="H17" s="545">
        <f t="shared" si="22"/>
        <v>70509</v>
      </c>
      <c r="I17" s="545">
        <f t="shared" si="22"/>
        <v>66215</v>
      </c>
      <c r="J17" s="545">
        <f t="shared" ref="J17:O17" si="23">J15+J16</f>
        <v>66250</v>
      </c>
      <c r="K17" s="545">
        <f t="shared" si="23"/>
        <v>67507</v>
      </c>
      <c r="L17" s="545">
        <f t="shared" si="23"/>
        <v>68494</v>
      </c>
      <c r="M17" s="545">
        <f t="shared" si="23"/>
        <v>68976</v>
      </c>
      <c r="N17" s="545">
        <f t="shared" si="23"/>
        <v>70367</v>
      </c>
      <c r="O17" s="545">
        <f t="shared" si="23"/>
        <v>70180</v>
      </c>
      <c r="P17" s="410"/>
      <c r="Q17" s="410"/>
    </row>
    <row r="18" spans="1:17">
      <c r="A18" s="410"/>
      <c r="D18" s="543"/>
      <c r="E18" s="543"/>
      <c r="F18" s="543"/>
      <c r="G18" s="543"/>
      <c r="H18" s="543"/>
      <c r="I18" s="543"/>
      <c r="J18" s="543"/>
      <c r="K18" s="543"/>
      <c r="L18" s="543"/>
      <c r="M18" s="543"/>
      <c r="N18" s="543"/>
      <c r="O18" s="543"/>
      <c r="P18" s="410"/>
      <c r="Q18" s="410"/>
    </row>
    <row r="19" spans="1:17">
      <c r="A19" s="540" t="s">
        <v>913</v>
      </c>
      <c r="D19" s="542">
        <f t="shared" ref="D19:I19" si="24">D114</f>
        <v>1809</v>
      </c>
      <c r="E19" s="542">
        <f t="shared" si="24"/>
        <v>1850</v>
      </c>
      <c r="F19" s="542">
        <f t="shared" si="24"/>
        <v>1842</v>
      </c>
      <c r="G19" s="542">
        <f t="shared" si="24"/>
        <v>1819</v>
      </c>
      <c r="H19" s="542">
        <f t="shared" si="24"/>
        <v>1975</v>
      </c>
      <c r="I19" s="542">
        <f t="shared" si="24"/>
        <v>1864</v>
      </c>
      <c r="J19" s="542">
        <f t="shared" ref="J19:O19" si="25">J114</f>
        <v>1931</v>
      </c>
      <c r="K19" s="542">
        <f t="shared" si="25"/>
        <v>2019</v>
      </c>
      <c r="L19" s="542">
        <f t="shared" si="25"/>
        <v>2041</v>
      </c>
      <c r="M19" s="542">
        <f t="shared" si="25"/>
        <v>2016</v>
      </c>
      <c r="N19" s="542">
        <f t="shared" si="25"/>
        <v>2057</v>
      </c>
      <c r="O19" s="542">
        <f t="shared" si="25"/>
        <v>2051</v>
      </c>
      <c r="P19" s="410"/>
      <c r="Q19" s="540" t="s">
        <v>912</v>
      </c>
    </row>
    <row r="20" spans="1:17" ht="15.75" thickBot="1">
      <c r="A20" s="410"/>
      <c r="D20" s="545">
        <f t="shared" ref="D20:I20" si="26">D274</f>
        <v>71024</v>
      </c>
      <c r="E20" s="545">
        <f t="shared" si="26"/>
        <v>71945</v>
      </c>
      <c r="F20" s="545">
        <f t="shared" si="26"/>
        <v>72234</v>
      </c>
      <c r="G20" s="545">
        <f t="shared" si="26"/>
        <v>72776</v>
      </c>
      <c r="H20" s="545">
        <f t="shared" si="26"/>
        <v>73315</v>
      </c>
      <c r="I20" s="545">
        <f t="shared" si="26"/>
        <v>71827</v>
      </c>
      <c r="J20" s="545">
        <f t="shared" ref="J20:O20" si="27">J274</f>
        <v>72401</v>
      </c>
      <c r="K20" s="545">
        <f t="shared" si="27"/>
        <v>72884</v>
      </c>
      <c r="L20" s="545">
        <f t="shared" si="27"/>
        <v>72939</v>
      </c>
      <c r="M20" s="545">
        <f t="shared" si="27"/>
        <v>72399</v>
      </c>
      <c r="N20" s="545">
        <f t="shared" si="27"/>
        <v>73789</v>
      </c>
      <c r="O20" s="545">
        <f t="shared" si="27"/>
        <v>74750</v>
      </c>
      <c r="P20" s="410"/>
      <c r="Q20" s="540" t="s">
        <v>6644</v>
      </c>
    </row>
    <row r="21" spans="1:17" ht="15.75" thickBot="1">
      <c r="A21" s="410"/>
      <c r="D21" s="545">
        <f t="shared" ref="D21:I21" si="28">D19+D20</f>
        <v>72833</v>
      </c>
      <c r="E21" s="545">
        <f t="shared" si="28"/>
        <v>73795</v>
      </c>
      <c r="F21" s="545">
        <f t="shared" si="28"/>
        <v>74076</v>
      </c>
      <c r="G21" s="545">
        <f t="shared" si="28"/>
        <v>74595</v>
      </c>
      <c r="H21" s="545">
        <f t="shared" si="28"/>
        <v>75290</v>
      </c>
      <c r="I21" s="545">
        <f t="shared" si="28"/>
        <v>73691</v>
      </c>
      <c r="J21" s="545">
        <f t="shared" ref="J21:O21" si="29">J19+J20</f>
        <v>74332</v>
      </c>
      <c r="K21" s="545">
        <f t="shared" si="29"/>
        <v>74903</v>
      </c>
      <c r="L21" s="545">
        <f t="shared" si="29"/>
        <v>74980</v>
      </c>
      <c r="M21" s="545">
        <f t="shared" si="29"/>
        <v>74415</v>
      </c>
      <c r="N21" s="545">
        <f t="shared" si="29"/>
        <v>75846</v>
      </c>
      <c r="O21" s="545">
        <f t="shared" si="29"/>
        <v>76801</v>
      </c>
      <c r="P21" s="410"/>
      <c r="Q21" s="410"/>
    </row>
    <row r="22" spans="1:17">
      <c r="A22" s="410"/>
      <c r="D22" s="543"/>
      <c r="E22" s="543"/>
      <c r="F22" s="543"/>
      <c r="G22" s="543"/>
      <c r="H22" s="543"/>
      <c r="I22" s="543"/>
      <c r="J22" s="543"/>
      <c r="K22" s="543"/>
      <c r="L22" s="543"/>
      <c r="M22" s="543"/>
      <c r="N22" s="543"/>
      <c r="O22" s="543"/>
      <c r="P22" s="410"/>
      <c r="Q22" s="410"/>
    </row>
    <row r="23" spans="1:17">
      <c r="A23" s="540" t="s">
        <v>2254</v>
      </c>
      <c r="D23" s="542">
        <f t="shared" ref="D23:I23" si="30">D243</f>
        <v>77694</v>
      </c>
      <c r="E23" s="542">
        <f t="shared" si="30"/>
        <v>79118</v>
      </c>
      <c r="F23" s="542">
        <f t="shared" si="30"/>
        <v>79144</v>
      </c>
      <c r="G23" s="542">
        <f t="shared" si="30"/>
        <v>80528</v>
      </c>
      <c r="H23" s="542">
        <f t="shared" si="30"/>
        <v>80750</v>
      </c>
      <c r="I23" s="542">
        <f t="shared" si="30"/>
        <v>78679</v>
      </c>
      <c r="J23" s="542">
        <f t="shared" ref="J23:O23" si="31">J243</f>
        <v>77983</v>
      </c>
      <c r="K23" s="542">
        <f t="shared" si="31"/>
        <v>81105</v>
      </c>
      <c r="L23" s="542">
        <f t="shared" si="31"/>
        <v>80347</v>
      </c>
      <c r="M23" s="542">
        <f t="shared" si="31"/>
        <v>79293</v>
      </c>
      <c r="N23" s="542">
        <f t="shared" si="31"/>
        <v>80822</v>
      </c>
      <c r="O23" s="542">
        <f t="shared" si="31"/>
        <v>81844</v>
      </c>
      <c r="P23" s="410"/>
      <c r="Q23" s="540" t="s">
        <v>2255</v>
      </c>
    </row>
    <row r="24" spans="1:17">
      <c r="A24" s="410"/>
      <c r="D24" s="543"/>
      <c r="E24" s="543"/>
      <c r="F24" s="543"/>
      <c r="G24" s="543"/>
      <c r="H24" s="543"/>
      <c r="I24" s="543"/>
      <c r="J24" s="543"/>
      <c r="K24" s="543"/>
      <c r="L24" s="543"/>
      <c r="M24" s="543"/>
      <c r="N24" s="543"/>
      <c r="O24" s="543"/>
      <c r="P24" s="410"/>
      <c r="Q24" s="410"/>
    </row>
    <row r="25" spans="1:17">
      <c r="A25" s="540" t="s">
        <v>2256</v>
      </c>
      <c r="D25" s="542">
        <f t="shared" ref="D25:I25" si="32">D135</f>
        <v>63464</v>
      </c>
      <c r="E25" s="542">
        <f t="shared" si="32"/>
        <v>63215</v>
      </c>
      <c r="F25" s="542">
        <f t="shared" si="32"/>
        <v>63266</v>
      </c>
      <c r="G25" s="542">
        <f t="shared" si="32"/>
        <v>62447</v>
      </c>
      <c r="H25" s="542">
        <f t="shared" si="32"/>
        <v>61327</v>
      </c>
      <c r="I25" s="542">
        <f t="shared" si="32"/>
        <v>60111</v>
      </c>
      <c r="J25" s="542">
        <f t="shared" ref="J25:O25" si="33">J135</f>
        <v>57705</v>
      </c>
      <c r="K25" s="542">
        <f t="shared" si="33"/>
        <v>58963</v>
      </c>
      <c r="L25" s="542">
        <f t="shared" si="33"/>
        <v>58504</v>
      </c>
      <c r="M25" s="542">
        <f t="shared" si="33"/>
        <v>56908</v>
      </c>
      <c r="N25" s="542">
        <f t="shared" si="33"/>
        <v>64324</v>
      </c>
      <c r="O25" s="542">
        <f t="shared" si="33"/>
        <v>63939</v>
      </c>
      <c r="P25" s="410"/>
      <c r="Q25" s="540" t="s">
        <v>5963</v>
      </c>
    </row>
    <row r="26" spans="1:17" ht="15.75" thickBot="1">
      <c r="A26" s="410"/>
      <c r="D26" s="545">
        <f t="shared" ref="D26:I26" si="34">D170</f>
        <v>9375</v>
      </c>
      <c r="E26" s="545">
        <f t="shared" si="34"/>
        <v>9447</v>
      </c>
      <c r="F26" s="545">
        <f t="shared" si="34"/>
        <v>9625</v>
      </c>
      <c r="G26" s="545">
        <f t="shared" si="34"/>
        <v>9622</v>
      </c>
      <c r="H26" s="545">
        <f t="shared" si="34"/>
        <v>9652</v>
      </c>
      <c r="I26" s="545">
        <f t="shared" si="34"/>
        <v>9261</v>
      </c>
      <c r="J26" s="545">
        <f t="shared" ref="J26:O26" si="35">J170</f>
        <v>9410</v>
      </c>
      <c r="K26" s="545">
        <f t="shared" si="35"/>
        <v>9766</v>
      </c>
      <c r="L26" s="545">
        <f t="shared" si="35"/>
        <v>9980</v>
      </c>
      <c r="M26" s="545">
        <f t="shared" si="35"/>
        <v>10079</v>
      </c>
      <c r="N26" s="545">
        <f t="shared" si="35"/>
        <v>10449</v>
      </c>
      <c r="O26" s="545">
        <f t="shared" si="35"/>
        <v>10189</v>
      </c>
      <c r="P26" s="410"/>
      <c r="Q26" s="540" t="s">
        <v>2257</v>
      </c>
    </row>
    <row r="27" spans="1:17" ht="15.75" thickBot="1">
      <c r="A27" s="410"/>
      <c r="D27" s="545">
        <f t="shared" ref="D27:I27" si="36">D25+D26</f>
        <v>72839</v>
      </c>
      <c r="E27" s="545">
        <f t="shared" si="36"/>
        <v>72662</v>
      </c>
      <c r="F27" s="545">
        <f t="shared" si="36"/>
        <v>72891</v>
      </c>
      <c r="G27" s="545">
        <f t="shared" si="36"/>
        <v>72069</v>
      </c>
      <c r="H27" s="545">
        <f t="shared" si="36"/>
        <v>70979</v>
      </c>
      <c r="I27" s="545">
        <f t="shared" si="36"/>
        <v>69372</v>
      </c>
      <c r="J27" s="545">
        <f t="shared" ref="J27:O27" si="37">J25+J26</f>
        <v>67115</v>
      </c>
      <c r="K27" s="545">
        <f t="shared" si="37"/>
        <v>68729</v>
      </c>
      <c r="L27" s="545">
        <f t="shared" si="37"/>
        <v>68484</v>
      </c>
      <c r="M27" s="545">
        <f t="shared" si="37"/>
        <v>66987</v>
      </c>
      <c r="N27" s="545">
        <f t="shared" si="37"/>
        <v>74773</v>
      </c>
      <c r="O27" s="545">
        <f t="shared" si="37"/>
        <v>74128</v>
      </c>
      <c r="P27" s="410"/>
      <c r="Q27" s="410"/>
    </row>
    <row r="28" spans="1:17">
      <c r="A28" s="410"/>
      <c r="D28" s="543"/>
      <c r="E28" s="543"/>
      <c r="F28" s="543"/>
      <c r="G28" s="543"/>
      <c r="H28" s="543"/>
      <c r="I28" s="543"/>
      <c r="J28" s="543"/>
      <c r="K28" s="543"/>
      <c r="L28" s="543"/>
      <c r="M28" s="543"/>
      <c r="N28" s="543"/>
      <c r="O28" s="543"/>
      <c r="P28" s="410"/>
      <c r="Q28" s="410"/>
    </row>
    <row r="29" spans="1:17">
      <c r="A29" s="540" t="s">
        <v>917</v>
      </c>
      <c r="D29" s="542">
        <f t="shared" ref="D29:I29" si="38">D115</f>
        <v>77210</v>
      </c>
      <c r="E29" s="542">
        <f t="shared" si="38"/>
        <v>76233</v>
      </c>
      <c r="F29" s="542">
        <f t="shared" si="38"/>
        <v>76217</v>
      </c>
      <c r="G29" s="542">
        <f t="shared" si="38"/>
        <v>73803</v>
      </c>
      <c r="H29" s="542">
        <f t="shared" si="38"/>
        <v>76866</v>
      </c>
      <c r="I29" s="542">
        <f t="shared" si="38"/>
        <v>72791</v>
      </c>
      <c r="J29" s="542">
        <f t="shared" ref="J29:O29" si="39">J115</f>
        <v>74617</v>
      </c>
      <c r="K29" s="542">
        <f t="shared" si="39"/>
        <v>77337</v>
      </c>
      <c r="L29" s="542">
        <f t="shared" si="39"/>
        <v>78472</v>
      </c>
      <c r="M29" s="542">
        <f t="shared" si="39"/>
        <v>78101</v>
      </c>
      <c r="N29" s="542">
        <f t="shared" si="39"/>
        <v>80070</v>
      </c>
      <c r="O29" s="542">
        <f t="shared" si="39"/>
        <v>79534</v>
      </c>
      <c r="P29" s="410"/>
      <c r="Q29" s="540" t="s">
        <v>912</v>
      </c>
    </row>
    <row r="30" spans="1:17">
      <c r="A30" s="410"/>
      <c r="D30" s="543"/>
      <c r="E30" s="543"/>
      <c r="F30" s="543"/>
      <c r="G30" s="543"/>
      <c r="H30" s="543"/>
      <c r="I30" s="543"/>
      <c r="J30" s="543"/>
      <c r="K30" s="543"/>
      <c r="L30" s="543"/>
      <c r="M30" s="543"/>
      <c r="N30" s="543"/>
      <c r="O30" s="543"/>
      <c r="P30" s="410"/>
      <c r="Q30" s="410"/>
    </row>
    <row r="31" spans="1:17">
      <c r="A31" s="540" t="s">
        <v>918</v>
      </c>
      <c r="D31" s="542">
        <f t="shared" ref="D31:I31" si="40">D171</f>
        <v>71751</v>
      </c>
      <c r="E31" s="542">
        <f t="shared" si="40"/>
        <v>72542</v>
      </c>
      <c r="F31" s="542">
        <f t="shared" si="40"/>
        <v>73505</v>
      </c>
      <c r="G31" s="542">
        <f t="shared" si="40"/>
        <v>74193</v>
      </c>
      <c r="H31" s="542">
        <f t="shared" si="40"/>
        <v>74887</v>
      </c>
      <c r="I31" s="542">
        <f t="shared" si="40"/>
        <v>72330</v>
      </c>
      <c r="J31" s="542">
        <f t="shared" ref="J31:O31" si="41">J171</f>
        <v>73649</v>
      </c>
      <c r="K31" s="542">
        <f t="shared" si="41"/>
        <v>75754</v>
      </c>
      <c r="L31" s="542">
        <f t="shared" si="41"/>
        <v>76966</v>
      </c>
      <c r="M31" s="542">
        <f t="shared" si="41"/>
        <v>77814</v>
      </c>
      <c r="N31" s="542">
        <f t="shared" si="41"/>
        <v>81453</v>
      </c>
      <c r="O31" s="542">
        <f t="shared" si="41"/>
        <v>79976</v>
      </c>
      <c r="P31" s="410"/>
      <c r="Q31" s="540" t="s">
        <v>2257</v>
      </c>
    </row>
    <row r="32" spans="1:17" ht="15.75" thickBot="1">
      <c r="A32" s="410"/>
      <c r="D32" s="545">
        <f t="shared" ref="D32:I32" si="42">D244</f>
        <v>12876</v>
      </c>
      <c r="E32" s="545">
        <f t="shared" si="42"/>
        <v>13019</v>
      </c>
      <c r="F32" s="545">
        <f t="shared" si="42"/>
        <v>12992</v>
      </c>
      <c r="G32" s="545">
        <f t="shared" si="42"/>
        <v>13160</v>
      </c>
      <c r="H32" s="545">
        <f t="shared" si="42"/>
        <v>13327</v>
      </c>
      <c r="I32" s="545">
        <f t="shared" si="42"/>
        <v>13119</v>
      </c>
      <c r="J32" s="545">
        <f t="shared" ref="J32:O32" si="43">J244</f>
        <v>13003</v>
      </c>
      <c r="K32" s="545">
        <f t="shared" si="43"/>
        <v>13413</v>
      </c>
      <c r="L32" s="545">
        <f t="shared" si="43"/>
        <v>13263</v>
      </c>
      <c r="M32" s="545">
        <f t="shared" si="43"/>
        <v>13060</v>
      </c>
      <c r="N32" s="545">
        <f t="shared" si="43"/>
        <v>13166</v>
      </c>
      <c r="O32" s="545">
        <f t="shared" si="43"/>
        <v>13302</v>
      </c>
      <c r="P32" s="410"/>
      <c r="Q32" s="540" t="s">
        <v>2255</v>
      </c>
    </row>
    <row r="33" spans="1:17" ht="15.75" thickBot="1">
      <c r="A33" s="410"/>
      <c r="D33" s="545">
        <f t="shared" ref="D33:I33" si="44">SUM(D31:D32)</f>
        <v>84627</v>
      </c>
      <c r="E33" s="545">
        <f t="shared" si="44"/>
        <v>85561</v>
      </c>
      <c r="F33" s="545">
        <f t="shared" si="44"/>
        <v>86497</v>
      </c>
      <c r="G33" s="545">
        <f t="shared" si="44"/>
        <v>87353</v>
      </c>
      <c r="H33" s="545">
        <f t="shared" si="44"/>
        <v>88214</v>
      </c>
      <c r="I33" s="545">
        <f t="shared" si="44"/>
        <v>85449</v>
      </c>
      <c r="J33" s="545">
        <f t="shared" ref="J33:O33" si="45">SUM(J31:J32)</f>
        <v>86652</v>
      </c>
      <c r="K33" s="545">
        <f t="shared" si="45"/>
        <v>89167</v>
      </c>
      <c r="L33" s="545">
        <f t="shared" si="45"/>
        <v>90229</v>
      </c>
      <c r="M33" s="545">
        <f t="shared" si="45"/>
        <v>90874</v>
      </c>
      <c r="N33" s="545">
        <f t="shared" si="45"/>
        <v>94619</v>
      </c>
      <c r="O33" s="545">
        <f t="shared" si="45"/>
        <v>93278</v>
      </c>
      <c r="P33" s="410"/>
      <c r="Q33" s="410"/>
    </row>
    <row r="34" spans="1:17">
      <c r="A34" s="410"/>
      <c r="D34" s="543"/>
      <c r="E34" s="543"/>
      <c r="F34" s="543"/>
      <c r="G34" s="543"/>
      <c r="H34" s="543"/>
      <c r="I34" s="543"/>
      <c r="J34" s="543"/>
      <c r="K34" s="543"/>
      <c r="L34" s="543"/>
      <c r="M34" s="543"/>
      <c r="N34" s="543"/>
      <c r="O34" s="543"/>
      <c r="P34" s="410"/>
      <c r="Q34" s="410"/>
    </row>
    <row r="35" spans="1:17">
      <c r="A35" s="540" t="s">
        <v>919</v>
      </c>
      <c r="D35" s="542">
        <f t="shared" ref="D35:I35" si="46">D198</f>
        <v>66166</v>
      </c>
      <c r="E35" s="542">
        <f t="shared" si="46"/>
        <v>66318</v>
      </c>
      <c r="F35" s="542">
        <f t="shared" si="46"/>
        <v>66084</v>
      </c>
      <c r="G35" s="542">
        <f t="shared" si="46"/>
        <v>65930</v>
      </c>
      <c r="H35" s="542">
        <f t="shared" si="46"/>
        <v>64854</v>
      </c>
      <c r="I35" s="542">
        <f t="shared" si="46"/>
        <v>64719</v>
      </c>
      <c r="J35" s="542">
        <f t="shared" ref="J35:O35" si="47">J198</f>
        <v>63636</v>
      </c>
      <c r="K35" s="542">
        <f t="shared" si="47"/>
        <v>66560</v>
      </c>
      <c r="L35" s="542">
        <f t="shared" si="47"/>
        <v>65795</v>
      </c>
      <c r="M35" s="542">
        <f t="shared" si="47"/>
        <v>65096</v>
      </c>
      <c r="N35" s="542">
        <f t="shared" si="47"/>
        <v>65479</v>
      </c>
      <c r="O35" s="542">
        <f t="shared" si="47"/>
        <v>65069</v>
      </c>
      <c r="P35" s="410"/>
      <c r="Q35" s="540" t="s">
        <v>5965</v>
      </c>
    </row>
    <row r="36" spans="1:17" ht="15.75" thickBot="1">
      <c r="A36" s="410"/>
      <c r="B36" s="410"/>
      <c r="C36" s="410"/>
      <c r="D36" s="545">
        <f t="shared" ref="D36:I36" si="48">D245</f>
        <v>10363</v>
      </c>
      <c r="E36" s="545">
        <f t="shared" si="48"/>
        <v>10621</v>
      </c>
      <c r="F36" s="545">
        <f t="shared" si="48"/>
        <v>10607</v>
      </c>
      <c r="G36" s="545">
        <f t="shared" si="48"/>
        <v>10779</v>
      </c>
      <c r="H36" s="545">
        <f t="shared" si="48"/>
        <v>11023</v>
      </c>
      <c r="I36" s="545">
        <f t="shared" si="48"/>
        <v>10881</v>
      </c>
      <c r="J36" s="545">
        <f t="shared" ref="J36:O36" si="49">J245</f>
        <v>10696</v>
      </c>
      <c r="K36" s="545">
        <f t="shared" si="49"/>
        <v>11067</v>
      </c>
      <c r="L36" s="545">
        <f t="shared" si="49"/>
        <v>10927</v>
      </c>
      <c r="M36" s="545">
        <f t="shared" si="49"/>
        <v>10776</v>
      </c>
      <c r="N36" s="545">
        <f t="shared" si="49"/>
        <v>10930</v>
      </c>
      <c r="O36" s="545">
        <f t="shared" si="49"/>
        <v>11070</v>
      </c>
      <c r="P36" s="410"/>
      <c r="Q36" s="540" t="s">
        <v>2255</v>
      </c>
    </row>
    <row r="37" spans="1:17" ht="15.75" thickBot="1">
      <c r="A37" s="410"/>
      <c r="B37" s="410"/>
      <c r="C37" s="410"/>
      <c r="D37" s="545">
        <f t="shared" ref="D37:I37" si="50">D35+D36</f>
        <v>76529</v>
      </c>
      <c r="E37" s="545">
        <f t="shared" si="50"/>
        <v>76939</v>
      </c>
      <c r="F37" s="545">
        <f t="shared" si="50"/>
        <v>76691</v>
      </c>
      <c r="G37" s="545">
        <f t="shared" si="50"/>
        <v>76709</v>
      </c>
      <c r="H37" s="545">
        <f t="shared" si="50"/>
        <v>75877</v>
      </c>
      <c r="I37" s="545">
        <f t="shared" si="50"/>
        <v>75600</v>
      </c>
      <c r="J37" s="545">
        <f t="shared" ref="J37:O37" si="51">J35+J36</f>
        <v>74332</v>
      </c>
      <c r="K37" s="545">
        <f t="shared" si="51"/>
        <v>77627</v>
      </c>
      <c r="L37" s="545">
        <f t="shared" si="51"/>
        <v>76722</v>
      </c>
      <c r="M37" s="545">
        <f t="shared" si="51"/>
        <v>75872</v>
      </c>
      <c r="N37" s="545">
        <f t="shared" si="51"/>
        <v>76409</v>
      </c>
      <c r="O37" s="545">
        <f t="shared" si="51"/>
        <v>76139</v>
      </c>
      <c r="P37" s="410"/>
      <c r="Q37" s="410"/>
    </row>
    <row r="38" spans="1:17">
      <c r="A38" s="410"/>
      <c r="B38" s="410"/>
      <c r="C38" s="410"/>
      <c r="D38" s="543"/>
      <c r="E38" s="543"/>
      <c r="F38" s="543"/>
      <c r="G38" s="543"/>
      <c r="H38" s="543"/>
      <c r="I38" s="543"/>
      <c r="J38" s="543"/>
      <c r="K38" s="543"/>
      <c r="L38" s="543"/>
      <c r="M38" s="543"/>
      <c r="N38" s="543"/>
      <c r="O38" s="543"/>
      <c r="P38" s="410"/>
      <c r="Q38" s="410"/>
    </row>
    <row r="39" spans="1:17">
      <c r="A39" s="540" t="s">
        <v>6796</v>
      </c>
      <c r="B39" s="410"/>
      <c r="C39" s="410"/>
      <c r="D39" s="542">
        <f t="shared" ref="D39:I39" si="52">D17+D21+D23+D27+D29+D33+D37</f>
        <v>532705</v>
      </c>
      <c r="E39" s="542">
        <f t="shared" si="52"/>
        <v>534928</v>
      </c>
      <c r="F39" s="542">
        <f t="shared" si="52"/>
        <v>536244</v>
      </c>
      <c r="G39" s="542">
        <f t="shared" si="52"/>
        <v>534542</v>
      </c>
      <c r="H39" s="542">
        <f t="shared" si="52"/>
        <v>538485</v>
      </c>
      <c r="I39" s="542">
        <f t="shared" si="52"/>
        <v>521797</v>
      </c>
      <c r="J39" s="542">
        <f t="shared" ref="J39:O39" si="53">J17+J21+J23+J27+J29+J33+J37</f>
        <v>521281</v>
      </c>
      <c r="K39" s="542">
        <f t="shared" si="53"/>
        <v>536375</v>
      </c>
      <c r="L39" s="542">
        <f t="shared" si="53"/>
        <v>537728</v>
      </c>
      <c r="M39" s="542">
        <f t="shared" si="53"/>
        <v>534518</v>
      </c>
      <c r="N39" s="542">
        <f t="shared" si="53"/>
        <v>552906</v>
      </c>
      <c r="O39" s="542">
        <f t="shared" si="53"/>
        <v>551904</v>
      </c>
      <c r="P39" s="410"/>
      <c r="Q39" s="410"/>
    </row>
    <row r="40" spans="1:17">
      <c r="A40" s="410"/>
      <c r="B40" s="410"/>
      <c r="C40" s="410"/>
      <c r="D40" s="543"/>
      <c r="E40" s="543"/>
      <c r="F40" s="543"/>
      <c r="G40" s="543"/>
      <c r="H40" s="543"/>
      <c r="I40" s="543"/>
      <c r="J40" s="543"/>
      <c r="K40" s="543"/>
      <c r="L40" s="543"/>
      <c r="M40" s="543"/>
      <c r="N40" s="543"/>
      <c r="O40" s="543"/>
      <c r="P40" s="410"/>
      <c r="Q40" s="410"/>
    </row>
    <row r="41" spans="1:17">
      <c r="A41" s="540" t="s">
        <v>6797</v>
      </c>
      <c r="B41" s="410"/>
      <c r="C41" s="410"/>
      <c r="D41" s="542">
        <f t="shared" ref="D41:I41" si="54">MAX(D17,D21,D23,D27,D29,D33,D37)-MIN(D17,D21,D23,D27,D29,D33,D37)</f>
        <v>13654</v>
      </c>
      <c r="E41" s="542">
        <f t="shared" si="54"/>
        <v>14941</v>
      </c>
      <c r="F41" s="542">
        <f t="shared" si="54"/>
        <v>15769</v>
      </c>
      <c r="G41" s="542">
        <f t="shared" si="54"/>
        <v>17868</v>
      </c>
      <c r="H41" s="542">
        <f t="shared" si="54"/>
        <v>17705</v>
      </c>
      <c r="I41" s="542">
        <f t="shared" si="54"/>
        <v>19234</v>
      </c>
      <c r="J41" s="542">
        <f t="shared" ref="J41:O41" si="55">MAX(J17,J21,J23,J27,J29,J33,J37)-MIN(J17,J21,J23,J27,J29,J33,J37)</f>
        <v>20402</v>
      </c>
      <c r="K41" s="542">
        <f t="shared" si="55"/>
        <v>21660</v>
      </c>
      <c r="L41" s="542">
        <f t="shared" si="55"/>
        <v>21745</v>
      </c>
      <c r="M41" s="542">
        <f t="shared" si="55"/>
        <v>23887</v>
      </c>
      <c r="N41" s="542">
        <f t="shared" si="55"/>
        <v>24252</v>
      </c>
      <c r="O41" s="542">
        <f t="shared" si="55"/>
        <v>23098</v>
      </c>
      <c r="P41" s="410"/>
      <c r="Q41" s="410"/>
    </row>
    <row r="42" spans="1:17">
      <c r="A42" s="410"/>
      <c r="B42" s="410"/>
      <c r="C42" s="410"/>
      <c r="D42" s="543"/>
      <c r="E42" s="543"/>
      <c r="F42" s="543"/>
      <c r="G42" s="543"/>
      <c r="H42" s="543"/>
      <c r="I42" s="543"/>
      <c r="J42" s="543"/>
      <c r="K42" s="543"/>
      <c r="L42" s="543"/>
      <c r="M42" s="543"/>
      <c r="N42" s="543"/>
      <c r="O42" s="543"/>
      <c r="P42" s="410"/>
      <c r="Q42" s="410"/>
    </row>
    <row r="43" spans="1:17">
      <c r="A43" s="540" t="s">
        <v>6800</v>
      </c>
      <c r="B43" s="410"/>
      <c r="C43" s="410"/>
      <c r="D43" s="542">
        <f t="shared" ref="D43:I43" si="56">STDEVP(D17,D21,D23,D27,D29,D33,D37)</f>
        <v>4213.2485164329546</v>
      </c>
      <c r="E43" s="542">
        <f t="shared" si="56"/>
        <v>4563.7481999616348</v>
      </c>
      <c r="F43" s="542">
        <f t="shared" si="56"/>
        <v>4768.7206944026921</v>
      </c>
      <c r="G43" s="542">
        <f t="shared" si="56"/>
        <v>5524.9018718776861</v>
      </c>
      <c r="H43" s="542">
        <f t="shared" si="56"/>
        <v>5636.1982337930813</v>
      </c>
      <c r="I43" s="542">
        <f t="shared" si="56"/>
        <v>5819.3619153684558</v>
      </c>
      <c r="J43" s="542">
        <f t="shared" ref="J43:O43" si="57">STDEVP(J17,J21,J23,J27,J29,J33,J37)</f>
        <v>6352.3494352041726</v>
      </c>
      <c r="K43" s="542">
        <f t="shared" si="57"/>
        <v>6838.265611354137</v>
      </c>
      <c r="L43" s="542">
        <f t="shared" si="57"/>
        <v>6940.321826920167</v>
      </c>
      <c r="M43" s="542">
        <f t="shared" si="57"/>
        <v>7257.3855921160111</v>
      </c>
      <c r="N43" s="542">
        <f t="shared" si="57"/>
        <v>7146.1647827377183</v>
      </c>
      <c r="O43" s="542">
        <f t="shared" si="57"/>
        <v>6830.7380872294125</v>
      </c>
      <c r="P43" s="410"/>
      <c r="Q43" s="410"/>
    </row>
    <row r="44" spans="1:17">
      <c r="A44" s="540"/>
      <c r="B44" s="410"/>
      <c r="C44" s="410"/>
      <c r="D44" s="546"/>
      <c r="E44" s="546"/>
      <c r="F44" s="546"/>
      <c r="G44" s="546"/>
      <c r="H44" s="546"/>
      <c r="I44" s="546"/>
      <c r="J44" s="546"/>
      <c r="K44" s="546"/>
      <c r="L44" s="546"/>
      <c r="M44" s="546"/>
      <c r="N44" s="546"/>
      <c r="O44" s="546"/>
      <c r="P44" s="410"/>
      <c r="Q44" s="410"/>
    </row>
    <row r="45" spans="1:17">
      <c r="A45" s="540"/>
      <c r="B45" s="410"/>
      <c r="C45" s="410"/>
      <c r="D45" s="546"/>
      <c r="E45" s="546"/>
      <c r="F45" s="546"/>
      <c r="G45" s="546"/>
      <c r="H45" s="546"/>
      <c r="I45" s="546"/>
      <c r="J45" s="546"/>
      <c r="K45" s="546"/>
      <c r="L45" s="546"/>
      <c r="M45" s="546"/>
      <c r="N45" s="546"/>
      <c r="O45" s="546"/>
      <c r="P45" s="410"/>
      <c r="Q45" s="410"/>
    </row>
    <row r="46" spans="1:17">
      <c r="A46" s="410"/>
      <c r="B46" s="410"/>
      <c r="E46" s="51" t="s">
        <v>1526</v>
      </c>
      <c r="F46" s="51"/>
      <c r="G46" s="51"/>
      <c r="H46" s="51"/>
      <c r="I46" s="51"/>
      <c r="J46" s="51"/>
      <c r="K46" s="51"/>
      <c r="L46" s="51"/>
      <c r="M46" s="51"/>
      <c r="N46" s="51"/>
      <c r="O46" s="51"/>
      <c r="P46" s="276"/>
      <c r="Q46" s="11" t="s">
        <v>9479</v>
      </c>
    </row>
    <row r="47" spans="1:17">
      <c r="A47" s="410"/>
      <c r="B47" s="410"/>
      <c r="C47" s="410"/>
      <c r="D47" s="350">
        <v>2010</v>
      </c>
      <c r="E47" s="350">
        <v>2011</v>
      </c>
      <c r="F47" s="350">
        <v>2012</v>
      </c>
      <c r="G47" s="350">
        <v>2013</v>
      </c>
      <c r="H47" s="350">
        <v>2014</v>
      </c>
      <c r="I47" s="350">
        <v>2015</v>
      </c>
      <c r="J47" s="350">
        <v>2016</v>
      </c>
      <c r="K47" s="350">
        <v>2017</v>
      </c>
      <c r="L47" s="350">
        <v>2018</v>
      </c>
      <c r="M47" s="350">
        <v>2019</v>
      </c>
      <c r="N47" s="350">
        <v>2020</v>
      </c>
      <c r="O47" s="958" t="s">
        <v>14823</v>
      </c>
      <c r="P47" s="410"/>
      <c r="Q47" s="13" t="s">
        <v>1527</v>
      </c>
    </row>
    <row r="48" spans="1:17">
      <c r="A48" s="540" t="s">
        <v>920</v>
      </c>
      <c r="C48" s="540"/>
      <c r="D48" s="542">
        <f t="shared" ref="D48:J48" si="58">SUM(D49:D63)</f>
        <v>44167</v>
      </c>
      <c r="E48" s="542">
        <f t="shared" si="58"/>
        <v>44117</v>
      </c>
      <c r="F48" s="542">
        <f t="shared" si="58"/>
        <v>44030</v>
      </c>
      <c r="G48" s="542">
        <f t="shared" si="58"/>
        <v>43915</v>
      </c>
      <c r="H48" s="542">
        <f t="shared" si="58"/>
        <v>43313</v>
      </c>
      <c r="I48" s="542">
        <f t="shared" si="58"/>
        <v>40833</v>
      </c>
      <c r="J48" s="542">
        <f t="shared" si="58"/>
        <v>39834</v>
      </c>
      <c r="K48" s="542">
        <f>SUM(K49:K63)</f>
        <v>39739</v>
      </c>
      <c r="L48" s="542">
        <f>SUM(L49:L63)</f>
        <v>40157</v>
      </c>
      <c r="M48" s="542">
        <f>SUM(M49:M63)</f>
        <v>40526</v>
      </c>
      <c r="N48" s="542">
        <f>SUM(N49:N63)</f>
        <v>41254</v>
      </c>
      <c r="O48" s="542">
        <f>SUM(O49:O63)</f>
        <v>41259</v>
      </c>
      <c r="P48" s="410"/>
      <c r="Q48" s="410"/>
    </row>
    <row r="49" spans="1:17">
      <c r="A49" s="547">
        <v>1</v>
      </c>
      <c r="B49" s="540" t="s">
        <v>921</v>
      </c>
      <c r="C49" s="55" t="s">
        <v>10874</v>
      </c>
      <c r="D49" s="542">
        <v>44167</v>
      </c>
      <c r="E49" s="542">
        <v>44117</v>
      </c>
      <c r="F49" s="542">
        <v>44030</v>
      </c>
      <c r="G49" s="56">
        <v>43915</v>
      </c>
      <c r="H49" s="56">
        <v>43313</v>
      </c>
      <c r="I49" s="56">
        <v>40833</v>
      </c>
      <c r="J49" s="56">
        <v>2839</v>
      </c>
      <c r="K49" s="56">
        <v>2842</v>
      </c>
      <c r="L49" s="56">
        <v>2838</v>
      </c>
      <c r="M49" s="56">
        <v>2841</v>
      </c>
      <c r="N49" s="56">
        <v>2897</v>
      </c>
      <c r="O49" s="56">
        <v>2895</v>
      </c>
      <c r="P49" s="410"/>
      <c r="Q49" s="540" t="s">
        <v>911</v>
      </c>
    </row>
    <row r="50" spans="1:17">
      <c r="A50" s="547">
        <v>2</v>
      </c>
      <c r="B50" s="540" t="s">
        <v>922</v>
      </c>
      <c r="C50" s="55" t="s">
        <v>10880</v>
      </c>
      <c r="D50" s="542">
        <v>0</v>
      </c>
      <c r="E50" s="542">
        <v>0</v>
      </c>
      <c r="F50" s="542">
        <v>0</v>
      </c>
      <c r="G50" s="56">
        <v>0</v>
      </c>
      <c r="H50" s="56">
        <v>0</v>
      </c>
      <c r="I50" s="56">
        <v>0</v>
      </c>
      <c r="J50" s="56">
        <v>1998</v>
      </c>
      <c r="K50" s="56">
        <v>1923</v>
      </c>
      <c r="L50" s="56">
        <v>1945</v>
      </c>
      <c r="M50" s="56">
        <v>1939</v>
      </c>
      <c r="N50" s="56">
        <v>1912</v>
      </c>
      <c r="O50" s="56">
        <v>1919</v>
      </c>
      <c r="P50" s="410"/>
      <c r="Q50" s="540" t="s">
        <v>911</v>
      </c>
    </row>
    <row r="51" spans="1:17">
      <c r="A51" s="547">
        <v>3</v>
      </c>
      <c r="B51" s="540" t="s">
        <v>2266</v>
      </c>
      <c r="C51" s="55" t="s">
        <v>10881</v>
      </c>
      <c r="D51" s="542">
        <v>0</v>
      </c>
      <c r="E51" s="542">
        <v>0</v>
      </c>
      <c r="F51" s="542">
        <v>0</v>
      </c>
      <c r="G51" s="56">
        <v>0</v>
      </c>
      <c r="H51" s="56">
        <v>0</v>
      </c>
      <c r="I51" s="56">
        <v>0</v>
      </c>
      <c r="J51" s="56">
        <v>4806</v>
      </c>
      <c r="K51" s="56">
        <v>4708</v>
      </c>
      <c r="L51" s="56">
        <v>4736</v>
      </c>
      <c r="M51" s="56">
        <v>4726</v>
      </c>
      <c r="N51" s="56">
        <v>4775</v>
      </c>
      <c r="O51" s="56">
        <v>4768</v>
      </c>
      <c r="P51" s="410"/>
      <c r="Q51" s="540" t="s">
        <v>911</v>
      </c>
    </row>
    <row r="52" spans="1:17">
      <c r="A52" s="547">
        <v>4</v>
      </c>
      <c r="B52" s="540" t="s">
        <v>2267</v>
      </c>
      <c r="C52" s="55" t="s">
        <v>10882</v>
      </c>
      <c r="D52" s="542">
        <v>0</v>
      </c>
      <c r="E52" s="542">
        <v>0</v>
      </c>
      <c r="F52" s="542">
        <v>0</v>
      </c>
      <c r="G52" s="56">
        <v>0</v>
      </c>
      <c r="H52" s="56">
        <v>0</v>
      </c>
      <c r="I52" s="56">
        <v>0</v>
      </c>
      <c r="J52" s="56">
        <v>2892</v>
      </c>
      <c r="K52" s="56">
        <v>3023</v>
      </c>
      <c r="L52" s="56">
        <v>3056</v>
      </c>
      <c r="M52" s="56">
        <v>3112</v>
      </c>
      <c r="N52" s="56">
        <v>3155</v>
      </c>
      <c r="O52" s="56">
        <v>3156</v>
      </c>
      <c r="P52" s="410"/>
      <c r="Q52" s="540" t="s">
        <v>911</v>
      </c>
    </row>
    <row r="53" spans="1:17">
      <c r="A53" s="547">
        <v>5</v>
      </c>
      <c r="B53" s="540" t="s">
        <v>10876</v>
      </c>
      <c r="C53" s="55" t="s">
        <v>10883</v>
      </c>
      <c r="D53" s="542">
        <v>0</v>
      </c>
      <c r="E53" s="542">
        <v>0</v>
      </c>
      <c r="F53" s="542">
        <v>0</v>
      </c>
      <c r="G53" s="56">
        <v>0</v>
      </c>
      <c r="H53" s="56">
        <v>0</v>
      </c>
      <c r="I53" s="56">
        <v>0</v>
      </c>
      <c r="J53" s="56">
        <v>4512</v>
      </c>
      <c r="K53" s="56">
        <v>4498</v>
      </c>
      <c r="L53" s="56">
        <v>4544</v>
      </c>
      <c r="M53" s="56">
        <v>4654</v>
      </c>
      <c r="N53" s="56">
        <v>4790</v>
      </c>
      <c r="O53" s="56">
        <v>4801</v>
      </c>
      <c r="P53" s="410"/>
      <c r="Q53" s="540" t="s">
        <v>911</v>
      </c>
    </row>
    <row r="54" spans="1:17">
      <c r="A54" s="547">
        <v>6</v>
      </c>
      <c r="B54" s="540" t="s">
        <v>2268</v>
      </c>
      <c r="C54" s="55" t="s">
        <v>10884</v>
      </c>
      <c r="D54" s="542">
        <v>0</v>
      </c>
      <c r="E54" s="542">
        <v>0</v>
      </c>
      <c r="F54" s="542">
        <v>0</v>
      </c>
      <c r="G54" s="56">
        <v>0</v>
      </c>
      <c r="H54" s="56">
        <v>0</v>
      </c>
      <c r="I54" s="56">
        <v>0</v>
      </c>
      <c r="J54" s="56">
        <v>2559</v>
      </c>
      <c r="K54" s="56">
        <v>2648</v>
      </c>
      <c r="L54" s="56">
        <v>2669</v>
      </c>
      <c r="M54" s="56">
        <v>2697</v>
      </c>
      <c r="N54" s="56">
        <v>2729</v>
      </c>
      <c r="O54" s="56">
        <v>2739</v>
      </c>
      <c r="P54" s="410"/>
      <c r="Q54" s="540" t="s">
        <v>911</v>
      </c>
    </row>
    <row r="55" spans="1:17">
      <c r="A55" s="547">
        <v>7</v>
      </c>
      <c r="B55" s="540" t="s">
        <v>10877</v>
      </c>
      <c r="C55" s="55" t="s">
        <v>10885</v>
      </c>
      <c r="D55" s="542">
        <v>0</v>
      </c>
      <c r="E55" s="542">
        <v>0</v>
      </c>
      <c r="F55" s="542">
        <v>0</v>
      </c>
      <c r="G55" s="56">
        <v>0</v>
      </c>
      <c r="H55" s="56">
        <v>0</v>
      </c>
      <c r="I55" s="56">
        <v>0</v>
      </c>
      <c r="J55" s="56">
        <v>1432</v>
      </c>
      <c r="K55" s="56">
        <v>1434</v>
      </c>
      <c r="L55" s="56">
        <v>1441</v>
      </c>
      <c r="M55" s="56">
        <v>1458</v>
      </c>
      <c r="N55" s="56">
        <v>1506</v>
      </c>
      <c r="O55" s="56">
        <v>1510</v>
      </c>
      <c r="P55" s="410"/>
      <c r="Q55" s="540" t="s">
        <v>911</v>
      </c>
    </row>
    <row r="56" spans="1:17">
      <c r="A56" s="547">
        <v>8</v>
      </c>
      <c r="B56" s="540" t="s">
        <v>1627</v>
      </c>
      <c r="C56" s="55" t="s">
        <v>10886</v>
      </c>
      <c r="D56" s="542">
        <v>0</v>
      </c>
      <c r="E56" s="542">
        <v>0</v>
      </c>
      <c r="F56" s="542">
        <v>0</v>
      </c>
      <c r="G56" s="56">
        <v>0</v>
      </c>
      <c r="H56" s="56">
        <v>0</v>
      </c>
      <c r="I56" s="56">
        <v>0</v>
      </c>
      <c r="J56" s="56">
        <v>3541</v>
      </c>
      <c r="K56" s="56">
        <v>3466</v>
      </c>
      <c r="L56" s="56">
        <v>3545</v>
      </c>
      <c r="M56" s="56">
        <v>3622</v>
      </c>
      <c r="N56" s="56">
        <v>3664</v>
      </c>
      <c r="O56" s="56">
        <v>3651</v>
      </c>
      <c r="P56" s="410"/>
      <c r="Q56" s="540" t="s">
        <v>911</v>
      </c>
    </row>
    <row r="57" spans="1:17">
      <c r="A57" s="547">
        <v>9</v>
      </c>
      <c r="B57" s="540" t="s">
        <v>10878</v>
      </c>
      <c r="C57" s="55" t="s">
        <v>10887</v>
      </c>
      <c r="D57" s="542">
        <v>0</v>
      </c>
      <c r="E57" s="542">
        <v>0</v>
      </c>
      <c r="F57" s="542">
        <v>0</v>
      </c>
      <c r="G57" s="56">
        <v>0</v>
      </c>
      <c r="H57" s="56">
        <v>0</v>
      </c>
      <c r="I57" s="56">
        <v>0</v>
      </c>
      <c r="J57" s="56">
        <v>2294</v>
      </c>
      <c r="K57" s="56">
        <v>2198</v>
      </c>
      <c r="L57" s="56">
        <v>2241</v>
      </c>
      <c r="M57" s="56">
        <v>2202</v>
      </c>
      <c r="N57" s="56">
        <v>2240</v>
      </c>
      <c r="O57" s="56">
        <v>2224</v>
      </c>
      <c r="P57" s="410"/>
      <c r="Q57" s="540" t="s">
        <v>911</v>
      </c>
    </row>
    <row r="58" spans="1:17">
      <c r="A58" s="547">
        <v>10</v>
      </c>
      <c r="B58" s="540" t="s">
        <v>10879</v>
      </c>
      <c r="C58" s="55" t="s">
        <v>10888</v>
      </c>
      <c r="D58" s="542">
        <v>0</v>
      </c>
      <c r="E58" s="542">
        <v>0</v>
      </c>
      <c r="F58" s="542">
        <v>0</v>
      </c>
      <c r="G58" s="56">
        <v>0</v>
      </c>
      <c r="H58" s="56">
        <v>0</v>
      </c>
      <c r="I58" s="56">
        <v>0</v>
      </c>
      <c r="J58" s="56">
        <v>840</v>
      </c>
      <c r="K58" s="56">
        <v>763</v>
      </c>
      <c r="L58" s="56">
        <v>745</v>
      </c>
      <c r="M58" s="56">
        <v>736</v>
      </c>
      <c r="N58" s="56">
        <v>745</v>
      </c>
      <c r="O58" s="56">
        <v>747</v>
      </c>
      <c r="P58" s="410"/>
      <c r="Q58" s="540" t="s">
        <v>911</v>
      </c>
    </row>
    <row r="59" spans="1:17">
      <c r="A59" s="547">
        <v>11</v>
      </c>
      <c r="B59" s="540" t="s">
        <v>1560</v>
      </c>
      <c r="C59" s="55" t="s">
        <v>10889</v>
      </c>
      <c r="D59" s="542">
        <v>0</v>
      </c>
      <c r="E59" s="542">
        <v>0</v>
      </c>
      <c r="F59" s="542">
        <v>0</v>
      </c>
      <c r="G59" s="56">
        <v>0</v>
      </c>
      <c r="H59" s="56">
        <v>0</v>
      </c>
      <c r="I59" s="56">
        <v>0</v>
      </c>
      <c r="J59" s="56">
        <v>2765</v>
      </c>
      <c r="K59" s="56">
        <v>2846</v>
      </c>
      <c r="L59" s="56">
        <v>2896</v>
      </c>
      <c r="M59" s="56">
        <v>2972</v>
      </c>
      <c r="N59" s="56">
        <v>3120</v>
      </c>
      <c r="O59" s="56">
        <v>3138</v>
      </c>
      <c r="P59" s="410"/>
      <c r="Q59" s="540" t="s">
        <v>911</v>
      </c>
    </row>
    <row r="60" spans="1:17">
      <c r="A60" s="547">
        <v>12</v>
      </c>
      <c r="B60" s="540" t="s">
        <v>4186</v>
      </c>
      <c r="C60" s="55" t="s">
        <v>10890</v>
      </c>
      <c r="D60" s="542">
        <v>0</v>
      </c>
      <c r="E60" s="542">
        <v>0</v>
      </c>
      <c r="F60" s="542">
        <v>0</v>
      </c>
      <c r="G60" s="56">
        <v>0</v>
      </c>
      <c r="H60" s="56">
        <v>0</v>
      </c>
      <c r="I60" s="56">
        <v>0</v>
      </c>
      <c r="J60" s="56">
        <v>2703</v>
      </c>
      <c r="K60" s="56">
        <v>2663</v>
      </c>
      <c r="L60" s="56">
        <v>2673</v>
      </c>
      <c r="M60" s="56">
        <v>2636</v>
      </c>
      <c r="N60" s="56">
        <v>2671</v>
      </c>
      <c r="O60" s="56">
        <v>2674</v>
      </c>
      <c r="P60" s="410"/>
      <c r="Q60" s="540" t="s">
        <v>911</v>
      </c>
    </row>
    <row r="61" spans="1:17">
      <c r="A61" s="547">
        <v>13</v>
      </c>
      <c r="B61" s="540" t="s">
        <v>6090</v>
      </c>
      <c r="C61" s="55" t="s">
        <v>10891</v>
      </c>
      <c r="D61" s="542">
        <v>0</v>
      </c>
      <c r="E61" s="542">
        <v>0</v>
      </c>
      <c r="F61" s="542">
        <v>0</v>
      </c>
      <c r="G61" s="56">
        <v>0</v>
      </c>
      <c r="H61" s="56">
        <v>0</v>
      </c>
      <c r="I61" s="56">
        <v>0</v>
      </c>
      <c r="J61" s="56">
        <v>1397</v>
      </c>
      <c r="K61" s="56">
        <v>1450</v>
      </c>
      <c r="L61" s="56">
        <v>1503</v>
      </c>
      <c r="M61" s="56">
        <v>1557</v>
      </c>
      <c r="N61" s="56">
        <v>1613</v>
      </c>
      <c r="O61" s="56">
        <v>1621</v>
      </c>
      <c r="P61" s="410"/>
      <c r="Q61" s="540" t="s">
        <v>911</v>
      </c>
    </row>
    <row r="62" spans="1:17">
      <c r="A62" s="547">
        <v>14</v>
      </c>
      <c r="B62" s="540" t="s">
        <v>1561</v>
      </c>
      <c r="C62" s="55" t="s">
        <v>10892</v>
      </c>
      <c r="D62" s="542">
        <v>0</v>
      </c>
      <c r="E62" s="542">
        <v>0</v>
      </c>
      <c r="F62" s="542">
        <v>0</v>
      </c>
      <c r="G62" s="56">
        <v>0</v>
      </c>
      <c r="H62" s="56">
        <v>0</v>
      </c>
      <c r="I62" s="56">
        <v>0</v>
      </c>
      <c r="J62" s="56">
        <v>2262</v>
      </c>
      <c r="K62" s="56">
        <v>2244</v>
      </c>
      <c r="L62" s="56">
        <v>2233</v>
      </c>
      <c r="M62" s="56">
        <v>2251</v>
      </c>
      <c r="N62" s="56">
        <v>2238</v>
      </c>
      <c r="O62" s="56">
        <v>2224</v>
      </c>
      <c r="P62" s="410"/>
      <c r="Q62" s="540" t="s">
        <v>911</v>
      </c>
    </row>
    <row r="63" spans="1:17">
      <c r="A63" s="547">
        <v>15</v>
      </c>
      <c r="B63" s="540" t="s">
        <v>1562</v>
      </c>
      <c r="C63" s="55" t="s">
        <v>10893</v>
      </c>
      <c r="D63" s="542">
        <v>0</v>
      </c>
      <c r="E63" s="542">
        <v>0</v>
      </c>
      <c r="F63" s="542">
        <v>0</v>
      </c>
      <c r="G63" s="56">
        <v>0</v>
      </c>
      <c r="H63" s="56">
        <v>0</v>
      </c>
      <c r="I63" s="56">
        <v>0</v>
      </c>
      <c r="J63" s="56">
        <v>2994</v>
      </c>
      <c r="K63" s="56">
        <v>3033</v>
      </c>
      <c r="L63" s="56">
        <v>3092</v>
      </c>
      <c r="M63" s="56">
        <v>3123</v>
      </c>
      <c r="N63" s="56">
        <v>3199</v>
      </c>
      <c r="O63" s="56">
        <v>3192</v>
      </c>
      <c r="P63" s="410"/>
      <c r="Q63" s="540" t="s">
        <v>911</v>
      </c>
    </row>
    <row r="64" spans="1:17">
      <c r="A64" s="410"/>
      <c r="B64" s="410"/>
      <c r="C64" s="410"/>
      <c r="D64" s="543"/>
      <c r="E64" s="543"/>
      <c r="F64" s="543"/>
      <c r="G64" s="543"/>
      <c r="H64" s="543"/>
      <c r="I64" s="543"/>
      <c r="J64" s="543"/>
      <c r="K64" s="543"/>
      <c r="L64" s="543"/>
      <c r="M64" s="543"/>
      <c r="N64" s="543"/>
      <c r="O64" s="543"/>
      <c r="P64" s="410"/>
      <c r="Q64" s="410"/>
    </row>
    <row r="65" spans="1:17">
      <c r="A65" s="540" t="s">
        <v>4453</v>
      </c>
      <c r="C65" s="410"/>
      <c r="D65" s="542">
        <f t="shared" ref="D65:J65" si="59">SUM(D49:D63)</f>
        <v>44167</v>
      </c>
      <c r="E65" s="542">
        <f t="shared" si="59"/>
        <v>44117</v>
      </c>
      <c r="F65" s="542">
        <f t="shared" si="59"/>
        <v>44030</v>
      </c>
      <c r="G65" s="542">
        <f t="shared" si="59"/>
        <v>43915</v>
      </c>
      <c r="H65" s="542">
        <f t="shared" si="59"/>
        <v>43313</v>
      </c>
      <c r="I65" s="542">
        <f t="shared" si="59"/>
        <v>40833</v>
      </c>
      <c r="J65" s="542">
        <f t="shared" si="59"/>
        <v>39834</v>
      </c>
      <c r="K65" s="542">
        <f>SUM(K49:K63)</f>
        <v>39739</v>
      </c>
      <c r="L65" s="542">
        <f>SUM(L49:L63)</f>
        <v>40157</v>
      </c>
      <c r="M65" s="542">
        <f>SUM(M49:M63)</f>
        <v>40526</v>
      </c>
      <c r="N65" s="542">
        <f>SUM(N49:N63)</f>
        <v>41254</v>
      </c>
      <c r="O65" s="542">
        <f>SUM(O49:O63)</f>
        <v>41259</v>
      </c>
      <c r="P65" s="410"/>
      <c r="Q65" s="410"/>
    </row>
    <row r="66" spans="1:17">
      <c r="A66" s="540"/>
      <c r="B66" s="540"/>
      <c r="C66" s="410"/>
      <c r="D66" s="548"/>
      <c r="E66" s="548"/>
      <c r="F66" s="548"/>
      <c r="G66" s="548"/>
      <c r="H66" s="548"/>
      <c r="I66" s="548"/>
      <c r="J66" s="548"/>
      <c r="K66" s="548"/>
      <c r="L66" s="548"/>
      <c r="M66" s="548"/>
      <c r="N66" s="548"/>
      <c r="O66" s="548"/>
      <c r="P66" s="410"/>
      <c r="Q66" s="410"/>
    </row>
    <row r="67" spans="1:17">
      <c r="A67" s="540" t="s">
        <v>10875</v>
      </c>
      <c r="B67" s="540"/>
      <c r="C67" s="410"/>
      <c r="D67" s="548"/>
      <c r="E67" s="548"/>
      <c r="F67" s="548"/>
      <c r="G67" s="548"/>
      <c r="H67" s="548"/>
      <c r="I67" s="548"/>
      <c r="J67" s="548"/>
      <c r="K67" s="548"/>
      <c r="L67" s="548"/>
      <c r="M67" s="548"/>
      <c r="N67" s="548"/>
      <c r="O67" s="548"/>
      <c r="P67" s="410"/>
      <c r="Q67" s="410"/>
    </row>
    <row r="68" spans="1:17">
      <c r="A68" s="540"/>
      <c r="B68" s="540"/>
      <c r="C68" s="410"/>
      <c r="D68" s="548"/>
      <c r="E68" s="548"/>
      <c r="F68" s="548"/>
      <c r="G68" s="548"/>
      <c r="H68" s="548"/>
      <c r="I68" s="548"/>
      <c r="J68" s="548"/>
      <c r="K68" s="548"/>
      <c r="L68" s="548"/>
      <c r="M68" s="548"/>
      <c r="N68" s="548"/>
      <c r="O68" s="548"/>
      <c r="P68" s="410"/>
      <c r="Q68" s="410"/>
    </row>
    <row r="69" spans="1:17">
      <c r="A69" s="540"/>
      <c r="B69" s="540"/>
      <c r="C69" s="410"/>
      <c r="D69" s="548"/>
      <c r="E69" s="548"/>
      <c r="F69" s="548"/>
      <c r="G69" s="548"/>
      <c r="H69" s="548"/>
      <c r="I69" s="548"/>
      <c r="J69" s="548"/>
      <c r="K69" s="548"/>
      <c r="L69" s="548"/>
      <c r="M69" s="548"/>
      <c r="N69" s="548"/>
      <c r="O69" s="548"/>
      <c r="P69" s="410"/>
      <c r="Q69" s="410"/>
    </row>
    <row r="70" spans="1:17">
      <c r="A70" s="410"/>
      <c r="B70" s="410"/>
      <c r="E70" s="51" t="s">
        <v>1526</v>
      </c>
      <c r="F70" s="51"/>
      <c r="G70" s="51"/>
      <c r="H70" s="51"/>
      <c r="I70" s="51"/>
      <c r="J70" s="51"/>
      <c r="K70" s="51"/>
      <c r="L70" s="51"/>
      <c r="M70" s="51"/>
      <c r="N70" s="51"/>
      <c r="O70" s="51"/>
      <c r="P70" s="276"/>
      <c r="Q70" s="11" t="s">
        <v>9479</v>
      </c>
    </row>
    <row r="71" spans="1:17">
      <c r="A71" s="410"/>
      <c r="B71" s="410"/>
      <c r="C71" s="410"/>
      <c r="D71" s="350">
        <v>2010</v>
      </c>
      <c r="E71" s="350">
        <v>2011</v>
      </c>
      <c r="F71" s="350">
        <v>2012</v>
      </c>
      <c r="G71" s="350">
        <v>2013</v>
      </c>
      <c r="H71" s="350">
        <v>2014</v>
      </c>
      <c r="I71" s="350">
        <v>2015</v>
      </c>
      <c r="J71" s="350">
        <v>2016</v>
      </c>
      <c r="K71" s="350">
        <v>2017</v>
      </c>
      <c r="L71" s="350">
        <v>2018</v>
      </c>
      <c r="M71" s="350">
        <v>2019</v>
      </c>
      <c r="N71" s="350">
        <v>2020</v>
      </c>
      <c r="O71" s="958" t="s">
        <v>14823</v>
      </c>
      <c r="P71" s="410"/>
      <c r="Q71" s="13" t="s">
        <v>1527</v>
      </c>
    </row>
    <row r="72" spans="1:17">
      <c r="A72" s="540" t="s">
        <v>4454</v>
      </c>
      <c r="C72" s="410"/>
      <c r="D72" s="542">
        <f t="shared" ref="D72:I72" si="60">SUM(D73:D84)+SUM(D86:D111)</f>
        <v>105825</v>
      </c>
      <c r="E72" s="542">
        <f t="shared" si="60"/>
        <v>104586</v>
      </c>
      <c r="F72" s="542">
        <f t="shared" si="60"/>
        <v>104757</v>
      </c>
      <c r="G72" s="542">
        <f t="shared" si="60"/>
        <v>101192</v>
      </c>
      <c r="H72" s="542">
        <f t="shared" si="60"/>
        <v>106037</v>
      </c>
      <c r="I72" s="542">
        <f t="shared" si="60"/>
        <v>100037</v>
      </c>
      <c r="J72" s="542">
        <f t="shared" ref="J72:O72" si="61">SUM(J73:J84)+SUM(J86:J111)</f>
        <v>102964</v>
      </c>
      <c r="K72" s="542">
        <f t="shared" si="61"/>
        <v>107124</v>
      </c>
      <c r="L72" s="542">
        <f t="shared" si="61"/>
        <v>108850</v>
      </c>
      <c r="M72" s="542">
        <f t="shared" si="61"/>
        <v>108567</v>
      </c>
      <c r="N72" s="542">
        <f t="shared" si="61"/>
        <v>111240</v>
      </c>
      <c r="O72" s="542">
        <f t="shared" si="61"/>
        <v>110506</v>
      </c>
      <c r="P72" s="410"/>
      <c r="Q72" s="410"/>
    </row>
    <row r="73" spans="1:17">
      <c r="A73" s="547">
        <v>1</v>
      </c>
      <c r="B73" s="540" t="s">
        <v>4455</v>
      </c>
      <c r="C73" s="55" t="s">
        <v>10061</v>
      </c>
      <c r="D73" s="542">
        <v>77210</v>
      </c>
      <c r="E73" s="542">
        <v>76233</v>
      </c>
      <c r="F73" s="542">
        <v>76217</v>
      </c>
      <c r="G73" s="542">
        <v>73803</v>
      </c>
      <c r="H73" s="56">
        <v>76866</v>
      </c>
      <c r="I73" s="56">
        <v>3547</v>
      </c>
      <c r="J73" s="56">
        <v>3625</v>
      </c>
      <c r="K73" s="56">
        <v>3673</v>
      </c>
      <c r="L73" s="56">
        <v>3726</v>
      </c>
      <c r="M73" s="56">
        <v>3721</v>
      </c>
      <c r="N73" s="56">
        <v>3813</v>
      </c>
      <c r="O73" s="56">
        <v>3775</v>
      </c>
      <c r="P73" s="410"/>
      <c r="Q73" s="540" t="s">
        <v>917</v>
      </c>
    </row>
    <row r="74" spans="1:17">
      <c r="A74" s="547">
        <v>2</v>
      </c>
      <c r="B74" s="540" t="s">
        <v>4456</v>
      </c>
      <c r="C74" s="55" t="s">
        <v>10062</v>
      </c>
      <c r="D74" s="549">
        <v>0</v>
      </c>
      <c r="E74" s="549">
        <v>0</v>
      </c>
      <c r="F74" s="549">
        <v>0</v>
      </c>
      <c r="G74" s="549">
        <v>0</v>
      </c>
      <c r="H74" s="56">
        <v>0</v>
      </c>
      <c r="I74" s="56">
        <v>1887</v>
      </c>
      <c r="J74" s="56">
        <v>1982</v>
      </c>
      <c r="K74" s="56">
        <v>2060</v>
      </c>
      <c r="L74" s="56">
        <v>2049</v>
      </c>
      <c r="M74" s="56">
        <v>2027</v>
      </c>
      <c r="N74" s="56">
        <v>2050</v>
      </c>
      <c r="O74" s="56">
        <v>2036</v>
      </c>
      <c r="P74" s="410"/>
      <c r="Q74" s="540" t="s">
        <v>917</v>
      </c>
    </row>
    <row r="75" spans="1:17">
      <c r="A75" s="547">
        <v>3</v>
      </c>
      <c r="B75" s="540" t="s">
        <v>4457</v>
      </c>
      <c r="C75" s="55" t="s">
        <v>10063</v>
      </c>
      <c r="D75" s="542">
        <v>26806</v>
      </c>
      <c r="E75" s="542">
        <v>26503</v>
      </c>
      <c r="F75" s="542">
        <v>26698</v>
      </c>
      <c r="G75" s="542">
        <v>25570</v>
      </c>
      <c r="H75" s="56">
        <v>27196</v>
      </c>
      <c r="I75" s="56">
        <v>2020</v>
      </c>
      <c r="J75" s="56">
        <v>1984</v>
      </c>
      <c r="K75" s="56">
        <v>2035</v>
      </c>
      <c r="L75" s="56">
        <v>2006</v>
      </c>
      <c r="M75" s="56">
        <v>2012</v>
      </c>
      <c r="N75" s="56">
        <v>2054</v>
      </c>
      <c r="O75" s="56">
        <v>2038</v>
      </c>
      <c r="P75" s="410"/>
      <c r="Q75" s="540" t="s">
        <v>911</v>
      </c>
    </row>
    <row r="76" spans="1:17">
      <c r="A76" s="547">
        <v>4</v>
      </c>
      <c r="B76" s="540" t="s">
        <v>1635</v>
      </c>
      <c r="C76" s="55" t="s">
        <v>10064</v>
      </c>
      <c r="D76" s="542">
        <v>0</v>
      </c>
      <c r="E76" s="542">
        <v>0</v>
      </c>
      <c r="F76" s="542">
        <v>0</v>
      </c>
      <c r="G76" s="542">
        <v>0</v>
      </c>
      <c r="H76" s="56">
        <v>0</v>
      </c>
      <c r="I76" s="56">
        <v>3633</v>
      </c>
      <c r="J76" s="56">
        <v>3785</v>
      </c>
      <c r="K76" s="56">
        <v>3915</v>
      </c>
      <c r="L76" s="56">
        <v>3975</v>
      </c>
      <c r="M76" s="56">
        <v>3968</v>
      </c>
      <c r="N76" s="56">
        <v>4033</v>
      </c>
      <c r="O76" s="56">
        <v>3999</v>
      </c>
      <c r="P76" s="410"/>
      <c r="Q76" s="540" t="s">
        <v>917</v>
      </c>
    </row>
    <row r="77" spans="1:17">
      <c r="A77" s="547">
        <v>5</v>
      </c>
      <c r="B77" s="540" t="s">
        <v>9852</v>
      </c>
      <c r="C77" s="55" t="s">
        <v>10065</v>
      </c>
      <c r="D77" s="542">
        <v>0</v>
      </c>
      <c r="E77" s="542">
        <v>0</v>
      </c>
      <c r="F77" s="542">
        <v>0</v>
      </c>
      <c r="G77" s="542">
        <v>0</v>
      </c>
      <c r="H77" s="56">
        <v>0</v>
      </c>
      <c r="I77" s="56">
        <v>5645</v>
      </c>
      <c r="J77" s="56">
        <v>6065</v>
      </c>
      <c r="K77" s="56">
        <v>6430</v>
      </c>
      <c r="L77" s="56">
        <v>6647</v>
      </c>
      <c r="M77" s="56">
        <v>6531</v>
      </c>
      <c r="N77" s="56">
        <v>6825</v>
      </c>
      <c r="O77" s="56">
        <v>6766</v>
      </c>
      <c r="P77" s="410"/>
      <c r="Q77" s="540" t="s">
        <v>917</v>
      </c>
    </row>
    <row r="78" spans="1:17">
      <c r="A78" s="547">
        <v>6</v>
      </c>
      <c r="B78" s="540" t="s">
        <v>1636</v>
      </c>
      <c r="C78" s="55" t="s">
        <v>10066</v>
      </c>
      <c r="D78" s="542">
        <v>0</v>
      </c>
      <c r="E78" s="542">
        <v>0</v>
      </c>
      <c r="F78" s="542">
        <v>0</v>
      </c>
      <c r="G78" s="542">
        <v>0</v>
      </c>
      <c r="H78" s="56">
        <v>0</v>
      </c>
      <c r="I78" s="56">
        <v>1723</v>
      </c>
      <c r="J78" s="56">
        <v>1802</v>
      </c>
      <c r="K78" s="56">
        <v>1901</v>
      </c>
      <c r="L78" s="56">
        <v>1903</v>
      </c>
      <c r="M78" s="56">
        <v>1914</v>
      </c>
      <c r="N78" s="56">
        <v>1945</v>
      </c>
      <c r="O78" s="56">
        <v>1930</v>
      </c>
      <c r="P78" s="410"/>
      <c r="Q78" s="540" t="s">
        <v>911</v>
      </c>
    </row>
    <row r="79" spans="1:17">
      <c r="A79" s="547">
        <v>7</v>
      </c>
      <c r="B79" s="540" t="s">
        <v>9853</v>
      </c>
      <c r="C79" s="55" t="s">
        <v>10067</v>
      </c>
      <c r="D79" s="542">
        <v>0</v>
      </c>
      <c r="E79" s="542">
        <v>0</v>
      </c>
      <c r="F79" s="542">
        <v>0</v>
      </c>
      <c r="G79" s="542">
        <v>0</v>
      </c>
      <c r="H79" s="56">
        <v>0</v>
      </c>
      <c r="I79" s="56">
        <v>1621</v>
      </c>
      <c r="J79" s="56">
        <v>1698</v>
      </c>
      <c r="K79" s="56">
        <v>1759</v>
      </c>
      <c r="L79" s="56">
        <v>1761</v>
      </c>
      <c r="M79" s="56">
        <v>1751</v>
      </c>
      <c r="N79" s="56">
        <v>1775</v>
      </c>
      <c r="O79" s="56">
        <v>1777</v>
      </c>
      <c r="P79" s="410"/>
      <c r="Q79" s="540" t="s">
        <v>911</v>
      </c>
    </row>
    <row r="80" spans="1:17">
      <c r="A80" s="547">
        <v>8</v>
      </c>
      <c r="B80" s="141" t="s">
        <v>9854</v>
      </c>
      <c r="C80" s="55" t="s">
        <v>10068</v>
      </c>
      <c r="D80" s="542">
        <v>0</v>
      </c>
      <c r="E80" s="542">
        <v>0</v>
      </c>
      <c r="F80" s="542">
        <v>0</v>
      </c>
      <c r="G80" s="542">
        <v>0</v>
      </c>
      <c r="H80" s="56">
        <v>0</v>
      </c>
      <c r="I80" s="58">
        <v>1849</v>
      </c>
      <c r="J80" s="58">
        <v>1874</v>
      </c>
      <c r="K80" s="58">
        <v>1954</v>
      </c>
      <c r="L80" s="58">
        <v>1975</v>
      </c>
      <c r="M80" s="58">
        <v>1956</v>
      </c>
      <c r="N80" s="58">
        <v>2060</v>
      </c>
      <c r="O80" s="58">
        <v>2062</v>
      </c>
      <c r="P80" s="410"/>
      <c r="Q80" s="540" t="s">
        <v>917</v>
      </c>
    </row>
    <row r="81" spans="1:17">
      <c r="A81" s="547">
        <v>9</v>
      </c>
      <c r="B81" s="540" t="s">
        <v>1637</v>
      </c>
      <c r="C81" s="55" t="s">
        <v>10069</v>
      </c>
      <c r="D81" s="542">
        <v>0</v>
      </c>
      <c r="E81" s="542">
        <v>0</v>
      </c>
      <c r="F81" s="542">
        <v>0</v>
      </c>
      <c r="G81" s="542">
        <v>0</v>
      </c>
      <c r="H81" s="56">
        <v>0</v>
      </c>
      <c r="I81" s="58">
        <v>1712</v>
      </c>
      <c r="J81" s="58">
        <v>1734</v>
      </c>
      <c r="K81" s="58">
        <v>1744</v>
      </c>
      <c r="L81" s="58">
        <v>1770</v>
      </c>
      <c r="M81" s="58">
        <v>1774</v>
      </c>
      <c r="N81" s="58">
        <v>1846</v>
      </c>
      <c r="O81" s="58">
        <v>1833</v>
      </c>
      <c r="P81" s="410"/>
      <c r="Q81" s="540" t="s">
        <v>917</v>
      </c>
    </row>
    <row r="82" spans="1:17">
      <c r="A82" s="547">
        <v>10</v>
      </c>
      <c r="B82" s="141" t="s">
        <v>9855</v>
      </c>
      <c r="C82" s="55" t="s">
        <v>10070</v>
      </c>
      <c r="D82" s="542">
        <v>0</v>
      </c>
      <c r="E82" s="542">
        <v>0</v>
      </c>
      <c r="F82" s="542">
        <v>0</v>
      </c>
      <c r="G82" s="542">
        <v>0</v>
      </c>
      <c r="H82" s="56">
        <v>0</v>
      </c>
      <c r="I82" s="58">
        <v>1819</v>
      </c>
      <c r="J82" s="58">
        <v>1828</v>
      </c>
      <c r="K82" s="58">
        <v>1897</v>
      </c>
      <c r="L82" s="58">
        <v>1898</v>
      </c>
      <c r="M82" s="58">
        <v>1890</v>
      </c>
      <c r="N82" s="58">
        <v>1960</v>
      </c>
      <c r="O82" s="58">
        <v>1952</v>
      </c>
      <c r="P82" s="410"/>
      <c r="Q82" s="540" t="s">
        <v>917</v>
      </c>
    </row>
    <row r="83" spans="1:17">
      <c r="A83" s="547">
        <v>11</v>
      </c>
      <c r="B83" s="540" t="s">
        <v>1638</v>
      </c>
      <c r="C83" s="55" t="s">
        <v>10071</v>
      </c>
      <c r="D83" s="542">
        <v>0</v>
      </c>
      <c r="E83" s="542">
        <v>0</v>
      </c>
      <c r="F83" s="542">
        <v>0</v>
      </c>
      <c r="G83" s="542">
        <v>0</v>
      </c>
      <c r="H83" s="56">
        <v>0</v>
      </c>
      <c r="I83" s="56">
        <v>407</v>
      </c>
      <c r="J83" s="56">
        <v>405</v>
      </c>
      <c r="K83" s="56">
        <v>411</v>
      </c>
      <c r="L83" s="56">
        <v>414</v>
      </c>
      <c r="M83" s="56">
        <v>409</v>
      </c>
      <c r="N83" s="56">
        <v>408</v>
      </c>
      <c r="O83" s="56">
        <v>411</v>
      </c>
      <c r="P83" s="410"/>
      <c r="Q83" s="540" t="s">
        <v>911</v>
      </c>
    </row>
    <row r="84" spans="1:17" ht="15.75" thickBot="1">
      <c r="A84" s="547"/>
      <c r="B84" s="540"/>
      <c r="C84" s="55" t="s">
        <v>10071</v>
      </c>
      <c r="D84" s="545">
        <v>0</v>
      </c>
      <c r="E84" s="545">
        <v>0</v>
      </c>
      <c r="F84" s="545">
        <v>0</v>
      </c>
      <c r="G84" s="545">
        <v>0</v>
      </c>
      <c r="H84" s="274">
        <v>0</v>
      </c>
      <c r="I84" s="58">
        <v>1586</v>
      </c>
      <c r="J84" s="58">
        <v>1637</v>
      </c>
      <c r="K84" s="58">
        <v>1698</v>
      </c>
      <c r="L84" s="58">
        <v>1782</v>
      </c>
      <c r="M84" s="58">
        <v>1751</v>
      </c>
      <c r="N84" s="58">
        <v>1759</v>
      </c>
      <c r="O84" s="58">
        <v>1757</v>
      </c>
      <c r="P84" s="410"/>
      <c r="Q84" s="540" t="s">
        <v>917</v>
      </c>
    </row>
    <row r="85" spans="1:17" ht="15.75" thickBot="1">
      <c r="A85" s="547"/>
      <c r="B85" s="540"/>
      <c r="C85" s="55" t="s">
        <v>10071</v>
      </c>
      <c r="D85" s="550">
        <f>D83+D84</f>
        <v>0</v>
      </c>
      <c r="E85" s="550">
        <f t="shared" ref="E85:L85" si="62">E83+E84</f>
        <v>0</v>
      </c>
      <c r="F85" s="550">
        <f t="shared" si="62"/>
        <v>0</v>
      </c>
      <c r="G85" s="550">
        <f t="shared" si="62"/>
        <v>0</v>
      </c>
      <c r="H85" s="550">
        <f t="shared" si="62"/>
        <v>0</v>
      </c>
      <c r="I85" s="550">
        <f t="shared" si="62"/>
        <v>1993</v>
      </c>
      <c r="J85" s="550">
        <f t="shared" si="62"/>
        <v>2042</v>
      </c>
      <c r="K85" s="550">
        <f t="shared" si="62"/>
        <v>2109</v>
      </c>
      <c r="L85" s="550">
        <f t="shared" si="62"/>
        <v>2196</v>
      </c>
      <c r="M85" s="550">
        <f>M83+M84</f>
        <v>2160</v>
      </c>
      <c r="N85" s="550">
        <f>N83+N84</f>
        <v>2167</v>
      </c>
      <c r="O85" s="550">
        <f>O83+O84</f>
        <v>2168</v>
      </c>
      <c r="P85" s="410"/>
      <c r="Q85" s="540"/>
    </row>
    <row r="86" spans="1:17">
      <c r="A86" s="547">
        <v>12</v>
      </c>
      <c r="B86" s="540" t="s">
        <v>9856</v>
      </c>
      <c r="C86" s="55" t="s">
        <v>10072</v>
      </c>
      <c r="D86" s="542">
        <v>0</v>
      </c>
      <c r="E86" s="542">
        <v>0</v>
      </c>
      <c r="F86" s="542">
        <v>0</v>
      </c>
      <c r="G86" s="542">
        <v>0</v>
      </c>
      <c r="H86" s="56">
        <v>0</v>
      </c>
      <c r="I86" s="58">
        <v>4025</v>
      </c>
      <c r="J86" s="551">
        <v>3953</v>
      </c>
      <c r="K86" s="58">
        <v>4047</v>
      </c>
      <c r="L86" s="58">
        <v>4027</v>
      </c>
      <c r="M86" s="58">
        <v>4027</v>
      </c>
      <c r="N86" s="58">
        <v>4151</v>
      </c>
      <c r="O86" s="58">
        <v>4115</v>
      </c>
      <c r="P86" s="410"/>
      <c r="Q86" s="540" t="s">
        <v>917</v>
      </c>
    </row>
    <row r="87" spans="1:17">
      <c r="A87" s="547">
        <v>13</v>
      </c>
      <c r="B87" s="540" t="s">
        <v>1639</v>
      </c>
      <c r="C87" s="55" t="s">
        <v>10073</v>
      </c>
      <c r="D87" s="542">
        <v>0</v>
      </c>
      <c r="E87" s="542">
        <v>0</v>
      </c>
      <c r="F87" s="542">
        <v>0</v>
      </c>
      <c r="G87" s="542">
        <v>0</v>
      </c>
      <c r="H87" s="56">
        <v>0</v>
      </c>
      <c r="I87" s="58">
        <v>5294</v>
      </c>
      <c r="J87" s="551">
        <v>5505</v>
      </c>
      <c r="K87" s="58">
        <v>5836</v>
      </c>
      <c r="L87" s="58">
        <v>5884</v>
      </c>
      <c r="M87" s="58">
        <v>5863</v>
      </c>
      <c r="N87" s="58">
        <v>6053</v>
      </c>
      <c r="O87" s="58">
        <v>5997</v>
      </c>
      <c r="P87" s="410"/>
      <c r="Q87" s="540" t="s">
        <v>917</v>
      </c>
    </row>
    <row r="88" spans="1:17">
      <c r="A88" s="547">
        <v>14</v>
      </c>
      <c r="B88" s="540" t="s">
        <v>1640</v>
      </c>
      <c r="C88" s="55" t="s">
        <v>10074</v>
      </c>
      <c r="D88" s="542">
        <v>0</v>
      </c>
      <c r="E88" s="542">
        <v>0</v>
      </c>
      <c r="F88" s="542">
        <v>0</v>
      </c>
      <c r="G88" s="542">
        <v>0</v>
      </c>
      <c r="H88" s="56">
        <v>0</v>
      </c>
      <c r="I88" s="56">
        <v>1411</v>
      </c>
      <c r="J88" s="552">
        <v>1476</v>
      </c>
      <c r="K88" s="56">
        <v>1563</v>
      </c>
      <c r="L88" s="56">
        <v>1630</v>
      </c>
      <c r="M88" s="56">
        <v>1643</v>
      </c>
      <c r="N88" s="56">
        <v>1678</v>
      </c>
      <c r="O88" s="56">
        <v>1668</v>
      </c>
      <c r="P88" s="410"/>
      <c r="Q88" s="540" t="s">
        <v>911</v>
      </c>
    </row>
    <row r="89" spans="1:17">
      <c r="A89" s="547">
        <v>15</v>
      </c>
      <c r="B89" s="540" t="s">
        <v>1641</v>
      </c>
      <c r="C89" s="55" t="s">
        <v>10075</v>
      </c>
      <c r="D89" s="542">
        <v>0</v>
      </c>
      <c r="E89" s="542">
        <v>0</v>
      </c>
      <c r="F89" s="542">
        <v>0</v>
      </c>
      <c r="G89" s="542">
        <v>0</v>
      </c>
      <c r="H89" s="56">
        <v>0</v>
      </c>
      <c r="I89" s="58">
        <v>1754</v>
      </c>
      <c r="J89" s="551">
        <v>1775</v>
      </c>
      <c r="K89" s="58">
        <v>1859</v>
      </c>
      <c r="L89" s="58">
        <v>1878</v>
      </c>
      <c r="M89" s="58">
        <v>1869</v>
      </c>
      <c r="N89" s="58">
        <v>1935</v>
      </c>
      <c r="O89" s="58">
        <v>1926</v>
      </c>
      <c r="P89" s="410"/>
      <c r="Q89" s="540" t="s">
        <v>917</v>
      </c>
    </row>
    <row r="90" spans="1:17">
      <c r="A90" s="547">
        <v>16</v>
      </c>
      <c r="B90" s="540" t="s">
        <v>9857</v>
      </c>
      <c r="C90" s="55" t="s">
        <v>10076</v>
      </c>
      <c r="D90" s="542">
        <v>0</v>
      </c>
      <c r="E90" s="542">
        <v>0</v>
      </c>
      <c r="F90" s="542">
        <v>0</v>
      </c>
      <c r="G90" s="542">
        <v>0</v>
      </c>
      <c r="H90" s="56">
        <v>0</v>
      </c>
      <c r="I90" s="58">
        <v>5740</v>
      </c>
      <c r="J90" s="551">
        <v>6028</v>
      </c>
      <c r="K90" s="58">
        <v>6322</v>
      </c>
      <c r="L90" s="58">
        <v>6519</v>
      </c>
      <c r="M90" s="58">
        <v>6529</v>
      </c>
      <c r="N90" s="58">
        <v>6634</v>
      </c>
      <c r="O90" s="58">
        <v>6597</v>
      </c>
      <c r="P90" s="410"/>
      <c r="Q90" s="540" t="s">
        <v>917</v>
      </c>
    </row>
    <row r="91" spans="1:17">
      <c r="A91" s="547">
        <v>17</v>
      </c>
      <c r="B91" s="540" t="s">
        <v>9858</v>
      </c>
      <c r="C91" s="55" t="s">
        <v>10077</v>
      </c>
      <c r="D91" s="542">
        <v>0</v>
      </c>
      <c r="E91" s="542">
        <v>0</v>
      </c>
      <c r="F91" s="542">
        <v>0</v>
      </c>
      <c r="G91" s="542">
        <v>0</v>
      </c>
      <c r="H91" s="56">
        <v>0</v>
      </c>
      <c r="I91" s="58">
        <v>3443</v>
      </c>
      <c r="J91" s="551">
        <v>3540</v>
      </c>
      <c r="K91" s="58">
        <v>3646</v>
      </c>
      <c r="L91" s="58">
        <v>3681</v>
      </c>
      <c r="M91" s="58">
        <v>3671</v>
      </c>
      <c r="N91" s="58">
        <v>3760</v>
      </c>
      <c r="O91" s="58">
        <v>3729</v>
      </c>
      <c r="P91" s="410"/>
      <c r="Q91" s="540" t="s">
        <v>917</v>
      </c>
    </row>
    <row r="92" spans="1:17">
      <c r="A92" s="547">
        <v>18</v>
      </c>
      <c r="B92" s="540" t="s">
        <v>926</v>
      </c>
      <c r="C92" s="55" t="s">
        <v>10078</v>
      </c>
      <c r="D92" s="542">
        <v>0</v>
      </c>
      <c r="E92" s="542">
        <v>0</v>
      </c>
      <c r="F92" s="542">
        <v>0</v>
      </c>
      <c r="G92" s="542">
        <v>0</v>
      </c>
      <c r="H92" s="56">
        <v>0</v>
      </c>
      <c r="I92" s="58">
        <v>1798</v>
      </c>
      <c r="J92" s="551">
        <v>1781</v>
      </c>
      <c r="K92" s="58">
        <v>1800</v>
      </c>
      <c r="L92" s="58">
        <v>1821</v>
      </c>
      <c r="M92" s="58">
        <v>1823</v>
      </c>
      <c r="N92" s="58">
        <v>1870</v>
      </c>
      <c r="O92" s="58">
        <v>1856</v>
      </c>
      <c r="P92" s="410"/>
      <c r="Q92" s="540" t="s">
        <v>917</v>
      </c>
    </row>
    <row r="93" spans="1:17">
      <c r="A93" s="547">
        <v>19</v>
      </c>
      <c r="B93" s="540" t="s">
        <v>9859</v>
      </c>
      <c r="C93" s="55" t="s">
        <v>10079</v>
      </c>
      <c r="D93" s="542">
        <v>0</v>
      </c>
      <c r="E93" s="542">
        <v>0</v>
      </c>
      <c r="F93" s="542">
        <v>0</v>
      </c>
      <c r="G93" s="542">
        <v>0</v>
      </c>
      <c r="H93" s="56">
        <v>0</v>
      </c>
      <c r="I93" s="58">
        <v>3533</v>
      </c>
      <c r="J93" s="551">
        <v>3545</v>
      </c>
      <c r="K93" s="58">
        <v>3682</v>
      </c>
      <c r="L93" s="58">
        <v>3684</v>
      </c>
      <c r="M93" s="58">
        <v>3676</v>
      </c>
      <c r="N93" s="58">
        <v>3784</v>
      </c>
      <c r="O93" s="58">
        <v>3735</v>
      </c>
      <c r="P93" s="410"/>
      <c r="Q93" s="540" t="s">
        <v>917</v>
      </c>
    </row>
    <row r="94" spans="1:17">
      <c r="A94" s="547">
        <v>20</v>
      </c>
      <c r="B94" s="540" t="s">
        <v>1126</v>
      </c>
      <c r="C94" s="55" t="s">
        <v>10080</v>
      </c>
      <c r="D94" s="542">
        <v>0</v>
      </c>
      <c r="E94" s="542">
        <v>0</v>
      </c>
      <c r="F94" s="542">
        <v>0</v>
      </c>
      <c r="G94" s="542">
        <v>0</v>
      </c>
      <c r="H94" s="56">
        <v>0</v>
      </c>
      <c r="I94" s="58">
        <v>1849</v>
      </c>
      <c r="J94" s="551">
        <v>1908</v>
      </c>
      <c r="K94" s="58">
        <v>1962</v>
      </c>
      <c r="L94" s="58">
        <v>2002</v>
      </c>
      <c r="M94" s="58">
        <v>1951</v>
      </c>
      <c r="N94" s="58">
        <v>1966</v>
      </c>
      <c r="O94" s="58">
        <v>1946</v>
      </c>
      <c r="P94" s="410"/>
      <c r="Q94" s="540" t="s">
        <v>917</v>
      </c>
    </row>
    <row r="95" spans="1:17">
      <c r="A95" s="547">
        <v>21</v>
      </c>
      <c r="B95" s="540" t="s">
        <v>927</v>
      </c>
      <c r="C95" s="55" t="s">
        <v>10081</v>
      </c>
      <c r="D95" s="542">
        <v>0</v>
      </c>
      <c r="E95" s="542">
        <v>0</v>
      </c>
      <c r="F95" s="542">
        <v>0</v>
      </c>
      <c r="G95" s="542">
        <v>0</v>
      </c>
      <c r="H95" s="56">
        <v>0</v>
      </c>
      <c r="I95" s="56">
        <v>3135</v>
      </c>
      <c r="J95" s="56">
        <v>3398</v>
      </c>
      <c r="K95" s="56">
        <v>3639</v>
      </c>
      <c r="L95" s="56">
        <v>3759</v>
      </c>
      <c r="M95" s="56">
        <v>3777</v>
      </c>
      <c r="N95" s="56">
        <v>3921</v>
      </c>
      <c r="O95" s="56">
        <v>3891</v>
      </c>
      <c r="P95" s="410"/>
      <c r="Q95" s="540" t="s">
        <v>911</v>
      </c>
    </row>
    <row r="96" spans="1:17">
      <c r="A96" s="547">
        <v>22</v>
      </c>
      <c r="B96" s="540" t="s">
        <v>928</v>
      </c>
      <c r="C96" s="55" t="s">
        <v>10082</v>
      </c>
      <c r="D96" s="542">
        <v>0</v>
      </c>
      <c r="E96" s="542">
        <v>0</v>
      </c>
      <c r="F96" s="542">
        <v>0</v>
      </c>
      <c r="G96" s="542">
        <v>0</v>
      </c>
      <c r="H96" s="56">
        <v>0</v>
      </c>
      <c r="I96" s="58">
        <v>1716</v>
      </c>
      <c r="J96" s="58">
        <v>1822</v>
      </c>
      <c r="K96" s="58">
        <v>1863</v>
      </c>
      <c r="L96" s="58">
        <v>1910</v>
      </c>
      <c r="M96" s="58">
        <v>1952</v>
      </c>
      <c r="N96" s="58">
        <v>2033</v>
      </c>
      <c r="O96" s="58">
        <v>2044</v>
      </c>
      <c r="P96" s="410"/>
      <c r="Q96" s="540" t="s">
        <v>917</v>
      </c>
    </row>
    <row r="97" spans="1:17">
      <c r="A97" s="547">
        <v>23</v>
      </c>
      <c r="B97" s="540" t="s">
        <v>6912</v>
      </c>
      <c r="C97" s="55" t="s">
        <v>10083</v>
      </c>
      <c r="D97" s="542">
        <v>0</v>
      </c>
      <c r="E97" s="542">
        <v>0</v>
      </c>
      <c r="F97" s="542">
        <v>0</v>
      </c>
      <c r="G97" s="542">
        <v>0</v>
      </c>
      <c r="H97" s="56">
        <v>0</v>
      </c>
      <c r="I97" s="58">
        <v>1823</v>
      </c>
      <c r="J97" s="58">
        <v>1806</v>
      </c>
      <c r="K97" s="58">
        <v>1837</v>
      </c>
      <c r="L97" s="58">
        <v>1852</v>
      </c>
      <c r="M97" s="58">
        <v>1854</v>
      </c>
      <c r="N97" s="58">
        <v>1882</v>
      </c>
      <c r="O97" s="58">
        <v>1882</v>
      </c>
      <c r="P97" s="410"/>
      <c r="Q97" s="540" t="s">
        <v>917</v>
      </c>
    </row>
    <row r="98" spans="1:17">
      <c r="A98" s="547">
        <v>24</v>
      </c>
      <c r="B98" s="540" t="s">
        <v>6913</v>
      </c>
      <c r="C98" s="55" t="s">
        <v>10084</v>
      </c>
      <c r="D98" s="542">
        <v>0</v>
      </c>
      <c r="E98" s="542">
        <v>0</v>
      </c>
      <c r="F98" s="542">
        <v>0</v>
      </c>
      <c r="G98" s="542">
        <v>0</v>
      </c>
      <c r="H98" s="56">
        <v>0</v>
      </c>
      <c r="I98" s="58">
        <v>1642</v>
      </c>
      <c r="J98" s="58">
        <v>1668</v>
      </c>
      <c r="K98" s="58">
        <v>1726</v>
      </c>
      <c r="L98" s="58">
        <v>1793</v>
      </c>
      <c r="M98" s="58">
        <v>1766</v>
      </c>
      <c r="N98" s="58">
        <v>1762</v>
      </c>
      <c r="O98" s="58">
        <v>1756</v>
      </c>
      <c r="P98" s="410"/>
      <c r="Q98" s="540" t="s">
        <v>917</v>
      </c>
    </row>
    <row r="99" spans="1:17">
      <c r="A99" s="547">
        <v>25</v>
      </c>
      <c r="B99" s="540" t="s">
        <v>9860</v>
      </c>
      <c r="C99" s="55" t="s">
        <v>10085</v>
      </c>
      <c r="D99" s="542">
        <v>0</v>
      </c>
      <c r="E99" s="542">
        <v>0</v>
      </c>
      <c r="F99" s="542">
        <v>0</v>
      </c>
      <c r="G99" s="542">
        <v>0</v>
      </c>
      <c r="H99" s="56">
        <v>0</v>
      </c>
      <c r="I99" s="56">
        <v>5728</v>
      </c>
      <c r="J99" s="56">
        <v>5924</v>
      </c>
      <c r="K99" s="56">
        <v>6209</v>
      </c>
      <c r="L99" s="56">
        <v>6453</v>
      </c>
      <c r="M99" s="56">
        <v>6588</v>
      </c>
      <c r="N99" s="56">
        <v>6809</v>
      </c>
      <c r="O99" s="56">
        <v>6747</v>
      </c>
      <c r="P99" s="410"/>
      <c r="Q99" s="540" t="s">
        <v>911</v>
      </c>
    </row>
    <row r="100" spans="1:17">
      <c r="A100" s="547">
        <v>26</v>
      </c>
      <c r="B100" s="540" t="s">
        <v>9861</v>
      </c>
      <c r="C100" s="55" t="s">
        <v>10086</v>
      </c>
      <c r="D100" s="542">
        <v>0</v>
      </c>
      <c r="E100" s="542">
        <v>0</v>
      </c>
      <c r="F100" s="542">
        <v>0</v>
      </c>
      <c r="G100" s="542">
        <v>0</v>
      </c>
      <c r="H100" s="56">
        <v>0</v>
      </c>
      <c r="I100" s="56">
        <v>3858</v>
      </c>
      <c r="J100" s="56">
        <v>3992</v>
      </c>
      <c r="K100" s="56">
        <v>4123</v>
      </c>
      <c r="L100" s="56">
        <v>4097</v>
      </c>
      <c r="M100" s="56">
        <v>4073</v>
      </c>
      <c r="N100" s="56">
        <v>4133</v>
      </c>
      <c r="O100" s="56">
        <v>4121</v>
      </c>
      <c r="P100" s="410"/>
      <c r="Q100" s="540" t="s">
        <v>911</v>
      </c>
    </row>
    <row r="101" spans="1:17">
      <c r="A101" s="547">
        <v>27</v>
      </c>
      <c r="B101" s="540" t="s">
        <v>929</v>
      </c>
      <c r="C101" s="55" t="s">
        <v>10087</v>
      </c>
      <c r="D101" s="542">
        <v>0</v>
      </c>
      <c r="E101" s="542">
        <v>0</v>
      </c>
      <c r="F101" s="542">
        <v>0</v>
      </c>
      <c r="G101" s="542">
        <v>0</v>
      </c>
      <c r="H101" s="56">
        <v>0</v>
      </c>
      <c r="I101" s="58">
        <v>2036</v>
      </c>
      <c r="J101" s="58">
        <v>2108</v>
      </c>
      <c r="K101" s="58">
        <v>2214</v>
      </c>
      <c r="L101" s="58">
        <v>2264</v>
      </c>
      <c r="M101" s="58">
        <v>2268</v>
      </c>
      <c r="N101" s="58">
        <v>2300</v>
      </c>
      <c r="O101" s="58">
        <v>2291</v>
      </c>
      <c r="P101" s="410"/>
      <c r="Q101" s="540" t="s">
        <v>917</v>
      </c>
    </row>
    <row r="102" spans="1:17">
      <c r="A102" s="547">
        <v>28</v>
      </c>
      <c r="B102" s="540" t="s">
        <v>9862</v>
      </c>
      <c r="C102" s="55" t="s">
        <v>10088</v>
      </c>
      <c r="D102" s="542">
        <v>0</v>
      </c>
      <c r="E102" s="542">
        <v>0</v>
      </c>
      <c r="F102" s="542">
        <v>0</v>
      </c>
      <c r="G102" s="542">
        <v>0</v>
      </c>
      <c r="H102" s="56">
        <v>0</v>
      </c>
      <c r="I102" s="58">
        <v>3679</v>
      </c>
      <c r="J102" s="58">
        <v>3735</v>
      </c>
      <c r="K102" s="58">
        <v>3870</v>
      </c>
      <c r="L102" s="58">
        <v>3941</v>
      </c>
      <c r="M102" s="58">
        <v>3949</v>
      </c>
      <c r="N102" s="58">
        <v>3960</v>
      </c>
      <c r="O102" s="58">
        <v>3933</v>
      </c>
      <c r="P102" s="410"/>
      <c r="Q102" s="540" t="s">
        <v>917</v>
      </c>
    </row>
    <row r="103" spans="1:17">
      <c r="A103" s="547">
        <v>29</v>
      </c>
      <c r="B103" s="540" t="s">
        <v>9863</v>
      </c>
      <c r="C103" s="55" t="s">
        <v>10089</v>
      </c>
      <c r="D103" s="542">
        <v>0</v>
      </c>
      <c r="E103" s="542">
        <v>0</v>
      </c>
      <c r="F103" s="542">
        <v>0</v>
      </c>
      <c r="G103" s="542">
        <v>0</v>
      </c>
      <c r="H103" s="56">
        <v>0</v>
      </c>
      <c r="I103" s="58">
        <v>1871</v>
      </c>
      <c r="J103" s="58">
        <v>1942</v>
      </c>
      <c r="K103" s="58">
        <v>2019</v>
      </c>
      <c r="L103" s="58">
        <v>2017</v>
      </c>
      <c r="M103" s="58">
        <v>2013</v>
      </c>
      <c r="N103" s="58">
        <v>2059</v>
      </c>
      <c r="O103" s="58">
        <v>2039</v>
      </c>
      <c r="P103" s="410"/>
      <c r="Q103" s="540" t="s">
        <v>917</v>
      </c>
    </row>
    <row r="104" spans="1:17">
      <c r="A104" s="547">
        <v>30</v>
      </c>
      <c r="B104" s="540" t="s">
        <v>3032</v>
      </c>
      <c r="C104" s="55" t="s">
        <v>10090</v>
      </c>
      <c r="D104" s="542">
        <v>0</v>
      </c>
      <c r="E104" s="542">
        <v>0</v>
      </c>
      <c r="F104" s="542">
        <v>0</v>
      </c>
      <c r="G104" s="542">
        <v>0</v>
      </c>
      <c r="H104" s="56">
        <v>0</v>
      </c>
      <c r="I104" s="58">
        <v>1801</v>
      </c>
      <c r="J104" s="58">
        <v>1824</v>
      </c>
      <c r="K104" s="58">
        <v>1865</v>
      </c>
      <c r="L104" s="58">
        <v>1911</v>
      </c>
      <c r="M104" s="58">
        <v>1860</v>
      </c>
      <c r="N104" s="58">
        <v>1910</v>
      </c>
      <c r="O104" s="58">
        <v>1896</v>
      </c>
      <c r="P104" s="410"/>
      <c r="Q104" s="540" t="s">
        <v>917</v>
      </c>
    </row>
    <row r="105" spans="1:17">
      <c r="A105" s="547">
        <v>31</v>
      </c>
      <c r="B105" s="540" t="s">
        <v>4186</v>
      </c>
      <c r="C105" s="55" t="s">
        <v>10091</v>
      </c>
      <c r="D105" s="542">
        <v>0</v>
      </c>
      <c r="E105" s="542">
        <v>0</v>
      </c>
      <c r="F105" s="542">
        <v>0</v>
      </c>
      <c r="G105" s="542">
        <v>0</v>
      </c>
      <c r="H105" s="56">
        <v>0</v>
      </c>
      <c r="I105" s="58">
        <v>1757</v>
      </c>
      <c r="J105" s="58">
        <v>1681</v>
      </c>
      <c r="K105" s="58">
        <v>1712</v>
      </c>
      <c r="L105" s="58">
        <v>1728</v>
      </c>
      <c r="M105" s="58">
        <v>1701</v>
      </c>
      <c r="N105" s="58">
        <v>1774</v>
      </c>
      <c r="O105" s="58">
        <v>1765</v>
      </c>
      <c r="P105" s="410"/>
      <c r="Q105" s="540" t="s">
        <v>917</v>
      </c>
    </row>
    <row r="106" spans="1:17">
      <c r="A106" s="547">
        <v>32</v>
      </c>
      <c r="B106" s="540" t="s">
        <v>9864</v>
      </c>
      <c r="C106" s="55" t="s">
        <v>10092</v>
      </c>
      <c r="D106" s="542">
        <v>0</v>
      </c>
      <c r="E106" s="542">
        <v>0</v>
      </c>
      <c r="F106" s="542">
        <v>0</v>
      </c>
      <c r="G106" s="542">
        <v>0</v>
      </c>
      <c r="H106" s="56">
        <v>0</v>
      </c>
      <c r="I106" s="56">
        <v>1773</v>
      </c>
      <c r="J106" s="56">
        <v>1841</v>
      </c>
      <c r="K106" s="56">
        <v>1952</v>
      </c>
      <c r="L106" s="56">
        <v>2008</v>
      </c>
      <c r="M106" s="56">
        <v>1981</v>
      </c>
      <c r="N106" s="56">
        <v>2022</v>
      </c>
      <c r="O106" s="56">
        <v>1997</v>
      </c>
      <c r="P106" s="410"/>
      <c r="Q106" s="540" t="s">
        <v>911</v>
      </c>
    </row>
    <row r="107" spans="1:17">
      <c r="A107" s="547">
        <v>33</v>
      </c>
      <c r="B107" s="540" t="s">
        <v>3033</v>
      </c>
      <c r="C107" s="55" t="s">
        <v>10093</v>
      </c>
      <c r="D107" s="542">
        <v>0</v>
      </c>
      <c r="E107" s="542">
        <v>0</v>
      </c>
      <c r="F107" s="542">
        <v>0</v>
      </c>
      <c r="G107" s="542">
        <v>0</v>
      </c>
      <c r="H107" s="56">
        <v>0</v>
      </c>
      <c r="I107" s="58">
        <v>1936</v>
      </c>
      <c r="J107" s="58">
        <v>1986</v>
      </c>
      <c r="K107" s="58">
        <v>2037</v>
      </c>
      <c r="L107" s="58">
        <v>2030</v>
      </c>
      <c r="M107" s="58">
        <v>2026</v>
      </c>
      <c r="N107" s="58">
        <v>2052</v>
      </c>
      <c r="O107" s="58">
        <v>2038</v>
      </c>
      <c r="P107" s="410"/>
      <c r="Q107" s="540" t="s">
        <v>917</v>
      </c>
    </row>
    <row r="108" spans="1:17">
      <c r="A108" s="547">
        <v>34</v>
      </c>
      <c r="B108" s="540" t="s">
        <v>3034</v>
      </c>
      <c r="C108" s="55" t="s">
        <v>10094</v>
      </c>
      <c r="D108" s="542">
        <v>0</v>
      </c>
      <c r="E108" s="542">
        <v>0</v>
      </c>
      <c r="F108" s="542">
        <v>0</v>
      </c>
      <c r="G108" s="542">
        <v>0</v>
      </c>
      <c r="H108" s="56">
        <v>0</v>
      </c>
      <c r="I108" s="56">
        <v>3706</v>
      </c>
      <c r="J108" s="56">
        <v>3896</v>
      </c>
      <c r="K108" s="56">
        <v>4176</v>
      </c>
      <c r="L108" s="56">
        <v>4306</v>
      </c>
      <c r="M108" s="56">
        <v>4302</v>
      </c>
      <c r="N108" s="56">
        <v>4368</v>
      </c>
      <c r="O108" s="56">
        <v>4341</v>
      </c>
      <c r="P108" s="410"/>
      <c r="Q108" s="540" t="s">
        <v>911</v>
      </c>
    </row>
    <row r="109" spans="1:17">
      <c r="A109" s="547">
        <v>35</v>
      </c>
      <c r="B109" s="540" t="s">
        <v>9865</v>
      </c>
      <c r="C109" s="55" t="s">
        <v>10095</v>
      </c>
      <c r="D109" s="542">
        <v>0</v>
      </c>
      <c r="E109" s="542">
        <v>0</v>
      </c>
      <c r="F109" s="542">
        <v>0</v>
      </c>
      <c r="G109" s="542">
        <v>0</v>
      </c>
      <c r="H109" s="56">
        <v>0</v>
      </c>
      <c r="I109" s="58">
        <v>1908</v>
      </c>
      <c r="J109" s="58">
        <v>1945</v>
      </c>
      <c r="K109" s="58">
        <v>1991</v>
      </c>
      <c r="L109" s="58">
        <v>2014</v>
      </c>
      <c r="M109" s="58">
        <v>2020</v>
      </c>
      <c r="N109" s="58">
        <v>2093</v>
      </c>
      <c r="O109" s="58">
        <v>2085</v>
      </c>
      <c r="P109" s="410"/>
      <c r="Q109" s="540" t="s">
        <v>917</v>
      </c>
    </row>
    <row r="110" spans="1:17">
      <c r="A110" s="547">
        <v>36</v>
      </c>
      <c r="B110" s="540" t="s">
        <v>3035</v>
      </c>
      <c r="C110" s="55" t="s">
        <v>10096</v>
      </c>
      <c r="D110" s="542">
        <v>0</v>
      </c>
      <c r="E110" s="542">
        <v>0</v>
      </c>
      <c r="F110" s="542">
        <v>0</v>
      </c>
      <c r="G110" s="542">
        <v>0</v>
      </c>
      <c r="H110" s="56">
        <v>0</v>
      </c>
      <c r="I110" s="58">
        <v>3508</v>
      </c>
      <c r="J110" s="58">
        <v>3535</v>
      </c>
      <c r="K110" s="58">
        <v>3678</v>
      </c>
      <c r="L110" s="58">
        <v>3694</v>
      </c>
      <c r="M110" s="58">
        <v>3665</v>
      </c>
      <c r="N110" s="58">
        <v>3746</v>
      </c>
      <c r="O110" s="58">
        <v>3724</v>
      </c>
      <c r="P110" s="410"/>
      <c r="Q110" s="540" t="s">
        <v>917</v>
      </c>
    </row>
    <row r="111" spans="1:17">
      <c r="A111" s="547">
        <v>37</v>
      </c>
      <c r="B111" s="540" t="s">
        <v>3036</v>
      </c>
      <c r="C111" s="55" t="s">
        <v>10097</v>
      </c>
      <c r="D111" s="542">
        <v>1809</v>
      </c>
      <c r="E111" s="542">
        <v>1850</v>
      </c>
      <c r="F111" s="542">
        <v>1842</v>
      </c>
      <c r="G111" s="542">
        <v>1819</v>
      </c>
      <c r="H111" s="56">
        <v>1975</v>
      </c>
      <c r="I111" s="56">
        <v>1864</v>
      </c>
      <c r="J111" s="56">
        <v>1931</v>
      </c>
      <c r="K111" s="56">
        <v>2019</v>
      </c>
      <c r="L111" s="56">
        <v>2041</v>
      </c>
      <c r="M111" s="56">
        <v>2016</v>
      </c>
      <c r="N111" s="56">
        <v>2057</v>
      </c>
      <c r="O111" s="56">
        <v>2051</v>
      </c>
      <c r="P111" s="410"/>
      <c r="Q111" s="540" t="s">
        <v>913</v>
      </c>
    </row>
    <row r="112" spans="1:17">
      <c r="A112" s="410"/>
      <c r="B112" s="410"/>
      <c r="D112" s="543"/>
      <c r="E112" s="543"/>
      <c r="F112" s="543"/>
      <c r="G112" s="543"/>
      <c r="H112" s="543"/>
      <c r="I112" s="543"/>
      <c r="J112" s="543"/>
      <c r="K112" s="543"/>
      <c r="L112" s="543"/>
      <c r="M112" s="543"/>
      <c r="N112" s="543"/>
      <c r="O112" s="543"/>
      <c r="P112" s="410"/>
      <c r="Q112" s="410"/>
    </row>
    <row r="113" spans="1:17">
      <c r="A113" s="540" t="s">
        <v>4453</v>
      </c>
      <c r="D113" s="542">
        <f t="shared" ref="D113:O113" si="63">D75+D78+D79+D83+D88+D99+D100+D95+D106+D108</f>
        <v>26806</v>
      </c>
      <c r="E113" s="542">
        <f t="shared" si="63"/>
        <v>26503</v>
      </c>
      <c r="F113" s="542">
        <f t="shared" si="63"/>
        <v>26698</v>
      </c>
      <c r="G113" s="542">
        <f t="shared" si="63"/>
        <v>25570</v>
      </c>
      <c r="H113" s="542">
        <f t="shared" si="63"/>
        <v>27196</v>
      </c>
      <c r="I113" s="542">
        <f t="shared" si="63"/>
        <v>25382</v>
      </c>
      <c r="J113" s="542">
        <f t="shared" si="63"/>
        <v>26416</v>
      </c>
      <c r="K113" s="542">
        <f t="shared" si="63"/>
        <v>27768</v>
      </c>
      <c r="L113" s="542">
        <f t="shared" si="63"/>
        <v>28337</v>
      </c>
      <c r="M113" s="542">
        <f t="shared" si="63"/>
        <v>28450</v>
      </c>
      <c r="N113" s="542">
        <f t="shared" si="63"/>
        <v>29113</v>
      </c>
      <c r="O113" s="542">
        <f t="shared" si="63"/>
        <v>28921</v>
      </c>
      <c r="P113" s="410"/>
      <c r="Q113" s="410"/>
    </row>
    <row r="114" spans="1:17">
      <c r="A114" s="540" t="s">
        <v>3037</v>
      </c>
      <c r="D114" s="542">
        <f>D111</f>
        <v>1809</v>
      </c>
      <c r="E114" s="542">
        <f>E111</f>
        <v>1850</v>
      </c>
      <c r="F114" s="542">
        <f>F111</f>
        <v>1842</v>
      </c>
      <c r="G114" s="542">
        <f>G111</f>
        <v>1819</v>
      </c>
      <c r="H114" s="542">
        <f>H111</f>
        <v>1975</v>
      </c>
      <c r="I114" s="542">
        <f t="shared" ref="I114:N114" si="64">I111</f>
        <v>1864</v>
      </c>
      <c r="J114" s="542">
        <f t="shared" si="64"/>
        <v>1931</v>
      </c>
      <c r="K114" s="542">
        <f t="shared" si="64"/>
        <v>2019</v>
      </c>
      <c r="L114" s="542">
        <f t="shared" si="64"/>
        <v>2041</v>
      </c>
      <c r="M114" s="542">
        <f t="shared" si="64"/>
        <v>2016</v>
      </c>
      <c r="N114" s="542">
        <f t="shared" si="64"/>
        <v>2057</v>
      </c>
      <c r="O114" s="542">
        <f>O111</f>
        <v>2051</v>
      </c>
      <c r="P114" s="410"/>
      <c r="Q114" s="410"/>
    </row>
    <row r="115" spans="1:17">
      <c r="A115" s="540" t="s">
        <v>917</v>
      </c>
      <c r="D115" s="542">
        <f t="shared" ref="D115:N115" si="65">SUM(D73:D74,D76:D77,D80:D82,D84,D86:D87,D89:D94,D96:D98,D101:D105,D107,D109:D110)</f>
        <v>77210</v>
      </c>
      <c r="E115" s="542">
        <f t="shared" si="65"/>
        <v>76233</v>
      </c>
      <c r="F115" s="542">
        <f t="shared" si="65"/>
        <v>76217</v>
      </c>
      <c r="G115" s="542">
        <f t="shared" si="65"/>
        <v>73803</v>
      </c>
      <c r="H115" s="542">
        <f t="shared" si="65"/>
        <v>76866</v>
      </c>
      <c r="I115" s="542">
        <f t="shared" si="65"/>
        <v>72791</v>
      </c>
      <c r="J115" s="542">
        <f t="shared" si="65"/>
        <v>74617</v>
      </c>
      <c r="K115" s="542">
        <f t="shared" si="65"/>
        <v>77337</v>
      </c>
      <c r="L115" s="542">
        <f t="shared" si="65"/>
        <v>78472</v>
      </c>
      <c r="M115" s="542">
        <f t="shared" si="65"/>
        <v>78101</v>
      </c>
      <c r="N115" s="542">
        <f t="shared" si="65"/>
        <v>80070</v>
      </c>
      <c r="O115" s="542">
        <f>SUM(O73:O74,O76:O77,O80:O82,O84,O86:O87,O89:O94,O96:O98,O101:O105,O107,O109:O110)</f>
        <v>79534</v>
      </c>
      <c r="P115" s="410"/>
      <c r="Q115" s="410"/>
    </row>
    <row r="116" spans="1:17">
      <c r="A116" s="540"/>
    </row>
    <row r="117" spans="1:17">
      <c r="A117" s="540" t="s">
        <v>9879</v>
      </c>
    </row>
    <row r="118" spans="1:17">
      <c r="A118" s="540"/>
    </row>
    <row r="119" spans="1:17">
      <c r="A119" s="540"/>
      <c r="B119" s="540"/>
      <c r="D119" s="548"/>
      <c r="E119" s="548"/>
      <c r="F119" s="548"/>
      <c r="G119" s="548"/>
      <c r="H119" s="548"/>
      <c r="I119" s="548"/>
      <c r="J119" s="548"/>
      <c r="K119" s="548"/>
      <c r="L119" s="548"/>
      <c r="M119" s="548"/>
      <c r="N119" s="548"/>
      <c r="O119" s="548"/>
      <c r="P119" s="410"/>
      <c r="Q119" s="410"/>
    </row>
    <row r="120" spans="1:17">
      <c r="A120" s="410"/>
      <c r="B120" s="410"/>
      <c r="E120" s="51" t="s">
        <v>1526</v>
      </c>
      <c r="F120" s="51"/>
      <c r="G120" s="51"/>
      <c r="H120" s="51"/>
      <c r="I120" s="51"/>
      <c r="J120" s="51"/>
      <c r="K120" s="51"/>
      <c r="L120" s="51"/>
      <c r="M120" s="51"/>
      <c r="N120" s="51"/>
      <c r="O120" s="51"/>
      <c r="P120" s="276"/>
      <c r="Q120" s="11" t="s">
        <v>9479</v>
      </c>
    </row>
    <row r="121" spans="1:17">
      <c r="A121" s="410"/>
      <c r="B121" s="410"/>
      <c r="D121" s="350">
        <v>2010</v>
      </c>
      <c r="E121" s="350">
        <v>2011</v>
      </c>
      <c r="F121" s="350">
        <v>2012</v>
      </c>
      <c r="G121" s="350">
        <v>2013</v>
      </c>
      <c r="H121" s="350">
        <v>2014</v>
      </c>
      <c r="I121" s="350">
        <v>2015</v>
      </c>
      <c r="J121" s="350">
        <v>2016</v>
      </c>
      <c r="K121" s="350">
        <v>2017</v>
      </c>
      <c r="L121" s="350">
        <v>2018</v>
      </c>
      <c r="M121" s="350">
        <v>2019</v>
      </c>
      <c r="N121" s="350">
        <v>2020</v>
      </c>
      <c r="O121" s="958" t="s">
        <v>14823</v>
      </c>
      <c r="P121" s="410"/>
      <c r="Q121" s="13" t="s">
        <v>1527</v>
      </c>
    </row>
    <row r="122" spans="1:17">
      <c r="A122" s="540" t="s">
        <v>1660</v>
      </c>
      <c r="D122" s="542">
        <f t="shared" ref="D122:I122" si="66">SUM(D123:D133)</f>
        <v>63464</v>
      </c>
      <c r="E122" s="542">
        <f t="shared" si="66"/>
        <v>63215</v>
      </c>
      <c r="F122" s="542">
        <f t="shared" si="66"/>
        <v>63266</v>
      </c>
      <c r="G122" s="542">
        <f t="shared" si="66"/>
        <v>62447</v>
      </c>
      <c r="H122" s="542">
        <f t="shared" si="66"/>
        <v>61327</v>
      </c>
      <c r="I122" s="542">
        <f t="shared" si="66"/>
        <v>60111</v>
      </c>
      <c r="J122" s="542">
        <f t="shared" ref="J122:O122" si="67">SUM(J123:J133)</f>
        <v>57705</v>
      </c>
      <c r="K122" s="542">
        <f t="shared" si="67"/>
        <v>58963</v>
      </c>
      <c r="L122" s="542">
        <f t="shared" si="67"/>
        <v>58504</v>
      </c>
      <c r="M122" s="542">
        <f t="shared" si="67"/>
        <v>56908</v>
      </c>
      <c r="N122" s="542">
        <f t="shared" si="67"/>
        <v>64324</v>
      </c>
      <c r="O122" s="542">
        <f t="shared" si="67"/>
        <v>63939</v>
      </c>
      <c r="P122" s="410"/>
      <c r="Q122" s="410"/>
    </row>
    <row r="123" spans="1:17">
      <c r="A123" s="540" t="s">
        <v>5387</v>
      </c>
      <c r="B123" s="540" t="s">
        <v>6402</v>
      </c>
      <c r="C123" s="62" t="s">
        <v>11378</v>
      </c>
      <c r="D123" s="542">
        <v>63464</v>
      </c>
      <c r="E123" s="542">
        <v>63215</v>
      </c>
      <c r="F123" s="542">
        <v>63266</v>
      </c>
      <c r="G123" s="63">
        <v>62447</v>
      </c>
      <c r="H123" s="63">
        <v>61327</v>
      </c>
      <c r="I123" s="63">
        <v>60111</v>
      </c>
      <c r="J123" s="63">
        <v>5076</v>
      </c>
      <c r="K123" s="63">
        <v>5370</v>
      </c>
      <c r="L123" s="63">
        <v>5260</v>
      </c>
      <c r="M123" s="63">
        <v>5081</v>
      </c>
      <c r="N123" s="63">
        <v>5815</v>
      </c>
      <c r="O123" s="63">
        <v>5772</v>
      </c>
      <c r="P123" s="410"/>
      <c r="Q123" s="540" t="s">
        <v>2256</v>
      </c>
    </row>
    <row r="124" spans="1:17">
      <c r="A124" s="540" t="s">
        <v>5389</v>
      </c>
      <c r="B124" s="540" t="s">
        <v>3028</v>
      </c>
      <c r="C124" s="62" t="s">
        <v>11379</v>
      </c>
      <c r="D124" s="63">
        <v>0</v>
      </c>
      <c r="E124" s="63">
        <v>0</v>
      </c>
      <c r="F124" s="63">
        <v>0</v>
      </c>
      <c r="G124" s="63">
        <v>0</v>
      </c>
      <c r="H124" s="63">
        <v>0</v>
      </c>
      <c r="I124" s="63">
        <v>0</v>
      </c>
      <c r="J124" s="63">
        <v>5769</v>
      </c>
      <c r="K124" s="63">
        <v>5871</v>
      </c>
      <c r="L124" s="63">
        <v>5814</v>
      </c>
      <c r="M124" s="63">
        <v>5654</v>
      </c>
      <c r="N124" s="63">
        <v>5804</v>
      </c>
      <c r="O124" s="63">
        <v>5790</v>
      </c>
      <c r="P124" s="410"/>
      <c r="Q124" s="540" t="s">
        <v>2256</v>
      </c>
    </row>
    <row r="125" spans="1:17">
      <c r="A125" s="540" t="s">
        <v>5391</v>
      </c>
      <c r="B125" s="540" t="s">
        <v>3029</v>
      </c>
      <c r="C125" s="62" t="s">
        <v>11380</v>
      </c>
      <c r="D125" s="63">
        <v>0</v>
      </c>
      <c r="E125" s="63">
        <v>0</v>
      </c>
      <c r="F125" s="63">
        <v>0</v>
      </c>
      <c r="G125" s="63">
        <v>0</v>
      </c>
      <c r="H125" s="63">
        <v>0</v>
      </c>
      <c r="I125" s="63">
        <v>0</v>
      </c>
      <c r="J125" s="63">
        <v>4119</v>
      </c>
      <c r="K125" s="63">
        <v>4284</v>
      </c>
      <c r="L125" s="63">
        <v>4332</v>
      </c>
      <c r="M125" s="63">
        <v>4177</v>
      </c>
      <c r="N125" s="63">
        <v>6336</v>
      </c>
      <c r="O125" s="63">
        <v>6289</v>
      </c>
      <c r="P125" s="410"/>
      <c r="Q125" s="540" t="s">
        <v>2256</v>
      </c>
    </row>
    <row r="126" spans="1:17">
      <c r="A126" s="540" t="s">
        <v>5393</v>
      </c>
      <c r="B126" s="540" t="s">
        <v>3030</v>
      </c>
      <c r="C126" s="62" t="s">
        <v>11381</v>
      </c>
      <c r="D126" s="63">
        <v>0</v>
      </c>
      <c r="E126" s="63">
        <v>0</v>
      </c>
      <c r="F126" s="63">
        <v>0</v>
      </c>
      <c r="G126" s="63">
        <v>0</v>
      </c>
      <c r="H126" s="63">
        <v>0</v>
      </c>
      <c r="I126" s="63">
        <v>0</v>
      </c>
      <c r="J126" s="63">
        <v>4645</v>
      </c>
      <c r="K126" s="63">
        <v>4694</v>
      </c>
      <c r="L126" s="63">
        <v>4682</v>
      </c>
      <c r="M126" s="63">
        <v>4442</v>
      </c>
      <c r="N126" s="63">
        <v>6907</v>
      </c>
      <c r="O126" s="63">
        <v>6879</v>
      </c>
      <c r="P126" s="410"/>
      <c r="Q126" s="540" t="s">
        <v>2256</v>
      </c>
    </row>
    <row r="127" spans="1:17">
      <c r="A127" s="540" t="s">
        <v>5394</v>
      </c>
      <c r="B127" s="540" t="s">
        <v>5904</v>
      </c>
      <c r="C127" s="62" t="s">
        <v>11382</v>
      </c>
      <c r="D127" s="63">
        <v>0</v>
      </c>
      <c r="E127" s="63">
        <v>0</v>
      </c>
      <c r="F127" s="63">
        <v>0</v>
      </c>
      <c r="G127" s="63">
        <v>0</v>
      </c>
      <c r="H127" s="63">
        <v>0</v>
      </c>
      <c r="I127" s="63">
        <v>0</v>
      </c>
      <c r="J127" s="63">
        <v>5054</v>
      </c>
      <c r="K127" s="63">
        <v>5163</v>
      </c>
      <c r="L127" s="63">
        <v>5160</v>
      </c>
      <c r="M127" s="63">
        <v>5003</v>
      </c>
      <c r="N127" s="63">
        <v>5312</v>
      </c>
      <c r="O127" s="63">
        <v>5286</v>
      </c>
      <c r="P127" s="410"/>
      <c r="Q127" s="540" t="s">
        <v>2256</v>
      </c>
    </row>
    <row r="128" spans="1:17">
      <c r="A128" s="540" t="s">
        <v>5416</v>
      </c>
      <c r="B128" s="540" t="s">
        <v>3031</v>
      </c>
      <c r="C128" s="62" t="s">
        <v>11383</v>
      </c>
      <c r="D128" s="63">
        <v>0</v>
      </c>
      <c r="E128" s="63">
        <v>0</v>
      </c>
      <c r="F128" s="63">
        <v>0</v>
      </c>
      <c r="G128" s="63">
        <v>0</v>
      </c>
      <c r="H128" s="63">
        <v>0</v>
      </c>
      <c r="I128" s="63">
        <v>0</v>
      </c>
      <c r="J128" s="63">
        <v>5542</v>
      </c>
      <c r="K128" s="63">
        <v>5626</v>
      </c>
      <c r="L128" s="63">
        <v>5602</v>
      </c>
      <c r="M128" s="63">
        <v>5479</v>
      </c>
      <c r="N128" s="63">
        <v>5479</v>
      </c>
      <c r="O128" s="63">
        <v>5470</v>
      </c>
      <c r="P128" s="410"/>
      <c r="Q128" s="540" t="s">
        <v>2256</v>
      </c>
    </row>
    <row r="129" spans="1:17">
      <c r="A129" s="540" t="s">
        <v>5418</v>
      </c>
      <c r="B129" s="540" t="s">
        <v>3006</v>
      </c>
      <c r="C129" s="62" t="s">
        <v>11384</v>
      </c>
      <c r="D129" s="63">
        <v>0</v>
      </c>
      <c r="E129" s="63">
        <v>0</v>
      </c>
      <c r="F129" s="63">
        <v>0</v>
      </c>
      <c r="G129" s="63">
        <v>0</v>
      </c>
      <c r="H129" s="63">
        <v>0</v>
      </c>
      <c r="I129" s="63">
        <v>0</v>
      </c>
      <c r="J129" s="63">
        <v>6175</v>
      </c>
      <c r="K129" s="63">
        <v>6314</v>
      </c>
      <c r="L129" s="63">
        <v>6284</v>
      </c>
      <c r="M129" s="63">
        <v>6166</v>
      </c>
      <c r="N129" s="63">
        <v>6206</v>
      </c>
      <c r="O129" s="63">
        <v>6154</v>
      </c>
      <c r="P129" s="410"/>
      <c r="Q129" s="540" t="s">
        <v>2256</v>
      </c>
    </row>
    <row r="130" spans="1:17">
      <c r="A130" s="540" t="s">
        <v>5420</v>
      </c>
      <c r="B130" s="540" t="s">
        <v>1643</v>
      </c>
      <c r="C130" s="62" t="s">
        <v>11385</v>
      </c>
      <c r="D130" s="63">
        <v>0</v>
      </c>
      <c r="E130" s="63">
        <v>0</v>
      </c>
      <c r="F130" s="63">
        <v>0</v>
      </c>
      <c r="G130" s="63">
        <v>0</v>
      </c>
      <c r="H130" s="63">
        <v>0</v>
      </c>
      <c r="I130" s="63">
        <v>0</v>
      </c>
      <c r="J130" s="63">
        <v>5097</v>
      </c>
      <c r="K130" s="63">
        <v>5146</v>
      </c>
      <c r="L130" s="63">
        <v>5034</v>
      </c>
      <c r="M130" s="63">
        <v>4917</v>
      </c>
      <c r="N130" s="63">
        <v>5303</v>
      </c>
      <c r="O130" s="63">
        <v>5279</v>
      </c>
      <c r="P130" s="410"/>
      <c r="Q130" s="540" t="s">
        <v>2256</v>
      </c>
    </row>
    <row r="131" spans="1:17">
      <c r="A131" s="540" t="s">
        <v>5422</v>
      </c>
      <c r="B131" s="540" t="s">
        <v>4260</v>
      </c>
      <c r="C131" s="62" t="s">
        <v>11386</v>
      </c>
      <c r="D131" s="63">
        <v>0</v>
      </c>
      <c r="E131" s="63">
        <v>0</v>
      </c>
      <c r="F131" s="63">
        <v>0</v>
      </c>
      <c r="G131" s="63">
        <v>0</v>
      </c>
      <c r="H131" s="63">
        <v>0</v>
      </c>
      <c r="I131" s="63">
        <v>0</v>
      </c>
      <c r="J131" s="63">
        <v>5350</v>
      </c>
      <c r="K131" s="63">
        <v>5369</v>
      </c>
      <c r="L131" s="63">
        <v>5307</v>
      </c>
      <c r="M131" s="63">
        <v>5271</v>
      </c>
      <c r="N131" s="63">
        <v>5414</v>
      </c>
      <c r="O131" s="63">
        <v>5396</v>
      </c>
      <c r="P131" s="410"/>
      <c r="Q131" s="540" t="s">
        <v>2256</v>
      </c>
    </row>
    <row r="132" spans="1:17">
      <c r="A132" s="540" t="s">
        <v>5424</v>
      </c>
      <c r="B132" s="540" t="s">
        <v>1645</v>
      </c>
      <c r="C132" s="62" t="s">
        <v>11387</v>
      </c>
      <c r="D132" s="63">
        <v>0</v>
      </c>
      <c r="E132" s="63">
        <v>0</v>
      </c>
      <c r="F132" s="63">
        <v>0</v>
      </c>
      <c r="G132" s="63">
        <v>0</v>
      </c>
      <c r="H132" s="63">
        <v>0</v>
      </c>
      <c r="I132" s="63">
        <v>0</v>
      </c>
      <c r="J132" s="63">
        <v>4940</v>
      </c>
      <c r="K132" s="63">
        <v>5089</v>
      </c>
      <c r="L132" s="63">
        <v>4994</v>
      </c>
      <c r="M132" s="63">
        <v>4772</v>
      </c>
      <c r="N132" s="63">
        <v>5758</v>
      </c>
      <c r="O132" s="63">
        <v>5696</v>
      </c>
      <c r="P132" s="410"/>
      <c r="Q132" s="540" t="s">
        <v>2256</v>
      </c>
    </row>
    <row r="133" spans="1:17">
      <c r="A133" s="540" t="s">
        <v>5426</v>
      </c>
      <c r="B133" s="540" t="s">
        <v>1561</v>
      </c>
      <c r="C133" s="62" t="s">
        <v>11388</v>
      </c>
      <c r="D133" s="63">
        <v>0</v>
      </c>
      <c r="E133" s="63">
        <v>0</v>
      </c>
      <c r="F133" s="63">
        <v>0</v>
      </c>
      <c r="G133" s="63">
        <v>0</v>
      </c>
      <c r="H133" s="63">
        <v>0</v>
      </c>
      <c r="I133" s="63">
        <v>0</v>
      </c>
      <c r="J133" s="63">
        <v>5938</v>
      </c>
      <c r="K133" s="63">
        <v>6037</v>
      </c>
      <c r="L133" s="63">
        <v>6035</v>
      </c>
      <c r="M133" s="63">
        <v>5946</v>
      </c>
      <c r="N133" s="63">
        <v>5990</v>
      </c>
      <c r="O133" s="63">
        <v>5928</v>
      </c>
      <c r="P133" s="410"/>
      <c r="Q133" s="540" t="s">
        <v>2256</v>
      </c>
    </row>
    <row r="134" spans="1:17">
      <c r="A134" s="410"/>
      <c r="B134" s="410"/>
      <c r="C134" s="410"/>
      <c r="D134" s="543"/>
      <c r="E134" s="543"/>
      <c r="F134" s="543"/>
      <c r="G134" s="543"/>
      <c r="H134" s="543"/>
      <c r="I134" s="543"/>
      <c r="J134" s="543"/>
      <c r="K134" s="543"/>
      <c r="L134" s="543"/>
      <c r="M134" s="543"/>
      <c r="N134" s="543"/>
      <c r="O134" s="543"/>
      <c r="P134" s="410"/>
      <c r="Q134" s="410"/>
    </row>
    <row r="135" spans="1:17">
      <c r="A135" s="540" t="s">
        <v>3007</v>
      </c>
      <c r="D135" s="542">
        <f t="shared" ref="D135:I135" si="68">SUM(D123:D133)</f>
        <v>63464</v>
      </c>
      <c r="E135" s="542">
        <f t="shared" si="68"/>
        <v>63215</v>
      </c>
      <c r="F135" s="542">
        <f t="shared" si="68"/>
        <v>63266</v>
      </c>
      <c r="G135" s="542">
        <f t="shared" si="68"/>
        <v>62447</v>
      </c>
      <c r="H135" s="542">
        <f t="shared" si="68"/>
        <v>61327</v>
      </c>
      <c r="I135" s="542">
        <f t="shared" si="68"/>
        <v>60111</v>
      </c>
      <c r="J135" s="542">
        <f t="shared" ref="J135:O135" si="69">SUM(J123:J133)</f>
        <v>57705</v>
      </c>
      <c r="K135" s="542">
        <f t="shared" si="69"/>
        <v>58963</v>
      </c>
      <c r="L135" s="542">
        <f t="shared" si="69"/>
        <v>58504</v>
      </c>
      <c r="M135" s="542">
        <f t="shared" si="69"/>
        <v>56908</v>
      </c>
      <c r="N135" s="542">
        <f t="shared" si="69"/>
        <v>64324</v>
      </c>
      <c r="O135" s="542">
        <f t="shared" si="69"/>
        <v>63939</v>
      </c>
      <c r="P135" s="410"/>
      <c r="Q135" s="410"/>
    </row>
    <row r="136" spans="1:17">
      <c r="A136" s="540"/>
      <c r="B136" s="540"/>
      <c r="D136" s="548"/>
      <c r="E136" s="548"/>
      <c r="F136" s="548"/>
      <c r="G136" s="548"/>
      <c r="H136" s="548"/>
      <c r="I136" s="548"/>
      <c r="J136" s="548"/>
      <c r="K136" s="548"/>
      <c r="L136" s="548"/>
      <c r="M136" s="548"/>
      <c r="N136" s="548"/>
      <c r="O136" s="548"/>
      <c r="P136" s="410"/>
      <c r="Q136" s="410"/>
    </row>
    <row r="137" spans="1:17">
      <c r="A137" s="540" t="s">
        <v>11376</v>
      </c>
      <c r="B137" s="540"/>
      <c r="D137" s="548"/>
      <c r="E137" s="548"/>
      <c r="F137" s="548"/>
      <c r="G137" s="548"/>
      <c r="H137" s="548"/>
      <c r="I137" s="548"/>
      <c r="J137" s="548"/>
      <c r="K137" s="548"/>
      <c r="L137" s="548"/>
      <c r="M137" s="548"/>
      <c r="N137" s="548"/>
      <c r="O137" s="548"/>
      <c r="P137" s="410"/>
      <c r="Q137" s="410"/>
    </row>
    <row r="138" spans="1:17">
      <c r="A138" s="540"/>
      <c r="B138" s="540"/>
      <c r="D138" s="548"/>
      <c r="E138" s="548"/>
      <c r="F138" s="548"/>
      <c r="G138" s="548"/>
      <c r="H138" s="548"/>
      <c r="I138" s="548"/>
      <c r="J138" s="548"/>
      <c r="K138" s="548"/>
      <c r="L138" s="548"/>
      <c r="M138" s="548"/>
      <c r="N138" s="548"/>
      <c r="O138" s="548"/>
      <c r="P138" s="410"/>
      <c r="Q138" s="410"/>
    </row>
    <row r="139" spans="1:17">
      <c r="A139" s="540"/>
      <c r="B139" s="540"/>
      <c r="D139" s="548"/>
      <c r="E139" s="548"/>
      <c r="F139" s="548"/>
      <c r="G139" s="548"/>
      <c r="H139" s="548"/>
      <c r="I139" s="548"/>
      <c r="J139" s="548"/>
      <c r="K139" s="548"/>
      <c r="L139" s="548"/>
      <c r="M139" s="548"/>
      <c r="N139" s="548"/>
      <c r="O139" s="548"/>
      <c r="P139" s="410"/>
      <c r="Q139" s="410"/>
    </row>
    <row r="140" spans="1:17">
      <c r="A140" s="410"/>
      <c r="B140" s="410"/>
      <c r="E140" s="51" t="s">
        <v>1526</v>
      </c>
      <c r="F140" s="51"/>
      <c r="G140" s="51"/>
      <c r="H140" s="51"/>
      <c r="I140" s="51"/>
      <c r="J140" s="51"/>
      <c r="K140" s="51"/>
      <c r="L140" s="51"/>
      <c r="M140" s="51"/>
      <c r="N140" s="51"/>
      <c r="O140" s="51"/>
      <c r="P140" s="276"/>
      <c r="Q140" s="11" t="s">
        <v>9479</v>
      </c>
    </row>
    <row r="141" spans="1:17">
      <c r="A141" s="410"/>
      <c r="B141" s="410"/>
      <c r="D141" s="350">
        <v>2010</v>
      </c>
      <c r="E141" s="350">
        <v>2011</v>
      </c>
      <c r="F141" s="350">
        <v>2012</v>
      </c>
      <c r="G141" s="350">
        <v>2013</v>
      </c>
      <c r="H141" s="350">
        <v>2014</v>
      </c>
      <c r="I141" s="350">
        <v>2015</v>
      </c>
      <c r="J141" s="350">
        <v>2016</v>
      </c>
      <c r="K141" s="350">
        <v>2017</v>
      </c>
      <c r="L141" s="350">
        <v>2018</v>
      </c>
      <c r="M141" s="350">
        <v>2019</v>
      </c>
      <c r="N141" s="350">
        <v>2020</v>
      </c>
      <c r="O141" s="958" t="s">
        <v>14823</v>
      </c>
      <c r="P141" s="410"/>
      <c r="Q141" s="13" t="s">
        <v>1527</v>
      </c>
    </row>
    <row r="142" spans="1:17">
      <c r="A142" s="540" t="s">
        <v>2269</v>
      </c>
      <c r="D142" s="542">
        <f t="shared" ref="D142:L142" si="70">SUM(D143:D168)</f>
        <v>81126</v>
      </c>
      <c r="E142" s="542">
        <f t="shared" si="70"/>
        <v>81989</v>
      </c>
      <c r="F142" s="542">
        <f t="shared" si="70"/>
        <v>83130</v>
      </c>
      <c r="G142" s="542">
        <f t="shared" si="70"/>
        <v>83815</v>
      </c>
      <c r="H142" s="542">
        <f t="shared" si="70"/>
        <v>84539</v>
      </c>
      <c r="I142" s="542">
        <f t="shared" si="70"/>
        <v>81591</v>
      </c>
      <c r="J142" s="542">
        <f t="shared" si="70"/>
        <v>83059</v>
      </c>
      <c r="K142" s="542">
        <f t="shared" si="70"/>
        <v>85520</v>
      </c>
      <c r="L142" s="542">
        <f t="shared" si="70"/>
        <v>86946</v>
      </c>
      <c r="M142" s="542">
        <f>SUM(M143:M168)</f>
        <v>87893</v>
      </c>
      <c r="N142" s="542">
        <f>SUM(N143:N168)</f>
        <v>91902</v>
      </c>
      <c r="O142" s="542">
        <f>SUM(O143:O168)</f>
        <v>90165</v>
      </c>
      <c r="P142" s="410"/>
      <c r="Q142" s="410"/>
    </row>
    <row r="143" spans="1:17">
      <c r="A143" s="547">
        <v>1</v>
      </c>
      <c r="B143" s="540" t="s">
        <v>2270</v>
      </c>
      <c r="C143" s="55" t="s">
        <v>349</v>
      </c>
      <c r="D143" s="542">
        <v>3809</v>
      </c>
      <c r="E143" s="542">
        <v>3921</v>
      </c>
      <c r="F143" s="542">
        <v>4014</v>
      </c>
      <c r="G143" s="63">
        <v>4043</v>
      </c>
      <c r="H143" s="56">
        <v>4054</v>
      </c>
      <c r="I143" s="56">
        <v>3941</v>
      </c>
      <c r="J143" s="56">
        <v>3893</v>
      </c>
      <c r="K143" s="56">
        <v>3962</v>
      </c>
      <c r="L143" s="56">
        <v>3888</v>
      </c>
      <c r="M143" s="56">
        <v>3910</v>
      </c>
      <c r="N143" s="56">
        <v>4152</v>
      </c>
      <c r="O143" s="56">
        <v>4083</v>
      </c>
      <c r="P143" s="410"/>
      <c r="Q143" s="540" t="s">
        <v>918</v>
      </c>
    </row>
    <row r="144" spans="1:17">
      <c r="A144" s="547">
        <v>2</v>
      </c>
      <c r="B144" s="540" t="s">
        <v>2271</v>
      </c>
      <c r="C144" s="55" t="s">
        <v>350</v>
      </c>
      <c r="D144" s="542">
        <v>3646</v>
      </c>
      <c r="E144" s="542">
        <v>3730</v>
      </c>
      <c r="F144" s="542">
        <v>3814</v>
      </c>
      <c r="G144" s="63">
        <v>3853</v>
      </c>
      <c r="H144" s="56">
        <v>3915</v>
      </c>
      <c r="I144" s="56">
        <v>3787</v>
      </c>
      <c r="J144" s="56">
        <v>3884</v>
      </c>
      <c r="K144" s="56">
        <v>3917</v>
      </c>
      <c r="L144" s="56">
        <v>4037</v>
      </c>
      <c r="M144" s="56">
        <v>4119</v>
      </c>
      <c r="N144" s="56">
        <v>4244</v>
      </c>
      <c r="O144" s="56">
        <v>4151</v>
      </c>
      <c r="P144" s="410"/>
      <c r="Q144" s="540" t="s">
        <v>918</v>
      </c>
    </row>
    <row r="145" spans="1:17">
      <c r="A145" s="547">
        <v>3</v>
      </c>
      <c r="B145" s="540" t="s">
        <v>2272</v>
      </c>
      <c r="C145" s="55" t="s">
        <v>351</v>
      </c>
      <c r="D145" s="542">
        <v>3846</v>
      </c>
      <c r="E145" s="542">
        <v>3848</v>
      </c>
      <c r="F145" s="542">
        <v>3910</v>
      </c>
      <c r="G145" s="63">
        <v>3982</v>
      </c>
      <c r="H145" s="56">
        <v>4064</v>
      </c>
      <c r="I145" s="56">
        <v>3920</v>
      </c>
      <c r="J145" s="56">
        <v>4009</v>
      </c>
      <c r="K145" s="56">
        <v>4056</v>
      </c>
      <c r="L145" s="56">
        <v>4170</v>
      </c>
      <c r="M145" s="56">
        <v>4169</v>
      </c>
      <c r="N145" s="56">
        <v>4293</v>
      </c>
      <c r="O145" s="56">
        <v>4199</v>
      </c>
      <c r="P145" s="410"/>
      <c r="Q145" s="540" t="s">
        <v>918</v>
      </c>
    </row>
    <row r="146" spans="1:17">
      <c r="A146" s="547">
        <v>4</v>
      </c>
      <c r="B146" s="540" t="s">
        <v>3675</v>
      </c>
      <c r="C146" s="55" t="s">
        <v>352</v>
      </c>
      <c r="D146" s="542">
        <v>6572</v>
      </c>
      <c r="E146" s="542">
        <v>6668</v>
      </c>
      <c r="F146" s="542">
        <v>6780</v>
      </c>
      <c r="G146" s="63">
        <v>6791</v>
      </c>
      <c r="H146" s="56">
        <v>6794</v>
      </c>
      <c r="I146" s="56">
        <v>6489</v>
      </c>
      <c r="J146" s="56">
        <v>6592</v>
      </c>
      <c r="K146" s="56">
        <v>6967</v>
      </c>
      <c r="L146" s="56">
        <v>7166</v>
      </c>
      <c r="M146" s="56">
        <v>7201</v>
      </c>
      <c r="N146" s="56">
        <v>7467</v>
      </c>
      <c r="O146" s="56">
        <v>7272</v>
      </c>
      <c r="P146" s="410"/>
      <c r="Q146" s="540" t="s">
        <v>2256</v>
      </c>
    </row>
    <row r="147" spans="1:17">
      <c r="A147" s="547">
        <v>5</v>
      </c>
      <c r="B147" s="540" t="s">
        <v>3676</v>
      </c>
      <c r="C147" s="55" t="s">
        <v>353</v>
      </c>
      <c r="D147" s="542">
        <v>3958</v>
      </c>
      <c r="E147" s="542">
        <v>4027</v>
      </c>
      <c r="F147" s="542">
        <v>4018</v>
      </c>
      <c r="G147" s="63">
        <v>4047</v>
      </c>
      <c r="H147" s="56">
        <v>4020</v>
      </c>
      <c r="I147" s="56">
        <v>3939</v>
      </c>
      <c r="J147" s="56">
        <v>3889</v>
      </c>
      <c r="K147" s="56">
        <v>3970</v>
      </c>
      <c r="L147" s="56">
        <v>3989</v>
      </c>
      <c r="M147" s="56">
        <v>3968</v>
      </c>
      <c r="N147" s="56">
        <v>4196</v>
      </c>
      <c r="O147" s="56">
        <v>4157</v>
      </c>
      <c r="P147" s="410"/>
      <c r="Q147" s="540" t="s">
        <v>918</v>
      </c>
    </row>
    <row r="148" spans="1:17">
      <c r="A148" s="547">
        <v>6</v>
      </c>
      <c r="B148" s="540" t="s">
        <v>3677</v>
      </c>
      <c r="C148" s="55" t="s">
        <v>354</v>
      </c>
      <c r="D148" s="542">
        <v>4049</v>
      </c>
      <c r="E148" s="542">
        <v>4119</v>
      </c>
      <c r="F148" s="542">
        <v>4169</v>
      </c>
      <c r="G148" s="63">
        <v>4255</v>
      </c>
      <c r="H148" s="56">
        <v>4273</v>
      </c>
      <c r="I148" s="56">
        <v>4170</v>
      </c>
      <c r="J148" s="56">
        <v>4215</v>
      </c>
      <c r="K148" s="56">
        <v>4283</v>
      </c>
      <c r="L148" s="56">
        <v>4347</v>
      </c>
      <c r="M148" s="56">
        <v>4363</v>
      </c>
      <c r="N148" s="56">
        <v>4492</v>
      </c>
      <c r="O148" s="56">
        <v>4429</v>
      </c>
      <c r="P148" s="410"/>
      <c r="Q148" s="540" t="s">
        <v>918</v>
      </c>
    </row>
    <row r="149" spans="1:17">
      <c r="A149" s="547">
        <v>7</v>
      </c>
      <c r="B149" s="62" t="s">
        <v>2280</v>
      </c>
      <c r="C149" s="55" t="s">
        <v>355</v>
      </c>
      <c r="D149" s="542">
        <v>3608</v>
      </c>
      <c r="E149" s="542">
        <v>3728</v>
      </c>
      <c r="F149" s="542">
        <v>3807</v>
      </c>
      <c r="G149" s="63">
        <v>3895</v>
      </c>
      <c r="H149" s="56">
        <v>4075</v>
      </c>
      <c r="I149" s="56">
        <v>3847</v>
      </c>
      <c r="J149" s="56">
        <v>4140</v>
      </c>
      <c r="K149" s="56">
        <v>4400</v>
      </c>
      <c r="L149" s="56">
        <v>4524</v>
      </c>
      <c r="M149" s="56">
        <v>4637</v>
      </c>
      <c r="N149" s="56">
        <v>4941</v>
      </c>
      <c r="O149" s="56">
        <v>4822</v>
      </c>
      <c r="P149" s="410"/>
      <c r="Q149" s="540" t="s">
        <v>918</v>
      </c>
    </row>
    <row r="150" spans="1:17">
      <c r="A150" s="547">
        <v>8</v>
      </c>
      <c r="B150" s="540" t="s">
        <v>2281</v>
      </c>
      <c r="C150" s="55" t="s">
        <v>356</v>
      </c>
      <c r="D150" s="542">
        <v>4334</v>
      </c>
      <c r="E150" s="542">
        <v>4334</v>
      </c>
      <c r="F150" s="542">
        <v>4315</v>
      </c>
      <c r="G150" s="63">
        <v>4377</v>
      </c>
      <c r="H150" s="56">
        <v>4432</v>
      </c>
      <c r="I150" s="56">
        <v>4301</v>
      </c>
      <c r="J150" s="56">
        <v>4269</v>
      </c>
      <c r="K150" s="56">
        <v>4355</v>
      </c>
      <c r="L150" s="56">
        <v>4439</v>
      </c>
      <c r="M150" s="56">
        <v>4468</v>
      </c>
      <c r="N150" s="56">
        <v>4681</v>
      </c>
      <c r="O150" s="56">
        <v>4587</v>
      </c>
      <c r="P150" s="410"/>
      <c r="Q150" s="540" t="s">
        <v>918</v>
      </c>
    </row>
    <row r="151" spans="1:17">
      <c r="A151" s="547">
        <v>9</v>
      </c>
      <c r="B151" s="540" t="s">
        <v>2282</v>
      </c>
      <c r="C151" s="55" t="s">
        <v>357</v>
      </c>
      <c r="D151" s="542">
        <v>5394</v>
      </c>
      <c r="E151" s="542">
        <v>5377</v>
      </c>
      <c r="F151" s="542">
        <v>5418</v>
      </c>
      <c r="G151" s="63">
        <v>5427</v>
      </c>
      <c r="H151" s="56">
        <v>5506</v>
      </c>
      <c r="I151" s="56">
        <v>5343</v>
      </c>
      <c r="J151" s="56">
        <v>5417</v>
      </c>
      <c r="K151" s="56">
        <v>5526</v>
      </c>
      <c r="L151" s="56">
        <v>5562</v>
      </c>
      <c r="M151" s="56">
        <v>5628</v>
      </c>
      <c r="N151" s="56">
        <v>5874</v>
      </c>
      <c r="O151" s="56">
        <v>5777</v>
      </c>
      <c r="P151" s="410"/>
      <c r="Q151" s="540" t="s">
        <v>918</v>
      </c>
    </row>
    <row r="152" spans="1:17">
      <c r="A152" s="547">
        <v>10</v>
      </c>
      <c r="B152" s="540" t="s">
        <v>2283</v>
      </c>
      <c r="C152" s="55" t="s">
        <v>358</v>
      </c>
      <c r="D152" s="542">
        <v>1855</v>
      </c>
      <c r="E152" s="542">
        <v>1867</v>
      </c>
      <c r="F152" s="542">
        <v>1881</v>
      </c>
      <c r="G152" s="63">
        <v>1871</v>
      </c>
      <c r="H152" s="56">
        <v>1894</v>
      </c>
      <c r="I152" s="56">
        <v>1839</v>
      </c>
      <c r="J152" s="56">
        <v>1875</v>
      </c>
      <c r="K152" s="56">
        <v>1893</v>
      </c>
      <c r="L152" s="56">
        <v>1918</v>
      </c>
      <c r="M152" s="56">
        <v>1944</v>
      </c>
      <c r="N152" s="56">
        <v>1986</v>
      </c>
      <c r="O152" s="56">
        <v>1956</v>
      </c>
      <c r="P152" s="410"/>
      <c r="Q152" s="540" t="s">
        <v>918</v>
      </c>
    </row>
    <row r="153" spans="1:17">
      <c r="A153" s="547">
        <v>11</v>
      </c>
      <c r="B153" s="540" t="s">
        <v>2284</v>
      </c>
      <c r="C153" s="55" t="s">
        <v>359</v>
      </c>
      <c r="D153" s="542">
        <v>1727</v>
      </c>
      <c r="E153" s="542">
        <v>1727</v>
      </c>
      <c r="F153" s="542">
        <v>1709</v>
      </c>
      <c r="G153" s="63">
        <v>1706</v>
      </c>
      <c r="H153" s="56">
        <v>1743</v>
      </c>
      <c r="I153" s="56">
        <v>1711</v>
      </c>
      <c r="J153" s="56">
        <v>1736</v>
      </c>
      <c r="K153" s="56">
        <v>1781</v>
      </c>
      <c r="L153" s="56">
        <v>1764</v>
      </c>
      <c r="M153" s="56">
        <v>1739</v>
      </c>
      <c r="N153" s="56">
        <v>1769</v>
      </c>
      <c r="O153" s="56">
        <v>1741</v>
      </c>
      <c r="P153" s="410"/>
      <c r="Q153" s="540" t="s">
        <v>918</v>
      </c>
    </row>
    <row r="154" spans="1:17">
      <c r="A154" s="547">
        <v>12</v>
      </c>
      <c r="B154" s="540" t="s">
        <v>2285</v>
      </c>
      <c r="C154" s="55" t="s">
        <v>360</v>
      </c>
      <c r="D154" s="542">
        <v>4189</v>
      </c>
      <c r="E154" s="542">
        <v>4174</v>
      </c>
      <c r="F154" s="542">
        <v>4272</v>
      </c>
      <c r="G154" s="63">
        <v>4265</v>
      </c>
      <c r="H154" s="56">
        <v>4222</v>
      </c>
      <c r="I154" s="56">
        <v>4095</v>
      </c>
      <c r="J154" s="56">
        <v>4142</v>
      </c>
      <c r="K154" s="56">
        <v>4209</v>
      </c>
      <c r="L154" s="56">
        <v>4294</v>
      </c>
      <c r="M154" s="56">
        <v>4288</v>
      </c>
      <c r="N154" s="56">
        <v>4435</v>
      </c>
      <c r="O154" s="56">
        <v>4365</v>
      </c>
      <c r="P154" s="410"/>
      <c r="Q154" s="540" t="s">
        <v>918</v>
      </c>
    </row>
    <row r="155" spans="1:17">
      <c r="A155" s="547">
        <v>13</v>
      </c>
      <c r="B155" s="540" t="s">
        <v>896</v>
      </c>
      <c r="C155" s="55" t="s">
        <v>361</v>
      </c>
      <c r="D155" s="542">
        <v>1835</v>
      </c>
      <c r="E155" s="542">
        <v>1806</v>
      </c>
      <c r="F155" s="542">
        <v>1828</v>
      </c>
      <c r="G155" s="63">
        <v>1844</v>
      </c>
      <c r="H155" s="56">
        <v>1824</v>
      </c>
      <c r="I155" s="56">
        <v>1812</v>
      </c>
      <c r="J155" s="56">
        <v>1809</v>
      </c>
      <c r="K155" s="56">
        <v>1823</v>
      </c>
      <c r="L155" s="56">
        <v>1854</v>
      </c>
      <c r="M155" s="56">
        <v>1816</v>
      </c>
      <c r="N155" s="56">
        <v>1849</v>
      </c>
      <c r="O155" s="56">
        <v>1811</v>
      </c>
      <c r="P155" s="410"/>
      <c r="Q155" s="540" t="s">
        <v>918</v>
      </c>
    </row>
    <row r="156" spans="1:17">
      <c r="A156" s="547">
        <v>14</v>
      </c>
      <c r="B156" s="540" t="s">
        <v>897</v>
      </c>
      <c r="C156" s="55" t="s">
        <v>362</v>
      </c>
      <c r="D156" s="542">
        <v>2102</v>
      </c>
      <c r="E156" s="542">
        <v>2102</v>
      </c>
      <c r="F156" s="542">
        <v>2154</v>
      </c>
      <c r="G156" s="63">
        <v>2156</v>
      </c>
      <c r="H156" s="56">
        <v>2144</v>
      </c>
      <c r="I156" s="56">
        <v>2059</v>
      </c>
      <c r="J156" s="56">
        <v>2195</v>
      </c>
      <c r="K156" s="56">
        <v>2358</v>
      </c>
      <c r="L156" s="56">
        <v>2481</v>
      </c>
      <c r="M156" s="56">
        <v>2606</v>
      </c>
      <c r="N156" s="56">
        <v>2745</v>
      </c>
      <c r="O156" s="56">
        <v>2701</v>
      </c>
      <c r="P156" s="410"/>
      <c r="Q156" s="540" t="s">
        <v>918</v>
      </c>
    </row>
    <row r="157" spans="1:17">
      <c r="A157" s="547">
        <v>15</v>
      </c>
      <c r="B157" s="540" t="s">
        <v>1667</v>
      </c>
      <c r="C157" s="55" t="s">
        <v>363</v>
      </c>
      <c r="D157" s="542">
        <v>2652</v>
      </c>
      <c r="E157" s="542">
        <v>2955</v>
      </c>
      <c r="F157" s="542">
        <v>3117</v>
      </c>
      <c r="G157" s="63">
        <v>3316</v>
      </c>
      <c r="H157" s="58">
        <v>3524</v>
      </c>
      <c r="I157" s="58">
        <v>3405</v>
      </c>
      <c r="J157" s="58">
        <v>3702</v>
      </c>
      <c r="K157" s="58">
        <v>4007</v>
      </c>
      <c r="L157" s="58">
        <v>4271</v>
      </c>
      <c r="M157" s="58">
        <v>4402</v>
      </c>
      <c r="N157" s="58">
        <v>4658</v>
      </c>
      <c r="O157" s="58">
        <v>4562</v>
      </c>
      <c r="P157" s="410"/>
      <c r="Q157" s="540" t="s">
        <v>918</v>
      </c>
    </row>
    <row r="158" spans="1:17">
      <c r="A158" s="547">
        <v>16</v>
      </c>
      <c r="B158" s="540" t="s">
        <v>1668</v>
      </c>
      <c r="C158" s="55" t="s">
        <v>364</v>
      </c>
      <c r="D158" s="542">
        <v>1941</v>
      </c>
      <c r="E158" s="542">
        <v>1935</v>
      </c>
      <c r="F158" s="542">
        <v>1943</v>
      </c>
      <c r="G158" s="63">
        <v>1941</v>
      </c>
      <c r="H158" s="58">
        <v>1933</v>
      </c>
      <c r="I158" s="58">
        <v>1879</v>
      </c>
      <c r="J158" s="58">
        <v>1854</v>
      </c>
      <c r="K158" s="58">
        <v>1854</v>
      </c>
      <c r="L158" s="58">
        <v>1849</v>
      </c>
      <c r="M158" s="58">
        <v>1821</v>
      </c>
      <c r="N158" s="58">
        <v>1922</v>
      </c>
      <c r="O158" s="58">
        <v>1897</v>
      </c>
      <c r="P158" s="410"/>
      <c r="Q158" s="540" t="s">
        <v>918</v>
      </c>
    </row>
    <row r="159" spans="1:17">
      <c r="A159" s="547">
        <v>17</v>
      </c>
      <c r="B159" s="540" t="s">
        <v>4520</v>
      </c>
      <c r="C159" s="55" t="s">
        <v>365</v>
      </c>
      <c r="D159" s="542">
        <v>1930</v>
      </c>
      <c r="E159" s="542">
        <v>1942</v>
      </c>
      <c r="F159" s="542">
        <v>1969</v>
      </c>
      <c r="G159" s="63">
        <v>1985</v>
      </c>
      <c r="H159" s="58">
        <v>1994</v>
      </c>
      <c r="I159" s="58">
        <v>1924</v>
      </c>
      <c r="J159" s="58">
        <v>1919</v>
      </c>
      <c r="K159" s="58">
        <v>1939</v>
      </c>
      <c r="L159" s="58">
        <v>1916</v>
      </c>
      <c r="M159" s="58">
        <v>1922</v>
      </c>
      <c r="N159" s="58">
        <v>1951</v>
      </c>
      <c r="O159" s="58">
        <v>1906</v>
      </c>
      <c r="P159" s="410"/>
      <c r="Q159" s="540" t="s">
        <v>918</v>
      </c>
    </row>
    <row r="160" spans="1:17">
      <c r="A160" s="547">
        <v>18</v>
      </c>
      <c r="B160" s="540" t="s">
        <v>4521</v>
      </c>
      <c r="C160" s="55" t="s">
        <v>366</v>
      </c>
      <c r="D160" s="542">
        <v>1862</v>
      </c>
      <c r="E160" s="542">
        <v>1857</v>
      </c>
      <c r="F160" s="542">
        <v>1853</v>
      </c>
      <c r="G160" s="63">
        <v>1837</v>
      </c>
      <c r="H160" s="58">
        <v>1857</v>
      </c>
      <c r="I160" s="58">
        <v>1816</v>
      </c>
      <c r="J160" s="58">
        <v>1861</v>
      </c>
      <c r="K160" s="58">
        <v>1910</v>
      </c>
      <c r="L160" s="58">
        <v>1895</v>
      </c>
      <c r="M160" s="58">
        <v>1951</v>
      </c>
      <c r="N160" s="58">
        <v>2038</v>
      </c>
      <c r="O160" s="58">
        <v>2009</v>
      </c>
      <c r="P160" s="410"/>
      <c r="Q160" s="540" t="s">
        <v>918</v>
      </c>
    </row>
    <row r="161" spans="1:17">
      <c r="A161" s="547">
        <v>19</v>
      </c>
      <c r="B161" s="540" t="s">
        <v>4522</v>
      </c>
      <c r="C161" s="55" t="s">
        <v>367</v>
      </c>
      <c r="D161" s="542">
        <v>4349</v>
      </c>
      <c r="E161" s="542">
        <v>4359</v>
      </c>
      <c r="F161" s="542">
        <v>4375</v>
      </c>
      <c r="G161" s="63">
        <v>4410</v>
      </c>
      <c r="H161" s="58">
        <v>4441</v>
      </c>
      <c r="I161" s="58">
        <v>4273</v>
      </c>
      <c r="J161" s="58">
        <v>4329</v>
      </c>
      <c r="K161" s="58">
        <v>4428</v>
      </c>
      <c r="L161" s="58">
        <v>4391</v>
      </c>
      <c r="M161" s="58">
        <v>4418</v>
      </c>
      <c r="N161" s="58">
        <v>4616</v>
      </c>
      <c r="O161" s="58">
        <v>4533</v>
      </c>
      <c r="P161" s="410"/>
      <c r="Q161" s="540" t="s">
        <v>918</v>
      </c>
    </row>
    <row r="162" spans="1:17">
      <c r="A162" s="547">
        <v>20</v>
      </c>
      <c r="B162" s="540" t="s">
        <v>4523</v>
      </c>
      <c r="C162" s="55" t="s">
        <v>368</v>
      </c>
      <c r="D162" s="542">
        <v>2803</v>
      </c>
      <c r="E162" s="542">
        <v>2779</v>
      </c>
      <c r="F162" s="542">
        <v>2845</v>
      </c>
      <c r="G162" s="63">
        <v>2831</v>
      </c>
      <c r="H162" s="56">
        <v>2858</v>
      </c>
      <c r="I162" s="56">
        <v>2772</v>
      </c>
      <c r="J162" s="56">
        <v>2818</v>
      </c>
      <c r="K162" s="56">
        <v>2799</v>
      </c>
      <c r="L162" s="56">
        <v>2814</v>
      </c>
      <c r="M162" s="56">
        <v>2878</v>
      </c>
      <c r="N162" s="56">
        <v>2982</v>
      </c>
      <c r="O162" s="56">
        <v>2917</v>
      </c>
      <c r="P162" s="410"/>
      <c r="Q162" s="540" t="s">
        <v>2256</v>
      </c>
    </row>
    <row r="163" spans="1:17">
      <c r="A163" s="547">
        <v>21</v>
      </c>
      <c r="B163" s="540" t="s">
        <v>4524</v>
      </c>
      <c r="C163" s="55" t="s">
        <v>369</v>
      </c>
      <c r="D163" s="542">
        <v>1871</v>
      </c>
      <c r="E163" s="542">
        <v>1890</v>
      </c>
      <c r="F163" s="542">
        <v>1882</v>
      </c>
      <c r="G163" s="63">
        <v>1860</v>
      </c>
      <c r="H163" s="58">
        <v>1845</v>
      </c>
      <c r="I163" s="58">
        <v>1742</v>
      </c>
      <c r="J163" s="58">
        <v>1789</v>
      </c>
      <c r="K163" s="58">
        <v>1912</v>
      </c>
      <c r="L163" s="58">
        <v>1972</v>
      </c>
      <c r="M163" s="58">
        <v>2017</v>
      </c>
      <c r="N163" s="58">
        <v>2129</v>
      </c>
      <c r="O163" s="58">
        <v>2103</v>
      </c>
      <c r="P163" s="410"/>
      <c r="Q163" s="540" t="s">
        <v>918</v>
      </c>
    </row>
    <row r="164" spans="1:17">
      <c r="A164" s="547">
        <v>22</v>
      </c>
      <c r="B164" s="540" t="s">
        <v>4525</v>
      </c>
      <c r="C164" s="55" t="s">
        <v>370</v>
      </c>
      <c r="D164" s="542">
        <v>1971</v>
      </c>
      <c r="E164" s="542">
        <v>1904</v>
      </c>
      <c r="F164" s="542">
        <v>1985</v>
      </c>
      <c r="G164" s="63">
        <v>2009</v>
      </c>
      <c r="H164" s="58">
        <v>1981</v>
      </c>
      <c r="I164" s="58">
        <v>1882</v>
      </c>
      <c r="J164" s="58">
        <v>1929</v>
      </c>
      <c r="K164" s="58">
        <v>2017</v>
      </c>
      <c r="L164" s="58">
        <v>2048</v>
      </c>
      <c r="M164" s="58">
        <v>2180</v>
      </c>
      <c r="N164" s="58">
        <v>2474</v>
      </c>
      <c r="O164" s="58">
        <v>2451</v>
      </c>
      <c r="P164" s="410"/>
      <c r="Q164" s="540" t="s">
        <v>918</v>
      </c>
    </row>
    <row r="165" spans="1:17">
      <c r="A165" s="547">
        <v>23</v>
      </c>
      <c r="B165" s="540" t="s">
        <v>4526</v>
      </c>
      <c r="C165" s="55" t="s">
        <v>371</v>
      </c>
      <c r="D165" s="542">
        <v>1904</v>
      </c>
      <c r="E165" s="542">
        <v>1906</v>
      </c>
      <c r="F165" s="542">
        <v>1882</v>
      </c>
      <c r="G165" s="63">
        <v>1886</v>
      </c>
      <c r="H165" s="58">
        <v>1932</v>
      </c>
      <c r="I165" s="58">
        <v>1825</v>
      </c>
      <c r="J165" s="58">
        <v>1817</v>
      </c>
      <c r="K165" s="58">
        <v>1890</v>
      </c>
      <c r="L165" s="58">
        <v>1908</v>
      </c>
      <c r="M165" s="58">
        <v>1945</v>
      </c>
      <c r="N165" s="58">
        <v>2015</v>
      </c>
      <c r="O165" s="58">
        <v>1950</v>
      </c>
      <c r="P165" s="410"/>
      <c r="Q165" s="540" t="s">
        <v>918</v>
      </c>
    </row>
    <row r="166" spans="1:17">
      <c r="A166" s="547">
        <v>24</v>
      </c>
      <c r="B166" s="540" t="s">
        <v>4527</v>
      </c>
      <c r="C166" s="55" t="s">
        <v>372</v>
      </c>
      <c r="D166" s="542">
        <v>5124</v>
      </c>
      <c r="E166" s="542">
        <v>5245</v>
      </c>
      <c r="F166" s="542">
        <v>5325</v>
      </c>
      <c r="G166" s="63">
        <v>5319</v>
      </c>
      <c r="H166" s="58">
        <v>5288</v>
      </c>
      <c r="I166" s="58">
        <v>5082</v>
      </c>
      <c r="J166" s="58">
        <v>5296</v>
      </c>
      <c r="K166" s="58">
        <v>5563</v>
      </c>
      <c r="L166" s="58">
        <v>5678</v>
      </c>
      <c r="M166" s="58">
        <v>5731</v>
      </c>
      <c r="N166" s="58">
        <v>5986</v>
      </c>
      <c r="O166" s="58">
        <v>5885</v>
      </c>
      <c r="P166" s="410"/>
      <c r="Q166" s="540" t="s">
        <v>918</v>
      </c>
    </row>
    <row r="167" spans="1:17">
      <c r="A167" s="547">
        <v>25</v>
      </c>
      <c r="B167" s="540" t="s">
        <v>3057</v>
      </c>
      <c r="C167" s="55" t="s">
        <v>373</v>
      </c>
      <c r="D167" s="542">
        <v>1871</v>
      </c>
      <c r="E167" s="542">
        <v>1859</v>
      </c>
      <c r="F167" s="542">
        <v>1929</v>
      </c>
      <c r="G167" s="63">
        <v>1957</v>
      </c>
      <c r="H167" s="58">
        <v>1959</v>
      </c>
      <c r="I167" s="58">
        <v>1851</v>
      </c>
      <c r="J167" s="58">
        <v>1793</v>
      </c>
      <c r="K167" s="58">
        <v>1772</v>
      </c>
      <c r="L167" s="58">
        <v>1782</v>
      </c>
      <c r="M167" s="58">
        <v>1786</v>
      </c>
      <c r="N167" s="58">
        <v>1879</v>
      </c>
      <c r="O167" s="58">
        <v>1815</v>
      </c>
      <c r="P167" s="410"/>
      <c r="Q167" s="540" t="s">
        <v>918</v>
      </c>
    </row>
    <row r="168" spans="1:17">
      <c r="A168" s="547">
        <v>26</v>
      </c>
      <c r="B168" s="540" t="s">
        <v>2694</v>
      </c>
      <c r="C168" s="55" t="s">
        <v>374</v>
      </c>
      <c r="D168" s="543">
        <v>1924</v>
      </c>
      <c r="E168" s="543">
        <v>1930</v>
      </c>
      <c r="F168" s="543">
        <v>1936</v>
      </c>
      <c r="G168" s="543">
        <v>1952</v>
      </c>
      <c r="H168" s="58">
        <v>1967</v>
      </c>
      <c r="I168" s="58">
        <v>1887</v>
      </c>
      <c r="J168" s="58">
        <v>1887</v>
      </c>
      <c r="K168" s="58">
        <v>1929</v>
      </c>
      <c r="L168" s="58">
        <v>1989</v>
      </c>
      <c r="M168" s="58">
        <v>1986</v>
      </c>
      <c r="N168" s="58">
        <v>2128</v>
      </c>
      <c r="O168" s="58">
        <v>2086</v>
      </c>
      <c r="P168" s="410"/>
      <c r="Q168" s="410" t="s">
        <v>918</v>
      </c>
    </row>
    <row r="169" spans="1:17">
      <c r="A169" s="410"/>
      <c r="B169" s="540"/>
      <c r="P169" s="410"/>
      <c r="Q169" s="410"/>
    </row>
    <row r="170" spans="1:17">
      <c r="A170" s="540" t="s">
        <v>3007</v>
      </c>
      <c r="D170" s="542">
        <f t="shared" ref="D170:L170" si="71">D146+D162</f>
        <v>9375</v>
      </c>
      <c r="E170" s="542">
        <f t="shared" si="71"/>
        <v>9447</v>
      </c>
      <c r="F170" s="542">
        <f t="shared" si="71"/>
        <v>9625</v>
      </c>
      <c r="G170" s="542">
        <f t="shared" si="71"/>
        <v>9622</v>
      </c>
      <c r="H170" s="542">
        <f t="shared" si="71"/>
        <v>9652</v>
      </c>
      <c r="I170" s="542">
        <f t="shared" si="71"/>
        <v>9261</v>
      </c>
      <c r="J170" s="542">
        <f t="shared" si="71"/>
        <v>9410</v>
      </c>
      <c r="K170" s="542">
        <f t="shared" si="71"/>
        <v>9766</v>
      </c>
      <c r="L170" s="542">
        <f t="shared" si="71"/>
        <v>9980</v>
      </c>
      <c r="M170" s="542">
        <f>M146+M162</f>
        <v>10079</v>
      </c>
      <c r="N170" s="542">
        <f>N146+N162</f>
        <v>10449</v>
      </c>
      <c r="O170" s="542">
        <f>O146+O162</f>
        <v>10189</v>
      </c>
      <c r="P170" s="410"/>
      <c r="Q170" s="410"/>
    </row>
    <row r="171" spans="1:17">
      <c r="A171" s="540" t="s">
        <v>2695</v>
      </c>
      <c r="D171" s="542">
        <f t="shared" ref="D171:L171" si="72">SUM(D143:D145)+SUM(D147:D161)+SUM(D163:D167)+D168</f>
        <v>71751</v>
      </c>
      <c r="E171" s="542">
        <f t="shared" si="72"/>
        <v>72542</v>
      </c>
      <c r="F171" s="542">
        <f t="shared" si="72"/>
        <v>73505</v>
      </c>
      <c r="G171" s="542">
        <f t="shared" si="72"/>
        <v>74193</v>
      </c>
      <c r="H171" s="542">
        <f t="shared" si="72"/>
        <v>74887</v>
      </c>
      <c r="I171" s="542">
        <f t="shared" si="72"/>
        <v>72330</v>
      </c>
      <c r="J171" s="542">
        <f t="shared" si="72"/>
        <v>73649</v>
      </c>
      <c r="K171" s="542">
        <f t="shared" si="72"/>
        <v>75754</v>
      </c>
      <c r="L171" s="542">
        <f t="shared" si="72"/>
        <v>76966</v>
      </c>
      <c r="M171" s="542">
        <f>SUM(M143:M145)+SUM(M147:M161)+SUM(M163:M167)+M168</f>
        <v>77814</v>
      </c>
      <c r="N171" s="542">
        <f>SUM(N143:N145)+SUM(N147:N161)+SUM(N163:N167)+N168</f>
        <v>81453</v>
      </c>
      <c r="O171" s="542">
        <f>SUM(O143:O145)+SUM(O147:O161)+SUM(O163:O167)+O168</f>
        <v>79976</v>
      </c>
      <c r="P171" s="410"/>
      <c r="Q171" s="410"/>
    </row>
    <row r="172" spans="1:17">
      <c r="A172" s="540"/>
      <c r="B172" s="540"/>
      <c r="D172" s="548"/>
      <c r="E172" s="548"/>
      <c r="F172" s="548"/>
      <c r="G172" s="548"/>
      <c r="H172" s="548"/>
      <c r="I172" s="548"/>
      <c r="J172" s="548"/>
      <c r="K172" s="548"/>
      <c r="L172" s="548"/>
      <c r="M172" s="548"/>
      <c r="N172" s="548"/>
      <c r="O172" s="548"/>
      <c r="P172" s="410"/>
      <c r="Q172" s="410"/>
    </row>
    <row r="173" spans="1:17">
      <c r="A173" s="540" t="s">
        <v>2701</v>
      </c>
      <c r="B173" s="540"/>
      <c r="D173" s="548"/>
      <c r="E173" s="548"/>
      <c r="F173" s="548"/>
      <c r="G173" s="548"/>
      <c r="H173" s="548"/>
      <c r="I173" s="548"/>
      <c r="J173" s="548"/>
      <c r="K173" s="548"/>
      <c r="L173" s="548"/>
      <c r="M173" s="548"/>
      <c r="N173" s="548"/>
      <c r="O173" s="548"/>
      <c r="P173" s="410"/>
      <c r="Q173" s="410"/>
    </row>
    <row r="174" spans="1:17">
      <c r="A174" s="540"/>
      <c r="B174" s="540"/>
      <c r="D174" s="548"/>
      <c r="E174" s="548"/>
      <c r="F174" s="548"/>
      <c r="G174" s="548"/>
      <c r="H174" s="548"/>
      <c r="I174" s="548"/>
      <c r="J174" s="548"/>
      <c r="K174" s="548"/>
      <c r="L174" s="548"/>
      <c r="M174" s="548"/>
      <c r="N174" s="548"/>
      <c r="O174" s="548"/>
      <c r="P174" s="410"/>
      <c r="Q174" s="410"/>
    </row>
    <row r="175" spans="1:17">
      <c r="A175" s="540"/>
      <c r="B175" s="540"/>
      <c r="D175" s="548"/>
      <c r="E175" s="548"/>
      <c r="F175" s="548"/>
      <c r="G175" s="548"/>
      <c r="H175" s="548"/>
      <c r="I175" s="548"/>
      <c r="J175" s="548"/>
      <c r="K175" s="548"/>
      <c r="L175" s="548"/>
      <c r="M175" s="548"/>
      <c r="N175" s="548"/>
      <c r="O175" s="548"/>
      <c r="P175" s="410"/>
      <c r="Q175" s="410"/>
    </row>
    <row r="176" spans="1:17">
      <c r="A176" s="410"/>
      <c r="B176" s="410"/>
      <c r="E176" s="51" t="s">
        <v>1526</v>
      </c>
      <c r="F176" s="51"/>
      <c r="G176" s="51"/>
      <c r="H176" s="51"/>
      <c r="I176" s="51"/>
      <c r="J176" s="51"/>
      <c r="K176" s="51"/>
      <c r="L176" s="51"/>
      <c r="M176" s="51"/>
      <c r="N176" s="51"/>
      <c r="O176" s="51"/>
      <c r="P176" s="276"/>
      <c r="Q176" s="11" t="s">
        <v>9479</v>
      </c>
    </row>
    <row r="177" spans="1:17">
      <c r="A177" s="410"/>
      <c r="B177" s="410"/>
      <c r="D177" s="350">
        <v>2010</v>
      </c>
      <c r="E177" s="350">
        <v>2011</v>
      </c>
      <c r="F177" s="350">
        <v>2012</v>
      </c>
      <c r="G177" s="350">
        <v>2013</v>
      </c>
      <c r="H177" s="350">
        <v>2014</v>
      </c>
      <c r="I177" s="350">
        <v>2015</v>
      </c>
      <c r="J177" s="350">
        <v>2016</v>
      </c>
      <c r="K177" s="350">
        <v>2017</v>
      </c>
      <c r="L177" s="350">
        <v>2018</v>
      </c>
      <c r="M177" s="350">
        <v>2019</v>
      </c>
      <c r="N177" s="350">
        <v>2020</v>
      </c>
      <c r="O177" s="958" t="s">
        <v>14823</v>
      </c>
      <c r="P177" s="410"/>
      <c r="Q177" s="13" t="s">
        <v>1527</v>
      </c>
    </row>
    <row r="178" spans="1:17">
      <c r="A178" s="540" t="s">
        <v>898</v>
      </c>
      <c r="D178" s="542">
        <f t="shared" ref="D178:I178" si="73">SUM(D179:D196)</f>
        <v>66166</v>
      </c>
      <c r="E178" s="542">
        <f t="shared" si="73"/>
        <v>66318</v>
      </c>
      <c r="F178" s="542">
        <f t="shared" si="73"/>
        <v>66084</v>
      </c>
      <c r="G178" s="542">
        <f t="shared" si="73"/>
        <v>65930</v>
      </c>
      <c r="H178" s="542">
        <f t="shared" si="73"/>
        <v>64854</v>
      </c>
      <c r="I178" s="542">
        <f t="shared" si="73"/>
        <v>64719</v>
      </c>
      <c r="J178" s="542">
        <f t="shared" ref="J178:O178" si="74">SUM(J179:J196)</f>
        <v>63636</v>
      </c>
      <c r="K178" s="542">
        <f t="shared" si="74"/>
        <v>66560</v>
      </c>
      <c r="L178" s="542">
        <f t="shared" si="74"/>
        <v>65795</v>
      </c>
      <c r="M178" s="542">
        <f t="shared" si="74"/>
        <v>65096</v>
      </c>
      <c r="N178" s="542">
        <f t="shared" si="74"/>
        <v>65479</v>
      </c>
      <c r="O178" s="542">
        <f t="shared" si="74"/>
        <v>65069</v>
      </c>
      <c r="P178" s="410"/>
      <c r="Q178" s="410"/>
    </row>
    <row r="179" spans="1:17">
      <c r="A179" s="547">
        <v>1</v>
      </c>
      <c r="B179" s="540" t="s">
        <v>899</v>
      </c>
      <c r="C179" s="55" t="s">
        <v>375</v>
      </c>
      <c r="D179" s="542">
        <v>4716</v>
      </c>
      <c r="E179" s="542">
        <v>4716</v>
      </c>
      <c r="F179" s="542">
        <v>4462</v>
      </c>
      <c r="G179" s="63">
        <v>4729</v>
      </c>
      <c r="H179" s="56">
        <v>4585</v>
      </c>
      <c r="I179" s="56">
        <v>4658</v>
      </c>
      <c r="J179" s="56">
        <v>4596</v>
      </c>
      <c r="K179" s="56">
        <v>4893</v>
      </c>
      <c r="L179" s="56">
        <v>4922</v>
      </c>
      <c r="M179" s="56">
        <v>4937</v>
      </c>
      <c r="N179" s="56">
        <v>4967</v>
      </c>
      <c r="O179" s="56">
        <v>4951</v>
      </c>
      <c r="P179" s="410"/>
      <c r="Q179" s="540" t="s">
        <v>919</v>
      </c>
    </row>
    <row r="180" spans="1:17">
      <c r="A180" s="547">
        <v>2</v>
      </c>
      <c r="B180" s="540" t="s">
        <v>2220</v>
      </c>
      <c r="C180" s="55" t="s">
        <v>376</v>
      </c>
      <c r="D180" s="542">
        <v>5654</v>
      </c>
      <c r="E180" s="542">
        <v>5681</v>
      </c>
      <c r="F180" s="542">
        <v>5697</v>
      </c>
      <c r="G180" s="63">
        <v>5665</v>
      </c>
      <c r="H180" s="56">
        <v>5591</v>
      </c>
      <c r="I180" s="56">
        <v>5584</v>
      </c>
      <c r="J180" s="56">
        <v>5503</v>
      </c>
      <c r="K180" s="56">
        <v>5817</v>
      </c>
      <c r="L180" s="56">
        <v>5713</v>
      </c>
      <c r="M180" s="56">
        <v>5633</v>
      </c>
      <c r="N180" s="56">
        <v>5660</v>
      </c>
      <c r="O180" s="56">
        <v>5642</v>
      </c>
      <c r="P180" s="410"/>
      <c r="Q180" s="540" t="s">
        <v>919</v>
      </c>
    </row>
    <row r="181" spans="1:17">
      <c r="A181" s="547">
        <v>3</v>
      </c>
      <c r="B181" s="540" t="s">
        <v>2221</v>
      </c>
      <c r="C181" s="55" t="s">
        <v>377</v>
      </c>
      <c r="D181" s="542">
        <v>1739</v>
      </c>
      <c r="E181" s="542">
        <v>1746</v>
      </c>
      <c r="F181" s="542">
        <v>1703</v>
      </c>
      <c r="G181" s="63">
        <v>1739</v>
      </c>
      <c r="H181" s="56">
        <v>1728</v>
      </c>
      <c r="I181" s="56">
        <v>1728</v>
      </c>
      <c r="J181" s="56">
        <v>1745</v>
      </c>
      <c r="K181" s="56">
        <v>1832</v>
      </c>
      <c r="L181" s="56">
        <v>1802</v>
      </c>
      <c r="M181" s="56">
        <v>1849</v>
      </c>
      <c r="N181" s="56">
        <v>1845</v>
      </c>
      <c r="O181" s="56">
        <v>1836</v>
      </c>
      <c r="P181" s="410"/>
      <c r="Q181" s="540" t="s">
        <v>919</v>
      </c>
    </row>
    <row r="182" spans="1:17">
      <c r="A182" s="547">
        <v>4</v>
      </c>
      <c r="B182" s="540" t="s">
        <v>2222</v>
      </c>
      <c r="C182" s="55" t="s">
        <v>378</v>
      </c>
      <c r="D182" s="542">
        <v>1884</v>
      </c>
      <c r="E182" s="542">
        <v>1905</v>
      </c>
      <c r="F182" s="542">
        <v>1915</v>
      </c>
      <c r="G182" s="63">
        <v>1890</v>
      </c>
      <c r="H182" s="56">
        <v>1841</v>
      </c>
      <c r="I182" s="56">
        <v>1850</v>
      </c>
      <c r="J182" s="56">
        <v>1828</v>
      </c>
      <c r="K182" s="56">
        <v>1911</v>
      </c>
      <c r="L182" s="56">
        <v>1890</v>
      </c>
      <c r="M182" s="56">
        <v>1840</v>
      </c>
      <c r="N182" s="56">
        <v>1809</v>
      </c>
      <c r="O182" s="56">
        <v>1806</v>
      </c>
      <c r="P182" s="410"/>
      <c r="Q182" s="540" t="s">
        <v>919</v>
      </c>
    </row>
    <row r="183" spans="1:17">
      <c r="A183" s="547">
        <v>5</v>
      </c>
      <c r="B183" s="540" t="s">
        <v>2223</v>
      </c>
      <c r="C183" s="55" t="s">
        <v>379</v>
      </c>
      <c r="D183" s="542">
        <v>1741</v>
      </c>
      <c r="E183" s="542">
        <v>1774</v>
      </c>
      <c r="F183" s="542">
        <v>1776</v>
      </c>
      <c r="G183" s="63">
        <v>1743</v>
      </c>
      <c r="H183" s="56">
        <v>1676</v>
      </c>
      <c r="I183" s="56">
        <v>1678</v>
      </c>
      <c r="J183" s="56">
        <v>1679</v>
      </c>
      <c r="K183" s="56">
        <v>1794</v>
      </c>
      <c r="L183" s="56">
        <v>1799</v>
      </c>
      <c r="M183" s="56">
        <v>1771</v>
      </c>
      <c r="N183" s="56">
        <v>1801</v>
      </c>
      <c r="O183" s="56">
        <v>1796</v>
      </c>
      <c r="P183" s="410"/>
      <c r="Q183" s="540" t="s">
        <v>919</v>
      </c>
    </row>
    <row r="184" spans="1:17">
      <c r="A184" s="547">
        <v>6</v>
      </c>
      <c r="B184" s="540" t="s">
        <v>2224</v>
      </c>
      <c r="C184" s="55" t="s">
        <v>380</v>
      </c>
      <c r="D184" s="542">
        <v>5666</v>
      </c>
      <c r="E184" s="542">
        <v>5673</v>
      </c>
      <c r="F184" s="542">
        <v>5735</v>
      </c>
      <c r="G184" s="63">
        <v>5690</v>
      </c>
      <c r="H184" s="56">
        <v>5568</v>
      </c>
      <c r="I184" s="56">
        <v>5588</v>
      </c>
      <c r="J184" s="56">
        <v>5480</v>
      </c>
      <c r="K184" s="56">
        <v>5685</v>
      </c>
      <c r="L184" s="56">
        <v>5664</v>
      </c>
      <c r="M184" s="56">
        <v>5596</v>
      </c>
      <c r="N184" s="56">
        <v>5689</v>
      </c>
      <c r="O184" s="56">
        <v>5665</v>
      </c>
      <c r="P184" s="410"/>
      <c r="Q184" s="540" t="s">
        <v>919</v>
      </c>
    </row>
    <row r="185" spans="1:17">
      <c r="A185" s="547">
        <v>7</v>
      </c>
      <c r="B185" s="540" t="s">
        <v>4162</v>
      </c>
      <c r="C185" s="55" t="s">
        <v>381</v>
      </c>
      <c r="D185" s="542">
        <v>5966</v>
      </c>
      <c r="E185" s="542">
        <v>6033</v>
      </c>
      <c r="F185" s="542">
        <v>6075</v>
      </c>
      <c r="G185" s="63">
        <v>6040</v>
      </c>
      <c r="H185" s="56">
        <v>5930</v>
      </c>
      <c r="I185" s="56">
        <v>5881</v>
      </c>
      <c r="J185" s="56">
        <v>5831</v>
      </c>
      <c r="K185" s="56">
        <v>6138</v>
      </c>
      <c r="L185" s="56">
        <v>6113</v>
      </c>
      <c r="M185" s="56">
        <v>6050</v>
      </c>
      <c r="N185" s="56">
        <v>6044</v>
      </c>
      <c r="O185" s="56">
        <v>5995</v>
      </c>
      <c r="P185" s="410"/>
      <c r="Q185" s="540" t="s">
        <v>919</v>
      </c>
    </row>
    <row r="186" spans="1:17">
      <c r="A186" s="547">
        <v>8</v>
      </c>
      <c r="B186" s="540" t="s">
        <v>2225</v>
      </c>
      <c r="C186" s="55" t="s">
        <v>382</v>
      </c>
      <c r="D186" s="542">
        <v>5311</v>
      </c>
      <c r="E186" s="542">
        <v>5345</v>
      </c>
      <c r="F186" s="542">
        <v>5369</v>
      </c>
      <c r="G186" s="63">
        <v>5361</v>
      </c>
      <c r="H186" s="56">
        <v>5357</v>
      </c>
      <c r="I186" s="56">
        <v>5314</v>
      </c>
      <c r="J186" s="56">
        <v>5232</v>
      </c>
      <c r="K186" s="56">
        <v>5507</v>
      </c>
      <c r="L186" s="56">
        <v>5452</v>
      </c>
      <c r="M186" s="56">
        <v>5438</v>
      </c>
      <c r="N186" s="56">
        <v>5537</v>
      </c>
      <c r="O186" s="56">
        <v>5506</v>
      </c>
      <c r="P186" s="410"/>
      <c r="Q186" s="540" t="s">
        <v>919</v>
      </c>
    </row>
    <row r="187" spans="1:17">
      <c r="A187" s="547">
        <v>9</v>
      </c>
      <c r="B187" s="540" t="s">
        <v>2226</v>
      </c>
      <c r="C187" s="55" t="s">
        <v>383</v>
      </c>
      <c r="D187" s="542">
        <v>5317</v>
      </c>
      <c r="E187" s="542">
        <v>5284</v>
      </c>
      <c r="F187" s="542">
        <v>5314</v>
      </c>
      <c r="G187" s="63">
        <v>5319</v>
      </c>
      <c r="H187" s="56">
        <v>5215</v>
      </c>
      <c r="I187" s="56">
        <v>5226</v>
      </c>
      <c r="J187" s="56">
        <v>5193</v>
      </c>
      <c r="K187" s="56">
        <v>5435</v>
      </c>
      <c r="L187" s="56">
        <v>5351</v>
      </c>
      <c r="M187" s="56">
        <v>5297</v>
      </c>
      <c r="N187" s="56">
        <v>5368</v>
      </c>
      <c r="O187" s="56">
        <v>5335</v>
      </c>
      <c r="P187" s="410"/>
      <c r="Q187" s="540" t="s">
        <v>919</v>
      </c>
    </row>
    <row r="188" spans="1:17">
      <c r="A188" s="547">
        <v>10</v>
      </c>
      <c r="B188" s="540" t="s">
        <v>2227</v>
      </c>
      <c r="C188" s="55" t="s">
        <v>384</v>
      </c>
      <c r="D188" s="542">
        <v>1640</v>
      </c>
      <c r="E188" s="542">
        <v>1645</v>
      </c>
      <c r="F188" s="542">
        <v>1629</v>
      </c>
      <c r="G188" s="63">
        <v>1654</v>
      </c>
      <c r="H188" s="56">
        <v>1562</v>
      </c>
      <c r="I188" s="56">
        <v>1580</v>
      </c>
      <c r="J188" s="56">
        <v>1547</v>
      </c>
      <c r="K188" s="56">
        <v>1599</v>
      </c>
      <c r="L188" s="56">
        <v>1578</v>
      </c>
      <c r="M188" s="56">
        <v>1547</v>
      </c>
      <c r="N188" s="56">
        <v>1538</v>
      </c>
      <c r="O188" s="56">
        <v>1532</v>
      </c>
      <c r="P188" s="410"/>
      <c r="Q188" s="540" t="s">
        <v>919</v>
      </c>
    </row>
    <row r="189" spans="1:17">
      <c r="A189" s="547">
        <v>11</v>
      </c>
      <c r="B189" s="540" t="s">
        <v>2228</v>
      </c>
      <c r="C189" s="55" t="s">
        <v>385</v>
      </c>
      <c r="D189" s="542">
        <v>3688</v>
      </c>
      <c r="E189" s="542">
        <v>3711</v>
      </c>
      <c r="F189" s="542">
        <v>3703</v>
      </c>
      <c r="G189" s="63">
        <v>3658</v>
      </c>
      <c r="H189" s="56">
        <v>3605</v>
      </c>
      <c r="I189" s="56">
        <v>3542</v>
      </c>
      <c r="J189" s="56">
        <v>3406</v>
      </c>
      <c r="K189" s="56">
        <v>3459</v>
      </c>
      <c r="L189" s="56">
        <v>3396</v>
      </c>
      <c r="M189" s="56">
        <v>3349</v>
      </c>
      <c r="N189" s="56">
        <v>3351</v>
      </c>
      <c r="O189" s="56">
        <v>3299</v>
      </c>
      <c r="P189" s="410"/>
      <c r="Q189" s="540" t="s">
        <v>919</v>
      </c>
    </row>
    <row r="190" spans="1:17">
      <c r="A190" s="547">
        <v>12</v>
      </c>
      <c r="B190" s="540" t="s">
        <v>2229</v>
      </c>
      <c r="C190" s="55" t="s">
        <v>386</v>
      </c>
      <c r="D190" s="542">
        <v>3852</v>
      </c>
      <c r="E190" s="542">
        <v>3779</v>
      </c>
      <c r="F190" s="542">
        <v>3773</v>
      </c>
      <c r="G190" s="63">
        <v>3719</v>
      </c>
      <c r="H190" s="56">
        <v>3601</v>
      </c>
      <c r="I190" s="56">
        <v>3485</v>
      </c>
      <c r="J190" s="56">
        <v>3362</v>
      </c>
      <c r="K190" s="56">
        <v>3449</v>
      </c>
      <c r="L190" s="56">
        <v>3329</v>
      </c>
      <c r="M190" s="56">
        <v>3239</v>
      </c>
      <c r="N190" s="56">
        <v>3225</v>
      </c>
      <c r="O190" s="56">
        <v>3199</v>
      </c>
      <c r="P190" s="410"/>
      <c r="Q190" s="540" t="s">
        <v>919</v>
      </c>
    </row>
    <row r="191" spans="1:17">
      <c r="A191" s="547">
        <v>13</v>
      </c>
      <c r="B191" s="540" t="s">
        <v>2230</v>
      </c>
      <c r="C191" s="55" t="s">
        <v>387</v>
      </c>
      <c r="D191" s="542">
        <v>3565</v>
      </c>
      <c r="E191" s="542">
        <v>3523</v>
      </c>
      <c r="F191" s="542">
        <v>3547</v>
      </c>
      <c r="G191" s="63">
        <v>3522</v>
      </c>
      <c r="H191" s="56">
        <v>3402</v>
      </c>
      <c r="I191" s="56">
        <v>3356</v>
      </c>
      <c r="J191" s="56">
        <v>3226</v>
      </c>
      <c r="K191" s="56">
        <v>3313</v>
      </c>
      <c r="L191" s="56">
        <v>3234</v>
      </c>
      <c r="M191" s="56">
        <v>3176</v>
      </c>
      <c r="N191" s="56">
        <v>3205</v>
      </c>
      <c r="O191" s="56">
        <v>3175</v>
      </c>
      <c r="P191" s="410"/>
      <c r="Q191" s="540" t="s">
        <v>919</v>
      </c>
    </row>
    <row r="192" spans="1:17">
      <c r="A192" s="547">
        <v>14</v>
      </c>
      <c r="B192" s="540" t="s">
        <v>2231</v>
      </c>
      <c r="C192" s="55" t="s">
        <v>388</v>
      </c>
      <c r="D192" s="542">
        <v>3401</v>
      </c>
      <c r="E192" s="542">
        <v>3341</v>
      </c>
      <c r="F192" s="542">
        <v>3291</v>
      </c>
      <c r="G192" s="63">
        <v>3225</v>
      </c>
      <c r="H192" s="56">
        <v>3110</v>
      </c>
      <c r="I192" s="56">
        <v>3104</v>
      </c>
      <c r="J192" s="56">
        <v>2990</v>
      </c>
      <c r="K192" s="56">
        <v>3060</v>
      </c>
      <c r="L192" s="56">
        <v>3009</v>
      </c>
      <c r="M192" s="56">
        <v>2935</v>
      </c>
      <c r="N192" s="56">
        <v>2928</v>
      </c>
      <c r="O192" s="56">
        <v>2905</v>
      </c>
      <c r="P192" s="410"/>
      <c r="Q192" s="540" t="s">
        <v>919</v>
      </c>
    </row>
    <row r="193" spans="1:17">
      <c r="A193" s="547">
        <v>15</v>
      </c>
      <c r="B193" s="540" t="s">
        <v>2232</v>
      </c>
      <c r="C193" s="55" t="s">
        <v>389</v>
      </c>
      <c r="D193" s="542">
        <v>3275</v>
      </c>
      <c r="E193" s="542">
        <v>3330</v>
      </c>
      <c r="F193" s="542">
        <v>3275</v>
      </c>
      <c r="G193" s="63">
        <v>3248</v>
      </c>
      <c r="H193" s="56">
        <v>3374</v>
      </c>
      <c r="I193" s="56">
        <v>3438</v>
      </c>
      <c r="J193" s="56">
        <v>3502</v>
      </c>
      <c r="K193" s="56">
        <v>3771</v>
      </c>
      <c r="L193" s="56">
        <v>3761</v>
      </c>
      <c r="M193" s="56">
        <v>3742</v>
      </c>
      <c r="N193" s="56">
        <v>3750</v>
      </c>
      <c r="O193" s="56">
        <v>3706</v>
      </c>
      <c r="P193" s="410"/>
      <c r="Q193" s="540" t="s">
        <v>919</v>
      </c>
    </row>
    <row r="194" spans="1:17">
      <c r="A194" s="547">
        <v>16</v>
      </c>
      <c r="B194" s="540" t="s">
        <v>2233</v>
      </c>
      <c r="C194" s="55" t="s">
        <v>390</v>
      </c>
      <c r="D194" s="542">
        <v>3370</v>
      </c>
      <c r="E194" s="542">
        <v>3361</v>
      </c>
      <c r="F194" s="542">
        <v>3340</v>
      </c>
      <c r="G194" s="63">
        <v>3306</v>
      </c>
      <c r="H194" s="58">
        <v>3269</v>
      </c>
      <c r="I194" s="58">
        <v>3245</v>
      </c>
      <c r="J194" s="58">
        <v>3173</v>
      </c>
      <c r="K194" s="58">
        <v>3332</v>
      </c>
      <c r="L194" s="58">
        <v>3285</v>
      </c>
      <c r="M194" s="58">
        <v>3234</v>
      </c>
      <c r="N194" s="58">
        <v>3267</v>
      </c>
      <c r="O194" s="58">
        <v>3243</v>
      </c>
      <c r="P194" s="410"/>
      <c r="Q194" s="540" t="s">
        <v>919</v>
      </c>
    </row>
    <row r="195" spans="1:17">
      <c r="A195" s="547">
        <v>17</v>
      </c>
      <c r="B195" s="540" t="s">
        <v>2234</v>
      </c>
      <c r="C195" s="55" t="s">
        <v>391</v>
      </c>
      <c r="D195" s="542">
        <v>1965</v>
      </c>
      <c r="E195" s="542">
        <v>2005</v>
      </c>
      <c r="F195" s="542">
        <v>2034</v>
      </c>
      <c r="G195" s="63">
        <v>2018</v>
      </c>
      <c r="H195" s="58">
        <v>1995</v>
      </c>
      <c r="I195" s="58">
        <v>2004</v>
      </c>
      <c r="J195" s="58">
        <v>1975</v>
      </c>
      <c r="K195" s="58">
        <v>2060</v>
      </c>
      <c r="L195" s="58">
        <v>2053</v>
      </c>
      <c r="M195" s="58">
        <v>2035</v>
      </c>
      <c r="N195" s="58">
        <v>2047</v>
      </c>
      <c r="O195" s="58">
        <v>2038</v>
      </c>
      <c r="P195" s="410"/>
      <c r="Q195" s="540" t="s">
        <v>919</v>
      </c>
    </row>
    <row r="196" spans="1:17">
      <c r="A196" s="547">
        <v>18</v>
      </c>
      <c r="B196" s="540" t="s">
        <v>2235</v>
      </c>
      <c r="C196" s="55" t="s">
        <v>392</v>
      </c>
      <c r="D196" s="542">
        <v>3416</v>
      </c>
      <c r="E196" s="542">
        <v>3466</v>
      </c>
      <c r="F196" s="542">
        <v>3446</v>
      </c>
      <c r="G196" s="63">
        <v>3404</v>
      </c>
      <c r="H196" s="58">
        <v>3445</v>
      </c>
      <c r="I196" s="58">
        <v>3458</v>
      </c>
      <c r="J196" s="58">
        <v>3368</v>
      </c>
      <c r="K196" s="58">
        <v>3505</v>
      </c>
      <c r="L196" s="58">
        <v>3444</v>
      </c>
      <c r="M196" s="58">
        <v>3428</v>
      </c>
      <c r="N196" s="58">
        <v>3448</v>
      </c>
      <c r="O196" s="58">
        <v>3440</v>
      </c>
      <c r="P196" s="410"/>
      <c r="Q196" s="540" t="s">
        <v>919</v>
      </c>
    </row>
    <row r="197" spans="1:17">
      <c r="A197" s="410"/>
      <c r="B197" s="410"/>
      <c r="C197" s="410"/>
      <c r="D197" s="542"/>
      <c r="E197" s="542"/>
      <c r="F197" s="542"/>
      <c r="G197" s="542"/>
      <c r="H197" s="542"/>
      <c r="I197" s="542"/>
      <c r="J197" s="542"/>
      <c r="K197" s="542"/>
      <c r="L197" s="542"/>
      <c r="M197" s="542"/>
      <c r="N197" s="542"/>
      <c r="O197" s="542"/>
      <c r="P197" s="410"/>
      <c r="Q197" s="540"/>
    </row>
    <row r="198" spans="1:17">
      <c r="A198" s="540" t="s">
        <v>2236</v>
      </c>
      <c r="C198" s="410"/>
      <c r="D198" s="542">
        <f t="shared" ref="D198:I198" si="75">SUM(D179:D196)</f>
        <v>66166</v>
      </c>
      <c r="E198" s="542">
        <f t="shared" si="75"/>
        <v>66318</v>
      </c>
      <c r="F198" s="542">
        <f t="shared" si="75"/>
        <v>66084</v>
      </c>
      <c r="G198" s="542">
        <f t="shared" si="75"/>
        <v>65930</v>
      </c>
      <c r="H198" s="542">
        <f t="shared" si="75"/>
        <v>64854</v>
      </c>
      <c r="I198" s="542">
        <f t="shared" si="75"/>
        <v>64719</v>
      </c>
      <c r="J198" s="542">
        <f t="shared" ref="J198:O198" si="76">SUM(J179:J196)</f>
        <v>63636</v>
      </c>
      <c r="K198" s="542">
        <f t="shared" si="76"/>
        <v>66560</v>
      </c>
      <c r="L198" s="542">
        <f t="shared" si="76"/>
        <v>65795</v>
      </c>
      <c r="M198" s="542">
        <f t="shared" si="76"/>
        <v>65096</v>
      </c>
      <c r="N198" s="542">
        <f t="shared" si="76"/>
        <v>65479</v>
      </c>
      <c r="O198" s="542">
        <f t="shared" si="76"/>
        <v>65069</v>
      </c>
      <c r="P198" s="410"/>
      <c r="Q198" s="540"/>
    </row>
    <row r="199" spans="1:17">
      <c r="A199" s="540"/>
      <c r="C199" s="410"/>
      <c r="D199" s="542"/>
      <c r="E199" s="542"/>
      <c r="F199" s="542"/>
      <c r="G199" s="542"/>
      <c r="H199" s="542"/>
      <c r="I199" s="542"/>
      <c r="J199" s="542"/>
      <c r="K199" s="542"/>
      <c r="L199" s="542"/>
      <c r="M199" s="542"/>
      <c r="N199" s="542"/>
      <c r="O199" s="542"/>
      <c r="P199" s="410"/>
      <c r="Q199" s="540"/>
    </row>
    <row r="200" spans="1:17">
      <c r="A200" s="540" t="s">
        <v>3725</v>
      </c>
      <c r="B200" s="540"/>
      <c r="C200" s="540"/>
      <c r="D200" s="542"/>
      <c r="E200" s="542"/>
      <c r="F200" s="542"/>
      <c r="G200" s="542"/>
      <c r="H200" s="542"/>
      <c r="I200" s="542"/>
      <c r="J200" s="542"/>
      <c r="K200" s="542"/>
      <c r="L200" s="542"/>
      <c r="M200" s="542"/>
      <c r="N200" s="542"/>
      <c r="O200" s="542"/>
      <c r="P200" s="410"/>
      <c r="Q200" s="540"/>
    </row>
    <row r="201" spans="1:17">
      <c r="A201" s="410"/>
      <c r="B201" s="410"/>
      <c r="D201" s="543"/>
      <c r="E201" s="543"/>
      <c r="F201" s="543"/>
      <c r="G201" s="543"/>
      <c r="H201" s="543"/>
      <c r="I201" s="543"/>
      <c r="J201" s="543"/>
      <c r="K201" s="543"/>
      <c r="L201" s="543"/>
      <c r="M201" s="543"/>
      <c r="N201" s="543"/>
      <c r="O201" s="543"/>
      <c r="P201" s="410"/>
      <c r="Q201" s="410"/>
    </row>
    <row r="202" spans="1:17">
      <c r="A202" s="540"/>
      <c r="B202" s="540"/>
      <c r="D202" s="548"/>
      <c r="E202" s="548"/>
      <c r="F202" s="548"/>
      <c r="G202" s="548"/>
      <c r="H202" s="548"/>
      <c r="I202" s="548"/>
      <c r="J202" s="548"/>
      <c r="K202" s="548"/>
      <c r="L202" s="548"/>
      <c r="M202" s="548"/>
      <c r="N202" s="548"/>
      <c r="O202" s="548"/>
      <c r="P202" s="410"/>
      <c r="Q202" s="410"/>
    </row>
    <row r="203" spans="1:17">
      <c r="A203" s="410"/>
      <c r="B203" s="410"/>
      <c r="E203" s="51" t="s">
        <v>1526</v>
      </c>
      <c r="F203" s="51"/>
      <c r="G203" s="51"/>
      <c r="H203" s="51"/>
      <c r="I203" s="51"/>
      <c r="J203" s="51"/>
      <c r="K203" s="51"/>
      <c r="L203" s="51"/>
      <c r="M203" s="51"/>
      <c r="N203" s="51"/>
      <c r="O203" s="51"/>
      <c r="P203" s="276"/>
      <c r="Q203" s="11" t="s">
        <v>9479</v>
      </c>
    </row>
    <row r="204" spans="1:17">
      <c r="A204" s="410"/>
      <c r="B204" s="410"/>
      <c r="D204" s="350">
        <v>2010</v>
      </c>
      <c r="E204" s="350">
        <v>2011</v>
      </c>
      <c r="F204" s="350">
        <v>2012</v>
      </c>
      <c r="G204" s="350">
        <v>2013</v>
      </c>
      <c r="H204" s="350">
        <v>2014</v>
      </c>
      <c r="I204" s="350">
        <v>2015</v>
      </c>
      <c r="J204" s="350">
        <v>2016</v>
      </c>
      <c r="K204" s="350">
        <v>2017</v>
      </c>
      <c r="L204" s="350">
        <v>2018</v>
      </c>
      <c r="M204" s="350">
        <v>2019</v>
      </c>
      <c r="N204" s="350">
        <v>2020</v>
      </c>
      <c r="O204" s="958" t="s">
        <v>14823</v>
      </c>
      <c r="P204" s="410"/>
      <c r="Q204" s="13" t="s">
        <v>1527</v>
      </c>
    </row>
    <row r="205" spans="1:17">
      <c r="A205" s="540" t="s">
        <v>3726</v>
      </c>
      <c r="D205" s="542">
        <f t="shared" ref="D205:J205" si="77">SUM(D206:D209)+SUM(D211:D220)+SUM(D222:D227)+SUM(D229:D241)</f>
        <v>100933</v>
      </c>
      <c r="E205" s="542">
        <f t="shared" si="77"/>
        <v>102758</v>
      </c>
      <c r="F205" s="542">
        <f t="shared" si="77"/>
        <v>102743</v>
      </c>
      <c r="G205" s="542">
        <f t="shared" si="77"/>
        <v>104467</v>
      </c>
      <c r="H205" s="542">
        <f t="shared" si="77"/>
        <v>105100</v>
      </c>
      <c r="I205" s="542">
        <f t="shared" si="77"/>
        <v>102679</v>
      </c>
      <c r="J205" s="542">
        <f t="shared" si="77"/>
        <v>101682</v>
      </c>
      <c r="K205" s="542">
        <f>SUM(K206:K209)+SUM(K211:K220)+SUM(K222:K227)+SUM(K229:K241)</f>
        <v>105585</v>
      </c>
      <c r="L205" s="542">
        <f>SUM(L206:L209)+SUM(L211:L220)+SUM(L222:L227)+SUM(L229:L241)</f>
        <v>104537</v>
      </c>
      <c r="M205" s="542">
        <f>SUM(M206:M209)+SUM(M211:M220)+SUM(M222:M227)+SUM(M229:M241)</f>
        <v>103129</v>
      </c>
      <c r="N205" s="542">
        <f>SUM(N206:N209)+SUM(N211:N220)+SUM(N222:N227)+SUM(N229:N241)</f>
        <v>104918</v>
      </c>
      <c r="O205" s="542">
        <f>SUM(O206:O209)+SUM(O211:O220)+SUM(O222:O227)+SUM(O229:O241)</f>
        <v>106216</v>
      </c>
      <c r="P205" s="410"/>
      <c r="Q205" s="410"/>
    </row>
    <row r="206" spans="1:17">
      <c r="A206" s="547">
        <v>1</v>
      </c>
      <c r="B206" s="540" t="s">
        <v>3727</v>
      </c>
      <c r="C206" s="55" t="s">
        <v>10895</v>
      </c>
      <c r="D206" s="542">
        <v>77694</v>
      </c>
      <c r="E206" s="542">
        <v>79118</v>
      </c>
      <c r="F206" s="542">
        <v>79144</v>
      </c>
      <c r="G206" s="542">
        <v>80528</v>
      </c>
      <c r="H206" s="56">
        <v>80750</v>
      </c>
      <c r="I206" s="56">
        <v>78679</v>
      </c>
      <c r="J206" s="56">
        <v>1994</v>
      </c>
      <c r="K206" s="56">
        <v>2078</v>
      </c>
      <c r="L206" s="56">
        <v>2032</v>
      </c>
      <c r="M206" s="56">
        <v>2014</v>
      </c>
      <c r="N206" s="56">
        <v>2027</v>
      </c>
      <c r="O206" s="56">
        <v>2042</v>
      </c>
      <c r="P206" s="410"/>
      <c r="Q206" s="540" t="s">
        <v>2254</v>
      </c>
    </row>
    <row r="207" spans="1:17">
      <c r="A207" s="547">
        <v>2</v>
      </c>
      <c r="B207" s="540" t="s">
        <v>4542</v>
      </c>
      <c r="C207" s="55" t="s">
        <v>10897</v>
      </c>
      <c r="D207" s="542">
        <v>0</v>
      </c>
      <c r="E207" s="542">
        <v>0</v>
      </c>
      <c r="F207" s="542">
        <v>0</v>
      </c>
      <c r="G207" s="542">
        <v>0</v>
      </c>
      <c r="H207" s="56">
        <v>0</v>
      </c>
      <c r="I207" s="56">
        <v>0</v>
      </c>
      <c r="J207" s="56">
        <v>3392</v>
      </c>
      <c r="K207" s="56">
        <v>3534</v>
      </c>
      <c r="L207" s="56">
        <v>3526</v>
      </c>
      <c r="M207" s="56">
        <v>3370</v>
      </c>
      <c r="N207" s="56">
        <v>3409</v>
      </c>
      <c r="O207" s="56">
        <v>3479</v>
      </c>
      <c r="P207" s="410"/>
      <c r="Q207" s="540" t="s">
        <v>2254</v>
      </c>
    </row>
    <row r="208" spans="1:17">
      <c r="A208" s="547">
        <v>3</v>
      </c>
      <c r="B208" s="540" t="s">
        <v>10896</v>
      </c>
      <c r="C208" s="55" t="s">
        <v>10898</v>
      </c>
      <c r="D208" s="542">
        <v>0</v>
      </c>
      <c r="E208" s="542">
        <v>0</v>
      </c>
      <c r="F208" s="542">
        <v>0</v>
      </c>
      <c r="G208" s="542">
        <v>0</v>
      </c>
      <c r="H208" s="58">
        <v>0</v>
      </c>
      <c r="I208" s="58">
        <v>0</v>
      </c>
      <c r="J208" s="56">
        <v>1244</v>
      </c>
      <c r="K208" s="56">
        <v>1282</v>
      </c>
      <c r="L208" s="56">
        <v>1260</v>
      </c>
      <c r="M208" s="56">
        <v>1263</v>
      </c>
      <c r="N208" s="56">
        <v>1271</v>
      </c>
      <c r="O208" s="56">
        <v>1293</v>
      </c>
      <c r="P208" s="410"/>
      <c r="Q208" s="540" t="s">
        <v>2254</v>
      </c>
    </row>
    <row r="209" spans="1:17" ht="15.75" thickBot="1">
      <c r="A209" s="547"/>
      <c r="B209" s="540"/>
      <c r="C209" s="55" t="s">
        <v>10898</v>
      </c>
      <c r="D209" s="545">
        <v>0</v>
      </c>
      <c r="E209" s="545">
        <v>0</v>
      </c>
      <c r="F209" s="545">
        <v>0</v>
      </c>
      <c r="G209" s="545">
        <v>0</v>
      </c>
      <c r="H209" s="394">
        <v>0</v>
      </c>
      <c r="I209" s="394">
        <v>0</v>
      </c>
      <c r="J209" s="58">
        <v>2652</v>
      </c>
      <c r="K209" s="58">
        <v>2701</v>
      </c>
      <c r="L209" s="58">
        <v>2680</v>
      </c>
      <c r="M209" s="58">
        <v>2670</v>
      </c>
      <c r="N209" s="58">
        <v>2665</v>
      </c>
      <c r="O209" s="58">
        <v>2685</v>
      </c>
      <c r="P209" s="410"/>
      <c r="Q209" s="540" t="s">
        <v>918</v>
      </c>
    </row>
    <row r="210" spans="1:17" ht="15.75" thickBot="1">
      <c r="A210" s="547"/>
      <c r="B210" s="540"/>
      <c r="C210" s="55" t="s">
        <v>10898</v>
      </c>
      <c r="D210" s="550">
        <f>D208+D209</f>
        <v>0</v>
      </c>
      <c r="E210" s="550">
        <f t="shared" ref="E210:L210" si="78">E208+E209</f>
        <v>0</v>
      </c>
      <c r="F210" s="550">
        <f t="shared" si="78"/>
        <v>0</v>
      </c>
      <c r="G210" s="550">
        <f t="shared" si="78"/>
        <v>0</v>
      </c>
      <c r="H210" s="550">
        <f t="shared" si="78"/>
        <v>0</v>
      </c>
      <c r="I210" s="550">
        <f t="shared" si="78"/>
        <v>0</v>
      </c>
      <c r="J210" s="550">
        <f t="shared" si="78"/>
        <v>3896</v>
      </c>
      <c r="K210" s="550">
        <f t="shared" si="78"/>
        <v>3983</v>
      </c>
      <c r="L210" s="550">
        <f t="shared" si="78"/>
        <v>3940</v>
      </c>
      <c r="M210" s="550">
        <f>M208+M209</f>
        <v>3933</v>
      </c>
      <c r="N210" s="550">
        <f>N208+N209</f>
        <v>3936</v>
      </c>
      <c r="O210" s="550">
        <f>O208+O209</f>
        <v>3978</v>
      </c>
      <c r="P210" s="410"/>
      <c r="Q210" s="540"/>
    </row>
    <row r="211" spans="1:17">
      <c r="A211" s="547">
        <v>4</v>
      </c>
      <c r="B211" s="540" t="s">
        <v>10899</v>
      </c>
      <c r="C211" s="55" t="s">
        <v>10903</v>
      </c>
      <c r="D211" s="542">
        <v>0</v>
      </c>
      <c r="E211" s="542">
        <v>0</v>
      </c>
      <c r="F211" s="542">
        <v>0</v>
      </c>
      <c r="G211" s="542">
        <v>0</v>
      </c>
      <c r="H211" s="56">
        <v>0</v>
      </c>
      <c r="I211" s="56">
        <v>0</v>
      </c>
      <c r="J211" s="56">
        <v>4430</v>
      </c>
      <c r="K211" s="56">
        <v>4754</v>
      </c>
      <c r="L211" s="56">
        <v>4888</v>
      </c>
      <c r="M211" s="56">
        <v>5012</v>
      </c>
      <c r="N211" s="56">
        <v>5461</v>
      </c>
      <c r="O211" s="56">
        <v>5508</v>
      </c>
      <c r="P211" s="410"/>
      <c r="Q211" s="540" t="s">
        <v>2254</v>
      </c>
    </row>
    <row r="212" spans="1:17">
      <c r="A212" s="547">
        <v>5</v>
      </c>
      <c r="B212" s="540" t="s">
        <v>3728</v>
      </c>
      <c r="C212" s="55" t="s">
        <v>10904</v>
      </c>
      <c r="D212" s="542">
        <v>0</v>
      </c>
      <c r="E212" s="542">
        <v>0</v>
      </c>
      <c r="F212" s="542">
        <v>0</v>
      </c>
      <c r="G212" s="542">
        <v>0</v>
      </c>
      <c r="H212" s="56">
        <v>0</v>
      </c>
      <c r="I212" s="56">
        <v>0</v>
      </c>
      <c r="J212" s="56">
        <v>3415</v>
      </c>
      <c r="K212" s="56">
        <v>3547</v>
      </c>
      <c r="L212" s="56">
        <v>3508</v>
      </c>
      <c r="M212" s="56">
        <v>3454</v>
      </c>
      <c r="N212" s="56">
        <v>3531</v>
      </c>
      <c r="O212" s="56">
        <v>3513</v>
      </c>
      <c r="P212" s="410"/>
      <c r="Q212" s="540" t="s">
        <v>2254</v>
      </c>
    </row>
    <row r="213" spans="1:17">
      <c r="A213" s="547">
        <v>6</v>
      </c>
      <c r="B213" s="540" t="s">
        <v>3729</v>
      </c>
      <c r="C213" s="55" t="s">
        <v>10905</v>
      </c>
      <c r="D213" s="542">
        <v>0</v>
      </c>
      <c r="E213" s="542">
        <v>0</v>
      </c>
      <c r="F213" s="542">
        <v>0</v>
      </c>
      <c r="G213" s="542">
        <v>0</v>
      </c>
      <c r="H213" s="56">
        <v>0</v>
      </c>
      <c r="I213" s="56">
        <v>0</v>
      </c>
      <c r="J213" s="56">
        <v>3987</v>
      </c>
      <c r="K213" s="56">
        <v>4057</v>
      </c>
      <c r="L213" s="56">
        <v>3984</v>
      </c>
      <c r="M213" s="56">
        <v>3946</v>
      </c>
      <c r="N213" s="56">
        <v>4024</v>
      </c>
      <c r="O213" s="56">
        <v>4007</v>
      </c>
      <c r="P213" s="410"/>
      <c r="Q213" s="540" t="s">
        <v>2254</v>
      </c>
    </row>
    <row r="214" spans="1:17">
      <c r="A214" s="547">
        <v>7</v>
      </c>
      <c r="B214" s="141" t="s">
        <v>10900</v>
      </c>
      <c r="C214" s="55" t="s">
        <v>10906</v>
      </c>
      <c r="D214" s="542">
        <v>0</v>
      </c>
      <c r="E214" s="542">
        <v>0</v>
      </c>
      <c r="F214" s="542">
        <v>0</v>
      </c>
      <c r="G214" s="542">
        <v>0</v>
      </c>
      <c r="H214" s="56">
        <v>0</v>
      </c>
      <c r="I214" s="56">
        <v>0</v>
      </c>
      <c r="J214" s="56">
        <v>4059</v>
      </c>
      <c r="K214" s="56">
        <v>4316</v>
      </c>
      <c r="L214" s="56">
        <v>4320</v>
      </c>
      <c r="M214" s="56">
        <v>4339</v>
      </c>
      <c r="N214" s="56">
        <v>4536</v>
      </c>
      <c r="O214" s="56">
        <v>4551</v>
      </c>
      <c r="P214" s="410"/>
      <c r="Q214" s="540" t="s">
        <v>2254</v>
      </c>
    </row>
    <row r="215" spans="1:17">
      <c r="A215" s="547">
        <v>8</v>
      </c>
      <c r="B215" s="540" t="s">
        <v>5904</v>
      </c>
      <c r="C215" s="55" t="s">
        <v>10907</v>
      </c>
      <c r="D215" s="542">
        <v>0</v>
      </c>
      <c r="E215" s="542">
        <v>0</v>
      </c>
      <c r="F215" s="542">
        <v>0</v>
      </c>
      <c r="G215" s="542">
        <v>0</v>
      </c>
      <c r="H215" s="56">
        <v>0</v>
      </c>
      <c r="I215" s="56">
        <v>0</v>
      </c>
      <c r="J215" s="56">
        <v>1913</v>
      </c>
      <c r="K215" s="56">
        <v>1995</v>
      </c>
      <c r="L215" s="56">
        <v>1955</v>
      </c>
      <c r="M215" s="56">
        <v>1927</v>
      </c>
      <c r="N215" s="56">
        <v>1983</v>
      </c>
      <c r="O215" s="56">
        <v>1997</v>
      </c>
      <c r="P215" s="410"/>
      <c r="Q215" s="540" t="s">
        <v>2254</v>
      </c>
    </row>
    <row r="216" spans="1:17">
      <c r="A216" s="547">
        <v>9</v>
      </c>
      <c r="B216" s="540" t="s">
        <v>3730</v>
      </c>
      <c r="C216" s="55" t="s">
        <v>10908</v>
      </c>
      <c r="D216" s="549">
        <v>10363</v>
      </c>
      <c r="E216" s="549">
        <v>10621</v>
      </c>
      <c r="F216" s="549">
        <v>10607</v>
      </c>
      <c r="G216" s="549">
        <v>10779</v>
      </c>
      <c r="H216" s="58">
        <v>11023</v>
      </c>
      <c r="I216" s="58">
        <v>10881</v>
      </c>
      <c r="J216" s="58">
        <v>5561</v>
      </c>
      <c r="K216" s="58">
        <v>5703</v>
      </c>
      <c r="L216" s="58">
        <v>5568</v>
      </c>
      <c r="M216" s="58">
        <v>5586</v>
      </c>
      <c r="N216" s="58">
        <v>5682</v>
      </c>
      <c r="O216" s="58">
        <v>5741</v>
      </c>
      <c r="P216" s="410"/>
      <c r="Q216" s="540" t="s">
        <v>919</v>
      </c>
    </row>
    <row r="217" spans="1:17">
      <c r="A217" s="547">
        <v>10</v>
      </c>
      <c r="B217" s="540" t="s">
        <v>10901</v>
      </c>
      <c r="C217" s="55" t="s">
        <v>10909</v>
      </c>
      <c r="D217" s="542">
        <v>0</v>
      </c>
      <c r="E217" s="542">
        <v>0</v>
      </c>
      <c r="F217" s="542">
        <v>0</v>
      </c>
      <c r="G217" s="542">
        <v>0</v>
      </c>
      <c r="H217" s="56">
        <v>0</v>
      </c>
      <c r="I217" s="56">
        <v>0</v>
      </c>
      <c r="J217" s="56">
        <v>1938</v>
      </c>
      <c r="K217" s="56">
        <v>1977</v>
      </c>
      <c r="L217" s="56">
        <v>1968</v>
      </c>
      <c r="M217" s="56">
        <v>1942</v>
      </c>
      <c r="N217" s="56">
        <v>2009</v>
      </c>
      <c r="O217" s="56">
        <v>2029</v>
      </c>
      <c r="P217" s="410"/>
      <c r="Q217" s="540" t="s">
        <v>2254</v>
      </c>
    </row>
    <row r="218" spans="1:17">
      <c r="A218" s="547">
        <v>11</v>
      </c>
      <c r="B218" s="540" t="s">
        <v>77</v>
      </c>
      <c r="C218" s="55" t="s">
        <v>10910</v>
      </c>
      <c r="D218" s="542">
        <v>0</v>
      </c>
      <c r="E218" s="542">
        <v>0</v>
      </c>
      <c r="F218" s="542">
        <v>0</v>
      </c>
      <c r="G218" s="542">
        <v>0</v>
      </c>
      <c r="H218" s="56">
        <v>0</v>
      </c>
      <c r="I218" s="56">
        <v>0</v>
      </c>
      <c r="J218" s="56">
        <v>1847</v>
      </c>
      <c r="K218" s="56">
        <v>1923</v>
      </c>
      <c r="L218" s="56">
        <v>1893</v>
      </c>
      <c r="M218" s="56">
        <v>1920</v>
      </c>
      <c r="N218" s="56">
        <v>1934</v>
      </c>
      <c r="O218" s="56">
        <v>1949</v>
      </c>
      <c r="P218" s="410"/>
      <c r="Q218" s="540" t="s">
        <v>2254</v>
      </c>
    </row>
    <row r="219" spans="1:17">
      <c r="A219" s="547">
        <v>12</v>
      </c>
      <c r="B219" s="540" t="s">
        <v>10902</v>
      </c>
      <c r="C219" s="55" t="s">
        <v>10911</v>
      </c>
      <c r="D219" s="542">
        <v>0</v>
      </c>
      <c r="E219" s="542">
        <v>0</v>
      </c>
      <c r="F219" s="542">
        <v>0</v>
      </c>
      <c r="G219" s="542">
        <v>0</v>
      </c>
      <c r="H219" s="56">
        <v>0</v>
      </c>
      <c r="I219" s="56">
        <v>0</v>
      </c>
      <c r="J219" s="56">
        <v>3181</v>
      </c>
      <c r="K219" s="56">
        <v>3375</v>
      </c>
      <c r="L219" s="56">
        <v>3362</v>
      </c>
      <c r="M219" s="56">
        <v>3470</v>
      </c>
      <c r="N219" s="56">
        <v>3722</v>
      </c>
      <c r="O219" s="56">
        <v>3800</v>
      </c>
      <c r="P219" s="410"/>
      <c r="Q219" s="540" t="s">
        <v>2254</v>
      </c>
    </row>
    <row r="220" spans="1:17" ht="15.75" thickBot="1">
      <c r="A220" s="547"/>
      <c r="B220" s="540"/>
      <c r="C220" s="55" t="s">
        <v>10911</v>
      </c>
      <c r="D220" s="545">
        <v>0</v>
      </c>
      <c r="E220" s="545">
        <v>0</v>
      </c>
      <c r="F220" s="545">
        <v>0</v>
      </c>
      <c r="G220" s="545">
        <v>0</v>
      </c>
      <c r="H220" s="394">
        <v>0</v>
      </c>
      <c r="I220" s="394">
        <v>0</v>
      </c>
      <c r="J220" s="58">
        <v>182</v>
      </c>
      <c r="K220" s="58">
        <v>189</v>
      </c>
      <c r="L220" s="58">
        <v>195</v>
      </c>
      <c r="M220" s="58">
        <v>190</v>
      </c>
      <c r="N220" s="58">
        <v>188</v>
      </c>
      <c r="O220" s="58">
        <v>190</v>
      </c>
      <c r="P220" s="410"/>
      <c r="Q220" s="540" t="s">
        <v>918</v>
      </c>
    </row>
    <row r="221" spans="1:17" ht="15.75" thickBot="1">
      <c r="A221" s="547"/>
      <c r="B221" s="540"/>
      <c r="C221" s="55" t="s">
        <v>10911</v>
      </c>
      <c r="D221" s="550">
        <f t="shared" ref="D221:O221" si="79">D219+D220</f>
        <v>0</v>
      </c>
      <c r="E221" s="550">
        <f t="shared" si="79"/>
        <v>0</v>
      </c>
      <c r="F221" s="550">
        <f t="shared" si="79"/>
        <v>0</v>
      </c>
      <c r="G221" s="550">
        <f t="shared" si="79"/>
        <v>0</v>
      </c>
      <c r="H221" s="550">
        <f t="shared" si="79"/>
        <v>0</v>
      </c>
      <c r="I221" s="550">
        <f t="shared" si="79"/>
        <v>0</v>
      </c>
      <c r="J221" s="550">
        <f t="shared" si="79"/>
        <v>3363</v>
      </c>
      <c r="K221" s="550">
        <f t="shared" si="79"/>
        <v>3564</v>
      </c>
      <c r="L221" s="550">
        <f t="shared" si="79"/>
        <v>3557</v>
      </c>
      <c r="M221" s="550">
        <f t="shared" si="79"/>
        <v>3660</v>
      </c>
      <c r="N221" s="550">
        <f t="shared" si="79"/>
        <v>3910</v>
      </c>
      <c r="O221" s="550">
        <f t="shared" si="79"/>
        <v>3990</v>
      </c>
      <c r="P221" s="410"/>
      <c r="Q221" s="540"/>
    </row>
    <row r="222" spans="1:17">
      <c r="A222" s="547">
        <v>13</v>
      </c>
      <c r="B222" s="540" t="s">
        <v>10912</v>
      </c>
      <c r="C222" s="55" t="s">
        <v>10918</v>
      </c>
      <c r="D222" s="542">
        <v>0</v>
      </c>
      <c r="E222" s="542">
        <v>0</v>
      </c>
      <c r="F222" s="542">
        <v>0</v>
      </c>
      <c r="G222" s="542">
        <v>0</v>
      </c>
      <c r="H222" s="56">
        <v>0</v>
      </c>
      <c r="I222" s="56">
        <v>0</v>
      </c>
      <c r="J222" s="56">
        <v>3807</v>
      </c>
      <c r="K222" s="56">
        <v>3857</v>
      </c>
      <c r="L222" s="56">
        <v>3841</v>
      </c>
      <c r="M222" s="56">
        <v>3751</v>
      </c>
      <c r="N222" s="56">
        <v>3708</v>
      </c>
      <c r="O222" s="56">
        <v>3746</v>
      </c>
      <c r="P222" s="410"/>
      <c r="Q222" s="540" t="s">
        <v>2254</v>
      </c>
    </row>
    <row r="223" spans="1:17">
      <c r="A223" s="547">
        <v>14</v>
      </c>
      <c r="B223" s="540" t="s">
        <v>10913</v>
      </c>
      <c r="C223" s="55" t="s">
        <v>10919</v>
      </c>
      <c r="D223" s="542">
        <v>0</v>
      </c>
      <c r="E223" s="542">
        <v>0</v>
      </c>
      <c r="F223" s="542">
        <v>0</v>
      </c>
      <c r="G223" s="542">
        <v>0</v>
      </c>
      <c r="H223" s="56">
        <v>0</v>
      </c>
      <c r="I223" s="56">
        <v>0</v>
      </c>
      <c r="J223" s="56">
        <v>3393</v>
      </c>
      <c r="K223" s="56">
        <v>3532</v>
      </c>
      <c r="L223" s="56">
        <v>3363</v>
      </c>
      <c r="M223" s="56">
        <v>3319</v>
      </c>
      <c r="N223" s="56">
        <v>3294</v>
      </c>
      <c r="O223" s="56">
        <v>3362</v>
      </c>
      <c r="P223" s="410"/>
      <c r="Q223" s="540" t="s">
        <v>2254</v>
      </c>
    </row>
    <row r="224" spans="1:17">
      <c r="A224" s="547">
        <v>15</v>
      </c>
      <c r="B224" s="540" t="s">
        <v>10914</v>
      </c>
      <c r="C224" s="55" t="s">
        <v>10920</v>
      </c>
      <c r="D224" s="542">
        <v>0</v>
      </c>
      <c r="E224" s="542">
        <v>0</v>
      </c>
      <c r="F224" s="542">
        <v>0</v>
      </c>
      <c r="G224" s="542">
        <v>0</v>
      </c>
      <c r="H224" s="56">
        <v>0</v>
      </c>
      <c r="I224" s="56">
        <v>0</v>
      </c>
      <c r="J224" s="56">
        <v>3534</v>
      </c>
      <c r="K224" s="56">
        <v>3633</v>
      </c>
      <c r="L224" s="56">
        <v>3500</v>
      </c>
      <c r="M224" s="56">
        <v>3480</v>
      </c>
      <c r="N224" s="56">
        <v>3447</v>
      </c>
      <c r="O224" s="56">
        <v>3478</v>
      </c>
      <c r="P224" s="410"/>
      <c r="Q224" s="540" t="s">
        <v>2254</v>
      </c>
    </row>
    <row r="225" spans="1:17">
      <c r="A225" s="547">
        <v>16</v>
      </c>
      <c r="B225" s="540" t="s">
        <v>10915</v>
      </c>
      <c r="C225" s="55" t="s">
        <v>10921</v>
      </c>
      <c r="D225" s="542">
        <v>0</v>
      </c>
      <c r="E225" s="542">
        <v>0</v>
      </c>
      <c r="F225" s="542">
        <v>0</v>
      </c>
      <c r="G225" s="542">
        <v>0</v>
      </c>
      <c r="H225" s="58">
        <v>0</v>
      </c>
      <c r="I225" s="58">
        <v>0</v>
      </c>
      <c r="J225" s="58">
        <v>4560</v>
      </c>
      <c r="K225" s="58">
        <v>4802</v>
      </c>
      <c r="L225" s="58">
        <v>4892</v>
      </c>
      <c r="M225" s="58">
        <v>4693</v>
      </c>
      <c r="N225" s="58">
        <v>4756</v>
      </c>
      <c r="O225" s="58">
        <v>4852</v>
      </c>
      <c r="P225" s="410"/>
      <c r="Q225" s="540" t="s">
        <v>2254</v>
      </c>
    </row>
    <row r="226" spans="1:17">
      <c r="A226" s="547">
        <v>17</v>
      </c>
      <c r="B226" s="540" t="s">
        <v>10916</v>
      </c>
      <c r="C226" s="55" t="s">
        <v>10922</v>
      </c>
      <c r="D226" s="542">
        <v>0</v>
      </c>
      <c r="E226" s="542">
        <v>0</v>
      </c>
      <c r="F226" s="542">
        <v>0</v>
      </c>
      <c r="G226" s="542">
        <v>0</v>
      </c>
      <c r="H226" s="56">
        <v>0</v>
      </c>
      <c r="I226" s="56">
        <v>0</v>
      </c>
      <c r="J226" s="58">
        <v>3693</v>
      </c>
      <c r="K226" s="58">
        <v>3752</v>
      </c>
      <c r="L226" s="58">
        <v>3681</v>
      </c>
      <c r="M226" s="58">
        <v>3565</v>
      </c>
      <c r="N226" s="58">
        <v>3556</v>
      </c>
      <c r="O226" s="58">
        <v>3585</v>
      </c>
      <c r="P226" s="410"/>
      <c r="Q226" s="540" t="s">
        <v>2254</v>
      </c>
    </row>
    <row r="227" spans="1:17" ht="15.75" thickBot="1">
      <c r="A227" s="547"/>
      <c r="B227" s="540"/>
      <c r="C227" s="55" t="s">
        <v>10922</v>
      </c>
      <c r="D227" s="545">
        <v>0</v>
      </c>
      <c r="E227" s="545">
        <v>0</v>
      </c>
      <c r="F227" s="545">
        <v>0</v>
      </c>
      <c r="G227" s="545">
        <v>0</v>
      </c>
      <c r="H227" s="394">
        <v>0</v>
      </c>
      <c r="I227" s="394">
        <v>0</v>
      </c>
      <c r="J227" s="58">
        <v>235</v>
      </c>
      <c r="K227" s="58">
        <v>239</v>
      </c>
      <c r="L227" s="58">
        <v>241</v>
      </c>
      <c r="M227" s="58">
        <v>229</v>
      </c>
      <c r="N227" s="58">
        <v>231</v>
      </c>
      <c r="O227" s="58">
        <v>233</v>
      </c>
      <c r="P227" s="410"/>
      <c r="Q227" s="540" t="s">
        <v>918</v>
      </c>
    </row>
    <row r="228" spans="1:17" ht="15.75" thickBot="1">
      <c r="A228" s="547"/>
      <c r="B228" s="540"/>
      <c r="C228" s="55" t="s">
        <v>10922</v>
      </c>
      <c r="D228" s="550">
        <f t="shared" ref="D228:O228" si="80">D226+D227</f>
        <v>0</v>
      </c>
      <c r="E228" s="550">
        <f t="shared" si="80"/>
        <v>0</v>
      </c>
      <c r="F228" s="550">
        <f t="shared" si="80"/>
        <v>0</v>
      </c>
      <c r="G228" s="550">
        <f t="shared" si="80"/>
        <v>0</v>
      </c>
      <c r="H228" s="550">
        <f t="shared" si="80"/>
        <v>0</v>
      </c>
      <c r="I228" s="550">
        <f t="shared" si="80"/>
        <v>0</v>
      </c>
      <c r="J228" s="550">
        <f t="shared" si="80"/>
        <v>3928</v>
      </c>
      <c r="K228" s="550">
        <f t="shared" si="80"/>
        <v>3991</v>
      </c>
      <c r="L228" s="550">
        <f t="shared" si="80"/>
        <v>3922</v>
      </c>
      <c r="M228" s="550">
        <f t="shared" si="80"/>
        <v>3794</v>
      </c>
      <c r="N228" s="550">
        <f t="shared" si="80"/>
        <v>3787</v>
      </c>
      <c r="O228" s="550">
        <f t="shared" si="80"/>
        <v>3818</v>
      </c>
      <c r="P228" s="410"/>
      <c r="Q228" s="540"/>
    </row>
    <row r="229" spans="1:17">
      <c r="A229" s="547">
        <v>18</v>
      </c>
      <c r="B229" s="141" t="s">
        <v>10917</v>
      </c>
      <c r="C229" s="55" t="s">
        <v>10923</v>
      </c>
      <c r="D229" s="542">
        <v>0</v>
      </c>
      <c r="E229" s="542">
        <v>0</v>
      </c>
      <c r="F229" s="542">
        <v>0</v>
      </c>
      <c r="G229" s="542">
        <v>0</v>
      </c>
      <c r="H229" s="56">
        <v>0</v>
      </c>
      <c r="I229" s="56">
        <v>0</v>
      </c>
      <c r="J229" s="56">
        <v>3247</v>
      </c>
      <c r="K229" s="56">
        <v>3456</v>
      </c>
      <c r="L229" s="56">
        <v>3428</v>
      </c>
      <c r="M229" s="56">
        <v>3365</v>
      </c>
      <c r="N229" s="56">
        <v>3369</v>
      </c>
      <c r="O229" s="56">
        <v>3471</v>
      </c>
      <c r="P229" s="410"/>
      <c r="Q229" s="540" t="s">
        <v>2254</v>
      </c>
    </row>
    <row r="230" spans="1:17">
      <c r="A230" s="547">
        <v>19</v>
      </c>
      <c r="B230" s="540" t="s">
        <v>2293</v>
      </c>
      <c r="C230" s="55" t="s">
        <v>10930</v>
      </c>
      <c r="D230" s="542">
        <v>0</v>
      </c>
      <c r="E230" s="542">
        <v>0</v>
      </c>
      <c r="F230" s="542">
        <v>0</v>
      </c>
      <c r="G230" s="542">
        <v>0</v>
      </c>
      <c r="H230" s="56">
        <v>0</v>
      </c>
      <c r="I230" s="56">
        <v>0</v>
      </c>
      <c r="J230" s="58">
        <v>3672</v>
      </c>
      <c r="K230" s="58">
        <v>3850</v>
      </c>
      <c r="L230" s="58">
        <v>3753</v>
      </c>
      <c r="M230" s="58">
        <v>3651</v>
      </c>
      <c r="N230" s="58">
        <v>3676</v>
      </c>
      <c r="O230" s="58">
        <v>3732</v>
      </c>
      <c r="P230" s="410"/>
      <c r="Q230" s="540" t="s">
        <v>2254</v>
      </c>
    </row>
    <row r="231" spans="1:17">
      <c r="A231" s="547">
        <v>20</v>
      </c>
      <c r="B231" s="540" t="s">
        <v>2294</v>
      </c>
      <c r="C231" s="55" t="s">
        <v>10931</v>
      </c>
      <c r="D231" s="542">
        <v>0</v>
      </c>
      <c r="E231" s="542">
        <v>0</v>
      </c>
      <c r="F231" s="542">
        <v>0</v>
      </c>
      <c r="G231" s="542">
        <v>0</v>
      </c>
      <c r="H231" s="56">
        <v>0</v>
      </c>
      <c r="I231" s="56">
        <v>0</v>
      </c>
      <c r="J231" s="58">
        <v>1942</v>
      </c>
      <c r="K231" s="58">
        <v>1989</v>
      </c>
      <c r="L231" s="58">
        <v>1981</v>
      </c>
      <c r="M231" s="58">
        <v>1978</v>
      </c>
      <c r="N231" s="58">
        <v>1993</v>
      </c>
      <c r="O231" s="58">
        <v>2020</v>
      </c>
      <c r="P231" s="410"/>
      <c r="Q231" s="540" t="s">
        <v>2254</v>
      </c>
    </row>
    <row r="232" spans="1:17">
      <c r="A232" s="547">
        <v>21</v>
      </c>
      <c r="B232" s="540" t="s">
        <v>10924</v>
      </c>
      <c r="C232" s="55" t="s">
        <v>10932</v>
      </c>
      <c r="D232" s="542">
        <v>12876</v>
      </c>
      <c r="E232" s="542">
        <v>13019</v>
      </c>
      <c r="F232" s="542">
        <v>12992</v>
      </c>
      <c r="G232" s="542">
        <v>13160</v>
      </c>
      <c r="H232" s="56">
        <v>13327</v>
      </c>
      <c r="I232" s="56">
        <v>13119</v>
      </c>
      <c r="J232" s="58">
        <v>2057</v>
      </c>
      <c r="K232" s="58">
        <v>2165</v>
      </c>
      <c r="L232" s="58">
        <v>2120</v>
      </c>
      <c r="M232" s="58">
        <v>2074</v>
      </c>
      <c r="N232" s="58">
        <v>2094</v>
      </c>
      <c r="O232" s="58">
        <v>2122</v>
      </c>
      <c r="P232" s="410"/>
      <c r="Q232" s="540" t="s">
        <v>918</v>
      </c>
    </row>
    <row r="233" spans="1:17">
      <c r="A233" s="547">
        <v>22</v>
      </c>
      <c r="B233" s="540" t="s">
        <v>10925</v>
      </c>
      <c r="C233" s="55" t="s">
        <v>10933</v>
      </c>
      <c r="D233" s="542">
        <v>0</v>
      </c>
      <c r="E233" s="542">
        <v>0</v>
      </c>
      <c r="F233" s="542">
        <v>0</v>
      </c>
      <c r="G233" s="542">
        <v>0</v>
      </c>
      <c r="H233" s="56">
        <v>0</v>
      </c>
      <c r="I233" s="56">
        <v>0</v>
      </c>
      <c r="J233" s="58">
        <v>5135</v>
      </c>
      <c r="K233" s="58">
        <v>5364</v>
      </c>
      <c r="L233" s="58">
        <v>5359</v>
      </c>
      <c r="M233" s="58">
        <v>5190</v>
      </c>
      <c r="N233" s="58">
        <v>5248</v>
      </c>
      <c r="O233" s="58">
        <v>5329</v>
      </c>
      <c r="P233" s="410"/>
      <c r="Q233" s="540" t="s">
        <v>919</v>
      </c>
    </row>
    <row r="234" spans="1:17">
      <c r="A234" s="547">
        <v>23</v>
      </c>
      <c r="B234" s="540" t="s">
        <v>2107</v>
      </c>
      <c r="C234" s="55" t="s">
        <v>10934</v>
      </c>
      <c r="D234" s="542">
        <v>0</v>
      </c>
      <c r="E234" s="542">
        <v>0</v>
      </c>
      <c r="F234" s="542">
        <v>0</v>
      </c>
      <c r="G234" s="542">
        <v>0</v>
      </c>
      <c r="H234" s="56">
        <v>0</v>
      </c>
      <c r="I234" s="56">
        <v>0</v>
      </c>
      <c r="J234" s="58">
        <v>1890</v>
      </c>
      <c r="K234" s="58">
        <v>1945</v>
      </c>
      <c r="L234" s="58">
        <v>1936</v>
      </c>
      <c r="M234" s="58">
        <v>1897</v>
      </c>
      <c r="N234" s="58">
        <v>1921</v>
      </c>
      <c r="O234" s="58">
        <v>1960</v>
      </c>
      <c r="P234" s="410"/>
      <c r="Q234" s="540" t="s">
        <v>2254</v>
      </c>
    </row>
    <row r="235" spans="1:17">
      <c r="A235" s="547">
        <v>24</v>
      </c>
      <c r="B235" s="540" t="s">
        <v>10926</v>
      </c>
      <c r="C235" s="55" t="s">
        <v>10935</v>
      </c>
      <c r="D235" s="542">
        <v>0</v>
      </c>
      <c r="E235" s="542">
        <v>0</v>
      </c>
      <c r="F235" s="542">
        <v>0</v>
      </c>
      <c r="G235" s="542">
        <v>0</v>
      </c>
      <c r="H235" s="56">
        <v>0</v>
      </c>
      <c r="I235" s="56">
        <v>0</v>
      </c>
      <c r="J235" s="58">
        <v>3889</v>
      </c>
      <c r="K235" s="58">
        <v>4022</v>
      </c>
      <c r="L235" s="58">
        <v>4022</v>
      </c>
      <c r="M235" s="58">
        <v>3891</v>
      </c>
      <c r="N235" s="58">
        <v>3930</v>
      </c>
      <c r="O235" s="58">
        <v>3965</v>
      </c>
      <c r="P235" s="410"/>
      <c r="Q235" s="540" t="s">
        <v>918</v>
      </c>
    </row>
    <row r="236" spans="1:17">
      <c r="A236" s="547">
        <v>25</v>
      </c>
      <c r="B236" s="540" t="s">
        <v>10927</v>
      </c>
      <c r="C236" s="55" t="s">
        <v>10936</v>
      </c>
      <c r="D236" s="542">
        <v>0</v>
      </c>
      <c r="E236" s="542">
        <v>0</v>
      </c>
      <c r="F236" s="542">
        <v>0</v>
      </c>
      <c r="G236" s="542">
        <v>0</v>
      </c>
      <c r="H236" s="56">
        <v>0</v>
      </c>
      <c r="I236" s="56">
        <v>0</v>
      </c>
      <c r="J236" s="58">
        <v>3825</v>
      </c>
      <c r="K236" s="58">
        <v>3945</v>
      </c>
      <c r="L236" s="58">
        <v>3823</v>
      </c>
      <c r="M236" s="58">
        <v>3747</v>
      </c>
      <c r="N236" s="58">
        <v>3734</v>
      </c>
      <c r="O236" s="58">
        <v>3746</v>
      </c>
      <c r="P236" s="410"/>
      <c r="Q236" s="540" t="s">
        <v>2254</v>
      </c>
    </row>
    <row r="237" spans="1:17">
      <c r="A237" s="547">
        <v>26</v>
      </c>
      <c r="B237" s="540" t="s">
        <v>10928</v>
      </c>
      <c r="C237" s="55" t="s">
        <v>10937</v>
      </c>
      <c r="D237" s="542">
        <v>0</v>
      </c>
      <c r="E237" s="542">
        <v>0</v>
      </c>
      <c r="F237" s="542">
        <v>0</v>
      </c>
      <c r="G237" s="542">
        <v>0</v>
      </c>
      <c r="H237" s="56">
        <v>0</v>
      </c>
      <c r="I237" s="56">
        <v>0</v>
      </c>
      <c r="J237" s="58">
        <v>3744</v>
      </c>
      <c r="K237" s="58">
        <v>3846</v>
      </c>
      <c r="L237" s="58">
        <v>3833</v>
      </c>
      <c r="M237" s="58">
        <v>3649</v>
      </c>
      <c r="N237" s="58">
        <v>3693</v>
      </c>
      <c r="O237" s="58">
        <v>3774</v>
      </c>
      <c r="P237" s="410"/>
      <c r="Q237" s="540" t="s">
        <v>2254</v>
      </c>
    </row>
    <row r="238" spans="1:17">
      <c r="A238" s="547">
        <v>27</v>
      </c>
      <c r="B238" s="540" t="s">
        <v>2295</v>
      </c>
      <c r="C238" s="55" t="s">
        <v>10938</v>
      </c>
      <c r="D238" s="542">
        <v>0</v>
      </c>
      <c r="E238" s="542">
        <v>0</v>
      </c>
      <c r="F238" s="542">
        <v>0</v>
      </c>
      <c r="G238" s="542">
        <v>0</v>
      </c>
      <c r="H238" s="56">
        <v>0</v>
      </c>
      <c r="I238" s="56">
        <v>0</v>
      </c>
      <c r="J238" s="58">
        <v>3786</v>
      </c>
      <c r="K238" s="58">
        <v>3881</v>
      </c>
      <c r="L238" s="58">
        <v>3928</v>
      </c>
      <c r="M238" s="58">
        <v>3945</v>
      </c>
      <c r="N238" s="58">
        <v>4072</v>
      </c>
      <c r="O238" s="58">
        <v>4183</v>
      </c>
      <c r="P238" s="410"/>
      <c r="Q238" s="540" t="s">
        <v>2254</v>
      </c>
    </row>
    <row r="239" spans="1:17">
      <c r="A239" s="547">
        <v>28</v>
      </c>
      <c r="B239" s="540" t="s">
        <v>10929</v>
      </c>
      <c r="C239" s="55" t="s">
        <v>10939</v>
      </c>
      <c r="D239" s="542">
        <v>0</v>
      </c>
      <c r="E239" s="542">
        <v>0</v>
      </c>
      <c r="F239" s="542">
        <v>0</v>
      </c>
      <c r="G239" s="542">
        <v>0</v>
      </c>
      <c r="H239" s="56">
        <v>0</v>
      </c>
      <c r="I239" s="56">
        <v>0</v>
      </c>
      <c r="J239" s="58">
        <v>3488</v>
      </c>
      <c r="K239" s="58">
        <v>3691</v>
      </c>
      <c r="L239" s="58">
        <v>3634</v>
      </c>
      <c r="M239" s="58">
        <v>3579</v>
      </c>
      <c r="N239" s="58">
        <v>3641</v>
      </c>
      <c r="O239" s="58">
        <v>3710</v>
      </c>
      <c r="P239" s="410"/>
      <c r="Q239" s="540" t="s">
        <v>2254</v>
      </c>
    </row>
    <row r="240" spans="1:17">
      <c r="A240" s="547">
        <v>29</v>
      </c>
      <c r="B240" s="540" t="s">
        <v>2296</v>
      </c>
      <c r="C240" s="55" t="s">
        <v>10940</v>
      </c>
      <c r="D240" s="542">
        <v>0</v>
      </c>
      <c r="E240" s="542">
        <v>0</v>
      </c>
      <c r="F240" s="542">
        <v>0</v>
      </c>
      <c r="G240" s="542">
        <v>0</v>
      </c>
      <c r="H240" s="56">
        <v>0</v>
      </c>
      <c r="I240" s="56">
        <v>0</v>
      </c>
      <c r="J240" s="58">
        <v>2002</v>
      </c>
      <c r="K240" s="58">
        <v>2088</v>
      </c>
      <c r="L240" s="58">
        <v>2058</v>
      </c>
      <c r="M240" s="58">
        <v>2017</v>
      </c>
      <c r="N240" s="58">
        <v>2055</v>
      </c>
      <c r="O240" s="58">
        <v>2057</v>
      </c>
      <c r="P240" s="410"/>
      <c r="Q240" s="540" t="s">
        <v>2254</v>
      </c>
    </row>
    <row r="241" spans="1:17">
      <c r="A241" s="547">
        <v>30</v>
      </c>
      <c r="B241" s="540" t="s">
        <v>3799</v>
      </c>
      <c r="C241" s="55" t="s">
        <v>10941</v>
      </c>
      <c r="D241" s="542">
        <v>0</v>
      </c>
      <c r="E241" s="542">
        <v>0</v>
      </c>
      <c r="F241" s="542">
        <v>0</v>
      </c>
      <c r="G241" s="542">
        <v>0</v>
      </c>
      <c r="H241" s="56">
        <v>0</v>
      </c>
      <c r="I241" s="56">
        <v>0</v>
      </c>
      <c r="J241" s="58">
        <v>3988</v>
      </c>
      <c r="K241" s="58">
        <v>4097</v>
      </c>
      <c r="L241" s="58">
        <v>4005</v>
      </c>
      <c r="M241" s="58">
        <v>4006</v>
      </c>
      <c r="N241" s="58">
        <v>4058</v>
      </c>
      <c r="O241" s="58">
        <v>4107</v>
      </c>
      <c r="P241" s="410"/>
      <c r="Q241" s="540" t="s">
        <v>918</v>
      </c>
    </row>
    <row r="242" spans="1:17">
      <c r="A242" s="410"/>
      <c r="B242" s="410"/>
      <c r="C242" s="540"/>
      <c r="D242" s="543"/>
      <c r="E242" s="543"/>
      <c r="F242" s="543"/>
      <c r="G242" s="543"/>
      <c r="H242" s="543"/>
      <c r="I242" s="543"/>
      <c r="J242" s="543"/>
      <c r="K242" s="543"/>
      <c r="L242" s="543"/>
      <c r="M242" s="543"/>
      <c r="N242" s="543"/>
      <c r="O242" s="543"/>
      <c r="P242" s="410"/>
      <c r="Q242" s="410"/>
    </row>
    <row r="243" spans="1:17">
      <c r="A243" s="540" t="s">
        <v>2254</v>
      </c>
      <c r="D243" s="542">
        <f>SUM(D206:D208)+SUM(D211:D215)+SUM(D217:D219)+SUM(D222:D226)+SUM(D229:D231)+D234+SUM(D236:D240)</f>
        <v>77694</v>
      </c>
      <c r="E243" s="542">
        <f t="shared" ref="E243:J243" si="81">SUM(E206:E208)+SUM(E211:E215)+SUM(E217:E219)+SUM(E222:E226)+SUM(E229:E231)+E234+SUM(E236:E240)</f>
        <v>79118</v>
      </c>
      <c r="F243" s="542">
        <f t="shared" si="81"/>
        <v>79144</v>
      </c>
      <c r="G243" s="542">
        <f t="shared" si="81"/>
        <v>80528</v>
      </c>
      <c r="H243" s="542">
        <f t="shared" si="81"/>
        <v>80750</v>
      </c>
      <c r="I243" s="542">
        <f t="shared" si="81"/>
        <v>78679</v>
      </c>
      <c r="J243" s="542">
        <f t="shared" si="81"/>
        <v>77983</v>
      </c>
      <c r="K243" s="542">
        <f>SUM(K206:K208)+SUM(K211:K215)+SUM(K217:K219)+SUM(K222:K226)+SUM(K229:K231)+K234+SUM(K236:K240)</f>
        <v>81105</v>
      </c>
      <c r="L243" s="542">
        <f>SUM(L206:L208)+SUM(L211:L215)+SUM(L217:L219)+SUM(L222:L226)+SUM(L229:L231)+L234+SUM(L236:L240)</f>
        <v>80347</v>
      </c>
      <c r="M243" s="542">
        <f>SUM(M206:M208)+SUM(M211:M215)+SUM(M217:M219)+SUM(M222:M226)+SUM(M229:M231)+M234+SUM(M236:M240)</f>
        <v>79293</v>
      </c>
      <c r="N243" s="542">
        <f>SUM(N206:N208)+SUM(N211:N215)+SUM(N217:N219)+SUM(N222:N226)+SUM(N229:N231)+N234+SUM(N236:N240)</f>
        <v>80822</v>
      </c>
      <c r="O243" s="542">
        <f>SUM(O206:O208)+SUM(O211:O215)+SUM(O217:O219)+SUM(O222:O226)+SUM(O229:O231)+O234+SUM(O236:O240)</f>
        <v>81844</v>
      </c>
      <c r="P243" s="410"/>
      <c r="Q243" s="410"/>
    </row>
    <row r="244" spans="1:17">
      <c r="A244" s="540" t="s">
        <v>2695</v>
      </c>
      <c r="D244" s="542">
        <f>D209+D220+D227+D232+D235+D241</f>
        <v>12876</v>
      </c>
      <c r="E244" s="542">
        <f t="shared" ref="E244:J244" si="82">E209+E220+E227+E232+E235+E241</f>
        <v>13019</v>
      </c>
      <c r="F244" s="542">
        <f t="shared" si="82"/>
        <v>12992</v>
      </c>
      <c r="G244" s="542">
        <f t="shared" si="82"/>
        <v>13160</v>
      </c>
      <c r="H244" s="542">
        <f t="shared" si="82"/>
        <v>13327</v>
      </c>
      <c r="I244" s="542">
        <f t="shared" si="82"/>
        <v>13119</v>
      </c>
      <c r="J244" s="542">
        <f t="shared" si="82"/>
        <v>13003</v>
      </c>
      <c r="K244" s="542">
        <f>K209+K220+K227+K232+K235+K241</f>
        <v>13413</v>
      </c>
      <c r="L244" s="542">
        <f>L209+L220+L227+L232+L235+L241</f>
        <v>13263</v>
      </c>
      <c r="M244" s="542">
        <f>M209+M220+M227+M232+M235+M241</f>
        <v>13060</v>
      </c>
      <c r="N244" s="542">
        <f>N209+N220+N227+N232+N235+N241</f>
        <v>13166</v>
      </c>
      <c r="O244" s="542">
        <f>O209+O220+O227+O232+O235+O241</f>
        <v>13302</v>
      </c>
      <c r="P244" s="410"/>
      <c r="Q244" s="410"/>
    </row>
    <row r="245" spans="1:17">
      <c r="A245" s="540" t="s">
        <v>2236</v>
      </c>
      <c r="D245" s="542">
        <f>D216+D233</f>
        <v>10363</v>
      </c>
      <c r="E245" s="542">
        <f t="shared" ref="E245:J245" si="83">E216+E233</f>
        <v>10621</v>
      </c>
      <c r="F245" s="542">
        <f t="shared" si="83"/>
        <v>10607</v>
      </c>
      <c r="G245" s="542">
        <f t="shared" si="83"/>
        <v>10779</v>
      </c>
      <c r="H245" s="542">
        <f t="shared" si="83"/>
        <v>11023</v>
      </c>
      <c r="I245" s="542">
        <f t="shared" si="83"/>
        <v>10881</v>
      </c>
      <c r="J245" s="542">
        <f t="shared" si="83"/>
        <v>10696</v>
      </c>
      <c r="K245" s="542">
        <f>K216+K233</f>
        <v>11067</v>
      </c>
      <c r="L245" s="542">
        <f>L216+L233</f>
        <v>10927</v>
      </c>
      <c r="M245" s="542">
        <f>M216+M233</f>
        <v>10776</v>
      </c>
      <c r="N245" s="542">
        <f>N216+N233</f>
        <v>10930</v>
      </c>
      <c r="O245" s="542">
        <f>O216+O233</f>
        <v>11070</v>
      </c>
      <c r="P245" s="410"/>
      <c r="Q245" s="410"/>
    </row>
    <row r="246" spans="1:17">
      <c r="A246" s="540"/>
      <c r="B246" s="540"/>
      <c r="C246" s="540"/>
      <c r="D246" s="548"/>
      <c r="E246" s="548"/>
      <c r="F246" s="548"/>
      <c r="G246" s="548"/>
      <c r="H246" s="548"/>
      <c r="I246" s="548"/>
      <c r="J246" s="548"/>
      <c r="K246" s="548"/>
      <c r="L246" s="548"/>
      <c r="M246" s="548"/>
      <c r="N246" s="548"/>
      <c r="O246" s="548"/>
      <c r="P246" s="410"/>
      <c r="Q246" s="410"/>
    </row>
    <row r="247" spans="1:17">
      <c r="A247" s="540" t="s">
        <v>10894</v>
      </c>
      <c r="B247" s="540"/>
      <c r="C247" s="540"/>
      <c r="D247" s="548"/>
      <c r="E247" s="548"/>
      <c r="F247" s="548"/>
      <c r="G247" s="548"/>
      <c r="H247" s="548"/>
      <c r="I247" s="548"/>
      <c r="J247" s="548"/>
      <c r="K247" s="548"/>
      <c r="L247" s="548"/>
      <c r="M247" s="548"/>
      <c r="N247" s="548"/>
      <c r="O247" s="548"/>
      <c r="P247" s="410"/>
      <c r="Q247" s="410"/>
    </row>
    <row r="248" spans="1:17">
      <c r="A248" s="540"/>
      <c r="B248" s="540"/>
      <c r="D248" s="548"/>
      <c r="E248" s="548"/>
      <c r="F248" s="548"/>
      <c r="G248" s="548"/>
      <c r="H248" s="548"/>
      <c r="I248" s="548"/>
      <c r="J248" s="548"/>
      <c r="K248" s="548"/>
      <c r="L248" s="548"/>
      <c r="M248" s="548"/>
      <c r="N248" s="548"/>
      <c r="O248" s="548"/>
      <c r="P248" s="410"/>
      <c r="Q248" s="410"/>
    </row>
    <row r="249" spans="1:17">
      <c r="A249" s="540"/>
      <c r="B249" s="540"/>
      <c r="D249" s="548"/>
      <c r="E249" s="548"/>
      <c r="F249" s="548"/>
      <c r="G249" s="548"/>
      <c r="H249" s="548"/>
      <c r="I249" s="548"/>
      <c r="J249" s="548"/>
      <c r="K249" s="548"/>
      <c r="L249" s="548"/>
      <c r="M249" s="548"/>
      <c r="N249" s="548"/>
      <c r="O249" s="548"/>
      <c r="P249" s="410"/>
      <c r="Q249" s="410"/>
    </row>
    <row r="250" spans="1:17">
      <c r="A250" s="410"/>
      <c r="B250" s="410"/>
      <c r="E250" s="51" t="s">
        <v>1526</v>
      </c>
      <c r="F250" s="51"/>
      <c r="G250" s="51"/>
      <c r="H250" s="51"/>
      <c r="I250" s="51"/>
      <c r="J250" s="51"/>
      <c r="K250" s="51"/>
      <c r="L250" s="51"/>
      <c r="M250" s="51"/>
      <c r="N250" s="51"/>
      <c r="O250" s="51"/>
      <c r="P250" s="276"/>
      <c r="Q250" s="11" t="s">
        <v>9479</v>
      </c>
    </row>
    <row r="251" spans="1:17">
      <c r="A251" s="410"/>
      <c r="B251" s="410"/>
      <c r="D251" s="350">
        <v>2010</v>
      </c>
      <c r="E251" s="350">
        <v>2011</v>
      </c>
      <c r="F251" s="350">
        <v>2012</v>
      </c>
      <c r="G251" s="350">
        <v>2013</v>
      </c>
      <c r="H251" s="350">
        <v>2014</v>
      </c>
      <c r="I251" s="350">
        <v>2015</v>
      </c>
      <c r="J251" s="350">
        <v>2016</v>
      </c>
      <c r="K251" s="350">
        <v>2017</v>
      </c>
      <c r="L251" s="350">
        <v>2018</v>
      </c>
      <c r="M251" s="350">
        <v>2019</v>
      </c>
      <c r="N251" s="350">
        <v>2020</v>
      </c>
      <c r="O251" s="958" t="s">
        <v>14823</v>
      </c>
      <c r="P251" s="410"/>
      <c r="Q251" s="13" t="s">
        <v>1527</v>
      </c>
    </row>
    <row r="252" spans="1:17">
      <c r="A252" s="540" t="s">
        <v>2297</v>
      </c>
      <c r="D252" s="542">
        <f t="shared" ref="D252:I252" si="84">SUM(D253:D272)</f>
        <v>71024</v>
      </c>
      <c r="E252" s="542">
        <f t="shared" si="84"/>
        <v>71945</v>
      </c>
      <c r="F252" s="542">
        <f t="shared" si="84"/>
        <v>72234</v>
      </c>
      <c r="G252" s="542">
        <f t="shared" si="84"/>
        <v>72776</v>
      </c>
      <c r="H252" s="542">
        <f t="shared" si="84"/>
        <v>73315</v>
      </c>
      <c r="I252" s="542">
        <f t="shared" si="84"/>
        <v>71827</v>
      </c>
      <c r="J252" s="542">
        <f t="shared" ref="J252:O252" si="85">SUM(J253:J272)</f>
        <v>72401</v>
      </c>
      <c r="K252" s="542">
        <f t="shared" si="85"/>
        <v>72884</v>
      </c>
      <c r="L252" s="542">
        <f t="shared" si="85"/>
        <v>72939</v>
      </c>
      <c r="M252" s="542">
        <f t="shared" si="85"/>
        <v>72399</v>
      </c>
      <c r="N252" s="542">
        <f t="shared" si="85"/>
        <v>73789</v>
      </c>
      <c r="O252" s="542">
        <f t="shared" si="85"/>
        <v>74750</v>
      </c>
      <c r="P252" s="410"/>
      <c r="Q252" s="410"/>
    </row>
    <row r="253" spans="1:17">
      <c r="A253" s="547">
        <v>1</v>
      </c>
      <c r="B253" s="540" t="s">
        <v>3717</v>
      </c>
      <c r="C253" s="55" t="s">
        <v>10098</v>
      </c>
      <c r="D253" s="542">
        <v>71024</v>
      </c>
      <c r="E253" s="542">
        <v>71945</v>
      </c>
      <c r="F253" s="542">
        <v>72234</v>
      </c>
      <c r="G253" s="56">
        <v>72776</v>
      </c>
      <c r="H253" s="56">
        <v>73315</v>
      </c>
      <c r="I253" s="56">
        <v>2044</v>
      </c>
      <c r="J253" s="56">
        <v>2053</v>
      </c>
      <c r="K253" s="56">
        <v>2077</v>
      </c>
      <c r="L253" s="56">
        <v>2040</v>
      </c>
      <c r="M253" s="56">
        <v>2038</v>
      </c>
      <c r="N253" s="56">
        <v>2111</v>
      </c>
      <c r="O253" s="56">
        <v>2139</v>
      </c>
      <c r="P253" s="410"/>
      <c r="Q253" s="540" t="s">
        <v>913</v>
      </c>
    </row>
    <row r="254" spans="1:17">
      <c r="A254" s="547">
        <v>2</v>
      </c>
      <c r="B254" s="540" t="s">
        <v>9983</v>
      </c>
      <c r="C254" s="55" t="s">
        <v>10099</v>
      </c>
      <c r="D254" s="56">
        <v>0</v>
      </c>
      <c r="E254" s="56">
        <v>0</v>
      </c>
      <c r="F254" s="56">
        <v>0</v>
      </c>
      <c r="G254" s="56">
        <v>0</v>
      </c>
      <c r="H254" s="56">
        <v>0</v>
      </c>
      <c r="I254" s="56">
        <v>4405</v>
      </c>
      <c r="J254" s="56">
        <v>4438</v>
      </c>
      <c r="K254" s="56">
        <v>4432</v>
      </c>
      <c r="L254" s="56">
        <v>4418</v>
      </c>
      <c r="M254" s="56">
        <v>4375</v>
      </c>
      <c r="N254" s="56">
        <v>4507</v>
      </c>
      <c r="O254" s="56">
        <v>4572</v>
      </c>
      <c r="P254" s="410"/>
      <c r="Q254" s="540" t="s">
        <v>913</v>
      </c>
    </row>
    <row r="255" spans="1:17">
      <c r="A255" s="547">
        <v>3</v>
      </c>
      <c r="B255" s="473" t="s">
        <v>3718</v>
      </c>
      <c r="C255" s="55" t="s">
        <v>10100</v>
      </c>
      <c r="D255" s="56">
        <v>0</v>
      </c>
      <c r="E255" s="56">
        <v>0</v>
      </c>
      <c r="F255" s="56">
        <v>0</v>
      </c>
      <c r="G255" s="56">
        <v>0</v>
      </c>
      <c r="H255" s="56">
        <v>0</v>
      </c>
      <c r="I255" s="56">
        <v>5934</v>
      </c>
      <c r="J255" s="56">
        <v>6089</v>
      </c>
      <c r="K255" s="56">
        <v>6136</v>
      </c>
      <c r="L255" s="56">
        <v>6175</v>
      </c>
      <c r="M255" s="56">
        <v>6140</v>
      </c>
      <c r="N255" s="56">
        <v>6204</v>
      </c>
      <c r="O255" s="56">
        <v>6270</v>
      </c>
      <c r="P255" s="410"/>
      <c r="Q255" s="540" t="s">
        <v>913</v>
      </c>
    </row>
    <row r="256" spans="1:17">
      <c r="A256" s="547">
        <v>4</v>
      </c>
      <c r="B256" s="540" t="s">
        <v>9984</v>
      </c>
      <c r="C256" s="55" t="s">
        <v>10101</v>
      </c>
      <c r="D256" s="56">
        <v>0</v>
      </c>
      <c r="E256" s="56">
        <v>0</v>
      </c>
      <c r="F256" s="56">
        <v>0</v>
      </c>
      <c r="G256" s="56">
        <v>0</v>
      </c>
      <c r="H256" s="56">
        <v>0</v>
      </c>
      <c r="I256" s="56">
        <v>6496</v>
      </c>
      <c r="J256" s="56">
        <v>6517</v>
      </c>
      <c r="K256" s="56">
        <v>6505</v>
      </c>
      <c r="L256" s="56">
        <v>6566</v>
      </c>
      <c r="M256" s="56">
        <v>6530</v>
      </c>
      <c r="N256" s="56">
        <v>6687</v>
      </c>
      <c r="O256" s="56">
        <v>6769</v>
      </c>
      <c r="P256" s="410"/>
      <c r="Q256" s="540" t="s">
        <v>913</v>
      </c>
    </row>
    <row r="257" spans="1:17">
      <c r="A257" s="547">
        <v>5</v>
      </c>
      <c r="B257" s="540" t="s">
        <v>3719</v>
      </c>
      <c r="C257" s="55" t="s">
        <v>10102</v>
      </c>
      <c r="D257" s="56">
        <v>0</v>
      </c>
      <c r="E257" s="56">
        <v>0</v>
      </c>
      <c r="F257" s="56">
        <v>0</v>
      </c>
      <c r="G257" s="56">
        <v>0</v>
      </c>
      <c r="H257" s="56">
        <v>0</v>
      </c>
      <c r="I257" s="56">
        <v>5122</v>
      </c>
      <c r="J257" s="56">
        <v>5140</v>
      </c>
      <c r="K257" s="56">
        <v>5257</v>
      </c>
      <c r="L257" s="56">
        <v>5259</v>
      </c>
      <c r="M257" s="56">
        <v>5197</v>
      </c>
      <c r="N257" s="56">
        <v>5205</v>
      </c>
      <c r="O257" s="56">
        <v>5266</v>
      </c>
      <c r="P257" s="410"/>
      <c r="Q257" s="540" t="s">
        <v>913</v>
      </c>
    </row>
    <row r="258" spans="1:17">
      <c r="A258" s="547">
        <v>6</v>
      </c>
      <c r="B258" s="540" t="s">
        <v>51</v>
      </c>
      <c r="C258" s="55" t="s">
        <v>10103</v>
      </c>
      <c r="D258" s="56">
        <v>0</v>
      </c>
      <c r="E258" s="56">
        <v>0</v>
      </c>
      <c r="F258" s="56">
        <v>0</v>
      </c>
      <c r="G258" s="56">
        <v>0</v>
      </c>
      <c r="H258" s="56">
        <v>0</v>
      </c>
      <c r="I258" s="56">
        <v>5080</v>
      </c>
      <c r="J258" s="56">
        <v>5029</v>
      </c>
      <c r="K258" s="56">
        <v>5118</v>
      </c>
      <c r="L258" s="56">
        <v>5120</v>
      </c>
      <c r="M258" s="56">
        <v>5155</v>
      </c>
      <c r="N258" s="56">
        <v>5271</v>
      </c>
      <c r="O258" s="56">
        <v>5384</v>
      </c>
      <c r="P258" s="410"/>
      <c r="Q258" s="540" t="s">
        <v>913</v>
      </c>
    </row>
    <row r="259" spans="1:17">
      <c r="A259" s="547">
        <v>7</v>
      </c>
      <c r="B259" s="540" t="s">
        <v>52</v>
      </c>
      <c r="C259" s="55" t="s">
        <v>10104</v>
      </c>
      <c r="D259" s="56">
        <v>0</v>
      </c>
      <c r="E259" s="56">
        <v>0</v>
      </c>
      <c r="F259" s="56">
        <v>0</v>
      </c>
      <c r="G259" s="56">
        <v>0</v>
      </c>
      <c r="H259" s="56">
        <v>0</v>
      </c>
      <c r="I259" s="56">
        <v>3743</v>
      </c>
      <c r="J259" s="56">
        <v>3657</v>
      </c>
      <c r="K259" s="56">
        <v>3793</v>
      </c>
      <c r="L259" s="56">
        <v>3772</v>
      </c>
      <c r="M259" s="56">
        <v>3766</v>
      </c>
      <c r="N259" s="56">
        <v>3800</v>
      </c>
      <c r="O259" s="56">
        <v>3873</v>
      </c>
      <c r="P259" s="410"/>
      <c r="Q259" s="540" t="s">
        <v>913</v>
      </c>
    </row>
    <row r="260" spans="1:17">
      <c r="A260" s="547">
        <v>8</v>
      </c>
      <c r="B260" s="540" t="s">
        <v>53</v>
      </c>
      <c r="C260" s="55" t="s">
        <v>10105</v>
      </c>
      <c r="D260" s="56">
        <v>0</v>
      </c>
      <c r="E260" s="56">
        <v>0</v>
      </c>
      <c r="F260" s="56">
        <v>0</v>
      </c>
      <c r="G260" s="56">
        <v>0</v>
      </c>
      <c r="H260" s="56">
        <v>0</v>
      </c>
      <c r="I260" s="56">
        <v>2174</v>
      </c>
      <c r="J260" s="56">
        <v>2182</v>
      </c>
      <c r="K260" s="56">
        <v>2224</v>
      </c>
      <c r="L260" s="56">
        <v>2167</v>
      </c>
      <c r="M260" s="56">
        <v>2099</v>
      </c>
      <c r="N260" s="56">
        <v>2143</v>
      </c>
      <c r="O260" s="56">
        <v>2161</v>
      </c>
      <c r="P260" s="410"/>
      <c r="Q260" s="540" t="s">
        <v>913</v>
      </c>
    </row>
    <row r="261" spans="1:17">
      <c r="A261" s="547">
        <v>9</v>
      </c>
      <c r="B261" s="540" t="s">
        <v>9985</v>
      </c>
      <c r="C261" s="55" t="s">
        <v>10106</v>
      </c>
      <c r="D261" s="56">
        <v>0</v>
      </c>
      <c r="E261" s="56">
        <v>0</v>
      </c>
      <c r="F261" s="56">
        <v>0</v>
      </c>
      <c r="G261" s="56">
        <v>0</v>
      </c>
      <c r="H261" s="56">
        <v>0</v>
      </c>
      <c r="I261" s="56">
        <v>2128</v>
      </c>
      <c r="J261" s="56">
        <v>2189</v>
      </c>
      <c r="K261" s="56">
        <v>2177</v>
      </c>
      <c r="L261" s="56">
        <v>2189</v>
      </c>
      <c r="M261" s="56">
        <v>2174</v>
      </c>
      <c r="N261" s="56">
        <v>2219</v>
      </c>
      <c r="O261" s="56">
        <v>2250</v>
      </c>
      <c r="P261" s="410"/>
      <c r="Q261" s="540" t="s">
        <v>913</v>
      </c>
    </row>
    <row r="262" spans="1:17">
      <c r="A262" s="547">
        <v>10</v>
      </c>
      <c r="B262" s="540" t="s">
        <v>5029</v>
      </c>
      <c r="C262" s="55" t="s">
        <v>10107</v>
      </c>
      <c r="D262" s="56">
        <v>0</v>
      </c>
      <c r="E262" s="56">
        <v>0</v>
      </c>
      <c r="F262" s="56">
        <v>0</v>
      </c>
      <c r="G262" s="56">
        <v>0</v>
      </c>
      <c r="H262" s="56">
        <v>0</v>
      </c>
      <c r="I262" s="56">
        <v>1783</v>
      </c>
      <c r="J262" s="56">
        <v>1813</v>
      </c>
      <c r="K262" s="56">
        <v>1792</v>
      </c>
      <c r="L262" s="56">
        <v>1790</v>
      </c>
      <c r="M262" s="56">
        <v>1791</v>
      </c>
      <c r="N262" s="56">
        <v>1825</v>
      </c>
      <c r="O262" s="56">
        <v>1833</v>
      </c>
      <c r="P262" s="410"/>
      <c r="Q262" s="540" t="s">
        <v>913</v>
      </c>
    </row>
    <row r="263" spans="1:17">
      <c r="A263" s="547">
        <v>11</v>
      </c>
      <c r="B263" s="540" t="s">
        <v>54</v>
      </c>
      <c r="C263" s="55" t="s">
        <v>10108</v>
      </c>
      <c r="D263" s="56">
        <v>0</v>
      </c>
      <c r="E263" s="56">
        <v>0</v>
      </c>
      <c r="F263" s="56">
        <v>0</v>
      </c>
      <c r="G263" s="56">
        <v>0</v>
      </c>
      <c r="H263" s="56">
        <v>0</v>
      </c>
      <c r="I263" s="56">
        <v>6707</v>
      </c>
      <c r="J263" s="56">
        <v>6776</v>
      </c>
      <c r="K263" s="56">
        <v>6756</v>
      </c>
      <c r="L263" s="56">
        <v>6771</v>
      </c>
      <c r="M263" s="56">
        <v>6665</v>
      </c>
      <c r="N263" s="56">
        <v>6799</v>
      </c>
      <c r="O263" s="56">
        <v>6893</v>
      </c>
      <c r="P263" s="410"/>
      <c r="Q263" s="540" t="s">
        <v>913</v>
      </c>
    </row>
    <row r="264" spans="1:17">
      <c r="A264" s="547">
        <v>12</v>
      </c>
      <c r="B264" s="540" t="s">
        <v>55</v>
      </c>
      <c r="C264" s="55" t="s">
        <v>10109</v>
      </c>
      <c r="D264" s="56">
        <v>0</v>
      </c>
      <c r="E264" s="56">
        <v>0</v>
      </c>
      <c r="F264" s="56">
        <v>0</v>
      </c>
      <c r="G264" s="56">
        <v>0</v>
      </c>
      <c r="H264" s="56">
        <v>0</v>
      </c>
      <c r="I264" s="56">
        <v>3230</v>
      </c>
      <c r="J264" s="56">
        <v>3314</v>
      </c>
      <c r="K264" s="56">
        <v>3350</v>
      </c>
      <c r="L264" s="56">
        <v>3392</v>
      </c>
      <c r="M264" s="56">
        <v>3359</v>
      </c>
      <c r="N264" s="56">
        <v>3505</v>
      </c>
      <c r="O264" s="56">
        <v>3564</v>
      </c>
      <c r="P264" s="410"/>
      <c r="Q264" s="540" t="s">
        <v>913</v>
      </c>
    </row>
    <row r="265" spans="1:17">
      <c r="A265" s="547">
        <v>13</v>
      </c>
      <c r="B265" s="540" t="s">
        <v>56</v>
      </c>
      <c r="C265" s="55" t="s">
        <v>10110</v>
      </c>
      <c r="D265" s="56">
        <v>0</v>
      </c>
      <c r="E265" s="56">
        <v>0</v>
      </c>
      <c r="F265" s="56">
        <v>0</v>
      </c>
      <c r="G265" s="56">
        <v>0</v>
      </c>
      <c r="H265" s="56">
        <v>0</v>
      </c>
      <c r="I265" s="56">
        <v>4298</v>
      </c>
      <c r="J265" s="56">
        <v>4398</v>
      </c>
      <c r="K265" s="56">
        <v>4494</v>
      </c>
      <c r="L265" s="56">
        <v>4506</v>
      </c>
      <c r="M265" s="56">
        <v>4484</v>
      </c>
      <c r="N265" s="56">
        <v>4547</v>
      </c>
      <c r="O265" s="56">
        <v>4615</v>
      </c>
      <c r="P265" s="410"/>
      <c r="Q265" s="540" t="s">
        <v>913</v>
      </c>
    </row>
    <row r="266" spans="1:17">
      <c r="A266" s="547">
        <v>14</v>
      </c>
      <c r="B266" s="540" t="s">
        <v>902</v>
      </c>
      <c r="C266" s="55" t="s">
        <v>10111</v>
      </c>
      <c r="D266" s="56">
        <v>0</v>
      </c>
      <c r="E266" s="56">
        <v>0</v>
      </c>
      <c r="F266" s="56">
        <v>0</v>
      </c>
      <c r="G266" s="56">
        <v>0</v>
      </c>
      <c r="H266" s="56">
        <v>0</v>
      </c>
      <c r="I266" s="56">
        <v>2125</v>
      </c>
      <c r="J266" s="56">
        <v>2132</v>
      </c>
      <c r="K266" s="56">
        <v>2136</v>
      </c>
      <c r="L266" s="56">
        <v>2088</v>
      </c>
      <c r="M266" s="56">
        <v>2052</v>
      </c>
      <c r="N266" s="56">
        <v>2146</v>
      </c>
      <c r="O266" s="56">
        <v>2183</v>
      </c>
      <c r="P266" s="410"/>
      <c r="Q266" s="540" t="s">
        <v>913</v>
      </c>
    </row>
    <row r="267" spans="1:17">
      <c r="A267" s="547">
        <v>15</v>
      </c>
      <c r="B267" s="540" t="s">
        <v>9986</v>
      </c>
      <c r="C267" s="55" t="s">
        <v>10112</v>
      </c>
      <c r="D267" s="56">
        <v>0</v>
      </c>
      <c r="E267" s="56">
        <v>0</v>
      </c>
      <c r="F267" s="56">
        <v>0</v>
      </c>
      <c r="G267" s="56">
        <v>0</v>
      </c>
      <c r="H267" s="56">
        <v>0</v>
      </c>
      <c r="I267" s="56">
        <v>6070</v>
      </c>
      <c r="J267" s="56">
        <v>6098</v>
      </c>
      <c r="K267" s="56">
        <v>6097</v>
      </c>
      <c r="L267" s="56">
        <v>6119</v>
      </c>
      <c r="M267" s="56">
        <v>6081</v>
      </c>
      <c r="N267" s="56">
        <v>6177</v>
      </c>
      <c r="O267" s="56">
        <v>6231</v>
      </c>
      <c r="P267" s="410"/>
      <c r="Q267" s="540" t="s">
        <v>913</v>
      </c>
    </row>
    <row r="268" spans="1:17">
      <c r="A268" s="547">
        <v>16</v>
      </c>
      <c r="B268" s="540" t="s">
        <v>1613</v>
      </c>
      <c r="C268" s="55" t="s">
        <v>10113</v>
      </c>
      <c r="D268" s="58">
        <v>0</v>
      </c>
      <c r="E268" s="58">
        <v>0</v>
      </c>
      <c r="F268" s="58">
        <v>0</v>
      </c>
      <c r="G268" s="58">
        <v>0</v>
      </c>
      <c r="H268" s="58">
        <v>0</v>
      </c>
      <c r="I268" s="58">
        <v>1940</v>
      </c>
      <c r="J268" s="58">
        <v>1963</v>
      </c>
      <c r="K268" s="58">
        <v>1959</v>
      </c>
      <c r="L268" s="58">
        <v>1968</v>
      </c>
      <c r="M268" s="58">
        <v>1948</v>
      </c>
      <c r="N268" s="58">
        <v>1957</v>
      </c>
      <c r="O268" s="58">
        <v>1993</v>
      </c>
      <c r="P268" s="410"/>
      <c r="Q268" s="540" t="s">
        <v>913</v>
      </c>
    </row>
    <row r="269" spans="1:17">
      <c r="A269" s="547">
        <v>17</v>
      </c>
      <c r="B269" s="540" t="s">
        <v>1614</v>
      </c>
      <c r="C269" s="55" t="s">
        <v>10114</v>
      </c>
      <c r="D269" s="58">
        <v>0</v>
      </c>
      <c r="E269" s="58">
        <v>0</v>
      </c>
      <c r="F269" s="58">
        <v>0</v>
      </c>
      <c r="G269" s="58">
        <v>0</v>
      </c>
      <c r="H269" s="58">
        <v>0</v>
      </c>
      <c r="I269" s="58">
        <v>2125</v>
      </c>
      <c r="J269" s="58">
        <v>2150</v>
      </c>
      <c r="K269" s="58">
        <v>2097</v>
      </c>
      <c r="L269" s="58">
        <v>2112</v>
      </c>
      <c r="M269" s="58">
        <v>2104</v>
      </c>
      <c r="N269" s="58">
        <v>2131</v>
      </c>
      <c r="O269" s="58">
        <v>2152</v>
      </c>
      <c r="P269" s="410"/>
      <c r="Q269" s="540" t="s">
        <v>913</v>
      </c>
    </row>
    <row r="270" spans="1:17">
      <c r="A270" s="547">
        <v>18</v>
      </c>
      <c r="B270" s="540" t="s">
        <v>2397</v>
      </c>
      <c r="C270" s="55" t="s">
        <v>10115</v>
      </c>
      <c r="D270" s="58">
        <v>0</v>
      </c>
      <c r="E270" s="58">
        <v>0</v>
      </c>
      <c r="F270" s="58">
        <v>0</v>
      </c>
      <c r="G270" s="58">
        <v>0</v>
      </c>
      <c r="H270" s="58">
        <v>0</v>
      </c>
      <c r="I270" s="58">
        <v>2348</v>
      </c>
      <c r="J270" s="58">
        <v>2372</v>
      </c>
      <c r="K270" s="58">
        <v>2394</v>
      </c>
      <c r="L270" s="58">
        <v>2408</v>
      </c>
      <c r="M270" s="58">
        <v>2396</v>
      </c>
      <c r="N270" s="58">
        <v>2444</v>
      </c>
      <c r="O270" s="58">
        <v>2455</v>
      </c>
      <c r="P270" s="410"/>
      <c r="Q270" s="540" t="s">
        <v>913</v>
      </c>
    </row>
    <row r="271" spans="1:17">
      <c r="A271" s="547">
        <v>19</v>
      </c>
      <c r="B271" s="540" t="s">
        <v>2398</v>
      </c>
      <c r="C271" s="55" t="s">
        <v>10116</v>
      </c>
      <c r="D271" s="58">
        <v>0</v>
      </c>
      <c r="E271" s="58">
        <v>0</v>
      </c>
      <c r="F271" s="58">
        <v>0</v>
      </c>
      <c r="G271" s="58">
        <v>0</v>
      </c>
      <c r="H271" s="58">
        <v>0</v>
      </c>
      <c r="I271" s="58">
        <v>1982</v>
      </c>
      <c r="J271" s="58">
        <v>2002</v>
      </c>
      <c r="K271" s="58">
        <v>1984</v>
      </c>
      <c r="L271" s="58">
        <v>1987</v>
      </c>
      <c r="M271" s="58">
        <v>1968</v>
      </c>
      <c r="N271" s="58">
        <v>2031</v>
      </c>
      <c r="O271" s="58">
        <v>2054</v>
      </c>
      <c r="P271" s="410"/>
      <c r="Q271" s="540" t="s">
        <v>913</v>
      </c>
    </row>
    <row r="272" spans="1:17">
      <c r="A272" s="547">
        <v>20</v>
      </c>
      <c r="B272" s="540" t="s">
        <v>2399</v>
      </c>
      <c r="C272" s="55" t="s">
        <v>10117</v>
      </c>
      <c r="D272" s="58">
        <v>0</v>
      </c>
      <c r="E272" s="58">
        <v>0</v>
      </c>
      <c r="F272" s="58">
        <v>0</v>
      </c>
      <c r="G272" s="58">
        <v>0</v>
      </c>
      <c r="H272" s="58">
        <v>0</v>
      </c>
      <c r="I272" s="58">
        <v>2093</v>
      </c>
      <c r="J272" s="58">
        <v>2089</v>
      </c>
      <c r="K272" s="58">
        <v>2106</v>
      </c>
      <c r="L272" s="58">
        <v>2092</v>
      </c>
      <c r="M272" s="58">
        <v>2077</v>
      </c>
      <c r="N272" s="58">
        <v>2080</v>
      </c>
      <c r="O272" s="58">
        <v>2093</v>
      </c>
      <c r="P272" s="410"/>
      <c r="Q272" s="540" t="s">
        <v>913</v>
      </c>
    </row>
    <row r="273" spans="1:17">
      <c r="A273" s="410"/>
      <c r="B273" s="410"/>
      <c r="C273" s="410"/>
      <c r="D273" s="543"/>
      <c r="E273" s="543"/>
      <c r="F273" s="543"/>
      <c r="G273" s="543"/>
      <c r="H273" s="543"/>
      <c r="I273" s="543"/>
      <c r="J273" s="543"/>
      <c r="K273" s="543"/>
      <c r="L273" s="543"/>
      <c r="M273" s="543"/>
      <c r="N273" s="543"/>
      <c r="O273" s="543"/>
      <c r="P273" s="410"/>
      <c r="Q273" s="410"/>
    </row>
    <row r="274" spans="1:17">
      <c r="A274" s="540" t="s">
        <v>3037</v>
      </c>
      <c r="D274" s="542">
        <f t="shared" ref="D274:L274" si="86">SUM(D253:D272)</f>
        <v>71024</v>
      </c>
      <c r="E274" s="542">
        <f t="shared" si="86"/>
        <v>71945</v>
      </c>
      <c r="F274" s="542">
        <f t="shared" si="86"/>
        <v>72234</v>
      </c>
      <c r="G274" s="542">
        <f t="shared" si="86"/>
        <v>72776</v>
      </c>
      <c r="H274" s="542">
        <f t="shared" si="86"/>
        <v>73315</v>
      </c>
      <c r="I274" s="542">
        <f t="shared" si="86"/>
        <v>71827</v>
      </c>
      <c r="J274" s="542">
        <f t="shared" si="86"/>
        <v>72401</v>
      </c>
      <c r="K274" s="542">
        <f t="shared" si="86"/>
        <v>72884</v>
      </c>
      <c r="L274" s="542">
        <f t="shared" si="86"/>
        <v>72939</v>
      </c>
      <c r="M274" s="542">
        <f>SUM(M253:M272)</f>
        <v>72399</v>
      </c>
      <c r="N274" s="542">
        <f>SUM(N253:N272)</f>
        <v>73789</v>
      </c>
      <c r="O274" s="542">
        <f>SUM(O253:O272)</f>
        <v>74750</v>
      </c>
      <c r="P274" s="410"/>
      <c r="Q274" s="410"/>
    </row>
    <row r="275" spans="1:17">
      <c r="A275" s="410"/>
      <c r="B275" s="410"/>
      <c r="D275" s="410"/>
      <c r="E275" s="410"/>
      <c r="F275" s="410"/>
      <c r="G275" s="410"/>
      <c r="H275" s="410"/>
      <c r="I275" s="410"/>
      <c r="J275" s="410"/>
      <c r="K275" s="410"/>
      <c r="L275" s="410"/>
      <c r="M275" s="410"/>
      <c r="N275" s="410"/>
      <c r="O275" s="410"/>
      <c r="P275" s="410"/>
      <c r="Q275" s="410"/>
    </row>
    <row r="276" spans="1:17">
      <c r="A276" s="410" t="s">
        <v>9987</v>
      </c>
      <c r="B276" s="410"/>
      <c r="D276" s="410"/>
      <c r="E276" s="410"/>
      <c r="F276" s="410"/>
      <c r="G276" s="410"/>
      <c r="H276" s="410"/>
      <c r="I276" s="410"/>
      <c r="J276" s="410"/>
      <c r="K276" s="410"/>
      <c r="L276" s="410"/>
      <c r="M276" s="410"/>
      <c r="N276" s="410"/>
      <c r="O276" s="410"/>
      <c r="P276" s="410"/>
      <c r="Q276" s="410"/>
    </row>
    <row r="277" spans="1:17">
      <c r="A277" s="410"/>
      <c r="B277" s="410"/>
      <c r="D277" s="410"/>
      <c r="E277" s="410"/>
      <c r="F277" s="410"/>
      <c r="G277" s="410"/>
      <c r="H277" s="410"/>
      <c r="I277" s="410"/>
      <c r="J277" s="410"/>
      <c r="K277" s="410"/>
      <c r="L277" s="410"/>
      <c r="M277" s="410"/>
      <c r="N277" s="410"/>
      <c r="O277" s="410"/>
      <c r="P277" s="410"/>
      <c r="Q277" s="410"/>
    </row>
    <row r="278" spans="1:17">
      <c r="A278" s="410"/>
      <c r="B278" s="410"/>
      <c r="D278" s="410"/>
      <c r="E278" s="410"/>
      <c r="F278" s="410"/>
      <c r="G278" s="410"/>
      <c r="H278" s="410"/>
      <c r="I278" s="410"/>
      <c r="J278" s="410"/>
      <c r="K278" s="410"/>
      <c r="L278" s="410"/>
      <c r="M278" s="410"/>
      <c r="N278" s="410"/>
      <c r="O278" s="410"/>
      <c r="P278" s="410"/>
      <c r="Q278" s="410"/>
    </row>
    <row r="279" spans="1:17">
      <c r="A279" s="410"/>
      <c r="B279" s="410"/>
      <c r="D279" s="410"/>
      <c r="E279" s="410"/>
      <c r="F279" s="410"/>
      <c r="G279" s="410"/>
      <c r="H279" s="410"/>
      <c r="I279" s="410"/>
      <c r="J279" s="410"/>
      <c r="K279" s="410"/>
      <c r="L279" s="410"/>
      <c r="M279" s="410"/>
      <c r="N279" s="410"/>
      <c r="O279" s="410"/>
      <c r="P279" s="410"/>
      <c r="Q279" s="410"/>
    </row>
    <row r="280" spans="1:17">
      <c r="A280" s="410"/>
      <c r="B280" s="410"/>
      <c r="D280" s="410"/>
      <c r="E280" s="410"/>
      <c r="F280" s="410"/>
      <c r="G280" s="410"/>
      <c r="H280" s="410"/>
      <c r="I280" s="410"/>
      <c r="J280" s="410"/>
      <c r="K280" s="410"/>
      <c r="L280" s="410"/>
      <c r="M280" s="410"/>
      <c r="N280" s="410"/>
      <c r="O280" s="410"/>
      <c r="P280" s="410"/>
      <c r="Q280" s="410"/>
    </row>
    <row r="281" spans="1:17">
      <c r="A281" s="410"/>
      <c r="B281" s="410"/>
      <c r="D281" s="410"/>
      <c r="E281" s="410"/>
      <c r="F281" s="410"/>
      <c r="G281" s="410"/>
      <c r="H281" s="410"/>
      <c r="I281" s="410"/>
      <c r="J281" s="410"/>
      <c r="K281" s="410"/>
      <c r="L281" s="410"/>
      <c r="M281" s="410"/>
      <c r="N281" s="410"/>
      <c r="O281" s="410"/>
      <c r="P281" s="410"/>
      <c r="Q281" s="410"/>
    </row>
    <row r="282" spans="1:17">
      <c r="A282" s="410"/>
      <c r="B282" s="410"/>
      <c r="D282" s="410"/>
      <c r="E282" s="410"/>
      <c r="F282" s="410"/>
      <c r="G282" s="410"/>
      <c r="H282" s="410"/>
      <c r="I282" s="410"/>
      <c r="J282" s="410"/>
      <c r="K282" s="410"/>
      <c r="L282" s="410"/>
      <c r="M282" s="410"/>
      <c r="N282" s="410"/>
      <c r="O282" s="410"/>
      <c r="P282" s="410"/>
      <c r="Q282" s="410"/>
    </row>
    <row r="283" spans="1:17">
      <c r="A283" s="410"/>
      <c r="B283" s="410"/>
      <c r="D283" s="410"/>
      <c r="E283" s="410"/>
      <c r="F283" s="410"/>
      <c r="G283" s="410"/>
      <c r="H283" s="410"/>
      <c r="I283" s="410"/>
      <c r="J283" s="410"/>
      <c r="K283" s="410"/>
      <c r="L283" s="410"/>
      <c r="M283" s="410"/>
      <c r="N283" s="410"/>
      <c r="O283" s="410"/>
      <c r="P283" s="410"/>
      <c r="Q283" s="410"/>
    </row>
    <row r="284" spans="1:17">
      <c r="A284" s="410"/>
      <c r="B284" s="410"/>
      <c r="D284" s="410"/>
      <c r="E284" s="410"/>
      <c r="F284" s="410"/>
      <c r="G284" s="410"/>
      <c r="H284" s="410"/>
      <c r="I284" s="410"/>
      <c r="J284" s="410"/>
      <c r="K284" s="410"/>
      <c r="L284" s="410"/>
      <c r="M284" s="410"/>
      <c r="N284" s="410"/>
      <c r="O284" s="410"/>
      <c r="P284" s="410"/>
      <c r="Q284" s="410"/>
    </row>
    <row r="285" spans="1:17">
      <c r="A285" s="410"/>
      <c r="B285" s="410"/>
      <c r="D285" s="410"/>
      <c r="E285" s="410"/>
      <c r="F285" s="410"/>
      <c r="G285" s="410"/>
      <c r="H285" s="410"/>
      <c r="I285" s="410"/>
      <c r="J285" s="410"/>
      <c r="K285" s="410"/>
      <c r="L285" s="410"/>
      <c r="M285" s="410"/>
      <c r="N285" s="410"/>
      <c r="O285" s="410"/>
      <c r="P285" s="410"/>
      <c r="Q285" s="410"/>
    </row>
    <row r="286" spans="1:17">
      <c r="A286" s="410"/>
      <c r="B286" s="410"/>
      <c r="D286" s="410"/>
      <c r="E286" s="410"/>
      <c r="F286" s="410"/>
      <c r="G286" s="410"/>
      <c r="H286" s="410"/>
      <c r="I286" s="410"/>
      <c r="J286" s="410"/>
      <c r="K286" s="410"/>
      <c r="L286" s="410"/>
      <c r="M286" s="410"/>
      <c r="N286" s="410"/>
      <c r="O286" s="410"/>
      <c r="P286" s="410"/>
      <c r="Q286" s="410"/>
    </row>
    <row r="287" spans="1:17">
      <c r="A287" s="410"/>
      <c r="B287" s="410"/>
      <c r="D287" s="410"/>
      <c r="E287" s="410"/>
      <c r="F287" s="410"/>
      <c r="G287" s="410"/>
      <c r="H287" s="410"/>
      <c r="I287" s="410"/>
      <c r="J287" s="410"/>
      <c r="K287" s="410"/>
      <c r="L287" s="410"/>
      <c r="M287" s="410"/>
      <c r="N287" s="410"/>
      <c r="O287" s="410"/>
      <c r="P287" s="410"/>
      <c r="Q287" s="410"/>
    </row>
    <row r="288" spans="1:17">
      <c r="A288" s="410"/>
      <c r="B288" s="410"/>
      <c r="D288" s="410"/>
      <c r="E288" s="410"/>
      <c r="F288" s="410"/>
      <c r="G288" s="410"/>
      <c r="H288" s="410"/>
      <c r="I288" s="410"/>
      <c r="J288" s="410"/>
      <c r="K288" s="410"/>
      <c r="L288" s="410"/>
      <c r="M288" s="410"/>
      <c r="N288" s="410"/>
      <c r="O288" s="410"/>
      <c r="P288" s="410"/>
      <c r="Q288" s="410"/>
    </row>
    <row r="289" spans="1:17">
      <c r="A289" s="410"/>
      <c r="B289" s="410"/>
      <c r="D289" s="410"/>
      <c r="E289" s="410"/>
      <c r="F289" s="410"/>
      <c r="G289" s="410"/>
      <c r="H289" s="410"/>
      <c r="I289" s="410"/>
      <c r="J289" s="410"/>
      <c r="K289" s="410"/>
      <c r="L289" s="410"/>
      <c r="M289" s="410"/>
      <c r="N289" s="410"/>
      <c r="O289" s="410"/>
      <c r="P289" s="410"/>
      <c r="Q289" s="410"/>
    </row>
    <row r="290" spans="1:17">
      <c r="A290" s="410"/>
      <c r="B290" s="410"/>
      <c r="D290" s="410"/>
      <c r="E290" s="410"/>
      <c r="F290" s="410"/>
      <c r="G290" s="410"/>
      <c r="H290" s="410"/>
      <c r="I290" s="410"/>
      <c r="J290" s="410"/>
      <c r="K290" s="410"/>
      <c r="L290" s="410"/>
      <c r="M290" s="410"/>
      <c r="N290" s="410"/>
      <c r="O290" s="410"/>
      <c r="P290" s="410"/>
      <c r="Q290" s="410"/>
    </row>
    <row r="291" spans="1:17">
      <c r="A291" s="410"/>
      <c r="B291" s="410"/>
      <c r="D291" s="410"/>
      <c r="E291" s="410"/>
      <c r="F291" s="410"/>
      <c r="G291" s="410"/>
      <c r="H291" s="410"/>
      <c r="I291" s="410"/>
      <c r="J291" s="410"/>
      <c r="K291" s="410"/>
      <c r="L291" s="410"/>
      <c r="M291" s="410"/>
      <c r="N291" s="410"/>
      <c r="O291" s="410"/>
      <c r="P291" s="410"/>
      <c r="Q291" s="410"/>
    </row>
    <row r="292" spans="1:17">
      <c r="A292" s="410"/>
      <c r="B292" s="410"/>
      <c r="D292" s="410"/>
      <c r="E292" s="410"/>
      <c r="F292" s="410"/>
      <c r="G292" s="410"/>
      <c r="H292" s="410"/>
      <c r="I292" s="410"/>
      <c r="J292" s="410"/>
      <c r="K292" s="410"/>
      <c r="L292" s="410"/>
      <c r="M292" s="410"/>
      <c r="N292" s="410"/>
      <c r="O292" s="410"/>
      <c r="P292" s="410"/>
      <c r="Q292" s="410"/>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48:K48 D65:K65 D135:K135 D122:K122 D169 D3:D12 D252:K252 D274:K274 D178:K178 D198:K198 E143:E146 E169 E3:E12 F169 F3:F12 G169 G3:G12 D13 E13 F13 G13 D14:D43 E14:E43 F14:F43 G14:G43 H169 H3:H12 H13:H43 I169 D85:K85 D72:K72 D113:I114 I3:I43 D210:K210 D221:K221 D228:K228 D245:I245 D205:K205 D244:I244 D243:I243 J113:J114 J169 J243:J245 J3:J43 K113:K114 K243:K245 K3:K43 L3:L94 L147:L167 L169 L172:L274 L143:L146 L102:L114 L119:L141" unlocked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dimension ref="A1:Q217"/>
  <sheetViews>
    <sheetView showGridLines="0" topLeftCell="A187" zoomScale="90" zoomScaleNormal="90" workbookViewId="0">
      <selection activeCell="L80" sqref="L80"/>
    </sheetView>
  </sheetViews>
  <sheetFormatPr defaultColWidth="12.5703125" defaultRowHeight="15"/>
  <cols>
    <col min="1" max="1" width="4.85546875" style="140" customWidth="1"/>
    <col min="2" max="2" width="36" style="140" customWidth="1"/>
    <col min="3" max="3" width="11.5703125" style="140" customWidth="1"/>
    <col min="4" max="15" width="10" style="140" customWidth="1"/>
    <col min="16" max="16" width="2.28515625" style="140" customWidth="1"/>
    <col min="17" max="17" width="39.5703125" style="140" customWidth="1"/>
    <col min="18" max="16384" width="12.5703125" style="140"/>
  </cols>
  <sheetData>
    <row r="1" spans="1:17">
      <c r="A1" s="523" t="s">
        <v>6924</v>
      </c>
      <c r="D1" s="524">
        <v>2010</v>
      </c>
      <c r="E1" s="524">
        <v>2011</v>
      </c>
      <c r="F1" s="524">
        <v>2012</v>
      </c>
      <c r="G1" s="524">
        <v>2013</v>
      </c>
      <c r="H1" s="524">
        <v>2014</v>
      </c>
      <c r="I1" s="524">
        <v>2015</v>
      </c>
      <c r="J1" s="524">
        <v>2016</v>
      </c>
      <c r="K1" s="524">
        <v>2017</v>
      </c>
      <c r="L1" s="524">
        <v>2018</v>
      </c>
      <c r="M1" s="524">
        <v>2019</v>
      </c>
      <c r="N1" s="524">
        <v>2020</v>
      </c>
      <c r="O1" s="957" t="s">
        <v>14823</v>
      </c>
    </row>
    <row r="3" spans="1:17">
      <c r="A3" s="523" t="s">
        <v>5105</v>
      </c>
      <c r="D3" s="525">
        <f t="shared" ref="D3:I3" si="0">SUM(D5:D9)</f>
        <v>1014398</v>
      </c>
      <c r="E3" s="525">
        <f t="shared" si="0"/>
        <v>1010822</v>
      </c>
      <c r="F3" s="525">
        <f t="shared" si="0"/>
        <v>1008921</v>
      </c>
      <c r="G3" s="525">
        <f t="shared" si="0"/>
        <v>1008939</v>
      </c>
      <c r="H3" s="525">
        <f t="shared" si="0"/>
        <v>1009128</v>
      </c>
      <c r="I3" s="525">
        <f t="shared" si="0"/>
        <v>978073</v>
      </c>
      <c r="J3" s="525">
        <f t="shared" ref="J3:O3" si="1">SUM(J5:J9)</f>
        <v>978417</v>
      </c>
      <c r="K3" s="525">
        <f t="shared" si="1"/>
        <v>1006300</v>
      </c>
      <c r="L3" s="525">
        <f t="shared" si="1"/>
        <v>1018857</v>
      </c>
      <c r="M3" s="525">
        <f t="shared" si="1"/>
        <v>1009612</v>
      </c>
      <c r="N3" s="525">
        <f t="shared" si="1"/>
        <v>1051720</v>
      </c>
      <c r="O3" s="525">
        <f t="shared" si="1"/>
        <v>1049947</v>
      </c>
    </row>
    <row r="4" spans="1:17">
      <c r="D4" s="526"/>
      <c r="E4" s="526"/>
      <c r="F4" s="526"/>
      <c r="G4" s="526"/>
      <c r="H4" s="526"/>
      <c r="I4" s="526"/>
      <c r="J4" s="526"/>
      <c r="K4" s="526"/>
      <c r="L4" s="526"/>
      <c r="M4" s="526"/>
      <c r="N4" s="526"/>
      <c r="O4" s="526"/>
      <c r="Q4" s="527"/>
    </row>
    <row r="5" spans="1:17">
      <c r="A5" s="523" t="s">
        <v>4206</v>
      </c>
      <c r="C5" s="523"/>
      <c r="D5" s="525">
        <f t="shared" ref="D5:I5" si="2">D56</f>
        <v>111228</v>
      </c>
      <c r="E5" s="525">
        <f t="shared" si="2"/>
        <v>111388</v>
      </c>
      <c r="F5" s="525">
        <f t="shared" si="2"/>
        <v>111832</v>
      </c>
      <c r="G5" s="525">
        <f t="shared" si="2"/>
        <v>112616</v>
      </c>
      <c r="H5" s="525">
        <f t="shared" si="2"/>
        <v>112265</v>
      </c>
      <c r="I5" s="525">
        <f t="shared" si="2"/>
        <v>110513</v>
      </c>
      <c r="J5" s="525">
        <f t="shared" ref="J5:O5" si="3">J56</f>
        <v>109974</v>
      </c>
      <c r="K5" s="525">
        <f t="shared" si="3"/>
        <v>114004</v>
      </c>
      <c r="L5" s="525">
        <f t="shared" si="3"/>
        <v>115305</v>
      </c>
      <c r="M5" s="525">
        <f t="shared" si="3"/>
        <v>115954</v>
      </c>
      <c r="N5" s="525">
        <f t="shared" si="3"/>
        <v>118654</v>
      </c>
      <c r="O5" s="525">
        <f t="shared" si="3"/>
        <v>118646</v>
      </c>
      <c r="Q5" s="528"/>
    </row>
    <row r="6" spans="1:17">
      <c r="A6" s="523" t="s">
        <v>2775</v>
      </c>
      <c r="C6" s="523"/>
      <c r="D6" s="525">
        <f t="shared" ref="D6:I6" si="4">D86</f>
        <v>317103</v>
      </c>
      <c r="E6" s="525">
        <f t="shared" si="4"/>
        <v>315865</v>
      </c>
      <c r="F6" s="525">
        <f t="shared" si="4"/>
        <v>316483</v>
      </c>
      <c r="G6" s="525">
        <f t="shared" si="4"/>
        <v>317585</v>
      </c>
      <c r="H6" s="525">
        <f t="shared" si="4"/>
        <v>319104</v>
      </c>
      <c r="I6" s="525">
        <f t="shared" si="4"/>
        <v>299961</v>
      </c>
      <c r="J6" s="525">
        <f t="shared" ref="J6:O6" si="5">J86</f>
        <v>303978</v>
      </c>
      <c r="K6" s="525">
        <f t="shared" si="5"/>
        <v>312360</v>
      </c>
      <c r="L6" s="525">
        <f t="shared" si="5"/>
        <v>313534</v>
      </c>
      <c r="M6" s="525">
        <f t="shared" si="5"/>
        <v>310166</v>
      </c>
      <c r="N6" s="525">
        <f t="shared" si="5"/>
        <v>333508</v>
      </c>
      <c r="O6" s="525">
        <f t="shared" si="5"/>
        <v>332091</v>
      </c>
      <c r="Q6" s="528"/>
    </row>
    <row r="7" spans="1:17">
      <c r="A7" s="523" t="s">
        <v>2776</v>
      </c>
      <c r="C7" s="523"/>
      <c r="D7" s="525">
        <f t="shared" ref="D7:I7" si="6">D129</f>
        <v>138155</v>
      </c>
      <c r="E7" s="525">
        <f t="shared" si="6"/>
        <v>137767</v>
      </c>
      <c r="F7" s="525">
        <f t="shared" si="6"/>
        <v>137983</v>
      </c>
      <c r="G7" s="525">
        <f t="shared" si="6"/>
        <v>138632</v>
      </c>
      <c r="H7" s="525">
        <f t="shared" si="6"/>
        <v>135297</v>
      </c>
      <c r="I7" s="525">
        <f t="shared" si="6"/>
        <v>134182</v>
      </c>
      <c r="J7" s="525">
        <f t="shared" ref="J7:O7" si="7">J129</f>
        <v>130576</v>
      </c>
      <c r="K7" s="525">
        <f t="shared" si="7"/>
        <v>133835</v>
      </c>
      <c r="L7" s="525">
        <f t="shared" si="7"/>
        <v>136412</v>
      </c>
      <c r="M7" s="525">
        <f t="shared" si="7"/>
        <v>135475</v>
      </c>
      <c r="N7" s="525">
        <f t="shared" si="7"/>
        <v>138254</v>
      </c>
      <c r="O7" s="525">
        <f t="shared" si="7"/>
        <v>138214</v>
      </c>
      <c r="Q7" s="528"/>
    </row>
    <row r="8" spans="1:17">
      <c r="A8" s="523" t="s">
        <v>2777</v>
      </c>
      <c r="C8" s="523"/>
      <c r="D8" s="525">
        <f t="shared" ref="D8:I8" si="8">D155</f>
        <v>207522</v>
      </c>
      <c r="E8" s="525">
        <f t="shared" si="8"/>
        <v>206323</v>
      </c>
      <c r="F8" s="525">
        <f t="shared" si="8"/>
        <v>204776</v>
      </c>
      <c r="G8" s="525">
        <f t="shared" si="8"/>
        <v>200718</v>
      </c>
      <c r="H8" s="525">
        <f t="shared" si="8"/>
        <v>203483</v>
      </c>
      <c r="I8" s="525">
        <f t="shared" si="8"/>
        <v>199765</v>
      </c>
      <c r="J8" s="525">
        <f t="shared" ref="J8:O8" si="9">J155</f>
        <v>198900</v>
      </c>
      <c r="K8" s="525">
        <f t="shared" si="9"/>
        <v>206451</v>
      </c>
      <c r="L8" s="525">
        <f t="shared" si="9"/>
        <v>212684</v>
      </c>
      <c r="M8" s="525">
        <f t="shared" si="9"/>
        <v>211003</v>
      </c>
      <c r="N8" s="525">
        <f t="shared" si="9"/>
        <v>216796</v>
      </c>
      <c r="O8" s="525">
        <f t="shared" si="9"/>
        <v>216316</v>
      </c>
      <c r="Q8" s="528"/>
    </row>
    <row r="9" spans="1:17">
      <c r="A9" s="523" t="s">
        <v>2778</v>
      </c>
      <c r="C9" s="523"/>
      <c r="D9" s="525">
        <f t="shared" ref="D9:I9" si="10">D188</f>
        <v>240390</v>
      </c>
      <c r="E9" s="525">
        <f t="shared" si="10"/>
        <v>239479</v>
      </c>
      <c r="F9" s="525">
        <f t="shared" si="10"/>
        <v>237847</v>
      </c>
      <c r="G9" s="525">
        <f t="shared" si="10"/>
        <v>239388</v>
      </c>
      <c r="H9" s="525">
        <f t="shared" si="10"/>
        <v>238979</v>
      </c>
      <c r="I9" s="525">
        <f t="shared" si="10"/>
        <v>233652</v>
      </c>
      <c r="J9" s="525">
        <f t="shared" ref="J9:O9" si="11">J188</f>
        <v>234989</v>
      </c>
      <c r="K9" s="525">
        <f t="shared" si="11"/>
        <v>239650</v>
      </c>
      <c r="L9" s="525">
        <f t="shared" si="11"/>
        <v>240922</v>
      </c>
      <c r="M9" s="525">
        <f t="shared" si="11"/>
        <v>237014</v>
      </c>
      <c r="N9" s="525">
        <f t="shared" si="11"/>
        <v>244508</v>
      </c>
      <c r="O9" s="525">
        <f t="shared" si="11"/>
        <v>244680</v>
      </c>
      <c r="Q9" s="528"/>
    </row>
    <row r="11" spans="1:17">
      <c r="A11" s="523" t="s">
        <v>532</v>
      </c>
      <c r="D11" s="525">
        <f t="shared" ref="D11:I11" si="12">D3/13</f>
        <v>78030.61538461539</v>
      </c>
      <c r="E11" s="525">
        <f t="shared" si="12"/>
        <v>77755.538461538468</v>
      </c>
      <c r="F11" s="525">
        <f t="shared" si="12"/>
        <v>77609.307692307688</v>
      </c>
      <c r="G11" s="525">
        <f t="shared" si="12"/>
        <v>77610.692307692312</v>
      </c>
      <c r="H11" s="525">
        <f t="shared" si="12"/>
        <v>77625.230769230766</v>
      </c>
      <c r="I11" s="525">
        <f t="shared" si="12"/>
        <v>75236.38461538461</v>
      </c>
      <c r="J11" s="525">
        <f t="shared" ref="J11:O11" si="13">J3/13</f>
        <v>75262.846153846156</v>
      </c>
      <c r="K11" s="525">
        <f t="shared" si="13"/>
        <v>77407.692307692312</v>
      </c>
      <c r="L11" s="525">
        <f t="shared" si="13"/>
        <v>78373.61538461539</v>
      </c>
      <c r="M11" s="525">
        <f t="shared" si="13"/>
        <v>77662.461538461532</v>
      </c>
      <c r="N11" s="525">
        <f t="shared" si="13"/>
        <v>80901.538461538468</v>
      </c>
      <c r="O11" s="525">
        <f t="shared" si="13"/>
        <v>80765.153846153844</v>
      </c>
    </row>
    <row r="12" spans="1:17">
      <c r="D12" s="526"/>
      <c r="E12" s="526"/>
      <c r="F12" s="526"/>
      <c r="G12" s="526"/>
      <c r="H12" s="526"/>
      <c r="I12" s="526"/>
      <c r="J12" s="526"/>
      <c r="K12" s="526"/>
      <c r="L12" s="526"/>
      <c r="M12" s="526"/>
      <c r="N12" s="526"/>
      <c r="O12" s="526"/>
    </row>
    <row r="13" spans="1:17">
      <c r="A13" s="523" t="s">
        <v>2779</v>
      </c>
      <c r="D13" s="525">
        <f t="shared" ref="D13:I13" si="14">D212</f>
        <v>62970</v>
      </c>
      <c r="E13" s="525">
        <f t="shared" si="14"/>
        <v>62432</v>
      </c>
      <c r="F13" s="525">
        <f t="shared" si="14"/>
        <v>61583</v>
      </c>
      <c r="G13" s="525">
        <f t="shared" si="14"/>
        <v>62399</v>
      </c>
      <c r="H13" s="525">
        <f t="shared" si="14"/>
        <v>62303</v>
      </c>
      <c r="I13" s="525">
        <f t="shared" si="14"/>
        <v>60194</v>
      </c>
      <c r="J13" s="525">
        <f t="shared" ref="J13:O13" si="15">J212</f>
        <v>60845</v>
      </c>
      <c r="K13" s="525">
        <f t="shared" si="15"/>
        <v>62434</v>
      </c>
      <c r="L13" s="525">
        <f t="shared" si="15"/>
        <v>63062</v>
      </c>
      <c r="M13" s="525">
        <f t="shared" si="15"/>
        <v>61964</v>
      </c>
      <c r="N13" s="525">
        <f t="shared" si="15"/>
        <v>64151</v>
      </c>
      <c r="O13" s="525">
        <f t="shared" si="15"/>
        <v>64278</v>
      </c>
      <c r="Q13" s="523" t="s">
        <v>2780</v>
      </c>
    </row>
    <row r="14" spans="1:17">
      <c r="D14" s="526"/>
      <c r="E14" s="526"/>
      <c r="F14" s="526"/>
      <c r="G14" s="526"/>
      <c r="H14" s="526"/>
      <c r="I14" s="526"/>
      <c r="J14" s="526"/>
      <c r="K14" s="526"/>
      <c r="L14" s="526"/>
      <c r="M14" s="526"/>
      <c r="N14" s="526"/>
      <c r="O14" s="526"/>
    </row>
    <row r="15" spans="1:17">
      <c r="A15" s="523" t="s">
        <v>2781</v>
      </c>
      <c r="D15" s="525">
        <f t="shared" ref="D15:I15" si="16">D179</f>
        <v>71995</v>
      </c>
      <c r="E15" s="525">
        <f t="shared" si="16"/>
        <v>70824</v>
      </c>
      <c r="F15" s="525">
        <f t="shared" si="16"/>
        <v>70303</v>
      </c>
      <c r="G15" s="525">
        <f t="shared" si="16"/>
        <v>68025</v>
      </c>
      <c r="H15" s="525">
        <f t="shared" si="16"/>
        <v>69457</v>
      </c>
      <c r="I15" s="525">
        <f t="shared" si="16"/>
        <v>67761</v>
      </c>
      <c r="J15" s="525">
        <f t="shared" ref="J15:O15" si="17">J179</f>
        <v>67611</v>
      </c>
      <c r="K15" s="525">
        <f t="shared" si="17"/>
        <v>70372</v>
      </c>
      <c r="L15" s="525">
        <f t="shared" si="17"/>
        <v>73285</v>
      </c>
      <c r="M15" s="525">
        <f t="shared" si="17"/>
        <v>72790</v>
      </c>
      <c r="N15" s="525">
        <f t="shared" si="17"/>
        <v>75258</v>
      </c>
      <c r="O15" s="525">
        <f t="shared" si="17"/>
        <v>75194</v>
      </c>
      <c r="Q15" s="523" t="s">
        <v>2782</v>
      </c>
    </row>
    <row r="16" spans="1:17">
      <c r="D16" s="526"/>
      <c r="E16" s="526"/>
      <c r="F16" s="526"/>
      <c r="G16" s="526"/>
      <c r="H16" s="526"/>
      <c r="I16" s="526"/>
      <c r="J16" s="526"/>
      <c r="K16" s="526"/>
      <c r="L16" s="526"/>
      <c r="M16" s="526"/>
      <c r="N16" s="526"/>
      <c r="O16" s="526"/>
    </row>
    <row r="17" spans="1:17">
      <c r="A17" s="523" t="s">
        <v>2783</v>
      </c>
      <c r="D17" s="525">
        <f t="shared" ref="D17:I17" si="18">D77</f>
        <v>15541</v>
      </c>
      <c r="E17" s="525">
        <f t="shared" si="18"/>
        <v>15521</v>
      </c>
      <c r="F17" s="525">
        <f t="shared" si="18"/>
        <v>15564</v>
      </c>
      <c r="G17" s="525">
        <f t="shared" si="18"/>
        <v>15752</v>
      </c>
      <c r="H17" s="525">
        <f t="shared" si="18"/>
        <v>15679</v>
      </c>
      <c r="I17" s="525">
        <f t="shared" si="18"/>
        <v>15618</v>
      </c>
      <c r="J17" s="525">
        <f t="shared" ref="J17:O17" si="19">J77</f>
        <v>15689</v>
      </c>
      <c r="K17" s="525">
        <f t="shared" si="19"/>
        <v>16271</v>
      </c>
      <c r="L17" s="525">
        <f t="shared" si="19"/>
        <v>16492</v>
      </c>
      <c r="M17" s="525">
        <f t="shared" si="19"/>
        <v>16504</v>
      </c>
      <c r="N17" s="525">
        <f t="shared" si="19"/>
        <v>16732</v>
      </c>
      <c r="O17" s="525">
        <f t="shared" si="19"/>
        <v>16722</v>
      </c>
      <c r="Q17" s="523" t="s">
        <v>2784</v>
      </c>
    </row>
    <row r="18" spans="1:17" ht="15.75" thickBot="1">
      <c r="D18" s="529">
        <f t="shared" ref="D18:I18" si="20">D118</f>
        <v>55805</v>
      </c>
      <c r="E18" s="529">
        <f t="shared" si="20"/>
        <v>56097</v>
      </c>
      <c r="F18" s="529">
        <f t="shared" si="20"/>
        <v>56489</v>
      </c>
      <c r="G18" s="529">
        <f t="shared" si="20"/>
        <v>56925</v>
      </c>
      <c r="H18" s="529">
        <f t="shared" si="20"/>
        <v>57269</v>
      </c>
      <c r="I18" s="529">
        <f t="shared" si="20"/>
        <v>56130</v>
      </c>
      <c r="J18" s="529">
        <f t="shared" ref="J18:O18" si="21">J118</f>
        <v>56253</v>
      </c>
      <c r="K18" s="529">
        <f t="shared" si="21"/>
        <v>57253</v>
      </c>
      <c r="L18" s="529">
        <f t="shared" si="21"/>
        <v>57940</v>
      </c>
      <c r="M18" s="529">
        <f t="shared" si="21"/>
        <v>57714</v>
      </c>
      <c r="N18" s="529">
        <f t="shared" si="21"/>
        <v>59866</v>
      </c>
      <c r="O18" s="529">
        <f t="shared" si="21"/>
        <v>59684</v>
      </c>
      <c r="Q18" s="523" t="s">
        <v>2785</v>
      </c>
    </row>
    <row r="19" spans="1:17" ht="15.75" thickBot="1">
      <c r="D19" s="529">
        <f t="shared" ref="D19:I19" si="22">D17+D18</f>
        <v>71346</v>
      </c>
      <c r="E19" s="529">
        <f t="shared" si="22"/>
        <v>71618</v>
      </c>
      <c r="F19" s="529">
        <f t="shared" si="22"/>
        <v>72053</v>
      </c>
      <c r="G19" s="529">
        <f t="shared" si="22"/>
        <v>72677</v>
      </c>
      <c r="H19" s="529">
        <f t="shared" si="22"/>
        <v>72948</v>
      </c>
      <c r="I19" s="529">
        <f t="shared" si="22"/>
        <v>71748</v>
      </c>
      <c r="J19" s="529">
        <f t="shared" ref="J19:O19" si="23">J17+J18</f>
        <v>71942</v>
      </c>
      <c r="K19" s="529">
        <f t="shared" si="23"/>
        <v>73524</v>
      </c>
      <c r="L19" s="529">
        <f t="shared" si="23"/>
        <v>74432</v>
      </c>
      <c r="M19" s="529">
        <f t="shared" si="23"/>
        <v>74218</v>
      </c>
      <c r="N19" s="529">
        <f t="shared" si="23"/>
        <v>76598</v>
      </c>
      <c r="O19" s="529">
        <f t="shared" si="23"/>
        <v>76406</v>
      </c>
    </row>
    <row r="20" spans="1:17">
      <c r="D20" s="526"/>
      <c r="E20" s="526"/>
      <c r="F20" s="526"/>
      <c r="G20" s="526"/>
      <c r="H20" s="526"/>
      <c r="I20" s="526"/>
      <c r="J20" s="526"/>
      <c r="K20" s="526"/>
      <c r="L20" s="526"/>
      <c r="M20" s="526"/>
      <c r="N20" s="526"/>
      <c r="O20" s="526"/>
    </row>
    <row r="21" spans="1:17">
      <c r="A21" s="523" t="s">
        <v>6587</v>
      </c>
      <c r="D21" s="525">
        <f t="shared" ref="D21:I21" si="24">D78</f>
        <v>79271</v>
      </c>
      <c r="E21" s="525">
        <f t="shared" si="24"/>
        <v>79334</v>
      </c>
      <c r="F21" s="525">
        <f t="shared" si="24"/>
        <v>79603</v>
      </c>
      <c r="G21" s="525">
        <f t="shared" si="24"/>
        <v>80134</v>
      </c>
      <c r="H21" s="525">
        <f t="shared" si="24"/>
        <v>79797</v>
      </c>
      <c r="I21" s="525">
        <f t="shared" si="24"/>
        <v>78377</v>
      </c>
      <c r="J21" s="525">
        <f t="shared" ref="J21:O21" si="25">J78</f>
        <v>77916</v>
      </c>
      <c r="K21" s="525">
        <f t="shared" si="25"/>
        <v>80748</v>
      </c>
      <c r="L21" s="525">
        <f t="shared" si="25"/>
        <v>81749</v>
      </c>
      <c r="M21" s="525">
        <f t="shared" si="25"/>
        <v>82373</v>
      </c>
      <c r="N21" s="525">
        <f t="shared" si="25"/>
        <v>84496</v>
      </c>
      <c r="O21" s="525">
        <f t="shared" si="25"/>
        <v>84513</v>
      </c>
      <c r="Q21" s="523" t="s">
        <v>2784</v>
      </c>
    </row>
    <row r="22" spans="1:17">
      <c r="D22" s="526"/>
      <c r="E22" s="526"/>
      <c r="F22" s="526"/>
      <c r="G22" s="526"/>
      <c r="H22" s="526"/>
      <c r="I22" s="526"/>
      <c r="J22" s="526"/>
      <c r="K22" s="526"/>
      <c r="L22" s="526"/>
      <c r="M22" s="526"/>
      <c r="N22" s="526"/>
      <c r="O22" s="526"/>
    </row>
    <row r="23" spans="1:17">
      <c r="A23" s="523" t="s">
        <v>6588</v>
      </c>
      <c r="D23" s="525">
        <f t="shared" ref="D23:I23" si="26">D119</f>
        <v>73310</v>
      </c>
      <c r="E23" s="525">
        <f t="shared" si="26"/>
        <v>73406</v>
      </c>
      <c r="F23" s="525">
        <f t="shared" si="26"/>
        <v>73891</v>
      </c>
      <c r="G23" s="525">
        <f t="shared" si="26"/>
        <v>73880</v>
      </c>
      <c r="H23" s="525">
        <f t="shared" si="26"/>
        <v>74602</v>
      </c>
      <c r="I23" s="525">
        <f t="shared" si="26"/>
        <v>63264</v>
      </c>
      <c r="J23" s="525">
        <f t="shared" ref="J23:O23" si="27">J119</f>
        <v>67054</v>
      </c>
      <c r="K23" s="525">
        <f t="shared" si="27"/>
        <v>70950</v>
      </c>
      <c r="L23" s="525">
        <f t="shared" si="27"/>
        <v>69419</v>
      </c>
      <c r="M23" s="525">
        <f t="shared" si="27"/>
        <v>68526</v>
      </c>
      <c r="N23" s="525">
        <f t="shared" si="27"/>
        <v>80583</v>
      </c>
      <c r="O23" s="525">
        <f t="shared" si="27"/>
        <v>79956</v>
      </c>
      <c r="Q23" s="523" t="s">
        <v>2785</v>
      </c>
    </row>
    <row r="24" spans="1:17">
      <c r="D24" s="526"/>
      <c r="E24" s="526"/>
      <c r="F24" s="526"/>
      <c r="G24" s="526"/>
      <c r="H24" s="526"/>
      <c r="I24" s="526"/>
      <c r="J24" s="526"/>
      <c r="K24" s="526"/>
      <c r="L24" s="526"/>
      <c r="M24" s="526"/>
      <c r="N24" s="526"/>
      <c r="O24" s="526"/>
    </row>
    <row r="25" spans="1:17">
      <c r="A25" s="523" t="s">
        <v>6589</v>
      </c>
      <c r="D25" s="525">
        <f t="shared" ref="D25:I25" si="28">D120</f>
        <v>62746</v>
      </c>
      <c r="E25" s="525">
        <f t="shared" si="28"/>
        <v>61974</v>
      </c>
      <c r="F25" s="525">
        <f t="shared" si="28"/>
        <v>61948</v>
      </c>
      <c r="G25" s="525">
        <f t="shared" si="28"/>
        <v>62328</v>
      </c>
      <c r="H25" s="525">
        <f t="shared" si="28"/>
        <v>62274</v>
      </c>
      <c r="I25" s="525">
        <f t="shared" si="28"/>
        <v>60078</v>
      </c>
      <c r="J25" s="525">
        <f t="shared" ref="J25:O25" si="29">J120</f>
        <v>59917</v>
      </c>
      <c r="K25" s="525">
        <f t="shared" si="29"/>
        <v>60878</v>
      </c>
      <c r="L25" s="525">
        <f t="shared" si="29"/>
        <v>61318</v>
      </c>
      <c r="M25" s="525">
        <f t="shared" si="29"/>
        <v>60265</v>
      </c>
      <c r="N25" s="525">
        <f t="shared" si="29"/>
        <v>63047</v>
      </c>
      <c r="O25" s="525">
        <f t="shared" si="29"/>
        <v>62875</v>
      </c>
      <c r="Q25" s="523" t="s">
        <v>2785</v>
      </c>
    </row>
    <row r="26" spans="1:17">
      <c r="D26" s="526"/>
      <c r="E26" s="526"/>
      <c r="F26" s="526"/>
      <c r="G26" s="526"/>
      <c r="H26" s="526"/>
      <c r="I26" s="526"/>
      <c r="J26" s="526"/>
      <c r="K26" s="526"/>
      <c r="L26" s="526"/>
      <c r="M26" s="526"/>
      <c r="N26" s="526"/>
      <c r="O26" s="526"/>
    </row>
    <row r="27" spans="1:17">
      <c r="A27" s="523" t="s">
        <v>6590</v>
      </c>
      <c r="D27" s="525">
        <f t="shared" ref="D27:I27" si="30">D121</f>
        <v>62112</v>
      </c>
      <c r="E27" s="525">
        <f t="shared" si="30"/>
        <v>61679</v>
      </c>
      <c r="F27" s="525">
        <f t="shared" si="30"/>
        <v>61404</v>
      </c>
      <c r="G27" s="525">
        <f t="shared" si="30"/>
        <v>61137</v>
      </c>
      <c r="H27" s="525">
        <f t="shared" si="30"/>
        <v>61334</v>
      </c>
      <c r="I27" s="525">
        <f t="shared" si="30"/>
        <v>58790</v>
      </c>
      <c r="J27" s="525">
        <f t="shared" ref="J27:O27" si="31">J121</f>
        <v>58601</v>
      </c>
      <c r="K27" s="525">
        <f t="shared" si="31"/>
        <v>59901</v>
      </c>
      <c r="L27" s="525">
        <f t="shared" si="31"/>
        <v>60506</v>
      </c>
      <c r="M27" s="525">
        <f t="shared" si="31"/>
        <v>59759</v>
      </c>
      <c r="N27" s="525">
        <f t="shared" si="31"/>
        <v>63876</v>
      </c>
      <c r="O27" s="525">
        <f t="shared" si="31"/>
        <v>63568</v>
      </c>
      <c r="Q27" s="523" t="s">
        <v>2785</v>
      </c>
    </row>
    <row r="28" spans="1:17">
      <c r="A28" s="523"/>
      <c r="D28" s="525"/>
      <c r="E28" s="525"/>
      <c r="F28" s="525"/>
      <c r="G28" s="525"/>
      <c r="H28" s="525"/>
      <c r="I28" s="525"/>
      <c r="J28" s="525"/>
      <c r="K28" s="525"/>
      <c r="L28" s="525"/>
      <c r="M28" s="525"/>
      <c r="N28" s="525"/>
      <c r="O28" s="525"/>
      <c r="Q28" s="523"/>
    </row>
    <row r="29" spans="1:17">
      <c r="A29" s="523" t="s">
        <v>6591</v>
      </c>
      <c r="D29" s="525">
        <f t="shared" ref="D29:I29" si="32">D122</f>
        <v>63130</v>
      </c>
      <c r="E29" s="525">
        <f t="shared" si="32"/>
        <v>62709</v>
      </c>
      <c r="F29" s="525">
        <f t="shared" si="32"/>
        <v>62751</v>
      </c>
      <c r="G29" s="525">
        <f t="shared" si="32"/>
        <v>63315</v>
      </c>
      <c r="H29" s="525">
        <f t="shared" si="32"/>
        <v>63625</v>
      </c>
      <c r="I29" s="525">
        <f t="shared" si="32"/>
        <v>61699</v>
      </c>
      <c r="J29" s="525">
        <f t="shared" ref="J29:O29" si="33">J122</f>
        <v>62153</v>
      </c>
      <c r="K29" s="525">
        <f t="shared" si="33"/>
        <v>63378</v>
      </c>
      <c r="L29" s="525">
        <f t="shared" si="33"/>
        <v>64351</v>
      </c>
      <c r="M29" s="525">
        <f t="shared" si="33"/>
        <v>63902</v>
      </c>
      <c r="N29" s="525">
        <f t="shared" si="33"/>
        <v>66136</v>
      </c>
      <c r="O29" s="525">
        <f t="shared" si="33"/>
        <v>66008</v>
      </c>
      <c r="Q29" s="523" t="s">
        <v>2785</v>
      </c>
    </row>
    <row r="30" spans="1:17">
      <c r="A30" s="523"/>
      <c r="D30" s="525"/>
      <c r="E30" s="525"/>
      <c r="F30" s="525"/>
      <c r="G30" s="525"/>
      <c r="H30" s="525"/>
      <c r="I30" s="525"/>
      <c r="J30" s="525"/>
      <c r="K30" s="525"/>
      <c r="L30" s="525"/>
      <c r="M30" s="525"/>
      <c r="N30" s="525"/>
      <c r="O30" s="525"/>
      <c r="Q30" s="523"/>
    </row>
    <row r="31" spans="1:17">
      <c r="A31" s="523" t="s">
        <v>6592</v>
      </c>
      <c r="D31" s="525">
        <f t="shared" ref="D31:I31" si="34">D147</f>
        <v>75866</v>
      </c>
      <c r="E31" s="525">
        <f t="shared" si="34"/>
        <v>75688</v>
      </c>
      <c r="F31" s="525">
        <f t="shared" si="34"/>
        <v>76035</v>
      </c>
      <c r="G31" s="525">
        <f t="shared" si="34"/>
        <v>76220</v>
      </c>
      <c r="H31" s="525">
        <f t="shared" si="34"/>
        <v>74689</v>
      </c>
      <c r="I31" s="525">
        <f t="shared" si="34"/>
        <v>74074</v>
      </c>
      <c r="J31" s="525">
        <f t="shared" ref="J31:O31" si="35">J147</f>
        <v>72060</v>
      </c>
      <c r="K31" s="525">
        <f t="shared" si="35"/>
        <v>73902</v>
      </c>
      <c r="L31" s="525">
        <f t="shared" si="35"/>
        <v>75205</v>
      </c>
      <c r="M31" s="525">
        <f t="shared" si="35"/>
        <v>74715</v>
      </c>
      <c r="N31" s="525">
        <f t="shared" si="35"/>
        <v>76090</v>
      </c>
      <c r="O31" s="525">
        <f t="shared" si="35"/>
        <v>76082</v>
      </c>
      <c r="Q31" s="523" t="s">
        <v>6593</v>
      </c>
    </row>
    <row r="32" spans="1:17">
      <c r="D32" s="526"/>
      <c r="E32" s="526"/>
      <c r="F32" s="526"/>
      <c r="G32" s="526"/>
      <c r="H32" s="526"/>
      <c r="I32" s="526"/>
      <c r="J32" s="526"/>
      <c r="K32" s="526"/>
      <c r="L32" s="526"/>
      <c r="M32" s="526"/>
      <c r="N32" s="526"/>
      <c r="O32" s="526"/>
    </row>
    <row r="33" spans="1:17">
      <c r="A33" s="523" t="s">
        <v>6594</v>
      </c>
      <c r="D33" s="525">
        <f t="shared" ref="D33:I33" si="36">D79</f>
        <v>16416</v>
      </c>
      <c r="E33" s="525">
        <f t="shared" si="36"/>
        <v>16533</v>
      </c>
      <c r="F33" s="525">
        <f t="shared" si="36"/>
        <v>16665</v>
      </c>
      <c r="G33" s="525">
        <f t="shared" si="36"/>
        <v>16730</v>
      </c>
      <c r="H33" s="525">
        <f t="shared" si="36"/>
        <v>16789</v>
      </c>
      <c r="I33" s="525">
        <f t="shared" si="36"/>
        <v>16518</v>
      </c>
      <c r="J33" s="525">
        <f t="shared" ref="J33:O33" si="37">J79</f>
        <v>16369</v>
      </c>
      <c r="K33" s="525">
        <f t="shared" si="37"/>
        <v>16985</v>
      </c>
      <c r="L33" s="525">
        <f t="shared" si="37"/>
        <v>17064</v>
      </c>
      <c r="M33" s="525">
        <f t="shared" si="37"/>
        <v>17077</v>
      </c>
      <c r="N33" s="525">
        <f t="shared" si="37"/>
        <v>17426</v>
      </c>
      <c r="O33" s="525">
        <f t="shared" si="37"/>
        <v>17411</v>
      </c>
      <c r="Q33" s="523" t="s">
        <v>2784</v>
      </c>
    </row>
    <row r="34" spans="1:17" ht="15.75" thickBot="1">
      <c r="A34" s="523"/>
      <c r="D34" s="529">
        <f t="shared" ref="D34:I34" si="38">D148</f>
        <v>62289</v>
      </c>
      <c r="E34" s="529">
        <f t="shared" si="38"/>
        <v>62079</v>
      </c>
      <c r="F34" s="529">
        <f t="shared" si="38"/>
        <v>61948</v>
      </c>
      <c r="G34" s="529">
        <f t="shared" si="38"/>
        <v>62412</v>
      </c>
      <c r="H34" s="529">
        <f t="shared" si="38"/>
        <v>60608</v>
      </c>
      <c r="I34" s="529">
        <f t="shared" si="38"/>
        <v>60108</v>
      </c>
      <c r="J34" s="529">
        <f t="shared" ref="J34:O34" si="39">J148</f>
        <v>58516</v>
      </c>
      <c r="K34" s="529">
        <f t="shared" si="39"/>
        <v>59933</v>
      </c>
      <c r="L34" s="529">
        <f t="shared" si="39"/>
        <v>61207</v>
      </c>
      <c r="M34" s="529">
        <f t="shared" si="39"/>
        <v>60760</v>
      </c>
      <c r="N34" s="529">
        <f t="shared" si="39"/>
        <v>62164</v>
      </c>
      <c r="O34" s="529">
        <f t="shared" si="39"/>
        <v>62132</v>
      </c>
      <c r="Q34" s="523" t="s">
        <v>6593</v>
      </c>
    </row>
    <row r="35" spans="1:17" ht="15.75" thickBot="1">
      <c r="A35" s="523"/>
      <c r="D35" s="530">
        <f t="shared" ref="D35:I35" si="40">D33+D34</f>
        <v>78705</v>
      </c>
      <c r="E35" s="530">
        <f t="shared" si="40"/>
        <v>78612</v>
      </c>
      <c r="F35" s="530">
        <f t="shared" si="40"/>
        <v>78613</v>
      </c>
      <c r="G35" s="530">
        <f t="shared" si="40"/>
        <v>79142</v>
      </c>
      <c r="H35" s="530">
        <f t="shared" si="40"/>
        <v>77397</v>
      </c>
      <c r="I35" s="530">
        <f t="shared" si="40"/>
        <v>76626</v>
      </c>
      <c r="J35" s="530">
        <f t="shared" ref="J35:O35" si="41">J33+J34</f>
        <v>74885</v>
      </c>
      <c r="K35" s="530">
        <f t="shared" si="41"/>
        <v>76918</v>
      </c>
      <c r="L35" s="530">
        <f t="shared" si="41"/>
        <v>78271</v>
      </c>
      <c r="M35" s="530">
        <f t="shared" si="41"/>
        <v>77837</v>
      </c>
      <c r="N35" s="530">
        <f t="shared" si="41"/>
        <v>79590</v>
      </c>
      <c r="O35" s="530">
        <f t="shared" si="41"/>
        <v>79543</v>
      </c>
      <c r="Q35" s="523"/>
    </row>
    <row r="36" spans="1:17">
      <c r="A36" s="523"/>
      <c r="D36" s="531"/>
      <c r="E36" s="531"/>
      <c r="F36" s="531"/>
      <c r="G36" s="531"/>
      <c r="H36" s="531"/>
      <c r="I36" s="531"/>
      <c r="J36" s="531"/>
      <c r="K36" s="531"/>
      <c r="L36" s="531"/>
      <c r="M36" s="531"/>
      <c r="N36" s="531"/>
      <c r="O36" s="531"/>
      <c r="Q36" s="523"/>
    </row>
    <row r="37" spans="1:17">
      <c r="A37" s="523" t="s">
        <v>6595</v>
      </c>
      <c r="D37" s="525">
        <f t="shared" ref="D37:I37" si="42">D180</f>
        <v>67766</v>
      </c>
      <c r="E37" s="525">
        <f t="shared" si="42"/>
        <v>67696</v>
      </c>
      <c r="F37" s="525">
        <f t="shared" si="42"/>
        <v>67189</v>
      </c>
      <c r="G37" s="525">
        <f t="shared" si="42"/>
        <v>66565</v>
      </c>
      <c r="H37" s="525">
        <f t="shared" si="42"/>
        <v>67292</v>
      </c>
      <c r="I37" s="525">
        <f t="shared" si="42"/>
        <v>66386</v>
      </c>
      <c r="J37" s="525">
        <f t="shared" ref="J37:O37" si="43">J180</f>
        <v>66208</v>
      </c>
      <c r="K37" s="525">
        <f t="shared" si="43"/>
        <v>67961</v>
      </c>
      <c r="L37" s="525">
        <f t="shared" si="43"/>
        <v>69428</v>
      </c>
      <c r="M37" s="525">
        <f t="shared" si="43"/>
        <v>68803</v>
      </c>
      <c r="N37" s="525">
        <f t="shared" si="43"/>
        <v>70239</v>
      </c>
      <c r="O37" s="525">
        <f t="shared" si="43"/>
        <v>70085</v>
      </c>
      <c r="Q37" s="523" t="s">
        <v>2782</v>
      </c>
    </row>
    <row r="38" spans="1:17">
      <c r="D38" s="526"/>
      <c r="E38" s="526"/>
      <c r="F38" s="526"/>
      <c r="G38" s="526"/>
      <c r="H38" s="526"/>
      <c r="I38" s="526"/>
      <c r="J38" s="526"/>
      <c r="K38" s="526"/>
      <c r="L38" s="526"/>
      <c r="M38" s="526"/>
      <c r="N38" s="526"/>
      <c r="O38" s="526"/>
    </row>
    <row r="39" spans="1:17">
      <c r="A39" s="523" t="s">
        <v>6596</v>
      </c>
      <c r="D39" s="525">
        <f t="shared" ref="D39:I39" si="44">D181</f>
        <v>67761</v>
      </c>
      <c r="E39" s="525">
        <f t="shared" si="44"/>
        <v>67803</v>
      </c>
      <c r="F39" s="525">
        <f t="shared" si="44"/>
        <v>67284</v>
      </c>
      <c r="G39" s="525">
        <f t="shared" si="44"/>
        <v>66128</v>
      </c>
      <c r="H39" s="525">
        <f t="shared" si="44"/>
        <v>66734</v>
      </c>
      <c r="I39" s="525">
        <f t="shared" si="44"/>
        <v>65618</v>
      </c>
      <c r="J39" s="525">
        <f t="shared" ref="J39:O39" si="45">J181</f>
        <v>65081</v>
      </c>
      <c r="K39" s="525">
        <f t="shared" si="45"/>
        <v>68118</v>
      </c>
      <c r="L39" s="525">
        <f t="shared" si="45"/>
        <v>69971</v>
      </c>
      <c r="M39" s="525">
        <f t="shared" si="45"/>
        <v>69410</v>
      </c>
      <c r="N39" s="525">
        <f t="shared" si="45"/>
        <v>71299</v>
      </c>
      <c r="O39" s="525">
        <f t="shared" si="45"/>
        <v>71037</v>
      </c>
      <c r="Q39" s="523" t="s">
        <v>2782</v>
      </c>
    </row>
    <row r="40" spans="1:17">
      <c r="D40" s="526"/>
      <c r="E40" s="526"/>
      <c r="F40" s="526"/>
      <c r="G40" s="526"/>
      <c r="H40" s="526"/>
      <c r="I40" s="526"/>
      <c r="J40" s="526"/>
      <c r="K40" s="526"/>
      <c r="L40" s="526"/>
      <c r="M40" s="526"/>
      <c r="N40" s="526"/>
      <c r="O40" s="526"/>
    </row>
    <row r="41" spans="1:17">
      <c r="A41" s="523" t="s">
        <v>6597</v>
      </c>
      <c r="D41" s="531">
        <f t="shared" ref="D41:I41" si="46">D213</f>
        <v>66068</v>
      </c>
      <c r="E41" s="531">
        <f t="shared" si="46"/>
        <v>65732</v>
      </c>
      <c r="F41" s="531">
        <f t="shared" si="46"/>
        <v>64969</v>
      </c>
      <c r="G41" s="531">
        <f t="shared" si="46"/>
        <v>65261</v>
      </c>
      <c r="H41" s="531">
        <f t="shared" si="46"/>
        <v>65223</v>
      </c>
      <c r="I41" s="531">
        <f t="shared" si="46"/>
        <v>63696</v>
      </c>
      <c r="J41" s="531">
        <f t="shared" ref="J41:O41" si="47">J213</f>
        <v>63940</v>
      </c>
      <c r="K41" s="531">
        <f t="shared" si="47"/>
        <v>65535</v>
      </c>
      <c r="L41" s="531">
        <f t="shared" si="47"/>
        <v>65845</v>
      </c>
      <c r="M41" s="531">
        <f t="shared" si="47"/>
        <v>64451</v>
      </c>
      <c r="N41" s="531">
        <f t="shared" si="47"/>
        <v>66709</v>
      </c>
      <c r="O41" s="531">
        <f t="shared" si="47"/>
        <v>66806</v>
      </c>
      <c r="Q41" s="523" t="s">
        <v>2780</v>
      </c>
    </row>
    <row r="42" spans="1:17">
      <c r="D42" s="526"/>
      <c r="E42" s="526"/>
      <c r="F42" s="526"/>
      <c r="G42" s="526"/>
      <c r="H42" s="526"/>
      <c r="I42" s="526"/>
      <c r="J42" s="526"/>
      <c r="K42" s="526"/>
      <c r="L42" s="526"/>
      <c r="M42" s="526"/>
      <c r="N42" s="526"/>
      <c r="O42" s="526"/>
    </row>
    <row r="43" spans="1:17">
      <c r="A43" s="523" t="s">
        <v>6598</v>
      </c>
      <c r="D43" s="525">
        <f t="shared" ref="D43:I43" si="48">D214</f>
        <v>56200</v>
      </c>
      <c r="E43" s="525">
        <f t="shared" si="48"/>
        <v>56238</v>
      </c>
      <c r="F43" s="525">
        <f t="shared" si="48"/>
        <v>56503</v>
      </c>
      <c r="G43" s="525">
        <f t="shared" si="48"/>
        <v>56583</v>
      </c>
      <c r="H43" s="525">
        <f t="shared" si="48"/>
        <v>56639</v>
      </c>
      <c r="I43" s="525">
        <f t="shared" si="48"/>
        <v>55885</v>
      </c>
      <c r="J43" s="525">
        <f t="shared" ref="J43:O43" si="49">J214</f>
        <v>55972</v>
      </c>
      <c r="K43" s="525">
        <f t="shared" si="49"/>
        <v>56754</v>
      </c>
      <c r="L43" s="525">
        <f t="shared" si="49"/>
        <v>56931</v>
      </c>
      <c r="M43" s="525">
        <f t="shared" si="49"/>
        <v>56350</v>
      </c>
      <c r="N43" s="525">
        <f t="shared" si="49"/>
        <v>57713</v>
      </c>
      <c r="O43" s="525">
        <f t="shared" si="49"/>
        <v>57670</v>
      </c>
      <c r="Q43" s="523" t="s">
        <v>2780</v>
      </c>
    </row>
    <row r="44" spans="1:17">
      <c r="D44" s="526"/>
      <c r="E44" s="526"/>
      <c r="F44" s="526"/>
      <c r="G44" s="526"/>
      <c r="H44" s="526"/>
      <c r="I44" s="526"/>
      <c r="J44" s="526"/>
      <c r="K44" s="526"/>
      <c r="L44" s="526"/>
      <c r="M44" s="526"/>
      <c r="N44" s="526"/>
      <c r="O44" s="526"/>
    </row>
    <row r="45" spans="1:17">
      <c r="A45" s="523" t="s">
        <v>6599</v>
      </c>
      <c r="D45" s="525">
        <f t="shared" ref="D45:I45" si="50">D215</f>
        <v>55152</v>
      </c>
      <c r="E45" s="525">
        <f t="shared" si="50"/>
        <v>55077</v>
      </c>
      <c r="F45" s="525">
        <f t="shared" si="50"/>
        <v>54792</v>
      </c>
      <c r="G45" s="525">
        <f t="shared" si="50"/>
        <v>55145</v>
      </c>
      <c r="H45" s="525">
        <f t="shared" si="50"/>
        <v>54814</v>
      </c>
      <c r="I45" s="525">
        <f t="shared" si="50"/>
        <v>53877</v>
      </c>
      <c r="J45" s="525">
        <f t="shared" ref="J45:O45" si="51">J215</f>
        <v>54232</v>
      </c>
      <c r="K45" s="525">
        <f t="shared" si="51"/>
        <v>54927</v>
      </c>
      <c r="L45" s="525">
        <f t="shared" si="51"/>
        <v>55084</v>
      </c>
      <c r="M45" s="525">
        <f t="shared" si="51"/>
        <v>54249</v>
      </c>
      <c r="N45" s="525">
        <f t="shared" si="51"/>
        <v>55935</v>
      </c>
      <c r="O45" s="525">
        <f t="shared" si="51"/>
        <v>55926</v>
      </c>
      <c r="Q45" s="523" t="s">
        <v>2780</v>
      </c>
    </row>
    <row r="46" spans="1:17">
      <c r="D46" s="526"/>
      <c r="E46" s="526"/>
      <c r="F46" s="526"/>
      <c r="G46" s="526"/>
      <c r="H46" s="526"/>
      <c r="I46" s="526"/>
      <c r="J46" s="526"/>
      <c r="K46" s="526"/>
      <c r="L46" s="526"/>
      <c r="M46" s="526"/>
      <c r="N46" s="526"/>
      <c r="O46" s="526"/>
    </row>
    <row r="47" spans="1:17">
      <c r="A47" s="523" t="s">
        <v>6796</v>
      </c>
      <c r="D47" s="525">
        <f t="shared" ref="D47:I47" si="52">D13+D15+D19+D23+D25+D27+D29+D21+D31+D35+D37+D39+D41+D43+D45</f>
        <v>1014398</v>
      </c>
      <c r="E47" s="525">
        <f t="shared" si="52"/>
        <v>1010822</v>
      </c>
      <c r="F47" s="525">
        <f t="shared" si="52"/>
        <v>1008921</v>
      </c>
      <c r="G47" s="525">
        <f t="shared" si="52"/>
        <v>1008939</v>
      </c>
      <c r="H47" s="525">
        <f t="shared" si="52"/>
        <v>1009128</v>
      </c>
      <c r="I47" s="525">
        <f t="shared" si="52"/>
        <v>978073</v>
      </c>
      <c r="J47" s="525">
        <f t="shared" ref="J47:O47" si="53">J13+J15+J19+J23+J25+J27+J29+J21+J31+J35+J37+J39+J41+J43+J45</f>
        <v>978417</v>
      </c>
      <c r="K47" s="525">
        <f t="shared" si="53"/>
        <v>1006300</v>
      </c>
      <c r="L47" s="525">
        <f t="shared" si="53"/>
        <v>1018857</v>
      </c>
      <c r="M47" s="525">
        <f t="shared" si="53"/>
        <v>1009612</v>
      </c>
      <c r="N47" s="525">
        <f t="shared" si="53"/>
        <v>1051720</v>
      </c>
      <c r="O47" s="525">
        <f t="shared" si="53"/>
        <v>1049947</v>
      </c>
    </row>
    <row r="48" spans="1:17">
      <c r="D48" s="526"/>
      <c r="E48" s="526"/>
      <c r="F48" s="526"/>
      <c r="G48" s="526"/>
      <c r="H48" s="526"/>
      <c r="I48" s="526"/>
      <c r="J48" s="526"/>
      <c r="K48" s="526"/>
      <c r="L48" s="526"/>
      <c r="M48" s="526"/>
      <c r="N48" s="526"/>
      <c r="O48" s="526"/>
    </row>
    <row r="49" spans="1:17">
      <c r="A49" s="523" t="s">
        <v>6797</v>
      </c>
      <c r="D49" s="525">
        <f t="shared" ref="D49:O49" si="54">MAX(D13,D15,D19,D23,D25,D27,D29,D21,D31,D35,D37,D39,D41,D43,D45)-MIN(D13,D15,D19,D23,D25,D27,D29,D21,D31,D35,D37,D39,D41,D43,D45)</f>
        <v>24119</v>
      </c>
      <c r="E49" s="525">
        <f t="shared" si="54"/>
        <v>24257</v>
      </c>
      <c r="F49" s="525">
        <f t="shared" si="54"/>
        <v>24811</v>
      </c>
      <c r="G49" s="525">
        <f t="shared" si="54"/>
        <v>24989</v>
      </c>
      <c r="H49" s="525">
        <f t="shared" si="54"/>
        <v>24983</v>
      </c>
      <c r="I49" s="525">
        <f t="shared" si="54"/>
        <v>24500</v>
      </c>
      <c r="J49" s="525">
        <f t="shared" si="54"/>
        <v>23684</v>
      </c>
      <c r="K49" s="525">
        <f t="shared" si="54"/>
        <v>25821</v>
      </c>
      <c r="L49" s="525">
        <f t="shared" si="54"/>
        <v>26665</v>
      </c>
      <c r="M49" s="525">
        <f t="shared" si="54"/>
        <v>28124</v>
      </c>
      <c r="N49" s="525">
        <f t="shared" si="54"/>
        <v>28561</v>
      </c>
      <c r="O49" s="525">
        <f t="shared" si="54"/>
        <v>28587</v>
      </c>
    </row>
    <row r="50" spans="1:17">
      <c r="D50" s="526"/>
      <c r="E50" s="526"/>
      <c r="F50" s="526"/>
      <c r="G50" s="526"/>
      <c r="H50" s="526"/>
      <c r="I50" s="526"/>
      <c r="J50" s="526"/>
      <c r="K50" s="526"/>
      <c r="L50" s="526"/>
      <c r="M50" s="526"/>
      <c r="N50" s="526"/>
      <c r="O50" s="526"/>
    </row>
    <row r="51" spans="1:17">
      <c r="A51" s="532" t="s">
        <v>6800</v>
      </c>
      <c r="D51" s="525">
        <f t="shared" ref="D51:I51" si="55">STDEVP(D13,D15,D19,D23,D25,D27,D29,D21,D31,D35,D37,D39,D41,D43,D45)</f>
        <v>7193.5738347191209</v>
      </c>
      <c r="E51" s="525">
        <f t="shared" si="55"/>
        <v>7260.5881843155257</v>
      </c>
      <c r="F51" s="525">
        <f t="shared" si="55"/>
        <v>7420.3844177149385</v>
      </c>
      <c r="G51" s="525">
        <f t="shared" si="55"/>
        <v>7431.8993337279981</v>
      </c>
      <c r="H51" s="525">
        <f t="shared" si="55"/>
        <v>7193.0763117505339</v>
      </c>
      <c r="I51" s="525">
        <f t="shared" si="55"/>
        <v>7116.0867417110339</v>
      </c>
      <c r="J51" s="525">
        <f t="shared" ref="J51:O51" si="56">STDEVP(J13,J15,J19,J23,J25,J27,J29,J21,J31,J35,J37,J39,J41,J43,J45)</f>
        <v>6658.4615159960185</v>
      </c>
      <c r="K51" s="525">
        <f t="shared" si="56"/>
        <v>7217.2666355684059</v>
      </c>
      <c r="L51" s="525">
        <f t="shared" si="56"/>
        <v>7554.6491310538922</v>
      </c>
      <c r="M51" s="525">
        <f t="shared" si="56"/>
        <v>7849.1749194138592</v>
      </c>
      <c r="N51" s="525">
        <f t="shared" si="56"/>
        <v>8240.2739652406108</v>
      </c>
      <c r="O51" s="525">
        <f t="shared" si="56"/>
        <v>8197.6710746948665</v>
      </c>
    </row>
    <row r="52" spans="1:17">
      <c r="A52" s="532"/>
      <c r="D52" s="533"/>
      <c r="E52" s="533"/>
      <c r="F52" s="533"/>
      <c r="G52" s="533"/>
      <c r="H52" s="533"/>
      <c r="I52" s="533"/>
      <c r="J52" s="533"/>
      <c r="K52" s="533"/>
      <c r="L52" s="533"/>
      <c r="M52" s="533"/>
      <c r="N52" s="533"/>
      <c r="O52" s="533"/>
    </row>
    <row r="53" spans="1:17">
      <c r="A53" s="532"/>
      <c r="D53" s="533"/>
      <c r="E53" s="533"/>
      <c r="F53" s="533"/>
      <c r="G53" s="533"/>
      <c r="H53" s="533"/>
      <c r="I53" s="533"/>
      <c r="J53" s="533"/>
      <c r="K53" s="533"/>
      <c r="L53" s="533"/>
      <c r="M53" s="533"/>
      <c r="N53" s="533"/>
      <c r="O53" s="533"/>
    </row>
    <row r="54" spans="1:17">
      <c r="E54" s="51" t="s">
        <v>1526</v>
      </c>
      <c r="F54" s="51"/>
      <c r="G54" s="51"/>
      <c r="H54" s="51"/>
      <c r="I54" s="51"/>
      <c r="J54" s="51"/>
      <c r="K54" s="51"/>
      <c r="L54" s="51"/>
      <c r="M54" s="51"/>
      <c r="N54" s="51"/>
      <c r="O54" s="51"/>
      <c r="P54" s="11"/>
      <c r="Q54" s="11" t="s">
        <v>9479</v>
      </c>
    </row>
    <row r="55" spans="1:17">
      <c r="D55" s="350">
        <v>2010</v>
      </c>
      <c r="E55" s="350">
        <v>2011</v>
      </c>
      <c r="F55" s="350">
        <v>2012</v>
      </c>
      <c r="G55" s="350">
        <v>2013</v>
      </c>
      <c r="H55" s="350">
        <v>2014</v>
      </c>
      <c r="I55" s="350">
        <v>2015</v>
      </c>
      <c r="J55" s="350">
        <v>2016</v>
      </c>
      <c r="K55" s="350">
        <v>2017</v>
      </c>
      <c r="L55" s="350">
        <v>2018</v>
      </c>
      <c r="M55" s="350">
        <v>2019</v>
      </c>
      <c r="N55" s="350">
        <v>2020</v>
      </c>
      <c r="O55" s="957" t="s">
        <v>14823</v>
      </c>
      <c r="Q55" s="13" t="s">
        <v>1527</v>
      </c>
    </row>
    <row r="56" spans="1:17">
      <c r="A56" s="523" t="s">
        <v>6600</v>
      </c>
      <c r="C56" s="523"/>
      <c r="D56" s="525">
        <f>SUM(D57:D63)+SUM(D65:D73)+D75</f>
        <v>111228</v>
      </c>
      <c r="E56" s="525">
        <f t="shared" ref="E56:K56" si="57">SUM(E57:E63)+SUM(E65:E73)+E75</f>
        <v>111388</v>
      </c>
      <c r="F56" s="525">
        <f t="shared" si="57"/>
        <v>111832</v>
      </c>
      <c r="G56" s="525">
        <f t="shared" si="57"/>
        <v>112616</v>
      </c>
      <c r="H56" s="525">
        <f t="shared" si="57"/>
        <v>112265</v>
      </c>
      <c r="I56" s="525">
        <f t="shared" si="57"/>
        <v>110513</v>
      </c>
      <c r="J56" s="525">
        <f t="shared" si="57"/>
        <v>109974</v>
      </c>
      <c r="K56" s="525">
        <f t="shared" si="57"/>
        <v>114004</v>
      </c>
      <c r="L56" s="525">
        <f>SUM(L57:L63)+SUM(L65:L73)+L75</f>
        <v>115305</v>
      </c>
      <c r="M56" s="525">
        <f>SUM(M57:M63)+SUM(M65:M73)+M75</f>
        <v>115954</v>
      </c>
      <c r="N56" s="525">
        <f>SUM(N57:N63)+SUM(N65:N73)+N75</f>
        <v>118654</v>
      </c>
      <c r="O56" s="525">
        <f>SUM(O57:O63)+SUM(O65:O73)+O75</f>
        <v>118646</v>
      </c>
      <c r="P56" s="525"/>
    </row>
    <row r="57" spans="1:17">
      <c r="A57" s="523" t="s">
        <v>5387</v>
      </c>
      <c r="B57" s="523" t="s">
        <v>6601</v>
      </c>
      <c r="C57" s="55" t="s">
        <v>11664</v>
      </c>
      <c r="D57" s="526">
        <v>79271</v>
      </c>
      <c r="E57" s="526">
        <v>79334</v>
      </c>
      <c r="F57" s="526">
        <v>79603</v>
      </c>
      <c r="G57" s="526">
        <v>80134</v>
      </c>
      <c r="H57" s="56">
        <v>79797</v>
      </c>
      <c r="I57" s="56">
        <v>78377</v>
      </c>
      <c r="J57" s="56">
        <v>77916</v>
      </c>
      <c r="K57" s="56">
        <v>7989</v>
      </c>
      <c r="L57" s="56">
        <v>8007</v>
      </c>
      <c r="M57" s="56">
        <v>8105</v>
      </c>
      <c r="N57" s="56">
        <v>8220</v>
      </c>
      <c r="O57" s="56">
        <v>8220</v>
      </c>
      <c r="Q57" s="523" t="s">
        <v>6587</v>
      </c>
    </row>
    <row r="58" spans="1:17">
      <c r="A58" s="523" t="s">
        <v>5389</v>
      </c>
      <c r="B58" s="523" t="s">
        <v>6602</v>
      </c>
      <c r="C58" s="55" t="s">
        <v>11665</v>
      </c>
      <c r="D58" s="526">
        <v>15541</v>
      </c>
      <c r="E58" s="526">
        <v>15521</v>
      </c>
      <c r="F58" s="526">
        <v>15564</v>
      </c>
      <c r="G58" s="526">
        <v>15752</v>
      </c>
      <c r="H58" s="56">
        <v>15679</v>
      </c>
      <c r="I58" s="56">
        <v>15618</v>
      </c>
      <c r="J58" s="56">
        <v>15689</v>
      </c>
      <c r="K58" s="56">
        <v>8019</v>
      </c>
      <c r="L58" s="56">
        <v>8172</v>
      </c>
      <c r="M58" s="56">
        <v>8306</v>
      </c>
      <c r="N58" s="56">
        <v>8430</v>
      </c>
      <c r="O58" s="56">
        <v>8428</v>
      </c>
      <c r="Q58" s="523" t="s">
        <v>2783</v>
      </c>
    </row>
    <row r="59" spans="1:17">
      <c r="A59" s="523" t="s">
        <v>5391</v>
      </c>
      <c r="B59" s="523" t="s">
        <v>6603</v>
      </c>
      <c r="C59" s="55" t="s">
        <v>11666</v>
      </c>
      <c r="D59" s="526">
        <v>0</v>
      </c>
      <c r="E59" s="526">
        <v>0</v>
      </c>
      <c r="F59" s="526">
        <v>0</v>
      </c>
      <c r="G59" s="526">
        <v>0</v>
      </c>
      <c r="H59" s="56">
        <v>0</v>
      </c>
      <c r="I59" s="56">
        <v>0</v>
      </c>
      <c r="J59" s="56">
        <v>0</v>
      </c>
      <c r="K59" s="56">
        <v>8128</v>
      </c>
      <c r="L59" s="56">
        <v>8200</v>
      </c>
      <c r="M59" s="56">
        <v>8073</v>
      </c>
      <c r="N59" s="56">
        <v>8174</v>
      </c>
      <c r="O59" s="56">
        <v>8166</v>
      </c>
      <c r="Q59" s="523" t="s">
        <v>2783</v>
      </c>
    </row>
    <row r="60" spans="1:17">
      <c r="A60" s="523" t="s">
        <v>5393</v>
      </c>
      <c r="B60" s="523" t="s">
        <v>6060</v>
      </c>
      <c r="C60" s="55" t="s">
        <v>11667</v>
      </c>
      <c r="D60" s="526">
        <v>0</v>
      </c>
      <c r="E60" s="526">
        <v>0</v>
      </c>
      <c r="F60" s="526">
        <v>0</v>
      </c>
      <c r="G60" s="526">
        <v>0</v>
      </c>
      <c r="H60" s="56">
        <v>0</v>
      </c>
      <c r="I60" s="56">
        <v>0</v>
      </c>
      <c r="J60" s="56">
        <v>0</v>
      </c>
      <c r="K60" s="56">
        <v>8182</v>
      </c>
      <c r="L60" s="56">
        <v>8361</v>
      </c>
      <c r="M60" s="56">
        <v>8344</v>
      </c>
      <c r="N60" s="56">
        <v>8557</v>
      </c>
      <c r="O60" s="56">
        <v>8549</v>
      </c>
      <c r="Q60" s="523" t="s">
        <v>6587</v>
      </c>
    </row>
    <row r="61" spans="1:17">
      <c r="A61" s="523" t="s">
        <v>5394</v>
      </c>
      <c r="B61" s="523" t="s">
        <v>6604</v>
      </c>
      <c r="C61" s="55" t="s">
        <v>11668</v>
      </c>
      <c r="D61" s="526">
        <v>0</v>
      </c>
      <c r="E61" s="526">
        <v>0</v>
      </c>
      <c r="F61" s="526">
        <v>0</v>
      </c>
      <c r="G61" s="526">
        <v>0</v>
      </c>
      <c r="H61" s="56">
        <v>0</v>
      </c>
      <c r="I61" s="56">
        <v>0</v>
      </c>
      <c r="J61" s="56">
        <v>0</v>
      </c>
      <c r="K61" s="56">
        <v>7499</v>
      </c>
      <c r="L61" s="56">
        <v>7693</v>
      </c>
      <c r="M61" s="56">
        <v>7823</v>
      </c>
      <c r="N61" s="56">
        <v>8168</v>
      </c>
      <c r="O61" s="56">
        <v>8165</v>
      </c>
      <c r="Q61" s="523" t="s">
        <v>6587</v>
      </c>
    </row>
    <row r="62" spans="1:17">
      <c r="A62" s="523" t="s">
        <v>5416</v>
      </c>
      <c r="B62" s="523" t="s">
        <v>11679</v>
      </c>
      <c r="C62" s="55" t="s">
        <v>11669</v>
      </c>
      <c r="D62" s="526">
        <v>0</v>
      </c>
      <c r="E62" s="526">
        <v>0</v>
      </c>
      <c r="F62" s="526">
        <v>0</v>
      </c>
      <c r="G62" s="526">
        <v>0</v>
      </c>
      <c r="H62" s="56">
        <v>0</v>
      </c>
      <c r="I62" s="56">
        <v>0</v>
      </c>
      <c r="J62" s="56">
        <v>0</v>
      </c>
      <c r="K62" s="56">
        <v>5148</v>
      </c>
      <c r="L62" s="56">
        <v>5090</v>
      </c>
      <c r="M62" s="56">
        <v>5213</v>
      </c>
      <c r="N62" s="56">
        <v>5609</v>
      </c>
      <c r="O62" s="56">
        <v>5613</v>
      </c>
      <c r="Q62" s="523" t="s">
        <v>6587</v>
      </c>
    </row>
    <row r="63" spans="1:17" ht="15.75" thickBot="1">
      <c r="A63" s="523"/>
      <c r="B63" s="523"/>
      <c r="C63" s="55" t="s">
        <v>11669</v>
      </c>
      <c r="D63" s="534">
        <v>0</v>
      </c>
      <c r="E63" s="534">
        <v>0</v>
      </c>
      <c r="F63" s="534">
        <v>0</v>
      </c>
      <c r="G63" s="534">
        <v>0</v>
      </c>
      <c r="H63" s="274">
        <v>0</v>
      </c>
      <c r="I63" s="274">
        <v>0</v>
      </c>
      <c r="J63" s="274">
        <v>0</v>
      </c>
      <c r="K63" s="56">
        <v>2481</v>
      </c>
      <c r="L63" s="56">
        <v>2536</v>
      </c>
      <c r="M63" s="56">
        <v>2506</v>
      </c>
      <c r="N63" s="56">
        <v>2565</v>
      </c>
      <c r="O63" s="56">
        <v>2572</v>
      </c>
      <c r="Q63" s="523" t="s">
        <v>6594</v>
      </c>
    </row>
    <row r="64" spans="1:17" ht="15.75" thickBot="1">
      <c r="A64" s="523"/>
      <c r="B64" s="523"/>
      <c r="C64" s="55" t="s">
        <v>11669</v>
      </c>
      <c r="D64" s="535">
        <f>D62+D63</f>
        <v>0</v>
      </c>
      <c r="E64" s="535">
        <f t="shared" ref="E64:L64" si="58">E62+E63</f>
        <v>0</v>
      </c>
      <c r="F64" s="535">
        <f t="shared" si="58"/>
        <v>0</v>
      </c>
      <c r="G64" s="535">
        <f t="shared" si="58"/>
        <v>0</v>
      </c>
      <c r="H64" s="535">
        <f t="shared" si="58"/>
        <v>0</v>
      </c>
      <c r="I64" s="535">
        <f t="shared" si="58"/>
        <v>0</v>
      </c>
      <c r="J64" s="535">
        <f t="shared" si="58"/>
        <v>0</v>
      </c>
      <c r="K64" s="535">
        <f t="shared" si="58"/>
        <v>7629</v>
      </c>
      <c r="L64" s="535">
        <f t="shared" si="58"/>
        <v>7626</v>
      </c>
      <c r="M64" s="535">
        <f>M62+M63</f>
        <v>7719</v>
      </c>
      <c r="N64" s="535">
        <f>N62+N63</f>
        <v>8174</v>
      </c>
      <c r="O64" s="535">
        <f>O62+O63</f>
        <v>8185</v>
      </c>
      <c r="Q64" s="523"/>
    </row>
    <row r="65" spans="1:17">
      <c r="A65" s="523" t="s">
        <v>5418</v>
      </c>
      <c r="B65" s="523" t="s">
        <v>11680</v>
      </c>
      <c r="C65" s="55" t="s">
        <v>11670</v>
      </c>
      <c r="D65" s="526">
        <v>16416</v>
      </c>
      <c r="E65" s="526">
        <v>16533</v>
      </c>
      <c r="F65" s="526">
        <v>16665</v>
      </c>
      <c r="G65" s="526">
        <v>16730</v>
      </c>
      <c r="H65" s="56">
        <v>16789</v>
      </c>
      <c r="I65" s="56">
        <v>16518</v>
      </c>
      <c r="J65" s="56">
        <v>16369</v>
      </c>
      <c r="K65" s="58">
        <v>7127</v>
      </c>
      <c r="L65" s="58">
        <v>7139</v>
      </c>
      <c r="M65" s="58">
        <v>7183</v>
      </c>
      <c r="N65" s="58">
        <v>7427</v>
      </c>
      <c r="O65" s="58">
        <v>7411</v>
      </c>
      <c r="Q65" s="523" t="s">
        <v>6594</v>
      </c>
    </row>
    <row r="66" spans="1:17">
      <c r="A66" s="523" t="s">
        <v>5420</v>
      </c>
      <c r="B66" s="523" t="s">
        <v>6605</v>
      </c>
      <c r="C66" s="55" t="s">
        <v>11671</v>
      </c>
      <c r="D66" s="526">
        <v>0</v>
      </c>
      <c r="E66" s="526">
        <v>0</v>
      </c>
      <c r="F66" s="526">
        <v>0</v>
      </c>
      <c r="G66" s="526">
        <v>0</v>
      </c>
      <c r="H66" s="56">
        <v>0</v>
      </c>
      <c r="I66" s="56">
        <v>0</v>
      </c>
      <c r="J66" s="56">
        <v>0</v>
      </c>
      <c r="K66" s="56">
        <v>7277</v>
      </c>
      <c r="L66" s="56">
        <v>7479</v>
      </c>
      <c r="M66" s="56">
        <v>7516</v>
      </c>
      <c r="N66" s="56">
        <v>7684</v>
      </c>
      <c r="O66" s="56">
        <v>7669</v>
      </c>
      <c r="Q66" s="523" t="s">
        <v>6587</v>
      </c>
    </row>
    <row r="67" spans="1:17">
      <c r="A67" s="523" t="s">
        <v>5422</v>
      </c>
      <c r="B67" s="523" t="s">
        <v>6607</v>
      </c>
      <c r="C67" s="55" t="s">
        <v>11672</v>
      </c>
      <c r="D67" s="526">
        <v>0</v>
      </c>
      <c r="E67" s="526">
        <v>0</v>
      </c>
      <c r="F67" s="526">
        <v>0</v>
      </c>
      <c r="G67" s="526">
        <v>0</v>
      </c>
      <c r="H67" s="56">
        <v>0</v>
      </c>
      <c r="I67" s="56">
        <v>0</v>
      </c>
      <c r="J67" s="56">
        <v>0</v>
      </c>
      <c r="K67" s="56">
        <v>7377</v>
      </c>
      <c r="L67" s="56">
        <v>7553</v>
      </c>
      <c r="M67" s="56">
        <v>7723</v>
      </c>
      <c r="N67" s="56">
        <v>8007</v>
      </c>
      <c r="O67" s="56">
        <v>8004</v>
      </c>
      <c r="Q67" s="523" t="s">
        <v>6587</v>
      </c>
    </row>
    <row r="68" spans="1:17">
      <c r="A68" s="523" t="s">
        <v>5424</v>
      </c>
      <c r="B68" s="523" t="s">
        <v>6606</v>
      </c>
      <c r="C68" s="55" t="s">
        <v>11673</v>
      </c>
      <c r="D68" s="58">
        <v>0</v>
      </c>
      <c r="E68" s="58">
        <v>0</v>
      </c>
      <c r="F68" s="58">
        <v>0</v>
      </c>
      <c r="G68" s="58">
        <v>0</v>
      </c>
      <c r="H68" s="58">
        <v>0</v>
      </c>
      <c r="I68" s="58">
        <v>0</v>
      </c>
      <c r="J68" s="58">
        <v>0</v>
      </c>
      <c r="K68" s="56">
        <v>7150</v>
      </c>
      <c r="L68" s="56">
        <v>7215</v>
      </c>
      <c r="M68" s="56">
        <v>7347</v>
      </c>
      <c r="N68" s="56">
        <v>7376</v>
      </c>
      <c r="O68" s="56">
        <v>7390</v>
      </c>
      <c r="Q68" s="523" t="s">
        <v>6587</v>
      </c>
    </row>
    <row r="69" spans="1:17">
      <c r="A69" s="523" t="s">
        <v>5426</v>
      </c>
      <c r="B69" s="523" t="s">
        <v>892</v>
      </c>
      <c r="C69" s="55" t="s">
        <v>11674</v>
      </c>
      <c r="D69" s="56">
        <v>0</v>
      </c>
      <c r="E69" s="56">
        <v>0</v>
      </c>
      <c r="F69" s="56">
        <v>0</v>
      </c>
      <c r="G69" s="56">
        <v>0</v>
      </c>
      <c r="H69" s="56">
        <v>0</v>
      </c>
      <c r="I69" s="56">
        <v>0</v>
      </c>
      <c r="J69" s="56">
        <v>0</v>
      </c>
      <c r="K69" s="56">
        <v>7068</v>
      </c>
      <c r="L69" s="56">
        <v>7080</v>
      </c>
      <c r="M69" s="56">
        <v>7017</v>
      </c>
      <c r="N69" s="56">
        <v>7105</v>
      </c>
      <c r="O69" s="56">
        <v>7111</v>
      </c>
      <c r="Q69" s="523" t="s">
        <v>6587</v>
      </c>
    </row>
    <row r="70" spans="1:17">
      <c r="A70" s="523" t="s">
        <v>5428</v>
      </c>
      <c r="B70" s="523" t="s">
        <v>6608</v>
      </c>
      <c r="C70" s="55" t="s">
        <v>11675</v>
      </c>
      <c r="D70" s="56">
        <v>0</v>
      </c>
      <c r="E70" s="56">
        <v>0</v>
      </c>
      <c r="F70" s="56">
        <v>0</v>
      </c>
      <c r="G70" s="56">
        <v>0</v>
      </c>
      <c r="H70" s="56">
        <v>0</v>
      </c>
      <c r="I70" s="56">
        <v>0</v>
      </c>
      <c r="J70" s="56">
        <v>0</v>
      </c>
      <c r="K70" s="56">
        <v>7751</v>
      </c>
      <c r="L70" s="56">
        <v>7810</v>
      </c>
      <c r="M70" s="56">
        <v>7737</v>
      </c>
      <c r="N70" s="56">
        <v>7933</v>
      </c>
      <c r="O70" s="56">
        <v>7949</v>
      </c>
      <c r="Q70" s="523" t="s">
        <v>6587</v>
      </c>
    </row>
    <row r="71" spans="1:17">
      <c r="A71" s="523" t="s">
        <v>5429</v>
      </c>
      <c r="B71" s="523" t="s">
        <v>5139</v>
      </c>
      <c r="C71" s="55" t="s">
        <v>11676</v>
      </c>
      <c r="D71" s="56">
        <v>0</v>
      </c>
      <c r="E71" s="56">
        <v>0</v>
      </c>
      <c r="F71" s="56">
        <v>0</v>
      </c>
      <c r="G71" s="56">
        <v>0</v>
      </c>
      <c r="H71" s="56">
        <v>0</v>
      </c>
      <c r="I71" s="56">
        <v>0</v>
      </c>
      <c r="J71" s="56">
        <v>0</v>
      </c>
      <c r="K71" s="56">
        <v>7344</v>
      </c>
      <c r="L71" s="56">
        <v>7465</v>
      </c>
      <c r="M71" s="56">
        <v>7575</v>
      </c>
      <c r="N71" s="56">
        <v>7691</v>
      </c>
      <c r="O71" s="56">
        <v>7692</v>
      </c>
      <c r="Q71" s="523" t="s">
        <v>6587</v>
      </c>
    </row>
    <row r="72" spans="1:17">
      <c r="A72" s="523" t="s">
        <v>5431</v>
      </c>
      <c r="B72" s="523" t="s">
        <v>11681</v>
      </c>
      <c r="C72" s="55" t="s">
        <v>11677</v>
      </c>
      <c r="D72" s="56">
        <v>0</v>
      </c>
      <c r="E72" s="56">
        <v>0</v>
      </c>
      <c r="F72" s="56">
        <v>0</v>
      </c>
      <c r="G72" s="56">
        <v>0</v>
      </c>
      <c r="H72" s="56">
        <v>0</v>
      </c>
      <c r="I72" s="56">
        <v>0</v>
      </c>
      <c r="J72" s="56">
        <v>0</v>
      </c>
      <c r="K72" s="56">
        <v>124</v>
      </c>
      <c r="L72" s="56">
        <v>120</v>
      </c>
      <c r="M72" s="56">
        <v>125</v>
      </c>
      <c r="N72" s="56">
        <v>128</v>
      </c>
      <c r="O72" s="56">
        <v>128</v>
      </c>
      <c r="Q72" s="523" t="s">
        <v>2783</v>
      </c>
    </row>
    <row r="73" spans="1:17" ht="15.75" thickBot="1">
      <c r="C73" s="55" t="s">
        <v>11677</v>
      </c>
      <c r="D73" s="56">
        <v>0</v>
      </c>
      <c r="E73" s="56">
        <v>0</v>
      </c>
      <c r="F73" s="56">
        <v>0</v>
      </c>
      <c r="G73" s="56">
        <v>0</v>
      </c>
      <c r="H73" s="56">
        <v>0</v>
      </c>
      <c r="I73" s="56">
        <v>0</v>
      </c>
      <c r="J73" s="56">
        <v>0</v>
      </c>
      <c r="K73" s="58">
        <v>7377</v>
      </c>
      <c r="L73" s="58">
        <v>7389</v>
      </c>
      <c r="M73" s="58">
        <v>7388</v>
      </c>
      <c r="N73" s="58">
        <v>7434</v>
      </c>
      <c r="O73" s="58">
        <v>7428</v>
      </c>
      <c r="Q73" s="523" t="s">
        <v>6594</v>
      </c>
    </row>
    <row r="74" spans="1:17" ht="15.75" thickBot="1">
      <c r="A74" s="523"/>
      <c r="B74" s="523"/>
      <c r="C74" s="55" t="s">
        <v>11677</v>
      </c>
      <c r="D74" s="535">
        <f t="shared" ref="D74:O74" si="59">D72+D73</f>
        <v>0</v>
      </c>
      <c r="E74" s="535">
        <f t="shared" si="59"/>
        <v>0</v>
      </c>
      <c r="F74" s="535">
        <f t="shared" si="59"/>
        <v>0</v>
      </c>
      <c r="G74" s="535">
        <f t="shared" si="59"/>
        <v>0</v>
      </c>
      <c r="H74" s="535">
        <f t="shared" si="59"/>
        <v>0</v>
      </c>
      <c r="I74" s="535">
        <f t="shared" si="59"/>
        <v>0</v>
      </c>
      <c r="J74" s="535">
        <f t="shared" si="59"/>
        <v>0</v>
      </c>
      <c r="K74" s="535">
        <f t="shared" si="59"/>
        <v>7501</v>
      </c>
      <c r="L74" s="535">
        <f t="shared" si="59"/>
        <v>7509</v>
      </c>
      <c r="M74" s="535">
        <f t="shared" si="59"/>
        <v>7513</v>
      </c>
      <c r="N74" s="535">
        <f t="shared" si="59"/>
        <v>7562</v>
      </c>
      <c r="O74" s="535">
        <f t="shared" si="59"/>
        <v>7556</v>
      </c>
      <c r="Q74" s="523"/>
    </row>
    <row r="75" spans="1:17">
      <c r="A75" s="523" t="s">
        <v>5433</v>
      </c>
      <c r="B75" s="523" t="s">
        <v>5022</v>
      </c>
      <c r="C75" s="55" t="s">
        <v>11678</v>
      </c>
      <c r="D75" s="56">
        <v>0</v>
      </c>
      <c r="E75" s="56">
        <v>0</v>
      </c>
      <c r="F75" s="56">
        <v>0</v>
      </c>
      <c r="G75" s="56">
        <v>0</v>
      </c>
      <c r="H75" s="56">
        <v>0</v>
      </c>
      <c r="I75" s="56">
        <v>0</v>
      </c>
      <c r="J75" s="56">
        <v>0</v>
      </c>
      <c r="K75" s="56">
        <v>7963</v>
      </c>
      <c r="L75" s="56">
        <v>7996</v>
      </c>
      <c r="M75" s="56">
        <v>7973</v>
      </c>
      <c r="N75" s="56">
        <v>8146</v>
      </c>
      <c r="O75" s="56">
        <v>8151</v>
      </c>
      <c r="Q75" s="523" t="s">
        <v>6587</v>
      </c>
    </row>
    <row r="76" spans="1:17">
      <c r="D76" s="526"/>
      <c r="E76" s="526"/>
      <c r="F76" s="526"/>
      <c r="G76" s="526"/>
      <c r="H76" s="526"/>
      <c r="I76" s="526"/>
      <c r="J76" s="526"/>
      <c r="K76" s="526"/>
      <c r="L76" s="526"/>
      <c r="M76" s="526"/>
      <c r="N76" s="526"/>
      <c r="O76" s="526"/>
    </row>
    <row r="77" spans="1:17">
      <c r="A77" s="523" t="s">
        <v>5140</v>
      </c>
      <c r="D77" s="525">
        <f>D58+D59+D72</f>
        <v>15541</v>
      </c>
      <c r="E77" s="525">
        <f t="shared" ref="E77:K77" si="60">E58+E59+E72</f>
        <v>15521</v>
      </c>
      <c r="F77" s="525">
        <f t="shared" si="60"/>
        <v>15564</v>
      </c>
      <c r="G77" s="525">
        <f t="shared" si="60"/>
        <v>15752</v>
      </c>
      <c r="H77" s="525">
        <f t="shared" si="60"/>
        <v>15679</v>
      </c>
      <c r="I77" s="525">
        <f t="shared" si="60"/>
        <v>15618</v>
      </c>
      <c r="J77" s="525">
        <f t="shared" si="60"/>
        <v>15689</v>
      </c>
      <c r="K77" s="525">
        <f t="shared" si="60"/>
        <v>16271</v>
      </c>
      <c r="L77" s="525">
        <f>L58+L59+L72</f>
        <v>16492</v>
      </c>
      <c r="M77" s="525">
        <f>M58+M59+M72</f>
        <v>16504</v>
      </c>
      <c r="N77" s="525">
        <f>N58+N59+N72</f>
        <v>16732</v>
      </c>
      <c r="O77" s="525">
        <f>O58+O59+O72</f>
        <v>16722</v>
      </c>
    </row>
    <row r="78" spans="1:17">
      <c r="A78" s="523" t="s">
        <v>6587</v>
      </c>
      <c r="D78" s="525">
        <f>D57+SUM(D60:D62)+SUM(D66:D71)+D75</f>
        <v>79271</v>
      </c>
      <c r="E78" s="525">
        <f t="shared" ref="E78:K78" si="61">E57+SUM(E60:E62)+SUM(E66:E71)+E75</f>
        <v>79334</v>
      </c>
      <c r="F78" s="525">
        <f t="shared" si="61"/>
        <v>79603</v>
      </c>
      <c r="G78" s="525">
        <f t="shared" si="61"/>
        <v>80134</v>
      </c>
      <c r="H78" s="525">
        <f t="shared" si="61"/>
        <v>79797</v>
      </c>
      <c r="I78" s="525">
        <f t="shared" si="61"/>
        <v>78377</v>
      </c>
      <c r="J78" s="525">
        <f t="shared" si="61"/>
        <v>77916</v>
      </c>
      <c r="K78" s="525">
        <f t="shared" si="61"/>
        <v>80748</v>
      </c>
      <c r="L78" s="525">
        <f>L57+SUM(L60:L62)+SUM(L66:L71)+L75</f>
        <v>81749</v>
      </c>
      <c r="M78" s="525">
        <f>M57+SUM(M60:M62)+SUM(M66:M71)+M75</f>
        <v>82373</v>
      </c>
      <c r="N78" s="525">
        <f>N57+SUM(N60:N62)+SUM(N66:N71)+N75</f>
        <v>84496</v>
      </c>
      <c r="O78" s="525">
        <f>O57+SUM(O60:O62)+SUM(O66:O71)+O75</f>
        <v>84513</v>
      </c>
    </row>
    <row r="79" spans="1:17">
      <c r="A79" s="523" t="s">
        <v>5141</v>
      </c>
      <c r="D79" s="525">
        <f>D63+D65+D73</f>
        <v>16416</v>
      </c>
      <c r="E79" s="525">
        <f t="shared" ref="E79:K79" si="62">E63+E65+E73</f>
        <v>16533</v>
      </c>
      <c r="F79" s="525">
        <f t="shared" si="62"/>
        <v>16665</v>
      </c>
      <c r="G79" s="525">
        <f t="shared" si="62"/>
        <v>16730</v>
      </c>
      <c r="H79" s="525">
        <f t="shared" si="62"/>
        <v>16789</v>
      </c>
      <c r="I79" s="525">
        <f t="shared" si="62"/>
        <v>16518</v>
      </c>
      <c r="J79" s="525">
        <f t="shared" si="62"/>
        <v>16369</v>
      </c>
      <c r="K79" s="525">
        <f t="shared" si="62"/>
        <v>16985</v>
      </c>
      <c r="L79" s="525">
        <f>L63+L65+L73</f>
        <v>17064</v>
      </c>
      <c r="M79" s="525">
        <f>M63+M65+M73</f>
        <v>17077</v>
      </c>
      <c r="N79" s="525">
        <f>N63+N65+N73</f>
        <v>17426</v>
      </c>
      <c r="O79" s="525">
        <f>O63+O65+O73</f>
        <v>17411</v>
      </c>
    </row>
    <row r="80" spans="1:17">
      <c r="A80" s="523"/>
      <c r="D80" s="525"/>
      <c r="E80" s="525"/>
      <c r="F80" s="525"/>
      <c r="G80" s="525"/>
      <c r="H80" s="525"/>
      <c r="I80" s="525"/>
      <c r="J80" s="525"/>
      <c r="K80" s="525"/>
      <c r="L80" s="525"/>
      <c r="M80" s="525"/>
      <c r="N80" s="525"/>
      <c r="O80" s="525"/>
    </row>
    <row r="81" spans="1:17">
      <c r="A81" s="523" t="s">
        <v>11663</v>
      </c>
      <c r="D81" s="525"/>
      <c r="E81" s="525"/>
      <c r="F81" s="525"/>
      <c r="G81" s="525"/>
      <c r="H81" s="525"/>
      <c r="I81" s="525"/>
      <c r="J81" s="525"/>
      <c r="K81" s="525"/>
      <c r="L81" s="525"/>
      <c r="M81" s="525"/>
      <c r="N81" s="525"/>
      <c r="O81" s="525"/>
    </row>
    <row r="82" spans="1:17">
      <c r="A82" s="523"/>
      <c r="B82" s="523"/>
      <c r="D82" s="536"/>
      <c r="E82" s="536"/>
      <c r="F82" s="536"/>
      <c r="G82" s="536"/>
      <c r="H82" s="536"/>
      <c r="I82" s="536"/>
      <c r="J82" s="536"/>
      <c r="K82" s="536"/>
      <c r="L82" s="536"/>
      <c r="M82" s="536"/>
      <c r="N82" s="536"/>
      <c r="O82" s="536"/>
    </row>
    <row r="83" spans="1:17">
      <c r="A83" s="523"/>
      <c r="B83" s="523"/>
      <c r="D83" s="536"/>
      <c r="E83" s="536"/>
      <c r="F83" s="536"/>
      <c r="G83" s="536"/>
      <c r="H83" s="536"/>
      <c r="I83" s="536"/>
      <c r="J83" s="536"/>
      <c r="K83" s="536"/>
      <c r="L83" s="536"/>
      <c r="M83" s="536"/>
      <c r="N83" s="536"/>
      <c r="O83" s="536"/>
    </row>
    <row r="84" spans="1:17">
      <c r="E84" s="51" t="s">
        <v>1526</v>
      </c>
      <c r="F84" s="51"/>
      <c r="G84" s="51"/>
      <c r="H84" s="51"/>
      <c r="I84" s="51"/>
      <c r="J84" s="51"/>
      <c r="K84" s="51"/>
      <c r="L84" s="51"/>
      <c r="M84" s="51"/>
      <c r="N84" s="51"/>
      <c r="O84" s="51"/>
      <c r="P84" s="11"/>
      <c r="Q84" s="11" t="s">
        <v>9479</v>
      </c>
    </row>
    <row r="85" spans="1:17">
      <c r="D85" s="350">
        <v>2010</v>
      </c>
      <c r="E85" s="350">
        <v>2011</v>
      </c>
      <c r="F85" s="350">
        <v>2012</v>
      </c>
      <c r="G85" s="350">
        <v>2013</v>
      </c>
      <c r="H85" s="350">
        <v>2014</v>
      </c>
      <c r="I85" s="350">
        <v>2015</v>
      </c>
      <c r="J85" s="350">
        <v>2016</v>
      </c>
      <c r="K85" s="350">
        <v>2017</v>
      </c>
      <c r="L85" s="350">
        <v>2018</v>
      </c>
      <c r="M85" s="350">
        <v>2019</v>
      </c>
      <c r="N85" s="350">
        <v>2020</v>
      </c>
      <c r="O85" s="957" t="s">
        <v>14823</v>
      </c>
      <c r="Q85" s="13" t="s">
        <v>1527</v>
      </c>
    </row>
    <row r="86" spans="1:17">
      <c r="A86" s="523" t="s">
        <v>5142</v>
      </c>
      <c r="D86" s="525">
        <f t="shared" ref="D86:I86" si="63">SUM(D87:D116)</f>
        <v>317103</v>
      </c>
      <c r="E86" s="525">
        <f t="shared" si="63"/>
        <v>315865</v>
      </c>
      <c r="F86" s="525">
        <f t="shared" si="63"/>
        <v>316483</v>
      </c>
      <c r="G86" s="525">
        <f t="shared" si="63"/>
        <v>317585</v>
      </c>
      <c r="H86" s="525">
        <f t="shared" si="63"/>
        <v>319104</v>
      </c>
      <c r="I86" s="525">
        <f t="shared" si="63"/>
        <v>299961</v>
      </c>
      <c r="J86" s="525">
        <f t="shared" ref="J86:O86" si="64">SUM(J87:J116)</f>
        <v>303978</v>
      </c>
      <c r="K86" s="525">
        <f t="shared" si="64"/>
        <v>312360</v>
      </c>
      <c r="L86" s="525">
        <f t="shared" si="64"/>
        <v>313534</v>
      </c>
      <c r="M86" s="525">
        <f t="shared" si="64"/>
        <v>310166</v>
      </c>
      <c r="N86" s="525">
        <f t="shared" si="64"/>
        <v>333508</v>
      </c>
      <c r="O86" s="525">
        <f t="shared" si="64"/>
        <v>332091</v>
      </c>
    </row>
    <row r="87" spans="1:17">
      <c r="A87" s="523" t="s">
        <v>5387</v>
      </c>
      <c r="B87" s="523" t="s">
        <v>5143</v>
      </c>
      <c r="C87" s="55" t="s">
        <v>7152</v>
      </c>
      <c r="D87" s="526">
        <v>11011</v>
      </c>
      <c r="E87" s="526">
        <v>10961</v>
      </c>
      <c r="F87" s="526">
        <v>11040</v>
      </c>
      <c r="G87" s="526">
        <v>11147</v>
      </c>
      <c r="H87" s="56">
        <v>11179</v>
      </c>
      <c r="I87" s="56">
        <v>11012</v>
      </c>
      <c r="J87" s="56">
        <v>11090</v>
      </c>
      <c r="K87" s="56">
        <v>11331</v>
      </c>
      <c r="L87" s="56">
        <v>11428</v>
      </c>
      <c r="M87" s="56">
        <v>11320</v>
      </c>
      <c r="N87" s="56">
        <v>11594</v>
      </c>
      <c r="O87" s="56">
        <v>11556</v>
      </c>
      <c r="Q87" s="523" t="s">
        <v>2783</v>
      </c>
    </row>
    <row r="88" spans="1:17">
      <c r="A88" s="523" t="s">
        <v>5389</v>
      </c>
      <c r="B88" s="523" t="s">
        <v>5144</v>
      </c>
      <c r="C88" s="55" t="s">
        <v>7153</v>
      </c>
      <c r="D88" s="526">
        <v>9459</v>
      </c>
      <c r="E88" s="526">
        <v>9381</v>
      </c>
      <c r="F88" s="526">
        <v>9324</v>
      </c>
      <c r="G88" s="526">
        <v>9360</v>
      </c>
      <c r="H88" s="56">
        <v>9169</v>
      </c>
      <c r="I88" s="56">
        <v>8769</v>
      </c>
      <c r="J88" s="56">
        <v>8764</v>
      </c>
      <c r="K88" s="56">
        <v>8923</v>
      </c>
      <c r="L88" s="56">
        <v>8874</v>
      </c>
      <c r="M88" s="56">
        <v>8722</v>
      </c>
      <c r="N88" s="56">
        <v>9085</v>
      </c>
      <c r="O88" s="56">
        <v>9061</v>
      </c>
      <c r="Q88" s="523" t="s">
        <v>6589</v>
      </c>
    </row>
    <row r="89" spans="1:17">
      <c r="A89" s="523" t="s">
        <v>5391</v>
      </c>
      <c r="B89" s="523" t="s">
        <v>5145</v>
      </c>
      <c r="C89" s="55" t="s">
        <v>7154</v>
      </c>
      <c r="D89" s="526">
        <v>10634</v>
      </c>
      <c r="E89" s="526">
        <v>10885</v>
      </c>
      <c r="F89" s="526">
        <v>11053</v>
      </c>
      <c r="G89" s="526">
        <v>11155</v>
      </c>
      <c r="H89" s="56">
        <v>11247</v>
      </c>
      <c r="I89" s="56">
        <v>11060</v>
      </c>
      <c r="J89" s="56">
        <v>11158</v>
      </c>
      <c r="K89" s="56">
        <v>11292</v>
      </c>
      <c r="L89" s="56">
        <v>11474</v>
      </c>
      <c r="M89" s="56">
        <v>11425</v>
      </c>
      <c r="N89" s="56">
        <v>11763</v>
      </c>
      <c r="O89" s="56">
        <v>11746</v>
      </c>
      <c r="Q89" s="523" t="s">
        <v>2783</v>
      </c>
    </row>
    <row r="90" spans="1:17">
      <c r="A90" s="523" t="s">
        <v>5393</v>
      </c>
      <c r="B90" s="523" t="s">
        <v>6024</v>
      </c>
      <c r="C90" s="55" t="s">
        <v>7155</v>
      </c>
      <c r="D90" s="526">
        <v>11112</v>
      </c>
      <c r="E90" s="526">
        <v>11785</v>
      </c>
      <c r="F90" s="526">
        <v>12450</v>
      </c>
      <c r="G90" s="526">
        <v>12894</v>
      </c>
      <c r="H90" s="56">
        <v>13196</v>
      </c>
      <c r="I90" s="56">
        <v>7958</v>
      </c>
      <c r="J90" s="56">
        <v>9353</v>
      </c>
      <c r="K90" s="56">
        <v>10299</v>
      </c>
      <c r="L90" s="56">
        <v>8091</v>
      </c>
      <c r="M90" s="56">
        <v>8174</v>
      </c>
      <c r="N90" s="56">
        <v>12829</v>
      </c>
      <c r="O90" s="56">
        <v>12669</v>
      </c>
      <c r="Q90" s="523" t="s">
        <v>6588</v>
      </c>
    </row>
    <row r="91" spans="1:17">
      <c r="A91" s="523" t="s">
        <v>5394</v>
      </c>
      <c r="B91" s="523" t="s">
        <v>5146</v>
      </c>
      <c r="C91" s="55" t="s">
        <v>7156</v>
      </c>
      <c r="D91" s="526">
        <v>11060</v>
      </c>
      <c r="E91" s="526">
        <v>11122</v>
      </c>
      <c r="F91" s="526">
        <v>11067</v>
      </c>
      <c r="G91" s="526">
        <v>11015</v>
      </c>
      <c r="H91" s="58">
        <v>11105</v>
      </c>
      <c r="I91" s="58">
        <v>10610</v>
      </c>
      <c r="J91" s="58">
        <v>10784</v>
      </c>
      <c r="K91" s="58">
        <v>10877</v>
      </c>
      <c r="L91" s="58">
        <v>10745</v>
      </c>
      <c r="M91" s="58">
        <v>10681</v>
      </c>
      <c r="N91" s="58">
        <v>11080</v>
      </c>
      <c r="O91" s="58">
        <v>11058</v>
      </c>
      <c r="Q91" s="523" t="s">
        <v>6590</v>
      </c>
    </row>
    <row r="92" spans="1:17">
      <c r="A92" s="523" t="s">
        <v>5416</v>
      </c>
      <c r="B92" s="523" t="s">
        <v>1631</v>
      </c>
      <c r="C92" s="55" t="s">
        <v>7157</v>
      </c>
      <c r="D92" s="526">
        <v>10688</v>
      </c>
      <c r="E92" s="526">
        <v>10618</v>
      </c>
      <c r="F92" s="526">
        <v>10621</v>
      </c>
      <c r="G92" s="526">
        <v>10637</v>
      </c>
      <c r="H92" s="58">
        <v>10717</v>
      </c>
      <c r="I92" s="58">
        <v>10509</v>
      </c>
      <c r="J92" s="58">
        <v>10373</v>
      </c>
      <c r="K92" s="58">
        <v>10527</v>
      </c>
      <c r="L92" s="58">
        <v>10488</v>
      </c>
      <c r="M92" s="58">
        <v>10314</v>
      </c>
      <c r="N92" s="58">
        <v>10734</v>
      </c>
      <c r="O92" s="58">
        <v>10688</v>
      </c>
      <c r="Q92" s="523" t="s">
        <v>6590</v>
      </c>
    </row>
    <row r="93" spans="1:17">
      <c r="A93" s="523" t="s">
        <v>5418</v>
      </c>
      <c r="B93" s="523" t="s">
        <v>5147</v>
      </c>
      <c r="C93" s="55" t="s">
        <v>7158</v>
      </c>
      <c r="D93" s="526">
        <v>11179</v>
      </c>
      <c r="E93" s="526">
        <v>11092</v>
      </c>
      <c r="F93" s="526">
        <v>11006</v>
      </c>
      <c r="G93" s="526">
        <v>11169</v>
      </c>
      <c r="H93" s="56">
        <v>11131</v>
      </c>
      <c r="I93" s="56">
        <v>10754</v>
      </c>
      <c r="J93" s="56">
        <v>10704</v>
      </c>
      <c r="K93" s="56">
        <v>10865</v>
      </c>
      <c r="L93" s="56">
        <v>11036</v>
      </c>
      <c r="M93" s="56">
        <v>10882</v>
      </c>
      <c r="N93" s="56">
        <v>11206</v>
      </c>
      <c r="O93" s="56">
        <v>11172</v>
      </c>
      <c r="Q93" s="523" t="s">
        <v>6589</v>
      </c>
    </row>
    <row r="94" spans="1:17">
      <c r="A94" s="523" t="s">
        <v>5420</v>
      </c>
      <c r="B94" s="523" t="s">
        <v>5148</v>
      </c>
      <c r="C94" s="55" t="s">
        <v>7159</v>
      </c>
      <c r="D94" s="526">
        <v>9748</v>
      </c>
      <c r="E94" s="526">
        <v>9498</v>
      </c>
      <c r="F94" s="526">
        <v>9554</v>
      </c>
      <c r="G94" s="526">
        <v>9667</v>
      </c>
      <c r="H94" s="56">
        <v>9588</v>
      </c>
      <c r="I94" s="56">
        <v>9142</v>
      </c>
      <c r="J94" s="56">
        <v>9088</v>
      </c>
      <c r="K94" s="56">
        <v>9221</v>
      </c>
      <c r="L94" s="56">
        <v>9112</v>
      </c>
      <c r="M94" s="56">
        <v>8912</v>
      </c>
      <c r="N94" s="56">
        <v>9268</v>
      </c>
      <c r="O94" s="56">
        <v>9222</v>
      </c>
      <c r="Q94" s="523" t="s">
        <v>6589</v>
      </c>
    </row>
    <row r="95" spans="1:17">
      <c r="A95" s="523" t="s">
        <v>5422</v>
      </c>
      <c r="B95" s="523" t="s">
        <v>5132</v>
      </c>
      <c r="C95" s="55" t="s">
        <v>7160</v>
      </c>
      <c r="D95" s="526">
        <v>11131</v>
      </c>
      <c r="E95" s="526">
        <v>11240</v>
      </c>
      <c r="F95" s="526">
        <v>11402</v>
      </c>
      <c r="G95" s="526">
        <v>11544</v>
      </c>
      <c r="H95" s="56">
        <v>11574</v>
      </c>
      <c r="I95" s="56">
        <v>11329</v>
      </c>
      <c r="J95" s="56">
        <v>11285</v>
      </c>
      <c r="K95" s="56">
        <v>11424</v>
      </c>
      <c r="L95" s="56">
        <v>11460</v>
      </c>
      <c r="M95" s="56">
        <v>11475</v>
      </c>
      <c r="N95" s="56">
        <v>11869</v>
      </c>
      <c r="O95" s="56">
        <v>11829</v>
      </c>
      <c r="Q95" s="523" t="s">
        <v>2783</v>
      </c>
    </row>
    <row r="96" spans="1:17">
      <c r="A96" s="523" t="s">
        <v>5424</v>
      </c>
      <c r="B96" s="523" t="s">
        <v>5133</v>
      </c>
      <c r="C96" s="55" t="s">
        <v>7161</v>
      </c>
      <c r="D96" s="526">
        <v>10551</v>
      </c>
      <c r="E96" s="526">
        <v>10458</v>
      </c>
      <c r="F96" s="526">
        <v>10359</v>
      </c>
      <c r="G96" s="526">
        <v>10341</v>
      </c>
      <c r="H96" s="58">
        <v>10419</v>
      </c>
      <c r="I96" s="58">
        <v>10000</v>
      </c>
      <c r="J96" s="58">
        <v>9980</v>
      </c>
      <c r="K96" s="58">
        <v>10117</v>
      </c>
      <c r="L96" s="58">
        <v>10267</v>
      </c>
      <c r="M96" s="58">
        <v>10174</v>
      </c>
      <c r="N96" s="58">
        <v>10434</v>
      </c>
      <c r="O96" s="58">
        <v>10411</v>
      </c>
      <c r="Q96" s="523" t="s">
        <v>6591</v>
      </c>
    </row>
    <row r="97" spans="1:17">
      <c r="A97" s="523" t="s">
        <v>5426</v>
      </c>
      <c r="B97" s="523" t="s">
        <v>5134</v>
      </c>
      <c r="C97" s="55" t="s">
        <v>7162</v>
      </c>
      <c r="D97" s="526">
        <v>9825</v>
      </c>
      <c r="E97" s="526">
        <v>9644</v>
      </c>
      <c r="F97" s="526">
        <v>9717</v>
      </c>
      <c r="G97" s="526">
        <v>9749</v>
      </c>
      <c r="H97" s="58">
        <v>9967</v>
      </c>
      <c r="I97" s="58">
        <v>9700</v>
      </c>
      <c r="J97" s="58">
        <v>9832</v>
      </c>
      <c r="K97" s="58">
        <v>10051</v>
      </c>
      <c r="L97" s="58">
        <v>10254</v>
      </c>
      <c r="M97" s="58">
        <v>10028</v>
      </c>
      <c r="N97" s="58">
        <v>10690</v>
      </c>
      <c r="O97" s="58">
        <v>10666</v>
      </c>
      <c r="Q97" s="523" t="s">
        <v>6589</v>
      </c>
    </row>
    <row r="98" spans="1:17">
      <c r="A98" s="523" t="s">
        <v>5428</v>
      </c>
      <c r="B98" s="523" t="s">
        <v>5135</v>
      </c>
      <c r="C98" s="55" t="s">
        <v>7163</v>
      </c>
      <c r="D98" s="526">
        <v>11335</v>
      </c>
      <c r="E98" s="526">
        <v>11161</v>
      </c>
      <c r="F98" s="526">
        <v>11105</v>
      </c>
      <c r="G98" s="526">
        <v>11133</v>
      </c>
      <c r="H98" s="58">
        <v>11168</v>
      </c>
      <c r="I98" s="58">
        <v>10854</v>
      </c>
      <c r="J98" s="58">
        <v>10768</v>
      </c>
      <c r="K98" s="58">
        <v>10933</v>
      </c>
      <c r="L98" s="58">
        <v>11105</v>
      </c>
      <c r="M98" s="58">
        <v>11034</v>
      </c>
      <c r="N98" s="58">
        <v>11529</v>
      </c>
      <c r="O98" s="58">
        <v>11513</v>
      </c>
      <c r="Q98" s="523" t="s">
        <v>6589</v>
      </c>
    </row>
    <row r="99" spans="1:17">
      <c r="A99" s="523" t="s">
        <v>5429</v>
      </c>
      <c r="B99" s="523" t="s">
        <v>3645</v>
      </c>
      <c r="C99" s="55" t="s">
        <v>7164</v>
      </c>
      <c r="D99" s="526">
        <v>10227</v>
      </c>
      <c r="E99" s="526">
        <v>10043</v>
      </c>
      <c r="F99" s="526">
        <v>10535</v>
      </c>
      <c r="G99" s="526">
        <v>10309</v>
      </c>
      <c r="H99" s="56">
        <v>10011</v>
      </c>
      <c r="I99" s="56">
        <v>8048</v>
      </c>
      <c r="J99" s="56">
        <v>7985</v>
      </c>
      <c r="K99" s="56">
        <v>8382</v>
      </c>
      <c r="L99" s="56">
        <v>8726</v>
      </c>
      <c r="M99" s="56">
        <v>8254</v>
      </c>
      <c r="N99" s="56">
        <v>10574</v>
      </c>
      <c r="O99" s="56">
        <v>10425</v>
      </c>
      <c r="Q99" s="523" t="s">
        <v>6588</v>
      </c>
    </row>
    <row r="100" spans="1:17">
      <c r="A100" s="523" t="s">
        <v>5431</v>
      </c>
      <c r="B100" s="523" t="s">
        <v>3646</v>
      </c>
      <c r="C100" s="55" t="s">
        <v>7165</v>
      </c>
      <c r="D100" s="526">
        <v>8500</v>
      </c>
      <c r="E100" s="526">
        <v>8454</v>
      </c>
      <c r="F100" s="526">
        <v>8497</v>
      </c>
      <c r="G100" s="526">
        <v>8574</v>
      </c>
      <c r="H100" s="58">
        <v>8514</v>
      </c>
      <c r="I100" s="58">
        <v>8029</v>
      </c>
      <c r="J100" s="58">
        <v>8036</v>
      </c>
      <c r="K100" s="58">
        <v>8288</v>
      </c>
      <c r="L100" s="58">
        <v>8501</v>
      </c>
      <c r="M100" s="58">
        <v>8450</v>
      </c>
      <c r="N100" s="58">
        <v>9192</v>
      </c>
      <c r="O100" s="58">
        <v>9125</v>
      </c>
      <c r="Q100" s="523" t="s">
        <v>6590</v>
      </c>
    </row>
    <row r="101" spans="1:17">
      <c r="A101" s="523" t="s">
        <v>5433</v>
      </c>
      <c r="B101" s="523" t="s">
        <v>5149</v>
      </c>
      <c r="C101" s="55" t="s">
        <v>7166</v>
      </c>
      <c r="D101" s="526">
        <v>11150</v>
      </c>
      <c r="E101" s="526">
        <v>11173</v>
      </c>
      <c r="F101" s="526">
        <v>11294</v>
      </c>
      <c r="G101" s="526">
        <v>11462</v>
      </c>
      <c r="H101" s="56">
        <v>11530</v>
      </c>
      <c r="I101" s="56">
        <v>10379</v>
      </c>
      <c r="J101" s="56">
        <v>10453</v>
      </c>
      <c r="K101" s="56">
        <v>10831</v>
      </c>
      <c r="L101" s="56">
        <v>10852</v>
      </c>
      <c r="M101" s="56">
        <v>10409</v>
      </c>
      <c r="N101" s="56">
        <v>11445</v>
      </c>
      <c r="O101" s="56">
        <v>11406</v>
      </c>
      <c r="Q101" s="523" t="s">
        <v>6588</v>
      </c>
    </row>
    <row r="102" spans="1:17">
      <c r="A102" s="523" t="s">
        <v>5435</v>
      </c>
      <c r="B102" s="523" t="s">
        <v>5150</v>
      </c>
      <c r="C102" s="55" t="s">
        <v>7167</v>
      </c>
      <c r="D102" s="526">
        <v>9880</v>
      </c>
      <c r="E102" s="526">
        <v>9756</v>
      </c>
      <c r="F102" s="526">
        <v>9875</v>
      </c>
      <c r="G102" s="526">
        <v>9964</v>
      </c>
      <c r="H102" s="58">
        <v>10085</v>
      </c>
      <c r="I102" s="58">
        <v>9807</v>
      </c>
      <c r="J102" s="58">
        <v>10095</v>
      </c>
      <c r="K102" s="58">
        <v>10328</v>
      </c>
      <c r="L102" s="58">
        <v>10430</v>
      </c>
      <c r="M102" s="58">
        <v>10317</v>
      </c>
      <c r="N102" s="58">
        <v>10628</v>
      </c>
      <c r="O102" s="58">
        <v>10588</v>
      </c>
      <c r="Q102" s="523" t="s">
        <v>6591</v>
      </c>
    </row>
    <row r="103" spans="1:17">
      <c r="A103" s="523" t="s">
        <v>5436</v>
      </c>
      <c r="B103" s="523" t="s">
        <v>5151</v>
      </c>
      <c r="C103" s="55" t="s">
        <v>7168</v>
      </c>
      <c r="D103" s="537">
        <v>10549</v>
      </c>
      <c r="E103" s="537">
        <v>10490</v>
      </c>
      <c r="F103" s="537">
        <v>10328</v>
      </c>
      <c r="G103" s="537">
        <v>9708</v>
      </c>
      <c r="H103" s="56">
        <v>10237</v>
      </c>
      <c r="I103" s="56">
        <v>9222</v>
      </c>
      <c r="J103" s="56">
        <v>9639</v>
      </c>
      <c r="K103" s="56">
        <v>9727</v>
      </c>
      <c r="L103" s="56">
        <v>9289</v>
      </c>
      <c r="M103" s="56">
        <v>9252</v>
      </c>
      <c r="N103" s="56">
        <v>9195</v>
      </c>
      <c r="O103" s="56">
        <v>9159</v>
      </c>
      <c r="Q103" s="523" t="s">
        <v>6588</v>
      </c>
    </row>
    <row r="104" spans="1:17">
      <c r="A104" s="523" t="s">
        <v>5437</v>
      </c>
      <c r="B104" s="523" t="s">
        <v>5152</v>
      </c>
      <c r="C104" s="55" t="s">
        <v>7169</v>
      </c>
      <c r="D104" s="537">
        <v>10177</v>
      </c>
      <c r="E104" s="537">
        <v>9969</v>
      </c>
      <c r="F104" s="537">
        <v>10102</v>
      </c>
      <c r="G104" s="537">
        <v>10270</v>
      </c>
      <c r="H104" s="58">
        <v>10329</v>
      </c>
      <c r="I104" s="58">
        <v>10039</v>
      </c>
      <c r="J104" s="58">
        <v>10233</v>
      </c>
      <c r="K104" s="58">
        <v>10731</v>
      </c>
      <c r="L104" s="58">
        <v>11231</v>
      </c>
      <c r="M104" s="58">
        <v>11421</v>
      </c>
      <c r="N104" s="58">
        <v>12078</v>
      </c>
      <c r="O104" s="58">
        <v>12054</v>
      </c>
      <c r="Q104" s="523" t="s">
        <v>6591</v>
      </c>
    </row>
    <row r="105" spans="1:17">
      <c r="A105" s="523" t="s">
        <v>5439</v>
      </c>
      <c r="B105" s="523" t="s">
        <v>5153</v>
      </c>
      <c r="C105" s="55" t="s">
        <v>7170</v>
      </c>
      <c r="D105" s="526">
        <v>11226</v>
      </c>
      <c r="E105" s="526">
        <v>11124</v>
      </c>
      <c r="F105" s="526">
        <v>11137</v>
      </c>
      <c r="G105" s="526">
        <v>11086</v>
      </c>
      <c r="H105" s="58">
        <v>11128</v>
      </c>
      <c r="I105" s="58">
        <v>10833</v>
      </c>
      <c r="J105" s="58">
        <v>10679</v>
      </c>
      <c r="K105" s="58">
        <v>10853</v>
      </c>
      <c r="L105" s="58">
        <v>11026</v>
      </c>
      <c r="M105" s="58">
        <v>10959</v>
      </c>
      <c r="N105" s="58">
        <v>11357</v>
      </c>
      <c r="O105" s="58">
        <v>11330</v>
      </c>
      <c r="Q105" s="523" t="s">
        <v>6590</v>
      </c>
    </row>
    <row r="106" spans="1:17">
      <c r="A106" s="523" t="s">
        <v>5441</v>
      </c>
      <c r="B106" s="523" t="s">
        <v>5154</v>
      </c>
      <c r="C106" s="55" t="s">
        <v>7171</v>
      </c>
      <c r="D106" s="537">
        <v>10281</v>
      </c>
      <c r="E106" s="537">
        <v>10189</v>
      </c>
      <c r="F106" s="537">
        <v>10080</v>
      </c>
      <c r="G106" s="537">
        <v>9811</v>
      </c>
      <c r="H106" s="58">
        <v>9741</v>
      </c>
      <c r="I106" s="58">
        <v>8893</v>
      </c>
      <c r="J106" s="58">
        <v>8756</v>
      </c>
      <c r="K106" s="58">
        <v>9116</v>
      </c>
      <c r="L106" s="58">
        <v>9407</v>
      </c>
      <c r="M106" s="58">
        <v>9163</v>
      </c>
      <c r="N106" s="58">
        <v>10843</v>
      </c>
      <c r="O106" s="58">
        <v>10747</v>
      </c>
      <c r="Q106" s="523" t="s">
        <v>6590</v>
      </c>
    </row>
    <row r="107" spans="1:17">
      <c r="A107" s="523" t="s">
        <v>5886</v>
      </c>
      <c r="B107" s="523" t="s">
        <v>5058</v>
      </c>
      <c r="C107" s="55" t="s">
        <v>7172</v>
      </c>
      <c r="D107" s="526">
        <v>9483</v>
      </c>
      <c r="E107" s="526">
        <v>9289</v>
      </c>
      <c r="F107" s="526">
        <v>8968</v>
      </c>
      <c r="G107" s="526">
        <v>8953</v>
      </c>
      <c r="H107" s="56">
        <v>8943</v>
      </c>
      <c r="I107" s="56">
        <v>8563</v>
      </c>
      <c r="J107" s="56">
        <v>9174</v>
      </c>
      <c r="K107" s="56">
        <v>9848</v>
      </c>
      <c r="L107" s="56">
        <v>10069</v>
      </c>
      <c r="M107" s="56">
        <v>10014</v>
      </c>
      <c r="N107" s="56">
        <v>11207</v>
      </c>
      <c r="O107" s="56">
        <v>11169</v>
      </c>
      <c r="Q107" s="523" t="s">
        <v>6588</v>
      </c>
    </row>
    <row r="108" spans="1:17">
      <c r="A108" s="523" t="s">
        <v>5888</v>
      </c>
      <c r="B108" s="523" t="s">
        <v>6695</v>
      </c>
      <c r="C108" s="55" t="s">
        <v>7173</v>
      </c>
      <c r="D108" s="526">
        <v>11155</v>
      </c>
      <c r="E108" s="526">
        <v>11047</v>
      </c>
      <c r="F108" s="526">
        <v>10793</v>
      </c>
      <c r="G108" s="526">
        <v>11078</v>
      </c>
      <c r="H108" s="56">
        <v>11327</v>
      </c>
      <c r="I108" s="56">
        <v>10469</v>
      </c>
      <c r="J108" s="56">
        <v>11460</v>
      </c>
      <c r="K108" s="56">
        <v>12529</v>
      </c>
      <c r="L108" s="56">
        <v>12983</v>
      </c>
      <c r="M108" s="56">
        <v>13270</v>
      </c>
      <c r="N108" s="56">
        <v>15321</v>
      </c>
      <c r="O108" s="56">
        <v>15186</v>
      </c>
      <c r="Q108" s="523" t="s">
        <v>6588</v>
      </c>
    </row>
    <row r="109" spans="1:17">
      <c r="A109" s="523" t="s">
        <v>5889</v>
      </c>
      <c r="B109" s="523" t="s">
        <v>6913</v>
      </c>
      <c r="C109" s="55" t="s">
        <v>7174</v>
      </c>
      <c r="D109" s="526">
        <v>9634</v>
      </c>
      <c r="E109" s="526">
        <v>9579</v>
      </c>
      <c r="F109" s="526">
        <v>9523</v>
      </c>
      <c r="G109" s="526">
        <v>9476</v>
      </c>
      <c r="H109" s="56">
        <v>9358</v>
      </c>
      <c r="I109" s="56">
        <v>8625</v>
      </c>
      <c r="J109" s="56">
        <v>8990</v>
      </c>
      <c r="K109" s="56">
        <v>9334</v>
      </c>
      <c r="L109" s="56">
        <v>9409</v>
      </c>
      <c r="M109" s="56">
        <v>9153</v>
      </c>
      <c r="N109" s="56">
        <v>10012</v>
      </c>
      <c r="O109" s="56">
        <v>9942</v>
      </c>
      <c r="Q109" s="523" t="s">
        <v>6588</v>
      </c>
    </row>
    <row r="110" spans="1:17">
      <c r="A110" s="523" t="s">
        <v>4431</v>
      </c>
      <c r="B110" s="523" t="s">
        <v>5155</v>
      </c>
      <c r="C110" s="55" t="s">
        <v>7175</v>
      </c>
      <c r="D110" s="526">
        <v>12592</v>
      </c>
      <c r="E110" s="526">
        <v>12631</v>
      </c>
      <c r="F110" s="526">
        <v>12616</v>
      </c>
      <c r="G110" s="526">
        <v>12692</v>
      </c>
      <c r="H110" s="56">
        <v>12808</v>
      </c>
      <c r="I110" s="56">
        <v>12436</v>
      </c>
      <c r="J110" s="56">
        <v>12523</v>
      </c>
      <c r="K110" s="56">
        <v>12855</v>
      </c>
      <c r="L110" s="56">
        <v>13087</v>
      </c>
      <c r="M110" s="56">
        <v>12975</v>
      </c>
      <c r="N110" s="56">
        <v>13698</v>
      </c>
      <c r="O110" s="56">
        <v>13664</v>
      </c>
      <c r="Q110" s="523" t="s">
        <v>2783</v>
      </c>
    </row>
    <row r="111" spans="1:17">
      <c r="A111" s="523" t="s">
        <v>4432</v>
      </c>
      <c r="B111" s="523" t="s">
        <v>5156</v>
      </c>
      <c r="C111" s="55" t="s">
        <v>7176</v>
      </c>
      <c r="D111" s="526">
        <v>10291</v>
      </c>
      <c r="E111" s="526">
        <v>10262</v>
      </c>
      <c r="F111" s="526">
        <v>10296</v>
      </c>
      <c r="G111" s="526">
        <v>10400</v>
      </c>
      <c r="H111" s="58">
        <v>10145</v>
      </c>
      <c r="I111" s="58">
        <v>9682</v>
      </c>
      <c r="J111" s="58">
        <v>9675</v>
      </c>
      <c r="K111" s="58">
        <v>9819</v>
      </c>
      <c r="L111" s="58">
        <v>9956</v>
      </c>
      <c r="M111" s="58">
        <v>9720</v>
      </c>
      <c r="N111" s="58">
        <v>10148</v>
      </c>
      <c r="O111" s="58">
        <v>10161</v>
      </c>
      <c r="Q111" s="523" t="s">
        <v>6591</v>
      </c>
    </row>
    <row r="112" spans="1:17">
      <c r="A112" s="523" t="s">
        <v>4434</v>
      </c>
      <c r="B112" s="523" t="s">
        <v>666</v>
      </c>
      <c r="C112" s="55" t="s">
        <v>7177</v>
      </c>
      <c r="D112" s="526">
        <v>11200</v>
      </c>
      <c r="E112" s="526">
        <v>11198</v>
      </c>
      <c r="F112" s="526">
        <v>11242</v>
      </c>
      <c r="G112" s="526">
        <v>11250</v>
      </c>
      <c r="H112" s="58">
        <v>11251</v>
      </c>
      <c r="I112" s="58">
        <v>10859</v>
      </c>
      <c r="J112" s="58">
        <v>10761</v>
      </c>
      <c r="K112" s="58">
        <v>10885</v>
      </c>
      <c r="L112" s="58">
        <v>10937</v>
      </c>
      <c r="M112" s="58">
        <v>10687</v>
      </c>
      <c r="N112" s="58">
        <v>11269</v>
      </c>
      <c r="O112" s="58">
        <v>11241</v>
      </c>
      <c r="Q112" s="523" t="s">
        <v>6589</v>
      </c>
    </row>
    <row r="113" spans="1:17">
      <c r="A113" s="523" t="s">
        <v>4533</v>
      </c>
      <c r="B113" s="523" t="s">
        <v>5157</v>
      </c>
      <c r="C113" s="55" t="s">
        <v>7178</v>
      </c>
      <c r="D113" s="526">
        <v>10357</v>
      </c>
      <c r="E113" s="526">
        <v>10172</v>
      </c>
      <c r="F113" s="526">
        <v>10002</v>
      </c>
      <c r="G113" s="526">
        <v>10014</v>
      </c>
      <c r="H113" s="58">
        <v>10129</v>
      </c>
      <c r="I113" s="58">
        <v>9916</v>
      </c>
      <c r="J113" s="58">
        <v>9973</v>
      </c>
      <c r="K113" s="58">
        <v>10240</v>
      </c>
      <c r="L113" s="58">
        <v>10339</v>
      </c>
      <c r="M113" s="58">
        <v>10192</v>
      </c>
      <c r="N113" s="58">
        <v>10670</v>
      </c>
      <c r="O113" s="58">
        <v>10620</v>
      </c>
      <c r="Q113" s="523" t="s">
        <v>6590</v>
      </c>
    </row>
    <row r="114" spans="1:17">
      <c r="A114" s="523" t="s">
        <v>4535</v>
      </c>
      <c r="B114" s="523" t="s">
        <v>5158</v>
      </c>
      <c r="C114" s="55" t="s">
        <v>7179</v>
      </c>
      <c r="D114" s="526">
        <v>10932</v>
      </c>
      <c r="E114" s="526">
        <v>11033</v>
      </c>
      <c r="F114" s="526">
        <v>10994</v>
      </c>
      <c r="G114" s="526">
        <v>11061</v>
      </c>
      <c r="H114" s="58">
        <v>11083</v>
      </c>
      <c r="I114" s="58">
        <v>10909</v>
      </c>
      <c r="J114" s="58">
        <v>10895</v>
      </c>
      <c r="K114" s="58">
        <v>10881</v>
      </c>
      <c r="L114" s="58">
        <v>10952</v>
      </c>
      <c r="M114" s="58">
        <v>10877</v>
      </c>
      <c r="N114" s="58">
        <v>11165</v>
      </c>
      <c r="O114" s="58">
        <v>11130</v>
      </c>
      <c r="Q114" s="523" t="s">
        <v>6591</v>
      </c>
    </row>
    <row r="115" spans="1:17">
      <c r="A115" s="523" t="s">
        <v>4537</v>
      </c>
      <c r="B115" s="523" t="s">
        <v>5159</v>
      </c>
      <c r="C115" s="55" t="s">
        <v>7180</v>
      </c>
      <c r="D115" s="526">
        <v>10437</v>
      </c>
      <c r="E115" s="526">
        <v>10380</v>
      </c>
      <c r="F115" s="526">
        <v>10378</v>
      </c>
      <c r="G115" s="526">
        <v>10387</v>
      </c>
      <c r="H115" s="56">
        <v>10461</v>
      </c>
      <c r="I115" s="56">
        <v>10293</v>
      </c>
      <c r="J115" s="56">
        <v>10197</v>
      </c>
      <c r="K115" s="56">
        <v>10351</v>
      </c>
      <c r="L115" s="56">
        <v>10491</v>
      </c>
      <c r="M115" s="56">
        <v>10519</v>
      </c>
      <c r="N115" s="56">
        <v>10942</v>
      </c>
      <c r="O115" s="56">
        <v>10889</v>
      </c>
      <c r="Q115" s="523" t="s">
        <v>2783</v>
      </c>
    </row>
    <row r="116" spans="1:17">
      <c r="A116" s="523" t="s">
        <v>4539</v>
      </c>
      <c r="B116" s="523" t="s">
        <v>5160</v>
      </c>
      <c r="C116" s="55" t="s">
        <v>7181</v>
      </c>
      <c r="D116" s="526">
        <v>11299</v>
      </c>
      <c r="E116" s="526">
        <v>11231</v>
      </c>
      <c r="F116" s="526">
        <v>11125</v>
      </c>
      <c r="G116" s="526">
        <v>11279</v>
      </c>
      <c r="H116" s="58">
        <v>11564</v>
      </c>
      <c r="I116" s="58">
        <v>11262</v>
      </c>
      <c r="J116" s="58">
        <v>11275</v>
      </c>
      <c r="K116" s="58">
        <v>11502</v>
      </c>
      <c r="L116" s="58">
        <v>11515</v>
      </c>
      <c r="M116" s="58">
        <v>11393</v>
      </c>
      <c r="N116" s="58">
        <v>11683</v>
      </c>
      <c r="O116" s="58">
        <v>11664</v>
      </c>
      <c r="Q116" s="523" t="s">
        <v>6591</v>
      </c>
    </row>
    <row r="117" spans="1:17">
      <c r="D117" s="526"/>
      <c r="E117" s="526"/>
      <c r="F117" s="526"/>
      <c r="G117" s="526"/>
      <c r="H117" s="526"/>
      <c r="I117" s="526"/>
      <c r="J117" s="526"/>
      <c r="K117" s="526"/>
      <c r="L117" s="526"/>
      <c r="M117" s="526"/>
      <c r="N117" s="526"/>
      <c r="O117" s="526"/>
    </row>
    <row r="118" spans="1:17">
      <c r="A118" s="523" t="s">
        <v>5140</v>
      </c>
      <c r="D118" s="526">
        <f t="shared" ref="D118:I118" si="65">D87+D89+D95+D110+D115</f>
        <v>55805</v>
      </c>
      <c r="E118" s="526">
        <f t="shared" si="65"/>
        <v>56097</v>
      </c>
      <c r="F118" s="526">
        <f t="shared" si="65"/>
        <v>56489</v>
      </c>
      <c r="G118" s="526">
        <f t="shared" si="65"/>
        <v>56925</v>
      </c>
      <c r="H118" s="526">
        <f t="shared" si="65"/>
        <v>57269</v>
      </c>
      <c r="I118" s="526">
        <f t="shared" si="65"/>
        <v>56130</v>
      </c>
      <c r="J118" s="526">
        <f t="shared" ref="J118:O118" si="66">J87+J89+J95+J110+J115</f>
        <v>56253</v>
      </c>
      <c r="K118" s="526">
        <f t="shared" si="66"/>
        <v>57253</v>
      </c>
      <c r="L118" s="526">
        <f t="shared" si="66"/>
        <v>57940</v>
      </c>
      <c r="M118" s="526">
        <f t="shared" si="66"/>
        <v>57714</v>
      </c>
      <c r="N118" s="526">
        <f t="shared" si="66"/>
        <v>59866</v>
      </c>
      <c r="O118" s="526">
        <f t="shared" si="66"/>
        <v>59684</v>
      </c>
    </row>
    <row r="119" spans="1:17">
      <c r="A119" s="523" t="s">
        <v>6588</v>
      </c>
      <c r="D119" s="525">
        <f t="shared" ref="D119:I119" si="67">D90+D99+D101+D103+SUM(D107:D109)</f>
        <v>73310</v>
      </c>
      <c r="E119" s="525">
        <f t="shared" si="67"/>
        <v>73406</v>
      </c>
      <c r="F119" s="525">
        <f t="shared" si="67"/>
        <v>73891</v>
      </c>
      <c r="G119" s="525">
        <f t="shared" si="67"/>
        <v>73880</v>
      </c>
      <c r="H119" s="525">
        <f t="shared" si="67"/>
        <v>74602</v>
      </c>
      <c r="I119" s="525">
        <f t="shared" si="67"/>
        <v>63264</v>
      </c>
      <c r="J119" s="525">
        <f t="shared" ref="J119:O119" si="68">J90+J99+J101+J103+SUM(J107:J109)</f>
        <v>67054</v>
      </c>
      <c r="K119" s="525">
        <f t="shared" si="68"/>
        <v>70950</v>
      </c>
      <c r="L119" s="525">
        <f t="shared" si="68"/>
        <v>69419</v>
      </c>
      <c r="M119" s="525">
        <f t="shared" si="68"/>
        <v>68526</v>
      </c>
      <c r="N119" s="525">
        <f t="shared" si="68"/>
        <v>80583</v>
      </c>
      <c r="O119" s="525">
        <f t="shared" si="68"/>
        <v>79956</v>
      </c>
    </row>
    <row r="120" spans="1:17">
      <c r="A120" s="523" t="s">
        <v>6589</v>
      </c>
      <c r="D120" s="525">
        <f t="shared" ref="D120:I120" si="69">D88+D93+D94+D97+D98+D112</f>
        <v>62746</v>
      </c>
      <c r="E120" s="525">
        <f t="shared" si="69"/>
        <v>61974</v>
      </c>
      <c r="F120" s="525">
        <f t="shared" si="69"/>
        <v>61948</v>
      </c>
      <c r="G120" s="525">
        <f t="shared" si="69"/>
        <v>62328</v>
      </c>
      <c r="H120" s="525">
        <f t="shared" si="69"/>
        <v>62274</v>
      </c>
      <c r="I120" s="525">
        <f t="shared" si="69"/>
        <v>60078</v>
      </c>
      <c r="J120" s="525">
        <f t="shared" ref="J120:O120" si="70">J88+J93+J94+J97+J98+J112</f>
        <v>59917</v>
      </c>
      <c r="K120" s="525">
        <f t="shared" si="70"/>
        <v>60878</v>
      </c>
      <c r="L120" s="525">
        <f t="shared" si="70"/>
        <v>61318</v>
      </c>
      <c r="M120" s="525">
        <f t="shared" si="70"/>
        <v>60265</v>
      </c>
      <c r="N120" s="525">
        <f t="shared" si="70"/>
        <v>63047</v>
      </c>
      <c r="O120" s="525">
        <f t="shared" si="70"/>
        <v>62875</v>
      </c>
    </row>
    <row r="121" spans="1:17">
      <c r="A121" s="523" t="s">
        <v>6590</v>
      </c>
      <c r="D121" s="525">
        <f t="shared" ref="D121:I121" si="71">D91+D92+D100+D105+D106+D113</f>
        <v>62112</v>
      </c>
      <c r="E121" s="525">
        <f t="shared" si="71"/>
        <v>61679</v>
      </c>
      <c r="F121" s="525">
        <f t="shared" si="71"/>
        <v>61404</v>
      </c>
      <c r="G121" s="525">
        <f t="shared" si="71"/>
        <v>61137</v>
      </c>
      <c r="H121" s="525">
        <f t="shared" si="71"/>
        <v>61334</v>
      </c>
      <c r="I121" s="525">
        <f t="shared" si="71"/>
        <v>58790</v>
      </c>
      <c r="J121" s="525">
        <f t="shared" ref="J121:O121" si="72">J91+J92+J100+J105+J106+J113</f>
        <v>58601</v>
      </c>
      <c r="K121" s="525">
        <f t="shared" si="72"/>
        <v>59901</v>
      </c>
      <c r="L121" s="525">
        <f t="shared" si="72"/>
        <v>60506</v>
      </c>
      <c r="M121" s="525">
        <f t="shared" si="72"/>
        <v>59759</v>
      </c>
      <c r="N121" s="525">
        <f t="shared" si="72"/>
        <v>63876</v>
      </c>
      <c r="O121" s="525">
        <f t="shared" si="72"/>
        <v>63568</v>
      </c>
    </row>
    <row r="122" spans="1:17">
      <c r="A122" s="523" t="s">
        <v>6591</v>
      </c>
      <c r="D122" s="526">
        <f t="shared" ref="D122:I122" si="73">D96+D102+D104+D111+D114+D116</f>
        <v>63130</v>
      </c>
      <c r="E122" s="526">
        <f t="shared" si="73"/>
        <v>62709</v>
      </c>
      <c r="F122" s="526">
        <f t="shared" si="73"/>
        <v>62751</v>
      </c>
      <c r="G122" s="526">
        <f t="shared" si="73"/>
        <v>63315</v>
      </c>
      <c r="H122" s="526">
        <f t="shared" si="73"/>
        <v>63625</v>
      </c>
      <c r="I122" s="526">
        <f t="shared" si="73"/>
        <v>61699</v>
      </c>
      <c r="J122" s="526">
        <f t="shared" ref="J122:O122" si="74">J96+J102+J104+J111+J114+J116</f>
        <v>62153</v>
      </c>
      <c r="K122" s="526">
        <f t="shared" si="74"/>
        <v>63378</v>
      </c>
      <c r="L122" s="526">
        <f t="shared" si="74"/>
        <v>64351</v>
      </c>
      <c r="M122" s="526">
        <f t="shared" si="74"/>
        <v>63902</v>
      </c>
      <c r="N122" s="526">
        <f t="shared" si="74"/>
        <v>66136</v>
      </c>
      <c r="O122" s="526">
        <f t="shared" si="74"/>
        <v>66008</v>
      </c>
    </row>
    <row r="123" spans="1:17">
      <c r="A123" s="523"/>
      <c r="D123" s="525"/>
      <c r="E123" s="525"/>
      <c r="F123" s="525"/>
      <c r="G123" s="525"/>
      <c r="H123" s="525"/>
      <c r="I123" s="525"/>
      <c r="J123" s="525"/>
      <c r="K123" s="525"/>
      <c r="L123" s="525"/>
      <c r="M123" s="525"/>
      <c r="N123" s="525"/>
      <c r="O123" s="525"/>
    </row>
    <row r="124" spans="1:17">
      <c r="A124" s="523" t="s">
        <v>5161</v>
      </c>
      <c r="D124" s="525"/>
      <c r="E124" s="525"/>
      <c r="F124" s="525"/>
      <c r="G124" s="525"/>
      <c r="H124" s="525"/>
      <c r="I124" s="525"/>
      <c r="J124" s="525"/>
      <c r="K124" s="525"/>
      <c r="L124" s="525"/>
      <c r="M124" s="525"/>
      <c r="N124" s="525"/>
      <c r="O124" s="525"/>
    </row>
    <row r="125" spans="1:17">
      <c r="A125" s="523"/>
      <c r="B125" s="523"/>
      <c r="D125" s="536"/>
      <c r="E125" s="536"/>
      <c r="F125" s="536"/>
      <c r="G125" s="536"/>
      <c r="H125" s="536"/>
      <c r="I125" s="536"/>
      <c r="J125" s="536"/>
      <c r="K125" s="536"/>
      <c r="L125" s="536"/>
      <c r="M125" s="536"/>
      <c r="N125" s="536"/>
      <c r="O125" s="536"/>
    </row>
    <row r="126" spans="1:17">
      <c r="A126" s="523"/>
      <c r="B126" s="523"/>
      <c r="D126" s="536"/>
      <c r="E126" s="536"/>
      <c r="F126" s="536"/>
      <c r="G126" s="536"/>
      <c r="H126" s="536"/>
      <c r="I126" s="536"/>
      <c r="J126" s="536"/>
      <c r="K126" s="536"/>
      <c r="L126" s="536"/>
      <c r="M126" s="536"/>
      <c r="N126" s="536"/>
      <c r="O126" s="536"/>
    </row>
    <row r="127" spans="1:17">
      <c r="E127" s="51" t="s">
        <v>1526</v>
      </c>
      <c r="F127" s="51"/>
      <c r="G127" s="51"/>
      <c r="H127" s="51"/>
      <c r="I127" s="51"/>
      <c r="J127" s="51"/>
      <c r="K127" s="51"/>
      <c r="L127" s="51"/>
      <c r="M127" s="51"/>
      <c r="N127" s="51"/>
      <c r="O127" s="51"/>
      <c r="P127" s="11"/>
      <c r="Q127" s="11" t="s">
        <v>9479</v>
      </c>
    </row>
    <row r="128" spans="1:17">
      <c r="D128" s="350">
        <v>2010</v>
      </c>
      <c r="E128" s="350">
        <v>2011</v>
      </c>
      <c r="F128" s="350">
        <v>2012</v>
      </c>
      <c r="G128" s="350">
        <v>2013</v>
      </c>
      <c r="H128" s="350">
        <v>2014</v>
      </c>
      <c r="I128" s="350">
        <v>2015</v>
      </c>
      <c r="J128" s="350">
        <v>2016</v>
      </c>
      <c r="K128" s="350">
        <v>2017</v>
      </c>
      <c r="L128" s="350">
        <v>2018</v>
      </c>
      <c r="M128" s="350">
        <v>2019</v>
      </c>
      <c r="N128" s="350">
        <v>2020</v>
      </c>
      <c r="O128" s="957" t="s">
        <v>14823</v>
      </c>
      <c r="Q128" s="13" t="s">
        <v>1527</v>
      </c>
    </row>
    <row r="129" spans="1:17">
      <c r="A129" s="523" t="s">
        <v>4470</v>
      </c>
      <c r="D129" s="525">
        <f t="shared" ref="D129:I129" si="75">SUM(D130:D145)</f>
        <v>138155</v>
      </c>
      <c r="E129" s="525">
        <f t="shared" si="75"/>
        <v>137767</v>
      </c>
      <c r="F129" s="525">
        <f t="shared" si="75"/>
        <v>137983</v>
      </c>
      <c r="G129" s="525">
        <f t="shared" si="75"/>
        <v>138632</v>
      </c>
      <c r="H129" s="525">
        <f t="shared" si="75"/>
        <v>135297</v>
      </c>
      <c r="I129" s="525">
        <f t="shared" si="75"/>
        <v>134182</v>
      </c>
      <c r="J129" s="525">
        <f t="shared" ref="J129:O129" si="76">SUM(J130:J145)</f>
        <v>130576</v>
      </c>
      <c r="K129" s="525">
        <f t="shared" si="76"/>
        <v>133835</v>
      </c>
      <c r="L129" s="525">
        <f t="shared" si="76"/>
        <v>136412</v>
      </c>
      <c r="M129" s="525">
        <f t="shared" si="76"/>
        <v>135475</v>
      </c>
      <c r="N129" s="525">
        <f t="shared" si="76"/>
        <v>138254</v>
      </c>
      <c r="O129" s="525">
        <f t="shared" si="76"/>
        <v>138214</v>
      </c>
    </row>
    <row r="130" spans="1:17">
      <c r="A130" s="523" t="s">
        <v>5387</v>
      </c>
      <c r="B130" s="523" t="s">
        <v>4471</v>
      </c>
      <c r="C130" s="55" t="s">
        <v>7182</v>
      </c>
      <c r="D130" s="526">
        <v>9065</v>
      </c>
      <c r="E130" s="526">
        <v>9070</v>
      </c>
      <c r="F130" s="526">
        <v>9044</v>
      </c>
      <c r="G130" s="526">
        <v>9006</v>
      </c>
      <c r="H130" s="56">
        <v>8908</v>
      </c>
      <c r="I130" s="56">
        <v>8816</v>
      </c>
      <c r="J130" s="56">
        <v>8503</v>
      </c>
      <c r="K130" s="56">
        <v>8667</v>
      </c>
      <c r="L130" s="56">
        <v>8762</v>
      </c>
      <c r="M130" s="56">
        <v>8655</v>
      </c>
      <c r="N130" s="56">
        <v>8697</v>
      </c>
      <c r="O130" s="56">
        <v>8682</v>
      </c>
      <c r="Q130" s="523" t="s">
        <v>6592</v>
      </c>
    </row>
    <row r="131" spans="1:17">
      <c r="A131" s="523" t="s">
        <v>5389</v>
      </c>
      <c r="B131" s="523" t="s">
        <v>4062</v>
      </c>
      <c r="C131" s="55" t="s">
        <v>7183</v>
      </c>
      <c r="D131" s="526">
        <v>8598</v>
      </c>
      <c r="E131" s="526">
        <v>8492</v>
      </c>
      <c r="F131" s="526">
        <v>8493</v>
      </c>
      <c r="G131" s="526">
        <v>8492</v>
      </c>
      <c r="H131" s="56">
        <v>8308</v>
      </c>
      <c r="I131" s="56">
        <v>8174</v>
      </c>
      <c r="J131" s="56">
        <v>7946</v>
      </c>
      <c r="K131" s="56">
        <v>8041</v>
      </c>
      <c r="L131" s="56">
        <v>8089</v>
      </c>
      <c r="M131" s="56">
        <v>8019</v>
      </c>
      <c r="N131" s="56">
        <v>8007</v>
      </c>
      <c r="O131" s="56">
        <v>8003</v>
      </c>
      <c r="Q131" s="523" t="s">
        <v>6592</v>
      </c>
    </row>
    <row r="132" spans="1:17">
      <c r="A132" s="523" t="s">
        <v>5391</v>
      </c>
      <c r="B132" s="523" t="s">
        <v>4472</v>
      </c>
      <c r="C132" s="55" t="s">
        <v>7184</v>
      </c>
      <c r="D132" s="526">
        <v>7568</v>
      </c>
      <c r="E132" s="526">
        <v>7636</v>
      </c>
      <c r="F132" s="526">
        <v>7666</v>
      </c>
      <c r="G132" s="526">
        <v>7684</v>
      </c>
      <c r="H132" s="56">
        <v>7502</v>
      </c>
      <c r="I132" s="56">
        <v>7434</v>
      </c>
      <c r="J132" s="56">
        <v>7201</v>
      </c>
      <c r="K132" s="56">
        <v>7409</v>
      </c>
      <c r="L132" s="56">
        <v>7584</v>
      </c>
      <c r="M132" s="56">
        <v>7510</v>
      </c>
      <c r="N132" s="56">
        <v>7644</v>
      </c>
      <c r="O132" s="56">
        <v>7621</v>
      </c>
      <c r="Q132" s="523" t="s">
        <v>6594</v>
      </c>
    </row>
    <row r="133" spans="1:17">
      <c r="A133" s="523" t="s">
        <v>5393</v>
      </c>
      <c r="B133" s="523" t="s">
        <v>4473</v>
      </c>
      <c r="C133" s="55" t="s">
        <v>7185</v>
      </c>
      <c r="D133" s="526">
        <v>8126</v>
      </c>
      <c r="E133" s="526">
        <v>8168</v>
      </c>
      <c r="F133" s="526">
        <v>8301</v>
      </c>
      <c r="G133" s="526">
        <v>8348</v>
      </c>
      <c r="H133" s="56">
        <v>8179</v>
      </c>
      <c r="I133" s="56">
        <v>8107</v>
      </c>
      <c r="J133" s="56">
        <v>7806</v>
      </c>
      <c r="K133" s="56">
        <v>8076</v>
      </c>
      <c r="L133" s="56">
        <v>8319</v>
      </c>
      <c r="M133" s="56">
        <v>8415</v>
      </c>
      <c r="N133" s="56">
        <v>8904</v>
      </c>
      <c r="O133" s="56">
        <v>8952</v>
      </c>
      <c r="Q133" s="523" t="s">
        <v>6592</v>
      </c>
    </row>
    <row r="134" spans="1:17">
      <c r="A134" s="523" t="s">
        <v>5394</v>
      </c>
      <c r="B134" s="523" t="s">
        <v>4474</v>
      </c>
      <c r="C134" s="55" t="s">
        <v>7186</v>
      </c>
      <c r="D134" s="526">
        <v>9404</v>
      </c>
      <c r="E134" s="526">
        <v>9375</v>
      </c>
      <c r="F134" s="526">
        <v>9348</v>
      </c>
      <c r="G134" s="526">
        <v>9398</v>
      </c>
      <c r="H134" s="56">
        <v>9303</v>
      </c>
      <c r="I134" s="56">
        <v>9249</v>
      </c>
      <c r="J134" s="56">
        <v>9127</v>
      </c>
      <c r="K134" s="56">
        <v>9299</v>
      </c>
      <c r="L134" s="56">
        <v>9457</v>
      </c>
      <c r="M134" s="56">
        <v>9452</v>
      </c>
      <c r="N134" s="56">
        <v>9673</v>
      </c>
      <c r="O134" s="56">
        <v>9674</v>
      </c>
      <c r="Q134" s="523" t="s">
        <v>6594</v>
      </c>
    </row>
    <row r="135" spans="1:17">
      <c r="A135" s="523" t="s">
        <v>5416</v>
      </c>
      <c r="B135" s="523" t="s">
        <v>4264</v>
      </c>
      <c r="C135" s="55" t="s">
        <v>7187</v>
      </c>
      <c r="D135" s="526">
        <v>9115</v>
      </c>
      <c r="E135" s="526">
        <v>9138</v>
      </c>
      <c r="F135" s="526">
        <v>9140</v>
      </c>
      <c r="G135" s="526">
        <v>9138</v>
      </c>
      <c r="H135" s="56">
        <v>8991</v>
      </c>
      <c r="I135" s="56">
        <v>8921</v>
      </c>
      <c r="J135" s="56">
        <v>8637</v>
      </c>
      <c r="K135" s="56">
        <v>8837</v>
      </c>
      <c r="L135" s="56">
        <v>8946</v>
      </c>
      <c r="M135" s="56">
        <v>8835</v>
      </c>
      <c r="N135" s="56">
        <v>8894</v>
      </c>
      <c r="O135" s="56">
        <v>8881</v>
      </c>
      <c r="Q135" s="523" t="s">
        <v>6592</v>
      </c>
    </row>
    <row r="136" spans="1:17">
      <c r="A136" s="523" t="s">
        <v>5418</v>
      </c>
      <c r="B136" s="523" t="s">
        <v>4265</v>
      </c>
      <c r="C136" s="55" t="s">
        <v>7188</v>
      </c>
      <c r="D136" s="526">
        <v>8727</v>
      </c>
      <c r="E136" s="526">
        <v>8678</v>
      </c>
      <c r="F136" s="526">
        <v>8708</v>
      </c>
      <c r="G136" s="526">
        <v>8670</v>
      </c>
      <c r="H136" s="56">
        <v>8474</v>
      </c>
      <c r="I136" s="56">
        <v>8397</v>
      </c>
      <c r="J136" s="56">
        <v>8285</v>
      </c>
      <c r="K136" s="56">
        <v>8477</v>
      </c>
      <c r="L136" s="56">
        <v>8655</v>
      </c>
      <c r="M136" s="56">
        <v>8536</v>
      </c>
      <c r="N136" s="56">
        <v>8621</v>
      </c>
      <c r="O136" s="56">
        <v>8622</v>
      </c>
      <c r="Q136" s="523" t="s">
        <v>6592</v>
      </c>
    </row>
    <row r="137" spans="1:17">
      <c r="A137" s="523" t="s">
        <v>5420</v>
      </c>
      <c r="B137" s="523" t="s">
        <v>4266</v>
      </c>
      <c r="C137" s="55" t="s">
        <v>7189</v>
      </c>
      <c r="D137" s="526">
        <v>8610</v>
      </c>
      <c r="E137" s="526">
        <v>8575</v>
      </c>
      <c r="F137" s="526">
        <v>8688</v>
      </c>
      <c r="G137" s="526">
        <v>8824</v>
      </c>
      <c r="H137" s="56">
        <v>8718</v>
      </c>
      <c r="I137" s="56">
        <v>8726</v>
      </c>
      <c r="J137" s="56">
        <v>8608</v>
      </c>
      <c r="K137" s="56">
        <v>9145</v>
      </c>
      <c r="L137" s="56">
        <v>9395</v>
      </c>
      <c r="M137" s="56">
        <v>9369</v>
      </c>
      <c r="N137" s="56">
        <v>9555</v>
      </c>
      <c r="O137" s="56">
        <v>9568</v>
      </c>
      <c r="Q137" s="523" t="s">
        <v>6592</v>
      </c>
    </row>
    <row r="138" spans="1:17">
      <c r="A138" s="523" t="s">
        <v>5422</v>
      </c>
      <c r="B138" s="523" t="s">
        <v>4267</v>
      </c>
      <c r="C138" s="55" t="s">
        <v>7190</v>
      </c>
      <c r="D138" s="537">
        <v>8701</v>
      </c>
      <c r="E138" s="537">
        <v>8706</v>
      </c>
      <c r="F138" s="537">
        <v>8729</v>
      </c>
      <c r="G138" s="537">
        <v>8764</v>
      </c>
      <c r="H138" s="56">
        <v>8460</v>
      </c>
      <c r="I138" s="56">
        <v>8381</v>
      </c>
      <c r="J138" s="56">
        <v>8038</v>
      </c>
      <c r="K138" s="56">
        <v>8225</v>
      </c>
      <c r="L138" s="56">
        <v>8459</v>
      </c>
      <c r="M138" s="56">
        <v>8404</v>
      </c>
      <c r="N138" s="56">
        <v>8626</v>
      </c>
      <c r="O138" s="56">
        <v>8589</v>
      </c>
      <c r="Q138" s="523" t="s">
        <v>6592</v>
      </c>
    </row>
    <row r="139" spans="1:17">
      <c r="A139" s="523" t="s">
        <v>5424</v>
      </c>
      <c r="B139" s="523" t="s">
        <v>4268</v>
      </c>
      <c r="C139" s="55" t="s">
        <v>7191</v>
      </c>
      <c r="D139" s="526">
        <v>6779</v>
      </c>
      <c r="E139" s="526">
        <v>6721</v>
      </c>
      <c r="F139" s="526">
        <v>6749</v>
      </c>
      <c r="G139" s="526">
        <v>6752</v>
      </c>
      <c r="H139" s="56">
        <v>6603</v>
      </c>
      <c r="I139" s="56">
        <v>6585</v>
      </c>
      <c r="J139" s="56">
        <v>6498</v>
      </c>
      <c r="K139" s="56">
        <v>6627</v>
      </c>
      <c r="L139" s="56">
        <v>6681</v>
      </c>
      <c r="M139" s="56">
        <v>6585</v>
      </c>
      <c r="N139" s="56">
        <v>6684</v>
      </c>
      <c r="O139" s="56">
        <v>6681</v>
      </c>
      <c r="Q139" s="523" t="s">
        <v>6592</v>
      </c>
    </row>
    <row r="140" spans="1:17">
      <c r="A140" s="523" t="s">
        <v>5426</v>
      </c>
      <c r="B140" s="523" t="s">
        <v>1445</v>
      </c>
      <c r="C140" s="55" t="s">
        <v>7192</v>
      </c>
      <c r="D140" s="526">
        <v>9209</v>
      </c>
      <c r="E140" s="526">
        <v>9118</v>
      </c>
      <c r="F140" s="526">
        <v>9026</v>
      </c>
      <c r="G140" s="526">
        <v>9124</v>
      </c>
      <c r="H140" s="56">
        <v>8999</v>
      </c>
      <c r="I140" s="56">
        <v>8843</v>
      </c>
      <c r="J140" s="56">
        <v>8724</v>
      </c>
      <c r="K140" s="56">
        <v>8909</v>
      </c>
      <c r="L140" s="56">
        <v>9033</v>
      </c>
      <c r="M140" s="56">
        <v>8951</v>
      </c>
      <c r="N140" s="56">
        <v>9053</v>
      </c>
      <c r="O140" s="56">
        <v>9007</v>
      </c>
      <c r="Q140" s="523" t="s">
        <v>6594</v>
      </c>
    </row>
    <row r="141" spans="1:17">
      <c r="A141" s="523" t="s">
        <v>5428</v>
      </c>
      <c r="B141" s="523" t="s">
        <v>6890</v>
      </c>
      <c r="C141" s="55" t="s">
        <v>7193</v>
      </c>
      <c r="D141" s="526">
        <v>9209</v>
      </c>
      <c r="E141" s="526">
        <v>9185</v>
      </c>
      <c r="F141" s="526">
        <v>9150</v>
      </c>
      <c r="G141" s="526">
        <v>9174</v>
      </c>
      <c r="H141" s="56">
        <v>8835</v>
      </c>
      <c r="I141" s="56">
        <v>8789</v>
      </c>
      <c r="J141" s="56">
        <v>8618</v>
      </c>
      <c r="K141" s="56">
        <v>8741</v>
      </c>
      <c r="L141" s="56">
        <v>8889</v>
      </c>
      <c r="M141" s="56">
        <v>8789</v>
      </c>
      <c r="N141" s="56">
        <v>9009</v>
      </c>
      <c r="O141" s="56">
        <v>9005</v>
      </c>
      <c r="Q141" s="523" t="s">
        <v>6594</v>
      </c>
    </row>
    <row r="142" spans="1:17">
      <c r="A142" s="523" t="s">
        <v>5429</v>
      </c>
      <c r="B142" s="523" t="s">
        <v>1446</v>
      </c>
      <c r="C142" s="55" t="s">
        <v>7194</v>
      </c>
      <c r="D142" s="526">
        <v>9486</v>
      </c>
      <c r="E142" s="526">
        <v>9550</v>
      </c>
      <c r="F142" s="526">
        <v>9629</v>
      </c>
      <c r="G142" s="526">
        <v>9729</v>
      </c>
      <c r="H142" s="56">
        <v>9511</v>
      </c>
      <c r="I142" s="56">
        <v>9450</v>
      </c>
      <c r="J142" s="56">
        <v>9153</v>
      </c>
      <c r="K142" s="56">
        <v>9448</v>
      </c>
      <c r="L142" s="56">
        <v>9732</v>
      </c>
      <c r="M142" s="56">
        <v>9713</v>
      </c>
      <c r="N142" s="56">
        <v>10046</v>
      </c>
      <c r="O142" s="56">
        <v>10059</v>
      </c>
      <c r="Q142" s="523" t="s">
        <v>6594</v>
      </c>
    </row>
    <row r="143" spans="1:17">
      <c r="A143" s="523" t="s">
        <v>5431</v>
      </c>
      <c r="B143" s="523" t="s">
        <v>793</v>
      </c>
      <c r="C143" s="55" t="s">
        <v>7195</v>
      </c>
      <c r="D143" s="526">
        <v>8360</v>
      </c>
      <c r="E143" s="526">
        <v>8220</v>
      </c>
      <c r="F143" s="526">
        <v>8217</v>
      </c>
      <c r="G143" s="526">
        <v>8313</v>
      </c>
      <c r="H143" s="56">
        <v>7763</v>
      </c>
      <c r="I143" s="56">
        <v>7666</v>
      </c>
      <c r="J143" s="56">
        <v>7249</v>
      </c>
      <c r="K143" s="56">
        <v>7385</v>
      </c>
      <c r="L143" s="56">
        <v>7654</v>
      </c>
      <c r="M143" s="56">
        <v>7551</v>
      </c>
      <c r="N143" s="56">
        <v>7814</v>
      </c>
      <c r="O143" s="56">
        <v>7830</v>
      </c>
      <c r="Q143" s="523" t="s">
        <v>6594</v>
      </c>
    </row>
    <row r="144" spans="1:17">
      <c r="A144" s="523" t="s">
        <v>5433</v>
      </c>
      <c r="B144" s="523" t="s">
        <v>1447</v>
      </c>
      <c r="C144" s="55" t="s">
        <v>7196</v>
      </c>
      <c r="D144" s="526">
        <v>9053</v>
      </c>
      <c r="E144" s="526">
        <v>8995</v>
      </c>
      <c r="F144" s="526">
        <v>8912</v>
      </c>
      <c r="G144" s="526">
        <v>8990</v>
      </c>
      <c r="H144" s="58">
        <v>8695</v>
      </c>
      <c r="I144" s="58">
        <v>8677</v>
      </c>
      <c r="J144" s="58">
        <v>8444</v>
      </c>
      <c r="K144" s="58">
        <v>8742</v>
      </c>
      <c r="L144" s="58">
        <v>8858</v>
      </c>
      <c r="M144" s="58">
        <v>8794</v>
      </c>
      <c r="N144" s="58">
        <v>8925</v>
      </c>
      <c r="O144" s="58">
        <v>8936</v>
      </c>
      <c r="Q144" s="523" t="s">
        <v>6594</v>
      </c>
    </row>
    <row r="145" spans="1:17">
      <c r="A145" s="523" t="s">
        <v>5435</v>
      </c>
      <c r="B145" s="523" t="s">
        <v>1448</v>
      </c>
      <c r="C145" s="55" t="s">
        <v>7197</v>
      </c>
      <c r="D145" s="537">
        <v>8145</v>
      </c>
      <c r="E145" s="537">
        <v>8140</v>
      </c>
      <c r="F145" s="537">
        <v>8183</v>
      </c>
      <c r="G145" s="537">
        <v>8226</v>
      </c>
      <c r="H145" s="56">
        <v>8048</v>
      </c>
      <c r="I145" s="56">
        <v>7967</v>
      </c>
      <c r="J145" s="56">
        <v>7739</v>
      </c>
      <c r="K145" s="56">
        <v>7807</v>
      </c>
      <c r="L145" s="56">
        <v>7899</v>
      </c>
      <c r="M145" s="56">
        <v>7897</v>
      </c>
      <c r="N145" s="56">
        <v>8102</v>
      </c>
      <c r="O145" s="56">
        <v>8104</v>
      </c>
      <c r="Q145" s="523" t="s">
        <v>6592</v>
      </c>
    </row>
    <row r="146" spans="1:17">
      <c r="D146" s="526"/>
      <c r="E146" s="526"/>
      <c r="F146" s="526"/>
      <c r="G146" s="526"/>
      <c r="H146" s="526"/>
      <c r="I146" s="526"/>
      <c r="J146" s="526"/>
      <c r="K146" s="526"/>
      <c r="L146" s="526"/>
      <c r="M146" s="526"/>
      <c r="N146" s="526"/>
      <c r="O146" s="526"/>
    </row>
    <row r="147" spans="1:17">
      <c r="A147" s="523" t="s">
        <v>6592</v>
      </c>
      <c r="D147" s="525">
        <f t="shared" ref="D147:I147" si="77">D130+D131+D133+SUM(D135:D139)+D145</f>
        <v>75866</v>
      </c>
      <c r="E147" s="525">
        <f t="shared" si="77"/>
        <v>75688</v>
      </c>
      <c r="F147" s="525">
        <f t="shared" si="77"/>
        <v>76035</v>
      </c>
      <c r="G147" s="525">
        <f t="shared" si="77"/>
        <v>76220</v>
      </c>
      <c r="H147" s="525">
        <f t="shared" si="77"/>
        <v>74689</v>
      </c>
      <c r="I147" s="525">
        <f t="shared" si="77"/>
        <v>74074</v>
      </c>
      <c r="J147" s="525">
        <f t="shared" ref="J147:O147" si="78">J130+J131+J133+SUM(J135:J139)+J145</f>
        <v>72060</v>
      </c>
      <c r="K147" s="525">
        <f t="shared" si="78"/>
        <v>73902</v>
      </c>
      <c r="L147" s="525">
        <f t="shared" si="78"/>
        <v>75205</v>
      </c>
      <c r="M147" s="525">
        <f t="shared" si="78"/>
        <v>74715</v>
      </c>
      <c r="N147" s="525">
        <f t="shared" si="78"/>
        <v>76090</v>
      </c>
      <c r="O147" s="525">
        <f t="shared" si="78"/>
        <v>76082</v>
      </c>
    </row>
    <row r="148" spans="1:17">
      <c r="A148" s="523" t="s">
        <v>5141</v>
      </c>
      <c r="D148" s="525">
        <f t="shared" ref="D148:I148" si="79">D132+D134+SUM(D140:D144)</f>
        <v>62289</v>
      </c>
      <c r="E148" s="525">
        <f t="shared" si="79"/>
        <v>62079</v>
      </c>
      <c r="F148" s="525">
        <f t="shared" si="79"/>
        <v>61948</v>
      </c>
      <c r="G148" s="525">
        <f t="shared" si="79"/>
        <v>62412</v>
      </c>
      <c r="H148" s="525">
        <f t="shared" si="79"/>
        <v>60608</v>
      </c>
      <c r="I148" s="525">
        <f t="shared" si="79"/>
        <v>60108</v>
      </c>
      <c r="J148" s="525">
        <f t="shared" ref="J148:O148" si="80">J132+J134+SUM(J140:J144)</f>
        <v>58516</v>
      </c>
      <c r="K148" s="525">
        <f t="shared" si="80"/>
        <v>59933</v>
      </c>
      <c r="L148" s="525">
        <f t="shared" si="80"/>
        <v>61207</v>
      </c>
      <c r="M148" s="525">
        <f t="shared" si="80"/>
        <v>60760</v>
      </c>
      <c r="N148" s="525">
        <f t="shared" si="80"/>
        <v>62164</v>
      </c>
      <c r="O148" s="525">
        <f t="shared" si="80"/>
        <v>62132</v>
      </c>
    </row>
    <row r="149" spans="1:17">
      <c r="A149" s="523"/>
      <c r="D149" s="525"/>
      <c r="E149" s="525"/>
      <c r="F149" s="525"/>
      <c r="G149" s="525"/>
      <c r="H149" s="525"/>
      <c r="I149" s="525"/>
      <c r="J149" s="525"/>
      <c r="K149" s="525"/>
      <c r="L149" s="525"/>
      <c r="M149" s="525"/>
      <c r="N149" s="525"/>
      <c r="O149" s="525"/>
    </row>
    <row r="150" spans="1:17">
      <c r="A150" s="523" t="s">
        <v>1449</v>
      </c>
      <c r="D150" s="525"/>
      <c r="E150" s="525"/>
      <c r="F150" s="525"/>
      <c r="G150" s="525"/>
      <c r="H150" s="525"/>
      <c r="I150" s="525"/>
      <c r="J150" s="525"/>
      <c r="K150" s="525"/>
      <c r="L150" s="525"/>
      <c r="M150" s="525"/>
      <c r="N150" s="525"/>
      <c r="O150" s="525"/>
    </row>
    <row r="151" spans="1:17">
      <c r="A151" s="523"/>
      <c r="B151" s="523"/>
      <c r="D151" s="536"/>
      <c r="E151" s="536"/>
      <c r="F151" s="536"/>
      <c r="G151" s="536"/>
      <c r="H151" s="536"/>
      <c r="I151" s="536"/>
      <c r="J151" s="536"/>
      <c r="K151" s="536"/>
      <c r="L151" s="536"/>
      <c r="M151" s="536"/>
      <c r="N151" s="536"/>
      <c r="O151" s="536"/>
    </row>
    <row r="152" spans="1:17">
      <c r="A152" s="523"/>
      <c r="B152" s="523"/>
      <c r="D152" s="536"/>
      <c r="E152" s="536"/>
      <c r="F152" s="536"/>
      <c r="G152" s="536"/>
      <c r="H152" s="536"/>
      <c r="I152" s="536"/>
      <c r="J152" s="536"/>
      <c r="K152" s="536"/>
      <c r="L152" s="536"/>
      <c r="M152" s="536"/>
      <c r="N152" s="536"/>
      <c r="O152" s="536"/>
    </row>
    <row r="153" spans="1:17">
      <c r="E153" s="51" t="s">
        <v>1526</v>
      </c>
      <c r="F153" s="51"/>
      <c r="G153" s="51"/>
      <c r="H153" s="51"/>
      <c r="I153" s="51"/>
      <c r="J153" s="51"/>
      <c r="K153" s="51"/>
      <c r="L153" s="51"/>
      <c r="M153" s="51"/>
      <c r="N153" s="51"/>
      <c r="O153" s="51"/>
      <c r="P153" s="11"/>
      <c r="Q153" s="11" t="s">
        <v>9479</v>
      </c>
    </row>
    <row r="154" spans="1:17">
      <c r="D154" s="350">
        <v>2010</v>
      </c>
      <c r="E154" s="350">
        <v>2011</v>
      </c>
      <c r="F154" s="350">
        <v>2012</v>
      </c>
      <c r="G154" s="350">
        <v>2013</v>
      </c>
      <c r="H154" s="350">
        <v>2014</v>
      </c>
      <c r="I154" s="350">
        <v>2015</v>
      </c>
      <c r="J154" s="350">
        <v>2016</v>
      </c>
      <c r="K154" s="350">
        <v>2017</v>
      </c>
      <c r="L154" s="350">
        <v>2018</v>
      </c>
      <c r="M154" s="350">
        <v>2019</v>
      </c>
      <c r="N154" s="350">
        <v>2020</v>
      </c>
      <c r="O154" s="957" t="s">
        <v>14823</v>
      </c>
      <c r="Q154" s="13" t="s">
        <v>1527</v>
      </c>
    </row>
    <row r="155" spans="1:17">
      <c r="A155" s="523" t="s">
        <v>1450</v>
      </c>
      <c r="D155" s="525">
        <f t="shared" ref="D155:I155" si="81">SUM(D156:D168)+SUM(D169:D174)+SUM(D175:D177)</f>
        <v>207522</v>
      </c>
      <c r="E155" s="525">
        <f t="shared" si="81"/>
        <v>206323</v>
      </c>
      <c r="F155" s="525">
        <f t="shared" si="81"/>
        <v>204776</v>
      </c>
      <c r="G155" s="525">
        <f t="shared" si="81"/>
        <v>200718</v>
      </c>
      <c r="H155" s="525">
        <f t="shared" si="81"/>
        <v>203483</v>
      </c>
      <c r="I155" s="525">
        <f t="shared" si="81"/>
        <v>199765</v>
      </c>
      <c r="J155" s="525">
        <f t="shared" ref="J155:O155" si="82">SUM(J156:J168)+SUM(J169:J174)+SUM(J175:J177)</f>
        <v>198900</v>
      </c>
      <c r="K155" s="525">
        <f t="shared" si="82"/>
        <v>206451</v>
      </c>
      <c r="L155" s="525">
        <f t="shared" si="82"/>
        <v>212684</v>
      </c>
      <c r="M155" s="525">
        <f t="shared" si="82"/>
        <v>211003</v>
      </c>
      <c r="N155" s="525">
        <f t="shared" si="82"/>
        <v>216796</v>
      </c>
      <c r="O155" s="525">
        <f t="shared" si="82"/>
        <v>216316</v>
      </c>
    </row>
    <row r="156" spans="1:17">
      <c r="A156" s="523" t="s">
        <v>5387</v>
      </c>
      <c r="B156" s="523" t="s">
        <v>1451</v>
      </c>
      <c r="C156" s="55" t="s">
        <v>7198</v>
      </c>
      <c r="D156" s="526">
        <v>9708</v>
      </c>
      <c r="E156" s="526">
        <v>9626</v>
      </c>
      <c r="F156" s="526">
        <v>9576</v>
      </c>
      <c r="G156" s="526">
        <v>9460</v>
      </c>
      <c r="H156" s="58">
        <v>9539</v>
      </c>
      <c r="I156" s="58">
        <v>9513</v>
      </c>
      <c r="J156" s="58">
        <v>9540</v>
      </c>
      <c r="K156" s="58">
        <v>9905</v>
      </c>
      <c r="L156" s="58">
        <v>10086</v>
      </c>
      <c r="M156" s="58">
        <v>10041</v>
      </c>
      <c r="N156" s="58">
        <v>10264</v>
      </c>
      <c r="O156" s="58">
        <v>10229</v>
      </c>
      <c r="Q156" s="523" t="s">
        <v>6596</v>
      </c>
    </row>
    <row r="157" spans="1:17">
      <c r="A157" s="523" t="s">
        <v>5389</v>
      </c>
      <c r="B157" s="523" t="s">
        <v>1452</v>
      </c>
      <c r="C157" s="55" t="s">
        <v>7199</v>
      </c>
      <c r="D157" s="526">
        <v>9925</v>
      </c>
      <c r="E157" s="526">
        <v>9926</v>
      </c>
      <c r="F157" s="526">
        <v>9781</v>
      </c>
      <c r="G157" s="526">
        <v>9618</v>
      </c>
      <c r="H157" s="58">
        <v>9694</v>
      </c>
      <c r="I157" s="58">
        <v>9576</v>
      </c>
      <c r="J157" s="58">
        <v>9494</v>
      </c>
      <c r="K157" s="58">
        <v>9896</v>
      </c>
      <c r="L157" s="58">
        <v>10168</v>
      </c>
      <c r="M157" s="58">
        <v>10105</v>
      </c>
      <c r="N157" s="58">
        <v>10284</v>
      </c>
      <c r="O157" s="58">
        <v>10285</v>
      </c>
      <c r="Q157" s="523" t="s">
        <v>6596</v>
      </c>
    </row>
    <row r="158" spans="1:17">
      <c r="A158" s="523" t="s">
        <v>5391</v>
      </c>
      <c r="B158" s="523" t="s">
        <v>2834</v>
      </c>
      <c r="C158" s="55" t="s">
        <v>7200</v>
      </c>
      <c r="D158" s="526">
        <v>8842</v>
      </c>
      <c r="E158" s="526">
        <v>8910</v>
      </c>
      <c r="F158" s="526">
        <v>8923</v>
      </c>
      <c r="G158" s="526">
        <v>8810</v>
      </c>
      <c r="H158" s="56">
        <v>9064</v>
      </c>
      <c r="I158" s="56">
        <v>8889</v>
      </c>
      <c r="J158" s="56">
        <v>9004</v>
      </c>
      <c r="K158" s="56">
        <v>9280</v>
      </c>
      <c r="L158" s="56">
        <v>9496</v>
      </c>
      <c r="M158" s="56">
        <v>9384</v>
      </c>
      <c r="N158" s="56">
        <v>9645</v>
      </c>
      <c r="O158" s="56">
        <v>9568</v>
      </c>
      <c r="Q158" s="523" t="s">
        <v>6595</v>
      </c>
    </row>
    <row r="159" spans="1:17">
      <c r="A159" s="523" t="s">
        <v>5393</v>
      </c>
      <c r="B159" s="523" t="s">
        <v>2299</v>
      </c>
      <c r="C159" s="55" t="s">
        <v>7201</v>
      </c>
      <c r="D159" s="526">
        <v>9353</v>
      </c>
      <c r="E159" s="526">
        <v>9427</v>
      </c>
      <c r="F159" s="526">
        <v>9310</v>
      </c>
      <c r="G159" s="526">
        <v>9069</v>
      </c>
      <c r="H159" s="58">
        <v>9163</v>
      </c>
      <c r="I159" s="58">
        <v>8971</v>
      </c>
      <c r="J159" s="58">
        <v>8945</v>
      </c>
      <c r="K159" s="58">
        <v>9538</v>
      </c>
      <c r="L159" s="58">
        <v>9909</v>
      </c>
      <c r="M159" s="58">
        <v>9853</v>
      </c>
      <c r="N159" s="58">
        <v>10038</v>
      </c>
      <c r="O159" s="58">
        <v>9960</v>
      </c>
      <c r="Q159" s="523" t="s">
        <v>6596</v>
      </c>
    </row>
    <row r="160" spans="1:17">
      <c r="A160" s="523" t="s">
        <v>5394</v>
      </c>
      <c r="B160" s="523" t="s">
        <v>1631</v>
      </c>
      <c r="C160" s="55" t="s">
        <v>7202</v>
      </c>
      <c r="D160" s="526">
        <v>8934</v>
      </c>
      <c r="E160" s="526">
        <v>8897</v>
      </c>
      <c r="F160" s="526">
        <v>8751</v>
      </c>
      <c r="G160" s="526">
        <v>8461</v>
      </c>
      <c r="H160" s="56">
        <v>8705</v>
      </c>
      <c r="I160" s="56">
        <v>8480</v>
      </c>
      <c r="J160" s="56">
        <v>8550</v>
      </c>
      <c r="K160" s="56">
        <v>8895</v>
      </c>
      <c r="L160" s="56">
        <v>9197</v>
      </c>
      <c r="M160" s="56">
        <v>9155</v>
      </c>
      <c r="N160" s="56">
        <v>9512</v>
      </c>
      <c r="O160" s="56">
        <v>9483</v>
      </c>
      <c r="Q160" s="523" t="s">
        <v>2781</v>
      </c>
    </row>
    <row r="161" spans="1:17">
      <c r="A161" s="523" t="s">
        <v>5416</v>
      </c>
      <c r="B161" s="523" t="s">
        <v>2878</v>
      </c>
      <c r="C161" s="55" t="s">
        <v>7203</v>
      </c>
      <c r="D161" s="526">
        <v>9294</v>
      </c>
      <c r="E161" s="526">
        <v>9125</v>
      </c>
      <c r="F161" s="526">
        <v>9049</v>
      </c>
      <c r="G161" s="526">
        <v>8465</v>
      </c>
      <c r="H161" s="56">
        <v>8572</v>
      </c>
      <c r="I161" s="56">
        <v>8211</v>
      </c>
      <c r="J161" s="56">
        <v>8174</v>
      </c>
      <c r="K161" s="56">
        <v>8581</v>
      </c>
      <c r="L161" s="56">
        <v>8944</v>
      </c>
      <c r="M161" s="56">
        <v>8788</v>
      </c>
      <c r="N161" s="56">
        <v>9008</v>
      </c>
      <c r="O161" s="56">
        <v>8992</v>
      </c>
      <c r="Q161" s="523" t="s">
        <v>2781</v>
      </c>
    </row>
    <row r="162" spans="1:17">
      <c r="A162" s="523" t="s">
        <v>5418</v>
      </c>
      <c r="B162" s="523" t="s">
        <v>1227</v>
      </c>
      <c r="C162" s="55" t="s">
        <v>7204</v>
      </c>
      <c r="D162" s="526">
        <v>9543</v>
      </c>
      <c r="E162" s="526">
        <v>9730</v>
      </c>
      <c r="F162" s="526">
        <v>9658</v>
      </c>
      <c r="G162" s="526">
        <v>9532</v>
      </c>
      <c r="H162" s="58">
        <v>9579</v>
      </c>
      <c r="I162" s="58">
        <v>9297</v>
      </c>
      <c r="J162" s="58">
        <v>9181</v>
      </c>
      <c r="K162" s="58">
        <v>9760</v>
      </c>
      <c r="L162" s="58">
        <v>10037</v>
      </c>
      <c r="M162" s="58">
        <v>9937</v>
      </c>
      <c r="N162" s="58">
        <v>10305</v>
      </c>
      <c r="O162" s="58">
        <v>10225</v>
      </c>
      <c r="Q162" s="523" t="s">
        <v>6596</v>
      </c>
    </row>
    <row r="163" spans="1:17">
      <c r="A163" s="523" t="s">
        <v>5420</v>
      </c>
      <c r="B163" s="523" t="s">
        <v>2835</v>
      </c>
      <c r="C163" s="55" t="s">
        <v>7205</v>
      </c>
      <c r="D163" s="526">
        <v>9167</v>
      </c>
      <c r="E163" s="526">
        <v>8985</v>
      </c>
      <c r="F163" s="526">
        <v>8927</v>
      </c>
      <c r="G163" s="526">
        <v>8745</v>
      </c>
      <c r="H163" s="56">
        <v>8847</v>
      </c>
      <c r="I163" s="56">
        <v>8675</v>
      </c>
      <c r="J163" s="56">
        <v>8599</v>
      </c>
      <c r="K163" s="56">
        <v>8881</v>
      </c>
      <c r="L163" s="56">
        <v>9218</v>
      </c>
      <c r="M163" s="56">
        <v>9151</v>
      </c>
      <c r="N163" s="56">
        <v>9492</v>
      </c>
      <c r="O163" s="56">
        <v>9517</v>
      </c>
      <c r="Q163" s="523" t="s">
        <v>2781</v>
      </c>
    </row>
    <row r="164" spans="1:17">
      <c r="A164" s="523" t="s">
        <v>5422</v>
      </c>
      <c r="B164" s="523" t="s">
        <v>2836</v>
      </c>
      <c r="C164" s="55" t="s">
        <v>7206</v>
      </c>
      <c r="D164" s="526">
        <v>9751</v>
      </c>
      <c r="E164" s="526">
        <v>9752</v>
      </c>
      <c r="F164" s="526">
        <v>9680</v>
      </c>
      <c r="G164" s="526">
        <v>9638</v>
      </c>
      <c r="H164" s="56">
        <v>9649</v>
      </c>
      <c r="I164" s="56">
        <v>9545</v>
      </c>
      <c r="J164" s="56">
        <v>9560</v>
      </c>
      <c r="K164" s="56">
        <v>9825</v>
      </c>
      <c r="L164" s="56">
        <v>9986</v>
      </c>
      <c r="M164" s="56">
        <v>9903</v>
      </c>
      <c r="N164" s="56">
        <v>10017</v>
      </c>
      <c r="O164" s="56">
        <v>9970</v>
      </c>
      <c r="Q164" s="523" t="s">
        <v>6595</v>
      </c>
    </row>
    <row r="165" spans="1:17">
      <c r="A165" s="523" t="s">
        <v>5424</v>
      </c>
      <c r="B165" s="523" t="s">
        <v>1196</v>
      </c>
      <c r="C165" s="55" t="s">
        <v>7207</v>
      </c>
      <c r="D165" s="526">
        <v>9203</v>
      </c>
      <c r="E165" s="526">
        <v>9206</v>
      </c>
      <c r="F165" s="526">
        <v>9214</v>
      </c>
      <c r="G165" s="526">
        <v>9113</v>
      </c>
      <c r="H165" s="58">
        <v>9279</v>
      </c>
      <c r="I165" s="58">
        <v>9087</v>
      </c>
      <c r="J165" s="58">
        <v>8901</v>
      </c>
      <c r="K165" s="58">
        <v>9263</v>
      </c>
      <c r="L165" s="58">
        <v>9576</v>
      </c>
      <c r="M165" s="58">
        <v>9561</v>
      </c>
      <c r="N165" s="58">
        <v>9998</v>
      </c>
      <c r="O165" s="58">
        <v>10009</v>
      </c>
      <c r="Q165" s="523" t="s">
        <v>6596</v>
      </c>
    </row>
    <row r="166" spans="1:17">
      <c r="A166" s="523" t="s">
        <v>5426</v>
      </c>
      <c r="B166" s="523" t="s">
        <v>4023</v>
      </c>
      <c r="C166" s="55" t="s">
        <v>7208</v>
      </c>
      <c r="D166" s="526">
        <v>8088</v>
      </c>
      <c r="E166" s="526">
        <v>7897</v>
      </c>
      <c r="F166" s="526">
        <v>7872</v>
      </c>
      <c r="G166" s="526">
        <v>7467</v>
      </c>
      <c r="H166" s="56">
        <v>7873</v>
      </c>
      <c r="I166" s="56">
        <v>7528</v>
      </c>
      <c r="J166" s="56">
        <v>7423</v>
      </c>
      <c r="K166" s="56">
        <v>7878</v>
      </c>
      <c r="L166" s="56">
        <v>8376</v>
      </c>
      <c r="M166" s="56">
        <v>8429</v>
      </c>
      <c r="N166" s="56">
        <v>8867</v>
      </c>
      <c r="O166" s="56">
        <v>8828</v>
      </c>
      <c r="Q166" s="523" t="s">
        <v>2781</v>
      </c>
    </row>
    <row r="167" spans="1:17">
      <c r="A167" s="523" t="s">
        <v>5428</v>
      </c>
      <c r="B167" s="523" t="s">
        <v>2837</v>
      </c>
      <c r="C167" s="55" t="s">
        <v>7209</v>
      </c>
      <c r="D167" s="526">
        <v>8488</v>
      </c>
      <c r="E167" s="526">
        <v>8307</v>
      </c>
      <c r="F167" s="526">
        <v>8279</v>
      </c>
      <c r="G167" s="526">
        <v>8059</v>
      </c>
      <c r="H167" s="56">
        <v>8137</v>
      </c>
      <c r="I167" s="56">
        <v>7922</v>
      </c>
      <c r="J167" s="56">
        <v>7977</v>
      </c>
      <c r="K167" s="56">
        <v>8388</v>
      </c>
      <c r="L167" s="56">
        <v>8775</v>
      </c>
      <c r="M167" s="56">
        <v>8735</v>
      </c>
      <c r="N167" s="56">
        <v>9022</v>
      </c>
      <c r="O167" s="56">
        <v>9043</v>
      </c>
      <c r="Q167" s="523" t="s">
        <v>2781</v>
      </c>
    </row>
    <row r="168" spans="1:17">
      <c r="A168" s="523" t="s">
        <v>5429</v>
      </c>
      <c r="B168" s="523" t="s">
        <v>5920</v>
      </c>
      <c r="C168" s="55" t="s">
        <v>7210</v>
      </c>
      <c r="D168" s="526">
        <v>9836</v>
      </c>
      <c r="E168" s="526">
        <v>9825</v>
      </c>
      <c r="F168" s="526">
        <v>9833</v>
      </c>
      <c r="G168" s="526">
        <v>9609</v>
      </c>
      <c r="H168" s="56">
        <v>9806</v>
      </c>
      <c r="I168" s="56">
        <v>9659</v>
      </c>
      <c r="J168" s="56">
        <v>9574</v>
      </c>
      <c r="K168" s="56">
        <v>9775</v>
      </c>
      <c r="L168" s="56">
        <v>10035</v>
      </c>
      <c r="M168" s="56">
        <v>9948</v>
      </c>
      <c r="N168" s="56">
        <v>10119</v>
      </c>
      <c r="O168" s="56">
        <v>10089</v>
      </c>
      <c r="Q168" s="523" t="s">
        <v>6595</v>
      </c>
    </row>
    <row r="169" spans="1:17">
      <c r="A169" s="523" t="s">
        <v>5431</v>
      </c>
      <c r="B169" s="523" t="s">
        <v>1466</v>
      </c>
      <c r="C169" s="55" t="s">
        <v>7211</v>
      </c>
      <c r="D169" s="526">
        <v>9864</v>
      </c>
      <c r="E169" s="526">
        <v>9785</v>
      </c>
      <c r="F169" s="526">
        <v>9687</v>
      </c>
      <c r="G169" s="526">
        <v>9597</v>
      </c>
      <c r="H169" s="58">
        <v>9635</v>
      </c>
      <c r="I169" s="58">
        <v>9509</v>
      </c>
      <c r="J169" s="58">
        <v>9528</v>
      </c>
      <c r="K169" s="58">
        <v>9847</v>
      </c>
      <c r="L169" s="58">
        <v>10057</v>
      </c>
      <c r="M169" s="58">
        <v>9905</v>
      </c>
      <c r="N169" s="58">
        <v>10137</v>
      </c>
      <c r="O169" s="58">
        <v>10074</v>
      </c>
      <c r="Q169" s="523" t="s">
        <v>6596</v>
      </c>
    </row>
    <row r="170" spans="1:17">
      <c r="A170" s="523" t="s">
        <v>5433</v>
      </c>
      <c r="B170" s="523" t="s">
        <v>1467</v>
      </c>
      <c r="C170" s="55" t="s">
        <v>7212</v>
      </c>
      <c r="D170" s="526">
        <v>10124</v>
      </c>
      <c r="E170" s="526">
        <v>10061</v>
      </c>
      <c r="F170" s="526">
        <v>9847</v>
      </c>
      <c r="G170" s="526">
        <v>9790</v>
      </c>
      <c r="H170" s="56">
        <v>9945</v>
      </c>
      <c r="I170" s="56">
        <v>9799</v>
      </c>
      <c r="J170" s="56">
        <v>9766</v>
      </c>
      <c r="K170" s="56">
        <v>10004</v>
      </c>
      <c r="L170" s="56">
        <v>10215</v>
      </c>
      <c r="M170" s="56">
        <v>10118</v>
      </c>
      <c r="N170" s="56">
        <v>10305</v>
      </c>
      <c r="O170" s="56">
        <v>10313</v>
      </c>
      <c r="Q170" s="523" t="s">
        <v>6595</v>
      </c>
    </row>
    <row r="171" spans="1:17">
      <c r="A171" s="523" t="s">
        <v>5435</v>
      </c>
      <c r="B171" s="523" t="s">
        <v>1468</v>
      </c>
      <c r="C171" s="55" t="s">
        <v>7213</v>
      </c>
      <c r="D171" s="526">
        <v>9075</v>
      </c>
      <c r="E171" s="526">
        <v>8807</v>
      </c>
      <c r="F171" s="526">
        <v>8840</v>
      </c>
      <c r="G171" s="526">
        <v>8664</v>
      </c>
      <c r="H171" s="56">
        <v>8994</v>
      </c>
      <c r="I171" s="56">
        <v>8869</v>
      </c>
      <c r="J171" s="56">
        <v>8847</v>
      </c>
      <c r="K171" s="56">
        <v>9119</v>
      </c>
      <c r="L171" s="56">
        <v>9554</v>
      </c>
      <c r="M171" s="56">
        <v>9506</v>
      </c>
      <c r="N171" s="56">
        <v>9819</v>
      </c>
      <c r="O171" s="56">
        <v>9813</v>
      </c>
      <c r="Q171" s="523" t="s">
        <v>2781</v>
      </c>
    </row>
    <row r="172" spans="1:17">
      <c r="A172" s="523" t="s">
        <v>5436</v>
      </c>
      <c r="B172" s="523" t="s">
        <v>1469</v>
      </c>
      <c r="C172" s="55" t="s">
        <v>7214</v>
      </c>
      <c r="D172" s="526">
        <v>10165</v>
      </c>
      <c r="E172" s="526">
        <v>10103</v>
      </c>
      <c r="F172" s="526">
        <v>10058</v>
      </c>
      <c r="G172" s="526">
        <v>9739</v>
      </c>
      <c r="H172" s="58">
        <v>9845</v>
      </c>
      <c r="I172" s="58">
        <v>9665</v>
      </c>
      <c r="J172" s="58">
        <v>9492</v>
      </c>
      <c r="K172" s="58">
        <v>9909</v>
      </c>
      <c r="L172" s="58">
        <v>10138</v>
      </c>
      <c r="M172" s="58">
        <v>10008</v>
      </c>
      <c r="N172" s="58">
        <v>10273</v>
      </c>
      <c r="O172" s="58">
        <v>10255</v>
      </c>
      <c r="Q172" s="523" t="s">
        <v>6596</v>
      </c>
    </row>
    <row r="173" spans="1:17">
      <c r="A173" s="523" t="s">
        <v>5437</v>
      </c>
      <c r="B173" s="523" t="s">
        <v>1645</v>
      </c>
      <c r="C173" s="55" t="s">
        <v>7215</v>
      </c>
      <c r="D173" s="537">
        <v>9703</v>
      </c>
      <c r="E173" s="537">
        <v>9702</v>
      </c>
      <c r="F173" s="537">
        <v>9615</v>
      </c>
      <c r="G173" s="537">
        <v>9554</v>
      </c>
      <c r="H173" s="56">
        <v>9613</v>
      </c>
      <c r="I173" s="56">
        <v>9511</v>
      </c>
      <c r="J173" s="56">
        <v>9456</v>
      </c>
      <c r="K173" s="56">
        <v>9695</v>
      </c>
      <c r="L173" s="56">
        <v>9853</v>
      </c>
      <c r="M173" s="56">
        <v>9755</v>
      </c>
      <c r="N173" s="56">
        <v>9954</v>
      </c>
      <c r="O173" s="56">
        <v>9942</v>
      </c>
      <c r="Q173" s="523" t="s">
        <v>6595</v>
      </c>
    </row>
    <row r="174" spans="1:17">
      <c r="A174" s="523" t="s">
        <v>5439</v>
      </c>
      <c r="B174" s="523" t="s">
        <v>1470</v>
      </c>
      <c r="C174" s="55" t="s">
        <v>7216</v>
      </c>
      <c r="D174" s="526">
        <v>9388</v>
      </c>
      <c r="E174" s="526">
        <v>9412</v>
      </c>
      <c r="F174" s="526">
        <v>9294</v>
      </c>
      <c r="G174" s="526">
        <v>9236</v>
      </c>
      <c r="H174" s="56">
        <v>9258</v>
      </c>
      <c r="I174" s="56">
        <v>9181</v>
      </c>
      <c r="J174" s="56">
        <v>9162</v>
      </c>
      <c r="K174" s="56">
        <v>9435</v>
      </c>
      <c r="L174" s="56">
        <v>9704</v>
      </c>
      <c r="M174" s="56">
        <v>9609</v>
      </c>
      <c r="N174" s="56">
        <v>9816</v>
      </c>
      <c r="O174" s="56">
        <v>9818</v>
      </c>
      <c r="Q174" s="523" t="s">
        <v>6595</v>
      </c>
    </row>
    <row r="175" spans="1:17">
      <c r="A175" s="523" t="s">
        <v>5441</v>
      </c>
      <c r="B175" s="523" t="s">
        <v>6311</v>
      </c>
      <c r="C175" s="55" t="s">
        <v>7217</v>
      </c>
      <c r="D175" s="526">
        <v>8695</v>
      </c>
      <c r="E175" s="526">
        <v>8554</v>
      </c>
      <c r="F175" s="526">
        <v>8452</v>
      </c>
      <c r="G175" s="526">
        <v>8213</v>
      </c>
      <c r="H175" s="56">
        <v>8176</v>
      </c>
      <c r="I175" s="56">
        <v>7937</v>
      </c>
      <c r="J175" s="56">
        <v>7871</v>
      </c>
      <c r="K175" s="56">
        <v>8119</v>
      </c>
      <c r="L175" s="56">
        <v>8400</v>
      </c>
      <c r="M175" s="56">
        <v>8283</v>
      </c>
      <c r="N175" s="56">
        <v>8545</v>
      </c>
      <c r="O175" s="56">
        <v>8523</v>
      </c>
      <c r="Q175" s="523" t="s">
        <v>2781</v>
      </c>
    </row>
    <row r="176" spans="1:17">
      <c r="A176" s="523" t="s">
        <v>5886</v>
      </c>
      <c r="B176" s="523" t="s">
        <v>2585</v>
      </c>
      <c r="C176" s="55" t="s">
        <v>7218</v>
      </c>
      <c r="D176" s="526">
        <v>10122</v>
      </c>
      <c r="E176" s="526">
        <v>10034</v>
      </c>
      <c r="F176" s="526">
        <v>9997</v>
      </c>
      <c r="G176" s="526">
        <v>9928</v>
      </c>
      <c r="H176" s="56">
        <v>9957</v>
      </c>
      <c r="I176" s="56">
        <v>9802</v>
      </c>
      <c r="J176" s="56">
        <v>9686</v>
      </c>
      <c r="K176" s="56">
        <v>9947</v>
      </c>
      <c r="L176" s="56">
        <v>10139</v>
      </c>
      <c r="M176" s="56">
        <v>10086</v>
      </c>
      <c r="N176" s="56">
        <v>10383</v>
      </c>
      <c r="O176" s="56">
        <v>10385</v>
      </c>
      <c r="Q176" s="523" t="s">
        <v>6595</v>
      </c>
    </row>
    <row r="177" spans="1:17">
      <c r="A177" s="523" t="s">
        <v>5888</v>
      </c>
      <c r="B177" s="523" t="s">
        <v>4538</v>
      </c>
      <c r="C177" s="55" t="s">
        <v>7219</v>
      </c>
      <c r="D177" s="526">
        <v>10254</v>
      </c>
      <c r="E177" s="526">
        <v>10252</v>
      </c>
      <c r="F177" s="526">
        <v>10133</v>
      </c>
      <c r="G177" s="526">
        <v>9951</v>
      </c>
      <c r="H177" s="56">
        <v>10153</v>
      </c>
      <c r="I177" s="56">
        <v>10139</v>
      </c>
      <c r="J177" s="56">
        <v>10170</v>
      </c>
      <c r="K177" s="56">
        <v>10511</v>
      </c>
      <c r="L177" s="56">
        <v>10821</v>
      </c>
      <c r="M177" s="56">
        <v>10743</v>
      </c>
      <c r="N177" s="56">
        <v>10993</v>
      </c>
      <c r="O177" s="56">
        <v>10995</v>
      </c>
      <c r="Q177" s="523" t="s">
        <v>2781</v>
      </c>
    </row>
    <row r="178" spans="1:17">
      <c r="A178" s="523"/>
    </row>
    <row r="179" spans="1:17">
      <c r="A179" s="523" t="s">
        <v>2781</v>
      </c>
      <c r="D179" s="525">
        <f t="shared" ref="D179:I179" si="83">D160+D161+D163+D166+D167+D171+D175+D177</f>
        <v>71995</v>
      </c>
      <c r="E179" s="525">
        <f t="shared" si="83"/>
        <v>70824</v>
      </c>
      <c r="F179" s="525">
        <f t="shared" si="83"/>
        <v>70303</v>
      </c>
      <c r="G179" s="525">
        <f t="shared" si="83"/>
        <v>68025</v>
      </c>
      <c r="H179" s="525">
        <f t="shared" si="83"/>
        <v>69457</v>
      </c>
      <c r="I179" s="525">
        <f t="shared" si="83"/>
        <v>67761</v>
      </c>
      <c r="J179" s="525">
        <f t="shared" ref="J179:O179" si="84">J160+J161+J163+J166+J167+J171+J175+J177</f>
        <v>67611</v>
      </c>
      <c r="K179" s="525">
        <f t="shared" si="84"/>
        <v>70372</v>
      </c>
      <c r="L179" s="525">
        <f t="shared" si="84"/>
        <v>73285</v>
      </c>
      <c r="M179" s="525">
        <f t="shared" si="84"/>
        <v>72790</v>
      </c>
      <c r="N179" s="525">
        <f t="shared" si="84"/>
        <v>75258</v>
      </c>
      <c r="O179" s="525">
        <f t="shared" si="84"/>
        <v>75194</v>
      </c>
    </row>
    <row r="180" spans="1:17">
      <c r="A180" s="523" t="s">
        <v>6595</v>
      </c>
      <c r="D180" s="525">
        <f t="shared" ref="D180:I180" si="85">D158+D164+D168+D170+D173+D174+D176</f>
        <v>67766</v>
      </c>
      <c r="E180" s="525">
        <f t="shared" si="85"/>
        <v>67696</v>
      </c>
      <c r="F180" s="525">
        <f t="shared" si="85"/>
        <v>67189</v>
      </c>
      <c r="G180" s="525">
        <f t="shared" si="85"/>
        <v>66565</v>
      </c>
      <c r="H180" s="525">
        <f t="shared" si="85"/>
        <v>67292</v>
      </c>
      <c r="I180" s="525">
        <f t="shared" si="85"/>
        <v>66386</v>
      </c>
      <c r="J180" s="525">
        <f t="shared" ref="J180:O180" si="86">J158+J164+J168+J170+J173+J174+J176</f>
        <v>66208</v>
      </c>
      <c r="K180" s="525">
        <f t="shared" si="86"/>
        <v>67961</v>
      </c>
      <c r="L180" s="525">
        <f t="shared" si="86"/>
        <v>69428</v>
      </c>
      <c r="M180" s="525">
        <f t="shared" si="86"/>
        <v>68803</v>
      </c>
      <c r="N180" s="525">
        <f t="shared" si="86"/>
        <v>70239</v>
      </c>
      <c r="O180" s="525">
        <f t="shared" si="86"/>
        <v>70085</v>
      </c>
    </row>
    <row r="181" spans="1:17">
      <c r="A181" s="523" t="s">
        <v>6596</v>
      </c>
      <c r="D181" s="525">
        <f t="shared" ref="D181:I181" si="87">D156+D157+D159+D162+D165+D169+D172</f>
        <v>67761</v>
      </c>
      <c r="E181" s="525">
        <f t="shared" si="87"/>
        <v>67803</v>
      </c>
      <c r="F181" s="525">
        <f t="shared" si="87"/>
        <v>67284</v>
      </c>
      <c r="G181" s="525">
        <f t="shared" si="87"/>
        <v>66128</v>
      </c>
      <c r="H181" s="525">
        <f t="shared" si="87"/>
        <v>66734</v>
      </c>
      <c r="I181" s="525">
        <f t="shared" si="87"/>
        <v>65618</v>
      </c>
      <c r="J181" s="525">
        <f t="shared" ref="J181:O181" si="88">J156+J157+J159+J162+J165+J169+J172</f>
        <v>65081</v>
      </c>
      <c r="K181" s="525">
        <f t="shared" si="88"/>
        <v>68118</v>
      </c>
      <c r="L181" s="525">
        <f t="shared" si="88"/>
        <v>69971</v>
      </c>
      <c r="M181" s="525">
        <f t="shared" si="88"/>
        <v>69410</v>
      </c>
      <c r="N181" s="525">
        <f t="shared" si="88"/>
        <v>71299</v>
      </c>
      <c r="O181" s="525">
        <f t="shared" si="88"/>
        <v>71037</v>
      </c>
    </row>
    <row r="183" spans="1:17">
      <c r="A183" s="140" t="s">
        <v>2847</v>
      </c>
    </row>
    <row r="186" spans="1:17">
      <c r="E186" s="51" t="s">
        <v>1526</v>
      </c>
      <c r="F186" s="51"/>
      <c r="G186" s="51"/>
      <c r="H186" s="51"/>
      <c r="I186" s="51"/>
      <c r="J186" s="51"/>
      <c r="K186" s="51"/>
      <c r="L186" s="51"/>
      <c r="M186" s="51"/>
      <c r="N186" s="51"/>
      <c r="O186" s="51"/>
      <c r="P186" s="11"/>
      <c r="Q186" s="11" t="s">
        <v>9479</v>
      </c>
    </row>
    <row r="187" spans="1:17">
      <c r="D187" s="350">
        <v>2010</v>
      </c>
      <c r="E187" s="350">
        <v>2011</v>
      </c>
      <c r="F187" s="350">
        <v>2012</v>
      </c>
      <c r="G187" s="350">
        <v>2013</v>
      </c>
      <c r="H187" s="350">
        <v>2014</v>
      </c>
      <c r="I187" s="350">
        <v>2015</v>
      </c>
      <c r="J187" s="350">
        <v>2016</v>
      </c>
      <c r="K187" s="350">
        <v>2017</v>
      </c>
      <c r="L187" s="350">
        <v>2018</v>
      </c>
      <c r="M187" s="350">
        <v>2019</v>
      </c>
      <c r="N187" s="350">
        <v>2020</v>
      </c>
      <c r="O187" s="957" t="s">
        <v>14823</v>
      </c>
      <c r="Q187" s="13" t="s">
        <v>1527</v>
      </c>
    </row>
    <row r="188" spans="1:17">
      <c r="A188" s="523" t="s">
        <v>2848</v>
      </c>
      <c r="D188" s="525">
        <f t="shared" ref="D188:I188" si="89">SUM(D189:D210)</f>
        <v>240390</v>
      </c>
      <c r="E188" s="525">
        <f t="shared" si="89"/>
        <v>239479</v>
      </c>
      <c r="F188" s="525">
        <f t="shared" si="89"/>
        <v>237847</v>
      </c>
      <c r="G188" s="525">
        <f t="shared" si="89"/>
        <v>239388</v>
      </c>
      <c r="H188" s="525">
        <f t="shared" si="89"/>
        <v>238979</v>
      </c>
      <c r="I188" s="525">
        <f t="shared" si="89"/>
        <v>233652</v>
      </c>
      <c r="J188" s="525">
        <f t="shared" ref="J188:O188" si="90">SUM(J189:J210)</f>
        <v>234989</v>
      </c>
      <c r="K188" s="525">
        <f t="shared" si="90"/>
        <v>239650</v>
      </c>
      <c r="L188" s="525">
        <f t="shared" si="90"/>
        <v>240922</v>
      </c>
      <c r="M188" s="525">
        <f t="shared" si="90"/>
        <v>237014</v>
      </c>
      <c r="N188" s="525">
        <f t="shared" si="90"/>
        <v>244508</v>
      </c>
      <c r="O188" s="525">
        <f t="shared" si="90"/>
        <v>244680</v>
      </c>
    </row>
    <row r="189" spans="1:17">
      <c r="A189" s="523" t="s">
        <v>5387</v>
      </c>
      <c r="B189" s="523" t="s">
        <v>2849</v>
      </c>
      <c r="C189" s="55" t="s">
        <v>7220</v>
      </c>
      <c r="D189" s="537">
        <v>11786</v>
      </c>
      <c r="E189" s="537">
        <v>11832</v>
      </c>
      <c r="F189" s="537">
        <v>11959</v>
      </c>
      <c r="G189" s="537">
        <v>11947</v>
      </c>
      <c r="H189" s="538">
        <v>11965</v>
      </c>
      <c r="I189" s="56">
        <v>11846</v>
      </c>
      <c r="J189" s="56">
        <v>11827</v>
      </c>
      <c r="K189" s="56">
        <v>11970</v>
      </c>
      <c r="L189" s="56">
        <v>11999</v>
      </c>
      <c r="M189" s="56">
        <v>11832</v>
      </c>
      <c r="N189" s="56">
        <v>11995</v>
      </c>
      <c r="O189" s="56">
        <v>11993</v>
      </c>
      <c r="Q189" s="523" t="s">
        <v>6598</v>
      </c>
    </row>
    <row r="190" spans="1:17">
      <c r="A190" s="523" t="s">
        <v>5389</v>
      </c>
      <c r="B190" s="523" t="s">
        <v>2850</v>
      </c>
      <c r="C190" s="55" t="s">
        <v>7221</v>
      </c>
      <c r="D190" s="526">
        <v>9736</v>
      </c>
      <c r="E190" s="526">
        <v>9787</v>
      </c>
      <c r="F190" s="526">
        <v>9832</v>
      </c>
      <c r="G190" s="526">
        <v>9905</v>
      </c>
      <c r="H190" s="538">
        <v>9849</v>
      </c>
      <c r="I190" s="56">
        <v>9546</v>
      </c>
      <c r="J190" s="56">
        <v>9694</v>
      </c>
      <c r="K190" s="56">
        <v>9951</v>
      </c>
      <c r="L190" s="56">
        <v>9881</v>
      </c>
      <c r="M190" s="56">
        <v>9881</v>
      </c>
      <c r="N190" s="56">
        <v>10192</v>
      </c>
      <c r="O190" s="56">
        <v>10273</v>
      </c>
      <c r="Q190" s="523" t="s">
        <v>2779</v>
      </c>
    </row>
    <row r="191" spans="1:17">
      <c r="A191" s="523" t="s">
        <v>5391</v>
      </c>
      <c r="B191" s="523" t="s">
        <v>2851</v>
      </c>
      <c r="C191" s="55" t="s">
        <v>7222</v>
      </c>
      <c r="D191" s="526">
        <v>9852</v>
      </c>
      <c r="E191" s="526">
        <v>9743</v>
      </c>
      <c r="F191" s="526">
        <v>9417</v>
      </c>
      <c r="G191" s="526">
        <v>9544</v>
      </c>
      <c r="H191" s="538">
        <v>9696</v>
      </c>
      <c r="I191" s="56">
        <v>9276</v>
      </c>
      <c r="J191" s="56">
        <v>9305</v>
      </c>
      <c r="K191" s="56">
        <v>9698</v>
      </c>
      <c r="L191" s="56">
        <v>9957</v>
      </c>
      <c r="M191" s="56">
        <v>9530</v>
      </c>
      <c r="N191" s="56">
        <v>10122</v>
      </c>
      <c r="O191" s="56">
        <v>10164</v>
      </c>
      <c r="Q191" s="523" t="s">
        <v>2779</v>
      </c>
    </row>
    <row r="192" spans="1:17">
      <c r="A192" s="523" t="s">
        <v>5393</v>
      </c>
      <c r="B192" s="523" t="s">
        <v>2852</v>
      </c>
      <c r="C192" s="55" t="s">
        <v>7223</v>
      </c>
      <c r="D192" s="537">
        <v>10636</v>
      </c>
      <c r="E192" s="537">
        <v>10730</v>
      </c>
      <c r="F192" s="537">
        <v>10914</v>
      </c>
      <c r="G192" s="537">
        <v>11051</v>
      </c>
      <c r="H192" s="538">
        <v>11202</v>
      </c>
      <c r="I192" s="56">
        <v>10986</v>
      </c>
      <c r="J192" s="56">
        <v>11158</v>
      </c>
      <c r="K192" s="56">
        <v>11340</v>
      </c>
      <c r="L192" s="56">
        <v>11453</v>
      </c>
      <c r="M192" s="56">
        <v>11429</v>
      </c>
      <c r="N192" s="56">
        <v>12065</v>
      </c>
      <c r="O192" s="56">
        <v>12094</v>
      </c>
      <c r="Q192" s="523" t="s">
        <v>6598</v>
      </c>
    </row>
    <row r="193" spans="1:17">
      <c r="A193" s="523" t="s">
        <v>5394</v>
      </c>
      <c r="B193" s="523" t="s">
        <v>2853</v>
      </c>
      <c r="C193" s="55" t="s">
        <v>7224</v>
      </c>
      <c r="D193" s="526">
        <v>11754</v>
      </c>
      <c r="E193" s="526">
        <v>11705</v>
      </c>
      <c r="F193" s="526">
        <v>11692</v>
      </c>
      <c r="G193" s="526">
        <v>11742</v>
      </c>
      <c r="H193" s="538">
        <v>11699</v>
      </c>
      <c r="I193" s="56">
        <v>11568</v>
      </c>
      <c r="J193" s="56">
        <v>11460</v>
      </c>
      <c r="K193" s="56">
        <v>11502</v>
      </c>
      <c r="L193" s="56">
        <v>11457</v>
      </c>
      <c r="M193" s="56">
        <v>11353</v>
      </c>
      <c r="N193" s="56">
        <v>11526</v>
      </c>
      <c r="O193" s="56">
        <v>11467</v>
      </c>
      <c r="Q193" s="523" t="s">
        <v>6598</v>
      </c>
    </row>
    <row r="194" spans="1:17">
      <c r="A194" s="523" t="s">
        <v>5416</v>
      </c>
      <c r="B194" s="523" t="s">
        <v>2854</v>
      </c>
      <c r="C194" s="55" t="s">
        <v>7225</v>
      </c>
      <c r="D194" s="526">
        <v>11340</v>
      </c>
      <c r="E194" s="526">
        <v>11294</v>
      </c>
      <c r="F194" s="526">
        <v>11072</v>
      </c>
      <c r="G194" s="526">
        <v>11214</v>
      </c>
      <c r="H194" s="538">
        <v>11164</v>
      </c>
      <c r="I194" s="56">
        <v>10707</v>
      </c>
      <c r="J194" s="56">
        <v>11035</v>
      </c>
      <c r="K194" s="56">
        <v>11306</v>
      </c>
      <c r="L194" s="56">
        <v>11475</v>
      </c>
      <c r="M194" s="56">
        <v>11315</v>
      </c>
      <c r="N194" s="56">
        <v>11591</v>
      </c>
      <c r="O194" s="56">
        <v>11575</v>
      </c>
      <c r="Q194" s="523" t="s">
        <v>2779</v>
      </c>
    </row>
    <row r="195" spans="1:17">
      <c r="A195" s="523" t="s">
        <v>5418</v>
      </c>
      <c r="B195" s="523" t="s">
        <v>2855</v>
      </c>
      <c r="C195" s="55" t="s">
        <v>7226</v>
      </c>
      <c r="D195" s="526">
        <v>11065</v>
      </c>
      <c r="E195" s="526">
        <v>11003</v>
      </c>
      <c r="F195" s="526">
        <v>10993</v>
      </c>
      <c r="G195" s="526">
        <v>10928</v>
      </c>
      <c r="H195" s="539">
        <v>10898</v>
      </c>
      <c r="I195" s="58">
        <v>10781</v>
      </c>
      <c r="J195" s="58">
        <v>10872</v>
      </c>
      <c r="K195" s="58">
        <v>11083</v>
      </c>
      <c r="L195" s="58">
        <v>11110</v>
      </c>
      <c r="M195" s="58">
        <v>10926</v>
      </c>
      <c r="N195" s="58">
        <v>11115</v>
      </c>
      <c r="O195" s="58">
        <v>11135</v>
      </c>
      <c r="Q195" s="523" t="s">
        <v>6598</v>
      </c>
    </row>
    <row r="196" spans="1:17">
      <c r="A196" s="523" t="s">
        <v>5420</v>
      </c>
      <c r="B196" s="523" t="s">
        <v>2856</v>
      </c>
      <c r="C196" s="55" t="s">
        <v>7227</v>
      </c>
      <c r="D196" s="526">
        <v>11582</v>
      </c>
      <c r="E196" s="526">
        <v>11546</v>
      </c>
      <c r="F196" s="526">
        <v>11510</v>
      </c>
      <c r="G196" s="526">
        <v>11585</v>
      </c>
      <c r="H196" s="539">
        <v>11536</v>
      </c>
      <c r="I196" s="58">
        <v>11384</v>
      </c>
      <c r="J196" s="58">
        <v>11342</v>
      </c>
      <c r="K196" s="58">
        <v>11447</v>
      </c>
      <c r="L196" s="58">
        <v>11467</v>
      </c>
      <c r="M196" s="58">
        <v>11393</v>
      </c>
      <c r="N196" s="58">
        <v>11660</v>
      </c>
      <c r="O196" s="58">
        <v>11668</v>
      </c>
      <c r="Q196" s="523" t="s">
        <v>6599</v>
      </c>
    </row>
    <row r="197" spans="1:17">
      <c r="A197" s="523" t="s">
        <v>5422</v>
      </c>
      <c r="B197" s="523" t="s">
        <v>2857</v>
      </c>
      <c r="C197" s="55" t="s">
        <v>7228</v>
      </c>
      <c r="D197" s="526">
        <v>10959</v>
      </c>
      <c r="E197" s="526">
        <v>10968</v>
      </c>
      <c r="F197" s="526">
        <v>10945</v>
      </c>
      <c r="G197" s="526">
        <v>10915</v>
      </c>
      <c r="H197" s="539">
        <v>10875</v>
      </c>
      <c r="I197" s="58">
        <v>10704</v>
      </c>
      <c r="J197" s="58">
        <v>10655</v>
      </c>
      <c r="K197" s="58">
        <v>10859</v>
      </c>
      <c r="L197" s="58">
        <v>10912</v>
      </c>
      <c r="M197" s="58">
        <v>10810</v>
      </c>
      <c r="N197" s="58">
        <v>11012</v>
      </c>
      <c r="O197" s="58">
        <v>10981</v>
      </c>
      <c r="Q197" s="523" t="s">
        <v>6598</v>
      </c>
    </row>
    <row r="198" spans="1:17">
      <c r="A198" s="523" t="s">
        <v>5424</v>
      </c>
      <c r="B198" s="523" t="s">
        <v>2858</v>
      </c>
      <c r="C198" s="55" t="s">
        <v>7229</v>
      </c>
      <c r="D198" s="537">
        <v>10359</v>
      </c>
      <c r="E198" s="537">
        <v>10439</v>
      </c>
      <c r="F198" s="537">
        <v>10331</v>
      </c>
      <c r="G198" s="537">
        <v>10410</v>
      </c>
      <c r="H198" s="539">
        <v>10330</v>
      </c>
      <c r="I198" s="58">
        <v>10127</v>
      </c>
      <c r="J198" s="58">
        <v>10300</v>
      </c>
      <c r="K198" s="58">
        <v>10500</v>
      </c>
      <c r="L198" s="58">
        <v>10516</v>
      </c>
      <c r="M198" s="58">
        <v>10337</v>
      </c>
      <c r="N198" s="58">
        <v>10725</v>
      </c>
      <c r="O198" s="58">
        <v>10723</v>
      </c>
      <c r="Q198" s="523" t="s">
        <v>6599</v>
      </c>
    </row>
    <row r="199" spans="1:17">
      <c r="A199" s="523" t="s">
        <v>5426</v>
      </c>
      <c r="B199" s="523" t="s">
        <v>2859</v>
      </c>
      <c r="C199" s="55" t="s">
        <v>7230</v>
      </c>
      <c r="D199" s="526">
        <v>10902</v>
      </c>
      <c r="E199" s="526">
        <v>10653</v>
      </c>
      <c r="F199" s="526">
        <v>10445</v>
      </c>
      <c r="G199" s="526">
        <v>10389</v>
      </c>
      <c r="H199" s="538">
        <v>10638</v>
      </c>
      <c r="I199" s="56">
        <v>10457</v>
      </c>
      <c r="J199" s="56">
        <v>10480</v>
      </c>
      <c r="K199" s="56">
        <v>10716</v>
      </c>
      <c r="L199" s="56">
        <v>10758</v>
      </c>
      <c r="M199" s="56">
        <v>10555</v>
      </c>
      <c r="N199" s="56">
        <v>11028</v>
      </c>
      <c r="O199" s="56">
        <v>11076</v>
      </c>
      <c r="Q199" s="523" t="s">
        <v>6597</v>
      </c>
    </row>
    <row r="200" spans="1:17">
      <c r="A200" s="523" t="s">
        <v>5428</v>
      </c>
      <c r="B200" s="523" t="s">
        <v>2860</v>
      </c>
      <c r="C200" s="55" t="s">
        <v>7231</v>
      </c>
      <c r="D200" s="526">
        <v>11069</v>
      </c>
      <c r="E200" s="526">
        <v>11096</v>
      </c>
      <c r="F200" s="526">
        <v>10983</v>
      </c>
      <c r="G200" s="526">
        <v>11105</v>
      </c>
      <c r="H200" s="538">
        <v>11082</v>
      </c>
      <c r="I200" s="56">
        <v>10769</v>
      </c>
      <c r="J200" s="56">
        <v>10730</v>
      </c>
      <c r="K200" s="56">
        <v>11058</v>
      </c>
      <c r="L200" s="56">
        <v>11110</v>
      </c>
      <c r="M200" s="56">
        <v>10867</v>
      </c>
      <c r="N200" s="56">
        <v>11332</v>
      </c>
      <c r="O200" s="56">
        <v>11350</v>
      </c>
      <c r="Q200" s="523" t="s">
        <v>6597</v>
      </c>
    </row>
    <row r="201" spans="1:17">
      <c r="A201" s="523" t="s">
        <v>5429</v>
      </c>
      <c r="B201" s="523" t="s">
        <v>2861</v>
      </c>
      <c r="C201" s="55" t="s">
        <v>7232</v>
      </c>
      <c r="D201" s="537">
        <v>10810</v>
      </c>
      <c r="E201" s="537">
        <v>10794</v>
      </c>
      <c r="F201" s="537">
        <v>10679</v>
      </c>
      <c r="G201" s="537">
        <v>10833</v>
      </c>
      <c r="H201" s="538">
        <v>10861</v>
      </c>
      <c r="I201" s="56">
        <v>10608</v>
      </c>
      <c r="J201" s="56">
        <v>10563</v>
      </c>
      <c r="K201" s="56">
        <v>10774</v>
      </c>
      <c r="L201" s="56">
        <v>10681</v>
      </c>
      <c r="M201" s="56">
        <v>10539</v>
      </c>
      <c r="N201" s="56">
        <v>10827</v>
      </c>
      <c r="O201" s="56">
        <v>10850</v>
      </c>
      <c r="Q201" s="523" t="s">
        <v>6597</v>
      </c>
    </row>
    <row r="202" spans="1:17">
      <c r="A202" s="523" t="s">
        <v>5431</v>
      </c>
      <c r="B202" s="523" t="s">
        <v>5831</v>
      </c>
      <c r="C202" s="55" t="s">
        <v>7233</v>
      </c>
      <c r="D202" s="526">
        <v>10904</v>
      </c>
      <c r="E202" s="526">
        <v>10807</v>
      </c>
      <c r="F202" s="526">
        <v>10630</v>
      </c>
      <c r="G202" s="526">
        <v>10728</v>
      </c>
      <c r="H202" s="538">
        <v>10713</v>
      </c>
      <c r="I202" s="56">
        <v>10502</v>
      </c>
      <c r="J202" s="56">
        <v>10685</v>
      </c>
      <c r="K202" s="56">
        <v>11040</v>
      </c>
      <c r="L202" s="56">
        <v>11291</v>
      </c>
      <c r="M202" s="56">
        <v>10960</v>
      </c>
      <c r="N202" s="56">
        <v>11472</v>
      </c>
      <c r="O202" s="56">
        <v>11454</v>
      </c>
      <c r="Q202" s="523" t="s">
        <v>6597</v>
      </c>
    </row>
    <row r="203" spans="1:17">
      <c r="A203" s="523" t="s">
        <v>5433</v>
      </c>
      <c r="B203" s="523" t="s">
        <v>5832</v>
      </c>
      <c r="C203" s="55" t="s">
        <v>7234</v>
      </c>
      <c r="D203" s="526">
        <v>11198</v>
      </c>
      <c r="E203" s="526">
        <v>11092</v>
      </c>
      <c r="F203" s="526">
        <v>11093</v>
      </c>
      <c r="G203" s="526">
        <v>11178</v>
      </c>
      <c r="H203" s="538">
        <v>11244</v>
      </c>
      <c r="I203" s="56">
        <v>10916</v>
      </c>
      <c r="J203" s="56">
        <v>10866</v>
      </c>
      <c r="K203" s="56">
        <v>10998</v>
      </c>
      <c r="L203" s="56">
        <v>11001</v>
      </c>
      <c r="M203" s="56">
        <v>10752</v>
      </c>
      <c r="N203" s="56">
        <v>11129</v>
      </c>
      <c r="O203" s="56">
        <v>11140</v>
      </c>
      <c r="Q203" s="523" t="s">
        <v>2779</v>
      </c>
    </row>
    <row r="204" spans="1:17">
      <c r="A204" s="523" t="s">
        <v>5435</v>
      </c>
      <c r="B204" s="523" t="s">
        <v>5833</v>
      </c>
      <c r="C204" s="55" t="s">
        <v>7235</v>
      </c>
      <c r="D204" s="526">
        <v>10664</v>
      </c>
      <c r="E204" s="526">
        <v>10554</v>
      </c>
      <c r="F204" s="526">
        <v>10496</v>
      </c>
      <c r="G204" s="526">
        <v>10548</v>
      </c>
      <c r="H204" s="539">
        <v>10455</v>
      </c>
      <c r="I204" s="58">
        <v>10385</v>
      </c>
      <c r="J204" s="58">
        <v>10319</v>
      </c>
      <c r="K204" s="58">
        <v>10444</v>
      </c>
      <c r="L204" s="58">
        <v>10433</v>
      </c>
      <c r="M204" s="58">
        <v>10292</v>
      </c>
      <c r="N204" s="58">
        <v>10585</v>
      </c>
      <c r="O204" s="58">
        <v>10575</v>
      </c>
      <c r="Q204" s="523" t="s">
        <v>6599</v>
      </c>
    </row>
    <row r="205" spans="1:17">
      <c r="A205" s="523" t="s">
        <v>5436</v>
      </c>
      <c r="B205" s="523" t="s">
        <v>5834</v>
      </c>
      <c r="C205" s="55" t="s">
        <v>7236</v>
      </c>
      <c r="D205" s="526">
        <v>11047</v>
      </c>
      <c r="E205" s="526">
        <v>10877</v>
      </c>
      <c r="F205" s="526">
        <v>10616</v>
      </c>
      <c r="G205" s="526">
        <v>10830</v>
      </c>
      <c r="H205" s="538">
        <v>10793</v>
      </c>
      <c r="I205" s="56">
        <v>10568</v>
      </c>
      <c r="J205" s="56">
        <v>10604</v>
      </c>
      <c r="K205" s="56">
        <v>10822</v>
      </c>
      <c r="L205" s="56">
        <v>10942</v>
      </c>
      <c r="M205" s="56">
        <v>10799</v>
      </c>
      <c r="N205" s="56">
        <v>11111</v>
      </c>
      <c r="O205" s="56">
        <v>11123</v>
      </c>
      <c r="Q205" s="523" t="s">
        <v>2779</v>
      </c>
    </row>
    <row r="206" spans="1:17">
      <c r="A206" s="523" t="s">
        <v>5437</v>
      </c>
      <c r="B206" s="523" t="s">
        <v>5835</v>
      </c>
      <c r="C206" s="55" t="s">
        <v>7237</v>
      </c>
      <c r="D206" s="526">
        <v>9797</v>
      </c>
      <c r="E206" s="526">
        <v>9639</v>
      </c>
      <c r="F206" s="526">
        <v>9553</v>
      </c>
      <c r="G206" s="526">
        <v>9728</v>
      </c>
      <c r="H206" s="538">
        <v>9557</v>
      </c>
      <c r="I206" s="56">
        <v>9181</v>
      </c>
      <c r="J206" s="56">
        <v>9341</v>
      </c>
      <c r="K206" s="56">
        <v>9659</v>
      </c>
      <c r="L206" s="56">
        <v>9806</v>
      </c>
      <c r="M206" s="56">
        <v>9687</v>
      </c>
      <c r="N206" s="56">
        <v>10006</v>
      </c>
      <c r="O206" s="56">
        <v>10003</v>
      </c>
      <c r="Q206" s="523" t="s">
        <v>2779</v>
      </c>
    </row>
    <row r="207" spans="1:17">
      <c r="A207" s="523" t="s">
        <v>5439</v>
      </c>
      <c r="B207" s="523" t="s">
        <v>5836</v>
      </c>
      <c r="C207" s="55" t="s">
        <v>7238</v>
      </c>
      <c r="D207" s="526">
        <v>10307</v>
      </c>
      <c r="E207" s="526">
        <v>10425</v>
      </c>
      <c r="F207" s="526">
        <v>10327</v>
      </c>
      <c r="G207" s="526">
        <v>10343</v>
      </c>
      <c r="H207" s="538">
        <v>10193</v>
      </c>
      <c r="I207" s="56">
        <v>9790</v>
      </c>
      <c r="J207" s="56">
        <v>9869</v>
      </c>
      <c r="K207" s="56">
        <v>10161</v>
      </c>
      <c r="L207" s="56">
        <v>10189</v>
      </c>
      <c r="M207" s="56">
        <v>9900</v>
      </c>
      <c r="N207" s="56">
        <v>10149</v>
      </c>
      <c r="O207" s="56">
        <v>10178</v>
      </c>
      <c r="Q207" s="523" t="s">
        <v>6597</v>
      </c>
    </row>
    <row r="208" spans="1:17">
      <c r="A208" s="523" t="s">
        <v>5441</v>
      </c>
      <c r="B208" s="523" t="s">
        <v>4464</v>
      </c>
      <c r="C208" s="55" t="s">
        <v>7239</v>
      </c>
      <c r="D208" s="526">
        <v>12250</v>
      </c>
      <c r="E208" s="526">
        <v>12173</v>
      </c>
      <c r="F208" s="526">
        <v>12216</v>
      </c>
      <c r="G208" s="526">
        <v>12187</v>
      </c>
      <c r="H208" s="539">
        <v>12186</v>
      </c>
      <c r="I208" s="58">
        <v>11896</v>
      </c>
      <c r="J208" s="58">
        <v>12112</v>
      </c>
      <c r="K208" s="58">
        <v>12224</v>
      </c>
      <c r="L208" s="58">
        <v>12381</v>
      </c>
      <c r="M208" s="58">
        <v>12129</v>
      </c>
      <c r="N208" s="58">
        <v>12543</v>
      </c>
      <c r="O208" s="58">
        <v>12521</v>
      </c>
      <c r="Q208" s="523" t="s">
        <v>6599</v>
      </c>
    </row>
    <row r="209" spans="1:17">
      <c r="A209" s="523" t="s">
        <v>5886</v>
      </c>
      <c r="B209" s="523" t="s">
        <v>2840</v>
      </c>
      <c r="C209" s="55" t="s">
        <v>7240</v>
      </c>
      <c r="D209" s="526">
        <v>12076</v>
      </c>
      <c r="E209" s="526">
        <v>11957</v>
      </c>
      <c r="F209" s="526">
        <v>11905</v>
      </c>
      <c r="G209" s="526">
        <v>11863</v>
      </c>
      <c r="H209" s="538">
        <v>11736</v>
      </c>
      <c r="I209" s="56">
        <v>11570</v>
      </c>
      <c r="J209" s="56">
        <v>11613</v>
      </c>
      <c r="K209" s="56">
        <v>11786</v>
      </c>
      <c r="L209" s="56">
        <v>11816</v>
      </c>
      <c r="M209" s="56">
        <v>11630</v>
      </c>
      <c r="N209" s="56">
        <v>11901</v>
      </c>
      <c r="O209" s="56">
        <v>11898</v>
      </c>
      <c r="Q209" s="523" t="s">
        <v>6597</v>
      </c>
    </row>
    <row r="210" spans="1:17">
      <c r="A210" s="523" t="s">
        <v>5888</v>
      </c>
      <c r="B210" s="523" t="s">
        <v>2841</v>
      </c>
      <c r="C210" s="55" t="s">
        <v>7241</v>
      </c>
      <c r="D210" s="526">
        <v>10297</v>
      </c>
      <c r="E210" s="526">
        <v>10365</v>
      </c>
      <c r="F210" s="526">
        <v>10239</v>
      </c>
      <c r="G210" s="526">
        <v>10415</v>
      </c>
      <c r="H210" s="539">
        <v>10307</v>
      </c>
      <c r="I210" s="58">
        <v>10085</v>
      </c>
      <c r="J210" s="58">
        <v>10159</v>
      </c>
      <c r="K210" s="58">
        <v>10312</v>
      </c>
      <c r="L210" s="58">
        <v>10287</v>
      </c>
      <c r="M210" s="58">
        <v>10098</v>
      </c>
      <c r="N210" s="58">
        <v>10422</v>
      </c>
      <c r="O210" s="58">
        <v>10439</v>
      </c>
      <c r="Q210" s="523" t="s">
        <v>6599</v>
      </c>
    </row>
    <row r="211" spans="1:17">
      <c r="D211" s="526"/>
      <c r="E211" s="526"/>
      <c r="F211" s="526"/>
      <c r="G211" s="526"/>
      <c r="H211" s="526"/>
      <c r="I211" s="526"/>
      <c r="J211" s="526"/>
      <c r="K211" s="526"/>
      <c r="L211" s="526"/>
      <c r="M211" s="526"/>
      <c r="N211" s="526"/>
      <c r="O211" s="526"/>
    </row>
    <row r="212" spans="1:17">
      <c r="A212" s="523" t="s">
        <v>2779</v>
      </c>
      <c r="D212" s="525">
        <f t="shared" ref="D212:I212" si="91">D190+D191+D194+D203+D205+D206</f>
        <v>62970</v>
      </c>
      <c r="E212" s="525">
        <f t="shared" si="91"/>
        <v>62432</v>
      </c>
      <c r="F212" s="525">
        <f t="shared" si="91"/>
        <v>61583</v>
      </c>
      <c r="G212" s="525">
        <f t="shared" si="91"/>
        <v>62399</v>
      </c>
      <c r="H212" s="525">
        <f t="shared" si="91"/>
        <v>62303</v>
      </c>
      <c r="I212" s="525">
        <f t="shared" si="91"/>
        <v>60194</v>
      </c>
      <c r="J212" s="525">
        <f t="shared" ref="J212:O212" si="92">J190+J191+J194+J203+J205+J206</f>
        <v>60845</v>
      </c>
      <c r="K212" s="525">
        <f t="shared" si="92"/>
        <v>62434</v>
      </c>
      <c r="L212" s="525">
        <f t="shared" si="92"/>
        <v>63062</v>
      </c>
      <c r="M212" s="525">
        <f t="shared" si="92"/>
        <v>61964</v>
      </c>
      <c r="N212" s="525">
        <f t="shared" si="92"/>
        <v>64151</v>
      </c>
      <c r="O212" s="525">
        <f t="shared" si="92"/>
        <v>64278</v>
      </c>
    </row>
    <row r="213" spans="1:17">
      <c r="A213" s="523" t="s">
        <v>6597</v>
      </c>
      <c r="D213" s="525">
        <f t="shared" ref="D213:I213" si="93">SUM(D199:D202)+D207+D209</f>
        <v>66068</v>
      </c>
      <c r="E213" s="525">
        <f t="shared" si="93"/>
        <v>65732</v>
      </c>
      <c r="F213" s="525">
        <f t="shared" si="93"/>
        <v>64969</v>
      </c>
      <c r="G213" s="525">
        <f t="shared" si="93"/>
        <v>65261</v>
      </c>
      <c r="H213" s="525">
        <f t="shared" si="93"/>
        <v>65223</v>
      </c>
      <c r="I213" s="525">
        <f t="shared" si="93"/>
        <v>63696</v>
      </c>
      <c r="J213" s="525">
        <f t="shared" ref="J213:O213" si="94">SUM(J199:J202)+J207+J209</f>
        <v>63940</v>
      </c>
      <c r="K213" s="525">
        <f t="shared" si="94"/>
        <v>65535</v>
      </c>
      <c r="L213" s="525">
        <f t="shared" si="94"/>
        <v>65845</v>
      </c>
      <c r="M213" s="525">
        <f t="shared" si="94"/>
        <v>64451</v>
      </c>
      <c r="N213" s="525">
        <f t="shared" si="94"/>
        <v>66709</v>
      </c>
      <c r="O213" s="525">
        <f t="shared" si="94"/>
        <v>66806</v>
      </c>
    </row>
    <row r="214" spans="1:17">
      <c r="A214" s="523" t="s">
        <v>6598</v>
      </c>
      <c r="D214" s="525">
        <f t="shared" ref="D214:I214" si="95">D189+D192+D193+D195+D197</f>
        <v>56200</v>
      </c>
      <c r="E214" s="525">
        <f t="shared" si="95"/>
        <v>56238</v>
      </c>
      <c r="F214" s="525">
        <f t="shared" si="95"/>
        <v>56503</v>
      </c>
      <c r="G214" s="525">
        <f t="shared" si="95"/>
        <v>56583</v>
      </c>
      <c r="H214" s="525">
        <f t="shared" si="95"/>
        <v>56639</v>
      </c>
      <c r="I214" s="525">
        <f t="shared" si="95"/>
        <v>55885</v>
      </c>
      <c r="J214" s="525">
        <f t="shared" ref="J214:O214" si="96">J189+J192+J193+J195+J197</f>
        <v>55972</v>
      </c>
      <c r="K214" s="525">
        <f t="shared" si="96"/>
        <v>56754</v>
      </c>
      <c r="L214" s="525">
        <f t="shared" si="96"/>
        <v>56931</v>
      </c>
      <c r="M214" s="525">
        <f t="shared" si="96"/>
        <v>56350</v>
      </c>
      <c r="N214" s="525">
        <f t="shared" si="96"/>
        <v>57713</v>
      </c>
      <c r="O214" s="525">
        <f t="shared" si="96"/>
        <v>57670</v>
      </c>
    </row>
    <row r="215" spans="1:17">
      <c r="A215" s="523" t="s">
        <v>6599</v>
      </c>
      <c r="D215" s="525">
        <f t="shared" ref="D215:I215" si="97">D196+D198+D204+D208+D210</f>
        <v>55152</v>
      </c>
      <c r="E215" s="525">
        <f t="shared" si="97"/>
        <v>55077</v>
      </c>
      <c r="F215" s="525">
        <f t="shared" si="97"/>
        <v>54792</v>
      </c>
      <c r="G215" s="525">
        <f t="shared" si="97"/>
        <v>55145</v>
      </c>
      <c r="H215" s="525">
        <f t="shared" si="97"/>
        <v>54814</v>
      </c>
      <c r="I215" s="525">
        <f t="shared" si="97"/>
        <v>53877</v>
      </c>
      <c r="J215" s="525">
        <f t="shared" ref="J215:O215" si="98">J196+J198+J204+J208+J210</f>
        <v>54232</v>
      </c>
      <c r="K215" s="525">
        <f t="shared" si="98"/>
        <v>54927</v>
      </c>
      <c r="L215" s="525">
        <f t="shared" si="98"/>
        <v>55084</v>
      </c>
      <c r="M215" s="525">
        <f t="shared" si="98"/>
        <v>54249</v>
      </c>
      <c r="N215" s="525">
        <f t="shared" si="98"/>
        <v>55935</v>
      </c>
      <c r="O215" s="525">
        <f t="shared" si="98"/>
        <v>55926</v>
      </c>
    </row>
    <row r="217" spans="1:17">
      <c r="A217" s="140" t="s">
        <v>9624</v>
      </c>
    </row>
  </sheetData>
  <phoneticPr fontId="6" type="noConversion"/>
  <printOptions gridLinesSet="0"/>
  <pageMargins left="0.78740157480314965" right="0" top="0.51181102362204722" bottom="0.51181102362204722" header="0.51181102362204722" footer="0.51181102362204722"/>
  <pageSetup paperSize="9" scale="58" orientation="portrait" horizontalDpi="300" verticalDpi="300" r:id="rId1"/>
  <headerFooter alignWithMargins="0">
    <oddFooter>&amp;C&amp;"Times New Roman,Regular"&amp;8&amp;P of &amp;N</oddFooter>
  </headerFooter>
  <ignoredErrors>
    <ignoredError sqref="D119:D121 D86:E86 D155:E155 D147:D148 D129:E129 D179:D181 D212:D215 D188:E188 D3:D10 E212:E215 E119:E121 E147:E148 E3:E10 E179:E181 F80:F86 F119:F121 F147:F155 F179:F188 F212:F215 F3:F10 F123:F129 G147:G148 G129:K129 G188:K188 G212:G215 G86:K86 G119:G121 G155:K155 G179:G181 G3:G10 D12:D48 E12:E51 F12:F55 G12:G51 D11:G11 H119:H121 H147:H148 H212:H215 H179:H181 H3:H10 H11:H51 I212:I215 I147:I148 I119:I121 I179:I181 I3:I49 J119:J121 J147:J148 J179:J181 J212:J215 J3:J51 I51 D56:K56 D77:J79 K119:K121 K77:K79 K179:K181 K147:K148 K212:K215 K3:K51 D50:D51 L3:L215"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dimension ref="A1:Q44"/>
  <sheetViews>
    <sheetView showGridLines="0" topLeftCell="A13" zoomScale="90" zoomScaleNormal="90" workbookViewId="0">
      <selection activeCell="A43" sqref="A43:A44"/>
    </sheetView>
  </sheetViews>
  <sheetFormatPr defaultColWidth="12.5703125" defaultRowHeight="15"/>
  <cols>
    <col min="1" max="1" width="4.85546875" style="139" customWidth="1"/>
    <col min="2" max="2" width="40.5703125" style="139" customWidth="1"/>
    <col min="3" max="3" width="11.140625" style="139" customWidth="1"/>
    <col min="4" max="15" width="10" style="139" customWidth="1"/>
    <col min="16" max="16" width="2.28515625" style="139" customWidth="1"/>
    <col min="17" max="17" width="35.7109375" style="139" customWidth="1"/>
    <col min="18" max="16384" width="12.5703125" style="139"/>
  </cols>
  <sheetData>
    <row r="1" spans="1:17">
      <c r="A1" s="517" t="s">
        <v>5719</v>
      </c>
      <c r="D1" s="518">
        <v>2010</v>
      </c>
      <c r="E1" s="518">
        <v>2011</v>
      </c>
      <c r="F1" s="518">
        <v>2012</v>
      </c>
      <c r="G1" s="518">
        <v>2013</v>
      </c>
      <c r="H1" s="518">
        <v>2014</v>
      </c>
      <c r="I1" s="518">
        <v>2015</v>
      </c>
      <c r="J1" s="518">
        <v>2016</v>
      </c>
      <c r="K1" s="518">
        <v>2017</v>
      </c>
      <c r="L1" s="518">
        <v>2018</v>
      </c>
      <c r="M1" s="518">
        <v>2019</v>
      </c>
      <c r="N1" s="518">
        <v>2020</v>
      </c>
      <c r="O1" s="956" t="s">
        <v>14823</v>
      </c>
    </row>
    <row r="3" spans="1:17">
      <c r="A3" s="517" t="s">
        <v>2842</v>
      </c>
      <c r="D3" s="519">
        <f t="shared" ref="D3:N3" si="0">SUM(D17:D19,D21:D38)</f>
        <v>130323</v>
      </c>
      <c r="E3" s="519">
        <f t="shared" si="0"/>
        <v>133010</v>
      </c>
      <c r="F3" s="519">
        <f t="shared" si="0"/>
        <v>132637</v>
      </c>
      <c r="G3" s="519">
        <f t="shared" si="0"/>
        <v>133792</v>
      </c>
      <c r="H3" s="519">
        <f t="shared" si="0"/>
        <v>132225</v>
      </c>
      <c r="I3" s="519">
        <f t="shared" si="0"/>
        <v>129817</v>
      </c>
      <c r="J3" s="519">
        <f t="shared" si="0"/>
        <v>129825</v>
      </c>
      <c r="K3" s="519">
        <f t="shared" si="0"/>
        <v>133315</v>
      </c>
      <c r="L3" s="519">
        <f t="shared" si="0"/>
        <v>132604</v>
      </c>
      <c r="M3" s="519">
        <f t="shared" si="0"/>
        <v>131778</v>
      </c>
      <c r="N3" s="519">
        <f t="shared" si="0"/>
        <v>134699</v>
      </c>
      <c r="O3" s="519">
        <f>SUM(O17:O19,O21:O38)</f>
        <v>138185</v>
      </c>
    </row>
    <row r="5" spans="1:17">
      <c r="A5" s="517" t="s">
        <v>5720</v>
      </c>
      <c r="D5" s="519">
        <f t="shared" ref="D5:N5" si="1">D3/2</f>
        <v>65161.5</v>
      </c>
      <c r="E5" s="519">
        <f t="shared" si="1"/>
        <v>66505</v>
      </c>
      <c r="F5" s="519">
        <f t="shared" si="1"/>
        <v>66318.5</v>
      </c>
      <c r="G5" s="519">
        <f t="shared" si="1"/>
        <v>66896</v>
      </c>
      <c r="H5" s="519">
        <f t="shared" si="1"/>
        <v>66112.5</v>
      </c>
      <c r="I5" s="519">
        <f t="shared" si="1"/>
        <v>64908.5</v>
      </c>
      <c r="J5" s="519">
        <f t="shared" si="1"/>
        <v>64912.5</v>
      </c>
      <c r="K5" s="519">
        <f t="shared" si="1"/>
        <v>66657.5</v>
      </c>
      <c r="L5" s="519">
        <f t="shared" si="1"/>
        <v>66302</v>
      </c>
      <c r="M5" s="519">
        <f t="shared" si="1"/>
        <v>65889</v>
      </c>
      <c r="N5" s="519">
        <f t="shared" si="1"/>
        <v>67349.5</v>
      </c>
      <c r="O5" s="519">
        <f t="shared" ref="O5" si="2">O3/2</f>
        <v>69092.5</v>
      </c>
    </row>
    <row r="6" spans="1:17">
      <c r="D6" s="520"/>
      <c r="E6" s="520"/>
      <c r="F6" s="520"/>
      <c r="G6" s="520"/>
      <c r="H6" s="520"/>
      <c r="I6" s="520"/>
      <c r="J6" s="520"/>
      <c r="K6" s="520"/>
      <c r="L6" s="520"/>
      <c r="M6" s="520"/>
      <c r="N6" s="520"/>
      <c r="O6" s="520"/>
    </row>
    <row r="7" spans="1:17">
      <c r="A7" s="517" t="s">
        <v>2843</v>
      </c>
      <c r="D7" s="519">
        <f t="shared" ref="D7:N7" si="3">SUM(D18,D21:D24,D26:D28,D30:D31,D33)</f>
        <v>65390</v>
      </c>
      <c r="E7" s="519">
        <f t="shared" si="3"/>
        <v>67074</v>
      </c>
      <c r="F7" s="519">
        <f t="shared" si="3"/>
        <v>66615</v>
      </c>
      <c r="G7" s="519">
        <f t="shared" si="3"/>
        <v>67488</v>
      </c>
      <c r="H7" s="519">
        <f t="shared" si="3"/>
        <v>67036</v>
      </c>
      <c r="I7" s="519">
        <f t="shared" si="3"/>
        <v>66342</v>
      </c>
      <c r="J7" s="519">
        <f t="shared" si="3"/>
        <v>66320</v>
      </c>
      <c r="K7" s="519">
        <f t="shared" si="3"/>
        <v>67858</v>
      </c>
      <c r="L7" s="519">
        <f t="shared" si="3"/>
        <v>67669</v>
      </c>
      <c r="M7" s="519">
        <f t="shared" si="3"/>
        <v>67449</v>
      </c>
      <c r="N7" s="519">
        <f t="shared" si="3"/>
        <v>68492</v>
      </c>
      <c r="O7" s="519">
        <f>SUM(O18,O21:O24,O26:O28,O30:O31,O33)</f>
        <v>70040</v>
      </c>
      <c r="Q7" s="517" t="s">
        <v>2844</v>
      </c>
    </row>
    <row r="8" spans="1:17">
      <c r="D8" s="520"/>
      <c r="E8" s="520"/>
      <c r="F8" s="520"/>
      <c r="G8" s="520"/>
      <c r="H8" s="520"/>
      <c r="I8" s="520"/>
      <c r="J8" s="520"/>
      <c r="K8" s="520"/>
      <c r="L8" s="520"/>
      <c r="M8" s="520"/>
      <c r="N8" s="520"/>
      <c r="O8" s="520"/>
    </row>
    <row r="9" spans="1:17">
      <c r="A9" s="517" t="s">
        <v>2845</v>
      </c>
      <c r="D9" s="519">
        <f t="shared" ref="D9:N9" si="4">SUM(D17,D19,D25,D29,D32,D34:D38)</f>
        <v>64933</v>
      </c>
      <c r="E9" s="519">
        <f t="shared" si="4"/>
        <v>65936</v>
      </c>
      <c r="F9" s="519">
        <f t="shared" si="4"/>
        <v>66022</v>
      </c>
      <c r="G9" s="519">
        <f t="shared" si="4"/>
        <v>66304</v>
      </c>
      <c r="H9" s="519">
        <f t="shared" si="4"/>
        <v>65189</v>
      </c>
      <c r="I9" s="519">
        <f t="shared" si="4"/>
        <v>63475</v>
      </c>
      <c r="J9" s="519">
        <f t="shared" si="4"/>
        <v>63505</v>
      </c>
      <c r="K9" s="519">
        <f t="shared" si="4"/>
        <v>65457</v>
      </c>
      <c r="L9" s="519">
        <f t="shared" si="4"/>
        <v>64935</v>
      </c>
      <c r="M9" s="519">
        <f t="shared" si="4"/>
        <v>64329</v>
      </c>
      <c r="N9" s="519">
        <f t="shared" si="4"/>
        <v>66207</v>
      </c>
      <c r="O9" s="519">
        <f>SUM(O17,O19,O25,O29,O32,O34:O38)</f>
        <v>68145</v>
      </c>
      <c r="Q9" s="517" t="s">
        <v>2844</v>
      </c>
    </row>
    <row r="10" spans="1:17">
      <c r="D10" s="520"/>
      <c r="E10" s="520"/>
      <c r="F10" s="520"/>
      <c r="G10" s="520"/>
      <c r="H10" s="520"/>
      <c r="I10" s="520"/>
      <c r="J10" s="520"/>
      <c r="K10" s="520"/>
      <c r="L10" s="520"/>
      <c r="M10" s="520"/>
      <c r="N10" s="520"/>
      <c r="O10" s="520"/>
    </row>
    <row r="11" spans="1:17">
      <c r="A11" s="517" t="s">
        <v>6796</v>
      </c>
      <c r="D11" s="519">
        <f t="shared" ref="D11:I11" si="5">D7+D9</f>
        <v>130323</v>
      </c>
      <c r="E11" s="519">
        <f t="shared" si="5"/>
        <v>133010</v>
      </c>
      <c r="F11" s="519">
        <f t="shared" si="5"/>
        <v>132637</v>
      </c>
      <c r="G11" s="519">
        <f t="shared" si="5"/>
        <v>133792</v>
      </c>
      <c r="H11" s="519">
        <f t="shared" si="5"/>
        <v>132225</v>
      </c>
      <c r="I11" s="519">
        <f t="shared" si="5"/>
        <v>129817</v>
      </c>
      <c r="J11" s="519">
        <f t="shared" ref="J11:O11" si="6">J7+J9</f>
        <v>129825</v>
      </c>
      <c r="K11" s="519">
        <f t="shared" si="6"/>
        <v>133315</v>
      </c>
      <c r="L11" s="519">
        <f t="shared" si="6"/>
        <v>132604</v>
      </c>
      <c r="M11" s="519">
        <f t="shared" si="6"/>
        <v>131778</v>
      </c>
      <c r="N11" s="519">
        <f t="shared" si="6"/>
        <v>134699</v>
      </c>
      <c r="O11" s="519">
        <f t="shared" si="6"/>
        <v>138185</v>
      </c>
    </row>
    <row r="12" spans="1:17">
      <c r="D12" s="520"/>
      <c r="E12" s="520"/>
      <c r="F12" s="520"/>
      <c r="G12" s="520"/>
      <c r="H12" s="520"/>
      <c r="I12" s="520"/>
      <c r="J12" s="520"/>
      <c r="K12" s="520"/>
      <c r="L12" s="520"/>
      <c r="M12" s="520"/>
      <c r="N12" s="520"/>
      <c r="O12" s="520"/>
    </row>
    <row r="13" spans="1:17">
      <c r="A13" s="517" t="s">
        <v>6797</v>
      </c>
      <c r="D13" s="519">
        <f t="shared" ref="D13:I13" si="7">MAX(D7,D9)-MIN(D7,D9)</f>
        <v>457</v>
      </c>
      <c r="E13" s="519">
        <f t="shared" si="7"/>
        <v>1138</v>
      </c>
      <c r="F13" s="519">
        <f t="shared" si="7"/>
        <v>593</v>
      </c>
      <c r="G13" s="519">
        <f t="shared" si="7"/>
        <v>1184</v>
      </c>
      <c r="H13" s="519">
        <f t="shared" si="7"/>
        <v>1847</v>
      </c>
      <c r="I13" s="519">
        <f t="shared" si="7"/>
        <v>2867</v>
      </c>
      <c r="J13" s="519">
        <f t="shared" ref="J13:O13" si="8">MAX(J7,J9)-MIN(J7,J9)</f>
        <v>2815</v>
      </c>
      <c r="K13" s="519">
        <f t="shared" si="8"/>
        <v>2401</v>
      </c>
      <c r="L13" s="519">
        <f t="shared" si="8"/>
        <v>2734</v>
      </c>
      <c r="M13" s="519">
        <f t="shared" si="8"/>
        <v>3120</v>
      </c>
      <c r="N13" s="519">
        <f t="shared" si="8"/>
        <v>2285</v>
      </c>
      <c r="O13" s="519">
        <f t="shared" si="8"/>
        <v>1895</v>
      </c>
    </row>
    <row r="14" spans="1:17">
      <c r="D14" s="520"/>
      <c r="E14" s="520"/>
      <c r="F14" s="520"/>
      <c r="G14" s="520"/>
      <c r="H14" s="520"/>
      <c r="I14" s="520"/>
      <c r="J14" s="520"/>
      <c r="K14" s="520"/>
      <c r="L14" s="520"/>
      <c r="M14" s="520"/>
      <c r="N14" s="520"/>
      <c r="O14" s="520"/>
    </row>
    <row r="15" spans="1:17">
      <c r="A15" s="517" t="s">
        <v>6800</v>
      </c>
      <c r="D15" s="519">
        <f t="shared" ref="D15:I15" si="9">STDEVP(D7,D9)</f>
        <v>228.5</v>
      </c>
      <c r="E15" s="519">
        <f t="shared" si="9"/>
        <v>569</v>
      </c>
      <c r="F15" s="519">
        <f t="shared" si="9"/>
        <v>296.5</v>
      </c>
      <c r="G15" s="519">
        <f t="shared" si="9"/>
        <v>592</v>
      </c>
      <c r="H15" s="519">
        <f t="shared" si="9"/>
        <v>923.5</v>
      </c>
      <c r="I15" s="519">
        <f t="shared" si="9"/>
        <v>1433.5</v>
      </c>
      <c r="J15" s="519">
        <f t="shared" ref="J15:O15" si="10">STDEVP(J7,J9)</f>
        <v>1407.5</v>
      </c>
      <c r="K15" s="519">
        <f t="shared" si="10"/>
        <v>1200.5</v>
      </c>
      <c r="L15" s="519">
        <f t="shared" si="10"/>
        <v>1367</v>
      </c>
      <c r="M15" s="519">
        <f t="shared" si="10"/>
        <v>1560</v>
      </c>
      <c r="N15" s="519">
        <f t="shared" si="10"/>
        <v>1142.5</v>
      </c>
      <c r="O15" s="519">
        <f t="shared" si="10"/>
        <v>947.5</v>
      </c>
    </row>
    <row r="16" spans="1:17">
      <c r="D16" s="520"/>
      <c r="E16" s="520"/>
      <c r="F16" s="520"/>
      <c r="G16" s="520"/>
      <c r="H16" s="520"/>
      <c r="I16" s="520"/>
      <c r="J16" s="520"/>
      <c r="K16" s="520"/>
      <c r="L16" s="520"/>
      <c r="M16" s="520"/>
      <c r="N16" s="520"/>
      <c r="O16" s="520"/>
    </row>
    <row r="17" spans="1:17">
      <c r="A17" s="517" t="s">
        <v>5387</v>
      </c>
      <c r="B17" s="517" t="s">
        <v>6402</v>
      </c>
      <c r="C17" s="55" t="s">
        <v>15925</v>
      </c>
      <c r="D17" s="521">
        <v>64933</v>
      </c>
      <c r="E17" s="521">
        <v>65936</v>
      </c>
      <c r="F17" s="521">
        <v>66022</v>
      </c>
      <c r="G17" s="521">
        <v>66304</v>
      </c>
      <c r="H17" s="521">
        <v>65189</v>
      </c>
      <c r="I17" s="521">
        <v>63475</v>
      </c>
      <c r="J17" s="521">
        <v>63505</v>
      </c>
      <c r="K17" s="521">
        <v>65457</v>
      </c>
      <c r="L17" s="521">
        <v>64935</v>
      </c>
      <c r="M17" s="521">
        <v>64329</v>
      </c>
      <c r="N17" s="521">
        <v>66207</v>
      </c>
      <c r="O17" s="63">
        <v>6872</v>
      </c>
      <c r="Q17" s="517" t="s">
        <v>2845</v>
      </c>
    </row>
    <row r="18" spans="1:17">
      <c r="A18" s="517" t="s">
        <v>5389</v>
      </c>
      <c r="B18" s="517" t="s">
        <v>2846</v>
      </c>
      <c r="C18" s="55" t="s">
        <v>15926</v>
      </c>
      <c r="D18" s="521">
        <v>0</v>
      </c>
      <c r="E18" s="521">
        <v>0</v>
      </c>
      <c r="F18" s="521">
        <v>0</v>
      </c>
      <c r="G18" s="521">
        <v>0</v>
      </c>
      <c r="H18" s="521">
        <v>0</v>
      </c>
      <c r="I18" s="521">
        <v>0</v>
      </c>
      <c r="J18" s="521">
        <v>0</v>
      </c>
      <c r="K18" s="521">
        <v>0</v>
      </c>
      <c r="L18" s="521">
        <v>0</v>
      </c>
      <c r="M18" s="521">
        <v>0</v>
      </c>
      <c r="N18" s="521">
        <v>0</v>
      </c>
      <c r="O18" s="63">
        <v>18</v>
      </c>
      <c r="Q18" s="517" t="s">
        <v>2843</v>
      </c>
    </row>
    <row r="19" spans="1:17" ht="15.75" thickBot="1">
      <c r="A19" s="517"/>
      <c r="B19" s="517"/>
      <c r="C19" s="55"/>
      <c r="D19" s="521">
        <v>0</v>
      </c>
      <c r="E19" s="521">
        <v>0</v>
      </c>
      <c r="F19" s="521">
        <v>0</v>
      </c>
      <c r="G19" s="521">
        <v>0</v>
      </c>
      <c r="H19" s="521">
        <v>0</v>
      </c>
      <c r="I19" s="521">
        <v>0</v>
      </c>
      <c r="J19" s="521">
        <v>0</v>
      </c>
      <c r="K19" s="521">
        <v>0</v>
      </c>
      <c r="L19" s="521">
        <v>0</v>
      </c>
      <c r="M19" s="521">
        <v>0</v>
      </c>
      <c r="N19" s="521">
        <v>0</v>
      </c>
      <c r="O19" s="63">
        <v>6837</v>
      </c>
      <c r="Q19" s="517" t="s">
        <v>2845</v>
      </c>
    </row>
    <row r="20" spans="1:17" ht="15.75" thickBot="1">
      <c r="A20" s="517"/>
      <c r="B20" s="517"/>
      <c r="C20" s="55"/>
      <c r="D20" s="535">
        <f t="shared" ref="D20:O20" si="11">D18+D19</f>
        <v>0</v>
      </c>
      <c r="E20" s="535">
        <f t="shared" si="11"/>
        <v>0</v>
      </c>
      <c r="F20" s="535">
        <f t="shared" si="11"/>
        <v>0</v>
      </c>
      <c r="G20" s="535">
        <f t="shared" si="11"/>
        <v>0</v>
      </c>
      <c r="H20" s="535">
        <f t="shared" si="11"/>
        <v>0</v>
      </c>
      <c r="I20" s="535">
        <f t="shared" si="11"/>
        <v>0</v>
      </c>
      <c r="J20" s="535">
        <f t="shared" si="11"/>
        <v>0</v>
      </c>
      <c r="K20" s="535">
        <f t="shared" si="11"/>
        <v>0</v>
      </c>
      <c r="L20" s="535">
        <f t="shared" si="11"/>
        <v>0</v>
      </c>
      <c r="M20" s="535">
        <f t="shared" si="11"/>
        <v>0</v>
      </c>
      <c r="N20" s="535">
        <f t="shared" si="11"/>
        <v>0</v>
      </c>
      <c r="O20" s="535">
        <f t="shared" si="11"/>
        <v>6855</v>
      </c>
      <c r="Q20" s="517"/>
    </row>
    <row r="21" spans="1:17">
      <c r="A21" s="517" t="s">
        <v>5391</v>
      </c>
      <c r="B21" s="517" t="s">
        <v>6553</v>
      </c>
      <c r="C21" s="55" t="s">
        <v>15927</v>
      </c>
      <c r="D21" s="521">
        <v>65390</v>
      </c>
      <c r="E21" s="521">
        <v>67074</v>
      </c>
      <c r="F21" s="521">
        <v>66615</v>
      </c>
      <c r="G21" s="521">
        <v>67488</v>
      </c>
      <c r="H21" s="521">
        <v>67036</v>
      </c>
      <c r="I21" s="521">
        <v>66342</v>
      </c>
      <c r="J21" s="521">
        <v>66320</v>
      </c>
      <c r="K21" s="521">
        <v>67858</v>
      </c>
      <c r="L21" s="521">
        <v>67669</v>
      </c>
      <c r="M21" s="521">
        <v>67449</v>
      </c>
      <c r="N21" s="521">
        <v>68492</v>
      </c>
      <c r="O21" s="63">
        <v>7519</v>
      </c>
      <c r="Q21" s="517" t="s">
        <v>2843</v>
      </c>
    </row>
    <row r="22" spans="1:17">
      <c r="A22" s="517" t="s">
        <v>5393</v>
      </c>
      <c r="B22" s="517" t="s">
        <v>6554</v>
      </c>
      <c r="C22" s="55" t="s">
        <v>15928</v>
      </c>
      <c r="D22" s="521">
        <v>0</v>
      </c>
      <c r="E22" s="521">
        <v>0</v>
      </c>
      <c r="F22" s="521">
        <v>0</v>
      </c>
      <c r="G22" s="521">
        <v>0</v>
      </c>
      <c r="H22" s="521">
        <v>0</v>
      </c>
      <c r="I22" s="521">
        <v>0</v>
      </c>
      <c r="J22" s="521">
        <v>0</v>
      </c>
      <c r="K22" s="521">
        <v>0</v>
      </c>
      <c r="L22" s="521">
        <v>0</v>
      </c>
      <c r="M22" s="521">
        <v>0</v>
      </c>
      <c r="N22" s="521">
        <v>0</v>
      </c>
      <c r="O22" s="63">
        <v>7083</v>
      </c>
      <c r="Q22" s="517" t="s">
        <v>2843</v>
      </c>
    </row>
    <row r="23" spans="1:17">
      <c r="A23" s="517" t="s">
        <v>5394</v>
      </c>
      <c r="B23" s="517" t="s">
        <v>6555</v>
      </c>
      <c r="C23" s="55" t="s">
        <v>15929</v>
      </c>
      <c r="D23" s="521">
        <v>0</v>
      </c>
      <c r="E23" s="521">
        <v>0</v>
      </c>
      <c r="F23" s="521">
        <v>0</v>
      </c>
      <c r="G23" s="521">
        <v>0</v>
      </c>
      <c r="H23" s="521">
        <v>0</v>
      </c>
      <c r="I23" s="521">
        <v>0</v>
      </c>
      <c r="J23" s="521">
        <v>0</v>
      </c>
      <c r="K23" s="521">
        <v>0</v>
      </c>
      <c r="L23" s="521">
        <v>0</v>
      </c>
      <c r="M23" s="521">
        <v>0</v>
      </c>
      <c r="N23" s="521">
        <v>0</v>
      </c>
      <c r="O23" s="63">
        <v>6559</v>
      </c>
      <c r="Q23" s="517" t="s">
        <v>2843</v>
      </c>
    </row>
    <row r="24" spans="1:17">
      <c r="A24" s="517" t="s">
        <v>5416</v>
      </c>
      <c r="B24" s="517" t="s">
        <v>6556</v>
      </c>
      <c r="C24" s="55" t="s">
        <v>15930</v>
      </c>
      <c r="D24" s="521">
        <v>0</v>
      </c>
      <c r="E24" s="521">
        <v>0</v>
      </c>
      <c r="F24" s="521">
        <v>0</v>
      </c>
      <c r="G24" s="521">
        <v>0</v>
      </c>
      <c r="H24" s="521">
        <v>0</v>
      </c>
      <c r="I24" s="521">
        <v>0</v>
      </c>
      <c r="J24" s="521">
        <v>0</v>
      </c>
      <c r="K24" s="521">
        <v>0</v>
      </c>
      <c r="L24" s="521">
        <v>0</v>
      </c>
      <c r="M24" s="521">
        <v>0</v>
      </c>
      <c r="N24" s="521">
        <v>0</v>
      </c>
      <c r="O24" s="63">
        <v>7220</v>
      </c>
      <c r="Q24" s="517" t="s">
        <v>2843</v>
      </c>
    </row>
    <row r="25" spans="1:17">
      <c r="A25" s="517" t="s">
        <v>5418</v>
      </c>
      <c r="B25" s="517" t="s">
        <v>5344</v>
      </c>
      <c r="C25" s="55" t="s">
        <v>15931</v>
      </c>
      <c r="D25" s="521">
        <v>0</v>
      </c>
      <c r="E25" s="521">
        <v>0</v>
      </c>
      <c r="F25" s="521">
        <v>0</v>
      </c>
      <c r="G25" s="521">
        <v>0</v>
      </c>
      <c r="H25" s="521">
        <v>0</v>
      </c>
      <c r="I25" s="521">
        <v>0</v>
      </c>
      <c r="J25" s="521">
        <v>0</v>
      </c>
      <c r="K25" s="521">
        <v>0</v>
      </c>
      <c r="L25" s="521">
        <v>0</v>
      </c>
      <c r="M25" s="521">
        <v>0</v>
      </c>
      <c r="N25" s="521">
        <v>0</v>
      </c>
      <c r="O25" s="63">
        <v>5753</v>
      </c>
      <c r="Q25" s="517" t="s">
        <v>2845</v>
      </c>
    </row>
    <row r="26" spans="1:17">
      <c r="A26" s="517" t="s">
        <v>5420</v>
      </c>
      <c r="B26" s="517" t="s">
        <v>6557</v>
      </c>
      <c r="C26" s="55" t="s">
        <v>15932</v>
      </c>
      <c r="D26" s="521">
        <v>0</v>
      </c>
      <c r="E26" s="521">
        <v>0</v>
      </c>
      <c r="F26" s="521">
        <v>0</v>
      </c>
      <c r="G26" s="521">
        <v>0</v>
      </c>
      <c r="H26" s="521">
        <v>0</v>
      </c>
      <c r="I26" s="521">
        <v>0</v>
      </c>
      <c r="J26" s="521">
        <v>0</v>
      </c>
      <c r="K26" s="521">
        <v>0</v>
      </c>
      <c r="L26" s="521">
        <v>0</v>
      </c>
      <c r="M26" s="521">
        <v>0</v>
      </c>
      <c r="N26" s="521">
        <v>0</v>
      </c>
      <c r="O26" s="63">
        <v>6721</v>
      </c>
      <c r="Q26" s="517" t="s">
        <v>2843</v>
      </c>
    </row>
    <row r="27" spans="1:17">
      <c r="A27" s="517" t="s">
        <v>5422</v>
      </c>
      <c r="B27" s="517" t="s">
        <v>6558</v>
      </c>
      <c r="C27" s="55" t="s">
        <v>15933</v>
      </c>
      <c r="D27" s="521">
        <v>0</v>
      </c>
      <c r="E27" s="521">
        <v>0</v>
      </c>
      <c r="F27" s="521">
        <v>0</v>
      </c>
      <c r="G27" s="521">
        <v>0</v>
      </c>
      <c r="H27" s="521">
        <v>0</v>
      </c>
      <c r="I27" s="521">
        <v>0</v>
      </c>
      <c r="J27" s="521">
        <v>0</v>
      </c>
      <c r="K27" s="521">
        <v>0</v>
      </c>
      <c r="L27" s="521">
        <v>0</v>
      </c>
      <c r="M27" s="521">
        <v>0</v>
      </c>
      <c r="N27" s="521">
        <v>0</v>
      </c>
      <c r="O27" s="63">
        <v>6994</v>
      </c>
      <c r="Q27" s="517" t="s">
        <v>2843</v>
      </c>
    </row>
    <row r="28" spans="1:17">
      <c r="A28" s="517" t="s">
        <v>5424</v>
      </c>
      <c r="B28" s="517" t="s">
        <v>6559</v>
      </c>
      <c r="C28" s="55" t="s">
        <v>15934</v>
      </c>
      <c r="D28" s="521">
        <v>0</v>
      </c>
      <c r="E28" s="521">
        <v>0</v>
      </c>
      <c r="F28" s="521">
        <v>0</v>
      </c>
      <c r="G28" s="521">
        <v>0</v>
      </c>
      <c r="H28" s="521">
        <v>0</v>
      </c>
      <c r="I28" s="521">
        <v>0</v>
      </c>
      <c r="J28" s="521">
        <v>0</v>
      </c>
      <c r="K28" s="521">
        <v>0</v>
      </c>
      <c r="L28" s="521">
        <v>0</v>
      </c>
      <c r="M28" s="521">
        <v>0</v>
      </c>
      <c r="N28" s="521">
        <v>0</v>
      </c>
      <c r="O28" s="63">
        <v>7914</v>
      </c>
      <c r="Q28" s="517" t="s">
        <v>2843</v>
      </c>
    </row>
    <row r="29" spans="1:17">
      <c r="A29" s="517" t="s">
        <v>5426</v>
      </c>
      <c r="B29" s="517" t="s">
        <v>6560</v>
      </c>
      <c r="C29" s="55" t="s">
        <v>15935</v>
      </c>
      <c r="D29" s="521">
        <v>0</v>
      </c>
      <c r="E29" s="521">
        <v>0</v>
      </c>
      <c r="F29" s="521">
        <v>0</v>
      </c>
      <c r="G29" s="521">
        <v>0</v>
      </c>
      <c r="H29" s="521">
        <v>0</v>
      </c>
      <c r="I29" s="521">
        <v>0</v>
      </c>
      <c r="J29" s="521">
        <v>0</v>
      </c>
      <c r="K29" s="521">
        <v>0</v>
      </c>
      <c r="L29" s="521">
        <v>0</v>
      </c>
      <c r="M29" s="521">
        <v>0</v>
      </c>
      <c r="N29" s="521">
        <v>0</v>
      </c>
      <c r="O29" s="63">
        <v>5543</v>
      </c>
      <c r="Q29" s="517" t="s">
        <v>2845</v>
      </c>
    </row>
    <row r="30" spans="1:17">
      <c r="A30" s="517" t="s">
        <v>5428</v>
      </c>
      <c r="B30" s="517" t="s">
        <v>6561</v>
      </c>
      <c r="C30" s="55" t="s">
        <v>15936</v>
      </c>
      <c r="D30" s="521">
        <v>0</v>
      </c>
      <c r="E30" s="521">
        <v>0</v>
      </c>
      <c r="F30" s="521">
        <v>0</v>
      </c>
      <c r="G30" s="521">
        <v>0</v>
      </c>
      <c r="H30" s="521">
        <v>0</v>
      </c>
      <c r="I30" s="521">
        <v>0</v>
      </c>
      <c r="J30" s="521">
        <v>0</v>
      </c>
      <c r="K30" s="521">
        <v>0</v>
      </c>
      <c r="L30" s="521">
        <v>0</v>
      </c>
      <c r="M30" s="521">
        <v>0</v>
      </c>
      <c r="N30" s="521">
        <v>0</v>
      </c>
      <c r="O30" s="63">
        <v>7377</v>
      </c>
      <c r="Q30" s="517" t="s">
        <v>2843</v>
      </c>
    </row>
    <row r="31" spans="1:17">
      <c r="A31" s="517" t="s">
        <v>5429</v>
      </c>
      <c r="B31" s="517" t="s">
        <v>6562</v>
      </c>
      <c r="C31" s="55" t="s">
        <v>15937</v>
      </c>
      <c r="D31" s="521">
        <v>0</v>
      </c>
      <c r="E31" s="521">
        <v>0</v>
      </c>
      <c r="F31" s="521">
        <v>0</v>
      </c>
      <c r="G31" s="521">
        <v>0</v>
      </c>
      <c r="H31" s="521">
        <v>0</v>
      </c>
      <c r="I31" s="521">
        <v>0</v>
      </c>
      <c r="J31" s="521">
        <v>0</v>
      </c>
      <c r="K31" s="521">
        <v>0</v>
      </c>
      <c r="L31" s="521">
        <v>0</v>
      </c>
      <c r="M31" s="521">
        <v>0</v>
      </c>
      <c r="N31" s="521">
        <v>0</v>
      </c>
      <c r="O31" s="63">
        <v>6032</v>
      </c>
      <c r="Q31" s="517" t="s">
        <v>2843</v>
      </c>
    </row>
    <row r="32" spans="1:17">
      <c r="A32" s="517" t="s">
        <v>5431</v>
      </c>
      <c r="B32" s="517" t="s">
        <v>5899</v>
      </c>
      <c r="C32" s="55" t="s">
        <v>15938</v>
      </c>
      <c r="D32" s="521">
        <v>0</v>
      </c>
      <c r="E32" s="521">
        <v>0</v>
      </c>
      <c r="F32" s="521">
        <v>0</v>
      </c>
      <c r="G32" s="521">
        <v>0</v>
      </c>
      <c r="H32" s="521">
        <v>0</v>
      </c>
      <c r="I32" s="521">
        <v>0</v>
      </c>
      <c r="J32" s="521">
        <v>0</v>
      </c>
      <c r="K32" s="521">
        <v>0</v>
      </c>
      <c r="L32" s="521">
        <v>0</v>
      </c>
      <c r="M32" s="521">
        <v>0</v>
      </c>
      <c r="N32" s="521">
        <v>0</v>
      </c>
      <c r="O32" s="63">
        <v>8010</v>
      </c>
      <c r="Q32" s="517" t="s">
        <v>2845</v>
      </c>
    </row>
    <row r="33" spans="1:17">
      <c r="A33" s="517" t="s">
        <v>5433</v>
      </c>
      <c r="B33" s="517" t="s">
        <v>5900</v>
      </c>
      <c r="C33" s="55" t="s">
        <v>15939</v>
      </c>
      <c r="D33" s="521">
        <v>0</v>
      </c>
      <c r="E33" s="521">
        <v>0</v>
      </c>
      <c r="F33" s="521">
        <v>0</v>
      </c>
      <c r="G33" s="521">
        <v>0</v>
      </c>
      <c r="H33" s="521">
        <v>0</v>
      </c>
      <c r="I33" s="521">
        <v>0</v>
      </c>
      <c r="J33" s="521">
        <v>0</v>
      </c>
      <c r="K33" s="521">
        <v>0</v>
      </c>
      <c r="L33" s="521">
        <v>0</v>
      </c>
      <c r="M33" s="521">
        <v>0</v>
      </c>
      <c r="N33" s="521">
        <v>0</v>
      </c>
      <c r="O33" s="63">
        <v>6603</v>
      </c>
      <c r="Q33" s="517" t="s">
        <v>2843</v>
      </c>
    </row>
    <row r="34" spans="1:17">
      <c r="A34" s="517" t="s">
        <v>5435</v>
      </c>
      <c r="B34" s="517" t="s">
        <v>3863</v>
      </c>
      <c r="C34" s="55" t="s">
        <v>15940</v>
      </c>
      <c r="D34" s="521">
        <v>0</v>
      </c>
      <c r="E34" s="521">
        <v>0</v>
      </c>
      <c r="F34" s="521">
        <v>0</v>
      </c>
      <c r="G34" s="521">
        <v>0</v>
      </c>
      <c r="H34" s="521">
        <v>0</v>
      </c>
      <c r="I34" s="521">
        <v>0</v>
      </c>
      <c r="J34" s="521">
        <v>0</v>
      </c>
      <c r="K34" s="521">
        <v>0</v>
      </c>
      <c r="L34" s="521">
        <v>0</v>
      </c>
      <c r="M34" s="521">
        <v>0</v>
      </c>
      <c r="N34" s="521">
        <v>0</v>
      </c>
      <c r="O34" s="63">
        <v>8322</v>
      </c>
      <c r="Q34" s="517" t="s">
        <v>2845</v>
      </c>
    </row>
    <row r="35" spans="1:17">
      <c r="A35" s="517" t="s">
        <v>5436</v>
      </c>
      <c r="B35" s="517" t="s">
        <v>15941</v>
      </c>
      <c r="C35" s="55" t="s">
        <v>15942</v>
      </c>
      <c r="D35" s="521">
        <v>0</v>
      </c>
      <c r="E35" s="521">
        <v>0</v>
      </c>
      <c r="F35" s="521">
        <v>0</v>
      </c>
      <c r="G35" s="521">
        <v>0</v>
      </c>
      <c r="H35" s="521">
        <v>0</v>
      </c>
      <c r="I35" s="521">
        <v>0</v>
      </c>
      <c r="J35" s="521">
        <v>0</v>
      </c>
      <c r="K35" s="521">
        <v>0</v>
      </c>
      <c r="L35" s="521">
        <v>0</v>
      </c>
      <c r="M35" s="521">
        <v>0</v>
      </c>
      <c r="N35" s="521">
        <v>0</v>
      </c>
      <c r="O35" s="63">
        <v>4073</v>
      </c>
      <c r="Q35" s="517" t="s">
        <v>2845</v>
      </c>
    </row>
    <row r="36" spans="1:17">
      <c r="A36" s="517" t="s">
        <v>5437</v>
      </c>
      <c r="B36" s="517" t="s">
        <v>5901</v>
      </c>
      <c r="C36" s="55" t="s">
        <v>15943</v>
      </c>
      <c r="D36" s="521">
        <v>0</v>
      </c>
      <c r="E36" s="521">
        <v>0</v>
      </c>
      <c r="F36" s="521">
        <v>0</v>
      </c>
      <c r="G36" s="521">
        <v>0</v>
      </c>
      <c r="H36" s="521">
        <v>0</v>
      </c>
      <c r="I36" s="521">
        <v>0</v>
      </c>
      <c r="J36" s="521">
        <v>0</v>
      </c>
      <c r="K36" s="521">
        <v>0</v>
      </c>
      <c r="L36" s="521">
        <v>0</v>
      </c>
      <c r="M36" s="521">
        <v>0</v>
      </c>
      <c r="N36" s="521">
        <v>0</v>
      </c>
      <c r="O36" s="63">
        <v>7009</v>
      </c>
      <c r="Q36" s="517" t="s">
        <v>2845</v>
      </c>
    </row>
    <row r="37" spans="1:17">
      <c r="A37" s="517" t="s">
        <v>5439</v>
      </c>
      <c r="B37" s="517" t="s">
        <v>15944</v>
      </c>
      <c r="C37" s="55" t="s">
        <v>15945</v>
      </c>
      <c r="D37" s="521">
        <v>0</v>
      </c>
      <c r="E37" s="521">
        <v>0</v>
      </c>
      <c r="F37" s="521">
        <v>0</v>
      </c>
      <c r="G37" s="521">
        <v>0</v>
      </c>
      <c r="H37" s="521">
        <v>0</v>
      </c>
      <c r="I37" s="521">
        <v>0</v>
      </c>
      <c r="J37" s="521">
        <v>0</v>
      </c>
      <c r="K37" s="521">
        <v>0</v>
      </c>
      <c r="L37" s="521">
        <v>0</v>
      </c>
      <c r="M37" s="521">
        <v>0</v>
      </c>
      <c r="N37" s="521">
        <v>0</v>
      </c>
      <c r="O37" s="63">
        <v>8556</v>
      </c>
      <c r="Q37" s="517" t="s">
        <v>2845</v>
      </c>
    </row>
    <row r="38" spans="1:17">
      <c r="A38" s="517" t="s">
        <v>5441</v>
      </c>
      <c r="B38" s="517" t="s">
        <v>5902</v>
      </c>
      <c r="C38" s="55" t="s">
        <v>15946</v>
      </c>
      <c r="D38" s="521">
        <v>0</v>
      </c>
      <c r="E38" s="521">
        <v>0</v>
      </c>
      <c r="F38" s="521">
        <v>0</v>
      </c>
      <c r="G38" s="521">
        <v>0</v>
      </c>
      <c r="H38" s="521">
        <v>0</v>
      </c>
      <c r="I38" s="521">
        <v>0</v>
      </c>
      <c r="J38" s="521">
        <v>0</v>
      </c>
      <c r="K38" s="521">
        <v>0</v>
      </c>
      <c r="L38" s="521">
        <v>0</v>
      </c>
      <c r="M38" s="521">
        <v>0</v>
      </c>
      <c r="N38" s="521">
        <v>0</v>
      </c>
      <c r="O38" s="63">
        <v>7170</v>
      </c>
      <c r="Q38" s="517" t="s">
        <v>2845</v>
      </c>
    </row>
    <row r="40" spans="1:17">
      <c r="A40" s="517" t="s">
        <v>5914</v>
      </c>
    </row>
    <row r="41" spans="1:17">
      <c r="A41" s="522" t="s">
        <v>16097</v>
      </c>
    </row>
    <row r="43" spans="1:17">
      <c r="A43" s="1008" t="s">
        <v>16023</v>
      </c>
    </row>
    <row r="44" spans="1:17">
      <c r="A44" s="167" t="s">
        <v>16099</v>
      </c>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10:D15 E10:E15 F10:F16 G10:G15 H10:H15 I10:I15 J10:J15 K10:K15 L10:L15" unlocked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dimension ref="A1:Q101"/>
  <sheetViews>
    <sheetView showGridLines="0" zoomScale="90" zoomScaleNormal="90" workbookViewId="0">
      <selection activeCell="Q65" sqref="Q65"/>
    </sheetView>
  </sheetViews>
  <sheetFormatPr defaultColWidth="12.5703125" defaultRowHeight="15"/>
  <cols>
    <col min="1" max="1" width="4.85546875" style="123" customWidth="1"/>
    <col min="2" max="2" width="45.7109375" style="123" customWidth="1"/>
    <col min="3" max="3" width="11.5703125" style="123" customWidth="1"/>
    <col min="4" max="15" width="10" style="123" customWidth="1"/>
    <col min="16" max="16" width="2.28515625" style="123" customWidth="1"/>
    <col min="17" max="17" width="41.85546875" style="123" bestFit="1" customWidth="1"/>
    <col min="18" max="16384" width="12.5703125" style="123"/>
  </cols>
  <sheetData>
    <row r="1" spans="1:17">
      <c r="A1" s="356" t="s">
        <v>6924</v>
      </c>
      <c r="D1" s="507">
        <v>2010</v>
      </c>
      <c r="E1" s="507">
        <v>2011</v>
      </c>
      <c r="F1" s="507">
        <v>2012</v>
      </c>
      <c r="G1" s="507">
        <v>2013</v>
      </c>
      <c r="H1" s="507">
        <v>2014</v>
      </c>
      <c r="I1" s="507">
        <v>2015</v>
      </c>
      <c r="J1" s="507">
        <v>2016</v>
      </c>
      <c r="K1" s="507">
        <v>2017</v>
      </c>
      <c r="L1" s="507">
        <v>2018</v>
      </c>
      <c r="M1" s="507">
        <v>2019</v>
      </c>
      <c r="N1" s="507">
        <v>2020</v>
      </c>
      <c r="O1" s="955" t="s">
        <v>14823</v>
      </c>
    </row>
    <row r="3" spans="1:17">
      <c r="A3" s="356" t="s">
        <v>5915</v>
      </c>
      <c r="D3" s="359">
        <f t="shared" ref="D3:J3" si="0">D28</f>
        <v>100536</v>
      </c>
      <c r="E3" s="359">
        <f t="shared" si="0"/>
        <v>100528</v>
      </c>
      <c r="F3" s="359">
        <f t="shared" si="0"/>
        <v>100367</v>
      </c>
      <c r="G3" s="359">
        <f t="shared" si="0"/>
        <v>100405</v>
      </c>
      <c r="H3" s="359">
        <f t="shared" si="0"/>
        <v>99049</v>
      </c>
      <c r="I3" s="359">
        <f t="shared" si="0"/>
        <v>98731</v>
      </c>
      <c r="J3" s="359">
        <f t="shared" si="0"/>
        <v>90162</v>
      </c>
      <c r="K3" s="359">
        <f>K28</f>
        <v>93401</v>
      </c>
      <c r="L3" s="359">
        <f>L28</f>
        <v>93454</v>
      </c>
      <c r="M3" s="359">
        <f>M28</f>
        <v>91932</v>
      </c>
      <c r="N3" s="359">
        <f>N28</f>
        <v>93161</v>
      </c>
      <c r="O3" s="359">
        <f>O28</f>
        <v>96215</v>
      </c>
    </row>
    <row r="4" spans="1:17" ht="15.75" thickBot="1">
      <c r="A4" s="356" t="s">
        <v>4356</v>
      </c>
      <c r="D4" s="513">
        <f t="shared" ref="D4:I4" si="1">D64</f>
        <v>105718</v>
      </c>
      <c r="E4" s="513">
        <f t="shared" si="1"/>
        <v>105394</v>
      </c>
      <c r="F4" s="513">
        <f t="shared" si="1"/>
        <v>105792</v>
      </c>
      <c r="G4" s="513">
        <f t="shared" si="1"/>
        <v>105819</v>
      </c>
      <c r="H4" s="513">
        <f t="shared" si="1"/>
        <v>104221</v>
      </c>
      <c r="I4" s="513">
        <f t="shared" si="1"/>
        <v>100231</v>
      </c>
      <c r="J4" s="513">
        <f t="shared" ref="J4:O4" si="2">J64</f>
        <v>100365</v>
      </c>
      <c r="K4" s="513">
        <f t="shared" si="2"/>
        <v>102985</v>
      </c>
      <c r="L4" s="513">
        <f t="shared" si="2"/>
        <v>103078</v>
      </c>
      <c r="M4" s="513">
        <f t="shared" si="2"/>
        <v>102756</v>
      </c>
      <c r="N4" s="513">
        <f t="shared" si="2"/>
        <v>102231</v>
      </c>
      <c r="O4" s="513">
        <f t="shared" si="2"/>
        <v>104879</v>
      </c>
    </row>
    <row r="5" spans="1:17" ht="15.75" thickBot="1">
      <c r="A5" s="356"/>
      <c r="D5" s="513">
        <f t="shared" ref="D5:I5" si="3">SUM(D3:D4)</f>
        <v>206254</v>
      </c>
      <c r="E5" s="513">
        <f t="shared" si="3"/>
        <v>205922</v>
      </c>
      <c r="F5" s="513">
        <f t="shared" si="3"/>
        <v>206159</v>
      </c>
      <c r="G5" s="513">
        <f t="shared" si="3"/>
        <v>206224</v>
      </c>
      <c r="H5" s="513">
        <f t="shared" si="3"/>
        <v>203270</v>
      </c>
      <c r="I5" s="513">
        <f t="shared" si="3"/>
        <v>198962</v>
      </c>
      <c r="J5" s="513">
        <f t="shared" ref="J5:O5" si="4">SUM(J3:J4)</f>
        <v>190527</v>
      </c>
      <c r="K5" s="513">
        <f t="shared" si="4"/>
        <v>196386</v>
      </c>
      <c r="L5" s="513">
        <f t="shared" si="4"/>
        <v>196532</v>
      </c>
      <c r="M5" s="513">
        <f t="shared" si="4"/>
        <v>194688</v>
      </c>
      <c r="N5" s="513">
        <f t="shared" si="4"/>
        <v>195392</v>
      </c>
      <c r="O5" s="513">
        <f t="shared" si="4"/>
        <v>201094</v>
      </c>
    </row>
    <row r="6" spans="1:17">
      <c r="A6" s="76"/>
      <c r="B6" s="76"/>
      <c r="C6" s="76"/>
      <c r="D6" s="76"/>
      <c r="E6" s="76"/>
      <c r="F6" s="76"/>
      <c r="G6" s="76"/>
      <c r="H6" s="76"/>
      <c r="I6" s="76"/>
      <c r="J6" s="76"/>
      <c r="K6" s="76"/>
      <c r="L6" s="76"/>
      <c r="M6" s="76"/>
      <c r="N6" s="76"/>
      <c r="O6" s="76"/>
      <c r="P6" s="76"/>
      <c r="Q6" s="76"/>
    </row>
    <row r="7" spans="1:17">
      <c r="A7" s="356" t="s">
        <v>4357</v>
      </c>
      <c r="D7" s="359">
        <f t="shared" ref="D7:I8" si="5">D3/2</f>
        <v>50268</v>
      </c>
      <c r="E7" s="359">
        <f t="shared" si="5"/>
        <v>50264</v>
      </c>
      <c r="F7" s="359">
        <f t="shared" si="5"/>
        <v>50183.5</v>
      </c>
      <c r="G7" s="359">
        <f t="shared" si="5"/>
        <v>50202.5</v>
      </c>
      <c r="H7" s="359">
        <f t="shared" si="5"/>
        <v>49524.5</v>
      </c>
      <c r="I7" s="359">
        <f t="shared" si="5"/>
        <v>49365.5</v>
      </c>
      <c r="J7" s="359">
        <f t="shared" ref="J7:O8" si="6">J3/2</f>
        <v>45081</v>
      </c>
      <c r="K7" s="359">
        <f t="shared" si="6"/>
        <v>46700.5</v>
      </c>
      <c r="L7" s="359">
        <f t="shared" si="6"/>
        <v>46727</v>
      </c>
      <c r="M7" s="359">
        <f t="shared" si="6"/>
        <v>45966</v>
      </c>
      <c r="N7" s="359">
        <f t="shared" si="6"/>
        <v>46580.5</v>
      </c>
      <c r="O7" s="359">
        <f t="shared" si="6"/>
        <v>48107.5</v>
      </c>
    </row>
    <row r="8" spans="1:17">
      <c r="A8" s="356" t="s">
        <v>4358</v>
      </c>
      <c r="D8" s="359">
        <f t="shared" si="5"/>
        <v>52859</v>
      </c>
      <c r="E8" s="359">
        <f t="shared" si="5"/>
        <v>52697</v>
      </c>
      <c r="F8" s="359">
        <f t="shared" si="5"/>
        <v>52896</v>
      </c>
      <c r="G8" s="359">
        <f t="shared" si="5"/>
        <v>52909.5</v>
      </c>
      <c r="H8" s="359">
        <f t="shared" si="5"/>
        <v>52110.5</v>
      </c>
      <c r="I8" s="359">
        <f t="shared" si="5"/>
        <v>50115.5</v>
      </c>
      <c r="J8" s="359">
        <f t="shared" si="6"/>
        <v>50182.5</v>
      </c>
      <c r="K8" s="359">
        <f t="shared" si="6"/>
        <v>51492.5</v>
      </c>
      <c r="L8" s="359">
        <f t="shared" si="6"/>
        <v>51539</v>
      </c>
      <c r="M8" s="359">
        <f t="shared" si="6"/>
        <v>51378</v>
      </c>
      <c r="N8" s="359">
        <f t="shared" si="6"/>
        <v>51115.5</v>
      </c>
      <c r="O8" s="359">
        <f t="shared" si="6"/>
        <v>52439.5</v>
      </c>
    </row>
    <row r="9" spans="1:17">
      <c r="A9" s="356" t="s">
        <v>4359</v>
      </c>
      <c r="D9" s="359">
        <f t="shared" ref="D9:I9" si="7">D5/3</f>
        <v>68751.333333333328</v>
      </c>
      <c r="E9" s="359">
        <f t="shared" si="7"/>
        <v>68640.666666666672</v>
      </c>
      <c r="F9" s="359">
        <f t="shared" si="7"/>
        <v>68719.666666666672</v>
      </c>
      <c r="G9" s="359">
        <f t="shared" si="7"/>
        <v>68741.333333333328</v>
      </c>
      <c r="H9" s="359">
        <f t="shared" si="7"/>
        <v>67756.666666666672</v>
      </c>
      <c r="I9" s="359">
        <f t="shared" si="7"/>
        <v>66320.666666666672</v>
      </c>
      <c r="J9" s="359">
        <f t="shared" ref="J9:O9" si="8">J5/3</f>
        <v>63509</v>
      </c>
      <c r="K9" s="359">
        <f t="shared" si="8"/>
        <v>65462</v>
      </c>
      <c r="L9" s="359">
        <f t="shared" si="8"/>
        <v>65510.666666666664</v>
      </c>
      <c r="M9" s="359">
        <f t="shared" si="8"/>
        <v>64896</v>
      </c>
      <c r="N9" s="359">
        <f t="shared" si="8"/>
        <v>65130.666666666664</v>
      </c>
      <c r="O9" s="359">
        <f t="shared" si="8"/>
        <v>67031.333333333328</v>
      </c>
    </row>
    <row r="10" spans="1:17">
      <c r="D10" s="360"/>
      <c r="E10" s="360"/>
      <c r="F10" s="360"/>
      <c r="G10" s="360"/>
      <c r="H10" s="360"/>
      <c r="I10" s="360"/>
      <c r="J10" s="360"/>
      <c r="K10" s="360"/>
      <c r="L10" s="360"/>
      <c r="M10" s="360"/>
      <c r="N10" s="360"/>
      <c r="O10" s="360"/>
    </row>
    <row r="11" spans="1:17">
      <c r="A11" s="356" t="s">
        <v>4360</v>
      </c>
      <c r="D11" s="359">
        <f t="shared" ref="D11:I11" si="9">D56</f>
        <v>65726</v>
      </c>
      <c r="E11" s="359">
        <f t="shared" si="9"/>
        <v>65851</v>
      </c>
      <c r="F11" s="359">
        <f t="shared" si="9"/>
        <v>65910</v>
      </c>
      <c r="G11" s="359">
        <f t="shared" si="9"/>
        <v>65720</v>
      </c>
      <c r="H11" s="359">
        <f t="shared" si="9"/>
        <v>64395</v>
      </c>
      <c r="I11" s="359">
        <f t="shared" si="9"/>
        <v>64144</v>
      </c>
      <c r="J11" s="359">
        <f t="shared" ref="J11:O11" si="10">J56</f>
        <v>57532</v>
      </c>
      <c r="K11" s="359">
        <f t="shared" si="10"/>
        <v>59718</v>
      </c>
      <c r="L11" s="359">
        <f t="shared" si="10"/>
        <v>59744</v>
      </c>
      <c r="M11" s="359">
        <f t="shared" si="10"/>
        <v>58518</v>
      </c>
      <c r="N11" s="359">
        <f t="shared" si="10"/>
        <v>59456</v>
      </c>
      <c r="O11" s="359">
        <f t="shared" si="10"/>
        <v>61630</v>
      </c>
      <c r="Q11" s="356" t="s">
        <v>4361</v>
      </c>
    </row>
    <row r="12" spans="1:17">
      <c r="D12" s="360"/>
      <c r="E12" s="360"/>
      <c r="F12" s="360"/>
      <c r="G12" s="360"/>
      <c r="H12" s="360"/>
      <c r="I12" s="360"/>
      <c r="J12" s="360"/>
      <c r="K12" s="360"/>
      <c r="L12" s="360"/>
      <c r="M12" s="360"/>
      <c r="N12" s="360"/>
      <c r="O12" s="360"/>
    </row>
    <row r="13" spans="1:17">
      <c r="A13" s="356" t="s">
        <v>4362</v>
      </c>
      <c r="D13" s="359">
        <f t="shared" ref="D13:I13" si="11">D57</f>
        <v>34810</v>
      </c>
      <c r="E13" s="359">
        <f t="shared" si="11"/>
        <v>34677</v>
      </c>
      <c r="F13" s="359">
        <f t="shared" si="11"/>
        <v>34457</v>
      </c>
      <c r="G13" s="359">
        <f t="shared" si="11"/>
        <v>34685</v>
      </c>
      <c r="H13" s="359">
        <f t="shared" si="11"/>
        <v>34654</v>
      </c>
      <c r="I13" s="359">
        <f t="shared" si="11"/>
        <v>34587</v>
      </c>
      <c r="J13" s="359">
        <f t="shared" ref="J13:O13" si="12">J57</f>
        <v>32630</v>
      </c>
      <c r="K13" s="359">
        <f t="shared" si="12"/>
        <v>33683</v>
      </c>
      <c r="L13" s="359">
        <f t="shared" si="12"/>
        <v>33710</v>
      </c>
      <c r="M13" s="359">
        <f t="shared" si="12"/>
        <v>33414</v>
      </c>
      <c r="N13" s="359">
        <f t="shared" si="12"/>
        <v>33705</v>
      </c>
      <c r="O13" s="359">
        <f t="shared" si="12"/>
        <v>34585</v>
      </c>
      <c r="Q13" s="356" t="s">
        <v>4361</v>
      </c>
    </row>
    <row r="14" spans="1:17" ht="15.75" thickBot="1">
      <c r="D14" s="513">
        <f t="shared" ref="D14:I14" si="13">D92</f>
        <v>38313</v>
      </c>
      <c r="E14" s="513">
        <f t="shared" si="13"/>
        <v>38199</v>
      </c>
      <c r="F14" s="513">
        <f t="shared" si="13"/>
        <v>38234</v>
      </c>
      <c r="G14" s="513">
        <f t="shared" si="13"/>
        <v>38280</v>
      </c>
      <c r="H14" s="513">
        <f t="shared" si="13"/>
        <v>37846</v>
      </c>
      <c r="I14" s="513">
        <f t="shared" si="13"/>
        <v>36463</v>
      </c>
      <c r="J14" s="513">
        <f t="shared" ref="J14:O14" si="14">J92</f>
        <v>36340</v>
      </c>
      <c r="K14" s="513">
        <f t="shared" si="14"/>
        <v>37396</v>
      </c>
      <c r="L14" s="513">
        <f t="shared" si="14"/>
        <v>37554</v>
      </c>
      <c r="M14" s="513">
        <f t="shared" si="14"/>
        <v>37486</v>
      </c>
      <c r="N14" s="513">
        <f t="shared" si="14"/>
        <v>37426</v>
      </c>
      <c r="O14" s="513">
        <f t="shared" si="14"/>
        <v>38456</v>
      </c>
      <c r="Q14" s="356" t="s">
        <v>4363</v>
      </c>
    </row>
    <row r="15" spans="1:17" ht="15.75" thickBot="1">
      <c r="D15" s="513">
        <f t="shared" ref="D15:I15" si="15">D13+D14</f>
        <v>73123</v>
      </c>
      <c r="E15" s="513">
        <f t="shared" si="15"/>
        <v>72876</v>
      </c>
      <c r="F15" s="513">
        <f t="shared" si="15"/>
        <v>72691</v>
      </c>
      <c r="G15" s="513">
        <f t="shared" si="15"/>
        <v>72965</v>
      </c>
      <c r="H15" s="513">
        <f t="shared" si="15"/>
        <v>72500</v>
      </c>
      <c r="I15" s="513">
        <f t="shared" si="15"/>
        <v>71050</v>
      </c>
      <c r="J15" s="513">
        <f t="shared" ref="J15:O15" si="16">J13+J14</f>
        <v>68970</v>
      </c>
      <c r="K15" s="513">
        <f t="shared" si="16"/>
        <v>71079</v>
      </c>
      <c r="L15" s="513">
        <f t="shared" si="16"/>
        <v>71264</v>
      </c>
      <c r="M15" s="513">
        <f t="shared" si="16"/>
        <v>70900</v>
      </c>
      <c r="N15" s="513">
        <f t="shared" si="16"/>
        <v>71131</v>
      </c>
      <c r="O15" s="513">
        <f t="shared" si="16"/>
        <v>73041</v>
      </c>
    </row>
    <row r="16" spans="1:17">
      <c r="D16" s="360"/>
      <c r="E16" s="360"/>
      <c r="F16" s="360"/>
      <c r="G16" s="360"/>
      <c r="H16" s="360"/>
      <c r="I16" s="360"/>
      <c r="J16" s="360"/>
      <c r="K16" s="360"/>
      <c r="L16" s="360"/>
      <c r="M16" s="360"/>
      <c r="N16" s="360"/>
      <c r="O16" s="360"/>
    </row>
    <row r="17" spans="1:17">
      <c r="A17" s="356" t="s">
        <v>4364</v>
      </c>
      <c r="D17" s="359">
        <f t="shared" ref="D17:I17" si="17">D93</f>
        <v>67405</v>
      </c>
      <c r="E17" s="359">
        <f t="shared" si="17"/>
        <v>67195</v>
      </c>
      <c r="F17" s="359">
        <f t="shared" si="17"/>
        <v>67558</v>
      </c>
      <c r="G17" s="359">
        <f t="shared" si="17"/>
        <v>67539</v>
      </c>
      <c r="H17" s="359">
        <f t="shared" si="17"/>
        <v>66375</v>
      </c>
      <c r="I17" s="359">
        <f t="shared" si="17"/>
        <v>63768</v>
      </c>
      <c r="J17" s="359">
        <f t="shared" ref="J17:O17" si="18">J93</f>
        <v>64025</v>
      </c>
      <c r="K17" s="359">
        <f t="shared" si="18"/>
        <v>65589</v>
      </c>
      <c r="L17" s="359">
        <f t="shared" si="18"/>
        <v>65524</v>
      </c>
      <c r="M17" s="359">
        <f t="shared" si="18"/>
        <v>65270</v>
      </c>
      <c r="N17" s="359">
        <f t="shared" si="18"/>
        <v>64805</v>
      </c>
      <c r="O17" s="359">
        <f t="shared" si="18"/>
        <v>66423</v>
      </c>
      <c r="Q17" s="356" t="s">
        <v>4363</v>
      </c>
    </row>
    <row r="18" spans="1:17">
      <c r="D18" s="360"/>
      <c r="E18" s="360"/>
      <c r="F18" s="360"/>
      <c r="G18" s="360"/>
      <c r="H18" s="360"/>
      <c r="I18" s="360"/>
      <c r="J18" s="360"/>
      <c r="K18" s="360"/>
      <c r="L18" s="360"/>
      <c r="M18" s="360"/>
      <c r="N18" s="360"/>
      <c r="O18" s="360"/>
    </row>
    <row r="19" spans="1:17">
      <c r="A19" s="356" t="s">
        <v>6796</v>
      </c>
      <c r="D19" s="359">
        <f t="shared" ref="D19:I19" si="19">D11+D15+D17</f>
        <v>206254</v>
      </c>
      <c r="E19" s="359">
        <f t="shared" si="19"/>
        <v>205922</v>
      </c>
      <c r="F19" s="359">
        <f t="shared" si="19"/>
        <v>206159</v>
      </c>
      <c r="G19" s="359">
        <f t="shared" si="19"/>
        <v>206224</v>
      </c>
      <c r="H19" s="359">
        <f t="shared" si="19"/>
        <v>203270</v>
      </c>
      <c r="I19" s="359">
        <f t="shared" si="19"/>
        <v>198962</v>
      </c>
      <c r="J19" s="359">
        <f t="shared" ref="J19:O19" si="20">J11+J15+J17</f>
        <v>190527</v>
      </c>
      <c r="K19" s="359">
        <f t="shared" si="20"/>
        <v>196386</v>
      </c>
      <c r="L19" s="359">
        <f t="shared" si="20"/>
        <v>196532</v>
      </c>
      <c r="M19" s="359">
        <f t="shared" si="20"/>
        <v>194688</v>
      </c>
      <c r="N19" s="359">
        <f t="shared" si="20"/>
        <v>195392</v>
      </c>
      <c r="O19" s="359">
        <f t="shared" si="20"/>
        <v>201094</v>
      </c>
    </row>
    <row r="20" spans="1:17">
      <c r="D20" s="360"/>
      <c r="E20" s="360"/>
      <c r="F20" s="360"/>
      <c r="G20" s="360"/>
      <c r="H20" s="360"/>
      <c r="I20" s="360"/>
      <c r="J20" s="360"/>
      <c r="K20" s="360"/>
      <c r="L20" s="360"/>
      <c r="M20" s="360"/>
      <c r="N20" s="360"/>
      <c r="O20" s="360"/>
    </row>
    <row r="21" spans="1:17">
      <c r="A21" s="356" t="s">
        <v>6797</v>
      </c>
      <c r="D21" s="359">
        <f t="shared" ref="D21:I21" si="21">MAX(D11,D15,D17)-MIN(D11,D15,D17)</f>
        <v>7397</v>
      </c>
      <c r="E21" s="359">
        <f t="shared" si="21"/>
        <v>7025</v>
      </c>
      <c r="F21" s="359">
        <f t="shared" si="21"/>
        <v>6781</v>
      </c>
      <c r="G21" s="359">
        <f t="shared" si="21"/>
        <v>7245</v>
      </c>
      <c r="H21" s="359">
        <f t="shared" si="21"/>
        <v>8105</v>
      </c>
      <c r="I21" s="359">
        <f t="shared" si="21"/>
        <v>7282</v>
      </c>
      <c r="J21" s="359">
        <f t="shared" ref="J21:O21" si="22">MAX(J11,J15,J17)-MIN(J11,J15,J17)</f>
        <v>11438</v>
      </c>
      <c r="K21" s="359">
        <f t="shared" si="22"/>
        <v>11361</v>
      </c>
      <c r="L21" s="359">
        <f t="shared" si="22"/>
        <v>11520</v>
      </c>
      <c r="M21" s="359">
        <f t="shared" si="22"/>
        <v>12382</v>
      </c>
      <c r="N21" s="359">
        <f t="shared" si="22"/>
        <v>11675</v>
      </c>
      <c r="O21" s="359">
        <f t="shared" si="22"/>
        <v>11411</v>
      </c>
    </row>
    <row r="22" spans="1:17">
      <c r="D22" s="360"/>
      <c r="E22" s="360"/>
      <c r="F22" s="360"/>
      <c r="G22" s="360"/>
      <c r="H22" s="360"/>
      <c r="I22" s="360"/>
      <c r="J22" s="360"/>
      <c r="K22" s="360"/>
      <c r="L22" s="360"/>
      <c r="M22" s="360"/>
      <c r="N22" s="360"/>
      <c r="O22" s="360"/>
    </row>
    <row r="23" spans="1:17">
      <c r="A23" s="356" t="s">
        <v>6800</v>
      </c>
      <c r="D23" s="359">
        <f t="shared" ref="D23:I23" si="23">STDEVP(D11,D15,D17)</f>
        <v>3166.3188230007554</v>
      </c>
      <c r="E23" s="359">
        <f t="shared" si="23"/>
        <v>3044.6806437165496</v>
      </c>
      <c r="F23" s="359">
        <f t="shared" si="23"/>
        <v>2887.6279000052773</v>
      </c>
      <c r="G23" s="359">
        <f t="shared" si="23"/>
        <v>3077.5217663279363</v>
      </c>
      <c r="H23" s="359">
        <f t="shared" si="23"/>
        <v>3450.0732681430918</v>
      </c>
      <c r="I23" s="359">
        <f t="shared" si="23"/>
        <v>3347.6647913964675</v>
      </c>
      <c r="J23" s="359">
        <f t="shared" ref="J23:O23" si="24">STDEVP(J11,J15,J17)</f>
        <v>4683.7771794425353</v>
      </c>
      <c r="K23" s="359">
        <f t="shared" si="24"/>
        <v>4638.9781202329459</v>
      </c>
      <c r="L23" s="359">
        <f t="shared" si="24"/>
        <v>4703.0297563261165</v>
      </c>
      <c r="M23" s="359">
        <f t="shared" si="24"/>
        <v>5061.8434059803421</v>
      </c>
      <c r="N23" s="359">
        <f t="shared" si="24"/>
        <v>4771.8585012084714</v>
      </c>
      <c r="O23" s="359">
        <f t="shared" si="24"/>
        <v>4678.3389027398271</v>
      </c>
    </row>
    <row r="25" spans="1:17">
      <c r="A25" s="356"/>
      <c r="B25" s="356"/>
      <c r="C25" s="356"/>
      <c r="D25" s="514"/>
      <c r="E25" s="514"/>
      <c r="F25" s="514"/>
      <c r="G25" s="514"/>
      <c r="H25" s="514"/>
      <c r="I25" s="514"/>
      <c r="J25" s="514"/>
      <c r="K25" s="514"/>
      <c r="L25" s="514"/>
      <c r="M25" s="514"/>
      <c r="N25" s="514"/>
      <c r="O25" s="514"/>
    </row>
    <row r="26" spans="1:17">
      <c r="E26" s="51" t="s">
        <v>1526</v>
      </c>
      <c r="F26" s="51"/>
      <c r="G26" s="51"/>
      <c r="H26" s="51"/>
      <c r="I26" s="51"/>
      <c r="J26" s="51"/>
      <c r="K26" s="51"/>
      <c r="L26" s="51"/>
      <c r="M26" s="51"/>
      <c r="N26" s="51"/>
      <c r="O26" s="51"/>
      <c r="P26" s="138"/>
      <c r="Q26" s="138" t="s">
        <v>9479</v>
      </c>
    </row>
    <row r="27" spans="1:17">
      <c r="D27" s="507">
        <v>2010</v>
      </c>
      <c r="E27" s="507">
        <v>2011</v>
      </c>
      <c r="F27" s="507">
        <v>2012</v>
      </c>
      <c r="G27" s="507">
        <v>2013</v>
      </c>
      <c r="H27" s="507">
        <v>2014</v>
      </c>
      <c r="I27" s="507">
        <v>2015</v>
      </c>
      <c r="J27" s="507">
        <v>2016</v>
      </c>
      <c r="K27" s="507">
        <v>2017</v>
      </c>
      <c r="L27" s="507">
        <v>2018</v>
      </c>
      <c r="M27" s="507">
        <v>2019</v>
      </c>
      <c r="N27" s="507">
        <v>2020</v>
      </c>
      <c r="O27" s="955" t="s">
        <v>14823</v>
      </c>
      <c r="Q27" s="506" t="s">
        <v>1527</v>
      </c>
    </row>
    <row r="28" spans="1:17">
      <c r="A28" s="356" t="s">
        <v>5915</v>
      </c>
      <c r="D28" s="359">
        <f t="shared" ref="D28:J28" si="25">SUM(D29:D32)+SUM(D34:D40)+SUM(D42:D51)+D53+D54</f>
        <v>100536</v>
      </c>
      <c r="E28" s="359">
        <f t="shared" si="25"/>
        <v>100528</v>
      </c>
      <c r="F28" s="359">
        <f t="shared" si="25"/>
        <v>100367</v>
      </c>
      <c r="G28" s="359">
        <f t="shared" si="25"/>
        <v>100405</v>
      </c>
      <c r="H28" s="359">
        <f t="shared" si="25"/>
        <v>99049</v>
      </c>
      <c r="I28" s="359">
        <f t="shared" si="25"/>
        <v>98731</v>
      </c>
      <c r="J28" s="359">
        <f t="shared" si="25"/>
        <v>90162</v>
      </c>
      <c r="K28" s="359">
        <f>SUM(K29:K32)+SUM(K34:K40)+SUM(K42:K51)+K53+K54</f>
        <v>93401</v>
      </c>
      <c r="L28" s="359">
        <f>SUM(L29:L32)+SUM(L34:L40)+SUM(L42:L51)+L53+L54</f>
        <v>93454</v>
      </c>
      <c r="M28" s="359">
        <f>SUM(M29:M32)+SUM(M34:M40)+SUM(M42:M51)+M53+M54</f>
        <v>91932</v>
      </c>
      <c r="N28" s="359">
        <f>SUM(N29:N32)+SUM(N34:N40)+SUM(N42:N51)+N53+N54</f>
        <v>93161</v>
      </c>
      <c r="O28" s="359">
        <f>SUM(O29:O32)+SUM(O34:O40)+SUM(O42:O51)+O53+O54</f>
        <v>96215</v>
      </c>
    </row>
    <row r="29" spans="1:17">
      <c r="A29" s="356" t="s">
        <v>5387</v>
      </c>
      <c r="B29" s="356" t="s">
        <v>3523</v>
      </c>
      <c r="C29" s="55" t="s">
        <v>10942</v>
      </c>
      <c r="D29" s="359">
        <v>65726</v>
      </c>
      <c r="E29" s="359">
        <v>65851</v>
      </c>
      <c r="F29" s="359">
        <v>65910</v>
      </c>
      <c r="G29" s="56">
        <v>65720</v>
      </c>
      <c r="H29" s="56">
        <v>64395</v>
      </c>
      <c r="I29" s="56">
        <v>64144</v>
      </c>
      <c r="J29" s="56">
        <v>4288</v>
      </c>
      <c r="K29" s="56">
        <v>4451</v>
      </c>
      <c r="L29" s="56">
        <v>4455</v>
      </c>
      <c r="M29" s="56">
        <v>4367</v>
      </c>
      <c r="N29" s="56">
        <v>4411</v>
      </c>
      <c r="O29" s="56">
        <v>4491</v>
      </c>
      <c r="Q29" s="356" t="s">
        <v>4360</v>
      </c>
    </row>
    <row r="30" spans="1:17">
      <c r="A30" s="356" t="s">
        <v>5389</v>
      </c>
      <c r="B30" s="356" t="s">
        <v>3524</v>
      </c>
      <c r="C30" s="55" t="s">
        <v>10945</v>
      </c>
      <c r="D30" s="359">
        <v>0</v>
      </c>
      <c r="E30" s="359">
        <v>0</v>
      </c>
      <c r="F30" s="359">
        <v>0</v>
      </c>
      <c r="G30" s="56">
        <v>0</v>
      </c>
      <c r="H30" s="56">
        <v>0</v>
      </c>
      <c r="I30" s="56">
        <v>0</v>
      </c>
      <c r="J30" s="56">
        <v>3988</v>
      </c>
      <c r="K30" s="56">
        <v>4096</v>
      </c>
      <c r="L30" s="56">
        <v>4051</v>
      </c>
      <c r="M30" s="56">
        <v>3944</v>
      </c>
      <c r="N30" s="56">
        <v>4066</v>
      </c>
      <c r="O30" s="56">
        <v>4191</v>
      </c>
      <c r="Q30" s="356" t="s">
        <v>4360</v>
      </c>
    </row>
    <row r="31" spans="1:17">
      <c r="A31" s="356" t="s">
        <v>5391</v>
      </c>
      <c r="B31" s="356" t="s">
        <v>10944</v>
      </c>
      <c r="C31" s="55" t="s">
        <v>10946</v>
      </c>
      <c r="D31" s="359">
        <v>0</v>
      </c>
      <c r="E31" s="359">
        <v>0</v>
      </c>
      <c r="F31" s="359">
        <v>0</v>
      </c>
      <c r="G31" s="56">
        <v>0</v>
      </c>
      <c r="H31" s="56">
        <v>0</v>
      </c>
      <c r="I31" s="56">
        <v>0</v>
      </c>
      <c r="J31" s="56">
        <v>4158</v>
      </c>
      <c r="K31" s="56">
        <v>4227</v>
      </c>
      <c r="L31" s="56">
        <v>4161</v>
      </c>
      <c r="M31" s="56">
        <v>4042</v>
      </c>
      <c r="N31" s="56">
        <v>4021</v>
      </c>
      <c r="O31" s="56">
        <v>4098</v>
      </c>
      <c r="Q31" s="356" t="s">
        <v>4360</v>
      </c>
    </row>
    <row r="32" spans="1:17" ht="15.75" thickBot="1">
      <c r="A32" s="356"/>
      <c r="B32" s="356"/>
      <c r="C32" s="55" t="s">
        <v>10946</v>
      </c>
      <c r="D32" s="513">
        <v>0</v>
      </c>
      <c r="E32" s="513">
        <v>0</v>
      </c>
      <c r="F32" s="513">
        <v>0</v>
      </c>
      <c r="G32" s="274">
        <v>0</v>
      </c>
      <c r="H32" s="274">
        <v>0</v>
      </c>
      <c r="I32" s="274">
        <v>0</v>
      </c>
      <c r="J32" s="56">
        <v>1721</v>
      </c>
      <c r="K32" s="56">
        <v>1773</v>
      </c>
      <c r="L32" s="56">
        <v>1776</v>
      </c>
      <c r="M32" s="56">
        <v>1728</v>
      </c>
      <c r="N32" s="56">
        <v>1714</v>
      </c>
      <c r="O32" s="56">
        <v>1767</v>
      </c>
      <c r="Q32" s="356" t="s">
        <v>4362</v>
      </c>
    </row>
    <row r="33" spans="1:17" ht="15.75" thickBot="1">
      <c r="A33" s="356"/>
      <c r="B33" s="356"/>
      <c r="C33" s="55" t="s">
        <v>10946</v>
      </c>
      <c r="D33" s="515">
        <f>D31+D32</f>
        <v>0</v>
      </c>
      <c r="E33" s="515">
        <f t="shared" ref="E33:L33" si="26">E31+E32</f>
        <v>0</v>
      </c>
      <c r="F33" s="515">
        <f t="shared" si="26"/>
        <v>0</v>
      </c>
      <c r="G33" s="515">
        <f t="shared" si="26"/>
        <v>0</v>
      </c>
      <c r="H33" s="515">
        <f t="shared" si="26"/>
        <v>0</v>
      </c>
      <c r="I33" s="515">
        <f t="shared" si="26"/>
        <v>0</v>
      </c>
      <c r="J33" s="515">
        <f t="shared" si="26"/>
        <v>5879</v>
      </c>
      <c r="K33" s="515">
        <f t="shared" si="26"/>
        <v>6000</v>
      </c>
      <c r="L33" s="515">
        <f t="shared" si="26"/>
        <v>5937</v>
      </c>
      <c r="M33" s="515">
        <f>M31+M32</f>
        <v>5770</v>
      </c>
      <c r="N33" s="515">
        <f>N31+N32</f>
        <v>5735</v>
      </c>
      <c r="O33" s="515">
        <f>O31+O32</f>
        <v>5865</v>
      </c>
      <c r="Q33" s="356"/>
    </row>
    <row r="34" spans="1:17">
      <c r="A34" s="356" t="s">
        <v>5393</v>
      </c>
      <c r="B34" s="356" t="s">
        <v>10947</v>
      </c>
      <c r="C34" s="55" t="s">
        <v>10948</v>
      </c>
      <c r="D34" s="359">
        <v>0</v>
      </c>
      <c r="E34" s="359">
        <v>0</v>
      </c>
      <c r="F34" s="359">
        <v>0</v>
      </c>
      <c r="G34" s="56">
        <v>0</v>
      </c>
      <c r="H34" s="56">
        <v>0</v>
      </c>
      <c r="I34" s="56">
        <v>0</v>
      </c>
      <c r="J34" s="56">
        <v>5418</v>
      </c>
      <c r="K34" s="56">
        <v>5686</v>
      </c>
      <c r="L34" s="56">
        <v>5608</v>
      </c>
      <c r="M34" s="56">
        <v>5604</v>
      </c>
      <c r="N34" s="56">
        <v>5656</v>
      </c>
      <c r="O34" s="56">
        <v>5812</v>
      </c>
      <c r="Q34" s="356" t="s">
        <v>4360</v>
      </c>
    </row>
    <row r="35" spans="1:17">
      <c r="A35" s="356" t="s">
        <v>5394</v>
      </c>
      <c r="B35" s="356" t="s">
        <v>6024</v>
      </c>
      <c r="C35" s="55" t="s">
        <v>10949</v>
      </c>
      <c r="D35" s="359">
        <v>0</v>
      </c>
      <c r="E35" s="359">
        <v>0</v>
      </c>
      <c r="F35" s="359">
        <v>0</v>
      </c>
      <c r="G35" s="56">
        <v>0</v>
      </c>
      <c r="H35" s="56">
        <v>0</v>
      </c>
      <c r="I35" s="56">
        <v>0</v>
      </c>
      <c r="J35" s="56">
        <v>4953</v>
      </c>
      <c r="K35" s="56">
        <v>5263</v>
      </c>
      <c r="L35" s="56">
        <v>5410</v>
      </c>
      <c r="M35" s="56">
        <v>5192</v>
      </c>
      <c r="N35" s="56">
        <v>5330</v>
      </c>
      <c r="O35" s="56">
        <v>5887</v>
      </c>
      <c r="Q35" s="356" t="s">
        <v>4360</v>
      </c>
    </row>
    <row r="36" spans="1:17">
      <c r="A36" s="356" t="s">
        <v>5416</v>
      </c>
      <c r="B36" s="356" t="s">
        <v>3525</v>
      </c>
      <c r="C36" s="55" t="s">
        <v>10950</v>
      </c>
      <c r="D36" s="359">
        <v>34810</v>
      </c>
      <c r="E36" s="359">
        <v>34677</v>
      </c>
      <c r="F36" s="359">
        <v>34457</v>
      </c>
      <c r="G36" s="56">
        <v>34685</v>
      </c>
      <c r="H36" s="56">
        <v>34654</v>
      </c>
      <c r="I36" s="56">
        <v>34587</v>
      </c>
      <c r="J36" s="58">
        <v>6366</v>
      </c>
      <c r="K36" s="58">
        <v>6453</v>
      </c>
      <c r="L36" s="58">
        <v>6451</v>
      </c>
      <c r="M36" s="58">
        <v>6337</v>
      </c>
      <c r="N36" s="58">
        <v>6353</v>
      </c>
      <c r="O36" s="58">
        <v>6530</v>
      </c>
      <c r="Q36" s="356" t="s">
        <v>4362</v>
      </c>
    </row>
    <row r="37" spans="1:17">
      <c r="A37" s="356" t="s">
        <v>5418</v>
      </c>
      <c r="B37" s="356" t="s">
        <v>3526</v>
      </c>
      <c r="C37" s="55" t="s">
        <v>10951</v>
      </c>
      <c r="D37" s="359">
        <v>0</v>
      </c>
      <c r="E37" s="359">
        <v>0</v>
      </c>
      <c r="F37" s="359">
        <v>0</v>
      </c>
      <c r="G37" s="58">
        <v>0</v>
      </c>
      <c r="H37" s="58">
        <v>0</v>
      </c>
      <c r="I37" s="58">
        <v>0</v>
      </c>
      <c r="J37" s="58">
        <v>4386</v>
      </c>
      <c r="K37" s="58">
        <v>4504</v>
      </c>
      <c r="L37" s="58">
        <v>4479</v>
      </c>
      <c r="M37" s="58">
        <v>4383</v>
      </c>
      <c r="N37" s="58">
        <v>4410</v>
      </c>
      <c r="O37" s="58">
        <v>4480</v>
      </c>
      <c r="Q37" s="356" t="s">
        <v>4362</v>
      </c>
    </row>
    <row r="38" spans="1:17">
      <c r="A38" s="356" t="s">
        <v>5420</v>
      </c>
      <c r="B38" s="356" t="s">
        <v>3527</v>
      </c>
      <c r="C38" s="55" t="s">
        <v>10952</v>
      </c>
      <c r="D38" s="359">
        <v>0</v>
      </c>
      <c r="E38" s="359">
        <v>0</v>
      </c>
      <c r="F38" s="359">
        <v>0</v>
      </c>
      <c r="G38" s="56">
        <v>0</v>
      </c>
      <c r="H38" s="56">
        <v>0</v>
      </c>
      <c r="I38" s="56">
        <v>0</v>
      </c>
      <c r="J38" s="56">
        <v>4413</v>
      </c>
      <c r="K38" s="56">
        <v>4459</v>
      </c>
      <c r="L38" s="56">
        <v>4409</v>
      </c>
      <c r="M38" s="56">
        <v>4364</v>
      </c>
      <c r="N38" s="56">
        <v>4341</v>
      </c>
      <c r="O38" s="56">
        <v>4432</v>
      </c>
      <c r="Q38" s="356" t="s">
        <v>4360</v>
      </c>
    </row>
    <row r="39" spans="1:17">
      <c r="A39" s="356" t="s">
        <v>5422</v>
      </c>
      <c r="B39" s="356" t="s">
        <v>3528</v>
      </c>
      <c r="C39" s="55" t="s">
        <v>10953</v>
      </c>
      <c r="D39" s="359">
        <v>0</v>
      </c>
      <c r="E39" s="359">
        <v>0</v>
      </c>
      <c r="F39" s="359">
        <v>0</v>
      </c>
      <c r="G39" s="56">
        <v>0</v>
      </c>
      <c r="H39" s="56">
        <v>0</v>
      </c>
      <c r="I39" s="56">
        <v>0</v>
      </c>
      <c r="J39" s="56">
        <v>25</v>
      </c>
      <c r="K39" s="56">
        <v>27</v>
      </c>
      <c r="L39" s="56">
        <v>26</v>
      </c>
      <c r="M39" s="56">
        <v>25</v>
      </c>
      <c r="N39" s="56">
        <v>185</v>
      </c>
      <c r="O39" s="56">
        <v>205</v>
      </c>
      <c r="Q39" s="356" t="s">
        <v>4360</v>
      </c>
    </row>
    <row r="40" spans="1:17" ht="15.75" thickBot="1">
      <c r="C40" s="55" t="s">
        <v>10953</v>
      </c>
      <c r="D40" s="513">
        <v>0</v>
      </c>
      <c r="E40" s="513">
        <v>0</v>
      </c>
      <c r="F40" s="513">
        <v>0</v>
      </c>
      <c r="G40" s="274">
        <v>0</v>
      </c>
      <c r="H40" s="274">
        <v>0</v>
      </c>
      <c r="I40" s="274">
        <v>0</v>
      </c>
      <c r="J40" s="58">
        <v>3835</v>
      </c>
      <c r="K40" s="58">
        <v>3883</v>
      </c>
      <c r="L40" s="58">
        <v>3852</v>
      </c>
      <c r="M40" s="58">
        <v>3839</v>
      </c>
      <c r="N40" s="58">
        <v>3723</v>
      </c>
      <c r="O40" s="58">
        <v>3779</v>
      </c>
      <c r="Q40" s="356" t="s">
        <v>4362</v>
      </c>
    </row>
    <row r="41" spans="1:17" ht="15.75" thickBot="1">
      <c r="C41" s="55" t="s">
        <v>10953</v>
      </c>
      <c r="D41" s="515">
        <f t="shared" ref="D41:O41" si="27">D39+D40</f>
        <v>0</v>
      </c>
      <c r="E41" s="515">
        <f t="shared" si="27"/>
        <v>0</v>
      </c>
      <c r="F41" s="515">
        <f t="shared" si="27"/>
        <v>0</v>
      </c>
      <c r="G41" s="515">
        <f t="shared" si="27"/>
        <v>0</v>
      </c>
      <c r="H41" s="515">
        <f t="shared" si="27"/>
        <v>0</v>
      </c>
      <c r="I41" s="515">
        <f t="shared" si="27"/>
        <v>0</v>
      </c>
      <c r="J41" s="515">
        <f t="shared" si="27"/>
        <v>3860</v>
      </c>
      <c r="K41" s="515">
        <f t="shared" si="27"/>
        <v>3910</v>
      </c>
      <c r="L41" s="515">
        <f t="shared" si="27"/>
        <v>3878</v>
      </c>
      <c r="M41" s="515">
        <f t="shared" si="27"/>
        <v>3864</v>
      </c>
      <c r="N41" s="515">
        <f t="shared" si="27"/>
        <v>3908</v>
      </c>
      <c r="O41" s="515">
        <f t="shared" si="27"/>
        <v>3984</v>
      </c>
      <c r="Q41" s="356"/>
    </row>
    <row r="42" spans="1:17">
      <c r="A42" s="356" t="s">
        <v>5424</v>
      </c>
      <c r="B42" s="356" t="s">
        <v>3529</v>
      </c>
      <c r="C42" s="55" t="s">
        <v>10954</v>
      </c>
      <c r="D42" s="359">
        <v>0</v>
      </c>
      <c r="E42" s="359">
        <v>0</v>
      </c>
      <c r="F42" s="359">
        <v>0</v>
      </c>
      <c r="G42" s="56">
        <v>0</v>
      </c>
      <c r="H42" s="56">
        <v>0</v>
      </c>
      <c r="I42" s="56">
        <v>0</v>
      </c>
      <c r="J42" s="56">
        <v>4266</v>
      </c>
      <c r="K42" s="56">
        <v>4465</v>
      </c>
      <c r="L42" s="56">
        <v>4450</v>
      </c>
      <c r="M42" s="56">
        <v>4360</v>
      </c>
      <c r="N42" s="56">
        <v>4392</v>
      </c>
      <c r="O42" s="56">
        <v>4517</v>
      </c>
      <c r="Q42" s="356" t="s">
        <v>4360</v>
      </c>
    </row>
    <row r="43" spans="1:17">
      <c r="A43" s="356" t="s">
        <v>5426</v>
      </c>
      <c r="B43" s="356" t="s">
        <v>10956</v>
      </c>
      <c r="C43" s="55" t="s">
        <v>10955</v>
      </c>
      <c r="D43" s="359">
        <v>0</v>
      </c>
      <c r="E43" s="359">
        <v>0</v>
      </c>
      <c r="F43" s="359">
        <v>0</v>
      </c>
      <c r="G43" s="58">
        <v>0</v>
      </c>
      <c r="H43" s="58">
        <v>0</v>
      </c>
      <c r="I43" s="58">
        <v>0</v>
      </c>
      <c r="J43" s="56">
        <v>6171</v>
      </c>
      <c r="K43" s="56">
        <v>6350</v>
      </c>
      <c r="L43" s="56">
        <v>6350</v>
      </c>
      <c r="M43" s="56">
        <v>6244</v>
      </c>
      <c r="N43" s="56">
        <v>6327</v>
      </c>
      <c r="O43" s="56">
        <v>6462</v>
      </c>
      <c r="Q43" s="356" t="s">
        <v>4360</v>
      </c>
    </row>
    <row r="44" spans="1:17">
      <c r="A44" s="356" t="s">
        <v>5428</v>
      </c>
      <c r="B44" s="356" t="s">
        <v>10957</v>
      </c>
      <c r="C44" s="55" t="s">
        <v>10960</v>
      </c>
      <c r="D44" s="359">
        <v>0</v>
      </c>
      <c r="E44" s="359">
        <v>0</v>
      </c>
      <c r="F44" s="359">
        <v>0</v>
      </c>
      <c r="G44" s="58">
        <v>0</v>
      </c>
      <c r="H44" s="58">
        <v>0</v>
      </c>
      <c r="I44" s="58">
        <v>0</v>
      </c>
      <c r="J44" s="58">
        <v>4066</v>
      </c>
      <c r="K44" s="58">
        <v>4274</v>
      </c>
      <c r="L44" s="58">
        <v>4341</v>
      </c>
      <c r="M44" s="58">
        <v>4314</v>
      </c>
      <c r="N44" s="58">
        <v>4366</v>
      </c>
      <c r="O44" s="58">
        <v>4498</v>
      </c>
      <c r="Q44" s="356" t="s">
        <v>4362</v>
      </c>
    </row>
    <row r="45" spans="1:17">
      <c r="A45" s="356" t="s">
        <v>5429</v>
      </c>
      <c r="B45" s="356" t="s">
        <v>3530</v>
      </c>
      <c r="C45" s="55" t="s">
        <v>10961</v>
      </c>
      <c r="D45" s="359">
        <v>0</v>
      </c>
      <c r="E45" s="359">
        <v>0</v>
      </c>
      <c r="F45" s="359">
        <v>0</v>
      </c>
      <c r="G45" s="58">
        <v>0</v>
      </c>
      <c r="H45" s="58">
        <v>0</v>
      </c>
      <c r="I45" s="58">
        <v>0</v>
      </c>
      <c r="J45" s="58">
        <v>4210</v>
      </c>
      <c r="K45" s="58">
        <v>4395</v>
      </c>
      <c r="L45" s="58">
        <v>4383</v>
      </c>
      <c r="M45" s="58">
        <v>4308</v>
      </c>
      <c r="N45" s="58">
        <v>4319</v>
      </c>
      <c r="O45" s="58">
        <v>4402</v>
      </c>
      <c r="Q45" s="356" t="s">
        <v>4362</v>
      </c>
    </row>
    <row r="46" spans="1:17">
      <c r="A46" s="356" t="s">
        <v>5431</v>
      </c>
      <c r="B46" s="356" t="s">
        <v>2813</v>
      </c>
      <c r="C46" s="55" t="s">
        <v>10962</v>
      </c>
      <c r="D46" s="359">
        <v>0</v>
      </c>
      <c r="E46" s="359">
        <v>0</v>
      </c>
      <c r="F46" s="359">
        <v>0</v>
      </c>
      <c r="G46" s="58">
        <v>0</v>
      </c>
      <c r="H46" s="58">
        <v>0</v>
      </c>
      <c r="I46" s="58">
        <v>0</v>
      </c>
      <c r="J46" s="56">
        <v>5012</v>
      </c>
      <c r="K46" s="56">
        <v>5143</v>
      </c>
      <c r="L46" s="56">
        <v>5043</v>
      </c>
      <c r="M46" s="56">
        <v>4771</v>
      </c>
      <c r="N46" s="56">
        <v>4836</v>
      </c>
      <c r="O46" s="56">
        <v>5197</v>
      </c>
      <c r="Q46" s="356" t="s">
        <v>4360</v>
      </c>
    </row>
    <row r="47" spans="1:17">
      <c r="A47" s="356" t="s">
        <v>5433</v>
      </c>
      <c r="B47" s="356" t="s">
        <v>10958</v>
      </c>
      <c r="C47" s="55" t="s">
        <v>10963</v>
      </c>
      <c r="D47" s="359">
        <v>0</v>
      </c>
      <c r="E47" s="359">
        <v>0</v>
      </c>
      <c r="F47" s="359">
        <v>0</v>
      </c>
      <c r="G47" s="58">
        <v>0</v>
      </c>
      <c r="H47" s="58">
        <v>0</v>
      </c>
      <c r="I47" s="58">
        <v>0</v>
      </c>
      <c r="J47" s="56">
        <v>1570</v>
      </c>
      <c r="K47" s="56">
        <v>1682</v>
      </c>
      <c r="L47" s="56">
        <v>1727</v>
      </c>
      <c r="M47" s="56">
        <v>1699</v>
      </c>
      <c r="N47" s="56">
        <v>1700</v>
      </c>
      <c r="O47" s="56">
        <v>1734</v>
      </c>
      <c r="Q47" s="356" t="s">
        <v>4360</v>
      </c>
    </row>
    <row r="48" spans="1:17">
      <c r="A48" s="356" t="s">
        <v>5435</v>
      </c>
      <c r="B48" s="356" t="s">
        <v>6524</v>
      </c>
      <c r="C48" s="55" t="s">
        <v>10964</v>
      </c>
      <c r="D48" s="359">
        <v>0</v>
      </c>
      <c r="E48" s="359">
        <v>0</v>
      </c>
      <c r="F48" s="359">
        <v>0</v>
      </c>
      <c r="G48" s="58">
        <v>0</v>
      </c>
      <c r="H48" s="58">
        <v>0</v>
      </c>
      <c r="I48" s="58">
        <v>0</v>
      </c>
      <c r="J48" s="58">
        <v>3891</v>
      </c>
      <c r="K48" s="58">
        <v>4075</v>
      </c>
      <c r="L48" s="58">
        <v>4114</v>
      </c>
      <c r="M48" s="58">
        <v>4086</v>
      </c>
      <c r="N48" s="58">
        <v>4135</v>
      </c>
      <c r="O48" s="58">
        <v>4227</v>
      </c>
      <c r="Q48" s="356" t="s">
        <v>4362</v>
      </c>
    </row>
    <row r="49" spans="1:17">
      <c r="A49" s="356" t="s">
        <v>5436</v>
      </c>
      <c r="B49" s="356" t="s">
        <v>1645</v>
      </c>
      <c r="C49" s="55" t="s">
        <v>10965</v>
      </c>
      <c r="D49" s="359">
        <v>0</v>
      </c>
      <c r="E49" s="359">
        <v>0</v>
      </c>
      <c r="F49" s="359">
        <v>0</v>
      </c>
      <c r="G49" s="58">
        <v>0</v>
      </c>
      <c r="H49" s="58">
        <v>0</v>
      </c>
      <c r="I49" s="58">
        <v>0</v>
      </c>
      <c r="J49" s="56">
        <v>6383</v>
      </c>
      <c r="K49" s="56">
        <v>6549</v>
      </c>
      <c r="L49" s="56">
        <v>6554</v>
      </c>
      <c r="M49" s="56">
        <v>6432</v>
      </c>
      <c r="N49" s="56">
        <v>6577</v>
      </c>
      <c r="O49" s="56">
        <v>6780</v>
      </c>
      <c r="Q49" s="356" t="s">
        <v>4360</v>
      </c>
    </row>
    <row r="50" spans="1:17">
      <c r="A50" s="356" t="s">
        <v>5437</v>
      </c>
      <c r="B50" s="356" t="s">
        <v>10959</v>
      </c>
      <c r="C50" s="55" t="s">
        <v>10966</v>
      </c>
      <c r="D50" s="359">
        <v>0</v>
      </c>
      <c r="E50" s="359">
        <v>0</v>
      </c>
      <c r="F50" s="359">
        <v>0</v>
      </c>
      <c r="G50" s="58">
        <v>0</v>
      </c>
      <c r="H50" s="58">
        <v>0</v>
      </c>
      <c r="I50" s="58">
        <v>0</v>
      </c>
      <c r="J50" s="56">
        <v>3314</v>
      </c>
      <c r="K50" s="56">
        <v>3459</v>
      </c>
      <c r="L50" s="56">
        <v>3463</v>
      </c>
      <c r="M50" s="56">
        <v>3399</v>
      </c>
      <c r="N50" s="56">
        <v>3344</v>
      </c>
      <c r="O50" s="56">
        <v>3396</v>
      </c>
      <c r="Q50" s="356" t="s">
        <v>4360</v>
      </c>
    </row>
    <row r="51" spans="1:17" ht="15.75" thickBot="1">
      <c r="A51" s="356"/>
      <c r="B51" s="356"/>
      <c r="C51" s="55" t="s">
        <v>10966</v>
      </c>
      <c r="D51" s="513">
        <v>0</v>
      </c>
      <c r="E51" s="513">
        <v>0</v>
      </c>
      <c r="F51" s="513">
        <v>0</v>
      </c>
      <c r="G51" s="274">
        <v>0</v>
      </c>
      <c r="H51" s="274">
        <v>0</v>
      </c>
      <c r="I51" s="274">
        <v>0</v>
      </c>
      <c r="J51" s="58">
        <v>2311</v>
      </c>
      <c r="K51" s="58">
        <v>2323</v>
      </c>
      <c r="L51" s="58">
        <v>2265</v>
      </c>
      <c r="M51" s="58">
        <v>2221</v>
      </c>
      <c r="N51" s="58">
        <v>2218</v>
      </c>
      <c r="O51" s="58">
        <v>2248</v>
      </c>
      <c r="Q51" s="356" t="s">
        <v>4362</v>
      </c>
    </row>
    <row r="52" spans="1:17" ht="15.75" thickBot="1">
      <c r="A52" s="356"/>
      <c r="B52" s="356"/>
      <c r="C52" s="55" t="s">
        <v>10966</v>
      </c>
      <c r="D52" s="515">
        <f t="shared" ref="D52:O52" si="28">D50+D51</f>
        <v>0</v>
      </c>
      <c r="E52" s="515">
        <f t="shared" si="28"/>
        <v>0</v>
      </c>
      <c r="F52" s="515">
        <f t="shared" si="28"/>
        <v>0</v>
      </c>
      <c r="G52" s="515">
        <f t="shared" si="28"/>
        <v>0</v>
      </c>
      <c r="H52" s="515">
        <f t="shared" si="28"/>
        <v>0</v>
      </c>
      <c r="I52" s="515">
        <f t="shared" si="28"/>
        <v>0</v>
      </c>
      <c r="J52" s="515">
        <f t="shared" si="28"/>
        <v>5625</v>
      </c>
      <c r="K52" s="515">
        <f t="shared" si="28"/>
        <v>5782</v>
      </c>
      <c r="L52" s="515">
        <f t="shared" si="28"/>
        <v>5728</v>
      </c>
      <c r="M52" s="515">
        <f t="shared" si="28"/>
        <v>5620</v>
      </c>
      <c r="N52" s="515">
        <f t="shared" si="28"/>
        <v>5562</v>
      </c>
      <c r="O52" s="515">
        <f t="shared" si="28"/>
        <v>5644</v>
      </c>
      <c r="Q52" s="356"/>
    </row>
    <row r="53" spans="1:17">
      <c r="A53" s="356" t="s">
        <v>5439</v>
      </c>
      <c r="B53" s="356" t="s">
        <v>10967</v>
      </c>
      <c r="C53" s="55" t="s">
        <v>10969</v>
      </c>
      <c r="D53" s="359">
        <v>0</v>
      </c>
      <c r="E53" s="359">
        <v>0</v>
      </c>
      <c r="F53" s="359">
        <v>0</v>
      </c>
      <c r="G53" s="58">
        <v>0</v>
      </c>
      <c r="H53" s="58">
        <v>0</v>
      </c>
      <c r="I53" s="58">
        <v>0</v>
      </c>
      <c r="J53" s="58">
        <v>1844</v>
      </c>
      <c r="K53" s="58">
        <v>2003</v>
      </c>
      <c r="L53" s="58">
        <v>2049</v>
      </c>
      <c r="M53" s="58">
        <v>2198</v>
      </c>
      <c r="N53" s="58">
        <v>2467</v>
      </c>
      <c r="O53" s="58">
        <v>2654</v>
      </c>
      <c r="Q53" s="356" t="s">
        <v>4362</v>
      </c>
    </row>
    <row r="54" spans="1:17">
      <c r="A54" s="356" t="s">
        <v>5441</v>
      </c>
      <c r="B54" s="356" t="s">
        <v>10968</v>
      </c>
      <c r="C54" s="55" t="s">
        <v>10970</v>
      </c>
      <c r="D54" s="359">
        <v>0</v>
      </c>
      <c r="E54" s="359">
        <v>0</v>
      </c>
      <c r="F54" s="359">
        <v>0</v>
      </c>
      <c r="G54" s="58">
        <v>0</v>
      </c>
      <c r="H54" s="58">
        <v>0</v>
      </c>
      <c r="I54" s="58">
        <v>0</v>
      </c>
      <c r="J54" s="56">
        <v>3573</v>
      </c>
      <c r="K54" s="56">
        <v>3861</v>
      </c>
      <c r="L54" s="56">
        <v>4037</v>
      </c>
      <c r="M54" s="56">
        <v>4075</v>
      </c>
      <c r="N54" s="56">
        <v>4270</v>
      </c>
      <c r="O54" s="56">
        <v>4428</v>
      </c>
      <c r="Q54" s="356" t="s">
        <v>4360</v>
      </c>
    </row>
    <row r="55" spans="1:17">
      <c r="D55" s="360"/>
      <c r="E55" s="360"/>
      <c r="F55" s="360"/>
      <c r="G55" s="360"/>
      <c r="H55" s="360"/>
      <c r="I55" s="360"/>
      <c r="J55" s="360"/>
      <c r="K55" s="360"/>
      <c r="L55" s="360"/>
      <c r="M55" s="360"/>
      <c r="N55" s="360"/>
      <c r="O55" s="360"/>
    </row>
    <row r="56" spans="1:17">
      <c r="A56" s="356" t="s">
        <v>4360</v>
      </c>
      <c r="D56" s="359">
        <f>SUM(D29:D31)+D34+D35+D38+D39+D42+D46+D43+D47+D49+D50+D54</f>
        <v>65726</v>
      </c>
      <c r="E56" s="359">
        <f t="shared" ref="E56:J56" si="29">SUM(E29:E31)+E34+E35+E38+E39+E42+E46+E43+E47+E49+E50+E54</f>
        <v>65851</v>
      </c>
      <c r="F56" s="359">
        <f t="shared" si="29"/>
        <v>65910</v>
      </c>
      <c r="G56" s="359">
        <f t="shared" si="29"/>
        <v>65720</v>
      </c>
      <c r="H56" s="359">
        <f t="shared" si="29"/>
        <v>64395</v>
      </c>
      <c r="I56" s="359">
        <f t="shared" si="29"/>
        <v>64144</v>
      </c>
      <c r="J56" s="359">
        <f t="shared" si="29"/>
        <v>57532</v>
      </c>
      <c r="K56" s="359">
        <f>SUM(K29:K31)+K34+K35+K38+K39+K42+K46+K43+K47+K49+K50+K54</f>
        <v>59718</v>
      </c>
      <c r="L56" s="359">
        <f>SUM(L29:L31)+L34+L35+L38+L39+L42+L46+L43+L47+L49+L50+L54</f>
        <v>59744</v>
      </c>
      <c r="M56" s="359">
        <f>SUM(M29:M31)+M34+M35+M38+M39+M42+M46+M43+M47+M49+M50+M54</f>
        <v>58518</v>
      </c>
      <c r="N56" s="359">
        <f>SUM(N29:N31)+N34+N35+N38+N39+N42+N46+N43+N47+N49+N50+N54</f>
        <v>59456</v>
      </c>
      <c r="O56" s="359">
        <f>SUM(O29:O31)+O34+O35+O38+O39+O42+O46+O43+O47+O49+O50+O54</f>
        <v>61630</v>
      </c>
    </row>
    <row r="57" spans="1:17">
      <c r="A57" s="356" t="s">
        <v>5037</v>
      </c>
      <c r="D57" s="359">
        <f>D32+D36+D37+D40+D44+D45+D48+D51+D53</f>
        <v>34810</v>
      </c>
      <c r="E57" s="359">
        <f t="shared" ref="E57:J57" si="30">E32+E36+E37+E40+E44+E45+E48+E51+E53</f>
        <v>34677</v>
      </c>
      <c r="F57" s="359">
        <f t="shared" si="30"/>
        <v>34457</v>
      </c>
      <c r="G57" s="359">
        <f t="shared" si="30"/>
        <v>34685</v>
      </c>
      <c r="H57" s="359">
        <f t="shared" si="30"/>
        <v>34654</v>
      </c>
      <c r="I57" s="359">
        <f t="shared" si="30"/>
        <v>34587</v>
      </c>
      <c r="J57" s="359">
        <f t="shared" si="30"/>
        <v>32630</v>
      </c>
      <c r="K57" s="359">
        <f>K32+K36+K37+K40+K44+K45+K48+K51+K53</f>
        <v>33683</v>
      </c>
      <c r="L57" s="359">
        <f>L32+L36+L37+L40+L44+L45+L48+L51+L53</f>
        <v>33710</v>
      </c>
      <c r="M57" s="359">
        <f>M32+M36+M37+M40+M44+M45+M48+M51+M53</f>
        <v>33414</v>
      </c>
      <c r="N57" s="359">
        <f>N32+N36+N37+N40+N44+N45+N48+N51+N53</f>
        <v>33705</v>
      </c>
      <c r="O57" s="359">
        <f>O32+O36+O37+O40+O44+O45+O48+O51+O53</f>
        <v>34585</v>
      </c>
    </row>
    <row r="58" spans="1:17">
      <c r="A58" s="356"/>
      <c r="B58" s="356"/>
      <c r="D58" s="514"/>
      <c r="E58" s="514"/>
      <c r="F58" s="514"/>
      <c r="G58" s="514"/>
      <c r="H58" s="514"/>
      <c r="I58" s="514"/>
      <c r="J58" s="514"/>
      <c r="K58" s="514"/>
      <c r="L58" s="514"/>
      <c r="M58" s="514"/>
      <c r="N58" s="514"/>
      <c r="O58" s="514"/>
    </row>
    <row r="59" spans="1:17">
      <c r="A59" s="356" t="s">
        <v>10943</v>
      </c>
      <c r="B59" s="356"/>
      <c r="D59" s="514"/>
      <c r="E59" s="514"/>
      <c r="F59" s="514"/>
      <c r="G59" s="514"/>
      <c r="H59" s="514"/>
      <c r="I59" s="514"/>
      <c r="J59" s="514"/>
      <c r="K59" s="514"/>
      <c r="L59" s="514"/>
      <c r="M59" s="514"/>
      <c r="N59" s="514"/>
      <c r="O59" s="514"/>
    </row>
    <row r="60" spans="1:17">
      <c r="A60" s="356"/>
      <c r="B60" s="356"/>
      <c r="D60" s="514"/>
      <c r="E60" s="514"/>
      <c r="F60" s="514"/>
      <c r="G60" s="514"/>
      <c r="H60" s="514"/>
      <c r="I60" s="514"/>
      <c r="J60" s="514"/>
      <c r="K60" s="514"/>
      <c r="L60" s="514"/>
      <c r="M60" s="514"/>
      <c r="N60" s="514"/>
      <c r="O60" s="514"/>
    </row>
    <row r="61" spans="1:17">
      <c r="A61" s="356"/>
      <c r="B61" s="356"/>
      <c r="D61" s="514"/>
      <c r="E61" s="514"/>
      <c r="F61" s="514"/>
      <c r="G61" s="514"/>
      <c r="H61" s="514"/>
      <c r="I61" s="514"/>
      <c r="J61" s="514"/>
      <c r="K61" s="514"/>
      <c r="L61" s="514"/>
      <c r="M61" s="514"/>
      <c r="N61" s="514"/>
      <c r="O61" s="514"/>
    </row>
    <row r="62" spans="1:17">
      <c r="E62" s="51" t="s">
        <v>1526</v>
      </c>
      <c r="F62" s="51"/>
      <c r="G62" s="51"/>
      <c r="H62" s="51"/>
      <c r="I62" s="51"/>
      <c r="J62" s="51"/>
      <c r="K62" s="51"/>
      <c r="L62" s="51"/>
      <c r="M62" s="51"/>
      <c r="N62" s="51"/>
      <c r="O62" s="51"/>
      <c r="P62" s="138"/>
      <c r="Q62" s="138" t="s">
        <v>9479</v>
      </c>
    </row>
    <row r="63" spans="1:17">
      <c r="D63" s="507">
        <v>2010</v>
      </c>
      <c r="E63" s="507">
        <v>2011</v>
      </c>
      <c r="F63" s="507">
        <v>2012</v>
      </c>
      <c r="G63" s="507">
        <v>2013</v>
      </c>
      <c r="H63" s="507">
        <v>2014</v>
      </c>
      <c r="I63" s="507">
        <v>2015</v>
      </c>
      <c r="J63" s="507">
        <v>2016</v>
      </c>
      <c r="K63" s="507">
        <v>2017</v>
      </c>
      <c r="L63" s="507">
        <v>2018</v>
      </c>
      <c r="M63" s="507">
        <v>2019</v>
      </c>
      <c r="N63" s="507">
        <v>2020</v>
      </c>
      <c r="O63" s="955" t="s">
        <v>14823</v>
      </c>
      <c r="Q63" s="506" t="s">
        <v>1527</v>
      </c>
    </row>
    <row r="64" spans="1:17">
      <c r="A64" s="356" t="s">
        <v>4356</v>
      </c>
      <c r="D64" s="359">
        <f t="shared" ref="D64:M64" si="31">SUM(D65:D82,D84:D90)</f>
        <v>105718</v>
      </c>
      <c r="E64" s="359">
        <f t="shared" si="31"/>
        <v>105394</v>
      </c>
      <c r="F64" s="359">
        <f t="shared" si="31"/>
        <v>105792</v>
      </c>
      <c r="G64" s="359">
        <f t="shared" si="31"/>
        <v>105819</v>
      </c>
      <c r="H64" s="359">
        <f t="shared" si="31"/>
        <v>104221</v>
      </c>
      <c r="I64" s="359">
        <f t="shared" si="31"/>
        <v>100231</v>
      </c>
      <c r="J64" s="359">
        <f t="shared" si="31"/>
        <v>100365</v>
      </c>
      <c r="K64" s="359">
        <f t="shared" si="31"/>
        <v>102985</v>
      </c>
      <c r="L64" s="359">
        <f t="shared" si="31"/>
        <v>103078</v>
      </c>
      <c r="M64" s="359">
        <f t="shared" si="31"/>
        <v>102756</v>
      </c>
      <c r="N64" s="359">
        <f>SUM(N65:N82,N84:N90)</f>
        <v>102231</v>
      </c>
      <c r="O64" s="359">
        <f>SUM(O65:O82,O84:O90)</f>
        <v>104879</v>
      </c>
    </row>
    <row r="65" spans="1:17">
      <c r="A65" s="356" t="s">
        <v>5387</v>
      </c>
      <c r="B65" s="356" t="s">
        <v>4542</v>
      </c>
      <c r="C65" s="55" t="s">
        <v>13569</v>
      </c>
      <c r="D65" s="359">
        <v>38313</v>
      </c>
      <c r="E65" s="359">
        <v>38199</v>
      </c>
      <c r="F65" s="359">
        <v>38234</v>
      </c>
      <c r="G65" s="359">
        <v>38280</v>
      </c>
      <c r="H65" s="359">
        <v>37846</v>
      </c>
      <c r="I65" s="359">
        <v>36463</v>
      </c>
      <c r="J65" s="359">
        <v>36340</v>
      </c>
      <c r="K65" s="359">
        <v>37396</v>
      </c>
      <c r="L65" s="359">
        <v>37554</v>
      </c>
      <c r="M65" s="359">
        <v>37486</v>
      </c>
      <c r="N65" s="56">
        <v>3649</v>
      </c>
      <c r="O65" s="56">
        <v>3733</v>
      </c>
      <c r="Q65" s="356" t="s">
        <v>4362</v>
      </c>
    </row>
    <row r="66" spans="1:17">
      <c r="A66" s="356" t="s">
        <v>5389</v>
      </c>
      <c r="B66" s="356" t="s">
        <v>5038</v>
      </c>
      <c r="C66" s="55" t="s">
        <v>13570</v>
      </c>
      <c r="D66" s="359">
        <v>0</v>
      </c>
      <c r="E66" s="359">
        <v>0</v>
      </c>
      <c r="F66" s="359">
        <v>0</v>
      </c>
      <c r="G66" s="359">
        <v>0</v>
      </c>
      <c r="H66" s="359">
        <v>0</v>
      </c>
      <c r="I66" s="359">
        <v>0</v>
      </c>
      <c r="J66" s="359">
        <v>0</v>
      </c>
      <c r="K66" s="359">
        <v>0</v>
      </c>
      <c r="L66" s="359">
        <v>0</v>
      </c>
      <c r="M66" s="359">
        <v>0</v>
      </c>
      <c r="N66" s="56">
        <v>5089</v>
      </c>
      <c r="O66" s="56">
        <v>5205</v>
      </c>
      <c r="Q66" s="356" t="s">
        <v>4362</v>
      </c>
    </row>
    <row r="67" spans="1:17">
      <c r="A67" s="356" t="s">
        <v>5391</v>
      </c>
      <c r="B67" s="356" t="s">
        <v>5039</v>
      </c>
      <c r="C67" s="55" t="s">
        <v>13571</v>
      </c>
      <c r="D67" s="359">
        <v>67405</v>
      </c>
      <c r="E67" s="359">
        <v>67195</v>
      </c>
      <c r="F67" s="359">
        <v>67558</v>
      </c>
      <c r="G67" s="359">
        <v>67539</v>
      </c>
      <c r="H67" s="359">
        <v>66375</v>
      </c>
      <c r="I67" s="359">
        <v>63768</v>
      </c>
      <c r="J67" s="359">
        <v>64025</v>
      </c>
      <c r="K67" s="359">
        <v>65589</v>
      </c>
      <c r="L67" s="359">
        <v>65524</v>
      </c>
      <c r="M67" s="359">
        <v>65270</v>
      </c>
      <c r="N67" s="56">
        <v>3410</v>
      </c>
      <c r="O67" s="56">
        <v>3567</v>
      </c>
      <c r="Q67" s="356" t="s">
        <v>4364</v>
      </c>
    </row>
    <row r="68" spans="1:17">
      <c r="A68" s="356" t="s">
        <v>5393</v>
      </c>
      <c r="B68" s="356" t="s">
        <v>3494</v>
      </c>
      <c r="C68" s="55" t="s">
        <v>13572</v>
      </c>
      <c r="D68" s="359">
        <v>0</v>
      </c>
      <c r="E68" s="359">
        <v>0</v>
      </c>
      <c r="F68" s="359">
        <v>0</v>
      </c>
      <c r="G68" s="359">
        <v>0</v>
      </c>
      <c r="H68" s="359">
        <v>0</v>
      </c>
      <c r="I68" s="359">
        <v>0</v>
      </c>
      <c r="J68" s="359">
        <v>0</v>
      </c>
      <c r="K68" s="359">
        <v>0</v>
      </c>
      <c r="L68" s="359">
        <v>0</v>
      </c>
      <c r="M68" s="359">
        <v>0</v>
      </c>
      <c r="N68" s="56">
        <v>3384</v>
      </c>
      <c r="O68" s="56">
        <v>3463</v>
      </c>
      <c r="Q68" s="356" t="s">
        <v>4364</v>
      </c>
    </row>
    <row r="69" spans="1:17">
      <c r="A69" s="356" t="s">
        <v>5394</v>
      </c>
      <c r="B69" s="356" t="s">
        <v>3495</v>
      </c>
      <c r="C69" s="55" t="s">
        <v>13573</v>
      </c>
      <c r="D69" s="359">
        <v>0</v>
      </c>
      <c r="E69" s="359">
        <v>0</v>
      </c>
      <c r="F69" s="359">
        <v>0</v>
      </c>
      <c r="G69" s="359">
        <v>0</v>
      </c>
      <c r="H69" s="359">
        <v>0</v>
      </c>
      <c r="I69" s="359">
        <v>0</v>
      </c>
      <c r="J69" s="359">
        <v>0</v>
      </c>
      <c r="K69" s="359">
        <v>0</v>
      </c>
      <c r="L69" s="359">
        <v>0</v>
      </c>
      <c r="M69" s="359">
        <v>0</v>
      </c>
      <c r="N69" s="56">
        <v>5541</v>
      </c>
      <c r="O69" s="56">
        <v>5669</v>
      </c>
      <c r="Q69" s="356" t="s">
        <v>4364</v>
      </c>
    </row>
    <row r="70" spans="1:17">
      <c r="A70" s="356" t="s">
        <v>5416</v>
      </c>
      <c r="B70" s="356" t="s">
        <v>3496</v>
      </c>
      <c r="C70" s="55" t="s">
        <v>13574</v>
      </c>
      <c r="D70" s="359">
        <v>0</v>
      </c>
      <c r="E70" s="359">
        <v>0</v>
      </c>
      <c r="F70" s="359">
        <v>0</v>
      </c>
      <c r="G70" s="359">
        <v>0</v>
      </c>
      <c r="H70" s="359">
        <v>0</v>
      </c>
      <c r="I70" s="359">
        <v>0</v>
      </c>
      <c r="J70" s="359">
        <v>0</v>
      </c>
      <c r="K70" s="359">
        <v>0</v>
      </c>
      <c r="L70" s="359">
        <v>0</v>
      </c>
      <c r="M70" s="359">
        <v>0</v>
      </c>
      <c r="N70" s="56">
        <v>3712</v>
      </c>
      <c r="O70" s="56">
        <v>3800</v>
      </c>
      <c r="Q70" s="356" t="s">
        <v>4364</v>
      </c>
    </row>
    <row r="71" spans="1:17">
      <c r="A71" s="356" t="s">
        <v>5418</v>
      </c>
      <c r="B71" s="356" t="s">
        <v>3497</v>
      </c>
      <c r="C71" s="55" t="s">
        <v>13575</v>
      </c>
      <c r="D71" s="359">
        <v>0</v>
      </c>
      <c r="E71" s="359">
        <v>0</v>
      </c>
      <c r="F71" s="359">
        <v>0</v>
      </c>
      <c r="G71" s="359">
        <v>0</v>
      </c>
      <c r="H71" s="359">
        <v>0</v>
      </c>
      <c r="I71" s="359">
        <v>0</v>
      </c>
      <c r="J71" s="359">
        <v>0</v>
      </c>
      <c r="K71" s="359">
        <v>0</v>
      </c>
      <c r="L71" s="359">
        <v>0</v>
      </c>
      <c r="M71" s="359">
        <v>0</v>
      </c>
      <c r="N71" s="56">
        <v>5504</v>
      </c>
      <c r="O71" s="56">
        <v>5727</v>
      </c>
      <c r="Q71" s="356" t="s">
        <v>4362</v>
      </c>
    </row>
    <row r="72" spans="1:17">
      <c r="A72" s="356" t="s">
        <v>5420</v>
      </c>
      <c r="B72" s="356" t="s">
        <v>3498</v>
      </c>
      <c r="C72" s="55" t="s">
        <v>13576</v>
      </c>
      <c r="D72" s="359">
        <v>0</v>
      </c>
      <c r="E72" s="359">
        <v>0</v>
      </c>
      <c r="F72" s="359">
        <v>0</v>
      </c>
      <c r="G72" s="359">
        <v>0</v>
      </c>
      <c r="H72" s="359">
        <v>0</v>
      </c>
      <c r="I72" s="359">
        <v>0</v>
      </c>
      <c r="J72" s="359">
        <v>0</v>
      </c>
      <c r="K72" s="359">
        <v>0</v>
      </c>
      <c r="L72" s="359">
        <v>0</v>
      </c>
      <c r="M72" s="359">
        <v>0</v>
      </c>
      <c r="N72" s="56">
        <v>5333</v>
      </c>
      <c r="O72" s="56">
        <v>5463</v>
      </c>
      <c r="Q72" s="356" t="s">
        <v>4362</v>
      </c>
    </row>
    <row r="73" spans="1:17">
      <c r="A73" s="356" t="s">
        <v>5422</v>
      </c>
      <c r="B73" s="356" t="s">
        <v>3499</v>
      </c>
      <c r="C73" s="55" t="s">
        <v>13577</v>
      </c>
      <c r="D73" s="359">
        <v>0</v>
      </c>
      <c r="E73" s="359">
        <v>0</v>
      </c>
      <c r="F73" s="359">
        <v>0</v>
      </c>
      <c r="G73" s="359">
        <v>0</v>
      </c>
      <c r="H73" s="359">
        <v>0</v>
      </c>
      <c r="I73" s="359">
        <v>0</v>
      </c>
      <c r="J73" s="359">
        <v>0</v>
      </c>
      <c r="K73" s="359">
        <v>0</v>
      </c>
      <c r="L73" s="359">
        <v>0</v>
      </c>
      <c r="M73" s="359">
        <v>0</v>
      </c>
      <c r="N73" s="56">
        <v>5394</v>
      </c>
      <c r="O73" s="56">
        <v>5517</v>
      </c>
      <c r="Q73" s="356" t="s">
        <v>4364</v>
      </c>
    </row>
    <row r="74" spans="1:17">
      <c r="A74" s="356" t="s">
        <v>5424</v>
      </c>
      <c r="B74" s="356" t="s">
        <v>3500</v>
      </c>
      <c r="C74" s="55" t="s">
        <v>13578</v>
      </c>
      <c r="D74" s="359">
        <v>0</v>
      </c>
      <c r="E74" s="359">
        <v>0</v>
      </c>
      <c r="F74" s="359">
        <v>0</v>
      </c>
      <c r="G74" s="359">
        <v>0</v>
      </c>
      <c r="H74" s="359">
        <v>0</v>
      </c>
      <c r="I74" s="359">
        <v>0</v>
      </c>
      <c r="J74" s="359">
        <v>0</v>
      </c>
      <c r="K74" s="359">
        <v>0</v>
      </c>
      <c r="L74" s="359">
        <v>0</v>
      </c>
      <c r="M74" s="359">
        <v>0</v>
      </c>
      <c r="N74" s="56">
        <v>1817</v>
      </c>
      <c r="O74" s="56">
        <v>1862</v>
      </c>
      <c r="Q74" s="356" t="s">
        <v>4362</v>
      </c>
    </row>
    <row r="75" spans="1:17">
      <c r="A75" s="356" t="s">
        <v>5426</v>
      </c>
      <c r="B75" s="356" t="s">
        <v>3501</v>
      </c>
      <c r="C75" s="55" t="s">
        <v>13579</v>
      </c>
      <c r="D75" s="359">
        <v>0</v>
      </c>
      <c r="E75" s="359">
        <v>0</v>
      </c>
      <c r="F75" s="359">
        <v>0</v>
      </c>
      <c r="G75" s="359">
        <v>0</v>
      </c>
      <c r="H75" s="359">
        <v>0</v>
      </c>
      <c r="I75" s="359">
        <v>0</v>
      </c>
      <c r="J75" s="359">
        <v>0</v>
      </c>
      <c r="K75" s="359">
        <v>0</v>
      </c>
      <c r="L75" s="359">
        <v>0</v>
      </c>
      <c r="M75" s="359">
        <v>0</v>
      </c>
      <c r="N75" s="56">
        <v>4635</v>
      </c>
      <c r="O75" s="56">
        <v>4765</v>
      </c>
      <c r="Q75" s="356" t="s">
        <v>4362</v>
      </c>
    </row>
    <row r="76" spans="1:17">
      <c r="A76" s="356" t="s">
        <v>5428</v>
      </c>
      <c r="B76" s="356" t="s">
        <v>3502</v>
      </c>
      <c r="C76" s="55" t="s">
        <v>13580</v>
      </c>
      <c r="D76" s="359">
        <v>0</v>
      </c>
      <c r="E76" s="359">
        <v>0</v>
      </c>
      <c r="F76" s="359">
        <v>0</v>
      </c>
      <c r="G76" s="359">
        <v>0</v>
      </c>
      <c r="H76" s="359">
        <v>0</v>
      </c>
      <c r="I76" s="359">
        <v>0</v>
      </c>
      <c r="J76" s="359">
        <v>0</v>
      </c>
      <c r="K76" s="359">
        <v>0</v>
      </c>
      <c r="L76" s="359">
        <v>0</v>
      </c>
      <c r="M76" s="359">
        <v>0</v>
      </c>
      <c r="N76" s="56">
        <v>3409</v>
      </c>
      <c r="O76" s="56">
        <v>3469</v>
      </c>
      <c r="Q76" s="356" t="s">
        <v>4364</v>
      </c>
    </row>
    <row r="77" spans="1:17">
      <c r="A77" s="356" t="s">
        <v>5429</v>
      </c>
      <c r="B77" s="356" t="s">
        <v>3503</v>
      </c>
      <c r="C77" s="55" t="s">
        <v>13581</v>
      </c>
      <c r="D77" s="359">
        <v>0</v>
      </c>
      <c r="E77" s="359">
        <v>0</v>
      </c>
      <c r="F77" s="359">
        <v>0</v>
      </c>
      <c r="G77" s="359">
        <v>0</v>
      </c>
      <c r="H77" s="359">
        <v>0</v>
      </c>
      <c r="I77" s="359">
        <v>0</v>
      </c>
      <c r="J77" s="359">
        <v>0</v>
      </c>
      <c r="K77" s="359">
        <v>0</v>
      </c>
      <c r="L77" s="359">
        <v>0</v>
      </c>
      <c r="M77" s="359">
        <v>0</v>
      </c>
      <c r="N77" s="58">
        <v>3737</v>
      </c>
      <c r="O77" s="58">
        <v>3840</v>
      </c>
      <c r="Q77" s="356" t="s">
        <v>4364</v>
      </c>
    </row>
    <row r="78" spans="1:17">
      <c r="A78" s="356" t="s">
        <v>5431</v>
      </c>
      <c r="B78" s="356" t="s">
        <v>3504</v>
      </c>
      <c r="C78" s="55" t="s">
        <v>13582</v>
      </c>
      <c r="D78" s="359">
        <v>0</v>
      </c>
      <c r="E78" s="359">
        <v>0</v>
      </c>
      <c r="F78" s="359">
        <v>0</v>
      </c>
      <c r="G78" s="359">
        <v>0</v>
      </c>
      <c r="H78" s="359">
        <v>0</v>
      </c>
      <c r="I78" s="359">
        <v>0</v>
      </c>
      <c r="J78" s="359">
        <v>0</v>
      </c>
      <c r="K78" s="359">
        <v>0</v>
      </c>
      <c r="L78" s="359">
        <v>0</v>
      </c>
      <c r="M78" s="359">
        <v>0</v>
      </c>
      <c r="N78" s="58">
        <v>5306</v>
      </c>
      <c r="O78" s="58">
        <v>5440</v>
      </c>
      <c r="Q78" s="356" t="s">
        <v>4364</v>
      </c>
    </row>
    <row r="79" spans="1:17">
      <c r="A79" s="356" t="s">
        <v>5433</v>
      </c>
      <c r="B79" s="356" t="s">
        <v>4633</v>
      </c>
      <c r="C79" s="55" t="s">
        <v>13583</v>
      </c>
      <c r="D79" s="359">
        <v>0</v>
      </c>
      <c r="E79" s="359">
        <v>0</v>
      </c>
      <c r="F79" s="359">
        <v>0</v>
      </c>
      <c r="G79" s="359">
        <v>0</v>
      </c>
      <c r="H79" s="359">
        <v>0</v>
      </c>
      <c r="I79" s="359">
        <v>0</v>
      </c>
      <c r="J79" s="359">
        <v>0</v>
      </c>
      <c r="K79" s="359">
        <v>0</v>
      </c>
      <c r="L79" s="359">
        <v>0</v>
      </c>
      <c r="M79" s="359">
        <v>0</v>
      </c>
      <c r="N79" s="58">
        <v>4793</v>
      </c>
      <c r="O79" s="58">
        <v>4933</v>
      </c>
      <c r="Q79" s="356" t="s">
        <v>4364</v>
      </c>
    </row>
    <row r="80" spans="1:17">
      <c r="A80" s="356" t="s">
        <v>5435</v>
      </c>
      <c r="B80" s="356" t="s">
        <v>3505</v>
      </c>
      <c r="C80" s="55" t="s">
        <v>13584</v>
      </c>
      <c r="D80" s="359">
        <v>0</v>
      </c>
      <c r="E80" s="359">
        <v>0</v>
      </c>
      <c r="F80" s="359">
        <v>0</v>
      </c>
      <c r="G80" s="359">
        <v>0</v>
      </c>
      <c r="H80" s="359">
        <v>0</v>
      </c>
      <c r="I80" s="359">
        <v>0</v>
      </c>
      <c r="J80" s="359">
        <v>0</v>
      </c>
      <c r="K80" s="359">
        <v>0</v>
      </c>
      <c r="L80" s="359">
        <v>0</v>
      </c>
      <c r="M80" s="359">
        <v>0</v>
      </c>
      <c r="N80" s="56">
        <v>5585</v>
      </c>
      <c r="O80" s="56">
        <v>5678</v>
      </c>
      <c r="Q80" s="356" t="s">
        <v>4364</v>
      </c>
    </row>
    <row r="81" spans="1:17">
      <c r="A81" s="356" t="s">
        <v>5436</v>
      </c>
      <c r="B81" s="356" t="s">
        <v>3506</v>
      </c>
      <c r="C81" s="55" t="s">
        <v>13585</v>
      </c>
      <c r="D81" s="359">
        <v>0</v>
      </c>
      <c r="E81" s="359">
        <v>0</v>
      </c>
      <c r="F81" s="359">
        <v>0</v>
      </c>
      <c r="G81" s="359">
        <v>0</v>
      </c>
      <c r="H81" s="359">
        <v>0</v>
      </c>
      <c r="I81" s="359">
        <v>0</v>
      </c>
      <c r="J81" s="359">
        <v>0</v>
      </c>
      <c r="K81" s="359">
        <v>0</v>
      </c>
      <c r="L81" s="359">
        <v>0</v>
      </c>
      <c r="M81" s="359">
        <v>0</v>
      </c>
      <c r="N81" s="56">
        <v>4767</v>
      </c>
      <c r="O81" s="56">
        <v>4908</v>
      </c>
      <c r="Q81" s="356" t="s">
        <v>4362</v>
      </c>
    </row>
    <row r="82" spans="1:17" ht="15.75" thickBot="1">
      <c r="A82" s="356"/>
      <c r="B82" s="356"/>
      <c r="C82" s="55" t="s">
        <v>13585</v>
      </c>
      <c r="D82" s="359">
        <v>0</v>
      </c>
      <c r="E82" s="359">
        <v>0</v>
      </c>
      <c r="F82" s="359">
        <v>0</v>
      </c>
      <c r="G82" s="359">
        <v>0</v>
      </c>
      <c r="H82" s="359">
        <v>0</v>
      </c>
      <c r="I82" s="359">
        <v>0</v>
      </c>
      <c r="J82" s="359">
        <v>0</v>
      </c>
      <c r="K82" s="359">
        <v>0</v>
      </c>
      <c r="L82" s="359">
        <v>0</v>
      </c>
      <c r="M82" s="359">
        <v>0</v>
      </c>
      <c r="N82" s="513">
        <v>136</v>
      </c>
      <c r="O82" s="513">
        <v>167</v>
      </c>
      <c r="Q82" s="356" t="s">
        <v>4364</v>
      </c>
    </row>
    <row r="83" spans="1:17" ht="15.75" thickBot="1">
      <c r="A83" s="356"/>
      <c r="B83" s="356"/>
      <c r="C83" s="55" t="s">
        <v>13585</v>
      </c>
      <c r="D83" s="515">
        <f>D81+D82</f>
        <v>0</v>
      </c>
      <c r="E83" s="515">
        <f t="shared" ref="E83:N83" si="32">E81+E82</f>
        <v>0</v>
      </c>
      <c r="F83" s="515">
        <f t="shared" si="32"/>
        <v>0</v>
      </c>
      <c r="G83" s="515">
        <f t="shared" si="32"/>
        <v>0</v>
      </c>
      <c r="H83" s="515">
        <f t="shared" si="32"/>
        <v>0</v>
      </c>
      <c r="I83" s="515">
        <f t="shared" si="32"/>
        <v>0</v>
      </c>
      <c r="J83" s="515">
        <f t="shared" si="32"/>
        <v>0</v>
      </c>
      <c r="K83" s="515">
        <f t="shared" si="32"/>
        <v>0</v>
      </c>
      <c r="L83" s="515">
        <f t="shared" si="32"/>
        <v>0</v>
      </c>
      <c r="M83" s="515">
        <f t="shared" si="32"/>
        <v>0</v>
      </c>
      <c r="N83" s="515">
        <f t="shared" si="32"/>
        <v>4903</v>
      </c>
      <c r="O83" s="515">
        <f>O81+O82</f>
        <v>5075</v>
      </c>
      <c r="Q83" s="356"/>
    </row>
    <row r="84" spans="1:17">
      <c r="A84" s="356" t="s">
        <v>5437</v>
      </c>
      <c r="B84" s="356" t="s">
        <v>13587</v>
      </c>
      <c r="C84" s="55" t="s">
        <v>13586</v>
      </c>
      <c r="D84" s="359">
        <v>0</v>
      </c>
      <c r="E84" s="359">
        <v>0</v>
      </c>
      <c r="F84" s="359">
        <v>0</v>
      </c>
      <c r="G84" s="359">
        <v>0</v>
      </c>
      <c r="H84" s="359">
        <v>0</v>
      </c>
      <c r="I84" s="359">
        <v>0</v>
      </c>
      <c r="J84" s="359">
        <v>0</v>
      </c>
      <c r="K84" s="359">
        <v>0</v>
      </c>
      <c r="L84" s="359">
        <v>0</v>
      </c>
      <c r="M84" s="359">
        <v>0</v>
      </c>
      <c r="N84" s="58">
        <v>3403</v>
      </c>
      <c r="O84" s="58">
        <v>3482</v>
      </c>
      <c r="Q84" s="356" t="s">
        <v>4362</v>
      </c>
    </row>
    <row r="85" spans="1:17">
      <c r="A85" s="356" t="s">
        <v>5439</v>
      </c>
      <c r="B85" s="356" t="s">
        <v>13589</v>
      </c>
      <c r="C85" s="55" t="s">
        <v>13588</v>
      </c>
      <c r="D85" s="359">
        <v>0</v>
      </c>
      <c r="E85" s="359">
        <v>0</v>
      </c>
      <c r="F85" s="359">
        <v>0</v>
      </c>
      <c r="G85" s="359">
        <v>0</v>
      </c>
      <c r="H85" s="359">
        <v>0</v>
      </c>
      <c r="I85" s="359">
        <v>0</v>
      </c>
      <c r="J85" s="359">
        <v>0</v>
      </c>
      <c r="K85" s="359">
        <v>0</v>
      </c>
      <c r="L85" s="359">
        <v>0</v>
      </c>
      <c r="M85" s="359">
        <v>0</v>
      </c>
      <c r="N85" s="58">
        <v>3229</v>
      </c>
      <c r="O85" s="58">
        <v>3311</v>
      </c>
      <c r="Q85" s="356" t="s">
        <v>4362</v>
      </c>
    </row>
    <row r="86" spans="1:17">
      <c r="A86" s="356" t="s">
        <v>5441</v>
      </c>
      <c r="B86" s="356" t="s">
        <v>3507</v>
      </c>
      <c r="C86" s="55" t="s">
        <v>13590</v>
      </c>
      <c r="D86" s="359">
        <v>0</v>
      </c>
      <c r="E86" s="359">
        <v>0</v>
      </c>
      <c r="F86" s="359">
        <v>0</v>
      </c>
      <c r="G86" s="359">
        <v>0</v>
      </c>
      <c r="H86" s="359">
        <v>0</v>
      </c>
      <c r="I86" s="359">
        <v>0</v>
      </c>
      <c r="J86" s="359">
        <v>0</v>
      </c>
      <c r="K86" s="359">
        <v>0</v>
      </c>
      <c r="L86" s="359">
        <v>0</v>
      </c>
      <c r="M86" s="359">
        <v>0</v>
      </c>
      <c r="N86" s="58">
        <v>3342</v>
      </c>
      <c r="O86" s="58">
        <v>3432</v>
      </c>
      <c r="Q86" s="356" t="s">
        <v>4364</v>
      </c>
    </row>
    <row r="87" spans="1:17">
      <c r="A87" s="356" t="s">
        <v>5886</v>
      </c>
      <c r="B87" s="356" t="s">
        <v>3508</v>
      </c>
      <c r="C87" s="55" t="s">
        <v>13591</v>
      </c>
      <c r="D87" s="359">
        <v>0</v>
      </c>
      <c r="E87" s="359">
        <v>0</v>
      </c>
      <c r="F87" s="359">
        <v>0</v>
      </c>
      <c r="G87" s="359">
        <v>0</v>
      </c>
      <c r="H87" s="359">
        <v>0</v>
      </c>
      <c r="I87" s="359">
        <v>0</v>
      </c>
      <c r="J87" s="359">
        <v>0</v>
      </c>
      <c r="K87" s="359">
        <v>0</v>
      </c>
      <c r="L87" s="359">
        <v>0</v>
      </c>
      <c r="M87" s="359">
        <v>0</v>
      </c>
      <c r="N87" s="58">
        <v>4929</v>
      </c>
      <c r="O87" s="58">
        <v>5074</v>
      </c>
      <c r="Q87" s="356" t="s">
        <v>4364</v>
      </c>
    </row>
    <row r="88" spans="1:17">
      <c r="A88" s="356" t="s">
        <v>5888</v>
      </c>
      <c r="B88" s="356" t="s">
        <v>3509</v>
      </c>
      <c r="C88" s="55" t="s">
        <v>13592</v>
      </c>
      <c r="D88" s="359">
        <v>0</v>
      </c>
      <c r="E88" s="359">
        <v>0</v>
      </c>
      <c r="F88" s="359">
        <v>0</v>
      </c>
      <c r="G88" s="359">
        <v>0</v>
      </c>
      <c r="H88" s="359">
        <v>0</v>
      </c>
      <c r="I88" s="359">
        <v>0</v>
      </c>
      <c r="J88" s="359">
        <v>0</v>
      </c>
      <c r="K88" s="359">
        <v>0</v>
      </c>
      <c r="L88" s="359">
        <v>0</v>
      </c>
      <c r="M88" s="359">
        <v>0</v>
      </c>
      <c r="N88" s="58">
        <v>4892</v>
      </c>
      <c r="O88" s="58">
        <v>4987</v>
      </c>
      <c r="Q88" s="356" t="s">
        <v>4364</v>
      </c>
    </row>
    <row r="89" spans="1:17">
      <c r="A89" s="516">
        <v>23</v>
      </c>
      <c r="B89" s="356" t="s">
        <v>13594</v>
      </c>
      <c r="C89" s="55" t="s">
        <v>13593</v>
      </c>
      <c r="D89" s="359">
        <v>0</v>
      </c>
      <c r="E89" s="359">
        <v>0</v>
      </c>
      <c r="F89" s="359">
        <v>0</v>
      </c>
      <c r="G89" s="359">
        <v>0</v>
      </c>
      <c r="H89" s="359">
        <v>0</v>
      </c>
      <c r="I89" s="359">
        <v>0</v>
      </c>
      <c r="J89" s="359">
        <v>0</v>
      </c>
      <c r="K89" s="359">
        <v>0</v>
      </c>
      <c r="L89" s="359">
        <v>0</v>
      </c>
      <c r="M89" s="359">
        <v>0</v>
      </c>
      <c r="N89" s="56">
        <v>3799</v>
      </c>
      <c r="O89" s="56">
        <v>3908</v>
      </c>
      <c r="Q89" s="356" t="s">
        <v>4364</v>
      </c>
    </row>
    <row r="90" spans="1:17">
      <c r="A90" s="516">
        <v>24</v>
      </c>
      <c r="B90" s="356" t="s">
        <v>5018</v>
      </c>
      <c r="C90" s="55" t="s">
        <v>13595</v>
      </c>
      <c r="D90" s="359">
        <v>0</v>
      </c>
      <c r="E90" s="359">
        <v>0</v>
      </c>
      <c r="F90" s="359">
        <v>0</v>
      </c>
      <c r="G90" s="359">
        <v>0</v>
      </c>
      <c r="H90" s="359">
        <v>0</v>
      </c>
      <c r="I90" s="359">
        <v>0</v>
      </c>
      <c r="J90" s="359">
        <v>0</v>
      </c>
      <c r="K90" s="359">
        <v>0</v>
      </c>
      <c r="L90" s="359">
        <v>0</v>
      </c>
      <c r="M90" s="359">
        <v>0</v>
      </c>
      <c r="N90" s="58">
        <v>3436</v>
      </c>
      <c r="O90" s="58">
        <v>3479</v>
      </c>
      <c r="Q90" s="356" t="s">
        <v>4364</v>
      </c>
    </row>
    <row r="92" spans="1:17">
      <c r="A92" s="356" t="s">
        <v>5019</v>
      </c>
      <c r="D92" s="359">
        <f t="shared" ref="D92:M92" si="33">SUM(D65:D66,D71:D72,D74:D75,D81,D84:D85)</f>
        <v>38313</v>
      </c>
      <c r="E92" s="359">
        <f t="shared" si="33"/>
        <v>38199</v>
      </c>
      <c r="F92" s="359">
        <f t="shared" si="33"/>
        <v>38234</v>
      </c>
      <c r="G92" s="359">
        <f t="shared" si="33"/>
        <v>38280</v>
      </c>
      <c r="H92" s="359">
        <f t="shared" si="33"/>
        <v>37846</v>
      </c>
      <c r="I92" s="359">
        <f t="shared" si="33"/>
        <v>36463</v>
      </c>
      <c r="J92" s="359">
        <f t="shared" si="33"/>
        <v>36340</v>
      </c>
      <c r="K92" s="359">
        <f t="shared" si="33"/>
        <v>37396</v>
      </c>
      <c r="L92" s="359">
        <f t="shared" si="33"/>
        <v>37554</v>
      </c>
      <c r="M92" s="359">
        <f t="shared" si="33"/>
        <v>37486</v>
      </c>
      <c r="N92" s="359">
        <f>SUM(N65:N66,N71:N72,N74:N75,N81,N84:N85)</f>
        <v>37426</v>
      </c>
      <c r="O92" s="359">
        <f>SUM(O65:O66,O71:O72,O74:O75,O81,O84:O85)</f>
        <v>38456</v>
      </c>
    </row>
    <row r="93" spans="1:17">
      <c r="A93" s="356" t="s">
        <v>4364</v>
      </c>
      <c r="D93" s="359">
        <f t="shared" ref="D93:M93" si="34">SUM(D67:D70,D73,D76:D80,D82,D86:D90)</f>
        <v>67405</v>
      </c>
      <c r="E93" s="359">
        <f t="shared" si="34"/>
        <v>67195</v>
      </c>
      <c r="F93" s="359">
        <f t="shared" si="34"/>
        <v>67558</v>
      </c>
      <c r="G93" s="359">
        <f t="shared" si="34"/>
        <v>67539</v>
      </c>
      <c r="H93" s="359">
        <f t="shared" si="34"/>
        <v>66375</v>
      </c>
      <c r="I93" s="359">
        <f t="shared" si="34"/>
        <v>63768</v>
      </c>
      <c r="J93" s="359">
        <f t="shared" si="34"/>
        <v>64025</v>
      </c>
      <c r="K93" s="359">
        <f t="shared" si="34"/>
        <v>65589</v>
      </c>
      <c r="L93" s="359">
        <f t="shared" si="34"/>
        <v>65524</v>
      </c>
      <c r="M93" s="359">
        <f t="shared" si="34"/>
        <v>65270</v>
      </c>
      <c r="N93" s="359">
        <f>SUM(N67:N70,N73,N76:N80,N82,N86:N90)</f>
        <v>64805</v>
      </c>
      <c r="O93" s="359">
        <f>SUM(O67:O70,O73,O76:O80,O82,O86:O90)</f>
        <v>66423</v>
      </c>
    </row>
    <row r="95" spans="1:17">
      <c r="A95" s="356" t="s">
        <v>13596</v>
      </c>
    </row>
    <row r="96" spans="1:17">
      <c r="A96" s="356"/>
    </row>
    <row r="97" spans="1:17">
      <c r="A97" s="356"/>
      <c r="D97" s="507"/>
      <c r="E97" s="507"/>
      <c r="F97" s="507"/>
      <c r="G97" s="507"/>
      <c r="H97" s="507"/>
      <c r="I97" s="507"/>
      <c r="J97" s="507"/>
      <c r="K97" s="507"/>
      <c r="L97" s="507"/>
      <c r="M97" s="138"/>
      <c r="N97" s="138"/>
      <c r="O97" s="138"/>
      <c r="P97" s="138"/>
      <c r="Q97" s="138"/>
    </row>
    <row r="101" spans="1:17">
      <c r="A101" s="356"/>
    </row>
  </sheetData>
  <phoneticPr fontId="6" type="noConversion"/>
  <printOptions gridLinesSet="0"/>
  <pageMargins left="0.78740157480314965" right="0" top="0.51181102362204722" bottom="0.51181102362204722" header="0.51181102362204722" footer="0.51181102362204722"/>
  <pageSetup paperSize="9" scale="63" orientation="portrait" horizontalDpi="300" verticalDpi="300" r:id="rId1"/>
  <headerFooter alignWithMargins="0">
    <oddFooter>&amp;C&amp;"Times New Roman,Regular"&amp;8&amp;P of &amp;N</oddFooter>
  </headerFooter>
  <rowBreaks count="1" manualBreakCount="1">
    <brk id="24" max="16383" man="1"/>
  </rowBreaks>
  <ignoredErrors>
    <ignoredError sqref="D3:J23 D33:K33 D41:K41 D52:K52 D28:K28 K3:K19 K21:K23 D57:K57 L91 L3:L63" unlocked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dimension ref="A1:Q45"/>
  <sheetViews>
    <sheetView showGridLines="0" zoomScale="90" zoomScaleNormal="90" workbookViewId="0">
      <selection activeCell="O3" sqref="O3"/>
    </sheetView>
  </sheetViews>
  <sheetFormatPr defaultColWidth="12.5703125" defaultRowHeight="15"/>
  <cols>
    <col min="1" max="1" width="4.85546875" style="138" customWidth="1"/>
    <col min="2" max="2" width="37.7109375" style="138" customWidth="1"/>
    <col min="3" max="3" width="11.5703125" style="138" customWidth="1"/>
    <col min="4" max="15" width="10" style="138" customWidth="1"/>
    <col min="16" max="16" width="2.42578125" style="138" customWidth="1"/>
    <col min="17" max="17" width="33.140625" style="138" customWidth="1"/>
    <col min="18" max="16384" width="12.5703125" style="138"/>
  </cols>
  <sheetData>
    <row r="1" spans="1:17">
      <c r="A1" s="506" t="s">
        <v>6924</v>
      </c>
      <c r="D1" s="507">
        <v>2010</v>
      </c>
      <c r="E1" s="507">
        <v>2011</v>
      </c>
      <c r="F1" s="507">
        <v>2012</v>
      </c>
      <c r="G1" s="507">
        <v>2013</v>
      </c>
      <c r="H1" s="507">
        <v>2014</v>
      </c>
      <c r="I1" s="507">
        <v>2015</v>
      </c>
      <c r="J1" s="507">
        <v>2016</v>
      </c>
      <c r="K1" s="507">
        <v>2017</v>
      </c>
      <c r="L1" s="507">
        <v>2018</v>
      </c>
      <c r="M1" s="507">
        <v>2019</v>
      </c>
      <c r="N1" s="507">
        <v>2020</v>
      </c>
      <c r="O1" s="955" t="s">
        <v>14823</v>
      </c>
    </row>
    <row r="3" spans="1:17">
      <c r="A3" s="506" t="s">
        <v>4251</v>
      </c>
      <c r="D3" s="508">
        <f t="shared" ref="D3:L3" si="0">SUM(D17:D21)+D23+D24+D25+SUM(D27:D29)+D30+D31+SUM(D33:D42)</f>
        <v>168892</v>
      </c>
      <c r="E3" s="508">
        <f t="shared" si="0"/>
        <v>166778</v>
      </c>
      <c r="F3" s="508">
        <f t="shared" si="0"/>
        <v>171221</v>
      </c>
      <c r="G3" s="508">
        <f t="shared" si="0"/>
        <v>174497</v>
      </c>
      <c r="H3" s="508">
        <f t="shared" si="0"/>
        <v>177085</v>
      </c>
      <c r="I3" s="508">
        <f t="shared" si="0"/>
        <v>172712</v>
      </c>
      <c r="J3" s="508">
        <f t="shared" si="0"/>
        <v>169933</v>
      </c>
      <c r="K3" s="508">
        <f t="shared" si="0"/>
        <v>178749</v>
      </c>
      <c r="L3" s="508">
        <f t="shared" si="0"/>
        <v>180641</v>
      </c>
      <c r="M3" s="508">
        <f>SUM(M17:M21)+M23+M24+M25+SUM(M27:M29)+M30+M31+SUM(M33:M42)</f>
        <v>179654</v>
      </c>
      <c r="N3" s="508">
        <f>SUM(N17:N21)+N23+N24+N25+SUM(N27:N29)+N30+N31+SUM(N33:N42)</f>
        <v>188562</v>
      </c>
      <c r="O3" s="508">
        <f>SUM(O17:O21)+O23+O24+O25+SUM(O27:O29)+O30+O31+SUM(O33:O42)</f>
        <v>188273</v>
      </c>
    </row>
    <row r="4" spans="1:17">
      <c r="D4" s="509"/>
      <c r="E4" s="509"/>
      <c r="F4" s="509"/>
      <c r="G4" s="509"/>
      <c r="H4" s="509"/>
      <c r="I4" s="509"/>
      <c r="J4" s="509"/>
      <c r="K4" s="509"/>
      <c r="L4" s="509"/>
      <c r="M4" s="509"/>
      <c r="N4" s="509"/>
      <c r="O4" s="509"/>
    </row>
    <row r="5" spans="1:17">
      <c r="A5" s="506" t="s">
        <v>2476</v>
      </c>
      <c r="D5" s="510">
        <f t="shared" ref="D5:L5" si="1">D3/2</f>
        <v>84446</v>
      </c>
      <c r="E5" s="510">
        <f t="shared" si="1"/>
        <v>83389</v>
      </c>
      <c r="F5" s="510">
        <f t="shared" si="1"/>
        <v>85610.5</v>
      </c>
      <c r="G5" s="510">
        <f t="shared" si="1"/>
        <v>87248.5</v>
      </c>
      <c r="H5" s="510">
        <f t="shared" si="1"/>
        <v>88542.5</v>
      </c>
      <c r="I5" s="510">
        <f t="shared" si="1"/>
        <v>86356</v>
      </c>
      <c r="J5" s="510">
        <f t="shared" si="1"/>
        <v>84966.5</v>
      </c>
      <c r="K5" s="510">
        <f t="shared" si="1"/>
        <v>89374.5</v>
      </c>
      <c r="L5" s="510">
        <f t="shared" si="1"/>
        <v>90320.5</v>
      </c>
      <c r="M5" s="510">
        <f>M3/2</f>
        <v>89827</v>
      </c>
      <c r="N5" s="510">
        <f>N3/2</f>
        <v>94281</v>
      </c>
      <c r="O5" s="510">
        <f>O3/2</f>
        <v>94136.5</v>
      </c>
    </row>
    <row r="6" spans="1:17">
      <c r="D6" s="509"/>
      <c r="E6" s="509"/>
      <c r="F6" s="509"/>
      <c r="G6" s="509"/>
      <c r="H6" s="509"/>
      <c r="I6" s="509"/>
      <c r="J6" s="509"/>
      <c r="K6" s="509"/>
      <c r="L6" s="509"/>
      <c r="M6" s="509"/>
      <c r="N6" s="509"/>
      <c r="O6" s="509"/>
    </row>
    <row r="7" spans="1:17">
      <c r="A7" s="506" t="s">
        <v>4252</v>
      </c>
      <c r="D7" s="510">
        <f t="shared" ref="D7:L7" si="2">D20+D23+D24+D27+D30+SUM(D33:D35)+D37+D40+D41</f>
        <v>81991</v>
      </c>
      <c r="E7" s="510">
        <f t="shared" si="2"/>
        <v>81226</v>
      </c>
      <c r="F7" s="510">
        <f t="shared" si="2"/>
        <v>83919</v>
      </c>
      <c r="G7" s="510">
        <f t="shared" si="2"/>
        <v>85537</v>
      </c>
      <c r="H7" s="510">
        <f t="shared" si="2"/>
        <v>87028</v>
      </c>
      <c r="I7" s="510">
        <f t="shared" si="2"/>
        <v>84679</v>
      </c>
      <c r="J7" s="510">
        <f t="shared" si="2"/>
        <v>83348</v>
      </c>
      <c r="K7" s="510">
        <f t="shared" si="2"/>
        <v>87756</v>
      </c>
      <c r="L7" s="510">
        <f t="shared" si="2"/>
        <v>88630</v>
      </c>
      <c r="M7" s="510">
        <f>M20+M23+M24+M27+M30+SUM(M33:M35)+M37+M40+M41</f>
        <v>87654</v>
      </c>
      <c r="N7" s="510">
        <f>N20+N23+N24+N27+N30+SUM(N33:N35)+N37+N40+N41</f>
        <v>91891</v>
      </c>
      <c r="O7" s="510">
        <f>O20+O23+O24+O27+O30+SUM(O33:O35)+O37+O40+O41</f>
        <v>91730</v>
      </c>
      <c r="Q7" s="506" t="s">
        <v>4253</v>
      </c>
    </row>
    <row r="8" spans="1:17">
      <c r="D8" s="509"/>
      <c r="E8" s="509"/>
      <c r="F8" s="509"/>
      <c r="G8" s="509"/>
      <c r="H8" s="509"/>
      <c r="I8" s="509"/>
      <c r="J8" s="509"/>
      <c r="K8" s="509"/>
      <c r="L8" s="509"/>
      <c r="M8" s="509"/>
      <c r="N8" s="509"/>
      <c r="O8" s="509"/>
    </row>
    <row r="9" spans="1:17">
      <c r="A9" s="506" t="s">
        <v>4254</v>
      </c>
      <c r="D9" s="510">
        <f t="shared" ref="D9:L9" si="3">SUM(D17:D19)+D21+D25+D28+D29+D31+D36+D38+D39+D42</f>
        <v>86901</v>
      </c>
      <c r="E9" s="510">
        <f t="shared" si="3"/>
        <v>85552</v>
      </c>
      <c r="F9" s="510">
        <f t="shared" si="3"/>
        <v>87302</v>
      </c>
      <c r="G9" s="510">
        <f t="shared" si="3"/>
        <v>88960</v>
      </c>
      <c r="H9" s="510">
        <f t="shared" si="3"/>
        <v>90057</v>
      </c>
      <c r="I9" s="510">
        <f t="shared" si="3"/>
        <v>88033</v>
      </c>
      <c r="J9" s="510">
        <f t="shared" si="3"/>
        <v>86585</v>
      </c>
      <c r="K9" s="510">
        <f t="shared" si="3"/>
        <v>90993</v>
      </c>
      <c r="L9" s="510">
        <f t="shared" si="3"/>
        <v>92011</v>
      </c>
      <c r="M9" s="510">
        <f>SUM(M17:M19)+M21+M25+M28+M29+M31+M36+M38+M39+M42</f>
        <v>92000</v>
      </c>
      <c r="N9" s="510">
        <f>SUM(N17:N19)+N21+N25+N28+N29+N31+N36+N38+N39+N42</f>
        <v>96671</v>
      </c>
      <c r="O9" s="510">
        <f>SUM(O17:O19)+O21+O25+O28+O29+O31+O36+O38+O39+O42</f>
        <v>96543</v>
      </c>
      <c r="Q9" s="506" t="s">
        <v>4253</v>
      </c>
    </row>
    <row r="10" spans="1:17">
      <c r="D10" s="509"/>
      <c r="E10" s="509"/>
      <c r="F10" s="509"/>
      <c r="G10" s="509"/>
      <c r="H10" s="509"/>
      <c r="I10" s="509"/>
      <c r="J10" s="509"/>
      <c r="K10" s="509"/>
      <c r="L10" s="509"/>
      <c r="M10" s="509"/>
      <c r="N10" s="509"/>
      <c r="O10" s="509"/>
    </row>
    <row r="11" spans="1:17">
      <c r="A11" s="506" t="s">
        <v>6796</v>
      </c>
      <c r="D11" s="510">
        <f>D7+D9</f>
        <v>168892</v>
      </c>
      <c r="E11" s="510">
        <f>E7+E9</f>
        <v>166778</v>
      </c>
      <c r="F11" s="510">
        <f>F7+F9</f>
        <v>171221</v>
      </c>
      <c r="G11" s="510">
        <f>G7+G9</f>
        <v>174497</v>
      </c>
      <c r="H11" s="510">
        <f t="shared" ref="H11:O11" si="4">H9+H7</f>
        <v>177085</v>
      </c>
      <c r="I11" s="510">
        <f t="shared" si="4"/>
        <v>172712</v>
      </c>
      <c r="J11" s="510">
        <f t="shared" si="4"/>
        <v>169933</v>
      </c>
      <c r="K11" s="510">
        <f t="shared" si="4"/>
        <v>178749</v>
      </c>
      <c r="L11" s="510">
        <f t="shared" si="4"/>
        <v>180641</v>
      </c>
      <c r="M11" s="510">
        <f t="shared" si="4"/>
        <v>179654</v>
      </c>
      <c r="N11" s="510">
        <f t="shared" si="4"/>
        <v>188562</v>
      </c>
      <c r="O11" s="510">
        <f t="shared" si="4"/>
        <v>188273</v>
      </c>
    </row>
    <row r="12" spans="1:17">
      <c r="D12" s="509"/>
      <c r="E12" s="509"/>
      <c r="F12" s="509"/>
      <c r="G12" s="509"/>
      <c r="H12" s="509"/>
      <c r="I12" s="509"/>
      <c r="J12" s="509"/>
      <c r="K12" s="509"/>
      <c r="L12" s="509"/>
      <c r="M12" s="509"/>
      <c r="N12" s="509"/>
      <c r="O12" s="509"/>
    </row>
    <row r="13" spans="1:17">
      <c r="A13" s="506" t="s">
        <v>6797</v>
      </c>
      <c r="D13" s="510">
        <f>MAX(D7,D9)-MIN(D7,D9)</f>
        <v>4910</v>
      </c>
      <c r="E13" s="510">
        <f>MAX(E7,E9)-MIN(E7,E9)</f>
        <v>4326</v>
      </c>
      <c r="F13" s="510">
        <f>MAX(F7,F9)-MIN(F7,F9)</f>
        <v>3383</v>
      </c>
      <c r="G13" s="510">
        <f>MAX(G7,G9)-MIN(G7,G9)</f>
        <v>3423</v>
      </c>
      <c r="H13" s="510">
        <f t="shared" ref="H13:O13" si="5">MAX(H9,H7)-MIN(H9,H7)</f>
        <v>3029</v>
      </c>
      <c r="I13" s="510">
        <f t="shared" si="5"/>
        <v>3354</v>
      </c>
      <c r="J13" s="510">
        <f t="shared" si="5"/>
        <v>3237</v>
      </c>
      <c r="K13" s="510">
        <f t="shared" si="5"/>
        <v>3237</v>
      </c>
      <c r="L13" s="510">
        <f t="shared" si="5"/>
        <v>3381</v>
      </c>
      <c r="M13" s="510">
        <f t="shared" si="5"/>
        <v>4346</v>
      </c>
      <c r="N13" s="510">
        <f t="shared" si="5"/>
        <v>4780</v>
      </c>
      <c r="O13" s="510">
        <f t="shared" si="5"/>
        <v>4813</v>
      </c>
    </row>
    <row r="14" spans="1:17">
      <c r="D14" s="509"/>
      <c r="E14" s="509"/>
      <c r="F14" s="509"/>
      <c r="G14" s="509"/>
      <c r="H14" s="509"/>
      <c r="I14" s="509"/>
      <c r="J14" s="509"/>
      <c r="K14" s="509"/>
      <c r="L14" s="509"/>
      <c r="M14" s="509"/>
      <c r="N14" s="509"/>
      <c r="O14" s="509"/>
    </row>
    <row r="15" spans="1:17">
      <c r="A15" s="511" t="s">
        <v>6800</v>
      </c>
      <c r="D15" s="510">
        <f>STDEVP(D7,D9)</f>
        <v>2455</v>
      </c>
      <c r="E15" s="510">
        <f>STDEVP(E7,E9)</f>
        <v>2163</v>
      </c>
      <c r="F15" s="510">
        <f>STDEVP(F7,F9)</f>
        <v>1691.5</v>
      </c>
      <c r="G15" s="510">
        <f>STDEVP(G7,G9)</f>
        <v>1711.5</v>
      </c>
      <c r="H15" s="510">
        <f t="shared" ref="H15:O15" si="6">STDEVP(H9,H7)</f>
        <v>1514.5</v>
      </c>
      <c r="I15" s="510">
        <f t="shared" si="6"/>
        <v>1677</v>
      </c>
      <c r="J15" s="510">
        <f t="shared" si="6"/>
        <v>1618.5</v>
      </c>
      <c r="K15" s="510">
        <f t="shared" si="6"/>
        <v>1618.5</v>
      </c>
      <c r="L15" s="510">
        <f t="shared" si="6"/>
        <v>1690.5</v>
      </c>
      <c r="M15" s="510">
        <f t="shared" si="6"/>
        <v>2173</v>
      </c>
      <c r="N15" s="510">
        <f t="shared" si="6"/>
        <v>2390</v>
      </c>
      <c r="O15" s="510">
        <f t="shared" si="6"/>
        <v>2406.5</v>
      </c>
    </row>
    <row r="17" spans="1:17">
      <c r="A17" s="506" t="s">
        <v>5387</v>
      </c>
      <c r="B17" s="506" t="s">
        <v>9714</v>
      </c>
      <c r="C17" s="62" t="s">
        <v>9727</v>
      </c>
      <c r="D17" s="510">
        <v>86901</v>
      </c>
      <c r="E17" s="510">
        <v>85552</v>
      </c>
      <c r="F17" s="510">
        <v>87302</v>
      </c>
      <c r="G17" s="56">
        <v>88960</v>
      </c>
      <c r="H17" s="56">
        <v>90057</v>
      </c>
      <c r="I17" s="56">
        <v>9252</v>
      </c>
      <c r="J17" s="56">
        <v>9140</v>
      </c>
      <c r="K17" s="56">
        <v>9935</v>
      </c>
      <c r="L17" s="56">
        <v>10320</v>
      </c>
      <c r="M17" s="56">
        <v>10490</v>
      </c>
      <c r="N17" s="56">
        <v>11174</v>
      </c>
      <c r="O17" s="56">
        <v>11154</v>
      </c>
      <c r="Q17" s="506" t="s">
        <v>4254</v>
      </c>
    </row>
    <row r="18" spans="1:17">
      <c r="A18" s="506" t="s">
        <v>5389</v>
      </c>
      <c r="B18" s="506" t="s">
        <v>9715</v>
      </c>
      <c r="C18" s="62" t="s">
        <v>9728</v>
      </c>
      <c r="D18" s="508">
        <v>0</v>
      </c>
      <c r="E18" s="508">
        <v>0</v>
      </c>
      <c r="F18" s="508">
        <v>0</v>
      </c>
      <c r="G18" s="56">
        <v>0</v>
      </c>
      <c r="H18" s="56">
        <v>0</v>
      </c>
      <c r="I18" s="56">
        <v>10324</v>
      </c>
      <c r="J18" s="56">
        <v>10204</v>
      </c>
      <c r="K18" s="56">
        <v>10553</v>
      </c>
      <c r="L18" s="56">
        <v>10697</v>
      </c>
      <c r="M18" s="56">
        <v>10598</v>
      </c>
      <c r="N18" s="56">
        <v>10841</v>
      </c>
      <c r="O18" s="56">
        <v>10824</v>
      </c>
      <c r="Q18" s="506" t="s">
        <v>4254</v>
      </c>
    </row>
    <row r="19" spans="1:17">
      <c r="A19" s="506" t="s">
        <v>5391</v>
      </c>
      <c r="B19" s="506" t="s">
        <v>9716</v>
      </c>
      <c r="C19" s="62" t="s">
        <v>9729</v>
      </c>
      <c r="D19" s="510">
        <v>0</v>
      </c>
      <c r="E19" s="510">
        <v>0</v>
      </c>
      <c r="F19" s="510">
        <v>0</v>
      </c>
      <c r="G19" s="56">
        <v>0</v>
      </c>
      <c r="H19" s="56">
        <v>0</v>
      </c>
      <c r="I19" s="56">
        <v>10347</v>
      </c>
      <c r="J19" s="56">
        <v>10136</v>
      </c>
      <c r="K19" s="56">
        <v>10549</v>
      </c>
      <c r="L19" s="56">
        <v>10519</v>
      </c>
      <c r="M19" s="56">
        <v>10368</v>
      </c>
      <c r="N19" s="56">
        <v>10627</v>
      </c>
      <c r="O19" s="56">
        <v>10614</v>
      </c>
      <c r="Q19" s="506" t="s">
        <v>4254</v>
      </c>
    </row>
    <row r="20" spans="1:17">
      <c r="A20" s="506" t="s">
        <v>5393</v>
      </c>
      <c r="B20" s="506" t="s">
        <v>4037</v>
      </c>
      <c r="C20" s="62" t="s">
        <v>9730</v>
      </c>
      <c r="D20" s="510">
        <v>0</v>
      </c>
      <c r="E20" s="510">
        <v>0</v>
      </c>
      <c r="F20" s="510">
        <v>0</v>
      </c>
      <c r="G20" s="56">
        <v>0</v>
      </c>
      <c r="H20" s="56">
        <v>0</v>
      </c>
      <c r="I20" s="56">
        <v>6001</v>
      </c>
      <c r="J20" s="56">
        <v>5882</v>
      </c>
      <c r="K20" s="56">
        <v>6067</v>
      </c>
      <c r="L20" s="56">
        <v>6142</v>
      </c>
      <c r="M20" s="56">
        <v>6078</v>
      </c>
      <c r="N20" s="56">
        <v>6288</v>
      </c>
      <c r="O20" s="56">
        <v>6277</v>
      </c>
      <c r="Q20" s="506" t="s">
        <v>4252</v>
      </c>
    </row>
    <row r="21" spans="1:17" ht="15.75" thickBot="1">
      <c r="A21" s="506"/>
      <c r="B21" s="506"/>
      <c r="C21" s="62" t="s">
        <v>9730</v>
      </c>
      <c r="D21" s="510">
        <v>0</v>
      </c>
      <c r="E21" s="510">
        <v>0</v>
      </c>
      <c r="F21" s="510">
        <v>0</v>
      </c>
      <c r="G21" s="56">
        <v>0</v>
      </c>
      <c r="H21" s="56">
        <v>0</v>
      </c>
      <c r="I21" s="56">
        <v>3087</v>
      </c>
      <c r="J21" s="56">
        <v>2991</v>
      </c>
      <c r="K21" s="56">
        <v>3070</v>
      </c>
      <c r="L21" s="56">
        <v>3015</v>
      </c>
      <c r="M21" s="56">
        <v>2937</v>
      </c>
      <c r="N21" s="56">
        <v>3005</v>
      </c>
      <c r="O21" s="56">
        <v>3005</v>
      </c>
      <c r="Q21" s="506" t="s">
        <v>4254</v>
      </c>
    </row>
    <row r="22" spans="1:17" ht="15.75" thickBot="1">
      <c r="A22" s="506"/>
      <c r="B22" s="506"/>
      <c r="C22" s="62" t="s">
        <v>9730</v>
      </c>
      <c r="D22" s="512">
        <f>D20+D21</f>
        <v>0</v>
      </c>
      <c r="E22" s="512">
        <f>E20+E21</f>
        <v>0</v>
      </c>
      <c r="F22" s="512">
        <f>F20+F21</f>
        <v>0</v>
      </c>
      <c r="G22" s="512">
        <f>G20+G21</f>
        <v>0</v>
      </c>
      <c r="H22" s="512">
        <f>H20+H21</f>
        <v>0</v>
      </c>
      <c r="I22" s="512">
        <f t="shared" ref="I22:N22" si="7">I20+I21</f>
        <v>9088</v>
      </c>
      <c r="J22" s="512">
        <f t="shared" si="7"/>
        <v>8873</v>
      </c>
      <c r="K22" s="512">
        <f t="shared" si="7"/>
        <v>9137</v>
      </c>
      <c r="L22" s="512">
        <f t="shared" si="7"/>
        <v>9157</v>
      </c>
      <c r="M22" s="512">
        <f t="shared" si="7"/>
        <v>9015</v>
      </c>
      <c r="N22" s="512">
        <f t="shared" si="7"/>
        <v>9293</v>
      </c>
      <c r="O22" s="512">
        <f>O20+O21</f>
        <v>9282</v>
      </c>
      <c r="Q22" s="506"/>
    </row>
    <row r="23" spans="1:17">
      <c r="A23" s="506" t="s">
        <v>5394</v>
      </c>
      <c r="B23" s="506" t="s">
        <v>4967</v>
      </c>
      <c r="C23" s="62" t="s">
        <v>9731</v>
      </c>
      <c r="D23" s="56">
        <v>0</v>
      </c>
      <c r="E23" s="56">
        <v>0</v>
      </c>
      <c r="F23" s="56">
        <v>0</v>
      </c>
      <c r="G23" s="56">
        <v>0</v>
      </c>
      <c r="H23" s="56">
        <v>0</v>
      </c>
      <c r="I23" s="56">
        <v>7960</v>
      </c>
      <c r="J23" s="56">
        <v>8239</v>
      </c>
      <c r="K23" s="56">
        <v>9316</v>
      </c>
      <c r="L23" s="56">
        <v>9790</v>
      </c>
      <c r="M23" s="56">
        <v>10076</v>
      </c>
      <c r="N23" s="56">
        <v>11173</v>
      </c>
      <c r="O23" s="56">
        <v>11151</v>
      </c>
      <c r="Q23" s="506" t="s">
        <v>4252</v>
      </c>
    </row>
    <row r="24" spans="1:17">
      <c r="A24" s="506" t="s">
        <v>5416</v>
      </c>
      <c r="B24" s="506" t="s">
        <v>9717</v>
      </c>
      <c r="C24" s="62" t="s">
        <v>9732</v>
      </c>
      <c r="D24" s="56">
        <v>0</v>
      </c>
      <c r="E24" s="56">
        <v>0</v>
      </c>
      <c r="F24" s="56">
        <v>0</v>
      </c>
      <c r="G24" s="56">
        <v>0</v>
      </c>
      <c r="H24" s="56">
        <v>0</v>
      </c>
      <c r="I24" s="56">
        <v>8118</v>
      </c>
      <c r="J24" s="56">
        <v>7959</v>
      </c>
      <c r="K24" s="56">
        <v>8255</v>
      </c>
      <c r="L24" s="56">
        <v>8212</v>
      </c>
      <c r="M24" s="56">
        <v>7985</v>
      </c>
      <c r="N24" s="56">
        <v>8188</v>
      </c>
      <c r="O24" s="56">
        <v>8173</v>
      </c>
      <c r="Q24" s="506" t="s">
        <v>4252</v>
      </c>
    </row>
    <row r="25" spans="1:17" ht="15.75" thickBot="1">
      <c r="A25" s="506"/>
      <c r="B25" s="506"/>
      <c r="C25" s="62" t="s">
        <v>9732</v>
      </c>
      <c r="D25" s="274">
        <v>0</v>
      </c>
      <c r="E25" s="274">
        <v>0</v>
      </c>
      <c r="F25" s="274">
        <v>0</v>
      </c>
      <c r="G25" s="274">
        <v>0</v>
      </c>
      <c r="H25" s="274">
        <v>0</v>
      </c>
      <c r="I25" s="58">
        <v>858</v>
      </c>
      <c r="J25" s="58">
        <v>861</v>
      </c>
      <c r="K25" s="58">
        <v>933</v>
      </c>
      <c r="L25" s="58">
        <v>981</v>
      </c>
      <c r="M25" s="58">
        <v>978</v>
      </c>
      <c r="N25" s="58">
        <v>1034</v>
      </c>
      <c r="O25" s="58">
        <v>1031</v>
      </c>
      <c r="Q25" s="506" t="s">
        <v>4254</v>
      </c>
    </row>
    <row r="26" spans="1:17" ht="15.75" thickBot="1">
      <c r="A26" s="506"/>
      <c r="B26" s="506"/>
      <c r="C26" s="62" t="s">
        <v>9732</v>
      </c>
      <c r="D26" s="512">
        <f>D24+D25</f>
        <v>0</v>
      </c>
      <c r="E26" s="512">
        <f>E24+E25</f>
        <v>0</v>
      </c>
      <c r="F26" s="512">
        <f>F24+F25</f>
        <v>0</v>
      </c>
      <c r="G26" s="512">
        <f>G24+G25</f>
        <v>0</v>
      </c>
      <c r="H26" s="512">
        <f>H24+H25</f>
        <v>0</v>
      </c>
      <c r="I26" s="512">
        <f t="shared" ref="I26:N26" si="8">I24+I25</f>
        <v>8976</v>
      </c>
      <c r="J26" s="512">
        <f t="shared" si="8"/>
        <v>8820</v>
      </c>
      <c r="K26" s="512">
        <f t="shared" si="8"/>
        <v>9188</v>
      </c>
      <c r="L26" s="512">
        <f t="shared" si="8"/>
        <v>9193</v>
      </c>
      <c r="M26" s="512">
        <f t="shared" si="8"/>
        <v>8963</v>
      </c>
      <c r="N26" s="512">
        <f t="shared" si="8"/>
        <v>9222</v>
      </c>
      <c r="O26" s="512">
        <f>O24+O25</f>
        <v>9204</v>
      </c>
      <c r="Q26" s="506"/>
    </row>
    <row r="27" spans="1:17">
      <c r="A27" s="506" t="s">
        <v>5418</v>
      </c>
      <c r="B27" s="506" t="s">
        <v>9718</v>
      </c>
      <c r="C27" s="62" t="s">
        <v>9733</v>
      </c>
      <c r="D27" s="56">
        <v>81991</v>
      </c>
      <c r="E27" s="56">
        <v>81226</v>
      </c>
      <c r="F27" s="56">
        <v>83919</v>
      </c>
      <c r="G27" s="56">
        <v>85537</v>
      </c>
      <c r="H27" s="56">
        <v>87028</v>
      </c>
      <c r="I27" s="56">
        <v>8309</v>
      </c>
      <c r="J27" s="56">
        <v>7840</v>
      </c>
      <c r="K27" s="56">
        <v>8333</v>
      </c>
      <c r="L27" s="56">
        <v>8467</v>
      </c>
      <c r="M27" s="56">
        <v>8270</v>
      </c>
      <c r="N27" s="56">
        <v>8661</v>
      </c>
      <c r="O27" s="56">
        <v>8642</v>
      </c>
      <c r="Q27" s="506" t="s">
        <v>4252</v>
      </c>
    </row>
    <row r="28" spans="1:17">
      <c r="A28" s="506" t="s">
        <v>5420</v>
      </c>
      <c r="B28" s="506" t="s">
        <v>9719</v>
      </c>
      <c r="C28" s="62" t="s">
        <v>9734</v>
      </c>
      <c r="D28" s="56">
        <v>0</v>
      </c>
      <c r="E28" s="56">
        <v>0</v>
      </c>
      <c r="F28" s="56">
        <v>0</v>
      </c>
      <c r="G28" s="56">
        <v>0</v>
      </c>
      <c r="H28" s="56">
        <v>0</v>
      </c>
      <c r="I28" s="58">
        <v>8624</v>
      </c>
      <c r="J28" s="58">
        <v>8563</v>
      </c>
      <c r="K28" s="58">
        <v>9078</v>
      </c>
      <c r="L28" s="58">
        <v>9036</v>
      </c>
      <c r="M28" s="58">
        <v>9030</v>
      </c>
      <c r="N28" s="58">
        <v>9555</v>
      </c>
      <c r="O28" s="58">
        <v>9538</v>
      </c>
      <c r="Q28" s="506" t="s">
        <v>4254</v>
      </c>
    </row>
    <row r="29" spans="1:17">
      <c r="A29" s="506" t="s">
        <v>5422</v>
      </c>
      <c r="B29" s="506" t="s">
        <v>9720</v>
      </c>
      <c r="C29" s="62" t="s">
        <v>9735</v>
      </c>
      <c r="D29" s="56">
        <v>0</v>
      </c>
      <c r="E29" s="56">
        <v>0</v>
      </c>
      <c r="F29" s="56">
        <v>0</v>
      </c>
      <c r="G29" s="56">
        <v>0</v>
      </c>
      <c r="H29" s="56">
        <v>0</v>
      </c>
      <c r="I29" s="56">
        <v>9864</v>
      </c>
      <c r="J29" s="58">
        <v>9556</v>
      </c>
      <c r="K29" s="58">
        <v>9818</v>
      </c>
      <c r="L29" s="58">
        <v>9851</v>
      </c>
      <c r="M29" s="58">
        <v>9742</v>
      </c>
      <c r="N29" s="58">
        <v>9974</v>
      </c>
      <c r="O29" s="58">
        <v>9958</v>
      </c>
      <c r="Q29" s="506" t="s">
        <v>4254</v>
      </c>
    </row>
    <row r="30" spans="1:17">
      <c r="A30" s="506" t="s">
        <v>5424</v>
      </c>
      <c r="B30" s="506" t="s">
        <v>9721</v>
      </c>
      <c r="C30" s="62" t="s">
        <v>9736</v>
      </c>
      <c r="D30" s="56">
        <v>0</v>
      </c>
      <c r="E30" s="56">
        <v>0</v>
      </c>
      <c r="F30" s="56">
        <v>0</v>
      </c>
      <c r="G30" s="56">
        <v>0</v>
      </c>
      <c r="H30" s="56">
        <v>0</v>
      </c>
      <c r="I30" s="56">
        <v>3422</v>
      </c>
      <c r="J30" s="56">
        <v>3291</v>
      </c>
      <c r="K30" s="56">
        <v>3411</v>
      </c>
      <c r="L30" s="56">
        <v>3417</v>
      </c>
      <c r="M30" s="56">
        <v>3365</v>
      </c>
      <c r="N30" s="56">
        <v>3507</v>
      </c>
      <c r="O30" s="56">
        <v>3503</v>
      </c>
      <c r="Q30" s="506" t="s">
        <v>4252</v>
      </c>
    </row>
    <row r="31" spans="1:17" ht="15.75" thickBot="1">
      <c r="A31" s="506"/>
      <c r="B31" s="506"/>
      <c r="C31" s="62" t="s">
        <v>9736</v>
      </c>
      <c r="D31" s="274">
        <v>0</v>
      </c>
      <c r="E31" s="274">
        <v>0</v>
      </c>
      <c r="F31" s="274">
        <v>0</v>
      </c>
      <c r="G31" s="274">
        <v>0</v>
      </c>
      <c r="H31" s="274">
        <v>0</v>
      </c>
      <c r="I31" s="58">
        <v>4974</v>
      </c>
      <c r="J31" s="58">
        <v>4899</v>
      </c>
      <c r="K31" s="58">
        <v>5178</v>
      </c>
      <c r="L31" s="58">
        <v>5064</v>
      </c>
      <c r="M31" s="58">
        <v>4941</v>
      </c>
      <c r="N31" s="58">
        <v>5061</v>
      </c>
      <c r="O31" s="58">
        <v>5053</v>
      </c>
      <c r="Q31" s="506" t="s">
        <v>4254</v>
      </c>
    </row>
    <row r="32" spans="1:17" ht="15.75" thickBot="1">
      <c r="A32" s="506"/>
      <c r="B32" s="506"/>
      <c r="C32" s="62" t="s">
        <v>9736</v>
      </c>
      <c r="D32" s="512">
        <f>D30+D31</f>
        <v>0</v>
      </c>
      <c r="E32" s="512">
        <f>E30+E31</f>
        <v>0</v>
      </c>
      <c r="F32" s="512">
        <f>F30+F31</f>
        <v>0</v>
      </c>
      <c r="G32" s="512">
        <f>G30+G31</f>
        <v>0</v>
      </c>
      <c r="H32" s="512">
        <f>H30+H31</f>
        <v>0</v>
      </c>
      <c r="I32" s="512">
        <f t="shared" ref="I32:N32" si="9">I30+I31</f>
        <v>8396</v>
      </c>
      <c r="J32" s="512">
        <f t="shared" si="9"/>
        <v>8190</v>
      </c>
      <c r="K32" s="512">
        <f t="shared" si="9"/>
        <v>8589</v>
      </c>
      <c r="L32" s="512">
        <f t="shared" si="9"/>
        <v>8481</v>
      </c>
      <c r="M32" s="512">
        <f t="shared" si="9"/>
        <v>8306</v>
      </c>
      <c r="N32" s="512">
        <f t="shared" si="9"/>
        <v>8568</v>
      </c>
      <c r="O32" s="512">
        <f>O30+O31</f>
        <v>8556</v>
      </c>
      <c r="Q32" s="506"/>
    </row>
    <row r="33" spans="1:17">
      <c r="A33" s="506" t="s">
        <v>5426</v>
      </c>
      <c r="B33" s="506" t="s">
        <v>9722</v>
      </c>
      <c r="C33" s="62" t="s">
        <v>9737</v>
      </c>
      <c r="D33" s="56">
        <v>0</v>
      </c>
      <c r="E33" s="56">
        <v>0</v>
      </c>
      <c r="F33" s="56">
        <v>0</v>
      </c>
      <c r="G33" s="56">
        <v>0</v>
      </c>
      <c r="H33" s="56">
        <v>0</v>
      </c>
      <c r="I33" s="56">
        <v>9417</v>
      </c>
      <c r="J33" s="56">
        <v>9451</v>
      </c>
      <c r="K33" s="56">
        <v>9805</v>
      </c>
      <c r="L33" s="56">
        <v>9775</v>
      </c>
      <c r="M33" s="56">
        <v>9725</v>
      </c>
      <c r="N33" s="56">
        <v>10001</v>
      </c>
      <c r="O33" s="56">
        <v>9990</v>
      </c>
      <c r="Q33" s="506" t="s">
        <v>4252</v>
      </c>
    </row>
    <row r="34" spans="1:17">
      <c r="A34" s="506" t="s">
        <v>5428</v>
      </c>
      <c r="B34" s="506" t="s">
        <v>2932</v>
      </c>
      <c r="C34" s="62" t="s">
        <v>9738</v>
      </c>
      <c r="D34" s="56">
        <v>0</v>
      </c>
      <c r="E34" s="56">
        <v>0</v>
      </c>
      <c r="F34" s="56">
        <v>0</v>
      </c>
      <c r="G34" s="56">
        <v>0</v>
      </c>
      <c r="H34" s="56">
        <v>0</v>
      </c>
      <c r="I34" s="56">
        <v>8932</v>
      </c>
      <c r="J34" s="56">
        <v>8748</v>
      </c>
      <c r="K34" s="56">
        <v>8959</v>
      </c>
      <c r="L34" s="56">
        <v>8949</v>
      </c>
      <c r="M34" s="56">
        <v>8872</v>
      </c>
      <c r="N34" s="56">
        <v>9383</v>
      </c>
      <c r="O34" s="56">
        <v>9366</v>
      </c>
      <c r="Q34" s="506" t="s">
        <v>4252</v>
      </c>
    </row>
    <row r="35" spans="1:17">
      <c r="A35" s="506" t="s">
        <v>5429</v>
      </c>
      <c r="B35" s="506" t="s">
        <v>4391</v>
      </c>
      <c r="C35" s="62" t="s">
        <v>9739</v>
      </c>
      <c r="D35" s="56">
        <v>0</v>
      </c>
      <c r="E35" s="56">
        <v>0</v>
      </c>
      <c r="F35" s="56">
        <v>0</v>
      </c>
      <c r="G35" s="56">
        <v>0</v>
      </c>
      <c r="H35" s="56">
        <v>0</v>
      </c>
      <c r="I35" s="56">
        <v>9373</v>
      </c>
      <c r="J35" s="56">
        <v>9307</v>
      </c>
      <c r="K35" s="56">
        <v>9710</v>
      </c>
      <c r="L35" s="56">
        <v>9614</v>
      </c>
      <c r="M35" s="56">
        <v>9456</v>
      </c>
      <c r="N35" s="56">
        <v>9848</v>
      </c>
      <c r="O35" s="56">
        <v>9826</v>
      </c>
      <c r="Q35" s="506" t="s">
        <v>4252</v>
      </c>
    </row>
    <row r="36" spans="1:17">
      <c r="A36" s="506" t="s">
        <v>5431</v>
      </c>
      <c r="B36" s="506" t="s">
        <v>9723</v>
      </c>
      <c r="C36" s="62" t="s">
        <v>9740</v>
      </c>
      <c r="D36" s="58">
        <v>0</v>
      </c>
      <c r="E36" s="58">
        <v>0</v>
      </c>
      <c r="F36" s="58">
        <v>0</v>
      </c>
      <c r="G36" s="58">
        <v>0</v>
      </c>
      <c r="H36" s="58">
        <v>0</v>
      </c>
      <c r="I36" s="58">
        <v>9118</v>
      </c>
      <c r="J36" s="58">
        <v>8953</v>
      </c>
      <c r="K36" s="58">
        <v>9331</v>
      </c>
      <c r="L36" s="58">
        <v>9300</v>
      </c>
      <c r="M36" s="58">
        <v>9173</v>
      </c>
      <c r="N36" s="58">
        <v>9460</v>
      </c>
      <c r="O36" s="58">
        <v>9451</v>
      </c>
      <c r="Q36" s="506" t="s">
        <v>4254</v>
      </c>
    </row>
    <row r="37" spans="1:17">
      <c r="A37" s="506" t="s">
        <v>5433</v>
      </c>
      <c r="B37" s="506" t="s">
        <v>4392</v>
      </c>
      <c r="C37" s="62" t="s">
        <v>9741</v>
      </c>
      <c r="D37" s="56">
        <v>0</v>
      </c>
      <c r="E37" s="56">
        <v>0</v>
      </c>
      <c r="F37" s="56">
        <v>0</v>
      </c>
      <c r="G37" s="56">
        <v>0</v>
      </c>
      <c r="H37" s="56">
        <v>0</v>
      </c>
      <c r="I37" s="56">
        <v>10477</v>
      </c>
      <c r="J37" s="56">
        <v>10139</v>
      </c>
      <c r="K37" s="56">
        <v>10634</v>
      </c>
      <c r="L37" s="56">
        <v>10820</v>
      </c>
      <c r="M37" s="56">
        <v>10586</v>
      </c>
      <c r="N37" s="56">
        <v>10926</v>
      </c>
      <c r="O37" s="56">
        <v>10906</v>
      </c>
      <c r="Q37" s="506" t="s">
        <v>4252</v>
      </c>
    </row>
    <row r="38" spans="1:17">
      <c r="A38" s="506" t="s">
        <v>5435</v>
      </c>
      <c r="B38" s="506" t="s">
        <v>4393</v>
      </c>
      <c r="C38" s="62" t="s">
        <v>9742</v>
      </c>
      <c r="D38" s="58">
        <v>0</v>
      </c>
      <c r="E38" s="58">
        <v>0</v>
      </c>
      <c r="F38" s="58">
        <v>0</v>
      </c>
      <c r="G38" s="58">
        <v>0</v>
      </c>
      <c r="H38" s="58">
        <v>0</v>
      </c>
      <c r="I38" s="58">
        <v>7609</v>
      </c>
      <c r="J38" s="58">
        <v>7408</v>
      </c>
      <c r="K38" s="58">
        <v>7981</v>
      </c>
      <c r="L38" s="58">
        <v>8545</v>
      </c>
      <c r="M38" s="58">
        <v>9127</v>
      </c>
      <c r="N38" s="58">
        <v>10507</v>
      </c>
      <c r="O38" s="58">
        <v>10507</v>
      </c>
      <c r="Q38" s="506" t="s">
        <v>4254</v>
      </c>
    </row>
    <row r="39" spans="1:17">
      <c r="A39" s="506" t="s">
        <v>5436</v>
      </c>
      <c r="B39" s="506" t="s">
        <v>9724</v>
      </c>
      <c r="C39" s="62" t="s">
        <v>9743</v>
      </c>
      <c r="D39" s="58">
        <v>0</v>
      </c>
      <c r="E39" s="58">
        <v>0</v>
      </c>
      <c r="F39" s="58">
        <v>0</v>
      </c>
      <c r="G39" s="58">
        <v>0</v>
      </c>
      <c r="H39" s="58">
        <v>0</v>
      </c>
      <c r="I39" s="58">
        <v>7226</v>
      </c>
      <c r="J39" s="58">
        <v>7373</v>
      </c>
      <c r="K39" s="58">
        <v>7766</v>
      </c>
      <c r="L39" s="58">
        <v>7770</v>
      </c>
      <c r="M39" s="58">
        <v>7824</v>
      </c>
      <c r="N39" s="58">
        <v>8363</v>
      </c>
      <c r="O39" s="58">
        <v>8353</v>
      </c>
      <c r="Q39" s="506" t="s">
        <v>4254</v>
      </c>
    </row>
    <row r="40" spans="1:17">
      <c r="A40" s="506" t="s">
        <v>5437</v>
      </c>
      <c r="B40" s="506" t="s">
        <v>4394</v>
      </c>
      <c r="C40" s="62" t="s">
        <v>9744</v>
      </c>
      <c r="D40" s="56">
        <v>0</v>
      </c>
      <c r="E40" s="56">
        <v>0</v>
      </c>
      <c r="F40" s="56">
        <v>0</v>
      </c>
      <c r="G40" s="56">
        <v>0</v>
      </c>
      <c r="H40" s="56">
        <v>0</v>
      </c>
      <c r="I40" s="56">
        <v>9882</v>
      </c>
      <c r="J40" s="56">
        <v>9857</v>
      </c>
      <c r="K40" s="56">
        <v>10385</v>
      </c>
      <c r="L40" s="56">
        <v>10468</v>
      </c>
      <c r="M40" s="56">
        <v>10320</v>
      </c>
      <c r="N40" s="56">
        <v>10764</v>
      </c>
      <c r="O40" s="56">
        <v>10743</v>
      </c>
      <c r="Q40" s="506" t="s">
        <v>4252</v>
      </c>
    </row>
    <row r="41" spans="1:17">
      <c r="A41" s="506" t="s">
        <v>5439</v>
      </c>
      <c r="B41" s="506" t="s">
        <v>9725</v>
      </c>
      <c r="C41" s="62" t="s">
        <v>9745</v>
      </c>
      <c r="D41" s="56">
        <v>0</v>
      </c>
      <c r="E41" s="56">
        <v>0</v>
      </c>
      <c r="F41" s="56">
        <v>0</v>
      </c>
      <c r="G41" s="56">
        <v>0</v>
      </c>
      <c r="H41" s="56">
        <v>0</v>
      </c>
      <c r="I41" s="56">
        <v>2788</v>
      </c>
      <c r="J41" s="56">
        <v>2635</v>
      </c>
      <c r="K41" s="56">
        <v>2881</v>
      </c>
      <c r="L41" s="56">
        <v>2976</v>
      </c>
      <c r="M41" s="56">
        <v>2921</v>
      </c>
      <c r="N41" s="56">
        <v>3152</v>
      </c>
      <c r="O41" s="56">
        <v>3153</v>
      </c>
      <c r="Q41" s="506" t="s">
        <v>4252</v>
      </c>
    </row>
    <row r="42" spans="1:17" ht="15.75" thickBot="1">
      <c r="A42" s="506"/>
      <c r="B42" s="506"/>
      <c r="C42" s="62" t="s">
        <v>9745</v>
      </c>
      <c r="D42" s="274">
        <v>0</v>
      </c>
      <c r="E42" s="274">
        <v>0</v>
      </c>
      <c r="F42" s="274">
        <v>0</v>
      </c>
      <c r="G42" s="274">
        <v>0</v>
      </c>
      <c r="H42" s="274">
        <v>0</v>
      </c>
      <c r="I42" s="58">
        <v>6750</v>
      </c>
      <c r="J42" s="58">
        <v>6501</v>
      </c>
      <c r="K42" s="58">
        <v>6801</v>
      </c>
      <c r="L42" s="58">
        <v>6913</v>
      </c>
      <c r="M42" s="58">
        <v>6792</v>
      </c>
      <c r="N42" s="58">
        <v>7070</v>
      </c>
      <c r="O42" s="58">
        <v>7055</v>
      </c>
      <c r="Q42" s="506" t="s">
        <v>4254</v>
      </c>
    </row>
    <row r="43" spans="1:17" ht="15.75" thickBot="1">
      <c r="A43" s="506"/>
      <c r="B43" s="506"/>
      <c r="C43" s="62" t="s">
        <v>9745</v>
      </c>
      <c r="D43" s="512">
        <f>D41+D42</f>
        <v>0</v>
      </c>
      <c r="E43" s="512">
        <f>E41+E42</f>
        <v>0</v>
      </c>
      <c r="F43" s="512">
        <f>F41+F42</f>
        <v>0</v>
      </c>
      <c r="G43" s="512">
        <f>G41+G42</f>
        <v>0</v>
      </c>
      <c r="H43" s="512">
        <f>H41+H42</f>
        <v>0</v>
      </c>
      <c r="I43" s="512">
        <f t="shared" ref="I43:N43" si="10">I41+I42</f>
        <v>9538</v>
      </c>
      <c r="J43" s="512">
        <f t="shared" si="10"/>
        <v>9136</v>
      </c>
      <c r="K43" s="512">
        <f t="shared" si="10"/>
        <v>9682</v>
      </c>
      <c r="L43" s="512">
        <f t="shared" si="10"/>
        <v>9889</v>
      </c>
      <c r="M43" s="512">
        <f t="shared" si="10"/>
        <v>9713</v>
      </c>
      <c r="N43" s="512">
        <f t="shared" si="10"/>
        <v>10222</v>
      </c>
      <c r="O43" s="512">
        <f>O41+O42</f>
        <v>10208</v>
      </c>
      <c r="Q43" s="506"/>
    </row>
    <row r="45" spans="1:17">
      <c r="A45" s="506" t="s">
        <v>9726</v>
      </c>
    </row>
  </sheetData>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&amp;C&amp;"Times New Roman,Regular"&amp;8&amp;P of &amp;N</oddFooter>
  </headerFooter>
  <ignoredErrors>
    <ignoredError sqref="D12:D15 E12:E15 F12:F15 G12:G15 G10:G11 F10:F11 E10:E11 D10:D11 H10:H15 D22:H23 I10:I15 I22:I23 I32:K32 I43:K43 J22 J26 J10:J15 K22:K23 K26:K28 K10:K15 L10:L15 D24:H28 I24:I28 D30:H43" unlocked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dimension ref="A1:Q38"/>
  <sheetViews>
    <sheetView showGridLines="0" topLeftCell="A13" zoomScale="90" zoomScaleNormal="90" workbookViewId="0">
      <selection activeCell="O3" sqref="O3"/>
    </sheetView>
  </sheetViews>
  <sheetFormatPr defaultColWidth="12.5703125" defaultRowHeight="15"/>
  <cols>
    <col min="1" max="1" width="4.85546875" style="137" customWidth="1"/>
    <col min="2" max="2" width="40.7109375" style="137" customWidth="1"/>
    <col min="3" max="3" width="11.5703125" style="137" customWidth="1"/>
    <col min="4" max="15" width="10" style="137" customWidth="1"/>
    <col min="16" max="16" width="2.28515625" style="137" customWidth="1"/>
    <col min="17" max="17" width="33" style="137" customWidth="1"/>
    <col min="18" max="16384" width="12.5703125" style="137"/>
  </cols>
  <sheetData>
    <row r="1" spans="1:17">
      <c r="A1" s="497" t="s">
        <v>5719</v>
      </c>
      <c r="D1" s="498">
        <v>2010</v>
      </c>
      <c r="E1" s="498">
        <v>2011</v>
      </c>
      <c r="F1" s="498">
        <v>2012</v>
      </c>
      <c r="G1" s="498">
        <v>2013</v>
      </c>
      <c r="H1" s="498">
        <v>2014</v>
      </c>
      <c r="I1" s="498">
        <v>2015</v>
      </c>
      <c r="J1" s="498">
        <v>2016</v>
      </c>
      <c r="K1" s="498">
        <v>2017</v>
      </c>
      <c r="L1" s="498">
        <v>2018</v>
      </c>
      <c r="M1" s="498">
        <v>2019</v>
      </c>
      <c r="N1" s="498">
        <v>2020</v>
      </c>
      <c r="O1" s="954" t="s">
        <v>14823</v>
      </c>
    </row>
    <row r="3" spans="1:17">
      <c r="A3" s="497" t="s">
        <v>6261</v>
      </c>
      <c r="D3" s="499">
        <f t="shared" ref="D3:I3" si="0">SUM(D17:D36)</f>
        <v>171381</v>
      </c>
      <c r="E3" s="499">
        <f t="shared" si="0"/>
        <v>177931</v>
      </c>
      <c r="F3" s="499">
        <f t="shared" si="0"/>
        <v>180188</v>
      </c>
      <c r="G3" s="499">
        <f t="shared" si="0"/>
        <v>179938</v>
      </c>
      <c r="H3" s="499">
        <f t="shared" si="0"/>
        <v>166501</v>
      </c>
      <c r="I3" s="499">
        <f t="shared" si="0"/>
        <v>165961</v>
      </c>
      <c r="J3" s="499">
        <f t="shared" ref="J3:O3" si="1">SUM(J17:J36)</f>
        <v>169712</v>
      </c>
      <c r="K3" s="499">
        <f t="shared" si="1"/>
        <v>175453</v>
      </c>
      <c r="L3" s="499">
        <f t="shared" si="1"/>
        <v>172997</v>
      </c>
      <c r="M3" s="499">
        <f t="shared" si="1"/>
        <v>171947</v>
      </c>
      <c r="N3" s="499">
        <f t="shared" si="1"/>
        <v>178809</v>
      </c>
      <c r="O3" s="499">
        <f t="shared" si="1"/>
        <v>186212</v>
      </c>
    </row>
    <row r="4" spans="1:17">
      <c r="A4" s="497"/>
      <c r="D4" s="499"/>
      <c r="E4" s="499"/>
      <c r="F4" s="499"/>
      <c r="G4" s="499"/>
      <c r="H4" s="499"/>
      <c r="I4" s="499"/>
      <c r="J4" s="499"/>
      <c r="K4" s="499"/>
      <c r="L4" s="499"/>
      <c r="M4" s="499"/>
      <c r="N4" s="499"/>
      <c r="O4" s="499"/>
      <c r="Q4" s="500"/>
    </row>
    <row r="5" spans="1:17">
      <c r="A5" s="497" t="s">
        <v>5720</v>
      </c>
      <c r="D5" s="499">
        <f t="shared" ref="D5:I5" si="2">D3/2</f>
        <v>85690.5</v>
      </c>
      <c r="E5" s="499">
        <f t="shared" si="2"/>
        <v>88965.5</v>
      </c>
      <c r="F5" s="499">
        <f t="shared" si="2"/>
        <v>90094</v>
      </c>
      <c r="G5" s="499">
        <f t="shared" si="2"/>
        <v>89969</v>
      </c>
      <c r="H5" s="499">
        <f t="shared" si="2"/>
        <v>83250.5</v>
      </c>
      <c r="I5" s="499">
        <f t="shared" si="2"/>
        <v>82980.5</v>
      </c>
      <c r="J5" s="499">
        <f t="shared" ref="J5:O5" si="3">J3/2</f>
        <v>84856</v>
      </c>
      <c r="K5" s="499">
        <f t="shared" si="3"/>
        <v>87726.5</v>
      </c>
      <c r="L5" s="499">
        <f t="shared" si="3"/>
        <v>86498.5</v>
      </c>
      <c r="M5" s="499">
        <f t="shared" si="3"/>
        <v>85973.5</v>
      </c>
      <c r="N5" s="499">
        <f t="shared" si="3"/>
        <v>89404.5</v>
      </c>
      <c r="O5" s="499">
        <f t="shared" si="3"/>
        <v>93106</v>
      </c>
    </row>
    <row r="6" spans="1:17">
      <c r="D6" s="501"/>
      <c r="E6" s="501"/>
      <c r="F6" s="501"/>
      <c r="G6" s="501"/>
      <c r="H6" s="501"/>
      <c r="I6" s="501"/>
      <c r="J6" s="501"/>
      <c r="K6" s="501"/>
      <c r="L6" s="501"/>
      <c r="M6" s="501"/>
      <c r="N6" s="501"/>
      <c r="O6" s="501"/>
    </row>
    <row r="7" spans="1:17">
      <c r="A7" s="497" t="s">
        <v>6262</v>
      </c>
      <c r="D7" s="499">
        <f t="shared" ref="D7:I7" si="4">D17+D18+SUM(D22:D24)+D27+D29+D30+D33+D35</f>
        <v>87809</v>
      </c>
      <c r="E7" s="499">
        <f t="shared" si="4"/>
        <v>91531</v>
      </c>
      <c r="F7" s="499">
        <f t="shared" si="4"/>
        <v>92126</v>
      </c>
      <c r="G7" s="499">
        <f t="shared" si="4"/>
        <v>91194</v>
      </c>
      <c r="H7" s="499">
        <f t="shared" si="4"/>
        <v>84108</v>
      </c>
      <c r="I7" s="499">
        <f t="shared" si="4"/>
        <v>82616</v>
      </c>
      <c r="J7" s="499">
        <f t="shared" ref="J7:O7" si="5">J17+J18+SUM(J22:J24)+J27+J29+J30+J33+J35</f>
        <v>82810</v>
      </c>
      <c r="K7" s="499">
        <f t="shared" si="5"/>
        <v>84377</v>
      </c>
      <c r="L7" s="499">
        <f t="shared" si="5"/>
        <v>82302</v>
      </c>
      <c r="M7" s="499">
        <f t="shared" si="5"/>
        <v>81899</v>
      </c>
      <c r="N7" s="499">
        <f t="shared" si="5"/>
        <v>85365</v>
      </c>
      <c r="O7" s="499">
        <f t="shared" si="5"/>
        <v>88324</v>
      </c>
      <c r="Q7" s="497" t="s">
        <v>6263</v>
      </c>
    </row>
    <row r="8" spans="1:17">
      <c r="D8" s="501"/>
      <c r="E8" s="501"/>
      <c r="F8" s="501"/>
      <c r="G8" s="501"/>
      <c r="H8" s="501"/>
      <c r="I8" s="501"/>
      <c r="J8" s="501"/>
      <c r="K8" s="501"/>
      <c r="L8" s="501"/>
      <c r="M8" s="501"/>
      <c r="N8" s="501"/>
      <c r="O8" s="501"/>
    </row>
    <row r="9" spans="1:17">
      <c r="A9" s="497" t="s">
        <v>6264</v>
      </c>
      <c r="D9" s="499">
        <f t="shared" ref="D9:I9" si="6">SUM(D19:D21)+D25+D26+D28+D31+D32+D34+D36</f>
        <v>83572</v>
      </c>
      <c r="E9" s="499">
        <f t="shared" si="6"/>
        <v>86400</v>
      </c>
      <c r="F9" s="499">
        <f t="shared" si="6"/>
        <v>88062</v>
      </c>
      <c r="G9" s="499">
        <f t="shared" si="6"/>
        <v>88744</v>
      </c>
      <c r="H9" s="499">
        <f t="shared" si="6"/>
        <v>82393</v>
      </c>
      <c r="I9" s="499">
        <f t="shared" si="6"/>
        <v>83345</v>
      </c>
      <c r="J9" s="499">
        <f t="shared" ref="J9:O9" si="7">SUM(J19:J21)+J25+J26+J28+J31+J32+J34+J36</f>
        <v>86902</v>
      </c>
      <c r="K9" s="499">
        <f t="shared" si="7"/>
        <v>91076</v>
      </c>
      <c r="L9" s="499">
        <f t="shared" si="7"/>
        <v>90695</v>
      </c>
      <c r="M9" s="499">
        <f t="shared" si="7"/>
        <v>90048</v>
      </c>
      <c r="N9" s="499">
        <f t="shared" si="7"/>
        <v>93444</v>
      </c>
      <c r="O9" s="499">
        <f t="shared" si="7"/>
        <v>97888</v>
      </c>
      <c r="Q9" s="497" t="s">
        <v>6263</v>
      </c>
    </row>
    <row r="10" spans="1:17">
      <c r="D10" s="501"/>
      <c r="E10" s="501"/>
      <c r="F10" s="501"/>
      <c r="G10" s="501"/>
      <c r="H10" s="501"/>
      <c r="I10" s="501"/>
      <c r="J10" s="501"/>
      <c r="K10" s="501"/>
      <c r="L10" s="501"/>
      <c r="M10" s="501"/>
      <c r="N10" s="501"/>
      <c r="O10" s="501"/>
    </row>
    <row r="11" spans="1:17">
      <c r="A11" s="497" t="s">
        <v>6796</v>
      </c>
      <c r="D11" s="499">
        <f t="shared" ref="D11:I11" si="8">D7+D9</f>
        <v>171381</v>
      </c>
      <c r="E11" s="499">
        <f t="shared" si="8"/>
        <v>177931</v>
      </c>
      <c r="F11" s="499">
        <f t="shared" si="8"/>
        <v>180188</v>
      </c>
      <c r="G11" s="499">
        <f t="shared" si="8"/>
        <v>179938</v>
      </c>
      <c r="H11" s="499">
        <f t="shared" si="8"/>
        <v>166501</v>
      </c>
      <c r="I11" s="499">
        <f t="shared" si="8"/>
        <v>165961</v>
      </c>
      <c r="J11" s="499">
        <f t="shared" ref="J11:O11" si="9">J7+J9</f>
        <v>169712</v>
      </c>
      <c r="K11" s="499">
        <f t="shared" si="9"/>
        <v>175453</v>
      </c>
      <c r="L11" s="499">
        <f t="shared" si="9"/>
        <v>172997</v>
      </c>
      <c r="M11" s="499">
        <f t="shared" si="9"/>
        <v>171947</v>
      </c>
      <c r="N11" s="499">
        <f t="shared" si="9"/>
        <v>178809</v>
      </c>
      <c r="O11" s="499">
        <f t="shared" si="9"/>
        <v>186212</v>
      </c>
    </row>
    <row r="12" spans="1:17">
      <c r="D12" s="501"/>
      <c r="E12" s="501"/>
      <c r="F12" s="501"/>
      <c r="G12" s="501"/>
      <c r="H12" s="501"/>
      <c r="I12" s="501"/>
      <c r="J12" s="501"/>
      <c r="K12" s="501"/>
      <c r="L12" s="501"/>
      <c r="M12" s="501"/>
      <c r="N12" s="501"/>
      <c r="O12" s="501"/>
    </row>
    <row r="13" spans="1:17">
      <c r="A13" s="497" t="s">
        <v>6797</v>
      </c>
      <c r="D13" s="499">
        <f t="shared" ref="D13:I13" si="10">MAX(D7,D9)-MIN(D7,D9)</f>
        <v>4237</v>
      </c>
      <c r="E13" s="499">
        <f t="shared" si="10"/>
        <v>5131</v>
      </c>
      <c r="F13" s="499">
        <f t="shared" si="10"/>
        <v>4064</v>
      </c>
      <c r="G13" s="499">
        <f t="shared" si="10"/>
        <v>2450</v>
      </c>
      <c r="H13" s="499">
        <f t="shared" si="10"/>
        <v>1715</v>
      </c>
      <c r="I13" s="499">
        <f t="shared" si="10"/>
        <v>729</v>
      </c>
      <c r="J13" s="499">
        <f t="shared" ref="J13:O13" si="11">MAX(J7,J9)-MIN(J7,J9)</f>
        <v>4092</v>
      </c>
      <c r="K13" s="499">
        <f t="shared" si="11"/>
        <v>6699</v>
      </c>
      <c r="L13" s="499">
        <f t="shared" si="11"/>
        <v>8393</v>
      </c>
      <c r="M13" s="499">
        <f t="shared" si="11"/>
        <v>8149</v>
      </c>
      <c r="N13" s="499">
        <f t="shared" si="11"/>
        <v>8079</v>
      </c>
      <c r="O13" s="499">
        <f t="shared" si="11"/>
        <v>9564</v>
      </c>
    </row>
    <row r="14" spans="1:17">
      <c r="D14" s="501"/>
      <c r="E14" s="501"/>
      <c r="F14" s="501"/>
      <c r="G14" s="501"/>
      <c r="H14" s="501"/>
      <c r="I14" s="501"/>
      <c r="J14" s="501"/>
      <c r="K14" s="501"/>
      <c r="L14" s="501"/>
      <c r="M14" s="501"/>
      <c r="N14" s="501"/>
      <c r="O14" s="501"/>
    </row>
    <row r="15" spans="1:17">
      <c r="A15" s="502" t="s">
        <v>6800</v>
      </c>
      <c r="D15" s="499">
        <f t="shared" ref="D15:I15" si="12">STDEVP(D7,D9)</f>
        <v>2118.5</v>
      </c>
      <c r="E15" s="499">
        <f t="shared" si="12"/>
        <v>2565.5</v>
      </c>
      <c r="F15" s="499">
        <f t="shared" si="12"/>
        <v>2032</v>
      </c>
      <c r="G15" s="499">
        <f t="shared" si="12"/>
        <v>1225</v>
      </c>
      <c r="H15" s="499">
        <f t="shared" si="12"/>
        <v>857.5</v>
      </c>
      <c r="I15" s="499">
        <f t="shared" si="12"/>
        <v>364.5</v>
      </c>
      <c r="J15" s="499">
        <f t="shared" ref="J15:O15" si="13">STDEVP(J7,J9)</f>
        <v>2046</v>
      </c>
      <c r="K15" s="499">
        <f t="shared" si="13"/>
        <v>3349.5</v>
      </c>
      <c r="L15" s="499">
        <f t="shared" si="13"/>
        <v>4196.5</v>
      </c>
      <c r="M15" s="499">
        <f t="shared" si="13"/>
        <v>4074.5</v>
      </c>
      <c r="N15" s="499">
        <f t="shared" si="13"/>
        <v>4039.5</v>
      </c>
      <c r="O15" s="499">
        <f t="shared" si="13"/>
        <v>4782</v>
      </c>
    </row>
    <row r="16" spans="1:17">
      <c r="D16" s="501"/>
      <c r="E16" s="501"/>
      <c r="F16" s="501"/>
      <c r="G16" s="501"/>
      <c r="H16" s="501"/>
      <c r="I16" s="501"/>
      <c r="J16" s="501"/>
      <c r="K16" s="501"/>
      <c r="L16" s="501"/>
      <c r="M16" s="501"/>
      <c r="N16" s="501"/>
      <c r="O16" s="501"/>
    </row>
    <row r="17" spans="1:17">
      <c r="A17" s="497" t="s">
        <v>5387</v>
      </c>
      <c r="B17" s="497" t="s">
        <v>6265</v>
      </c>
      <c r="C17" s="55" t="s">
        <v>6928</v>
      </c>
      <c r="D17" s="503">
        <v>8507</v>
      </c>
      <c r="E17" s="503">
        <v>8776</v>
      </c>
      <c r="F17" s="503">
        <v>8877</v>
      </c>
      <c r="G17" s="503">
        <v>8659</v>
      </c>
      <c r="H17" s="56">
        <v>8213</v>
      </c>
      <c r="I17" s="56">
        <v>7396</v>
      </c>
      <c r="J17" s="56">
        <v>7335</v>
      </c>
      <c r="K17" s="56">
        <v>7568</v>
      </c>
      <c r="L17" s="56">
        <v>7681</v>
      </c>
      <c r="M17" s="56">
        <v>7832</v>
      </c>
      <c r="N17" s="56">
        <v>8503</v>
      </c>
      <c r="O17" s="56">
        <v>8761</v>
      </c>
      <c r="Q17" s="497" t="s">
        <v>6262</v>
      </c>
    </row>
    <row r="18" spans="1:17">
      <c r="A18" s="497" t="s">
        <v>5389</v>
      </c>
      <c r="B18" s="497" t="s">
        <v>6266</v>
      </c>
      <c r="C18" s="55" t="s">
        <v>6929</v>
      </c>
      <c r="D18" s="499">
        <v>8828</v>
      </c>
      <c r="E18" s="499">
        <v>9307</v>
      </c>
      <c r="F18" s="499">
        <v>9456</v>
      </c>
      <c r="G18" s="499">
        <v>9357</v>
      </c>
      <c r="H18" s="56">
        <v>8650</v>
      </c>
      <c r="I18" s="56">
        <v>8446</v>
      </c>
      <c r="J18" s="56">
        <v>8696</v>
      </c>
      <c r="K18" s="56">
        <v>8793</v>
      </c>
      <c r="L18" s="56">
        <v>8565</v>
      </c>
      <c r="M18" s="56">
        <v>8622</v>
      </c>
      <c r="N18" s="56">
        <v>9088</v>
      </c>
      <c r="O18" s="56">
        <v>9480</v>
      </c>
      <c r="Q18" s="497" t="s">
        <v>6262</v>
      </c>
    </row>
    <row r="19" spans="1:17">
      <c r="A19" s="497" t="s">
        <v>5391</v>
      </c>
      <c r="B19" s="497" t="s">
        <v>6267</v>
      </c>
      <c r="C19" s="55" t="s">
        <v>6930</v>
      </c>
      <c r="D19" s="504">
        <v>8088</v>
      </c>
      <c r="E19" s="504">
        <v>8094</v>
      </c>
      <c r="F19" s="504">
        <v>8262</v>
      </c>
      <c r="G19" s="504">
        <v>8489</v>
      </c>
      <c r="H19" s="56">
        <v>8143</v>
      </c>
      <c r="I19" s="56">
        <v>8216</v>
      </c>
      <c r="J19" s="56">
        <v>8333</v>
      </c>
      <c r="K19" s="56">
        <v>8767</v>
      </c>
      <c r="L19" s="56">
        <v>8855</v>
      </c>
      <c r="M19" s="56">
        <v>8817</v>
      </c>
      <c r="N19" s="56">
        <v>9005</v>
      </c>
      <c r="O19" s="56">
        <v>9341</v>
      </c>
      <c r="Q19" s="497" t="s">
        <v>6264</v>
      </c>
    </row>
    <row r="20" spans="1:17">
      <c r="A20" s="497" t="s">
        <v>5393</v>
      </c>
      <c r="B20" s="497" t="s">
        <v>6268</v>
      </c>
      <c r="C20" s="55" t="s">
        <v>6931</v>
      </c>
      <c r="D20" s="499">
        <v>7818</v>
      </c>
      <c r="E20" s="499">
        <v>8243</v>
      </c>
      <c r="F20" s="499">
        <v>8471</v>
      </c>
      <c r="G20" s="499">
        <v>8451</v>
      </c>
      <c r="H20" s="56">
        <v>8138</v>
      </c>
      <c r="I20" s="56">
        <v>8258</v>
      </c>
      <c r="J20" s="56">
        <v>8543</v>
      </c>
      <c r="K20" s="56">
        <v>9007</v>
      </c>
      <c r="L20" s="56">
        <v>9313</v>
      </c>
      <c r="M20" s="56">
        <v>9562</v>
      </c>
      <c r="N20" s="56">
        <v>9928</v>
      </c>
      <c r="O20" s="56">
        <v>10504</v>
      </c>
      <c r="Q20" s="497" t="s">
        <v>6264</v>
      </c>
    </row>
    <row r="21" spans="1:17">
      <c r="A21" s="497" t="s">
        <v>5394</v>
      </c>
      <c r="B21" s="497" t="s">
        <v>6269</v>
      </c>
      <c r="C21" s="55" t="s">
        <v>6932</v>
      </c>
      <c r="D21" s="505">
        <v>7211</v>
      </c>
      <c r="E21" s="505">
        <v>7305</v>
      </c>
      <c r="F21" s="505">
        <v>7463</v>
      </c>
      <c r="G21" s="505">
        <v>7664</v>
      </c>
      <c r="H21" s="56">
        <v>6991</v>
      </c>
      <c r="I21" s="56">
        <v>7002</v>
      </c>
      <c r="J21" s="56">
        <v>6971</v>
      </c>
      <c r="K21" s="56">
        <v>7166</v>
      </c>
      <c r="L21" s="56">
        <v>7087</v>
      </c>
      <c r="M21" s="56">
        <v>6975</v>
      </c>
      <c r="N21" s="56">
        <v>6985</v>
      </c>
      <c r="O21" s="56">
        <v>7202</v>
      </c>
      <c r="Q21" s="497" t="s">
        <v>6264</v>
      </c>
    </row>
    <row r="22" spans="1:17">
      <c r="A22" s="497" t="s">
        <v>5416</v>
      </c>
      <c r="B22" s="497" t="s">
        <v>6270</v>
      </c>
      <c r="C22" s="55" t="s">
        <v>6933</v>
      </c>
      <c r="D22" s="503">
        <v>9136</v>
      </c>
      <c r="E22" s="503">
        <v>9906</v>
      </c>
      <c r="F22" s="503">
        <v>9849</v>
      </c>
      <c r="G22" s="503">
        <v>9898</v>
      </c>
      <c r="H22" s="56">
        <v>8975</v>
      </c>
      <c r="I22" s="56">
        <v>8795</v>
      </c>
      <c r="J22" s="56">
        <v>8867</v>
      </c>
      <c r="K22" s="56">
        <v>8903</v>
      </c>
      <c r="L22" s="56">
        <v>8578</v>
      </c>
      <c r="M22" s="56">
        <v>8484</v>
      </c>
      <c r="N22" s="56">
        <v>8564</v>
      </c>
      <c r="O22" s="56">
        <v>8780</v>
      </c>
      <c r="Q22" s="497" t="s">
        <v>6262</v>
      </c>
    </row>
    <row r="23" spans="1:17">
      <c r="A23" s="497" t="s">
        <v>5418</v>
      </c>
      <c r="B23" s="497" t="s">
        <v>6233</v>
      </c>
      <c r="C23" s="55" t="s">
        <v>6934</v>
      </c>
      <c r="D23" s="503">
        <v>9351</v>
      </c>
      <c r="E23" s="503">
        <v>9640</v>
      </c>
      <c r="F23" s="503">
        <v>9733</v>
      </c>
      <c r="G23" s="503">
        <v>9656</v>
      </c>
      <c r="H23" s="56">
        <v>8828</v>
      </c>
      <c r="I23" s="56">
        <v>8778</v>
      </c>
      <c r="J23" s="56">
        <v>8682</v>
      </c>
      <c r="K23" s="56">
        <v>8760</v>
      </c>
      <c r="L23" s="56">
        <v>8422</v>
      </c>
      <c r="M23" s="56">
        <v>8207</v>
      </c>
      <c r="N23" s="56">
        <v>8378</v>
      </c>
      <c r="O23" s="56">
        <v>8629</v>
      </c>
      <c r="Q23" s="497" t="s">
        <v>6262</v>
      </c>
    </row>
    <row r="24" spans="1:17">
      <c r="A24" s="497" t="s">
        <v>5420</v>
      </c>
      <c r="B24" s="497" t="s">
        <v>6234</v>
      </c>
      <c r="C24" s="55" t="s">
        <v>6935</v>
      </c>
      <c r="D24" s="503">
        <v>8719</v>
      </c>
      <c r="E24" s="503">
        <v>9025</v>
      </c>
      <c r="F24" s="503">
        <v>9059</v>
      </c>
      <c r="G24" s="503">
        <v>9050</v>
      </c>
      <c r="H24" s="56">
        <v>8309</v>
      </c>
      <c r="I24" s="56">
        <v>8378</v>
      </c>
      <c r="J24" s="56">
        <v>8347</v>
      </c>
      <c r="K24" s="56">
        <v>8687</v>
      </c>
      <c r="L24" s="56">
        <v>8586</v>
      </c>
      <c r="M24" s="56">
        <v>8537</v>
      </c>
      <c r="N24" s="56">
        <v>8689</v>
      </c>
      <c r="O24" s="56">
        <v>8945</v>
      </c>
      <c r="Q24" s="497" t="s">
        <v>6262</v>
      </c>
    </row>
    <row r="25" spans="1:17">
      <c r="A25" s="497" t="s">
        <v>5422</v>
      </c>
      <c r="B25" s="497" t="s">
        <v>6235</v>
      </c>
      <c r="C25" s="55" t="s">
        <v>6936</v>
      </c>
      <c r="D25" s="503">
        <v>8740</v>
      </c>
      <c r="E25" s="503">
        <v>8883</v>
      </c>
      <c r="F25" s="503">
        <v>9090</v>
      </c>
      <c r="G25" s="503">
        <v>9003</v>
      </c>
      <c r="H25" s="56">
        <v>8274</v>
      </c>
      <c r="I25" s="56">
        <v>8185</v>
      </c>
      <c r="J25" s="56">
        <v>8392</v>
      </c>
      <c r="K25" s="56">
        <v>8620</v>
      </c>
      <c r="L25" s="56">
        <v>8406</v>
      </c>
      <c r="M25" s="56">
        <v>8261</v>
      </c>
      <c r="N25" s="56">
        <v>8633</v>
      </c>
      <c r="O25" s="56">
        <v>8921</v>
      </c>
      <c r="Q25" s="497" t="s">
        <v>6264</v>
      </c>
    </row>
    <row r="26" spans="1:17">
      <c r="A26" s="497" t="s">
        <v>5424</v>
      </c>
      <c r="B26" s="497" t="s">
        <v>6236</v>
      </c>
      <c r="C26" s="55" t="s">
        <v>6937</v>
      </c>
      <c r="D26" s="503">
        <v>9249</v>
      </c>
      <c r="E26" s="503">
        <v>9497</v>
      </c>
      <c r="F26" s="503">
        <v>9652</v>
      </c>
      <c r="G26" s="503">
        <v>9518</v>
      </c>
      <c r="H26" s="56">
        <v>8434</v>
      </c>
      <c r="I26" s="56">
        <v>8457</v>
      </c>
      <c r="J26" s="56">
        <v>8862</v>
      </c>
      <c r="K26" s="56">
        <v>9293</v>
      </c>
      <c r="L26" s="56">
        <v>9081</v>
      </c>
      <c r="M26" s="56">
        <v>8791</v>
      </c>
      <c r="N26" s="56">
        <v>8979</v>
      </c>
      <c r="O26" s="56">
        <v>9422</v>
      </c>
      <c r="Q26" s="497" t="s">
        <v>6264</v>
      </c>
    </row>
    <row r="27" spans="1:17">
      <c r="A27" s="497" t="s">
        <v>5426</v>
      </c>
      <c r="B27" s="497" t="s">
        <v>6237</v>
      </c>
      <c r="C27" s="55" t="s">
        <v>6938</v>
      </c>
      <c r="D27" s="503">
        <v>9670</v>
      </c>
      <c r="E27" s="503">
        <v>10328</v>
      </c>
      <c r="F27" s="503">
        <v>10353</v>
      </c>
      <c r="G27" s="503">
        <v>10054</v>
      </c>
      <c r="H27" s="56">
        <v>9110</v>
      </c>
      <c r="I27" s="56">
        <v>8930</v>
      </c>
      <c r="J27" s="56">
        <v>8875</v>
      </c>
      <c r="K27" s="56">
        <v>8809</v>
      </c>
      <c r="L27" s="56">
        <v>8446</v>
      </c>
      <c r="M27" s="56">
        <v>8184</v>
      </c>
      <c r="N27" s="56">
        <v>8571</v>
      </c>
      <c r="O27" s="56">
        <v>8826</v>
      </c>
      <c r="Q27" s="497" t="s">
        <v>6262</v>
      </c>
    </row>
    <row r="28" spans="1:17">
      <c r="A28" s="497" t="s">
        <v>5428</v>
      </c>
      <c r="B28" s="497" t="s">
        <v>6238</v>
      </c>
      <c r="C28" s="55" t="s">
        <v>6939</v>
      </c>
      <c r="D28" s="503">
        <v>9293</v>
      </c>
      <c r="E28" s="503">
        <v>9724</v>
      </c>
      <c r="F28" s="503">
        <v>9784</v>
      </c>
      <c r="G28" s="503">
        <v>9761</v>
      </c>
      <c r="H28" s="58">
        <v>8946</v>
      </c>
      <c r="I28" s="58">
        <v>8813</v>
      </c>
      <c r="J28" s="58">
        <v>8752</v>
      </c>
      <c r="K28" s="58">
        <v>8772</v>
      </c>
      <c r="L28" s="58">
        <v>8433</v>
      </c>
      <c r="M28" s="58">
        <v>8323</v>
      </c>
      <c r="N28" s="58">
        <v>8335</v>
      </c>
      <c r="O28" s="58">
        <v>8746</v>
      </c>
      <c r="Q28" s="497" t="s">
        <v>6264</v>
      </c>
    </row>
    <row r="29" spans="1:17">
      <c r="A29" s="497" t="s">
        <v>5429</v>
      </c>
      <c r="B29" s="497" t="s">
        <v>6239</v>
      </c>
      <c r="C29" s="55" t="s">
        <v>6940</v>
      </c>
      <c r="D29" s="503">
        <v>9045</v>
      </c>
      <c r="E29" s="503">
        <v>9469</v>
      </c>
      <c r="F29" s="503">
        <v>9688</v>
      </c>
      <c r="G29" s="503">
        <v>9562</v>
      </c>
      <c r="H29" s="56">
        <v>8735</v>
      </c>
      <c r="I29" s="56">
        <v>8754</v>
      </c>
      <c r="J29" s="56">
        <v>8873</v>
      </c>
      <c r="K29" s="56">
        <v>9082</v>
      </c>
      <c r="L29" s="56">
        <v>8855</v>
      </c>
      <c r="M29" s="56">
        <v>8731</v>
      </c>
      <c r="N29" s="56">
        <v>8932</v>
      </c>
      <c r="O29" s="56">
        <v>9177</v>
      </c>
      <c r="Q29" s="497" t="s">
        <v>6262</v>
      </c>
    </row>
    <row r="30" spans="1:17">
      <c r="A30" s="497" t="s">
        <v>5431</v>
      </c>
      <c r="B30" s="497" t="s">
        <v>67</v>
      </c>
      <c r="C30" s="55" t="s">
        <v>6941</v>
      </c>
      <c r="D30" s="503">
        <v>9473</v>
      </c>
      <c r="E30" s="503">
        <v>9602</v>
      </c>
      <c r="F30" s="503">
        <v>9646</v>
      </c>
      <c r="G30" s="503">
        <v>9496</v>
      </c>
      <c r="H30" s="56">
        <v>8926</v>
      </c>
      <c r="I30" s="56">
        <v>8749</v>
      </c>
      <c r="J30" s="56">
        <v>8636</v>
      </c>
      <c r="K30" s="56">
        <v>8639</v>
      </c>
      <c r="L30" s="56">
        <v>8337</v>
      </c>
      <c r="M30" s="56">
        <v>8233</v>
      </c>
      <c r="N30" s="56">
        <v>8479</v>
      </c>
      <c r="O30" s="56">
        <v>8684</v>
      </c>
      <c r="Q30" s="497" t="s">
        <v>6262</v>
      </c>
    </row>
    <row r="31" spans="1:17">
      <c r="A31" s="497" t="s">
        <v>5433</v>
      </c>
      <c r="B31" s="497" t="s">
        <v>6240</v>
      </c>
      <c r="C31" s="55" t="s">
        <v>6942</v>
      </c>
      <c r="D31" s="503">
        <v>8164</v>
      </c>
      <c r="E31" s="503">
        <v>8725</v>
      </c>
      <c r="F31" s="503">
        <v>8695</v>
      </c>
      <c r="G31" s="503">
        <v>8686</v>
      </c>
      <c r="H31" s="58">
        <v>8139</v>
      </c>
      <c r="I31" s="58">
        <v>8160</v>
      </c>
      <c r="J31" s="58">
        <v>8215</v>
      </c>
      <c r="K31" s="58">
        <v>8431</v>
      </c>
      <c r="L31" s="58">
        <v>8196</v>
      </c>
      <c r="M31" s="58">
        <v>8189</v>
      </c>
      <c r="N31" s="58">
        <v>8368</v>
      </c>
      <c r="O31" s="58">
        <v>8651</v>
      </c>
      <c r="Q31" s="497" t="s">
        <v>6264</v>
      </c>
    </row>
    <row r="32" spans="1:17">
      <c r="A32" s="497" t="s">
        <v>5435</v>
      </c>
      <c r="B32" s="497" t="s">
        <v>6241</v>
      </c>
      <c r="C32" s="55" t="s">
        <v>6943</v>
      </c>
      <c r="D32" s="503">
        <v>8153</v>
      </c>
      <c r="E32" s="503">
        <v>8292</v>
      </c>
      <c r="F32" s="503">
        <v>8652</v>
      </c>
      <c r="G32" s="503">
        <v>8870</v>
      </c>
      <c r="H32" s="58">
        <v>8285</v>
      </c>
      <c r="I32" s="58">
        <v>8323</v>
      </c>
      <c r="J32" s="58">
        <v>8290</v>
      </c>
      <c r="K32" s="58">
        <v>8614</v>
      </c>
      <c r="L32" s="58">
        <v>8530</v>
      </c>
      <c r="M32" s="58">
        <v>8546</v>
      </c>
      <c r="N32" s="58">
        <v>8768</v>
      </c>
      <c r="O32" s="58">
        <v>8999</v>
      </c>
      <c r="Q32" s="497" t="s">
        <v>6264</v>
      </c>
    </row>
    <row r="33" spans="1:17">
      <c r="A33" s="497" t="s">
        <v>5436</v>
      </c>
      <c r="B33" s="497" t="s">
        <v>6242</v>
      </c>
      <c r="C33" s="55" t="s">
        <v>6944</v>
      </c>
      <c r="D33" s="499">
        <v>5943</v>
      </c>
      <c r="E33" s="499">
        <v>6082</v>
      </c>
      <c r="F33" s="499">
        <v>6036</v>
      </c>
      <c r="G33" s="499">
        <v>6057</v>
      </c>
      <c r="H33" s="56">
        <v>5677</v>
      </c>
      <c r="I33" s="56">
        <v>5897</v>
      </c>
      <c r="J33" s="56">
        <v>6081</v>
      </c>
      <c r="K33" s="56">
        <v>6604</v>
      </c>
      <c r="L33" s="56">
        <v>6599</v>
      </c>
      <c r="M33" s="56">
        <v>7024</v>
      </c>
      <c r="N33" s="56">
        <v>8013</v>
      </c>
      <c r="O33" s="56">
        <v>8661</v>
      </c>
      <c r="Q33" s="497" t="s">
        <v>6262</v>
      </c>
    </row>
    <row r="34" spans="1:17">
      <c r="A34" s="497" t="s">
        <v>5437</v>
      </c>
      <c r="B34" s="497" t="s">
        <v>6243</v>
      </c>
      <c r="C34" s="55" t="s">
        <v>6945</v>
      </c>
      <c r="D34" s="503">
        <v>8834</v>
      </c>
      <c r="E34" s="503">
        <v>9206</v>
      </c>
      <c r="F34" s="503">
        <v>9434</v>
      </c>
      <c r="G34" s="503">
        <v>9709</v>
      </c>
      <c r="H34" s="58">
        <v>9185</v>
      </c>
      <c r="I34" s="58">
        <v>10090</v>
      </c>
      <c r="J34" s="58">
        <v>12471</v>
      </c>
      <c r="K34" s="58">
        <v>14110</v>
      </c>
      <c r="L34" s="58">
        <v>14694</v>
      </c>
      <c r="M34" s="58">
        <v>14599</v>
      </c>
      <c r="N34" s="58">
        <v>16232</v>
      </c>
      <c r="O34" s="58">
        <v>17631</v>
      </c>
      <c r="Q34" s="497" t="s">
        <v>6264</v>
      </c>
    </row>
    <row r="35" spans="1:17">
      <c r="A35" s="497" t="s">
        <v>5439</v>
      </c>
      <c r="B35" s="497" t="s">
        <v>6244</v>
      </c>
      <c r="C35" s="55" t="s">
        <v>6946</v>
      </c>
      <c r="D35" s="503">
        <v>9137</v>
      </c>
      <c r="E35" s="503">
        <v>9396</v>
      </c>
      <c r="F35" s="503">
        <v>9429</v>
      </c>
      <c r="G35" s="503">
        <v>9405</v>
      </c>
      <c r="H35" s="56">
        <v>8685</v>
      </c>
      <c r="I35" s="56">
        <v>8493</v>
      </c>
      <c r="J35" s="56">
        <v>8418</v>
      </c>
      <c r="K35" s="56">
        <v>8532</v>
      </c>
      <c r="L35" s="56">
        <v>8233</v>
      </c>
      <c r="M35" s="56">
        <v>8045</v>
      </c>
      <c r="N35" s="56">
        <v>8148</v>
      </c>
      <c r="O35" s="56">
        <v>8381</v>
      </c>
      <c r="Q35" s="497" t="s">
        <v>6262</v>
      </c>
    </row>
    <row r="36" spans="1:17">
      <c r="A36" s="497" t="s">
        <v>5441</v>
      </c>
      <c r="B36" s="497" t="s">
        <v>6245</v>
      </c>
      <c r="C36" s="55" t="s">
        <v>6947</v>
      </c>
      <c r="D36" s="503">
        <v>8022</v>
      </c>
      <c r="E36" s="503">
        <v>8431</v>
      </c>
      <c r="F36" s="503">
        <v>8559</v>
      </c>
      <c r="G36" s="503">
        <v>8593</v>
      </c>
      <c r="H36" s="58">
        <v>7858</v>
      </c>
      <c r="I36" s="58">
        <v>7841</v>
      </c>
      <c r="J36" s="58">
        <v>8073</v>
      </c>
      <c r="K36" s="58">
        <v>8296</v>
      </c>
      <c r="L36" s="58">
        <v>8100</v>
      </c>
      <c r="M36" s="58">
        <v>7985</v>
      </c>
      <c r="N36" s="58">
        <v>8211</v>
      </c>
      <c r="O36" s="58">
        <v>8471</v>
      </c>
      <c r="Q36" s="497" t="s">
        <v>6264</v>
      </c>
    </row>
    <row r="38" spans="1:17">
      <c r="A38" s="137" t="s">
        <v>6246</v>
      </c>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3:D4 E3:E4 F3:F4 G3:G4 D5:D15 E5:E15 F5:F15 G5:G15 H3:H4 H5:H15 I3:I15 J3:J15 K3:K15 L3:L15" unlocked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dimension ref="A1:Q320"/>
  <sheetViews>
    <sheetView showGridLines="0" topLeftCell="A304" zoomScale="90" zoomScaleNormal="90" workbookViewId="0">
      <selection activeCell="Q138" sqref="Q138"/>
    </sheetView>
  </sheetViews>
  <sheetFormatPr defaultColWidth="12.5703125" defaultRowHeight="15"/>
  <cols>
    <col min="1" max="1" width="4.85546875" style="136" customWidth="1"/>
    <col min="2" max="2" width="45.85546875" style="136" customWidth="1"/>
    <col min="3" max="3" width="11.5703125" style="136" customWidth="1"/>
    <col min="4" max="15" width="10" style="136" customWidth="1"/>
    <col min="16" max="16" width="2.28515625" style="136" customWidth="1"/>
    <col min="17" max="17" width="35.7109375" style="136" customWidth="1"/>
    <col min="18" max="16384" width="12.5703125" style="136"/>
  </cols>
  <sheetData>
    <row r="1" spans="1:17">
      <c r="A1" s="486" t="s">
        <v>6924</v>
      </c>
      <c r="D1" s="487">
        <v>2010</v>
      </c>
      <c r="E1" s="487">
        <v>2011</v>
      </c>
      <c r="F1" s="487">
        <v>2012</v>
      </c>
      <c r="G1" s="487">
        <v>2013</v>
      </c>
      <c r="H1" s="487">
        <v>2014</v>
      </c>
      <c r="I1" s="487">
        <v>2015</v>
      </c>
      <c r="J1" s="487">
        <v>2016</v>
      </c>
      <c r="K1" s="487">
        <v>2017</v>
      </c>
      <c r="L1" s="487">
        <v>2018</v>
      </c>
      <c r="M1" s="487">
        <v>2019</v>
      </c>
      <c r="N1" s="487">
        <v>2020</v>
      </c>
      <c r="O1" s="953" t="s">
        <v>14823</v>
      </c>
    </row>
    <row r="3" spans="1:17">
      <c r="A3" s="486" t="s">
        <v>3797</v>
      </c>
      <c r="D3" s="488">
        <f t="shared" ref="D3:I3" si="0">SUM(D5:D11)</f>
        <v>645246</v>
      </c>
      <c r="E3" s="488">
        <f t="shared" si="0"/>
        <v>651119</v>
      </c>
      <c r="F3" s="488">
        <f t="shared" si="0"/>
        <v>653850</v>
      </c>
      <c r="G3" s="488">
        <f t="shared" si="0"/>
        <v>658351</v>
      </c>
      <c r="H3" s="488">
        <f t="shared" si="0"/>
        <v>652680</v>
      </c>
      <c r="I3" s="488">
        <f t="shared" si="0"/>
        <v>641640</v>
      </c>
      <c r="J3" s="488">
        <f t="shared" ref="J3:O3" si="1">SUM(J5:J11)</f>
        <v>645761</v>
      </c>
      <c r="K3" s="488">
        <f t="shared" si="1"/>
        <v>660307</v>
      </c>
      <c r="L3" s="488">
        <f t="shared" si="1"/>
        <v>662690</v>
      </c>
      <c r="M3" s="488">
        <f t="shared" si="1"/>
        <v>655365</v>
      </c>
      <c r="N3" s="488">
        <f t="shared" si="1"/>
        <v>682624</v>
      </c>
      <c r="O3" s="488">
        <f t="shared" si="1"/>
        <v>675778</v>
      </c>
    </row>
    <row r="4" spans="1:17">
      <c r="D4" s="489"/>
      <c r="E4" s="489"/>
      <c r="F4" s="489"/>
      <c r="G4" s="489"/>
      <c r="H4" s="489"/>
      <c r="I4" s="489"/>
      <c r="J4" s="489"/>
      <c r="K4" s="489"/>
      <c r="L4" s="489"/>
      <c r="M4" s="489"/>
      <c r="N4" s="489"/>
      <c r="O4" s="489"/>
    </row>
    <row r="5" spans="1:17">
      <c r="A5" s="486" t="s">
        <v>3098</v>
      </c>
      <c r="C5" s="486"/>
      <c r="D5" s="488">
        <f t="shared" ref="D5:I5" si="2">D52</f>
        <v>93852</v>
      </c>
      <c r="E5" s="488">
        <f t="shared" si="2"/>
        <v>94715</v>
      </c>
      <c r="F5" s="488">
        <f t="shared" si="2"/>
        <v>95612</v>
      </c>
      <c r="G5" s="488">
        <f t="shared" si="2"/>
        <v>97612</v>
      </c>
      <c r="H5" s="488">
        <f t="shared" si="2"/>
        <v>94135</v>
      </c>
      <c r="I5" s="488">
        <f t="shared" si="2"/>
        <v>95607</v>
      </c>
      <c r="J5" s="488">
        <f t="shared" ref="J5:O5" si="3">J52</f>
        <v>97669</v>
      </c>
      <c r="K5" s="488">
        <f t="shared" si="3"/>
        <v>100068</v>
      </c>
      <c r="L5" s="488">
        <f t="shared" si="3"/>
        <v>99776</v>
      </c>
      <c r="M5" s="488">
        <f t="shared" si="3"/>
        <v>96002</v>
      </c>
      <c r="N5" s="488">
        <f t="shared" si="3"/>
        <v>101365</v>
      </c>
      <c r="O5" s="488">
        <f t="shared" si="3"/>
        <v>100283</v>
      </c>
      <c r="Q5" s="490"/>
    </row>
    <row r="6" spans="1:17">
      <c r="A6" s="486" t="s">
        <v>3099</v>
      </c>
      <c r="C6" s="486"/>
      <c r="D6" s="488">
        <f t="shared" ref="D6:I6" si="4">D97</f>
        <v>93920</v>
      </c>
      <c r="E6" s="488">
        <f t="shared" si="4"/>
        <v>95393</v>
      </c>
      <c r="F6" s="488">
        <f t="shared" si="4"/>
        <v>96268</v>
      </c>
      <c r="G6" s="488">
        <f t="shared" si="4"/>
        <v>97292</v>
      </c>
      <c r="H6" s="488">
        <f t="shared" si="4"/>
        <v>96559</v>
      </c>
      <c r="I6" s="488">
        <f t="shared" si="4"/>
        <v>93466</v>
      </c>
      <c r="J6" s="488">
        <f t="shared" ref="J6:O6" si="5">J97</f>
        <v>94862</v>
      </c>
      <c r="K6" s="488">
        <f t="shared" si="5"/>
        <v>98674</v>
      </c>
      <c r="L6" s="488">
        <f t="shared" si="5"/>
        <v>98807</v>
      </c>
      <c r="M6" s="488">
        <f t="shared" si="5"/>
        <v>98852</v>
      </c>
      <c r="N6" s="488">
        <f t="shared" si="5"/>
        <v>100436</v>
      </c>
      <c r="O6" s="488">
        <f t="shared" si="5"/>
        <v>102505</v>
      </c>
      <c r="Q6" s="490"/>
    </row>
    <row r="7" spans="1:17">
      <c r="A7" s="486" t="s">
        <v>3100</v>
      </c>
      <c r="C7" s="486"/>
      <c r="D7" s="488">
        <f t="shared" ref="D7:I7" si="6">D134</f>
        <v>70196</v>
      </c>
      <c r="E7" s="488">
        <f t="shared" si="6"/>
        <v>70526</v>
      </c>
      <c r="F7" s="488">
        <f t="shared" si="6"/>
        <v>69872</v>
      </c>
      <c r="G7" s="488">
        <f t="shared" si="6"/>
        <v>69238</v>
      </c>
      <c r="H7" s="488">
        <f t="shared" si="6"/>
        <v>69616</v>
      </c>
      <c r="I7" s="488">
        <f t="shared" si="6"/>
        <v>68756</v>
      </c>
      <c r="J7" s="488">
        <f t="shared" ref="J7:O7" si="7">J134</f>
        <v>69691</v>
      </c>
      <c r="K7" s="488">
        <f t="shared" si="7"/>
        <v>70816</v>
      </c>
      <c r="L7" s="488">
        <f t="shared" si="7"/>
        <v>69332</v>
      </c>
      <c r="M7" s="488">
        <f t="shared" si="7"/>
        <v>69104</v>
      </c>
      <c r="N7" s="488">
        <f t="shared" si="7"/>
        <v>69808</v>
      </c>
      <c r="O7" s="488">
        <f t="shared" si="7"/>
        <v>70077</v>
      </c>
      <c r="Q7" s="490"/>
    </row>
    <row r="8" spans="1:17">
      <c r="A8" s="486" t="s">
        <v>1735</v>
      </c>
      <c r="C8" s="486"/>
      <c r="D8" s="488">
        <f t="shared" ref="D8:I8" si="8">D160</f>
        <v>112712</v>
      </c>
      <c r="E8" s="488">
        <f t="shared" si="8"/>
        <v>113156</v>
      </c>
      <c r="F8" s="488">
        <f t="shared" si="8"/>
        <v>113756</v>
      </c>
      <c r="G8" s="488">
        <f t="shared" si="8"/>
        <v>114603</v>
      </c>
      <c r="H8" s="488">
        <f t="shared" si="8"/>
        <v>112488</v>
      </c>
      <c r="I8" s="488">
        <f t="shared" si="8"/>
        <v>110585</v>
      </c>
      <c r="J8" s="488">
        <f t="shared" ref="J8:O8" si="9">J160</f>
        <v>110945</v>
      </c>
      <c r="K8" s="488">
        <f t="shared" si="9"/>
        <v>111441</v>
      </c>
      <c r="L8" s="488">
        <f t="shared" si="9"/>
        <v>112209</v>
      </c>
      <c r="M8" s="488">
        <f t="shared" si="9"/>
        <v>111263</v>
      </c>
      <c r="N8" s="488">
        <f t="shared" si="9"/>
        <v>114582</v>
      </c>
      <c r="O8" s="488">
        <f t="shared" si="9"/>
        <v>113163</v>
      </c>
      <c r="Q8" s="490"/>
    </row>
    <row r="9" spans="1:17">
      <c r="A9" s="486" t="s">
        <v>1736</v>
      </c>
      <c r="C9" s="486"/>
      <c r="D9" s="488">
        <f t="shared" ref="D9:I9" si="10">D211</f>
        <v>81366</v>
      </c>
      <c r="E9" s="488">
        <f t="shared" si="10"/>
        <v>81667</v>
      </c>
      <c r="F9" s="488">
        <f t="shared" si="10"/>
        <v>81767</v>
      </c>
      <c r="G9" s="488">
        <f t="shared" si="10"/>
        <v>82455</v>
      </c>
      <c r="H9" s="488">
        <f t="shared" si="10"/>
        <v>82104</v>
      </c>
      <c r="I9" s="488">
        <f t="shared" si="10"/>
        <v>81470</v>
      </c>
      <c r="J9" s="488">
        <f t="shared" ref="J9:O9" si="11">J211</f>
        <v>80922</v>
      </c>
      <c r="K9" s="488">
        <f t="shared" si="11"/>
        <v>81527</v>
      </c>
      <c r="L9" s="488">
        <f t="shared" si="11"/>
        <v>82455</v>
      </c>
      <c r="M9" s="488">
        <f t="shared" si="11"/>
        <v>81846</v>
      </c>
      <c r="N9" s="488">
        <f t="shared" si="11"/>
        <v>83635</v>
      </c>
      <c r="O9" s="488">
        <f t="shared" si="11"/>
        <v>83284</v>
      </c>
      <c r="Q9" s="490"/>
    </row>
    <row r="10" spans="1:17">
      <c r="A10" s="486" t="s">
        <v>1737</v>
      </c>
      <c r="C10" s="486"/>
      <c r="D10" s="488">
        <f t="shared" ref="D10:I10" si="12">D258</f>
        <v>97431</v>
      </c>
      <c r="E10" s="488">
        <f t="shared" si="12"/>
        <v>98569</v>
      </c>
      <c r="F10" s="488">
        <f t="shared" si="12"/>
        <v>98771</v>
      </c>
      <c r="G10" s="488">
        <f t="shared" si="12"/>
        <v>97924</v>
      </c>
      <c r="H10" s="488">
        <f t="shared" si="12"/>
        <v>98595</v>
      </c>
      <c r="I10" s="488">
        <f t="shared" si="12"/>
        <v>93985</v>
      </c>
      <c r="J10" s="488">
        <f t="shared" ref="J10:O10" si="13">J258</f>
        <v>93077</v>
      </c>
      <c r="K10" s="488">
        <f t="shared" si="13"/>
        <v>93894</v>
      </c>
      <c r="L10" s="488">
        <f t="shared" si="13"/>
        <v>96154</v>
      </c>
      <c r="M10" s="488">
        <f t="shared" si="13"/>
        <v>92961</v>
      </c>
      <c r="N10" s="488">
        <f t="shared" si="13"/>
        <v>103871</v>
      </c>
      <c r="O10" s="488">
        <f t="shared" si="13"/>
        <v>97557</v>
      </c>
      <c r="Q10" s="490"/>
    </row>
    <row r="11" spans="1:17">
      <c r="A11" s="486" t="s">
        <v>1738</v>
      </c>
      <c r="C11" s="486"/>
      <c r="D11" s="488">
        <f t="shared" ref="D11:I11" si="14">D283</f>
        <v>95769</v>
      </c>
      <c r="E11" s="488">
        <f t="shared" si="14"/>
        <v>97093</v>
      </c>
      <c r="F11" s="488">
        <f t="shared" si="14"/>
        <v>97804</v>
      </c>
      <c r="G11" s="488">
        <f t="shared" si="14"/>
        <v>99227</v>
      </c>
      <c r="H11" s="488">
        <f t="shared" si="14"/>
        <v>99183</v>
      </c>
      <c r="I11" s="488">
        <f t="shared" si="14"/>
        <v>97771</v>
      </c>
      <c r="J11" s="488">
        <f t="shared" ref="J11:O11" si="15">J283</f>
        <v>98595</v>
      </c>
      <c r="K11" s="488">
        <f t="shared" si="15"/>
        <v>103887</v>
      </c>
      <c r="L11" s="488">
        <f t="shared" si="15"/>
        <v>103957</v>
      </c>
      <c r="M11" s="488">
        <f t="shared" si="15"/>
        <v>105337</v>
      </c>
      <c r="N11" s="488">
        <f t="shared" si="15"/>
        <v>108927</v>
      </c>
      <c r="O11" s="488">
        <f t="shared" si="15"/>
        <v>108909</v>
      </c>
      <c r="Q11" s="490"/>
    </row>
    <row r="13" spans="1:17">
      <c r="A13" s="486" t="s">
        <v>1739</v>
      </c>
      <c r="D13" s="488">
        <f t="shared" ref="D13:I13" si="16">D3/9</f>
        <v>71694</v>
      </c>
      <c r="E13" s="488">
        <f t="shared" si="16"/>
        <v>72346.555555555562</v>
      </c>
      <c r="F13" s="488">
        <f t="shared" si="16"/>
        <v>72650</v>
      </c>
      <c r="G13" s="488">
        <f t="shared" si="16"/>
        <v>73150.111111111109</v>
      </c>
      <c r="H13" s="488">
        <f t="shared" si="16"/>
        <v>72520</v>
      </c>
      <c r="I13" s="488">
        <f t="shared" si="16"/>
        <v>71293.333333333328</v>
      </c>
      <c r="J13" s="488">
        <f t="shared" ref="J13:O13" si="17">J3/9</f>
        <v>71751.222222222219</v>
      </c>
      <c r="K13" s="488">
        <f t="shared" si="17"/>
        <v>73367.444444444438</v>
      </c>
      <c r="L13" s="488">
        <f t="shared" si="17"/>
        <v>73632.222222222219</v>
      </c>
      <c r="M13" s="488">
        <f t="shared" si="17"/>
        <v>72818.333333333328</v>
      </c>
      <c r="N13" s="488">
        <f t="shared" si="17"/>
        <v>75847.111111111109</v>
      </c>
      <c r="O13" s="488">
        <f t="shared" si="17"/>
        <v>75086.444444444438</v>
      </c>
    </row>
    <row r="14" spans="1:17">
      <c r="D14" s="489"/>
      <c r="E14" s="489"/>
      <c r="F14" s="489"/>
      <c r="G14" s="489"/>
      <c r="H14" s="489"/>
      <c r="I14" s="489"/>
      <c r="J14" s="489"/>
      <c r="K14" s="489"/>
      <c r="L14" s="489"/>
      <c r="M14" s="489"/>
      <c r="N14" s="489"/>
      <c r="O14" s="489"/>
    </row>
    <row r="15" spans="1:17">
      <c r="A15" s="136" t="s">
        <v>1740</v>
      </c>
      <c r="D15" s="489">
        <f t="shared" ref="D15:I15" si="18">D126</f>
        <v>58593</v>
      </c>
      <c r="E15" s="489">
        <f t="shared" si="18"/>
        <v>59676</v>
      </c>
      <c r="F15" s="489">
        <f t="shared" si="18"/>
        <v>60221</v>
      </c>
      <c r="G15" s="489">
        <f t="shared" si="18"/>
        <v>60864</v>
      </c>
      <c r="H15" s="489">
        <f t="shared" si="18"/>
        <v>60275</v>
      </c>
      <c r="I15" s="489">
        <f t="shared" si="18"/>
        <v>58413</v>
      </c>
      <c r="J15" s="489">
        <f t="shared" ref="J15:O15" si="19">J126</f>
        <v>59615</v>
      </c>
      <c r="K15" s="489">
        <f t="shared" si="19"/>
        <v>62215</v>
      </c>
      <c r="L15" s="489">
        <f t="shared" si="19"/>
        <v>62305</v>
      </c>
      <c r="M15" s="489">
        <f t="shared" si="19"/>
        <v>62298</v>
      </c>
      <c r="N15" s="489">
        <f t="shared" si="19"/>
        <v>63275</v>
      </c>
      <c r="O15" s="489">
        <f t="shared" si="19"/>
        <v>64517</v>
      </c>
      <c r="Q15" s="486" t="s">
        <v>1741</v>
      </c>
    </row>
    <row r="16" spans="1:17" ht="15.75" thickBot="1">
      <c r="D16" s="491">
        <f t="shared" ref="D16:I16" si="20">D249</f>
        <v>13389</v>
      </c>
      <c r="E16" s="491">
        <f t="shared" si="20"/>
        <v>13390</v>
      </c>
      <c r="F16" s="491">
        <f t="shared" si="20"/>
        <v>13358</v>
      </c>
      <c r="G16" s="491">
        <f t="shared" si="20"/>
        <v>13450</v>
      </c>
      <c r="H16" s="491">
        <f t="shared" si="20"/>
        <v>13397</v>
      </c>
      <c r="I16" s="491">
        <f t="shared" si="20"/>
        <v>13275</v>
      </c>
      <c r="J16" s="491">
        <f t="shared" ref="J16:O16" si="21">J249</f>
        <v>13282</v>
      </c>
      <c r="K16" s="491">
        <f t="shared" si="21"/>
        <v>13304</v>
      </c>
      <c r="L16" s="491">
        <f t="shared" si="21"/>
        <v>13479</v>
      </c>
      <c r="M16" s="491">
        <f t="shared" si="21"/>
        <v>13406</v>
      </c>
      <c r="N16" s="491">
        <f t="shared" si="21"/>
        <v>13690</v>
      </c>
      <c r="O16" s="491">
        <f t="shared" si="21"/>
        <v>13630</v>
      </c>
      <c r="Q16" s="486" t="s">
        <v>4609</v>
      </c>
    </row>
    <row r="17" spans="1:17" ht="15.75" thickBot="1">
      <c r="D17" s="492">
        <f t="shared" ref="D17:I17" si="22">D15+D16</f>
        <v>71982</v>
      </c>
      <c r="E17" s="492">
        <f t="shared" si="22"/>
        <v>73066</v>
      </c>
      <c r="F17" s="492">
        <f t="shared" si="22"/>
        <v>73579</v>
      </c>
      <c r="G17" s="492">
        <f t="shared" si="22"/>
        <v>74314</v>
      </c>
      <c r="H17" s="492">
        <f t="shared" si="22"/>
        <v>73672</v>
      </c>
      <c r="I17" s="492">
        <f t="shared" si="22"/>
        <v>71688</v>
      </c>
      <c r="J17" s="492">
        <f t="shared" ref="J17:O17" si="23">J15+J16</f>
        <v>72897</v>
      </c>
      <c r="K17" s="492">
        <f t="shared" si="23"/>
        <v>75519</v>
      </c>
      <c r="L17" s="492">
        <f t="shared" si="23"/>
        <v>75784</v>
      </c>
      <c r="M17" s="492">
        <f t="shared" si="23"/>
        <v>75704</v>
      </c>
      <c r="N17" s="492">
        <f t="shared" si="23"/>
        <v>76965</v>
      </c>
      <c r="O17" s="492">
        <f t="shared" si="23"/>
        <v>78147</v>
      </c>
    </row>
    <row r="18" spans="1:17">
      <c r="D18" s="489"/>
      <c r="E18" s="489"/>
      <c r="F18" s="489"/>
      <c r="G18" s="489"/>
      <c r="H18" s="489"/>
      <c r="I18" s="489"/>
      <c r="J18" s="489"/>
      <c r="K18" s="489"/>
      <c r="L18" s="489"/>
      <c r="M18" s="489"/>
      <c r="N18" s="489"/>
      <c r="O18" s="489"/>
    </row>
    <row r="19" spans="1:17">
      <c r="A19" s="486" t="s">
        <v>4610</v>
      </c>
      <c r="D19" s="488">
        <f t="shared" ref="D19:I19" si="24">D153</f>
        <v>70196</v>
      </c>
      <c r="E19" s="488">
        <f t="shared" si="24"/>
        <v>70526</v>
      </c>
      <c r="F19" s="488">
        <f t="shared" si="24"/>
        <v>69872</v>
      </c>
      <c r="G19" s="488">
        <f t="shared" si="24"/>
        <v>69238</v>
      </c>
      <c r="H19" s="488">
        <f t="shared" si="24"/>
        <v>69616</v>
      </c>
      <c r="I19" s="488">
        <f t="shared" si="24"/>
        <v>68756</v>
      </c>
      <c r="J19" s="488">
        <f t="shared" ref="J19:O19" si="25">J153</f>
        <v>69691</v>
      </c>
      <c r="K19" s="488">
        <f t="shared" si="25"/>
        <v>70816</v>
      </c>
      <c r="L19" s="488">
        <f t="shared" si="25"/>
        <v>69332</v>
      </c>
      <c r="M19" s="488">
        <f t="shared" si="25"/>
        <v>69104</v>
      </c>
      <c r="N19" s="488">
        <f t="shared" si="25"/>
        <v>69808</v>
      </c>
      <c r="O19" s="488">
        <f t="shared" si="25"/>
        <v>70077</v>
      </c>
      <c r="Q19" s="486" t="s">
        <v>6651</v>
      </c>
    </row>
    <row r="20" spans="1:17">
      <c r="D20" s="489"/>
      <c r="E20" s="489"/>
      <c r="F20" s="489"/>
      <c r="G20" s="489"/>
      <c r="H20" s="489"/>
      <c r="I20" s="489"/>
      <c r="J20" s="489"/>
      <c r="K20" s="489"/>
      <c r="L20" s="489"/>
      <c r="M20" s="489"/>
      <c r="N20" s="489"/>
      <c r="O20" s="489"/>
    </row>
    <row r="21" spans="1:17">
      <c r="A21" s="486" t="s">
        <v>4611</v>
      </c>
      <c r="D21" s="488">
        <f t="shared" ref="D21:I21" si="26">D89</f>
        <v>58981</v>
      </c>
      <c r="E21" s="488">
        <f t="shared" si="26"/>
        <v>59568</v>
      </c>
      <c r="F21" s="488">
        <f t="shared" si="26"/>
        <v>60018</v>
      </c>
      <c r="G21" s="488">
        <f t="shared" si="26"/>
        <v>61356</v>
      </c>
      <c r="H21" s="488">
        <f t="shared" si="26"/>
        <v>59301</v>
      </c>
      <c r="I21" s="488">
        <f t="shared" si="26"/>
        <v>60116</v>
      </c>
      <c r="J21" s="488">
        <f t="shared" ref="J21:O21" si="27">J89</f>
        <v>61710</v>
      </c>
      <c r="K21" s="488">
        <f t="shared" si="27"/>
        <v>63395</v>
      </c>
      <c r="L21" s="488">
        <f t="shared" si="27"/>
        <v>63291</v>
      </c>
      <c r="M21" s="488">
        <f t="shared" si="27"/>
        <v>61035</v>
      </c>
      <c r="N21" s="488">
        <f t="shared" si="27"/>
        <v>64472</v>
      </c>
      <c r="O21" s="488">
        <f t="shared" si="27"/>
        <v>63802</v>
      </c>
      <c r="Q21" s="486" t="s">
        <v>4612</v>
      </c>
    </row>
    <row r="22" spans="1:17" ht="15.75" thickBot="1">
      <c r="D22" s="493">
        <f t="shared" ref="D22:I22" si="28">D315</f>
        <v>15484</v>
      </c>
      <c r="E22" s="493">
        <f t="shared" si="28"/>
        <v>15512</v>
      </c>
      <c r="F22" s="493">
        <f t="shared" si="28"/>
        <v>15685</v>
      </c>
      <c r="G22" s="493">
        <f t="shared" si="28"/>
        <v>15963</v>
      </c>
      <c r="H22" s="493">
        <f t="shared" si="28"/>
        <v>15995</v>
      </c>
      <c r="I22" s="493">
        <f t="shared" si="28"/>
        <v>15825</v>
      </c>
      <c r="J22" s="493">
        <f t="shared" ref="J22:O22" si="29">J315</f>
        <v>15919</v>
      </c>
      <c r="K22" s="493">
        <f t="shared" si="29"/>
        <v>16712</v>
      </c>
      <c r="L22" s="493">
        <f t="shared" si="29"/>
        <v>16769</v>
      </c>
      <c r="M22" s="493">
        <f t="shared" si="29"/>
        <v>17156</v>
      </c>
      <c r="N22" s="493">
        <f t="shared" si="29"/>
        <v>18251</v>
      </c>
      <c r="O22" s="493">
        <f t="shared" si="29"/>
        <v>18258</v>
      </c>
      <c r="Q22" s="486" t="s">
        <v>4613</v>
      </c>
    </row>
    <row r="23" spans="1:17" ht="15.75" thickBot="1">
      <c r="D23" s="493">
        <f t="shared" ref="D23:I23" si="30">D21+D22</f>
        <v>74465</v>
      </c>
      <c r="E23" s="493">
        <f t="shared" si="30"/>
        <v>75080</v>
      </c>
      <c r="F23" s="493">
        <f t="shared" si="30"/>
        <v>75703</v>
      </c>
      <c r="G23" s="493">
        <f t="shared" si="30"/>
        <v>77319</v>
      </c>
      <c r="H23" s="493">
        <f t="shared" si="30"/>
        <v>75296</v>
      </c>
      <c r="I23" s="493">
        <f t="shared" si="30"/>
        <v>75941</v>
      </c>
      <c r="J23" s="493">
        <f t="shared" ref="J23:O23" si="31">J21+J22</f>
        <v>77629</v>
      </c>
      <c r="K23" s="493">
        <f t="shared" si="31"/>
        <v>80107</v>
      </c>
      <c r="L23" s="493">
        <f t="shared" si="31"/>
        <v>80060</v>
      </c>
      <c r="M23" s="493">
        <f t="shared" si="31"/>
        <v>78191</v>
      </c>
      <c r="N23" s="493">
        <f t="shared" si="31"/>
        <v>82723</v>
      </c>
      <c r="O23" s="493">
        <f t="shared" si="31"/>
        <v>82060</v>
      </c>
    </row>
    <row r="24" spans="1:17">
      <c r="D24" s="489"/>
      <c r="E24" s="489"/>
      <c r="F24" s="489"/>
      <c r="G24" s="489"/>
      <c r="H24" s="489"/>
      <c r="I24" s="489"/>
      <c r="J24" s="489"/>
      <c r="K24" s="489"/>
      <c r="L24" s="489"/>
      <c r="M24" s="489"/>
      <c r="N24" s="489"/>
      <c r="O24" s="489"/>
    </row>
    <row r="25" spans="1:17">
      <c r="A25" s="486" t="s">
        <v>4614</v>
      </c>
      <c r="D25" s="488">
        <f t="shared" ref="D25:I25" si="32">D250</f>
        <v>67977</v>
      </c>
      <c r="E25" s="488">
        <f t="shared" si="32"/>
        <v>68277</v>
      </c>
      <c r="F25" s="488">
        <f t="shared" si="32"/>
        <v>68409</v>
      </c>
      <c r="G25" s="488">
        <f t="shared" si="32"/>
        <v>69005</v>
      </c>
      <c r="H25" s="488">
        <f t="shared" si="32"/>
        <v>68707</v>
      </c>
      <c r="I25" s="488">
        <f t="shared" si="32"/>
        <v>68195</v>
      </c>
      <c r="J25" s="488">
        <f t="shared" ref="J25:O25" si="33">J250</f>
        <v>67640</v>
      </c>
      <c r="K25" s="488">
        <f t="shared" si="33"/>
        <v>68223</v>
      </c>
      <c r="L25" s="488">
        <f t="shared" si="33"/>
        <v>68976</v>
      </c>
      <c r="M25" s="488">
        <f t="shared" si="33"/>
        <v>68440</v>
      </c>
      <c r="N25" s="488">
        <f t="shared" si="33"/>
        <v>69945</v>
      </c>
      <c r="O25" s="488">
        <f t="shared" si="33"/>
        <v>69654</v>
      </c>
      <c r="Q25" s="486" t="s">
        <v>4609</v>
      </c>
    </row>
    <row r="26" spans="1:17">
      <c r="D26" s="489"/>
      <c r="E26" s="489"/>
      <c r="F26" s="489"/>
      <c r="G26" s="489"/>
      <c r="H26" s="489"/>
      <c r="I26" s="489"/>
      <c r="J26" s="489"/>
      <c r="K26" s="489"/>
      <c r="L26" s="489"/>
      <c r="M26" s="489"/>
      <c r="N26" s="489"/>
      <c r="O26" s="489"/>
    </row>
    <row r="27" spans="1:17">
      <c r="A27" s="486" t="s">
        <v>4615</v>
      </c>
      <c r="D27" s="488">
        <f t="shared" ref="D27:I27" si="34">D203</f>
        <v>73397</v>
      </c>
      <c r="E27" s="488">
        <f t="shared" si="34"/>
        <v>73269</v>
      </c>
      <c r="F27" s="488">
        <f t="shared" si="34"/>
        <v>73415</v>
      </c>
      <c r="G27" s="488">
        <f t="shared" si="34"/>
        <v>73663</v>
      </c>
      <c r="H27" s="488">
        <f t="shared" si="34"/>
        <v>72137</v>
      </c>
      <c r="I27" s="488">
        <f t="shared" si="34"/>
        <v>70892</v>
      </c>
      <c r="J27" s="488">
        <f t="shared" ref="J27:O27" si="35">J203</f>
        <v>70679</v>
      </c>
      <c r="K27" s="488">
        <f t="shared" si="35"/>
        <v>70789</v>
      </c>
      <c r="L27" s="488">
        <f t="shared" si="35"/>
        <v>71241</v>
      </c>
      <c r="M27" s="488">
        <f t="shared" si="35"/>
        <v>70507</v>
      </c>
      <c r="N27" s="488">
        <f t="shared" si="35"/>
        <v>72586</v>
      </c>
      <c r="O27" s="488">
        <f t="shared" si="35"/>
        <v>71719</v>
      </c>
      <c r="Q27" s="486" t="s">
        <v>4616</v>
      </c>
    </row>
    <row r="28" spans="1:17">
      <c r="D28" s="489"/>
      <c r="E28" s="489"/>
      <c r="F28" s="489"/>
      <c r="G28" s="489"/>
      <c r="H28" s="489"/>
      <c r="I28" s="489"/>
      <c r="J28" s="489"/>
      <c r="K28" s="489"/>
      <c r="L28" s="489"/>
      <c r="M28" s="489"/>
      <c r="N28" s="489"/>
      <c r="O28" s="489"/>
    </row>
    <row r="29" spans="1:17">
      <c r="A29" s="486" t="s">
        <v>4617</v>
      </c>
      <c r="D29" s="488">
        <f t="shared" ref="D29:I29" si="36">D127</f>
        <v>35327</v>
      </c>
      <c r="E29" s="488">
        <f t="shared" si="36"/>
        <v>35717</v>
      </c>
      <c r="F29" s="488">
        <f t="shared" si="36"/>
        <v>36047</v>
      </c>
      <c r="G29" s="488">
        <f t="shared" si="36"/>
        <v>36428</v>
      </c>
      <c r="H29" s="488">
        <f t="shared" si="36"/>
        <v>36284</v>
      </c>
      <c r="I29" s="488">
        <f t="shared" si="36"/>
        <v>35053</v>
      </c>
      <c r="J29" s="488">
        <f t="shared" ref="J29:O29" si="37">J127</f>
        <v>35247</v>
      </c>
      <c r="K29" s="488">
        <f t="shared" si="37"/>
        <v>36459</v>
      </c>
      <c r="L29" s="488">
        <f t="shared" si="37"/>
        <v>36502</v>
      </c>
      <c r="M29" s="488">
        <f t="shared" si="37"/>
        <v>36554</v>
      </c>
      <c r="N29" s="488">
        <f t="shared" si="37"/>
        <v>37161</v>
      </c>
      <c r="O29" s="488">
        <f t="shared" si="37"/>
        <v>37988</v>
      </c>
      <c r="Q29" s="486" t="s">
        <v>1741</v>
      </c>
    </row>
    <row r="30" spans="1:17" ht="15.75" thickBot="1">
      <c r="D30" s="493">
        <f t="shared" ref="D30:I30" si="38">D275</f>
        <v>29169</v>
      </c>
      <c r="E30" s="493">
        <f t="shared" si="38"/>
        <v>29265</v>
      </c>
      <c r="F30" s="493">
        <f t="shared" si="38"/>
        <v>29289</v>
      </c>
      <c r="G30" s="493">
        <f t="shared" si="38"/>
        <v>29459</v>
      </c>
      <c r="H30" s="493">
        <f t="shared" si="38"/>
        <v>29550</v>
      </c>
      <c r="I30" s="493">
        <f t="shared" si="38"/>
        <v>28497</v>
      </c>
      <c r="J30" s="493">
        <f t="shared" ref="J30:O30" si="39">J275</f>
        <v>28240</v>
      </c>
      <c r="K30" s="493">
        <f t="shared" si="39"/>
        <v>28834</v>
      </c>
      <c r="L30" s="493">
        <f t="shared" si="39"/>
        <v>29091</v>
      </c>
      <c r="M30" s="493">
        <f t="shared" si="39"/>
        <v>28489</v>
      </c>
      <c r="N30" s="493">
        <f t="shared" si="39"/>
        <v>29555</v>
      </c>
      <c r="O30" s="493">
        <f t="shared" si="39"/>
        <v>28306</v>
      </c>
      <c r="Q30" s="486" t="s">
        <v>4618</v>
      </c>
    </row>
    <row r="31" spans="1:17" ht="15.75" thickBot="1">
      <c r="D31" s="493">
        <f t="shared" ref="D31:I31" si="40">D29+D30</f>
        <v>64496</v>
      </c>
      <c r="E31" s="493">
        <f t="shared" si="40"/>
        <v>64982</v>
      </c>
      <c r="F31" s="493">
        <f t="shared" si="40"/>
        <v>65336</v>
      </c>
      <c r="G31" s="493">
        <f t="shared" si="40"/>
        <v>65887</v>
      </c>
      <c r="H31" s="493">
        <f t="shared" si="40"/>
        <v>65834</v>
      </c>
      <c r="I31" s="493">
        <f t="shared" si="40"/>
        <v>63550</v>
      </c>
      <c r="J31" s="493">
        <f t="shared" ref="J31:O31" si="41">J29+J30</f>
        <v>63487</v>
      </c>
      <c r="K31" s="493">
        <f t="shared" si="41"/>
        <v>65293</v>
      </c>
      <c r="L31" s="493">
        <f t="shared" si="41"/>
        <v>65593</v>
      </c>
      <c r="M31" s="493">
        <f t="shared" si="41"/>
        <v>65043</v>
      </c>
      <c r="N31" s="493">
        <f t="shared" si="41"/>
        <v>66716</v>
      </c>
      <c r="O31" s="493">
        <f t="shared" si="41"/>
        <v>66294</v>
      </c>
    </row>
    <row r="32" spans="1:17">
      <c r="D32" s="489"/>
      <c r="E32" s="489"/>
      <c r="F32" s="489"/>
      <c r="G32" s="489"/>
      <c r="H32" s="489"/>
      <c r="I32" s="489"/>
      <c r="J32" s="489"/>
      <c r="K32" s="489"/>
      <c r="L32" s="489"/>
      <c r="M32" s="489"/>
      <c r="N32" s="489"/>
      <c r="O32" s="489"/>
    </row>
    <row r="33" spans="1:17">
      <c r="A33" s="486" t="s">
        <v>4619</v>
      </c>
      <c r="D33" s="488">
        <f t="shared" ref="D33:I33" si="42">D276</f>
        <v>68262</v>
      </c>
      <c r="E33" s="488">
        <f t="shared" si="42"/>
        <v>69304</v>
      </c>
      <c r="F33" s="488">
        <f t="shared" si="42"/>
        <v>69482</v>
      </c>
      <c r="G33" s="488">
        <f t="shared" si="42"/>
        <v>68465</v>
      </c>
      <c r="H33" s="488">
        <f t="shared" si="42"/>
        <v>69045</v>
      </c>
      <c r="I33" s="488">
        <f t="shared" si="42"/>
        <v>65488</v>
      </c>
      <c r="J33" s="488">
        <f t="shared" ref="J33:O33" si="43">J276</f>
        <v>64837</v>
      </c>
      <c r="K33" s="488">
        <f t="shared" si="43"/>
        <v>65060</v>
      </c>
      <c r="L33" s="488">
        <f t="shared" si="43"/>
        <v>67063</v>
      </c>
      <c r="M33" s="488">
        <f t="shared" si="43"/>
        <v>64472</v>
      </c>
      <c r="N33" s="488">
        <f t="shared" si="43"/>
        <v>74316</v>
      </c>
      <c r="O33" s="488">
        <f t="shared" si="43"/>
        <v>69251</v>
      </c>
      <c r="Q33" s="486" t="s">
        <v>4618</v>
      </c>
    </row>
    <row r="34" spans="1:17" ht="15.75" thickBot="1">
      <c r="D34" s="493">
        <f t="shared" ref="D34:I34" si="44">D316</f>
        <v>4276</v>
      </c>
      <c r="E34" s="493">
        <f t="shared" si="44"/>
        <v>4265</v>
      </c>
      <c r="F34" s="493">
        <f t="shared" si="44"/>
        <v>4253</v>
      </c>
      <c r="G34" s="493">
        <f t="shared" si="44"/>
        <v>4279</v>
      </c>
      <c r="H34" s="493">
        <f t="shared" si="44"/>
        <v>4175</v>
      </c>
      <c r="I34" s="493">
        <f t="shared" si="44"/>
        <v>4118</v>
      </c>
      <c r="J34" s="493">
        <f t="shared" ref="J34:O34" si="45">J316</f>
        <v>4126</v>
      </c>
      <c r="K34" s="493">
        <f t="shared" si="45"/>
        <v>4301</v>
      </c>
      <c r="L34" s="493">
        <f t="shared" si="45"/>
        <v>4258</v>
      </c>
      <c r="M34" s="493">
        <f t="shared" si="45"/>
        <v>4241</v>
      </c>
      <c r="N34" s="493">
        <f t="shared" si="45"/>
        <v>4249</v>
      </c>
      <c r="O34" s="493">
        <f t="shared" si="45"/>
        <v>4230</v>
      </c>
      <c r="Q34" s="486" t="s">
        <v>4613</v>
      </c>
    </row>
    <row r="35" spans="1:17" ht="15.75" thickBot="1">
      <c r="D35" s="493">
        <f t="shared" ref="D35:I35" si="46">D33+D34</f>
        <v>72538</v>
      </c>
      <c r="E35" s="493">
        <f t="shared" si="46"/>
        <v>73569</v>
      </c>
      <c r="F35" s="493">
        <f t="shared" si="46"/>
        <v>73735</v>
      </c>
      <c r="G35" s="493">
        <f t="shared" si="46"/>
        <v>72744</v>
      </c>
      <c r="H35" s="493">
        <f t="shared" si="46"/>
        <v>73220</v>
      </c>
      <c r="I35" s="493">
        <f t="shared" si="46"/>
        <v>69606</v>
      </c>
      <c r="J35" s="493">
        <f t="shared" ref="J35:O35" si="47">J33+J34</f>
        <v>68963</v>
      </c>
      <c r="K35" s="493">
        <f t="shared" si="47"/>
        <v>69361</v>
      </c>
      <c r="L35" s="493">
        <f t="shared" si="47"/>
        <v>71321</v>
      </c>
      <c r="M35" s="493">
        <f t="shared" si="47"/>
        <v>68713</v>
      </c>
      <c r="N35" s="493">
        <f t="shared" si="47"/>
        <v>78565</v>
      </c>
      <c r="O35" s="493">
        <f t="shared" si="47"/>
        <v>73481</v>
      </c>
    </row>
    <row r="36" spans="1:17">
      <c r="D36" s="489"/>
      <c r="E36" s="489"/>
      <c r="F36" s="489"/>
      <c r="G36" s="489"/>
      <c r="H36" s="489"/>
      <c r="I36" s="489"/>
      <c r="J36" s="489"/>
      <c r="K36" s="489"/>
      <c r="L36" s="489"/>
      <c r="M36" s="489"/>
      <c r="N36" s="489"/>
      <c r="O36" s="489"/>
    </row>
    <row r="37" spans="1:17">
      <c r="A37" s="486" t="s">
        <v>6112</v>
      </c>
      <c r="D37" s="488">
        <f t="shared" ref="D37:I37" si="48">D317</f>
        <v>76009</v>
      </c>
      <c r="E37" s="488">
        <f t="shared" si="48"/>
        <v>77316</v>
      </c>
      <c r="F37" s="488">
        <f t="shared" si="48"/>
        <v>77866</v>
      </c>
      <c r="G37" s="488">
        <f t="shared" si="48"/>
        <v>78985</v>
      </c>
      <c r="H37" s="488">
        <f t="shared" si="48"/>
        <v>79013</v>
      </c>
      <c r="I37" s="488">
        <f t="shared" si="48"/>
        <v>77828</v>
      </c>
      <c r="J37" s="488">
        <f t="shared" ref="J37:O37" si="49">J317</f>
        <v>78550</v>
      </c>
      <c r="K37" s="488">
        <f t="shared" si="49"/>
        <v>82874</v>
      </c>
      <c r="L37" s="488">
        <f t="shared" si="49"/>
        <v>82930</v>
      </c>
      <c r="M37" s="488">
        <f t="shared" si="49"/>
        <v>83940</v>
      </c>
      <c r="N37" s="488">
        <f t="shared" si="49"/>
        <v>86427</v>
      </c>
      <c r="O37" s="488">
        <f t="shared" si="49"/>
        <v>86421</v>
      </c>
      <c r="Q37" s="486" t="s">
        <v>4613</v>
      </c>
    </row>
    <row r="38" spans="1:17">
      <c r="D38" s="489"/>
      <c r="E38" s="489"/>
      <c r="F38" s="489"/>
      <c r="G38" s="489"/>
      <c r="H38" s="489"/>
      <c r="I38" s="489"/>
      <c r="J38" s="489"/>
      <c r="K38" s="489"/>
      <c r="L38" s="489"/>
      <c r="M38" s="489"/>
      <c r="N38" s="489"/>
      <c r="O38" s="489"/>
    </row>
    <row r="39" spans="1:17">
      <c r="A39" s="486" t="s">
        <v>6113</v>
      </c>
      <c r="D39" s="488">
        <f t="shared" ref="D39:I39" si="50">D90</f>
        <v>34871</v>
      </c>
      <c r="E39" s="488">
        <f t="shared" si="50"/>
        <v>35147</v>
      </c>
      <c r="F39" s="488">
        <f t="shared" si="50"/>
        <v>35594</v>
      </c>
      <c r="G39" s="488">
        <f t="shared" si="50"/>
        <v>36256</v>
      </c>
      <c r="H39" s="488">
        <f t="shared" si="50"/>
        <v>34834</v>
      </c>
      <c r="I39" s="488">
        <f t="shared" si="50"/>
        <v>35491</v>
      </c>
      <c r="J39" s="488">
        <f t="shared" ref="J39:O39" si="51">J90</f>
        <v>35959</v>
      </c>
      <c r="K39" s="488">
        <f t="shared" si="51"/>
        <v>36673</v>
      </c>
      <c r="L39" s="488">
        <f t="shared" si="51"/>
        <v>36485</v>
      </c>
      <c r="M39" s="488">
        <f t="shared" si="51"/>
        <v>34967</v>
      </c>
      <c r="N39" s="488">
        <f t="shared" si="51"/>
        <v>36893</v>
      </c>
      <c r="O39" s="488">
        <f t="shared" si="51"/>
        <v>36481</v>
      </c>
      <c r="Q39" s="486" t="s">
        <v>4612</v>
      </c>
    </row>
    <row r="40" spans="1:17" ht="15.75" thickBot="1">
      <c r="D40" s="493">
        <f t="shared" ref="D40:I40" si="52">D204</f>
        <v>39315</v>
      </c>
      <c r="E40" s="493">
        <f t="shared" si="52"/>
        <v>39887</v>
      </c>
      <c r="F40" s="493">
        <f t="shared" si="52"/>
        <v>40341</v>
      </c>
      <c r="G40" s="493">
        <f t="shared" si="52"/>
        <v>40940</v>
      </c>
      <c r="H40" s="493">
        <f t="shared" si="52"/>
        <v>40351</v>
      </c>
      <c r="I40" s="493">
        <f t="shared" si="52"/>
        <v>39693</v>
      </c>
      <c r="J40" s="493">
        <f t="shared" ref="J40:O40" si="53">J204</f>
        <v>40266</v>
      </c>
      <c r="K40" s="493">
        <f t="shared" si="53"/>
        <v>40652</v>
      </c>
      <c r="L40" s="493">
        <f t="shared" si="53"/>
        <v>40968</v>
      </c>
      <c r="M40" s="493">
        <f t="shared" si="53"/>
        <v>40756</v>
      </c>
      <c r="N40" s="493">
        <f t="shared" si="53"/>
        <v>41996</v>
      </c>
      <c r="O40" s="493">
        <f t="shared" si="53"/>
        <v>41444</v>
      </c>
      <c r="Q40" s="486" t="s">
        <v>4616</v>
      </c>
    </row>
    <row r="41" spans="1:17" ht="15.75" thickBot="1">
      <c r="D41" s="493">
        <f t="shared" ref="D41:I41" si="54">D39+D40</f>
        <v>74186</v>
      </c>
      <c r="E41" s="493">
        <f t="shared" si="54"/>
        <v>75034</v>
      </c>
      <c r="F41" s="493">
        <f t="shared" si="54"/>
        <v>75935</v>
      </c>
      <c r="G41" s="493">
        <f t="shared" si="54"/>
        <v>77196</v>
      </c>
      <c r="H41" s="493">
        <f t="shared" si="54"/>
        <v>75185</v>
      </c>
      <c r="I41" s="493">
        <f t="shared" si="54"/>
        <v>75184</v>
      </c>
      <c r="J41" s="493">
        <f t="shared" ref="J41:O41" si="55">J39+J40</f>
        <v>76225</v>
      </c>
      <c r="K41" s="493">
        <f t="shared" si="55"/>
        <v>77325</v>
      </c>
      <c r="L41" s="493">
        <f t="shared" si="55"/>
        <v>77453</v>
      </c>
      <c r="M41" s="493">
        <f t="shared" si="55"/>
        <v>75723</v>
      </c>
      <c r="N41" s="493">
        <f t="shared" si="55"/>
        <v>78889</v>
      </c>
      <c r="O41" s="493">
        <f t="shared" si="55"/>
        <v>77925</v>
      </c>
    </row>
    <row r="42" spans="1:17">
      <c r="D42" s="489"/>
      <c r="E42" s="489"/>
      <c r="F42" s="489"/>
      <c r="G42" s="489"/>
      <c r="H42" s="489"/>
      <c r="I42" s="489"/>
      <c r="J42" s="489"/>
      <c r="K42" s="489"/>
      <c r="L42" s="489"/>
      <c r="M42" s="489"/>
      <c r="N42" s="489"/>
      <c r="O42" s="489"/>
    </row>
    <row r="43" spans="1:17">
      <c r="A43" s="486" t="s">
        <v>6796</v>
      </c>
      <c r="D43" s="488">
        <f t="shared" ref="D43:I43" si="56">D17+D19+D23+D25+D27+D31+D35+D37+D41</f>
        <v>645246</v>
      </c>
      <c r="E43" s="488">
        <f t="shared" si="56"/>
        <v>651119</v>
      </c>
      <c r="F43" s="488">
        <f t="shared" si="56"/>
        <v>653850</v>
      </c>
      <c r="G43" s="488">
        <f t="shared" si="56"/>
        <v>658351</v>
      </c>
      <c r="H43" s="488">
        <f t="shared" si="56"/>
        <v>652680</v>
      </c>
      <c r="I43" s="488">
        <f t="shared" si="56"/>
        <v>641640</v>
      </c>
      <c r="J43" s="488">
        <f t="shared" ref="J43:O43" si="57">J17+J19+J23+J25+J27+J31+J35+J37+J41</f>
        <v>645761</v>
      </c>
      <c r="K43" s="488">
        <f t="shared" si="57"/>
        <v>660307</v>
      </c>
      <c r="L43" s="488">
        <f t="shared" si="57"/>
        <v>662690</v>
      </c>
      <c r="M43" s="488">
        <f t="shared" si="57"/>
        <v>655365</v>
      </c>
      <c r="N43" s="488">
        <f t="shared" si="57"/>
        <v>682624</v>
      </c>
      <c r="O43" s="488">
        <f t="shared" si="57"/>
        <v>675778</v>
      </c>
    </row>
    <row r="44" spans="1:17">
      <c r="D44" s="489"/>
      <c r="E44" s="489"/>
      <c r="F44" s="489"/>
      <c r="G44" s="489"/>
      <c r="H44" s="489"/>
      <c r="I44" s="489"/>
      <c r="J44" s="489"/>
      <c r="K44" s="489"/>
      <c r="L44" s="489"/>
      <c r="M44" s="489"/>
      <c r="N44" s="489"/>
      <c r="O44" s="489"/>
    </row>
    <row r="45" spans="1:17">
      <c r="A45" s="486" t="s">
        <v>6797</v>
      </c>
      <c r="D45" s="488">
        <f t="shared" ref="D45:I45" si="58">MAX(D17,D19,D23,D25,D27,D31,D35,D37,D41)-MIN(D17,D19,D23,D25,D27,D31,D35,D37,D41)</f>
        <v>11513</v>
      </c>
      <c r="E45" s="488">
        <f t="shared" si="58"/>
        <v>12334</v>
      </c>
      <c r="F45" s="488">
        <f t="shared" si="58"/>
        <v>12530</v>
      </c>
      <c r="G45" s="488">
        <f t="shared" si="58"/>
        <v>13098</v>
      </c>
      <c r="H45" s="488">
        <f t="shared" si="58"/>
        <v>13179</v>
      </c>
      <c r="I45" s="488">
        <f t="shared" si="58"/>
        <v>14278</v>
      </c>
      <c r="J45" s="488">
        <f t="shared" ref="J45:O45" si="59">MAX(J17,J19,J23,J25,J27,J31,J35,J37,J41)-MIN(J17,J19,J23,J25,J27,J31,J35,J37,J41)</f>
        <v>15063</v>
      </c>
      <c r="K45" s="488">
        <f t="shared" si="59"/>
        <v>17581</v>
      </c>
      <c r="L45" s="488">
        <f t="shared" si="59"/>
        <v>17337</v>
      </c>
      <c r="M45" s="488">
        <f t="shared" si="59"/>
        <v>18897</v>
      </c>
      <c r="N45" s="488">
        <f t="shared" si="59"/>
        <v>19711</v>
      </c>
      <c r="O45" s="488">
        <f t="shared" si="59"/>
        <v>20127</v>
      </c>
    </row>
    <row r="46" spans="1:17">
      <c r="D46" s="489"/>
      <c r="E46" s="489"/>
      <c r="F46" s="489"/>
      <c r="G46" s="489"/>
      <c r="H46" s="489"/>
      <c r="I46" s="489"/>
      <c r="J46" s="489"/>
      <c r="K46" s="489"/>
      <c r="L46" s="489"/>
      <c r="M46" s="489"/>
      <c r="N46" s="489"/>
      <c r="O46" s="489"/>
    </row>
    <row r="47" spans="1:17">
      <c r="A47" s="486" t="s">
        <v>6800</v>
      </c>
      <c r="D47" s="488">
        <f t="shared" ref="D47:I47" si="60">STDEVP(D17,D19,D23,D25,D27,D31,D35,D37,D41)</f>
        <v>3400.563940159207</v>
      </c>
      <c r="E47" s="488">
        <f t="shared" si="60"/>
        <v>3595.7492222255714</v>
      </c>
      <c r="F47" s="488">
        <f t="shared" si="60"/>
        <v>3788.024140483913</v>
      </c>
      <c r="G47" s="488">
        <f t="shared" si="60"/>
        <v>4147.5125194223865</v>
      </c>
      <c r="H47" s="488">
        <f t="shared" si="60"/>
        <v>3750.6447445739245</v>
      </c>
      <c r="I47" s="488">
        <f t="shared" si="60"/>
        <v>4197.8939958031333</v>
      </c>
      <c r="J47" s="488">
        <f t="shared" ref="J47:O47" si="61">STDEVP(J17,J19,J23,J25,J27,J31,J35,J37,J41)</f>
        <v>4719.5459004201712</v>
      </c>
      <c r="K47" s="488">
        <f t="shared" si="61"/>
        <v>5547.3662241365819</v>
      </c>
      <c r="L47" s="488">
        <f t="shared" si="61"/>
        <v>5404.2636619982804</v>
      </c>
      <c r="M47" s="488">
        <f t="shared" si="61"/>
        <v>5626.7129145018789</v>
      </c>
      <c r="N47" s="488">
        <f t="shared" si="61"/>
        <v>6168.1925579620784</v>
      </c>
      <c r="O47" s="488">
        <f t="shared" si="61"/>
        <v>6149.5909911167828</v>
      </c>
    </row>
    <row r="48" spans="1:17">
      <c r="A48" s="486"/>
      <c r="D48" s="494"/>
      <c r="E48" s="494"/>
      <c r="F48" s="494"/>
      <c r="G48" s="494"/>
      <c r="H48" s="494"/>
      <c r="I48" s="494"/>
      <c r="J48" s="494"/>
      <c r="K48" s="494"/>
      <c r="L48" s="494"/>
      <c r="M48" s="494"/>
      <c r="N48" s="494"/>
      <c r="O48" s="494"/>
    </row>
    <row r="49" spans="1:17">
      <c r="A49" s="486"/>
      <c r="D49" s="494"/>
      <c r="E49" s="494"/>
      <c r="F49" s="494"/>
      <c r="G49" s="494"/>
      <c r="H49" s="494"/>
      <c r="I49" s="494"/>
      <c r="J49" s="494"/>
      <c r="K49" s="494"/>
      <c r="L49" s="494"/>
      <c r="M49" s="494"/>
      <c r="N49" s="494"/>
      <c r="O49" s="494"/>
    </row>
    <row r="50" spans="1:17">
      <c r="E50" s="51" t="s">
        <v>1526</v>
      </c>
      <c r="F50" s="51"/>
      <c r="G50" s="51"/>
      <c r="H50" s="51"/>
      <c r="I50" s="51"/>
      <c r="J50" s="51"/>
      <c r="K50" s="51"/>
      <c r="L50" s="51"/>
      <c r="M50" s="51"/>
      <c r="N50" s="51"/>
      <c r="O50" s="51"/>
      <c r="P50" s="11"/>
      <c r="Q50" s="11" t="s">
        <v>9479</v>
      </c>
    </row>
    <row r="51" spans="1:17">
      <c r="D51" s="487">
        <v>2010</v>
      </c>
      <c r="E51" s="487">
        <v>2011</v>
      </c>
      <c r="F51" s="487">
        <v>2012</v>
      </c>
      <c r="G51" s="487">
        <v>2013</v>
      </c>
      <c r="H51" s="487">
        <v>2014</v>
      </c>
      <c r="I51" s="487">
        <v>2015</v>
      </c>
      <c r="J51" s="487">
        <v>2016</v>
      </c>
      <c r="K51" s="487">
        <v>2017</v>
      </c>
      <c r="L51" s="487">
        <v>2018</v>
      </c>
      <c r="M51" s="487">
        <v>2019</v>
      </c>
      <c r="N51" s="487">
        <v>2020</v>
      </c>
      <c r="O51" s="953" t="s">
        <v>14823</v>
      </c>
      <c r="Q51" s="13" t="s">
        <v>1527</v>
      </c>
    </row>
    <row r="52" spans="1:17">
      <c r="A52" s="486" t="s">
        <v>6121</v>
      </c>
      <c r="C52" s="486"/>
      <c r="D52" s="488">
        <f t="shared" ref="D52:I52" si="62">D53+D54+D56+D57+SUM(D59:D70)+SUM(D72:D80)+SUM(D82:D87)</f>
        <v>93852</v>
      </c>
      <c r="E52" s="488">
        <f t="shared" si="62"/>
        <v>94715</v>
      </c>
      <c r="F52" s="488">
        <f t="shared" si="62"/>
        <v>95612</v>
      </c>
      <c r="G52" s="488">
        <f t="shared" si="62"/>
        <v>97612</v>
      </c>
      <c r="H52" s="488">
        <f t="shared" si="62"/>
        <v>94135</v>
      </c>
      <c r="I52" s="488">
        <f t="shared" si="62"/>
        <v>95607</v>
      </c>
      <c r="J52" s="488">
        <f t="shared" ref="J52:O52" si="63">J53+J54+J56+J57+SUM(J59:J70)+SUM(J72:J80)+SUM(J82:J87)</f>
        <v>97669</v>
      </c>
      <c r="K52" s="488">
        <f t="shared" si="63"/>
        <v>100068</v>
      </c>
      <c r="L52" s="488">
        <f t="shared" si="63"/>
        <v>99776</v>
      </c>
      <c r="M52" s="488">
        <f t="shared" si="63"/>
        <v>96002</v>
      </c>
      <c r="N52" s="488">
        <f t="shared" si="63"/>
        <v>101365</v>
      </c>
      <c r="O52" s="488">
        <f t="shared" si="63"/>
        <v>100283</v>
      </c>
    </row>
    <row r="53" spans="1:17">
      <c r="A53" s="486" t="s">
        <v>5387</v>
      </c>
      <c r="B53" s="486" t="s">
        <v>9824</v>
      </c>
      <c r="C53" s="55" t="s">
        <v>10034</v>
      </c>
      <c r="D53" s="488">
        <v>0</v>
      </c>
      <c r="E53" s="488">
        <v>0</v>
      </c>
      <c r="F53" s="488">
        <v>0</v>
      </c>
      <c r="G53" s="488">
        <v>0</v>
      </c>
      <c r="H53" s="56">
        <v>0</v>
      </c>
      <c r="I53" s="56">
        <v>2419</v>
      </c>
      <c r="J53" s="56">
        <v>2476</v>
      </c>
      <c r="K53" s="56">
        <v>2541</v>
      </c>
      <c r="L53" s="56">
        <v>2547</v>
      </c>
      <c r="M53" s="56">
        <v>2536</v>
      </c>
      <c r="N53" s="56">
        <v>2750</v>
      </c>
      <c r="O53" s="56">
        <v>2765</v>
      </c>
      <c r="Q53" s="486" t="s">
        <v>4611</v>
      </c>
    </row>
    <row r="54" spans="1:17" ht="15.75" thickBot="1">
      <c r="A54" s="486"/>
      <c r="B54" s="486"/>
      <c r="C54" s="55" t="s">
        <v>10034</v>
      </c>
      <c r="D54" s="493">
        <v>0</v>
      </c>
      <c r="E54" s="493">
        <v>0</v>
      </c>
      <c r="F54" s="493">
        <v>0</v>
      </c>
      <c r="G54" s="493">
        <v>0</v>
      </c>
      <c r="H54" s="274">
        <v>0</v>
      </c>
      <c r="I54" s="58">
        <v>2099</v>
      </c>
      <c r="J54" s="58">
        <v>2291</v>
      </c>
      <c r="K54" s="58">
        <v>2358</v>
      </c>
      <c r="L54" s="58">
        <v>2328</v>
      </c>
      <c r="M54" s="58">
        <v>2309</v>
      </c>
      <c r="N54" s="58">
        <v>2437</v>
      </c>
      <c r="O54" s="58">
        <v>2416</v>
      </c>
      <c r="Q54" s="486" t="s">
        <v>6113</v>
      </c>
    </row>
    <row r="55" spans="1:17" ht="15.75" thickBot="1">
      <c r="A55" s="486"/>
      <c r="B55" s="486"/>
      <c r="C55" s="55" t="s">
        <v>10034</v>
      </c>
      <c r="D55" s="495">
        <f>D53+D54</f>
        <v>0</v>
      </c>
      <c r="E55" s="495">
        <f t="shared" ref="E55:L55" si="64">E53+E54</f>
        <v>0</v>
      </c>
      <c r="F55" s="495">
        <f t="shared" si="64"/>
        <v>0</v>
      </c>
      <c r="G55" s="495">
        <f t="shared" si="64"/>
        <v>0</v>
      </c>
      <c r="H55" s="495">
        <f t="shared" si="64"/>
        <v>0</v>
      </c>
      <c r="I55" s="495">
        <f t="shared" si="64"/>
        <v>4518</v>
      </c>
      <c r="J55" s="495">
        <f t="shared" si="64"/>
        <v>4767</v>
      </c>
      <c r="K55" s="495">
        <f t="shared" si="64"/>
        <v>4899</v>
      </c>
      <c r="L55" s="495">
        <f t="shared" si="64"/>
        <v>4875</v>
      </c>
      <c r="M55" s="495">
        <f>M53+M54</f>
        <v>4845</v>
      </c>
      <c r="N55" s="495">
        <f>N53+N54</f>
        <v>5187</v>
      </c>
      <c r="O55" s="495">
        <f>O53+O54</f>
        <v>5181</v>
      </c>
      <c r="Q55" s="486"/>
    </row>
    <row r="56" spans="1:17">
      <c r="A56" s="486" t="s">
        <v>5389</v>
      </c>
      <c r="B56" s="486" t="s">
        <v>9825</v>
      </c>
      <c r="C56" s="55" t="s">
        <v>10035</v>
      </c>
      <c r="D56" s="488">
        <v>0</v>
      </c>
      <c r="E56" s="488">
        <v>0</v>
      </c>
      <c r="F56" s="488">
        <v>0</v>
      </c>
      <c r="G56" s="488">
        <v>0</v>
      </c>
      <c r="H56" s="56">
        <v>0</v>
      </c>
      <c r="I56" s="56">
        <v>1581</v>
      </c>
      <c r="J56" s="56">
        <v>1602</v>
      </c>
      <c r="K56" s="56">
        <v>1631</v>
      </c>
      <c r="L56" s="56">
        <v>1594</v>
      </c>
      <c r="M56" s="56">
        <v>1571</v>
      </c>
      <c r="N56" s="56">
        <v>1653</v>
      </c>
      <c r="O56" s="56">
        <v>1634</v>
      </c>
      <c r="Q56" s="486" t="s">
        <v>4611</v>
      </c>
    </row>
    <row r="57" spans="1:17" ht="15.75" thickBot="1">
      <c r="A57" s="486"/>
      <c r="B57" s="486"/>
      <c r="C57" s="55" t="s">
        <v>10035</v>
      </c>
      <c r="D57" s="493">
        <v>0</v>
      </c>
      <c r="E57" s="493">
        <v>0</v>
      </c>
      <c r="F57" s="493">
        <v>0</v>
      </c>
      <c r="G57" s="493">
        <v>0</v>
      </c>
      <c r="H57" s="274">
        <v>0</v>
      </c>
      <c r="I57" s="58">
        <v>555</v>
      </c>
      <c r="J57" s="58">
        <v>561</v>
      </c>
      <c r="K57" s="58">
        <v>574</v>
      </c>
      <c r="L57" s="58">
        <v>554</v>
      </c>
      <c r="M57" s="58">
        <v>548</v>
      </c>
      <c r="N57" s="58">
        <v>593</v>
      </c>
      <c r="O57" s="58">
        <v>585</v>
      </c>
      <c r="Q57" s="486" t="s">
        <v>6113</v>
      </c>
    </row>
    <row r="58" spans="1:17" ht="15.75" thickBot="1">
      <c r="A58" s="486"/>
      <c r="B58" s="486"/>
      <c r="C58" s="55" t="s">
        <v>10035</v>
      </c>
      <c r="D58" s="495">
        <f t="shared" ref="D58:O58" si="65">D56+D57</f>
        <v>0</v>
      </c>
      <c r="E58" s="495">
        <f t="shared" si="65"/>
        <v>0</v>
      </c>
      <c r="F58" s="495">
        <f t="shared" si="65"/>
        <v>0</v>
      </c>
      <c r="G58" s="495">
        <f t="shared" si="65"/>
        <v>0</v>
      </c>
      <c r="H58" s="495">
        <f t="shared" si="65"/>
        <v>0</v>
      </c>
      <c r="I58" s="495">
        <f t="shared" si="65"/>
        <v>2136</v>
      </c>
      <c r="J58" s="495">
        <f t="shared" si="65"/>
        <v>2163</v>
      </c>
      <c r="K58" s="495">
        <f t="shared" si="65"/>
        <v>2205</v>
      </c>
      <c r="L58" s="495">
        <f t="shared" si="65"/>
        <v>2148</v>
      </c>
      <c r="M58" s="495">
        <f t="shared" si="65"/>
        <v>2119</v>
      </c>
      <c r="N58" s="495">
        <f t="shared" si="65"/>
        <v>2246</v>
      </c>
      <c r="O58" s="495">
        <f t="shared" si="65"/>
        <v>2219</v>
      </c>
      <c r="Q58" s="486"/>
    </row>
    <row r="59" spans="1:17">
      <c r="A59" s="486" t="s">
        <v>5391</v>
      </c>
      <c r="B59" s="486" t="s">
        <v>9826</v>
      </c>
      <c r="C59" s="55" t="s">
        <v>10037</v>
      </c>
      <c r="D59" s="488">
        <v>58981</v>
      </c>
      <c r="E59" s="488">
        <v>59568</v>
      </c>
      <c r="F59" s="488">
        <v>60018</v>
      </c>
      <c r="G59" s="488">
        <v>61356</v>
      </c>
      <c r="H59" s="58">
        <v>59301</v>
      </c>
      <c r="I59" s="56">
        <v>3761</v>
      </c>
      <c r="J59" s="56">
        <v>3800</v>
      </c>
      <c r="K59" s="56">
        <v>3932</v>
      </c>
      <c r="L59" s="56">
        <v>3883</v>
      </c>
      <c r="M59" s="56">
        <v>3774</v>
      </c>
      <c r="N59" s="56">
        <v>3962</v>
      </c>
      <c r="O59" s="56">
        <v>3898</v>
      </c>
      <c r="Q59" s="486" t="s">
        <v>4611</v>
      </c>
    </row>
    <row r="60" spans="1:17">
      <c r="A60" s="486" t="s">
        <v>5393</v>
      </c>
      <c r="B60" s="486" t="s">
        <v>9827</v>
      </c>
      <c r="C60" s="55" t="s">
        <v>10038</v>
      </c>
      <c r="D60" s="56">
        <v>0</v>
      </c>
      <c r="E60" s="56">
        <v>0</v>
      </c>
      <c r="F60" s="56">
        <v>0</v>
      </c>
      <c r="G60" s="56">
        <v>0</v>
      </c>
      <c r="H60" s="56">
        <v>0</v>
      </c>
      <c r="I60" s="58">
        <v>4798</v>
      </c>
      <c r="J60" s="56">
        <v>5052</v>
      </c>
      <c r="K60" s="56">
        <v>5269</v>
      </c>
      <c r="L60" s="56">
        <v>5321</v>
      </c>
      <c r="M60" s="56">
        <v>5112</v>
      </c>
      <c r="N60" s="56">
        <v>5457</v>
      </c>
      <c r="O60" s="56">
        <v>5424</v>
      </c>
      <c r="Q60" s="486" t="s">
        <v>4611</v>
      </c>
    </row>
    <row r="61" spans="1:17">
      <c r="A61" s="486" t="s">
        <v>5394</v>
      </c>
      <c r="B61" s="486" t="s">
        <v>11470</v>
      </c>
      <c r="C61" s="55" t="s">
        <v>10036</v>
      </c>
      <c r="D61" s="488">
        <v>34871</v>
      </c>
      <c r="E61" s="488">
        <v>35147</v>
      </c>
      <c r="F61" s="488">
        <v>35594</v>
      </c>
      <c r="G61" s="488">
        <v>36256</v>
      </c>
      <c r="H61" s="56">
        <v>34834</v>
      </c>
      <c r="I61" s="56">
        <v>2329</v>
      </c>
      <c r="J61" s="58">
        <v>2336</v>
      </c>
      <c r="K61" s="58">
        <v>2440</v>
      </c>
      <c r="L61" s="58">
        <v>2415</v>
      </c>
      <c r="M61" s="58">
        <v>2309</v>
      </c>
      <c r="N61" s="58">
        <v>2448</v>
      </c>
      <c r="O61" s="58">
        <v>2412</v>
      </c>
      <c r="Q61" s="486" t="s">
        <v>6113</v>
      </c>
    </row>
    <row r="62" spans="1:17">
      <c r="A62" s="486" t="s">
        <v>5416</v>
      </c>
      <c r="B62" s="486" t="s">
        <v>9828</v>
      </c>
      <c r="C62" s="55" t="s">
        <v>10039</v>
      </c>
      <c r="D62" s="56">
        <v>0</v>
      </c>
      <c r="E62" s="56">
        <v>0</v>
      </c>
      <c r="F62" s="56">
        <v>0</v>
      </c>
      <c r="G62" s="56">
        <v>0</v>
      </c>
      <c r="H62" s="56">
        <v>0</v>
      </c>
      <c r="I62" s="56">
        <v>5260</v>
      </c>
      <c r="J62" s="56">
        <v>5403</v>
      </c>
      <c r="K62" s="56">
        <v>5535</v>
      </c>
      <c r="L62" s="56">
        <v>5562</v>
      </c>
      <c r="M62" s="56">
        <v>5390</v>
      </c>
      <c r="N62" s="56">
        <v>5691</v>
      </c>
      <c r="O62" s="56">
        <v>5720</v>
      </c>
      <c r="Q62" s="486" t="s">
        <v>4611</v>
      </c>
    </row>
    <row r="63" spans="1:17">
      <c r="A63" s="486" t="s">
        <v>5418</v>
      </c>
      <c r="B63" s="486" t="s">
        <v>9829</v>
      </c>
      <c r="C63" s="55" t="s">
        <v>10040</v>
      </c>
      <c r="D63" s="56">
        <v>0</v>
      </c>
      <c r="E63" s="56">
        <v>0</v>
      </c>
      <c r="F63" s="56">
        <v>0</v>
      </c>
      <c r="G63" s="56">
        <v>0</v>
      </c>
      <c r="H63" s="56">
        <v>0</v>
      </c>
      <c r="I63" s="56">
        <v>4296</v>
      </c>
      <c r="J63" s="56">
        <v>4360</v>
      </c>
      <c r="K63" s="56">
        <v>4386</v>
      </c>
      <c r="L63" s="56">
        <v>4385</v>
      </c>
      <c r="M63" s="56">
        <v>4151</v>
      </c>
      <c r="N63" s="56">
        <v>4339</v>
      </c>
      <c r="O63" s="56">
        <v>4356</v>
      </c>
      <c r="Q63" s="486" t="s">
        <v>4611</v>
      </c>
    </row>
    <row r="64" spans="1:17">
      <c r="A64" s="486" t="s">
        <v>5420</v>
      </c>
      <c r="B64" s="486" t="s">
        <v>9830</v>
      </c>
      <c r="C64" s="55" t="s">
        <v>10041</v>
      </c>
      <c r="D64" s="56">
        <v>0</v>
      </c>
      <c r="E64" s="56">
        <v>0</v>
      </c>
      <c r="F64" s="56">
        <v>0</v>
      </c>
      <c r="G64" s="56">
        <v>0</v>
      </c>
      <c r="H64" s="56">
        <v>0</v>
      </c>
      <c r="I64" s="56">
        <v>4259</v>
      </c>
      <c r="J64" s="56">
        <v>4321</v>
      </c>
      <c r="K64" s="56">
        <v>4448</v>
      </c>
      <c r="L64" s="56">
        <v>4412</v>
      </c>
      <c r="M64" s="56">
        <v>4198</v>
      </c>
      <c r="N64" s="56">
        <v>4448</v>
      </c>
      <c r="O64" s="56">
        <v>4206</v>
      </c>
      <c r="Q64" s="486" t="s">
        <v>4611</v>
      </c>
    </row>
    <row r="65" spans="1:17">
      <c r="A65" s="486" t="s">
        <v>5422</v>
      </c>
      <c r="B65" s="486" t="s">
        <v>2873</v>
      </c>
      <c r="C65" s="55" t="s">
        <v>10042</v>
      </c>
      <c r="D65" s="58">
        <v>0</v>
      </c>
      <c r="E65" s="58">
        <v>0</v>
      </c>
      <c r="F65" s="58">
        <v>0</v>
      </c>
      <c r="G65" s="58">
        <v>0</v>
      </c>
      <c r="H65" s="58">
        <v>0</v>
      </c>
      <c r="I65" s="58">
        <v>2137</v>
      </c>
      <c r="J65" s="58">
        <v>2162</v>
      </c>
      <c r="K65" s="58">
        <v>2238</v>
      </c>
      <c r="L65" s="58">
        <v>2208</v>
      </c>
      <c r="M65" s="58">
        <v>2155</v>
      </c>
      <c r="N65" s="58">
        <v>2212</v>
      </c>
      <c r="O65" s="58">
        <v>2196</v>
      </c>
      <c r="Q65" s="486" t="s">
        <v>6113</v>
      </c>
    </row>
    <row r="66" spans="1:17">
      <c r="A66" s="486" t="s">
        <v>5424</v>
      </c>
      <c r="B66" s="486" t="s">
        <v>9831</v>
      </c>
      <c r="C66" s="55" t="s">
        <v>10043</v>
      </c>
      <c r="D66" s="56">
        <v>0</v>
      </c>
      <c r="E66" s="56">
        <v>0</v>
      </c>
      <c r="F66" s="56">
        <v>0</v>
      </c>
      <c r="G66" s="56">
        <v>0</v>
      </c>
      <c r="H66" s="56">
        <v>0</v>
      </c>
      <c r="I66" s="58">
        <v>2619</v>
      </c>
      <c r="J66" s="58">
        <v>2470</v>
      </c>
      <c r="K66" s="58">
        <v>2502</v>
      </c>
      <c r="L66" s="58">
        <v>2524</v>
      </c>
      <c r="M66" s="58">
        <v>2394</v>
      </c>
      <c r="N66" s="58">
        <v>2530</v>
      </c>
      <c r="O66" s="58">
        <v>2502</v>
      </c>
      <c r="Q66" s="486" t="s">
        <v>6113</v>
      </c>
    </row>
    <row r="67" spans="1:17">
      <c r="A67" s="486" t="s">
        <v>5426</v>
      </c>
      <c r="B67" s="486" t="s">
        <v>9832</v>
      </c>
      <c r="C67" s="55" t="s">
        <v>10044</v>
      </c>
      <c r="D67" s="56">
        <v>0</v>
      </c>
      <c r="E67" s="56">
        <v>0</v>
      </c>
      <c r="F67" s="56">
        <v>0</v>
      </c>
      <c r="G67" s="56">
        <v>0</v>
      </c>
      <c r="H67" s="56">
        <v>0</v>
      </c>
      <c r="I67" s="58">
        <v>2360</v>
      </c>
      <c r="J67" s="58">
        <v>2478</v>
      </c>
      <c r="K67" s="58">
        <v>2548</v>
      </c>
      <c r="L67" s="58">
        <v>2525</v>
      </c>
      <c r="M67" s="58">
        <v>2435</v>
      </c>
      <c r="N67" s="58">
        <v>2613</v>
      </c>
      <c r="O67" s="58">
        <v>2584</v>
      </c>
      <c r="Q67" s="486" t="s">
        <v>6113</v>
      </c>
    </row>
    <row r="68" spans="1:17">
      <c r="A68" s="486" t="s">
        <v>5428</v>
      </c>
      <c r="B68" s="486" t="s">
        <v>3125</v>
      </c>
      <c r="C68" s="55" t="s">
        <v>10045</v>
      </c>
      <c r="D68" s="58">
        <v>0</v>
      </c>
      <c r="E68" s="58">
        <v>0</v>
      </c>
      <c r="F68" s="58">
        <v>0</v>
      </c>
      <c r="G68" s="58">
        <v>0</v>
      </c>
      <c r="H68" s="58">
        <v>0</v>
      </c>
      <c r="I68" s="56">
        <v>1997</v>
      </c>
      <c r="J68" s="56">
        <v>2205</v>
      </c>
      <c r="K68" s="56">
        <v>2241</v>
      </c>
      <c r="L68" s="56">
        <v>2247</v>
      </c>
      <c r="M68" s="56">
        <v>2168</v>
      </c>
      <c r="N68" s="56">
        <v>2265</v>
      </c>
      <c r="O68" s="56">
        <v>2251</v>
      </c>
      <c r="Q68" s="486" t="s">
        <v>4611</v>
      </c>
    </row>
    <row r="69" spans="1:17">
      <c r="A69" s="486" t="s">
        <v>5429</v>
      </c>
      <c r="B69" s="486" t="s">
        <v>3126</v>
      </c>
      <c r="C69" s="55" t="s">
        <v>10046</v>
      </c>
      <c r="D69" s="488">
        <v>0</v>
      </c>
      <c r="E69" s="488">
        <v>0</v>
      </c>
      <c r="F69" s="488">
        <v>0</v>
      </c>
      <c r="G69" s="488">
        <v>0</v>
      </c>
      <c r="H69" s="56">
        <v>0</v>
      </c>
      <c r="I69" s="56">
        <v>1940</v>
      </c>
      <c r="J69" s="56">
        <v>2026</v>
      </c>
      <c r="K69" s="56">
        <v>2074</v>
      </c>
      <c r="L69" s="56">
        <v>2038</v>
      </c>
      <c r="M69" s="56">
        <v>1961</v>
      </c>
      <c r="N69" s="56">
        <v>2056</v>
      </c>
      <c r="O69" s="56">
        <v>2034</v>
      </c>
      <c r="Q69" s="486" t="s">
        <v>4611</v>
      </c>
    </row>
    <row r="70" spans="1:17" ht="15.75" thickBot="1">
      <c r="A70" s="486"/>
      <c r="B70" s="486"/>
      <c r="C70" s="55" t="s">
        <v>10046</v>
      </c>
      <c r="D70" s="493">
        <v>0</v>
      </c>
      <c r="E70" s="493">
        <v>0</v>
      </c>
      <c r="F70" s="493">
        <v>0</v>
      </c>
      <c r="G70" s="493">
        <v>0</v>
      </c>
      <c r="H70" s="274">
        <v>0</v>
      </c>
      <c r="I70" s="58">
        <v>26</v>
      </c>
      <c r="J70" s="58">
        <v>28</v>
      </c>
      <c r="K70" s="58">
        <v>34</v>
      </c>
      <c r="L70" s="58">
        <v>32</v>
      </c>
      <c r="M70" s="58">
        <v>32</v>
      </c>
      <c r="N70" s="58">
        <v>33</v>
      </c>
      <c r="O70" s="58">
        <v>32</v>
      </c>
      <c r="Q70" s="486" t="s">
        <v>6113</v>
      </c>
    </row>
    <row r="71" spans="1:17" ht="15.75" thickBot="1">
      <c r="A71" s="486"/>
      <c r="B71" s="486"/>
      <c r="C71" s="55" t="s">
        <v>10046</v>
      </c>
      <c r="D71" s="495">
        <f t="shared" ref="D71:O71" si="66">D69+D70</f>
        <v>0</v>
      </c>
      <c r="E71" s="495">
        <f t="shared" si="66"/>
        <v>0</v>
      </c>
      <c r="F71" s="495">
        <f t="shared" si="66"/>
        <v>0</v>
      </c>
      <c r="G71" s="495">
        <f t="shared" si="66"/>
        <v>0</v>
      </c>
      <c r="H71" s="495">
        <f t="shared" si="66"/>
        <v>0</v>
      </c>
      <c r="I71" s="495">
        <f t="shared" si="66"/>
        <v>1966</v>
      </c>
      <c r="J71" s="495">
        <f t="shared" si="66"/>
        <v>2054</v>
      </c>
      <c r="K71" s="495">
        <f t="shared" si="66"/>
        <v>2108</v>
      </c>
      <c r="L71" s="495">
        <f t="shared" si="66"/>
        <v>2070</v>
      </c>
      <c r="M71" s="495">
        <f t="shared" si="66"/>
        <v>1993</v>
      </c>
      <c r="N71" s="495">
        <f t="shared" si="66"/>
        <v>2089</v>
      </c>
      <c r="O71" s="495">
        <f t="shared" si="66"/>
        <v>2066</v>
      </c>
      <c r="Q71" s="486"/>
    </row>
    <row r="72" spans="1:17">
      <c r="A72" s="486" t="s">
        <v>5431</v>
      </c>
      <c r="B72" s="486" t="s">
        <v>5963</v>
      </c>
      <c r="C72" s="55" t="s">
        <v>10047</v>
      </c>
      <c r="D72" s="56">
        <v>0</v>
      </c>
      <c r="E72" s="56">
        <v>0</v>
      </c>
      <c r="F72" s="56">
        <v>0</v>
      </c>
      <c r="G72" s="56">
        <v>0</v>
      </c>
      <c r="H72" s="56">
        <v>0</v>
      </c>
      <c r="I72" s="56">
        <v>4151</v>
      </c>
      <c r="J72" s="56">
        <v>4065</v>
      </c>
      <c r="K72" s="56">
        <v>4226</v>
      </c>
      <c r="L72" s="56">
        <v>4255</v>
      </c>
      <c r="M72" s="56">
        <v>4167</v>
      </c>
      <c r="N72" s="56">
        <v>4334</v>
      </c>
      <c r="O72" s="56">
        <v>4268</v>
      </c>
      <c r="Q72" s="486" t="s">
        <v>4611</v>
      </c>
    </row>
    <row r="73" spans="1:17">
      <c r="A73" s="486" t="s">
        <v>5433</v>
      </c>
      <c r="B73" s="486" t="s">
        <v>9833</v>
      </c>
      <c r="C73" s="55" t="s">
        <v>10048</v>
      </c>
      <c r="D73" s="58">
        <v>0</v>
      </c>
      <c r="E73" s="58">
        <v>0</v>
      </c>
      <c r="F73" s="58">
        <v>0</v>
      </c>
      <c r="G73" s="58">
        <v>0</v>
      </c>
      <c r="H73" s="58">
        <v>0</v>
      </c>
      <c r="I73" s="56">
        <v>4282</v>
      </c>
      <c r="J73" s="56">
        <v>4384</v>
      </c>
      <c r="K73" s="56">
        <v>4502</v>
      </c>
      <c r="L73" s="56">
        <v>4440</v>
      </c>
      <c r="M73" s="56">
        <v>4318</v>
      </c>
      <c r="N73" s="56">
        <v>4517</v>
      </c>
      <c r="O73" s="56">
        <v>4466</v>
      </c>
      <c r="Q73" s="486" t="s">
        <v>4611</v>
      </c>
    </row>
    <row r="74" spans="1:17">
      <c r="A74" s="486" t="s">
        <v>5435</v>
      </c>
      <c r="B74" s="486" t="s">
        <v>3127</v>
      </c>
      <c r="C74" s="55" t="s">
        <v>10049</v>
      </c>
      <c r="D74" s="58">
        <v>0</v>
      </c>
      <c r="E74" s="58">
        <v>0</v>
      </c>
      <c r="F74" s="58">
        <v>0</v>
      </c>
      <c r="G74" s="58">
        <v>0</v>
      </c>
      <c r="H74" s="58">
        <v>0</v>
      </c>
      <c r="I74" s="58">
        <v>2032</v>
      </c>
      <c r="J74" s="58">
        <v>2081</v>
      </c>
      <c r="K74" s="58">
        <v>2116</v>
      </c>
      <c r="L74" s="58">
        <v>2131</v>
      </c>
      <c r="M74" s="58">
        <v>2127</v>
      </c>
      <c r="N74" s="58">
        <v>2259</v>
      </c>
      <c r="O74" s="58">
        <v>2252</v>
      </c>
      <c r="Q74" s="486" t="s">
        <v>6113</v>
      </c>
    </row>
    <row r="75" spans="1:17">
      <c r="A75" s="486" t="s">
        <v>5436</v>
      </c>
      <c r="B75" s="486" t="s">
        <v>3128</v>
      </c>
      <c r="C75" s="55" t="s">
        <v>10050</v>
      </c>
      <c r="D75" s="56">
        <v>0</v>
      </c>
      <c r="E75" s="56">
        <v>0</v>
      </c>
      <c r="F75" s="56">
        <v>0</v>
      </c>
      <c r="G75" s="56">
        <v>0</v>
      </c>
      <c r="H75" s="56">
        <v>0</v>
      </c>
      <c r="I75" s="56">
        <v>2024</v>
      </c>
      <c r="J75" s="56">
        <v>2116</v>
      </c>
      <c r="K75" s="56">
        <v>2160</v>
      </c>
      <c r="L75" s="56">
        <v>2165</v>
      </c>
      <c r="M75" s="56">
        <v>2093</v>
      </c>
      <c r="N75" s="56">
        <v>2209</v>
      </c>
      <c r="O75" s="56">
        <v>2199</v>
      </c>
      <c r="Q75" s="486" t="s">
        <v>4611</v>
      </c>
    </row>
    <row r="76" spans="1:17">
      <c r="A76" s="486" t="s">
        <v>5437</v>
      </c>
      <c r="B76" s="486" t="s">
        <v>9834</v>
      </c>
      <c r="C76" s="55" t="s">
        <v>10051</v>
      </c>
      <c r="D76" s="56">
        <v>0</v>
      </c>
      <c r="E76" s="56">
        <v>0</v>
      </c>
      <c r="F76" s="56">
        <v>0</v>
      </c>
      <c r="G76" s="56">
        <v>0</v>
      </c>
      <c r="H76" s="56">
        <v>0</v>
      </c>
      <c r="I76" s="56">
        <v>3598</v>
      </c>
      <c r="J76" s="56">
        <v>3769</v>
      </c>
      <c r="K76" s="56">
        <v>3803</v>
      </c>
      <c r="L76" s="56">
        <v>3809</v>
      </c>
      <c r="M76" s="56">
        <v>3688</v>
      </c>
      <c r="N76" s="56">
        <v>3918</v>
      </c>
      <c r="O76" s="56">
        <v>3874</v>
      </c>
      <c r="Q76" s="486" t="s">
        <v>4611</v>
      </c>
    </row>
    <row r="77" spans="1:17">
      <c r="A77" s="486" t="s">
        <v>5439</v>
      </c>
      <c r="B77" s="486" t="s">
        <v>9835</v>
      </c>
      <c r="C77" s="55" t="s">
        <v>10052</v>
      </c>
      <c r="D77" s="56">
        <v>0</v>
      </c>
      <c r="E77" s="56">
        <v>0</v>
      </c>
      <c r="F77" s="56">
        <v>0</v>
      </c>
      <c r="G77" s="56">
        <v>0</v>
      </c>
      <c r="H77" s="56">
        <v>0</v>
      </c>
      <c r="I77" s="56">
        <v>4125</v>
      </c>
      <c r="J77" s="56">
        <v>4265</v>
      </c>
      <c r="K77" s="56">
        <v>4378</v>
      </c>
      <c r="L77" s="56">
        <v>4341</v>
      </c>
      <c r="M77" s="56">
        <v>4116</v>
      </c>
      <c r="N77" s="56">
        <v>4334</v>
      </c>
      <c r="O77" s="56">
        <v>4287</v>
      </c>
      <c r="Q77" s="486" t="s">
        <v>4611</v>
      </c>
    </row>
    <row r="78" spans="1:17">
      <c r="A78" s="486" t="s">
        <v>5441</v>
      </c>
      <c r="B78" s="486" t="s">
        <v>4620</v>
      </c>
      <c r="C78" s="55" t="s">
        <v>10053</v>
      </c>
      <c r="D78" s="56">
        <v>0</v>
      </c>
      <c r="E78" s="56">
        <v>0</v>
      </c>
      <c r="F78" s="56">
        <v>0</v>
      </c>
      <c r="G78" s="56">
        <v>0</v>
      </c>
      <c r="H78" s="56">
        <v>0</v>
      </c>
      <c r="I78" s="58">
        <v>5650</v>
      </c>
      <c r="J78" s="58">
        <v>5833</v>
      </c>
      <c r="K78" s="58">
        <v>6105</v>
      </c>
      <c r="L78" s="58">
        <v>6187</v>
      </c>
      <c r="M78" s="58">
        <v>6048</v>
      </c>
      <c r="N78" s="58">
        <v>6420</v>
      </c>
      <c r="O78" s="58">
        <v>6358</v>
      </c>
      <c r="Q78" s="486" t="s">
        <v>6113</v>
      </c>
    </row>
    <row r="79" spans="1:17">
      <c r="A79" s="486" t="s">
        <v>5886</v>
      </c>
      <c r="B79" s="486" t="s">
        <v>9836</v>
      </c>
      <c r="C79" s="55" t="s">
        <v>10054</v>
      </c>
      <c r="D79" s="488">
        <v>0</v>
      </c>
      <c r="E79" s="488">
        <v>0</v>
      </c>
      <c r="F79" s="488">
        <v>0</v>
      </c>
      <c r="G79" s="488">
        <v>0</v>
      </c>
      <c r="H79" s="56">
        <v>0</v>
      </c>
      <c r="I79" s="56">
        <v>1375</v>
      </c>
      <c r="J79" s="56">
        <v>1411</v>
      </c>
      <c r="K79" s="56">
        <v>1431</v>
      </c>
      <c r="L79" s="56">
        <v>1421</v>
      </c>
      <c r="M79" s="56">
        <v>1392</v>
      </c>
      <c r="N79" s="56">
        <v>1471</v>
      </c>
      <c r="O79" s="56">
        <v>1451</v>
      </c>
      <c r="Q79" s="486" t="s">
        <v>4611</v>
      </c>
    </row>
    <row r="80" spans="1:17" ht="15.75" thickBot="1">
      <c r="A80" s="486"/>
      <c r="B80" s="486"/>
      <c r="C80" s="55" t="s">
        <v>10054</v>
      </c>
      <c r="D80" s="493">
        <v>0</v>
      </c>
      <c r="E80" s="493">
        <v>0</v>
      </c>
      <c r="F80" s="493">
        <v>0</v>
      </c>
      <c r="G80" s="493">
        <v>0</v>
      </c>
      <c r="H80" s="274">
        <v>0</v>
      </c>
      <c r="I80" s="58">
        <v>1055</v>
      </c>
      <c r="J80" s="58">
        <v>1099</v>
      </c>
      <c r="K80" s="58">
        <v>1130</v>
      </c>
      <c r="L80" s="58">
        <v>1132</v>
      </c>
      <c r="M80" s="58">
        <v>1079</v>
      </c>
      <c r="N80" s="58">
        <v>1149</v>
      </c>
      <c r="O80" s="58">
        <v>1134</v>
      </c>
      <c r="Q80" s="486" t="s">
        <v>6113</v>
      </c>
    </row>
    <row r="81" spans="1:17" ht="15.75" thickBot="1">
      <c r="A81" s="486"/>
      <c r="B81" s="486"/>
      <c r="C81" s="55" t="s">
        <v>10054</v>
      </c>
      <c r="D81" s="495">
        <f t="shared" ref="D81:O81" si="67">D79+D80</f>
        <v>0</v>
      </c>
      <c r="E81" s="495">
        <f t="shared" si="67"/>
        <v>0</v>
      </c>
      <c r="F81" s="495">
        <f t="shared" si="67"/>
        <v>0</v>
      </c>
      <c r="G81" s="495">
        <f t="shared" si="67"/>
        <v>0</v>
      </c>
      <c r="H81" s="495">
        <f t="shared" si="67"/>
        <v>0</v>
      </c>
      <c r="I81" s="495">
        <f t="shared" si="67"/>
        <v>2430</v>
      </c>
      <c r="J81" s="495">
        <f t="shared" si="67"/>
        <v>2510</v>
      </c>
      <c r="K81" s="495">
        <f t="shared" si="67"/>
        <v>2561</v>
      </c>
      <c r="L81" s="495">
        <f t="shared" si="67"/>
        <v>2553</v>
      </c>
      <c r="M81" s="495">
        <f t="shared" si="67"/>
        <v>2471</v>
      </c>
      <c r="N81" s="495">
        <f t="shared" si="67"/>
        <v>2620</v>
      </c>
      <c r="O81" s="495">
        <f t="shared" si="67"/>
        <v>2585</v>
      </c>
      <c r="Q81" s="486"/>
    </row>
    <row r="82" spans="1:17">
      <c r="A82" s="486" t="s">
        <v>5888</v>
      </c>
      <c r="B82" s="486" t="s">
        <v>9837</v>
      </c>
      <c r="C82" s="55" t="s">
        <v>10055</v>
      </c>
      <c r="D82" s="58">
        <v>0</v>
      </c>
      <c r="E82" s="58">
        <v>0</v>
      </c>
      <c r="F82" s="58">
        <v>0</v>
      </c>
      <c r="G82" s="58">
        <v>0</v>
      </c>
      <c r="H82" s="58">
        <v>0</v>
      </c>
      <c r="I82" s="58">
        <v>3288</v>
      </c>
      <c r="J82" s="58">
        <v>3290</v>
      </c>
      <c r="K82" s="58">
        <v>3278</v>
      </c>
      <c r="L82" s="58">
        <v>3207</v>
      </c>
      <c r="M82" s="58">
        <v>3030</v>
      </c>
      <c r="N82" s="58">
        <v>3156</v>
      </c>
      <c r="O82" s="58">
        <v>3121</v>
      </c>
      <c r="Q82" s="486" t="s">
        <v>6113</v>
      </c>
    </row>
    <row r="83" spans="1:17">
      <c r="A83" s="486" t="s">
        <v>5889</v>
      </c>
      <c r="B83" s="486" t="s">
        <v>9838</v>
      </c>
      <c r="C83" s="55" t="s">
        <v>10056</v>
      </c>
      <c r="D83" s="58">
        <v>0</v>
      </c>
      <c r="E83" s="58">
        <v>0</v>
      </c>
      <c r="F83" s="58">
        <v>0</v>
      </c>
      <c r="G83" s="58">
        <v>0</v>
      </c>
      <c r="H83" s="58">
        <v>0</v>
      </c>
      <c r="I83" s="58">
        <v>3758</v>
      </c>
      <c r="J83" s="58">
        <v>3696</v>
      </c>
      <c r="K83" s="58">
        <v>3716</v>
      </c>
      <c r="L83" s="58">
        <v>3624</v>
      </c>
      <c r="M83" s="58">
        <v>3378</v>
      </c>
      <c r="N83" s="58">
        <v>3514</v>
      </c>
      <c r="O83" s="58">
        <v>3453</v>
      </c>
      <c r="Q83" s="486" t="s">
        <v>6113</v>
      </c>
    </row>
    <row r="84" spans="1:17">
      <c r="A84" s="486" t="s">
        <v>4431</v>
      </c>
      <c r="B84" s="486" t="s">
        <v>9839</v>
      </c>
      <c r="C84" s="55" t="s">
        <v>10057</v>
      </c>
      <c r="D84" s="58">
        <v>0</v>
      </c>
      <c r="E84" s="58">
        <v>0</v>
      </c>
      <c r="F84" s="58">
        <v>0</v>
      </c>
      <c r="G84" s="58">
        <v>0</v>
      </c>
      <c r="H84" s="58">
        <v>0</v>
      </c>
      <c r="I84" s="58">
        <v>3542</v>
      </c>
      <c r="J84" s="58">
        <v>3590</v>
      </c>
      <c r="K84" s="58">
        <v>3581</v>
      </c>
      <c r="L84" s="58">
        <v>3565</v>
      </c>
      <c r="M84" s="58">
        <v>3366</v>
      </c>
      <c r="N84" s="58">
        <v>3530</v>
      </c>
      <c r="O84" s="58">
        <v>3486</v>
      </c>
      <c r="Q84" s="486" t="s">
        <v>6113</v>
      </c>
    </row>
    <row r="85" spans="1:17">
      <c r="A85" s="486" t="s">
        <v>4432</v>
      </c>
      <c r="B85" s="486" t="s">
        <v>9840</v>
      </c>
      <c r="C85" s="55" t="s">
        <v>10058</v>
      </c>
      <c r="D85" s="58">
        <v>0</v>
      </c>
      <c r="E85" s="58">
        <v>0</v>
      </c>
      <c r="F85" s="58">
        <v>0</v>
      </c>
      <c r="G85" s="58">
        <v>0</v>
      </c>
      <c r="H85" s="58">
        <v>0</v>
      </c>
      <c r="I85" s="58">
        <v>4041</v>
      </c>
      <c r="J85" s="58">
        <v>4044</v>
      </c>
      <c r="K85" s="58">
        <v>4053</v>
      </c>
      <c r="L85" s="58">
        <v>4053</v>
      </c>
      <c r="M85" s="58">
        <v>3757</v>
      </c>
      <c r="N85" s="58">
        <v>3999</v>
      </c>
      <c r="O85" s="58">
        <v>3950</v>
      </c>
      <c r="Q85" s="486" t="s">
        <v>6113</v>
      </c>
    </row>
    <row r="86" spans="1:17">
      <c r="A86" s="486" t="s">
        <v>4434</v>
      </c>
      <c r="B86" s="486" t="s">
        <v>1785</v>
      </c>
      <c r="C86" s="55" t="s">
        <v>10059</v>
      </c>
      <c r="D86" s="58">
        <v>0</v>
      </c>
      <c r="E86" s="58">
        <v>0</v>
      </c>
      <c r="F86" s="58">
        <v>0</v>
      </c>
      <c r="G86" s="58">
        <v>0</v>
      </c>
      <c r="H86" s="58">
        <v>0</v>
      </c>
      <c r="I86" s="58">
        <v>4821</v>
      </c>
      <c r="J86" s="58">
        <v>4928</v>
      </c>
      <c r="K86" s="58">
        <v>5075</v>
      </c>
      <c r="L86" s="58">
        <v>5061</v>
      </c>
      <c r="M86" s="58">
        <v>4797</v>
      </c>
      <c r="N86" s="58">
        <v>5105</v>
      </c>
      <c r="O86" s="58">
        <v>5037</v>
      </c>
      <c r="Q86" s="486" t="s">
        <v>4611</v>
      </c>
    </row>
    <row r="87" spans="1:17">
      <c r="A87" s="486" t="s">
        <v>4533</v>
      </c>
      <c r="B87" s="486" t="s">
        <v>1786</v>
      </c>
      <c r="C87" s="55" t="s">
        <v>10060</v>
      </c>
      <c r="D87" s="58">
        <v>0</v>
      </c>
      <c r="E87" s="58">
        <v>0</v>
      </c>
      <c r="F87" s="58">
        <v>0</v>
      </c>
      <c r="G87" s="58">
        <v>0</v>
      </c>
      <c r="H87" s="58">
        <v>0</v>
      </c>
      <c r="I87" s="58">
        <v>5429</v>
      </c>
      <c r="J87" s="58">
        <v>5527</v>
      </c>
      <c r="K87" s="58">
        <v>5763</v>
      </c>
      <c r="L87" s="58">
        <v>5810</v>
      </c>
      <c r="M87" s="58">
        <v>5603</v>
      </c>
      <c r="N87" s="58">
        <v>5963</v>
      </c>
      <c r="O87" s="58">
        <v>5932</v>
      </c>
      <c r="Q87" s="486" t="s">
        <v>4611</v>
      </c>
    </row>
    <row r="88" spans="1:17">
      <c r="D88" s="489"/>
      <c r="E88" s="489"/>
      <c r="F88" s="489"/>
      <c r="G88" s="489"/>
      <c r="H88" s="489"/>
      <c r="I88" s="489"/>
      <c r="J88" s="489"/>
      <c r="K88" s="489"/>
      <c r="L88" s="489"/>
      <c r="M88" s="489"/>
      <c r="N88" s="489"/>
      <c r="O88" s="489"/>
    </row>
    <row r="89" spans="1:17">
      <c r="A89" s="486" t="s">
        <v>1788</v>
      </c>
      <c r="D89" s="488">
        <f>D53+D56+D59+D60+SUM(D62:D64)+D68+D69+D72+D73+SUM(D75:D77)+D79+D86+D87</f>
        <v>58981</v>
      </c>
      <c r="E89" s="488">
        <f>E53+E56+E59+E60+SUM(E62:E64)+E68+E69+E72+E73+SUM(E75:E77)+E79+E86+E87</f>
        <v>59568</v>
      </c>
      <c r="F89" s="488">
        <f>F53+F56+F59+F60+SUM(F62:F64)+F68+F69+F72+F73+SUM(F75:F77)+F79+F86+F87</f>
        <v>60018</v>
      </c>
      <c r="G89" s="488">
        <f>G53+G56+G59+G60+SUM(G62:G64)+G68+G69+G72+G73+SUM(G75:G77)+G79+G86+G87</f>
        <v>61356</v>
      </c>
      <c r="H89" s="488">
        <f>H53+H56+H59+H60+SUM(H62:H64)+H68+H69+H72+H73+SUM(H75:H77)+H79+H86+H87</f>
        <v>59301</v>
      </c>
      <c r="I89" s="488">
        <f t="shared" ref="I89:N89" si="68">I53+I56+I59+I60+SUM(I62:I64)+I68+I69+I72+I73+SUM(I75:I77)+I79+I86+I87</f>
        <v>60116</v>
      </c>
      <c r="J89" s="488">
        <f t="shared" si="68"/>
        <v>61710</v>
      </c>
      <c r="K89" s="488">
        <f t="shared" si="68"/>
        <v>63395</v>
      </c>
      <c r="L89" s="488">
        <f t="shared" si="68"/>
        <v>63291</v>
      </c>
      <c r="M89" s="488">
        <f t="shared" si="68"/>
        <v>61035</v>
      </c>
      <c r="N89" s="488">
        <f t="shared" si="68"/>
        <v>64472</v>
      </c>
      <c r="O89" s="488">
        <f>O53+O56+O59+O60+SUM(O62:O64)+O68+O69+O72+O73+SUM(O75:O77)+O79+O86+O87</f>
        <v>63802</v>
      </c>
    </row>
    <row r="90" spans="1:17">
      <c r="A90" s="486" t="s">
        <v>1789</v>
      </c>
      <c r="D90" s="488">
        <f>D54+D57+D61+SUM(D65:D67)+D70+D74+D78+D80+SUM(D82:D85)</f>
        <v>34871</v>
      </c>
      <c r="E90" s="488">
        <f>E54+E57+E61+SUM(E65:E67)+E70+E74+E78+E80+SUM(E82:E85)</f>
        <v>35147</v>
      </c>
      <c r="F90" s="488">
        <f>F54+F57+F61+SUM(F65:F67)+F70+F74+F78+F80+SUM(F82:F85)</f>
        <v>35594</v>
      </c>
      <c r="G90" s="488">
        <f>G54+G57+G61+SUM(G65:G67)+G70+G74+G78+G80+SUM(G82:G85)</f>
        <v>36256</v>
      </c>
      <c r="H90" s="488">
        <f>H54+H57+H61+SUM(H65:H67)+H70+H74+H78+H80+SUM(H82:H85)</f>
        <v>34834</v>
      </c>
      <c r="I90" s="488">
        <f t="shared" ref="I90:N90" si="69">I54+I57+I61+SUM(I65:I67)+I70+I74+I78+I80+SUM(I82:I85)</f>
        <v>35491</v>
      </c>
      <c r="J90" s="488">
        <f t="shared" si="69"/>
        <v>35959</v>
      </c>
      <c r="K90" s="488">
        <f t="shared" si="69"/>
        <v>36673</v>
      </c>
      <c r="L90" s="488">
        <f t="shared" si="69"/>
        <v>36485</v>
      </c>
      <c r="M90" s="488">
        <f t="shared" si="69"/>
        <v>34967</v>
      </c>
      <c r="N90" s="488">
        <f t="shared" si="69"/>
        <v>36893</v>
      </c>
      <c r="O90" s="488">
        <f>O54+O57+O61+SUM(O65:O67)+O70+O74+O78+O80+SUM(O82:O85)</f>
        <v>36481</v>
      </c>
    </row>
    <row r="91" spans="1:17">
      <c r="A91" s="486"/>
      <c r="D91" s="488"/>
      <c r="E91" s="488"/>
      <c r="F91" s="488"/>
      <c r="G91" s="488"/>
      <c r="H91" s="488"/>
      <c r="I91" s="488"/>
      <c r="J91" s="488"/>
      <c r="K91" s="488"/>
      <c r="L91" s="488"/>
      <c r="M91" s="488"/>
      <c r="N91" s="488"/>
      <c r="O91" s="488"/>
    </row>
    <row r="92" spans="1:17">
      <c r="A92" s="486" t="s">
        <v>9841</v>
      </c>
      <c r="D92" s="488"/>
      <c r="E92" s="488"/>
      <c r="F92" s="488"/>
      <c r="G92" s="488"/>
      <c r="H92" s="488"/>
      <c r="I92" s="488"/>
      <c r="J92" s="488"/>
      <c r="K92" s="488"/>
      <c r="L92" s="488"/>
      <c r="M92" s="488"/>
      <c r="N92" s="488"/>
      <c r="O92" s="488"/>
    </row>
    <row r="93" spans="1:17" ht="16.5" customHeight="1">
      <c r="A93" s="486"/>
      <c r="B93" s="486"/>
      <c r="D93" s="496"/>
      <c r="E93" s="496"/>
      <c r="F93" s="496"/>
      <c r="G93" s="496"/>
      <c r="H93" s="496"/>
      <c r="I93" s="496"/>
      <c r="J93" s="496"/>
      <c r="K93" s="496"/>
      <c r="L93" s="496"/>
      <c r="M93" s="496"/>
      <c r="N93" s="496"/>
      <c r="O93" s="496"/>
    </row>
    <row r="94" spans="1:17">
      <c r="A94" s="486"/>
      <c r="B94" s="486"/>
      <c r="D94" s="496"/>
      <c r="E94" s="496"/>
      <c r="F94" s="496"/>
      <c r="G94" s="496"/>
      <c r="H94" s="496"/>
      <c r="I94" s="496"/>
      <c r="J94" s="496"/>
      <c r="K94" s="496"/>
      <c r="L94" s="496"/>
      <c r="M94" s="496"/>
      <c r="N94" s="496"/>
      <c r="O94" s="496"/>
    </row>
    <row r="95" spans="1:17">
      <c r="E95" s="51" t="s">
        <v>1526</v>
      </c>
      <c r="F95" s="51"/>
      <c r="G95" s="51"/>
      <c r="H95" s="51"/>
      <c r="I95" s="51"/>
      <c r="J95" s="51"/>
      <c r="K95" s="51"/>
      <c r="L95" s="51"/>
      <c r="M95" s="51"/>
      <c r="N95" s="51"/>
      <c r="O95" s="51"/>
      <c r="P95" s="11"/>
      <c r="Q95" s="11" t="s">
        <v>9479</v>
      </c>
    </row>
    <row r="96" spans="1:17">
      <c r="D96" s="487">
        <v>2010</v>
      </c>
      <c r="E96" s="487">
        <v>2011</v>
      </c>
      <c r="F96" s="487">
        <v>2012</v>
      </c>
      <c r="G96" s="487">
        <v>2013</v>
      </c>
      <c r="H96" s="487">
        <v>2014</v>
      </c>
      <c r="I96" s="487">
        <v>2015</v>
      </c>
      <c r="J96" s="487">
        <v>2016</v>
      </c>
      <c r="K96" s="487">
        <v>2017</v>
      </c>
      <c r="L96" s="487">
        <v>2018</v>
      </c>
      <c r="M96" s="487">
        <v>2019</v>
      </c>
      <c r="N96" s="487">
        <v>2020</v>
      </c>
      <c r="O96" s="953" t="s">
        <v>14823</v>
      </c>
      <c r="Q96" s="13" t="s">
        <v>1527</v>
      </c>
    </row>
    <row r="97" spans="1:17">
      <c r="A97" s="486" t="s">
        <v>1779</v>
      </c>
      <c r="D97" s="488">
        <f t="shared" ref="D97:I97" si="70">SUM(D98:D124)</f>
        <v>93920</v>
      </c>
      <c r="E97" s="488">
        <f t="shared" si="70"/>
        <v>95393</v>
      </c>
      <c r="F97" s="488">
        <f t="shared" si="70"/>
        <v>96268</v>
      </c>
      <c r="G97" s="488">
        <f t="shared" si="70"/>
        <v>97292</v>
      </c>
      <c r="H97" s="488">
        <f t="shared" si="70"/>
        <v>96559</v>
      </c>
      <c r="I97" s="488">
        <f t="shared" si="70"/>
        <v>93466</v>
      </c>
      <c r="J97" s="488">
        <f t="shared" ref="J97:O97" si="71">SUM(J98:J124)</f>
        <v>94862</v>
      </c>
      <c r="K97" s="488">
        <f t="shared" si="71"/>
        <v>98674</v>
      </c>
      <c r="L97" s="488">
        <f t="shared" si="71"/>
        <v>98807</v>
      </c>
      <c r="M97" s="488">
        <f t="shared" si="71"/>
        <v>98852</v>
      </c>
      <c r="N97" s="488">
        <f t="shared" si="71"/>
        <v>100436</v>
      </c>
      <c r="O97" s="488">
        <f t="shared" si="71"/>
        <v>102505</v>
      </c>
    </row>
    <row r="98" spans="1:17">
      <c r="A98" s="486" t="s">
        <v>5387</v>
      </c>
      <c r="B98" s="486" t="s">
        <v>1780</v>
      </c>
      <c r="C98" s="55" t="s">
        <v>8655</v>
      </c>
      <c r="D98" s="488">
        <v>2161</v>
      </c>
      <c r="E98" s="488">
        <v>2220</v>
      </c>
      <c r="F98" s="488">
        <v>2224</v>
      </c>
      <c r="G98" s="488">
        <v>2227</v>
      </c>
      <c r="H98" s="63">
        <v>2177</v>
      </c>
      <c r="I98" s="63">
        <v>2150</v>
      </c>
      <c r="J98" s="63">
        <v>2116</v>
      </c>
      <c r="K98" s="63">
        <v>2194</v>
      </c>
      <c r="L98" s="63">
        <v>2187</v>
      </c>
      <c r="M98" s="63">
        <v>2212</v>
      </c>
      <c r="N98" s="63">
        <v>2256</v>
      </c>
      <c r="O98" s="63">
        <v>2324</v>
      </c>
      <c r="Q98" s="486" t="s">
        <v>1740</v>
      </c>
    </row>
    <row r="99" spans="1:17">
      <c r="A99" s="486" t="s">
        <v>5389</v>
      </c>
      <c r="B99" s="486" t="s">
        <v>1781</v>
      </c>
      <c r="C99" s="55" t="s">
        <v>8656</v>
      </c>
      <c r="D99" s="488">
        <v>5777</v>
      </c>
      <c r="E99" s="488">
        <v>5844</v>
      </c>
      <c r="F99" s="488">
        <v>5837</v>
      </c>
      <c r="G99" s="488">
        <v>5926</v>
      </c>
      <c r="H99" s="63">
        <v>5979</v>
      </c>
      <c r="I99" s="63">
        <v>5807</v>
      </c>
      <c r="J99" s="63">
        <v>5972</v>
      </c>
      <c r="K99" s="63">
        <v>6327</v>
      </c>
      <c r="L99" s="63">
        <v>6445</v>
      </c>
      <c r="M99" s="63">
        <v>6606</v>
      </c>
      <c r="N99" s="63">
        <v>6824</v>
      </c>
      <c r="O99" s="63">
        <v>6998</v>
      </c>
      <c r="Q99" s="486" t="s">
        <v>1740</v>
      </c>
    </row>
    <row r="100" spans="1:17">
      <c r="A100" s="486" t="s">
        <v>5391</v>
      </c>
      <c r="B100" s="486" t="s">
        <v>4637</v>
      </c>
      <c r="C100" s="55" t="s">
        <v>8657</v>
      </c>
      <c r="D100" s="488">
        <v>4338</v>
      </c>
      <c r="E100" s="488">
        <v>4446</v>
      </c>
      <c r="F100" s="488">
        <v>4509</v>
      </c>
      <c r="G100" s="488">
        <v>4591</v>
      </c>
      <c r="H100" s="63">
        <v>4532</v>
      </c>
      <c r="I100" s="63">
        <v>4410</v>
      </c>
      <c r="J100" s="63">
        <v>4443</v>
      </c>
      <c r="K100" s="63">
        <v>4592</v>
      </c>
      <c r="L100" s="63">
        <v>4590</v>
      </c>
      <c r="M100" s="63">
        <v>4656</v>
      </c>
      <c r="N100" s="63">
        <v>4806</v>
      </c>
      <c r="O100" s="63">
        <v>4887</v>
      </c>
      <c r="Q100" s="486" t="s">
        <v>1740</v>
      </c>
    </row>
    <row r="101" spans="1:17">
      <c r="A101" s="486" t="s">
        <v>5393</v>
      </c>
      <c r="B101" s="486" t="s">
        <v>4638</v>
      </c>
      <c r="C101" s="55" t="s">
        <v>8658</v>
      </c>
      <c r="D101" s="488">
        <v>4472</v>
      </c>
      <c r="E101" s="488">
        <v>4522</v>
      </c>
      <c r="F101" s="488">
        <v>4581</v>
      </c>
      <c r="G101" s="488">
        <v>4577</v>
      </c>
      <c r="H101" s="63">
        <v>4501</v>
      </c>
      <c r="I101" s="63">
        <v>4333</v>
      </c>
      <c r="J101" s="63">
        <v>4441</v>
      </c>
      <c r="K101" s="63">
        <v>4717</v>
      </c>
      <c r="L101" s="63">
        <v>4760</v>
      </c>
      <c r="M101" s="63">
        <v>4772</v>
      </c>
      <c r="N101" s="63">
        <v>4845</v>
      </c>
      <c r="O101" s="63">
        <v>4963</v>
      </c>
      <c r="Q101" s="486" t="s">
        <v>1740</v>
      </c>
    </row>
    <row r="102" spans="1:17">
      <c r="A102" s="486" t="s">
        <v>5394</v>
      </c>
      <c r="B102" s="486" t="s">
        <v>4639</v>
      </c>
      <c r="C102" s="55" t="s">
        <v>8659</v>
      </c>
      <c r="D102" s="488">
        <v>1994</v>
      </c>
      <c r="E102" s="488">
        <v>2039</v>
      </c>
      <c r="F102" s="488">
        <v>2063</v>
      </c>
      <c r="G102" s="488">
        <v>2050</v>
      </c>
      <c r="H102" s="63">
        <v>2046</v>
      </c>
      <c r="I102" s="63">
        <v>1997</v>
      </c>
      <c r="J102" s="63">
        <v>2057</v>
      </c>
      <c r="K102" s="63">
        <v>2142</v>
      </c>
      <c r="L102" s="63">
        <v>2140</v>
      </c>
      <c r="M102" s="63">
        <v>2107</v>
      </c>
      <c r="N102" s="63">
        <v>2114</v>
      </c>
      <c r="O102" s="63">
        <v>2142</v>
      </c>
      <c r="Q102" s="486" t="s">
        <v>1740</v>
      </c>
    </row>
    <row r="103" spans="1:17">
      <c r="A103" s="486" t="s">
        <v>5416</v>
      </c>
      <c r="B103" s="486" t="s">
        <v>4640</v>
      </c>
      <c r="C103" s="55" t="s">
        <v>8660</v>
      </c>
      <c r="D103" s="488">
        <v>1902</v>
      </c>
      <c r="E103" s="488">
        <v>1958</v>
      </c>
      <c r="F103" s="488">
        <v>1959</v>
      </c>
      <c r="G103" s="488">
        <v>2002</v>
      </c>
      <c r="H103" s="63">
        <v>1989</v>
      </c>
      <c r="I103" s="63">
        <v>1959</v>
      </c>
      <c r="J103" s="63">
        <v>2043</v>
      </c>
      <c r="K103" s="63">
        <v>2075</v>
      </c>
      <c r="L103" s="63">
        <v>2089</v>
      </c>
      <c r="M103" s="63">
        <v>2060</v>
      </c>
      <c r="N103" s="63">
        <v>2080</v>
      </c>
      <c r="O103" s="63">
        <v>2133</v>
      </c>
      <c r="Q103" s="486" t="s">
        <v>1740</v>
      </c>
    </row>
    <row r="104" spans="1:17">
      <c r="A104" s="486" t="s">
        <v>5418</v>
      </c>
      <c r="B104" s="486" t="s">
        <v>6123</v>
      </c>
      <c r="C104" s="55" t="s">
        <v>8661</v>
      </c>
      <c r="D104" s="488">
        <v>2036</v>
      </c>
      <c r="E104" s="488">
        <v>2069</v>
      </c>
      <c r="F104" s="488">
        <v>2077</v>
      </c>
      <c r="G104" s="488">
        <v>2083</v>
      </c>
      <c r="H104" s="63">
        <v>1986</v>
      </c>
      <c r="I104" s="63">
        <v>1927</v>
      </c>
      <c r="J104" s="63">
        <v>2019</v>
      </c>
      <c r="K104" s="63">
        <v>2094</v>
      </c>
      <c r="L104" s="63">
        <v>2087</v>
      </c>
      <c r="M104" s="63">
        <v>2084</v>
      </c>
      <c r="N104" s="63">
        <v>2083</v>
      </c>
      <c r="O104" s="63">
        <v>2120</v>
      </c>
      <c r="Q104" s="486" t="s">
        <v>1740</v>
      </c>
    </row>
    <row r="105" spans="1:17">
      <c r="A105" s="486" t="s">
        <v>5420</v>
      </c>
      <c r="B105" s="486" t="s">
        <v>6124</v>
      </c>
      <c r="C105" s="55" t="s">
        <v>8662</v>
      </c>
      <c r="D105" s="488">
        <v>2032</v>
      </c>
      <c r="E105" s="488">
        <v>2127</v>
      </c>
      <c r="F105" s="488">
        <v>2131</v>
      </c>
      <c r="G105" s="488">
        <v>2161</v>
      </c>
      <c r="H105" s="63">
        <v>2129</v>
      </c>
      <c r="I105" s="63">
        <v>1962</v>
      </c>
      <c r="J105" s="63">
        <v>2083</v>
      </c>
      <c r="K105" s="63">
        <v>2165</v>
      </c>
      <c r="L105" s="63">
        <v>2157</v>
      </c>
      <c r="M105" s="63">
        <v>2156</v>
      </c>
      <c r="N105" s="63">
        <v>2162</v>
      </c>
      <c r="O105" s="63">
        <v>2206</v>
      </c>
      <c r="Q105" s="486" t="s">
        <v>1740</v>
      </c>
    </row>
    <row r="106" spans="1:17">
      <c r="A106" s="486" t="s">
        <v>5422</v>
      </c>
      <c r="B106" s="486" t="s">
        <v>6125</v>
      </c>
      <c r="C106" s="55" t="s">
        <v>8663</v>
      </c>
      <c r="D106" s="488">
        <v>1946</v>
      </c>
      <c r="E106" s="488">
        <v>1973</v>
      </c>
      <c r="F106" s="488">
        <v>1989</v>
      </c>
      <c r="G106" s="488">
        <v>1995</v>
      </c>
      <c r="H106" s="63">
        <v>1952</v>
      </c>
      <c r="I106" s="63">
        <v>1888</v>
      </c>
      <c r="J106" s="63">
        <v>1963</v>
      </c>
      <c r="K106" s="63">
        <v>1970</v>
      </c>
      <c r="L106" s="63">
        <v>1985</v>
      </c>
      <c r="M106" s="63">
        <v>1971</v>
      </c>
      <c r="N106" s="63">
        <v>1939</v>
      </c>
      <c r="O106" s="63">
        <v>1969</v>
      </c>
      <c r="Q106" s="486" t="s">
        <v>1740</v>
      </c>
    </row>
    <row r="107" spans="1:17">
      <c r="A107" s="486" t="s">
        <v>5424</v>
      </c>
      <c r="B107" s="486" t="s">
        <v>6126</v>
      </c>
      <c r="C107" s="55" t="s">
        <v>8664</v>
      </c>
      <c r="D107" s="488">
        <v>2318</v>
      </c>
      <c r="E107" s="488">
        <v>2410</v>
      </c>
      <c r="F107" s="488">
        <v>2433</v>
      </c>
      <c r="G107" s="488">
        <v>2455</v>
      </c>
      <c r="H107" s="63">
        <v>2486</v>
      </c>
      <c r="I107" s="63">
        <v>2411</v>
      </c>
      <c r="J107" s="63">
        <v>2448</v>
      </c>
      <c r="K107" s="63">
        <v>2489</v>
      </c>
      <c r="L107" s="63">
        <v>2491</v>
      </c>
      <c r="M107" s="63">
        <v>2480</v>
      </c>
      <c r="N107" s="63">
        <v>2474</v>
      </c>
      <c r="O107" s="63">
        <v>2532</v>
      </c>
      <c r="Q107" s="486" t="s">
        <v>1740</v>
      </c>
    </row>
    <row r="108" spans="1:17">
      <c r="A108" s="486" t="s">
        <v>5426</v>
      </c>
      <c r="B108" s="486" t="s">
        <v>6127</v>
      </c>
      <c r="C108" s="55" t="s">
        <v>8665</v>
      </c>
      <c r="D108" s="488">
        <v>1895</v>
      </c>
      <c r="E108" s="488">
        <v>1924</v>
      </c>
      <c r="F108" s="488">
        <v>1945</v>
      </c>
      <c r="G108" s="488">
        <v>2034</v>
      </c>
      <c r="H108" s="63">
        <v>1982</v>
      </c>
      <c r="I108" s="63">
        <v>1901</v>
      </c>
      <c r="J108" s="63">
        <v>1993</v>
      </c>
      <c r="K108" s="63">
        <v>2116</v>
      </c>
      <c r="L108" s="63">
        <v>2093</v>
      </c>
      <c r="M108" s="63">
        <v>2094</v>
      </c>
      <c r="N108" s="63">
        <v>2151</v>
      </c>
      <c r="O108" s="63">
        <v>2182</v>
      </c>
      <c r="Q108" s="486" t="s">
        <v>1740</v>
      </c>
    </row>
    <row r="109" spans="1:17">
      <c r="A109" s="486" t="s">
        <v>5428</v>
      </c>
      <c r="B109" s="486" t="s">
        <v>6128</v>
      </c>
      <c r="C109" s="55" t="s">
        <v>8666</v>
      </c>
      <c r="D109" s="488">
        <v>4679</v>
      </c>
      <c r="E109" s="488">
        <v>4730</v>
      </c>
      <c r="F109" s="488">
        <v>4771</v>
      </c>
      <c r="G109" s="488">
        <v>4795</v>
      </c>
      <c r="H109" s="63">
        <v>4722</v>
      </c>
      <c r="I109" s="63">
        <v>4493</v>
      </c>
      <c r="J109" s="63">
        <v>4539</v>
      </c>
      <c r="K109" s="63">
        <v>4630</v>
      </c>
      <c r="L109" s="63">
        <v>4587</v>
      </c>
      <c r="M109" s="63">
        <v>4514</v>
      </c>
      <c r="N109" s="63">
        <v>4530</v>
      </c>
      <c r="O109" s="63">
        <v>4615</v>
      </c>
      <c r="Q109" s="486" t="s">
        <v>4617</v>
      </c>
    </row>
    <row r="110" spans="1:17">
      <c r="A110" s="486" t="s">
        <v>5429</v>
      </c>
      <c r="B110" s="486" t="s">
        <v>6129</v>
      </c>
      <c r="C110" s="55" t="s">
        <v>8667</v>
      </c>
      <c r="D110" s="488">
        <v>3950</v>
      </c>
      <c r="E110" s="488">
        <v>3961</v>
      </c>
      <c r="F110" s="488">
        <v>4017</v>
      </c>
      <c r="G110" s="488">
        <v>4024</v>
      </c>
      <c r="H110" s="63">
        <v>3955</v>
      </c>
      <c r="I110" s="63">
        <v>3853</v>
      </c>
      <c r="J110" s="63">
        <v>3894</v>
      </c>
      <c r="K110" s="63">
        <v>3986</v>
      </c>
      <c r="L110" s="63">
        <v>3972</v>
      </c>
      <c r="M110" s="63">
        <v>4004</v>
      </c>
      <c r="N110" s="63">
        <v>4052</v>
      </c>
      <c r="O110" s="63">
        <v>4121</v>
      </c>
      <c r="Q110" s="486" t="s">
        <v>4617</v>
      </c>
    </row>
    <row r="111" spans="1:17">
      <c r="A111" s="486" t="s">
        <v>5431</v>
      </c>
      <c r="B111" s="486" t="s">
        <v>6788</v>
      </c>
      <c r="C111" s="55" t="s">
        <v>8668</v>
      </c>
      <c r="D111" s="488">
        <v>2130</v>
      </c>
      <c r="E111" s="488">
        <v>2127</v>
      </c>
      <c r="F111" s="488">
        <v>2116</v>
      </c>
      <c r="G111" s="488">
        <v>2167</v>
      </c>
      <c r="H111" s="63">
        <v>2143</v>
      </c>
      <c r="I111" s="63">
        <v>2076</v>
      </c>
      <c r="J111" s="63">
        <v>2121</v>
      </c>
      <c r="K111" s="63">
        <v>2268</v>
      </c>
      <c r="L111" s="63">
        <v>2246</v>
      </c>
      <c r="M111" s="63">
        <v>2232</v>
      </c>
      <c r="N111" s="63">
        <v>2272</v>
      </c>
      <c r="O111" s="63">
        <v>2307</v>
      </c>
      <c r="Q111" s="486" t="s">
        <v>1740</v>
      </c>
    </row>
    <row r="112" spans="1:17">
      <c r="A112" s="486" t="s">
        <v>5433</v>
      </c>
      <c r="B112" s="486" t="s">
        <v>6789</v>
      </c>
      <c r="C112" s="55" t="s">
        <v>8669</v>
      </c>
      <c r="D112" s="488">
        <v>3457</v>
      </c>
      <c r="E112" s="488">
        <v>3486</v>
      </c>
      <c r="F112" s="488">
        <v>3591</v>
      </c>
      <c r="G112" s="488">
        <v>3688</v>
      </c>
      <c r="H112" s="63">
        <v>3739</v>
      </c>
      <c r="I112" s="63">
        <v>3625</v>
      </c>
      <c r="J112" s="63">
        <v>3667</v>
      </c>
      <c r="K112" s="63">
        <v>3955</v>
      </c>
      <c r="L112" s="63">
        <v>3981</v>
      </c>
      <c r="M112" s="63">
        <v>3935</v>
      </c>
      <c r="N112" s="63">
        <v>3982</v>
      </c>
      <c r="O112" s="63">
        <v>4072</v>
      </c>
      <c r="Q112" s="486" t="s">
        <v>1740</v>
      </c>
    </row>
    <row r="113" spans="1:17">
      <c r="A113" s="486" t="s">
        <v>5435</v>
      </c>
      <c r="B113" s="486" t="s">
        <v>6790</v>
      </c>
      <c r="C113" s="55" t="s">
        <v>8670</v>
      </c>
      <c r="D113" s="488">
        <v>2351</v>
      </c>
      <c r="E113" s="488">
        <v>2357</v>
      </c>
      <c r="F113" s="488">
        <v>2381</v>
      </c>
      <c r="G113" s="488">
        <v>2445</v>
      </c>
      <c r="H113" s="63">
        <v>2369</v>
      </c>
      <c r="I113" s="63">
        <v>2311</v>
      </c>
      <c r="J113" s="63">
        <v>2363</v>
      </c>
      <c r="K113" s="63">
        <v>2472</v>
      </c>
      <c r="L113" s="63">
        <v>2467</v>
      </c>
      <c r="M113" s="63">
        <v>2448</v>
      </c>
      <c r="N113" s="63">
        <v>2472</v>
      </c>
      <c r="O113" s="63">
        <v>2527</v>
      </c>
      <c r="Q113" s="486" t="s">
        <v>1740</v>
      </c>
    </row>
    <row r="114" spans="1:17">
      <c r="A114" s="486" t="s">
        <v>5436</v>
      </c>
      <c r="B114" s="486" t="s">
        <v>6791</v>
      </c>
      <c r="C114" s="55" t="s">
        <v>8671</v>
      </c>
      <c r="D114" s="488">
        <v>6313</v>
      </c>
      <c r="E114" s="488">
        <v>6318</v>
      </c>
      <c r="F114" s="488">
        <v>6360</v>
      </c>
      <c r="G114" s="488">
        <v>6486</v>
      </c>
      <c r="H114" s="63">
        <v>6504</v>
      </c>
      <c r="I114" s="63">
        <v>6236</v>
      </c>
      <c r="J114" s="63">
        <v>6338</v>
      </c>
      <c r="K114" s="63">
        <v>6511</v>
      </c>
      <c r="L114" s="63">
        <v>6452</v>
      </c>
      <c r="M114" s="63">
        <v>6424</v>
      </c>
      <c r="N114" s="63">
        <v>6513</v>
      </c>
      <c r="O114" s="63">
        <v>6611</v>
      </c>
      <c r="Q114" s="486" t="s">
        <v>4617</v>
      </c>
    </row>
    <row r="115" spans="1:17">
      <c r="A115" s="486" t="s">
        <v>5437</v>
      </c>
      <c r="B115" s="486" t="s">
        <v>4740</v>
      </c>
      <c r="C115" s="55" t="s">
        <v>8672</v>
      </c>
      <c r="D115" s="488">
        <v>2262</v>
      </c>
      <c r="E115" s="488">
        <v>2292</v>
      </c>
      <c r="F115" s="488">
        <v>2356</v>
      </c>
      <c r="G115" s="488">
        <v>2442</v>
      </c>
      <c r="H115" s="63">
        <v>2432</v>
      </c>
      <c r="I115" s="63">
        <v>2355</v>
      </c>
      <c r="J115" s="63">
        <v>2360</v>
      </c>
      <c r="K115" s="63">
        <v>2448</v>
      </c>
      <c r="L115" s="63">
        <v>2449</v>
      </c>
      <c r="M115" s="63">
        <v>2492</v>
      </c>
      <c r="N115" s="63">
        <v>2588</v>
      </c>
      <c r="O115" s="63">
        <v>2650</v>
      </c>
      <c r="Q115" s="486" t="s">
        <v>1740</v>
      </c>
    </row>
    <row r="116" spans="1:17">
      <c r="A116" s="486" t="s">
        <v>5439</v>
      </c>
      <c r="B116" s="486" t="s">
        <v>6792</v>
      </c>
      <c r="C116" s="55" t="s">
        <v>8673</v>
      </c>
      <c r="D116" s="488">
        <v>1946</v>
      </c>
      <c r="E116" s="488">
        <v>1983</v>
      </c>
      <c r="F116" s="488">
        <v>2026</v>
      </c>
      <c r="G116" s="488">
        <v>2032</v>
      </c>
      <c r="H116" s="63">
        <v>1999</v>
      </c>
      <c r="I116" s="63">
        <v>1941</v>
      </c>
      <c r="J116" s="63">
        <v>1972</v>
      </c>
      <c r="K116" s="63">
        <v>2069</v>
      </c>
      <c r="L116" s="63">
        <v>2092</v>
      </c>
      <c r="M116" s="63">
        <v>2110</v>
      </c>
      <c r="N116" s="63">
        <v>2110</v>
      </c>
      <c r="O116" s="63">
        <v>2139</v>
      </c>
      <c r="Q116" s="486" t="s">
        <v>1740</v>
      </c>
    </row>
    <row r="117" spans="1:17">
      <c r="A117" s="486" t="s">
        <v>5441</v>
      </c>
      <c r="B117" s="486" t="s">
        <v>6793</v>
      </c>
      <c r="C117" s="55" t="s">
        <v>8674</v>
      </c>
      <c r="D117" s="488">
        <v>4245</v>
      </c>
      <c r="E117" s="488">
        <v>4220</v>
      </c>
      <c r="F117" s="488">
        <v>4226</v>
      </c>
      <c r="G117" s="488">
        <v>4307</v>
      </c>
      <c r="H117" s="63">
        <v>4330</v>
      </c>
      <c r="I117" s="63">
        <v>4210</v>
      </c>
      <c r="J117" s="63">
        <v>4260</v>
      </c>
      <c r="K117" s="63">
        <v>4439</v>
      </c>
      <c r="L117" s="63">
        <v>4407</v>
      </c>
      <c r="M117" s="63">
        <v>4370</v>
      </c>
      <c r="N117" s="63">
        <v>4396</v>
      </c>
      <c r="O117" s="63">
        <v>4463</v>
      </c>
      <c r="Q117" s="486" t="s">
        <v>1740</v>
      </c>
    </row>
    <row r="118" spans="1:17">
      <c r="A118" s="486" t="s">
        <v>5886</v>
      </c>
      <c r="B118" s="486" t="s">
        <v>4656</v>
      </c>
      <c r="C118" s="55" t="s">
        <v>8675</v>
      </c>
      <c r="D118" s="488">
        <v>4109</v>
      </c>
      <c r="E118" s="488">
        <v>4171</v>
      </c>
      <c r="F118" s="488">
        <v>4195</v>
      </c>
      <c r="G118" s="488">
        <v>4298</v>
      </c>
      <c r="H118" s="63">
        <v>4309</v>
      </c>
      <c r="I118" s="63">
        <v>4240</v>
      </c>
      <c r="J118" s="63">
        <v>4150</v>
      </c>
      <c r="K118" s="63">
        <v>4242</v>
      </c>
      <c r="L118" s="63">
        <v>4248</v>
      </c>
      <c r="M118" s="63">
        <v>4146</v>
      </c>
      <c r="N118" s="63">
        <v>4177</v>
      </c>
      <c r="O118" s="63">
        <v>4243</v>
      </c>
      <c r="Q118" s="486" t="s">
        <v>4617</v>
      </c>
    </row>
    <row r="119" spans="1:17">
      <c r="A119" s="486" t="s">
        <v>5888</v>
      </c>
      <c r="B119" s="486" t="s">
        <v>4657</v>
      </c>
      <c r="C119" s="55" t="s">
        <v>8676</v>
      </c>
      <c r="D119" s="488">
        <v>5580</v>
      </c>
      <c r="E119" s="488">
        <v>5619</v>
      </c>
      <c r="F119" s="488">
        <v>5693</v>
      </c>
      <c r="G119" s="488">
        <v>5737</v>
      </c>
      <c r="H119" s="63">
        <v>5750</v>
      </c>
      <c r="I119" s="63">
        <v>5619</v>
      </c>
      <c r="J119" s="63">
        <v>5617</v>
      </c>
      <c r="K119" s="63">
        <v>5937</v>
      </c>
      <c r="L119" s="63">
        <v>6125</v>
      </c>
      <c r="M119" s="63">
        <v>6350</v>
      </c>
      <c r="N119" s="63">
        <v>6711</v>
      </c>
      <c r="O119" s="63">
        <v>6971</v>
      </c>
      <c r="Q119" s="486" t="s">
        <v>4617</v>
      </c>
    </row>
    <row r="120" spans="1:17">
      <c r="A120" s="486" t="s">
        <v>5889</v>
      </c>
      <c r="B120" s="486" t="s">
        <v>4658</v>
      </c>
      <c r="C120" s="55" t="s">
        <v>8677</v>
      </c>
      <c r="D120" s="488">
        <v>3743</v>
      </c>
      <c r="E120" s="488">
        <v>3970</v>
      </c>
      <c r="F120" s="488">
        <v>3985</v>
      </c>
      <c r="G120" s="488">
        <v>3928</v>
      </c>
      <c r="H120" s="63">
        <v>3875</v>
      </c>
      <c r="I120" s="63">
        <v>3729</v>
      </c>
      <c r="J120" s="63">
        <v>3779</v>
      </c>
      <c r="K120" s="63">
        <v>3900</v>
      </c>
      <c r="L120" s="63">
        <v>3875</v>
      </c>
      <c r="M120" s="63">
        <v>3819</v>
      </c>
      <c r="N120" s="63">
        <v>3917</v>
      </c>
      <c r="O120" s="63">
        <v>3977</v>
      </c>
      <c r="Q120" s="486" t="s">
        <v>1740</v>
      </c>
    </row>
    <row r="121" spans="1:17">
      <c r="A121" s="486" t="s">
        <v>4431</v>
      </c>
      <c r="B121" s="486" t="s">
        <v>4659</v>
      </c>
      <c r="C121" s="55" t="s">
        <v>8678</v>
      </c>
      <c r="D121" s="488">
        <v>3635</v>
      </c>
      <c r="E121" s="488">
        <v>3695</v>
      </c>
      <c r="F121" s="488">
        <v>3732</v>
      </c>
      <c r="G121" s="488">
        <v>3763</v>
      </c>
      <c r="H121" s="63">
        <v>3707</v>
      </c>
      <c r="I121" s="63">
        <v>3632</v>
      </c>
      <c r="J121" s="63">
        <v>3636</v>
      </c>
      <c r="K121" s="63">
        <v>3702</v>
      </c>
      <c r="L121" s="63">
        <v>3643</v>
      </c>
      <c r="M121" s="63">
        <v>3578</v>
      </c>
      <c r="N121" s="63">
        <v>3599</v>
      </c>
      <c r="O121" s="63">
        <v>3646</v>
      </c>
      <c r="Q121" s="486" t="s">
        <v>1740</v>
      </c>
    </row>
    <row r="122" spans="1:17">
      <c r="A122" s="486" t="s">
        <v>4432</v>
      </c>
      <c r="B122" s="486" t="s">
        <v>4660</v>
      </c>
      <c r="C122" s="55" t="s">
        <v>8679</v>
      </c>
      <c r="D122" s="488">
        <v>5697</v>
      </c>
      <c r="E122" s="488">
        <v>5840</v>
      </c>
      <c r="F122" s="488">
        <v>5875</v>
      </c>
      <c r="G122" s="488">
        <v>5773</v>
      </c>
      <c r="H122" s="63">
        <v>5757</v>
      </c>
      <c r="I122" s="63">
        <v>5578</v>
      </c>
      <c r="J122" s="63">
        <v>5635</v>
      </c>
      <c r="K122" s="63">
        <v>5833</v>
      </c>
      <c r="L122" s="63">
        <v>5846</v>
      </c>
      <c r="M122" s="63">
        <v>5812</v>
      </c>
      <c r="N122" s="63">
        <v>5855</v>
      </c>
      <c r="O122" s="63">
        <v>5950</v>
      </c>
      <c r="Q122" s="486" t="s">
        <v>4617</v>
      </c>
    </row>
    <row r="123" spans="1:17">
      <c r="A123" s="486" t="s">
        <v>4434</v>
      </c>
      <c r="B123" s="486" t="s">
        <v>4661</v>
      </c>
      <c r="C123" s="55" t="s">
        <v>8680</v>
      </c>
      <c r="D123" s="488">
        <v>4999</v>
      </c>
      <c r="E123" s="488">
        <v>5078</v>
      </c>
      <c r="F123" s="488">
        <v>5136</v>
      </c>
      <c r="G123" s="488">
        <v>5315</v>
      </c>
      <c r="H123" s="63">
        <v>5287</v>
      </c>
      <c r="I123" s="63">
        <v>5034</v>
      </c>
      <c r="J123" s="63">
        <v>5074</v>
      </c>
      <c r="K123" s="63">
        <v>5320</v>
      </c>
      <c r="L123" s="63">
        <v>5272</v>
      </c>
      <c r="M123" s="63">
        <v>5304</v>
      </c>
      <c r="N123" s="63">
        <v>5323</v>
      </c>
      <c r="O123" s="63">
        <v>5477</v>
      </c>
      <c r="Q123" s="486" t="s">
        <v>4617</v>
      </c>
    </row>
    <row r="124" spans="1:17">
      <c r="A124" s="486" t="s">
        <v>4533</v>
      </c>
      <c r="B124" s="486" t="s">
        <v>4662</v>
      </c>
      <c r="C124" s="55" t="s">
        <v>8681</v>
      </c>
      <c r="D124" s="488">
        <v>3953</v>
      </c>
      <c r="E124" s="488">
        <v>4014</v>
      </c>
      <c r="F124" s="488">
        <v>4060</v>
      </c>
      <c r="G124" s="488">
        <v>3991</v>
      </c>
      <c r="H124" s="63">
        <v>3922</v>
      </c>
      <c r="I124" s="63">
        <v>3789</v>
      </c>
      <c r="J124" s="63">
        <v>3879</v>
      </c>
      <c r="K124" s="63">
        <v>4081</v>
      </c>
      <c r="L124" s="63">
        <v>4121</v>
      </c>
      <c r="M124" s="63">
        <v>4116</v>
      </c>
      <c r="N124" s="63">
        <v>4205</v>
      </c>
      <c r="O124" s="63">
        <v>4280</v>
      </c>
      <c r="Q124" s="486" t="s">
        <v>1740</v>
      </c>
    </row>
    <row r="125" spans="1:17">
      <c r="D125" s="489"/>
      <c r="E125" s="489"/>
      <c r="F125" s="489"/>
      <c r="G125" s="489"/>
      <c r="H125" s="489"/>
      <c r="I125" s="489"/>
      <c r="J125" s="489"/>
      <c r="K125" s="489"/>
      <c r="L125" s="489"/>
      <c r="M125" s="489"/>
      <c r="N125" s="489"/>
      <c r="O125" s="489"/>
    </row>
    <row r="126" spans="1:17">
      <c r="A126" s="486" t="s">
        <v>4663</v>
      </c>
      <c r="D126" s="488">
        <f t="shared" ref="D126:I126" si="72">SUM(D98:D108)+SUM(D111:D113)+SUM(D115:D117)+D120+D121+D124</f>
        <v>58593</v>
      </c>
      <c r="E126" s="488">
        <f t="shared" si="72"/>
        <v>59676</v>
      </c>
      <c r="F126" s="488">
        <f t="shared" si="72"/>
        <v>60221</v>
      </c>
      <c r="G126" s="488">
        <f t="shared" si="72"/>
        <v>60864</v>
      </c>
      <c r="H126" s="488">
        <f t="shared" si="72"/>
        <v>60275</v>
      </c>
      <c r="I126" s="488">
        <f t="shared" si="72"/>
        <v>58413</v>
      </c>
      <c r="J126" s="488">
        <f t="shared" ref="J126:O126" si="73">SUM(J98:J108)+SUM(J111:J113)+SUM(J115:J117)+J120+J121+J124</f>
        <v>59615</v>
      </c>
      <c r="K126" s="488">
        <f t="shared" si="73"/>
        <v>62215</v>
      </c>
      <c r="L126" s="488">
        <f t="shared" si="73"/>
        <v>62305</v>
      </c>
      <c r="M126" s="488">
        <f t="shared" si="73"/>
        <v>62298</v>
      </c>
      <c r="N126" s="488">
        <f t="shared" si="73"/>
        <v>63275</v>
      </c>
      <c r="O126" s="488">
        <f t="shared" si="73"/>
        <v>64517</v>
      </c>
    </row>
    <row r="127" spans="1:17">
      <c r="A127" s="486" t="s">
        <v>4664</v>
      </c>
      <c r="D127" s="488">
        <f t="shared" ref="D127:I127" si="74">D109+D110+D114+D118+D119+D122+D123</f>
        <v>35327</v>
      </c>
      <c r="E127" s="488">
        <f t="shared" si="74"/>
        <v>35717</v>
      </c>
      <c r="F127" s="488">
        <f t="shared" si="74"/>
        <v>36047</v>
      </c>
      <c r="G127" s="488">
        <f t="shared" si="74"/>
        <v>36428</v>
      </c>
      <c r="H127" s="488">
        <f t="shared" si="74"/>
        <v>36284</v>
      </c>
      <c r="I127" s="488">
        <f t="shared" si="74"/>
        <v>35053</v>
      </c>
      <c r="J127" s="488">
        <f t="shared" ref="J127:O127" si="75">J109+J110+J114+J118+J119+J122+J123</f>
        <v>35247</v>
      </c>
      <c r="K127" s="488">
        <f t="shared" si="75"/>
        <v>36459</v>
      </c>
      <c r="L127" s="488">
        <f t="shared" si="75"/>
        <v>36502</v>
      </c>
      <c r="M127" s="488">
        <f t="shared" si="75"/>
        <v>36554</v>
      </c>
      <c r="N127" s="488">
        <f t="shared" si="75"/>
        <v>37161</v>
      </c>
      <c r="O127" s="488">
        <f t="shared" si="75"/>
        <v>37988</v>
      </c>
    </row>
    <row r="128" spans="1:17">
      <c r="A128" s="486"/>
      <c r="D128" s="488"/>
      <c r="E128" s="488"/>
      <c r="F128" s="488"/>
      <c r="G128" s="488"/>
      <c r="H128" s="488"/>
      <c r="I128" s="488"/>
      <c r="J128" s="488"/>
      <c r="K128" s="488"/>
      <c r="L128" s="488"/>
      <c r="M128" s="488"/>
      <c r="N128" s="488"/>
      <c r="O128" s="488"/>
    </row>
    <row r="129" spans="1:17">
      <c r="A129" s="486" t="s">
        <v>4665</v>
      </c>
      <c r="D129" s="488"/>
      <c r="E129" s="488"/>
      <c r="F129" s="488"/>
      <c r="G129" s="488"/>
      <c r="H129" s="488"/>
      <c r="I129" s="488"/>
      <c r="J129" s="488"/>
      <c r="K129" s="488"/>
      <c r="L129" s="488"/>
      <c r="M129" s="488"/>
      <c r="N129" s="488"/>
      <c r="O129" s="488"/>
    </row>
    <row r="130" spans="1:17">
      <c r="A130" s="486"/>
      <c r="B130" s="486"/>
      <c r="D130" s="496"/>
      <c r="E130" s="496"/>
      <c r="F130" s="496"/>
      <c r="G130" s="496"/>
      <c r="H130" s="496"/>
      <c r="I130" s="496"/>
      <c r="J130" s="496"/>
      <c r="K130" s="496"/>
      <c r="L130" s="496"/>
      <c r="M130" s="496"/>
      <c r="N130" s="496"/>
      <c r="O130" s="496"/>
    </row>
    <row r="131" spans="1:17">
      <c r="A131" s="486"/>
      <c r="B131" s="486"/>
      <c r="D131" s="496"/>
      <c r="E131" s="496"/>
      <c r="F131" s="496"/>
      <c r="G131" s="496"/>
      <c r="H131" s="496"/>
      <c r="I131" s="496"/>
      <c r="J131" s="496"/>
      <c r="K131" s="496"/>
      <c r="L131" s="496"/>
      <c r="M131" s="496"/>
      <c r="N131" s="496"/>
      <c r="O131" s="496"/>
    </row>
    <row r="132" spans="1:17">
      <c r="E132" s="51" t="s">
        <v>1526</v>
      </c>
      <c r="F132" s="51"/>
      <c r="G132" s="51"/>
      <c r="H132" s="51"/>
      <c r="I132" s="51"/>
      <c r="J132" s="51"/>
      <c r="K132" s="51"/>
      <c r="L132" s="51"/>
      <c r="M132" s="51"/>
      <c r="N132" s="51"/>
      <c r="O132" s="51"/>
      <c r="P132" s="11"/>
      <c r="Q132" s="11" t="s">
        <v>9479</v>
      </c>
    </row>
    <row r="133" spans="1:17">
      <c r="D133" s="487">
        <v>2010</v>
      </c>
      <c r="E133" s="487">
        <v>2011</v>
      </c>
      <c r="F133" s="487">
        <v>2012</v>
      </c>
      <c r="G133" s="487">
        <v>2013</v>
      </c>
      <c r="H133" s="487">
        <v>2014</v>
      </c>
      <c r="I133" s="487">
        <v>2015</v>
      </c>
      <c r="J133" s="487">
        <v>2016</v>
      </c>
      <c r="K133" s="487">
        <v>2017</v>
      </c>
      <c r="L133" s="487">
        <v>2018</v>
      </c>
      <c r="M133" s="487">
        <v>2019</v>
      </c>
      <c r="N133" s="487">
        <v>2020</v>
      </c>
      <c r="O133" s="953" t="s">
        <v>14823</v>
      </c>
      <c r="Q133" s="13" t="s">
        <v>1527</v>
      </c>
    </row>
    <row r="134" spans="1:17">
      <c r="A134" s="486" t="s">
        <v>4666</v>
      </c>
      <c r="D134" s="488">
        <f t="shared" ref="D134:I134" si="76">SUM(D135:D151)</f>
        <v>70196</v>
      </c>
      <c r="E134" s="488">
        <f t="shared" si="76"/>
        <v>70526</v>
      </c>
      <c r="F134" s="488">
        <f t="shared" si="76"/>
        <v>69872</v>
      </c>
      <c r="G134" s="488">
        <f t="shared" si="76"/>
        <v>69238</v>
      </c>
      <c r="H134" s="488">
        <f t="shared" si="76"/>
        <v>69616</v>
      </c>
      <c r="I134" s="488">
        <f t="shared" si="76"/>
        <v>68756</v>
      </c>
      <c r="J134" s="488">
        <f t="shared" ref="J134:O134" si="77">SUM(J135:J151)</f>
        <v>69691</v>
      </c>
      <c r="K134" s="488">
        <f t="shared" si="77"/>
        <v>70816</v>
      </c>
      <c r="L134" s="488">
        <f t="shared" si="77"/>
        <v>69332</v>
      </c>
      <c r="M134" s="488">
        <f t="shared" si="77"/>
        <v>69104</v>
      </c>
      <c r="N134" s="488">
        <f t="shared" si="77"/>
        <v>69808</v>
      </c>
      <c r="O134" s="488">
        <f t="shared" si="77"/>
        <v>70077</v>
      </c>
    </row>
    <row r="135" spans="1:17">
      <c r="A135" s="486" t="s">
        <v>5387</v>
      </c>
      <c r="B135" s="486" t="s">
        <v>4667</v>
      </c>
      <c r="C135" s="55" t="s">
        <v>8682</v>
      </c>
      <c r="D135" s="488">
        <v>5044</v>
      </c>
      <c r="E135" s="488">
        <v>5062</v>
      </c>
      <c r="F135" s="488">
        <v>5079</v>
      </c>
      <c r="G135" s="63">
        <v>5054</v>
      </c>
      <c r="H135" s="63">
        <v>5083</v>
      </c>
      <c r="I135" s="63">
        <v>5066</v>
      </c>
      <c r="J135" s="63">
        <v>5191</v>
      </c>
      <c r="K135" s="63">
        <v>5214</v>
      </c>
      <c r="L135" s="63">
        <v>5130</v>
      </c>
      <c r="M135" s="63">
        <v>5139</v>
      </c>
      <c r="N135" s="63">
        <v>5190</v>
      </c>
      <c r="O135" s="63">
        <v>5190</v>
      </c>
      <c r="Q135" s="486" t="s">
        <v>4610</v>
      </c>
    </row>
    <row r="136" spans="1:17">
      <c r="A136" s="486" t="s">
        <v>5389</v>
      </c>
      <c r="B136" s="486" t="s">
        <v>6132</v>
      </c>
      <c r="C136" s="55" t="s">
        <v>8683</v>
      </c>
      <c r="D136" s="488">
        <v>5105</v>
      </c>
      <c r="E136" s="488">
        <v>5148</v>
      </c>
      <c r="F136" s="488">
        <v>5101</v>
      </c>
      <c r="G136" s="63">
        <v>5120</v>
      </c>
      <c r="H136" s="63">
        <v>5175</v>
      </c>
      <c r="I136" s="63">
        <v>5115</v>
      </c>
      <c r="J136" s="63">
        <v>5242</v>
      </c>
      <c r="K136" s="63">
        <v>5441</v>
      </c>
      <c r="L136" s="63">
        <v>5490</v>
      </c>
      <c r="M136" s="63">
        <v>5601</v>
      </c>
      <c r="N136" s="63">
        <v>5742</v>
      </c>
      <c r="O136" s="63">
        <v>5785</v>
      </c>
      <c r="Q136" s="486" t="s">
        <v>4610</v>
      </c>
    </row>
    <row r="137" spans="1:17">
      <c r="A137" s="486" t="s">
        <v>5391</v>
      </c>
      <c r="B137" s="486" t="s">
        <v>6133</v>
      </c>
      <c r="C137" s="55" t="s">
        <v>8684</v>
      </c>
      <c r="D137" s="488">
        <v>3674</v>
      </c>
      <c r="E137" s="488">
        <v>3659</v>
      </c>
      <c r="F137" s="488">
        <v>3615</v>
      </c>
      <c r="G137" s="63">
        <v>3607</v>
      </c>
      <c r="H137" s="63">
        <v>3620</v>
      </c>
      <c r="I137" s="63">
        <v>3581</v>
      </c>
      <c r="J137" s="63">
        <v>3654</v>
      </c>
      <c r="K137" s="63">
        <v>5037</v>
      </c>
      <c r="L137" s="63">
        <v>3629</v>
      </c>
      <c r="M137" s="63">
        <v>3602</v>
      </c>
      <c r="N137" s="63">
        <v>3654</v>
      </c>
      <c r="O137" s="63">
        <v>3656</v>
      </c>
      <c r="Q137" s="486" t="s">
        <v>4610</v>
      </c>
    </row>
    <row r="138" spans="1:17">
      <c r="A138" s="486" t="s">
        <v>5393</v>
      </c>
      <c r="B138" s="486" t="s">
        <v>6134</v>
      </c>
      <c r="C138" s="55" t="s">
        <v>8685</v>
      </c>
      <c r="D138" s="488">
        <v>3455</v>
      </c>
      <c r="E138" s="488">
        <v>3555</v>
      </c>
      <c r="F138" s="488">
        <v>3604</v>
      </c>
      <c r="G138" s="63">
        <v>3623</v>
      </c>
      <c r="H138" s="63">
        <v>3626</v>
      </c>
      <c r="I138" s="63">
        <v>3628</v>
      </c>
      <c r="J138" s="63">
        <v>3710</v>
      </c>
      <c r="K138" s="63">
        <v>5400</v>
      </c>
      <c r="L138" s="63">
        <v>3697</v>
      </c>
      <c r="M138" s="63">
        <v>3642</v>
      </c>
      <c r="N138" s="63">
        <v>3651</v>
      </c>
      <c r="O138" s="63">
        <v>3632</v>
      </c>
      <c r="Q138" s="486" t="s">
        <v>4610</v>
      </c>
    </row>
    <row r="139" spans="1:17">
      <c r="A139" s="486" t="s">
        <v>5394</v>
      </c>
      <c r="B139" s="486" t="s">
        <v>6135</v>
      </c>
      <c r="C139" s="55" t="s">
        <v>8686</v>
      </c>
      <c r="D139" s="488">
        <v>5321</v>
      </c>
      <c r="E139" s="488">
        <v>5370</v>
      </c>
      <c r="F139" s="488">
        <v>5510</v>
      </c>
      <c r="G139" s="63">
        <v>5313</v>
      </c>
      <c r="H139" s="63">
        <v>5204</v>
      </c>
      <c r="I139" s="63">
        <v>5026</v>
      </c>
      <c r="J139" s="63">
        <v>4967</v>
      </c>
      <c r="K139" s="63">
        <v>3682</v>
      </c>
      <c r="L139" s="63">
        <v>4791</v>
      </c>
      <c r="M139" s="63">
        <v>4775</v>
      </c>
      <c r="N139" s="63">
        <v>4711</v>
      </c>
      <c r="O139" s="63">
        <v>4709</v>
      </c>
      <c r="Q139" s="486" t="s">
        <v>4610</v>
      </c>
    </row>
    <row r="140" spans="1:17">
      <c r="A140" s="486" t="s">
        <v>5416</v>
      </c>
      <c r="B140" s="486" t="s">
        <v>4626</v>
      </c>
      <c r="C140" s="55" t="s">
        <v>8687</v>
      </c>
      <c r="D140" s="488">
        <v>5424</v>
      </c>
      <c r="E140" s="488">
        <v>5472</v>
      </c>
      <c r="F140" s="488">
        <v>5311</v>
      </c>
      <c r="G140" s="63">
        <v>5225</v>
      </c>
      <c r="H140" s="63">
        <v>5361</v>
      </c>
      <c r="I140" s="63">
        <v>5311</v>
      </c>
      <c r="J140" s="63">
        <v>5414</v>
      </c>
      <c r="K140" s="63">
        <v>3756</v>
      </c>
      <c r="L140" s="63">
        <v>5325</v>
      </c>
      <c r="M140" s="63">
        <v>5292</v>
      </c>
      <c r="N140" s="63">
        <v>5306</v>
      </c>
      <c r="O140" s="63">
        <v>5324</v>
      </c>
      <c r="Q140" s="486" t="s">
        <v>4610</v>
      </c>
    </row>
    <row r="141" spans="1:17">
      <c r="A141" s="486" t="s">
        <v>5418</v>
      </c>
      <c r="B141" s="486" t="s">
        <v>4627</v>
      </c>
      <c r="C141" s="55" t="s">
        <v>8688</v>
      </c>
      <c r="D141" s="488">
        <v>3830</v>
      </c>
      <c r="E141" s="488">
        <v>3895</v>
      </c>
      <c r="F141" s="488">
        <v>3896</v>
      </c>
      <c r="G141" s="63">
        <v>3884</v>
      </c>
      <c r="H141" s="63">
        <v>3904</v>
      </c>
      <c r="I141" s="63">
        <v>3884</v>
      </c>
      <c r="J141" s="63">
        <v>3950</v>
      </c>
      <c r="K141" s="63">
        <v>4035</v>
      </c>
      <c r="L141" s="63">
        <v>3974</v>
      </c>
      <c r="M141" s="63">
        <v>3972</v>
      </c>
      <c r="N141" s="63">
        <v>3962</v>
      </c>
      <c r="O141" s="63">
        <v>4022</v>
      </c>
      <c r="Q141" s="486" t="s">
        <v>4610</v>
      </c>
    </row>
    <row r="142" spans="1:17">
      <c r="A142" s="486" t="s">
        <v>5420</v>
      </c>
      <c r="B142" s="486" t="s">
        <v>4628</v>
      </c>
      <c r="C142" s="55" t="s">
        <v>8689</v>
      </c>
      <c r="D142" s="488">
        <v>1868</v>
      </c>
      <c r="E142" s="488">
        <v>1868</v>
      </c>
      <c r="F142" s="488">
        <v>1917</v>
      </c>
      <c r="G142" s="63">
        <v>1913</v>
      </c>
      <c r="H142" s="63">
        <v>2004</v>
      </c>
      <c r="I142" s="63">
        <v>1998</v>
      </c>
      <c r="J142" s="63">
        <v>2042</v>
      </c>
      <c r="K142" s="63">
        <v>2095</v>
      </c>
      <c r="L142" s="63">
        <v>2102</v>
      </c>
      <c r="M142" s="63">
        <v>2125</v>
      </c>
      <c r="N142" s="63">
        <v>2167</v>
      </c>
      <c r="O142" s="63">
        <v>2193</v>
      </c>
      <c r="Q142" s="486" t="s">
        <v>4610</v>
      </c>
    </row>
    <row r="143" spans="1:17">
      <c r="A143" s="486" t="s">
        <v>5422</v>
      </c>
      <c r="B143" s="486" t="s">
        <v>4629</v>
      </c>
      <c r="C143" s="55" t="s">
        <v>8690</v>
      </c>
      <c r="D143" s="488">
        <v>3971</v>
      </c>
      <c r="E143" s="488">
        <v>4071</v>
      </c>
      <c r="F143" s="488">
        <v>3992</v>
      </c>
      <c r="G143" s="63">
        <v>3944</v>
      </c>
      <c r="H143" s="63">
        <v>3877</v>
      </c>
      <c r="I143" s="63">
        <v>3864</v>
      </c>
      <c r="J143" s="63">
        <v>3887</v>
      </c>
      <c r="K143" s="63">
        <v>3985</v>
      </c>
      <c r="L143" s="63">
        <v>3922</v>
      </c>
      <c r="M143" s="63">
        <v>3943</v>
      </c>
      <c r="N143" s="63">
        <v>3976</v>
      </c>
      <c r="O143" s="63">
        <v>3995</v>
      </c>
      <c r="Q143" s="486" t="s">
        <v>4610</v>
      </c>
    </row>
    <row r="144" spans="1:17">
      <c r="A144" s="486" t="s">
        <v>5424</v>
      </c>
      <c r="B144" s="486" t="s">
        <v>4630</v>
      </c>
      <c r="C144" s="55" t="s">
        <v>8691</v>
      </c>
      <c r="D144" s="488">
        <v>4275</v>
      </c>
      <c r="E144" s="488">
        <v>4331</v>
      </c>
      <c r="F144" s="488">
        <v>4312</v>
      </c>
      <c r="G144" s="63">
        <v>4222</v>
      </c>
      <c r="H144" s="63">
        <v>4225</v>
      </c>
      <c r="I144" s="63">
        <v>4178</v>
      </c>
      <c r="J144" s="63">
        <v>4262</v>
      </c>
      <c r="K144" s="63">
        <v>4369</v>
      </c>
      <c r="L144" s="63">
        <v>4332</v>
      </c>
      <c r="M144" s="63">
        <v>4255</v>
      </c>
      <c r="N144" s="63">
        <v>4335</v>
      </c>
      <c r="O144" s="63">
        <v>4357</v>
      </c>
      <c r="Q144" s="486" t="s">
        <v>4610</v>
      </c>
    </row>
    <row r="145" spans="1:17">
      <c r="A145" s="486" t="s">
        <v>5426</v>
      </c>
      <c r="B145" s="486" t="s">
        <v>4631</v>
      </c>
      <c r="C145" s="55" t="s">
        <v>8692</v>
      </c>
      <c r="D145" s="488">
        <v>5173</v>
      </c>
      <c r="E145" s="488">
        <v>5228</v>
      </c>
      <c r="F145" s="488">
        <v>5096</v>
      </c>
      <c r="G145" s="63">
        <v>5057</v>
      </c>
      <c r="H145" s="63">
        <v>5101</v>
      </c>
      <c r="I145" s="63">
        <v>5032</v>
      </c>
      <c r="J145" s="63">
        <v>5130</v>
      </c>
      <c r="K145" s="63">
        <v>5157</v>
      </c>
      <c r="L145" s="63">
        <v>4999</v>
      </c>
      <c r="M145" s="63">
        <v>5000</v>
      </c>
      <c r="N145" s="63">
        <v>5121</v>
      </c>
      <c r="O145" s="63">
        <v>5152</v>
      </c>
      <c r="Q145" s="486" t="s">
        <v>4610</v>
      </c>
    </row>
    <row r="146" spans="1:17">
      <c r="A146" s="486" t="s">
        <v>5428</v>
      </c>
      <c r="B146" s="486" t="s">
        <v>4632</v>
      </c>
      <c r="C146" s="55" t="s">
        <v>8693</v>
      </c>
      <c r="D146" s="488">
        <v>5245</v>
      </c>
      <c r="E146" s="488">
        <v>4971</v>
      </c>
      <c r="F146" s="488">
        <v>4900</v>
      </c>
      <c r="G146" s="63">
        <v>4859</v>
      </c>
      <c r="H146" s="63">
        <v>4857</v>
      </c>
      <c r="I146" s="63">
        <v>4766</v>
      </c>
      <c r="J146" s="63">
        <v>4616</v>
      </c>
      <c r="K146" s="63">
        <v>4636</v>
      </c>
      <c r="L146" s="63">
        <v>4415</v>
      </c>
      <c r="M146" s="63">
        <v>4288</v>
      </c>
      <c r="N146" s="63">
        <v>4279</v>
      </c>
      <c r="O146" s="63">
        <v>4295</v>
      </c>
      <c r="Q146" s="486" t="s">
        <v>4610</v>
      </c>
    </row>
    <row r="147" spans="1:17">
      <c r="A147" s="486" t="s">
        <v>5429</v>
      </c>
      <c r="B147" s="486" t="s">
        <v>4633</v>
      </c>
      <c r="C147" s="55" t="s">
        <v>8694</v>
      </c>
      <c r="D147" s="488">
        <v>3432</v>
      </c>
      <c r="E147" s="488">
        <v>3505</v>
      </c>
      <c r="F147" s="488">
        <v>3451</v>
      </c>
      <c r="G147" s="63">
        <v>3429</v>
      </c>
      <c r="H147" s="63">
        <v>3512</v>
      </c>
      <c r="I147" s="63">
        <v>3487</v>
      </c>
      <c r="J147" s="63">
        <v>3541</v>
      </c>
      <c r="K147" s="63">
        <v>3593</v>
      </c>
      <c r="L147" s="63">
        <v>3502</v>
      </c>
      <c r="M147" s="63">
        <v>3484</v>
      </c>
      <c r="N147" s="63">
        <v>3571</v>
      </c>
      <c r="O147" s="63">
        <v>3638</v>
      </c>
      <c r="Q147" s="486" t="s">
        <v>4610</v>
      </c>
    </row>
    <row r="148" spans="1:17">
      <c r="A148" s="486" t="s">
        <v>5431</v>
      </c>
      <c r="B148" s="486" t="s">
        <v>4724</v>
      </c>
      <c r="C148" s="55" t="s">
        <v>8695</v>
      </c>
      <c r="D148" s="488">
        <v>3419</v>
      </c>
      <c r="E148" s="488">
        <v>3425</v>
      </c>
      <c r="F148" s="488">
        <v>3265</v>
      </c>
      <c r="G148" s="63">
        <v>3233</v>
      </c>
      <c r="H148" s="63">
        <v>3253</v>
      </c>
      <c r="I148" s="63">
        <v>3214</v>
      </c>
      <c r="J148" s="63">
        <v>3316</v>
      </c>
      <c r="K148" s="63">
        <v>3464</v>
      </c>
      <c r="L148" s="63">
        <v>3365</v>
      </c>
      <c r="M148" s="63">
        <v>3381</v>
      </c>
      <c r="N148" s="63">
        <v>3428</v>
      </c>
      <c r="O148" s="63">
        <v>3436</v>
      </c>
      <c r="Q148" s="486" t="s">
        <v>4610</v>
      </c>
    </row>
    <row r="149" spans="1:17">
      <c r="A149" s="486" t="s">
        <v>5433</v>
      </c>
      <c r="B149" s="486" t="s">
        <v>4634</v>
      </c>
      <c r="C149" s="55" t="s">
        <v>8696</v>
      </c>
      <c r="D149" s="488">
        <v>3563</v>
      </c>
      <c r="E149" s="488">
        <v>3489</v>
      </c>
      <c r="F149" s="488">
        <v>3421</v>
      </c>
      <c r="G149" s="63">
        <v>3440</v>
      </c>
      <c r="H149" s="63">
        <v>3359</v>
      </c>
      <c r="I149" s="63">
        <v>3291</v>
      </c>
      <c r="J149" s="63">
        <v>3256</v>
      </c>
      <c r="K149" s="63">
        <v>3337</v>
      </c>
      <c r="L149" s="63">
        <v>3197</v>
      </c>
      <c r="M149" s="63">
        <v>3210</v>
      </c>
      <c r="N149" s="63">
        <v>3268</v>
      </c>
      <c r="O149" s="63">
        <v>3232</v>
      </c>
      <c r="Q149" s="486" t="s">
        <v>4610</v>
      </c>
    </row>
    <row r="150" spans="1:17">
      <c r="A150" s="486" t="s">
        <v>5435</v>
      </c>
      <c r="B150" s="486" t="s">
        <v>4635</v>
      </c>
      <c r="C150" s="55" t="s">
        <v>8697</v>
      </c>
      <c r="D150" s="488">
        <v>3941</v>
      </c>
      <c r="E150" s="488">
        <v>4002</v>
      </c>
      <c r="F150" s="488">
        <v>4006</v>
      </c>
      <c r="G150" s="63">
        <v>3924</v>
      </c>
      <c r="H150" s="63">
        <v>3942</v>
      </c>
      <c r="I150" s="63">
        <v>3882</v>
      </c>
      <c r="J150" s="63">
        <v>4032</v>
      </c>
      <c r="K150" s="63">
        <v>4126</v>
      </c>
      <c r="L150" s="63">
        <v>4083</v>
      </c>
      <c r="M150" s="63">
        <v>4054</v>
      </c>
      <c r="N150" s="63">
        <v>4081</v>
      </c>
      <c r="O150" s="63">
        <v>4109</v>
      </c>
      <c r="Q150" s="486" t="s">
        <v>4610</v>
      </c>
    </row>
    <row r="151" spans="1:17">
      <c r="A151" s="486" t="s">
        <v>5436</v>
      </c>
      <c r="B151" s="486" t="s">
        <v>4636</v>
      </c>
      <c r="C151" s="55" t="s">
        <v>8698</v>
      </c>
      <c r="D151" s="488">
        <v>3456</v>
      </c>
      <c r="E151" s="488">
        <v>3475</v>
      </c>
      <c r="F151" s="488">
        <v>3396</v>
      </c>
      <c r="G151" s="63">
        <v>3391</v>
      </c>
      <c r="H151" s="63">
        <v>3513</v>
      </c>
      <c r="I151" s="63">
        <v>3433</v>
      </c>
      <c r="J151" s="63">
        <v>3481</v>
      </c>
      <c r="K151" s="63">
        <v>3489</v>
      </c>
      <c r="L151" s="63">
        <v>3379</v>
      </c>
      <c r="M151" s="63">
        <v>3341</v>
      </c>
      <c r="N151" s="63">
        <v>3366</v>
      </c>
      <c r="O151" s="63">
        <v>3352</v>
      </c>
      <c r="Q151" s="486" t="s">
        <v>4610</v>
      </c>
    </row>
    <row r="152" spans="1:17">
      <c r="D152" s="489"/>
      <c r="E152" s="489"/>
      <c r="F152" s="489"/>
      <c r="G152" s="489"/>
      <c r="H152" s="489"/>
      <c r="I152" s="489"/>
      <c r="J152" s="489"/>
      <c r="K152" s="489"/>
      <c r="L152" s="489"/>
      <c r="M152" s="489"/>
      <c r="N152" s="489"/>
      <c r="O152" s="489"/>
    </row>
    <row r="153" spans="1:17">
      <c r="A153" s="486" t="s">
        <v>4610</v>
      </c>
      <c r="D153" s="488">
        <f t="shared" ref="D153:I153" si="78">SUM(D135:D151)</f>
        <v>70196</v>
      </c>
      <c r="E153" s="488">
        <f t="shared" si="78"/>
        <v>70526</v>
      </c>
      <c r="F153" s="488">
        <f t="shared" si="78"/>
        <v>69872</v>
      </c>
      <c r="G153" s="488">
        <f t="shared" si="78"/>
        <v>69238</v>
      </c>
      <c r="H153" s="488">
        <f t="shared" si="78"/>
        <v>69616</v>
      </c>
      <c r="I153" s="488">
        <f t="shared" si="78"/>
        <v>68756</v>
      </c>
      <c r="J153" s="488">
        <f t="shared" ref="J153:O153" si="79">SUM(J135:J151)</f>
        <v>69691</v>
      </c>
      <c r="K153" s="488">
        <f t="shared" si="79"/>
        <v>70816</v>
      </c>
      <c r="L153" s="488">
        <f t="shared" si="79"/>
        <v>69332</v>
      </c>
      <c r="M153" s="488">
        <f t="shared" si="79"/>
        <v>69104</v>
      </c>
      <c r="N153" s="488">
        <f t="shared" si="79"/>
        <v>69808</v>
      </c>
      <c r="O153" s="488">
        <f t="shared" si="79"/>
        <v>70077</v>
      </c>
    </row>
    <row r="154" spans="1:17">
      <c r="A154" s="486"/>
      <c r="D154" s="488"/>
      <c r="E154" s="488"/>
      <c r="F154" s="488"/>
      <c r="G154" s="488"/>
      <c r="H154" s="488"/>
      <c r="I154" s="488"/>
      <c r="J154" s="488"/>
      <c r="K154" s="488"/>
      <c r="L154" s="488"/>
      <c r="M154" s="488"/>
      <c r="N154" s="488"/>
      <c r="O154" s="488"/>
    </row>
    <row r="155" spans="1:17">
      <c r="A155" s="486" t="s">
        <v>4655</v>
      </c>
      <c r="D155" s="488"/>
      <c r="E155" s="488"/>
      <c r="F155" s="488"/>
      <c r="G155" s="488"/>
      <c r="H155" s="488"/>
      <c r="I155" s="488"/>
      <c r="J155" s="488"/>
      <c r="K155" s="488"/>
      <c r="L155" s="488"/>
      <c r="M155" s="488"/>
      <c r="N155" s="488"/>
      <c r="O155" s="488"/>
    </row>
    <row r="156" spans="1:17">
      <c r="A156" s="486"/>
      <c r="B156" s="486"/>
      <c r="D156" s="496"/>
      <c r="E156" s="496"/>
      <c r="F156" s="496"/>
      <c r="G156" s="496"/>
      <c r="H156" s="496"/>
      <c r="I156" s="496"/>
      <c r="J156" s="496"/>
      <c r="K156" s="496"/>
      <c r="L156" s="496"/>
      <c r="M156" s="496"/>
      <c r="N156" s="496"/>
      <c r="O156" s="496"/>
    </row>
    <row r="157" spans="1:17">
      <c r="A157" s="486"/>
      <c r="B157" s="486"/>
      <c r="D157" s="496"/>
      <c r="E157" s="496"/>
      <c r="F157" s="496"/>
      <c r="G157" s="496"/>
      <c r="H157" s="496"/>
      <c r="I157" s="496"/>
      <c r="J157" s="496"/>
      <c r="K157" s="496"/>
      <c r="L157" s="496"/>
      <c r="M157" s="496"/>
      <c r="N157" s="496"/>
      <c r="O157" s="496"/>
    </row>
    <row r="158" spans="1:17">
      <c r="E158" s="51" t="s">
        <v>1526</v>
      </c>
      <c r="F158" s="51"/>
      <c r="G158" s="51"/>
      <c r="H158" s="51"/>
      <c r="I158" s="51"/>
      <c r="J158" s="51"/>
      <c r="K158" s="51"/>
      <c r="L158" s="51"/>
      <c r="M158" s="51"/>
      <c r="N158" s="51"/>
      <c r="O158" s="51"/>
      <c r="P158" s="11"/>
      <c r="Q158" s="11" t="s">
        <v>9479</v>
      </c>
    </row>
    <row r="159" spans="1:17">
      <c r="D159" s="487">
        <v>2010</v>
      </c>
      <c r="E159" s="487">
        <v>2011</v>
      </c>
      <c r="F159" s="487">
        <v>2012</v>
      </c>
      <c r="G159" s="487">
        <v>2013</v>
      </c>
      <c r="H159" s="487">
        <v>2014</v>
      </c>
      <c r="I159" s="487">
        <v>2015</v>
      </c>
      <c r="J159" s="487">
        <v>2016</v>
      </c>
      <c r="K159" s="487">
        <v>2017</v>
      </c>
      <c r="L159" s="487">
        <v>2018</v>
      </c>
      <c r="M159" s="487">
        <v>2019</v>
      </c>
      <c r="N159" s="487">
        <v>2020</v>
      </c>
      <c r="O159" s="953" t="s">
        <v>14823</v>
      </c>
      <c r="Q159" s="13" t="s">
        <v>1527</v>
      </c>
    </row>
    <row r="160" spans="1:17">
      <c r="A160" s="486" t="s">
        <v>4645</v>
      </c>
      <c r="D160" s="488">
        <f t="shared" ref="D160:M160" si="80">SUM(D161:D162,D164:D191,D193:D197,D199:D201)</f>
        <v>112712</v>
      </c>
      <c r="E160" s="488">
        <f t="shared" si="80"/>
        <v>113156</v>
      </c>
      <c r="F160" s="488">
        <f t="shared" si="80"/>
        <v>113756</v>
      </c>
      <c r="G160" s="488">
        <f t="shared" si="80"/>
        <v>114603</v>
      </c>
      <c r="H160" s="488">
        <f t="shared" si="80"/>
        <v>112488</v>
      </c>
      <c r="I160" s="488">
        <f t="shared" si="80"/>
        <v>110585</v>
      </c>
      <c r="J160" s="488">
        <f t="shared" si="80"/>
        <v>110945</v>
      </c>
      <c r="K160" s="488">
        <f t="shared" si="80"/>
        <v>111441</v>
      </c>
      <c r="L160" s="488">
        <f t="shared" si="80"/>
        <v>112209</v>
      </c>
      <c r="M160" s="488">
        <f t="shared" si="80"/>
        <v>111263</v>
      </c>
      <c r="N160" s="488">
        <f>SUM(N161:N162,N164:N191,N193:N197,N199:N201)</f>
        <v>114582</v>
      </c>
      <c r="O160" s="488">
        <f>SUM(O161:O162,O164:O191,O193:O197,O199:O201)</f>
        <v>113163</v>
      </c>
    </row>
    <row r="161" spans="1:17">
      <c r="A161" s="486" t="s">
        <v>5387</v>
      </c>
      <c r="B161" s="486" t="s">
        <v>4646</v>
      </c>
      <c r="C161" s="55" t="s">
        <v>13629</v>
      </c>
      <c r="D161" s="488">
        <v>0</v>
      </c>
      <c r="E161" s="488">
        <v>0</v>
      </c>
      <c r="F161" s="488">
        <v>0</v>
      </c>
      <c r="G161" s="488">
        <v>0</v>
      </c>
      <c r="H161" s="488">
        <v>0</v>
      </c>
      <c r="I161" s="488">
        <v>0</v>
      </c>
      <c r="J161" s="488">
        <v>0</v>
      </c>
      <c r="K161" s="488">
        <v>0</v>
      </c>
      <c r="L161" s="488">
        <v>0</v>
      </c>
      <c r="M161" s="488">
        <v>0</v>
      </c>
      <c r="N161" s="58">
        <v>464</v>
      </c>
      <c r="O161" s="58">
        <v>457</v>
      </c>
      <c r="Q161" s="486" t="s">
        <v>13680</v>
      </c>
    </row>
    <row r="162" spans="1:17" ht="15.75" thickBot="1">
      <c r="A162" s="486"/>
      <c r="B162" s="486"/>
      <c r="C162" s="55"/>
      <c r="D162" s="493">
        <v>0</v>
      </c>
      <c r="E162" s="488">
        <v>0</v>
      </c>
      <c r="F162" s="488">
        <v>0</v>
      </c>
      <c r="G162" s="488">
        <v>0</v>
      </c>
      <c r="H162" s="488">
        <v>0</v>
      </c>
      <c r="I162" s="488">
        <v>0</v>
      </c>
      <c r="J162" s="488">
        <v>0</v>
      </c>
      <c r="K162" s="488">
        <v>0</v>
      </c>
      <c r="L162" s="488">
        <v>0</v>
      </c>
      <c r="M162" s="488">
        <v>0</v>
      </c>
      <c r="N162" s="58">
        <v>3737</v>
      </c>
      <c r="O162" s="58">
        <v>3691</v>
      </c>
      <c r="Q162" s="486" t="s">
        <v>13681</v>
      </c>
    </row>
    <row r="163" spans="1:17" ht="15.75" thickBot="1">
      <c r="A163" s="486"/>
      <c r="B163" s="486"/>
      <c r="C163" s="55"/>
      <c r="D163" s="495">
        <f>D161+D162</f>
        <v>0</v>
      </c>
      <c r="E163" s="495">
        <f t="shared" ref="E163:N163" si="81">E161+E162</f>
        <v>0</v>
      </c>
      <c r="F163" s="495">
        <f t="shared" si="81"/>
        <v>0</v>
      </c>
      <c r="G163" s="495">
        <f t="shared" si="81"/>
        <v>0</v>
      </c>
      <c r="H163" s="495">
        <f t="shared" si="81"/>
        <v>0</v>
      </c>
      <c r="I163" s="495">
        <f t="shared" si="81"/>
        <v>0</v>
      </c>
      <c r="J163" s="495">
        <f t="shared" si="81"/>
        <v>0</v>
      </c>
      <c r="K163" s="495">
        <f t="shared" si="81"/>
        <v>0</v>
      </c>
      <c r="L163" s="495">
        <f t="shared" si="81"/>
        <v>0</v>
      </c>
      <c r="M163" s="495">
        <f t="shared" si="81"/>
        <v>0</v>
      </c>
      <c r="N163" s="495">
        <f t="shared" si="81"/>
        <v>4201</v>
      </c>
      <c r="O163" s="495">
        <f>O161+O162</f>
        <v>4148</v>
      </c>
      <c r="Q163" s="486"/>
    </row>
    <row r="164" spans="1:17">
      <c r="A164" s="486" t="s">
        <v>5389</v>
      </c>
      <c r="B164" s="486" t="s">
        <v>13631</v>
      </c>
      <c r="C164" s="55" t="s">
        <v>13630</v>
      </c>
      <c r="D164" s="488">
        <v>73397</v>
      </c>
      <c r="E164" s="488">
        <v>73269</v>
      </c>
      <c r="F164" s="488">
        <v>73415</v>
      </c>
      <c r="G164" s="488">
        <v>73663</v>
      </c>
      <c r="H164" s="488">
        <v>72137</v>
      </c>
      <c r="I164" s="488">
        <v>70892</v>
      </c>
      <c r="J164" s="488">
        <v>70679</v>
      </c>
      <c r="K164" s="488">
        <v>70789</v>
      </c>
      <c r="L164" s="488">
        <v>71241</v>
      </c>
      <c r="M164" s="488">
        <v>70507</v>
      </c>
      <c r="N164" s="488">
        <v>2273</v>
      </c>
      <c r="O164" s="488">
        <v>2240</v>
      </c>
      <c r="Q164" s="486" t="s">
        <v>13680</v>
      </c>
    </row>
    <row r="165" spans="1:17">
      <c r="A165" s="486" t="s">
        <v>5391</v>
      </c>
      <c r="B165" s="486" t="s">
        <v>4647</v>
      </c>
      <c r="C165" s="55" t="s">
        <v>13632</v>
      </c>
      <c r="D165" s="488">
        <v>0</v>
      </c>
      <c r="E165" s="488">
        <v>0</v>
      </c>
      <c r="F165" s="488">
        <v>0</v>
      </c>
      <c r="G165" s="488">
        <v>0</v>
      </c>
      <c r="H165" s="488">
        <v>0</v>
      </c>
      <c r="I165" s="488">
        <v>0</v>
      </c>
      <c r="J165" s="488">
        <v>0</v>
      </c>
      <c r="K165" s="488">
        <v>0</v>
      </c>
      <c r="L165" s="488">
        <v>0</v>
      </c>
      <c r="M165" s="488">
        <v>0</v>
      </c>
      <c r="N165" s="488">
        <v>2081</v>
      </c>
      <c r="O165" s="488">
        <v>2061</v>
      </c>
      <c r="Q165" s="486" t="s">
        <v>13680</v>
      </c>
    </row>
    <row r="166" spans="1:17">
      <c r="A166" s="486" t="s">
        <v>5393</v>
      </c>
      <c r="B166" s="486" t="s">
        <v>13634</v>
      </c>
      <c r="C166" s="55" t="s">
        <v>13633</v>
      </c>
      <c r="D166" s="488">
        <v>0</v>
      </c>
      <c r="E166" s="488">
        <v>0</v>
      </c>
      <c r="F166" s="488">
        <v>0</v>
      </c>
      <c r="G166" s="488">
        <v>0</v>
      </c>
      <c r="H166" s="488">
        <v>0</v>
      </c>
      <c r="I166" s="488">
        <v>0</v>
      </c>
      <c r="J166" s="488">
        <v>0</v>
      </c>
      <c r="K166" s="488">
        <v>0</v>
      </c>
      <c r="L166" s="488">
        <v>0</v>
      </c>
      <c r="M166" s="488">
        <v>0</v>
      </c>
      <c r="N166" s="488">
        <v>2154</v>
      </c>
      <c r="O166" s="488">
        <v>2108</v>
      </c>
      <c r="Q166" s="486" t="s">
        <v>13680</v>
      </c>
    </row>
    <row r="167" spans="1:17">
      <c r="A167" s="486" t="s">
        <v>5394</v>
      </c>
      <c r="B167" s="486" t="s">
        <v>4649</v>
      </c>
      <c r="C167" s="55" t="s">
        <v>13635</v>
      </c>
      <c r="D167" s="488">
        <v>0</v>
      </c>
      <c r="E167" s="488">
        <v>0</v>
      </c>
      <c r="F167" s="488">
        <v>0</v>
      </c>
      <c r="G167" s="488">
        <v>0</v>
      </c>
      <c r="H167" s="488">
        <v>0</v>
      </c>
      <c r="I167" s="488">
        <v>0</v>
      </c>
      <c r="J167" s="488">
        <v>0</v>
      </c>
      <c r="K167" s="488">
        <v>0</v>
      </c>
      <c r="L167" s="488">
        <v>0</v>
      </c>
      <c r="M167" s="488">
        <v>0</v>
      </c>
      <c r="N167" s="488">
        <v>2296</v>
      </c>
      <c r="O167" s="488">
        <v>2270</v>
      </c>
      <c r="Q167" s="486" t="s">
        <v>13680</v>
      </c>
    </row>
    <row r="168" spans="1:17">
      <c r="A168" s="486" t="s">
        <v>5416</v>
      </c>
      <c r="B168" s="486" t="s">
        <v>13637</v>
      </c>
      <c r="C168" s="55" t="s">
        <v>13636</v>
      </c>
      <c r="D168" s="488">
        <v>39315</v>
      </c>
      <c r="E168" s="488">
        <v>39887</v>
      </c>
      <c r="F168" s="488">
        <v>40341</v>
      </c>
      <c r="G168" s="488">
        <v>40940</v>
      </c>
      <c r="H168" s="488">
        <v>40351</v>
      </c>
      <c r="I168" s="488">
        <v>39693</v>
      </c>
      <c r="J168" s="488">
        <v>40266</v>
      </c>
      <c r="K168" s="488">
        <v>40652</v>
      </c>
      <c r="L168" s="488">
        <v>40968</v>
      </c>
      <c r="M168" s="488">
        <v>40756</v>
      </c>
      <c r="N168" s="488">
        <v>2052</v>
      </c>
      <c r="O168" s="488">
        <v>2020</v>
      </c>
      <c r="Q168" s="486" t="s">
        <v>13681</v>
      </c>
    </row>
    <row r="169" spans="1:17">
      <c r="A169" s="486" t="s">
        <v>5418</v>
      </c>
      <c r="B169" s="486" t="s">
        <v>4650</v>
      </c>
      <c r="C169" s="55" t="s">
        <v>13638</v>
      </c>
      <c r="D169" s="488">
        <v>0</v>
      </c>
      <c r="E169" s="488">
        <v>0</v>
      </c>
      <c r="F169" s="488">
        <v>0</v>
      </c>
      <c r="G169" s="488">
        <v>0</v>
      </c>
      <c r="H169" s="488">
        <v>0</v>
      </c>
      <c r="I169" s="488">
        <v>0</v>
      </c>
      <c r="J169" s="488">
        <v>0</v>
      </c>
      <c r="K169" s="488">
        <v>0</v>
      </c>
      <c r="L169" s="488">
        <v>0</v>
      </c>
      <c r="M169" s="488">
        <v>0</v>
      </c>
      <c r="N169" s="488">
        <v>5155</v>
      </c>
      <c r="O169" s="488">
        <v>5085</v>
      </c>
      <c r="Q169" s="486" t="s">
        <v>13680</v>
      </c>
    </row>
    <row r="170" spans="1:17">
      <c r="A170" s="486" t="s">
        <v>5420</v>
      </c>
      <c r="B170" s="486" t="s">
        <v>4651</v>
      </c>
      <c r="C170" s="55" t="s">
        <v>13639</v>
      </c>
      <c r="D170" s="488">
        <v>0</v>
      </c>
      <c r="E170" s="488">
        <v>0</v>
      </c>
      <c r="F170" s="488">
        <v>0</v>
      </c>
      <c r="G170" s="488">
        <v>0</v>
      </c>
      <c r="H170" s="488">
        <v>0</v>
      </c>
      <c r="I170" s="488">
        <v>0</v>
      </c>
      <c r="J170" s="488">
        <v>0</v>
      </c>
      <c r="K170" s="488">
        <v>0</v>
      </c>
      <c r="L170" s="488">
        <v>0</v>
      </c>
      <c r="M170" s="488">
        <v>0</v>
      </c>
      <c r="N170" s="488">
        <v>2228</v>
      </c>
      <c r="O170" s="488">
        <v>2189</v>
      </c>
      <c r="Q170" s="486" t="s">
        <v>13681</v>
      </c>
    </row>
    <row r="171" spans="1:17">
      <c r="A171" s="486" t="s">
        <v>5422</v>
      </c>
      <c r="B171" s="486" t="s">
        <v>4652</v>
      </c>
      <c r="C171" s="55" t="s">
        <v>13640</v>
      </c>
      <c r="D171" s="488">
        <v>0</v>
      </c>
      <c r="E171" s="488">
        <v>0</v>
      </c>
      <c r="F171" s="488">
        <v>0</v>
      </c>
      <c r="G171" s="488">
        <v>0</v>
      </c>
      <c r="H171" s="488">
        <v>0</v>
      </c>
      <c r="I171" s="488">
        <v>0</v>
      </c>
      <c r="J171" s="488">
        <v>0</v>
      </c>
      <c r="K171" s="488">
        <v>0</v>
      </c>
      <c r="L171" s="488">
        <v>0</v>
      </c>
      <c r="M171" s="488">
        <v>0</v>
      </c>
      <c r="N171" s="488">
        <v>2088</v>
      </c>
      <c r="O171" s="488">
        <v>2056</v>
      </c>
      <c r="Q171" s="486" t="s">
        <v>13681</v>
      </c>
    </row>
    <row r="172" spans="1:17">
      <c r="A172" s="486" t="s">
        <v>5424</v>
      </c>
      <c r="B172" s="486" t="s">
        <v>13642</v>
      </c>
      <c r="C172" s="55" t="s">
        <v>13641</v>
      </c>
      <c r="D172" s="488">
        <v>0</v>
      </c>
      <c r="E172" s="488">
        <v>0</v>
      </c>
      <c r="F172" s="488">
        <v>0</v>
      </c>
      <c r="G172" s="488">
        <v>0</v>
      </c>
      <c r="H172" s="488">
        <v>0</v>
      </c>
      <c r="I172" s="488">
        <v>0</v>
      </c>
      <c r="J172" s="488">
        <v>0</v>
      </c>
      <c r="K172" s="488">
        <v>0</v>
      </c>
      <c r="L172" s="488">
        <v>0</v>
      </c>
      <c r="M172" s="488">
        <v>0</v>
      </c>
      <c r="N172" s="488">
        <v>4025</v>
      </c>
      <c r="O172" s="488">
        <v>3959</v>
      </c>
      <c r="Q172" s="486" t="s">
        <v>13681</v>
      </c>
    </row>
    <row r="173" spans="1:17">
      <c r="A173" s="486" t="s">
        <v>5426</v>
      </c>
      <c r="B173" s="486" t="s">
        <v>4677</v>
      </c>
      <c r="C173" s="55" t="s">
        <v>13643</v>
      </c>
      <c r="D173" s="488">
        <v>0</v>
      </c>
      <c r="E173" s="488">
        <v>0</v>
      </c>
      <c r="F173" s="488">
        <v>0</v>
      </c>
      <c r="G173" s="488">
        <v>0</v>
      </c>
      <c r="H173" s="488">
        <v>0</v>
      </c>
      <c r="I173" s="488">
        <v>0</v>
      </c>
      <c r="J173" s="488">
        <v>0</v>
      </c>
      <c r="K173" s="488">
        <v>0</v>
      </c>
      <c r="L173" s="488">
        <v>0</v>
      </c>
      <c r="M173" s="488">
        <v>0</v>
      </c>
      <c r="N173" s="488">
        <v>3730</v>
      </c>
      <c r="O173" s="488">
        <v>3696</v>
      </c>
      <c r="Q173" s="486" t="s">
        <v>13680</v>
      </c>
    </row>
    <row r="174" spans="1:17">
      <c r="A174" s="486" t="s">
        <v>5428</v>
      </c>
      <c r="B174" s="486" t="s">
        <v>13645</v>
      </c>
      <c r="C174" s="55" t="s">
        <v>13644</v>
      </c>
      <c r="D174" s="488">
        <v>0</v>
      </c>
      <c r="E174" s="488">
        <v>0</v>
      </c>
      <c r="F174" s="488">
        <v>0</v>
      </c>
      <c r="G174" s="488">
        <v>0</v>
      </c>
      <c r="H174" s="488">
        <v>0</v>
      </c>
      <c r="I174" s="488">
        <v>0</v>
      </c>
      <c r="J174" s="488">
        <v>0</v>
      </c>
      <c r="K174" s="488">
        <v>0</v>
      </c>
      <c r="L174" s="488">
        <v>0</v>
      </c>
      <c r="M174" s="488">
        <v>0</v>
      </c>
      <c r="N174" s="488">
        <v>4109</v>
      </c>
      <c r="O174" s="488">
        <v>4081</v>
      </c>
      <c r="Q174" s="486" t="s">
        <v>13681</v>
      </c>
    </row>
    <row r="175" spans="1:17">
      <c r="A175" s="486" t="s">
        <v>5429</v>
      </c>
      <c r="B175" s="486" t="s">
        <v>13647</v>
      </c>
      <c r="C175" s="55" t="s">
        <v>13646</v>
      </c>
      <c r="D175" s="488">
        <v>0</v>
      </c>
      <c r="E175" s="488">
        <v>0</v>
      </c>
      <c r="F175" s="488">
        <v>0</v>
      </c>
      <c r="G175" s="488">
        <v>0</v>
      </c>
      <c r="H175" s="488">
        <v>0</v>
      </c>
      <c r="I175" s="488">
        <v>0</v>
      </c>
      <c r="J175" s="488">
        <v>0</v>
      </c>
      <c r="K175" s="488">
        <v>0</v>
      </c>
      <c r="L175" s="488">
        <v>0</v>
      </c>
      <c r="M175" s="488">
        <v>0</v>
      </c>
      <c r="N175" s="488">
        <v>4823</v>
      </c>
      <c r="O175" s="488">
        <v>4756</v>
      </c>
      <c r="Q175" s="486" t="s">
        <v>13680</v>
      </c>
    </row>
    <row r="176" spans="1:17">
      <c r="A176" s="486" t="s">
        <v>5431</v>
      </c>
      <c r="B176" s="486" t="s">
        <v>4678</v>
      </c>
      <c r="C176" s="55" t="s">
        <v>13648</v>
      </c>
      <c r="D176" s="488">
        <v>0</v>
      </c>
      <c r="E176" s="488">
        <v>0</v>
      </c>
      <c r="F176" s="488">
        <v>0</v>
      </c>
      <c r="G176" s="488">
        <v>0</v>
      </c>
      <c r="H176" s="488">
        <v>0</v>
      </c>
      <c r="I176" s="488">
        <v>0</v>
      </c>
      <c r="J176" s="488">
        <v>0</v>
      </c>
      <c r="K176" s="488">
        <v>0</v>
      </c>
      <c r="L176" s="488">
        <v>0</v>
      </c>
      <c r="M176" s="488">
        <v>0</v>
      </c>
      <c r="N176" s="488">
        <v>1852</v>
      </c>
      <c r="O176" s="488">
        <v>1826</v>
      </c>
      <c r="Q176" s="486" t="s">
        <v>13680</v>
      </c>
    </row>
    <row r="177" spans="1:17">
      <c r="A177" s="486" t="s">
        <v>5433</v>
      </c>
      <c r="B177" s="486" t="s">
        <v>13650</v>
      </c>
      <c r="C177" s="55" t="s">
        <v>13649</v>
      </c>
      <c r="D177" s="488">
        <v>0</v>
      </c>
      <c r="E177" s="488">
        <v>0</v>
      </c>
      <c r="F177" s="488">
        <v>0</v>
      </c>
      <c r="G177" s="488">
        <v>0</v>
      </c>
      <c r="H177" s="488">
        <v>0</v>
      </c>
      <c r="I177" s="488">
        <v>0</v>
      </c>
      <c r="J177" s="488">
        <v>0</v>
      </c>
      <c r="K177" s="488">
        <v>0</v>
      </c>
      <c r="L177" s="488">
        <v>0</v>
      </c>
      <c r="M177" s="488">
        <v>0</v>
      </c>
      <c r="N177" s="488">
        <v>1865</v>
      </c>
      <c r="O177" s="488">
        <v>1845</v>
      </c>
      <c r="Q177" s="486" t="s">
        <v>13680</v>
      </c>
    </row>
    <row r="178" spans="1:17">
      <c r="A178" s="486" t="s">
        <v>5435</v>
      </c>
      <c r="B178" s="486" t="s">
        <v>4679</v>
      </c>
      <c r="C178" s="55" t="s">
        <v>13651</v>
      </c>
      <c r="D178" s="488">
        <v>0</v>
      </c>
      <c r="E178" s="488">
        <v>0</v>
      </c>
      <c r="F178" s="488">
        <v>0</v>
      </c>
      <c r="G178" s="488">
        <v>0</v>
      </c>
      <c r="H178" s="488">
        <v>0</v>
      </c>
      <c r="I178" s="488">
        <v>0</v>
      </c>
      <c r="J178" s="488">
        <v>0</v>
      </c>
      <c r="K178" s="488">
        <v>0</v>
      </c>
      <c r="L178" s="488">
        <v>0</v>
      </c>
      <c r="M178" s="488">
        <v>0</v>
      </c>
      <c r="N178" s="488">
        <v>6356</v>
      </c>
      <c r="O178" s="488">
        <v>6331</v>
      </c>
      <c r="Q178" s="486" t="s">
        <v>13680</v>
      </c>
    </row>
    <row r="179" spans="1:17">
      <c r="A179" s="486" t="s">
        <v>5436</v>
      </c>
      <c r="B179" s="486" t="s">
        <v>4680</v>
      </c>
      <c r="C179" s="55" t="s">
        <v>13652</v>
      </c>
      <c r="D179" s="488">
        <v>0</v>
      </c>
      <c r="E179" s="488">
        <v>0</v>
      </c>
      <c r="F179" s="488">
        <v>0</v>
      </c>
      <c r="G179" s="488">
        <v>0</v>
      </c>
      <c r="H179" s="488">
        <v>0</v>
      </c>
      <c r="I179" s="488">
        <v>0</v>
      </c>
      <c r="J179" s="488">
        <v>0</v>
      </c>
      <c r="K179" s="488">
        <v>0</v>
      </c>
      <c r="L179" s="488">
        <v>0</v>
      </c>
      <c r="M179" s="488">
        <v>0</v>
      </c>
      <c r="N179" s="488">
        <v>4539</v>
      </c>
      <c r="O179" s="488">
        <v>4489</v>
      </c>
      <c r="Q179" s="486" t="s">
        <v>13680</v>
      </c>
    </row>
    <row r="180" spans="1:17">
      <c r="A180" s="486" t="s">
        <v>5437</v>
      </c>
      <c r="B180" s="486" t="s">
        <v>4681</v>
      </c>
      <c r="C180" s="55" t="s">
        <v>13653</v>
      </c>
      <c r="D180" s="488">
        <v>0</v>
      </c>
      <c r="E180" s="488">
        <v>0</v>
      </c>
      <c r="F180" s="488">
        <v>0</v>
      </c>
      <c r="G180" s="488">
        <v>0</v>
      </c>
      <c r="H180" s="488">
        <v>0</v>
      </c>
      <c r="I180" s="488">
        <v>0</v>
      </c>
      <c r="J180" s="488">
        <v>0</v>
      </c>
      <c r="K180" s="488">
        <v>0</v>
      </c>
      <c r="L180" s="488">
        <v>0</v>
      </c>
      <c r="M180" s="488">
        <v>0</v>
      </c>
      <c r="N180" s="488">
        <v>3778</v>
      </c>
      <c r="O180" s="488">
        <v>3719</v>
      </c>
      <c r="Q180" s="486" t="s">
        <v>13680</v>
      </c>
    </row>
    <row r="181" spans="1:17">
      <c r="A181" s="486" t="s">
        <v>5439</v>
      </c>
      <c r="B181" s="486" t="s">
        <v>13655</v>
      </c>
      <c r="C181" s="55" t="s">
        <v>13654</v>
      </c>
      <c r="D181" s="488">
        <v>0</v>
      </c>
      <c r="E181" s="488">
        <v>0</v>
      </c>
      <c r="F181" s="488">
        <v>0</v>
      </c>
      <c r="G181" s="488">
        <v>0</v>
      </c>
      <c r="H181" s="488">
        <v>0</v>
      </c>
      <c r="I181" s="488">
        <v>0</v>
      </c>
      <c r="J181" s="488">
        <v>0</v>
      </c>
      <c r="K181" s="488">
        <v>0</v>
      </c>
      <c r="L181" s="488">
        <v>0</v>
      </c>
      <c r="M181" s="488">
        <v>0</v>
      </c>
      <c r="N181" s="488">
        <v>2445</v>
      </c>
      <c r="O181" s="488">
        <v>2417</v>
      </c>
      <c r="Q181" s="486" t="s">
        <v>13680</v>
      </c>
    </row>
    <row r="182" spans="1:17">
      <c r="A182" s="486" t="s">
        <v>5441</v>
      </c>
      <c r="B182" s="486" t="s">
        <v>13657</v>
      </c>
      <c r="C182" s="55" t="s">
        <v>13656</v>
      </c>
      <c r="D182" s="488">
        <v>0</v>
      </c>
      <c r="E182" s="488">
        <v>0</v>
      </c>
      <c r="F182" s="488">
        <v>0</v>
      </c>
      <c r="G182" s="488">
        <v>0</v>
      </c>
      <c r="H182" s="488">
        <v>0</v>
      </c>
      <c r="I182" s="488">
        <v>0</v>
      </c>
      <c r="J182" s="488">
        <v>0</v>
      </c>
      <c r="K182" s="488">
        <v>0</v>
      </c>
      <c r="L182" s="488">
        <v>0</v>
      </c>
      <c r="M182" s="488">
        <v>0</v>
      </c>
      <c r="N182" s="488">
        <v>2060</v>
      </c>
      <c r="O182" s="488">
        <v>2029</v>
      </c>
      <c r="Q182" s="486" t="s">
        <v>13681</v>
      </c>
    </row>
    <row r="183" spans="1:17">
      <c r="A183" s="486" t="s">
        <v>5886</v>
      </c>
      <c r="B183" s="486" t="s">
        <v>4682</v>
      </c>
      <c r="C183" s="55" t="s">
        <v>13658</v>
      </c>
      <c r="D183" s="488">
        <v>0</v>
      </c>
      <c r="E183" s="488">
        <v>0</v>
      </c>
      <c r="F183" s="488">
        <v>0</v>
      </c>
      <c r="G183" s="488">
        <v>0</v>
      </c>
      <c r="H183" s="488">
        <v>0</v>
      </c>
      <c r="I183" s="488">
        <v>0</v>
      </c>
      <c r="J183" s="488">
        <v>0</v>
      </c>
      <c r="K183" s="488">
        <v>0</v>
      </c>
      <c r="L183" s="488">
        <v>0</v>
      </c>
      <c r="M183" s="488">
        <v>0</v>
      </c>
      <c r="N183" s="488">
        <v>2130</v>
      </c>
      <c r="O183" s="488">
        <v>2120</v>
      </c>
      <c r="Q183" s="486" t="s">
        <v>13681</v>
      </c>
    </row>
    <row r="184" spans="1:17">
      <c r="A184" s="486" t="s">
        <v>5888</v>
      </c>
      <c r="B184" s="486" t="s">
        <v>4683</v>
      </c>
      <c r="C184" s="55" t="s">
        <v>13659</v>
      </c>
      <c r="D184" s="488">
        <v>0</v>
      </c>
      <c r="E184" s="488">
        <v>0</v>
      </c>
      <c r="F184" s="488">
        <v>0</v>
      </c>
      <c r="G184" s="488">
        <v>0</v>
      </c>
      <c r="H184" s="488">
        <v>0</v>
      </c>
      <c r="I184" s="488">
        <v>0</v>
      </c>
      <c r="J184" s="488">
        <v>0</v>
      </c>
      <c r="K184" s="488">
        <v>0</v>
      </c>
      <c r="L184" s="488">
        <v>0</v>
      </c>
      <c r="M184" s="488">
        <v>0</v>
      </c>
      <c r="N184" s="488">
        <v>3193</v>
      </c>
      <c r="O184" s="488">
        <v>3141</v>
      </c>
      <c r="Q184" s="486" t="s">
        <v>13680</v>
      </c>
    </row>
    <row r="185" spans="1:17">
      <c r="A185" s="486" t="s">
        <v>5889</v>
      </c>
      <c r="B185" s="486" t="s">
        <v>13661</v>
      </c>
      <c r="C185" s="55" t="s">
        <v>13660</v>
      </c>
      <c r="D185" s="488">
        <v>0</v>
      </c>
      <c r="E185" s="488">
        <v>0</v>
      </c>
      <c r="F185" s="488">
        <v>0</v>
      </c>
      <c r="G185" s="488">
        <v>0</v>
      </c>
      <c r="H185" s="488">
        <v>0</v>
      </c>
      <c r="I185" s="488">
        <v>0</v>
      </c>
      <c r="J185" s="488">
        <v>0</v>
      </c>
      <c r="K185" s="488">
        <v>0</v>
      </c>
      <c r="L185" s="488">
        <v>0</v>
      </c>
      <c r="M185" s="488">
        <v>0</v>
      </c>
      <c r="N185" s="488">
        <v>3201</v>
      </c>
      <c r="O185" s="488">
        <v>3145</v>
      </c>
      <c r="Q185" s="486" t="s">
        <v>13680</v>
      </c>
    </row>
    <row r="186" spans="1:17">
      <c r="A186" s="486" t="s">
        <v>4431</v>
      </c>
      <c r="B186" s="486" t="s">
        <v>4653</v>
      </c>
      <c r="C186" s="55" t="s">
        <v>13662</v>
      </c>
      <c r="D186" s="488">
        <v>0</v>
      </c>
      <c r="E186" s="488">
        <v>0</v>
      </c>
      <c r="F186" s="488">
        <v>0</v>
      </c>
      <c r="G186" s="488">
        <v>0</v>
      </c>
      <c r="H186" s="488">
        <v>0</v>
      </c>
      <c r="I186" s="488">
        <v>0</v>
      </c>
      <c r="J186" s="488">
        <v>0</v>
      </c>
      <c r="K186" s="488">
        <v>0</v>
      </c>
      <c r="L186" s="488">
        <v>0</v>
      </c>
      <c r="M186" s="488">
        <v>0</v>
      </c>
      <c r="N186" s="488">
        <v>2273</v>
      </c>
      <c r="O186" s="488">
        <v>2244</v>
      </c>
      <c r="Q186" s="486" t="s">
        <v>13680</v>
      </c>
    </row>
    <row r="187" spans="1:17">
      <c r="A187" s="486" t="s">
        <v>4432</v>
      </c>
      <c r="B187" s="486" t="s">
        <v>13664</v>
      </c>
      <c r="C187" s="55" t="s">
        <v>13663</v>
      </c>
      <c r="D187" s="488">
        <v>0</v>
      </c>
      <c r="E187" s="488">
        <v>0</v>
      </c>
      <c r="F187" s="488">
        <v>0</v>
      </c>
      <c r="G187" s="488">
        <v>0</v>
      </c>
      <c r="H187" s="488">
        <v>0</v>
      </c>
      <c r="I187" s="488">
        <v>0</v>
      </c>
      <c r="J187" s="488">
        <v>0</v>
      </c>
      <c r="K187" s="488">
        <v>0</v>
      </c>
      <c r="L187" s="488">
        <v>0</v>
      </c>
      <c r="M187" s="488">
        <v>0</v>
      </c>
      <c r="N187" s="488">
        <v>3050</v>
      </c>
      <c r="O187" s="488">
        <v>3024</v>
      </c>
      <c r="Q187" s="486" t="s">
        <v>13680</v>
      </c>
    </row>
    <row r="188" spans="1:17">
      <c r="A188" s="486" t="s">
        <v>4434</v>
      </c>
      <c r="B188" s="486" t="s">
        <v>4654</v>
      </c>
      <c r="C188" s="55" t="s">
        <v>13665</v>
      </c>
      <c r="D188" s="488">
        <v>0</v>
      </c>
      <c r="E188" s="488">
        <v>0</v>
      </c>
      <c r="F188" s="488">
        <v>0</v>
      </c>
      <c r="G188" s="488">
        <v>0</v>
      </c>
      <c r="H188" s="488">
        <v>0</v>
      </c>
      <c r="I188" s="488">
        <v>0</v>
      </c>
      <c r="J188" s="488">
        <v>0</v>
      </c>
      <c r="K188" s="488">
        <v>0</v>
      </c>
      <c r="L188" s="488">
        <v>0</v>
      </c>
      <c r="M188" s="488">
        <v>0</v>
      </c>
      <c r="N188" s="488">
        <v>2054</v>
      </c>
      <c r="O188" s="488">
        <v>2034</v>
      </c>
      <c r="Q188" s="486" t="s">
        <v>13681</v>
      </c>
    </row>
    <row r="189" spans="1:17">
      <c r="A189" s="486" t="s">
        <v>4533</v>
      </c>
      <c r="B189" s="486" t="s">
        <v>1806</v>
      </c>
      <c r="C189" s="55" t="s">
        <v>13666</v>
      </c>
      <c r="D189" s="488">
        <v>0</v>
      </c>
      <c r="E189" s="488">
        <v>0</v>
      </c>
      <c r="F189" s="488">
        <v>0</v>
      </c>
      <c r="G189" s="488">
        <v>0</v>
      </c>
      <c r="H189" s="488">
        <v>0</v>
      </c>
      <c r="I189" s="488">
        <v>0</v>
      </c>
      <c r="J189" s="488">
        <v>0</v>
      </c>
      <c r="K189" s="488">
        <v>0</v>
      </c>
      <c r="L189" s="488">
        <v>0</v>
      </c>
      <c r="M189" s="488">
        <v>0</v>
      </c>
      <c r="N189" s="488">
        <v>2080</v>
      </c>
      <c r="O189" s="488">
        <v>2066</v>
      </c>
      <c r="Q189" s="486" t="s">
        <v>13680</v>
      </c>
    </row>
    <row r="190" spans="1:17">
      <c r="A190" s="486" t="s">
        <v>4535</v>
      </c>
      <c r="B190" s="486" t="s">
        <v>13668</v>
      </c>
      <c r="C190" s="55" t="s">
        <v>13667</v>
      </c>
      <c r="D190" s="488">
        <v>0</v>
      </c>
      <c r="E190" s="488">
        <v>0</v>
      </c>
      <c r="F190" s="488">
        <v>0</v>
      </c>
      <c r="G190" s="488">
        <v>0</v>
      </c>
      <c r="H190" s="488">
        <v>0</v>
      </c>
      <c r="I190" s="488">
        <v>0</v>
      </c>
      <c r="J190" s="488">
        <v>0</v>
      </c>
      <c r="K190" s="488">
        <v>0</v>
      </c>
      <c r="L190" s="488">
        <v>0</v>
      </c>
      <c r="M190" s="488">
        <v>0</v>
      </c>
      <c r="N190" s="488">
        <v>3919</v>
      </c>
      <c r="O190" s="488">
        <v>3878</v>
      </c>
      <c r="Q190" s="486" t="s">
        <v>13680</v>
      </c>
    </row>
    <row r="191" spans="1:17" ht="15.75" thickBot="1">
      <c r="A191" s="486"/>
      <c r="B191" s="486"/>
      <c r="C191" s="55" t="s">
        <v>13667</v>
      </c>
      <c r="D191" s="493">
        <v>0</v>
      </c>
      <c r="E191" s="493">
        <v>0</v>
      </c>
      <c r="F191" s="493">
        <v>0</v>
      </c>
      <c r="G191" s="493">
        <v>0</v>
      </c>
      <c r="H191" s="493">
        <v>0</v>
      </c>
      <c r="I191" s="493">
        <v>0</v>
      </c>
      <c r="J191" s="493">
        <v>0</v>
      </c>
      <c r="K191" s="493">
        <v>0</v>
      </c>
      <c r="L191" s="493">
        <v>0</v>
      </c>
      <c r="M191" s="493">
        <v>0</v>
      </c>
      <c r="N191" s="493">
        <v>749</v>
      </c>
      <c r="O191" s="493">
        <v>743</v>
      </c>
      <c r="Q191" s="486" t="s">
        <v>13681</v>
      </c>
    </row>
    <row r="192" spans="1:17" ht="15.75" thickBot="1">
      <c r="A192" s="486"/>
      <c r="B192" s="486"/>
      <c r="C192" s="55" t="s">
        <v>13667</v>
      </c>
      <c r="D192" s="495">
        <f>D190+D191</f>
        <v>0</v>
      </c>
      <c r="E192" s="495">
        <f t="shared" ref="E192:N192" si="82">E190+E191</f>
        <v>0</v>
      </c>
      <c r="F192" s="495">
        <f t="shared" si="82"/>
        <v>0</v>
      </c>
      <c r="G192" s="495">
        <f t="shared" si="82"/>
        <v>0</v>
      </c>
      <c r="H192" s="495">
        <f t="shared" si="82"/>
        <v>0</v>
      </c>
      <c r="I192" s="495">
        <f t="shared" si="82"/>
        <v>0</v>
      </c>
      <c r="J192" s="495">
        <f t="shared" si="82"/>
        <v>0</v>
      </c>
      <c r="K192" s="495">
        <f t="shared" si="82"/>
        <v>0</v>
      </c>
      <c r="L192" s="495">
        <f t="shared" si="82"/>
        <v>0</v>
      </c>
      <c r="M192" s="495">
        <f t="shared" si="82"/>
        <v>0</v>
      </c>
      <c r="N192" s="495">
        <f t="shared" si="82"/>
        <v>4668</v>
      </c>
      <c r="O192" s="495">
        <f>O190+O191</f>
        <v>4621</v>
      </c>
      <c r="Q192" s="486"/>
    </row>
    <row r="193" spans="1:17">
      <c r="A193" s="486" t="s">
        <v>4537</v>
      </c>
      <c r="B193" s="486" t="s">
        <v>13670</v>
      </c>
      <c r="C193" s="55" t="s">
        <v>13669</v>
      </c>
      <c r="D193" s="488">
        <v>0</v>
      </c>
      <c r="E193" s="488">
        <v>0</v>
      </c>
      <c r="F193" s="488">
        <v>0</v>
      </c>
      <c r="G193" s="488">
        <v>0</v>
      </c>
      <c r="H193" s="488">
        <v>0</v>
      </c>
      <c r="I193" s="488">
        <v>0</v>
      </c>
      <c r="J193" s="488">
        <v>0</v>
      </c>
      <c r="K193" s="488">
        <v>0</v>
      </c>
      <c r="L193" s="488">
        <v>0</v>
      </c>
      <c r="M193" s="488">
        <v>0</v>
      </c>
      <c r="N193" s="488">
        <v>5596</v>
      </c>
      <c r="O193" s="488">
        <v>5526</v>
      </c>
      <c r="Q193" s="486" t="s">
        <v>13680</v>
      </c>
    </row>
    <row r="194" spans="1:17">
      <c r="A194" s="486" t="s">
        <v>4539</v>
      </c>
      <c r="B194" s="486" t="s">
        <v>13672</v>
      </c>
      <c r="C194" s="55" t="s">
        <v>13671</v>
      </c>
      <c r="D194" s="488">
        <v>0</v>
      </c>
      <c r="E194" s="488">
        <v>0</v>
      </c>
      <c r="F194" s="488">
        <v>0</v>
      </c>
      <c r="G194" s="488">
        <v>0</v>
      </c>
      <c r="H194" s="488">
        <v>0</v>
      </c>
      <c r="I194" s="488">
        <v>0</v>
      </c>
      <c r="J194" s="488">
        <v>0</v>
      </c>
      <c r="K194" s="488">
        <v>0</v>
      </c>
      <c r="L194" s="488">
        <v>0</v>
      </c>
      <c r="M194" s="488">
        <v>0</v>
      </c>
      <c r="N194" s="488">
        <v>4051</v>
      </c>
      <c r="O194" s="488">
        <v>4003</v>
      </c>
      <c r="Q194" s="486" t="s">
        <v>13681</v>
      </c>
    </row>
    <row r="195" spans="1:17">
      <c r="A195" s="486" t="s">
        <v>6158</v>
      </c>
      <c r="B195" s="486" t="s">
        <v>13674</v>
      </c>
      <c r="C195" s="55" t="s">
        <v>13673</v>
      </c>
      <c r="D195" s="488">
        <v>0</v>
      </c>
      <c r="E195" s="488">
        <v>0</v>
      </c>
      <c r="F195" s="488">
        <v>0</v>
      </c>
      <c r="G195" s="488">
        <v>0</v>
      </c>
      <c r="H195" s="488">
        <v>0</v>
      </c>
      <c r="I195" s="488">
        <v>0</v>
      </c>
      <c r="J195" s="488">
        <v>0</v>
      </c>
      <c r="K195" s="488">
        <v>0</v>
      </c>
      <c r="L195" s="488">
        <v>0</v>
      </c>
      <c r="M195" s="488">
        <v>0</v>
      </c>
      <c r="N195" s="488">
        <v>5051</v>
      </c>
      <c r="O195" s="488">
        <v>4969</v>
      </c>
      <c r="Q195" s="486" t="s">
        <v>13681</v>
      </c>
    </row>
    <row r="196" spans="1:17">
      <c r="A196" s="486" t="s">
        <v>6159</v>
      </c>
      <c r="B196" s="486" t="s">
        <v>13676</v>
      </c>
      <c r="C196" s="55" t="s">
        <v>13675</v>
      </c>
      <c r="D196" s="488">
        <v>0</v>
      </c>
      <c r="E196" s="488">
        <v>0</v>
      </c>
      <c r="F196" s="488">
        <v>0</v>
      </c>
      <c r="G196" s="488">
        <v>0</v>
      </c>
      <c r="H196" s="488">
        <v>0</v>
      </c>
      <c r="I196" s="488">
        <v>0</v>
      </c>
      <c r="J196" s="488">
        <v>0</v>
      </c>
      <c r="K196" s="488">
        <v>0</v>
      </c>
      <c r="L196" s="488">
        <v>0</v>
      </c>
      <c r="M196" s="488">
        <v>0</v>
      </c>
      <c r="N196" s="488">
        <v>1487</v>
      </c>
      <c r="O196" s="488">
        <v>1469</v>
      </c>
      <c r="Q196" s="486" t="s">
        <v>13680</v>
      </c>
    </row>
    <row r="197" spans="1:17" ht="15.75" thickBot="1">
      <c r="A197" s="486"/>
      <c r="B197" s="486"/>
      <c r="C197" s="55" t="s">
        <v>13675</v>
      </c>
      <c r="D197" s="493">
        <v>0</v>
      </c>
      <c r="E197" s="493">
        <v>0</v>
      </c>
      <c r="F197" s="493">
        <v>0</v>
      </c>
      <c r="G197" s="493">
        <v>0</v>
      </c>
      <c r="H197" s="493">
        <v>0</v>
      </c>
      <c r="I197" s="493">
        <v>0</v>
      </c>
      <c r="J197" s="493">
        <v>0</v>
      </c>
      <c r="K197" s="493">
        <v>0</v>
      </c>
      <c r="L197" s="493">
        <v>0</v>
      </c>
      <c r="M197" s="493">
        <v>0</v>
      </c>
      <c r="N197" s="493">
        <v>3262</v>
      </c>
      <c r="O197" s="493">
        <v>3195</v>
      </c>
      <c r="Q197" s="486" t="s">
        <v>13681</v>
      </c>
    </row>
    <row r="198" spans="1:17" ht="15.75" thickBot="1">
      <c r="A198" s="486"/>
      <c r="B198" s="486"/>
      <c r="C198" s="55" t="s">
        <v>13675</v>
      </c>
      <c r="D198" s="495">
        <f>D196+D197</f>
        <v>0</v>
      </c>
      <c r="E198" s="495">
        <f t="shared" ref="E198:N198" si="83">E196+E197</f>
        <v>0</v>
      </c>
      <c r="F198" s="495">
        <f t="shared" si="83"/>
        <v>0</v>
      </c>
      <c r="G198" s="495">
        <f t="shared" si="83"/>
        <v>0</v>
      </c>
      <c r="H198" s="495">
        <f t="shared" si="83"/>
        <v>0</v>
      </c>
      <c r="I198" s="495">
        <f t="shared" si="83"/>
        <v>0</v>
      </c>
      <c r="J198" s="495">
        <f t="shared" si="83"/>
        <v>0</v>
      </c>
      <c r="K198" s="495">
        <f t="shared" si="83"/>
        <v>0</v>
      </c>
      <c r="L198" s="495">
        <f t="shared" si="83"/>
        <v>0</v>
      </c>
      <c r="M198" s="495">
        <f t="shared" si="83"/>
        <v>0</v>
      </c>
      <c r="N198" s="495">
        <f t="shared" si="83"/>
        <v>4749</v>
      </c>
      <c r="O198" s="495">
        <f>O196+O197</f>
        <v>4664</v>
      </c>
      <c r="Q198" s="486"/>
    </row>
    <row r="199" spans="1:17">
      <c r="A199" s="486" t="s">
        <v>6160</v>
      </c>
      <c r="B199" s="486" t="s">
        <v>1840</v>
      </c>
      <c r="C199" s="55" t="s">
        <v>13677</v>
      </c>
      <c r="D199" s="488">
        <v>0</v>
      </c>
      <c r="E199" s="488">
        <v>0</v>
      </c>
      <c r="F199" s="488">
        <v>0</v>
      </c>
      <c r="G199" s="488">
        <v>0</v>
      </c>
      <c r="H199" s="488">
        <v>0</v>
      </c>
      <c r="I199" s="488">
        <v>0</v>
      </c>
      <c r="J199" s="488">
        <v>0</v>
      </c>
      <c r="K199" s="488">
        <v>0</v>
      </c>
      <c r="L199" s="488">
        <v>0</v>
      </c>
      <c r="M199" s="488">
        <v>0</v>
      </c>
      <c r="N199" s="58">
        <v>2206</v>
      </c>
      <c r="O199" s="58">
        <v>2190</v>
      </c>
      <c r="Q199" s="486" t="s">
        <v>13681</v>
      </c>
    </row>
    <row r="200" spans="1:17">
      <c r="A200" s="486" t="s">
        <v>6162</v>
      </c>
      <c r="B200" s="486" t="s">
        <v>1842</v>
      </c>
      <c r="C200" s="55" t="s">
        <v>13678</v>
      </c>
      <c r="D200" s="488">
        <v>0</v>
      </c>
      <c r="E200" s="488">
        <v>0</v>
      </c>
      <c r="F200" s="488">
        <v>0</v>
      </c>
      <c r="G200" s="488">
        <v>0</v>
      </c>
      <c r="H200" s="488">
        <v>0</v>
      </c>
      <c r="I200" s="488">
        <v>0</v>
      </c>
      <c r="J200" s="488">
        <v>0</v>
      </c>
      <c r="K200" s="488">
        <v>0</v>
      </c>
      <c r="L200" s="488">
        <v>0</v>
      </c>
      <c r="M200" s="488">
        <v>0</v>
      </c>
      <c r="N200" s="58">
        <v>3976</v>
      </c>
      <c r="O200" s="58">
        <v>3926</v>
      </c>
      <c r="Q200" s="486" t="s">
        <v>13680</v>
      </c>
    </row>
    <row r="201" spans="1:17">
      <c r="A201" s="486" t="s">
        <v>2157</v>
      </c>
      <c r="B201" s="486" t="s">
        <v>1787</v>
      </c>
      <c r="C201" s="55" t="s">
        <v>13679</v>
      </c>
      <c r="D201" s="488">
        <v>0</v>
      </c>
      <c r="E201" s="488">
        <v>0</v>
      </c>
      <c r="F201" s="488">
        <v>0</v>
      </c>
      <c r="G201" s="488">
        <v>0</v>
      </c>
      <c r="H201" s="488">
        <v>0</v>
      </c>
      <c r="I201" s="488">
        <v>0</v>
      </c>
      <c r="J201" s="488">
        <v>0</v>
      </c>
      <c r="K201" s="488">
        <v>0</v>
      </c>
      <c r="L201" s="488">
        <v>0</v>
      </c>
      <c r="M201" s="488">
        <v>0</v>
      </c>
      <c r="N201" s="58">
        <v>2194</v>
      </c>
      <c r="O201" s="58">
        <v>2165</v>
      </c>
      <c r="Q201" s="486" t="s">
        <v>13681</v>
      </c>
    </row>
    <row r="202" spans="1:17">
      <c r="D202" s="489"/>
      <c r="E202" s="489"/>
      <c r="F202" s="489"/>
      <c r="G202" s="489"/>
      <c r="H202" s="489"/>
      <c r="I202" s="489"/>
      <c r="J202" s="489"/>
      <c r="K202" s="489"/>
      <c r="L202" s="489"/>
      <c r="M202" s="489"/>
      <c r="N202" s="489"/>
      <c r="O202" s="489"/>
    </row>
    <row r="203" spans="1:17">
      <c r="A203" s="486" t="s">
        <v>4615</v>
      </c>
      <c r="D203" s="488">
        <f t="shared" ref="D203:M203" si="84">SUM(D161,D164:D167,D169,D173,D175:D181,D184:D187,D189:D190,D193,D196,D200)</f>
        <v>73397</v>
      </c>
      <c r="E203" s="488">
        <f t="shared" si="84"/>
        <v>73269</v>
      </c>
      <c r="F203" s="488">
        <f t="shared" si="84"/>
        <v>73415</v>
      </c>
      <c r="G203" s="488">
        <f t="shared" si="84"/>
        <v>73663</v>
      </c>
      <c r="H203" s="488">
        <f t="shared" si="84"/>
        <v>72137</v>
      </c>
      <c r="I203" s="488">
        <f t="shared" si="84"/>
        <v>70892</v>
      </c>
      <c r="J203" s="488">
        <f t="shared" si="84"/>
        <v>70679</v>
      </c>
      <c r="K203" s="488">
        <f t="shared" si="84"/>
        <v>70789</v>
      </c>
      <c r="L203" s="488">
        <f t="shared" si="84"/>
        <v>71241</v>
      </c>
      <c r="M203" s="488">
        <f t="shared" si="84"/>
        <v>70507</v>
      </c>
      <c r="N203" s="488">
        <f>SUM(N161,N164:N167,N169,N173,N175:N181,N184:N187,N189:N190,N193,N196,N200)</f>
        <v>72586</v>
      </c>
      <c r="O203" s="488">
        <f>SUM(O161,O164:O167,O169,O173,O175:O181,O184:O187,O189:O190,O193,O196,O200)</f>
        <v>71719</v>
      </c>
    </row>
    <row r="204" spans="1:17">
      <c r="A204" s="486" t="s">
        <v>1789</v>
      </c>
      <c r="D204" s="488">
        <f t="shared" ref="D204:M204" si="85">SUM(D162,D168,D170:D171,D172,D174,D182:D183,D188,D191,D194,D195,D197,D199,D201)</f>
        <v>39315</v>
      </c>
      <c r="E204" s="488">
        <f t="shared" si="85"/>
        <v>39887</v>
      </c>
      <c r="F204" s="488">
        <f t="shared" si="85"/>
        <v>40341</v>
      </c>
      <c r="G204" s="488">
        <f t="shared" si="85"/>
        <v>40940</v>
      </c>
      <c r="H204" s="488">
        <f t="shared" si="85"/>
        <v>40351</v>
      </c>
      <c r="I204" s="488">
        <f t="shared" si="85"/>
        <v>39693</v>
      </c>
      <c r="J204" s="488">
        <f t="shared" si="85"/>
        <v>40266</v>
      </c>
      <c r="K204" s="488">
        <f t="shared" si="85"/>
        <v>40652</v>
      </c>
      <c r="L204" s="488">
        <f t="shared" si="85"/>
        <v>40968</v>
      </c>
      <c r="M204" s="488">
        <f t="shared" si="85"/>
        <v>40756</v>
      </c>
      <c r="N204" s="488">
        <f>SUM(N162,N168,N170:N171,N172,N174,N182:N183,N188,N191,N194,N195,N197,N199,N201)</f>
        <v>41996</v>
      </c>
      <c r="O204" s="488">
        <f>SUM(O162,O168,O170:O171,O172,O174,O182:O183,O188,O191,O194,O195,O197,O199,O201)</f>
        <v>41444</v>
      </c>
    </row>
    <row r="205" spans="1:17">
      <c r="A205" s="486"/>
      <c r="D205" s="488"/>
      <c r="E205" s="488"/>
      <c r="F205" s="488"/>
      <c r="G205" s="488"/>
      <c r="H205" s="488"/>
      <c r="I205" s="488"/>
      <c r="J205" s="488"/>
      <c r="K205" s="488"/>
      <c r="L205" s="488"/>
    </row>
    <row r="206" spans="1:17">
      <c r="A206" s="486" t="s">
        <v>13682</v>
      </c>
      <c r="D206" s="488"/>
      <c r="E206" s="488"/>
      <c r="F206" s="488"/>
      <c r="G206" s="488"/>
      <c r="H206" s="488"/>
      <c r="I206" s="488"/>
      <c r="J206" s="488"/>
      <c r="K206" s="488"/>
      <c r="L206" s="488"/>
    </row>
    <row r="207" spans="1:17" ht="17.25" customHeight="1">
      <c r="A207" s="486"/>
      <c r="B207" s="486"/>
      <c r="D207" s="496"/>
      <c r="E207" s="496"/>
      <c r="F207" s="496"/>
      <c r="G207" s="496"/>
      <c r="H207" s="496"/>
      <c r="I207" s="496"/>
      <c r="J207" s="496"/>
      <c r="K207" s="496"/>
      <c r="L207" s="496"/>
    </row>
    <row r="208" spans="1:17">
      <c r="A208" s="486"/>
      <c r="B208" s="486"/>
      <c r="D208" s="496"/>
      <c r="E208" s="496"/>
      <c r="F208" s="496"/>
      <c r="G208" s="496"/>
      <c r="H208" s="496"/>
      <c r="I208" s="496"/>
      <c r="J208" s="496"/>
      <c r="K208" s="496"/>
      <c r="L208" s="496"/>
    </row>
    <row r="209" spans="1:17">
      <c r="E209" s="51" t="s">
        <v>1526</v>
      </c>
      <c r="F209" s="51"/>
      <c r="G209" s="51"/>
      <c r="H209" s="51"/>
      <c r="I209" s="51"/>
      <c r="J209" s="51"/>
      <c r="K209" s="51"/>
      <c r="L209" s="51"/>
      <c r="M209" s="11"/>
      <c r="N209" s="11"/>
      <c r="O209" s="11"/>
      <c r="P209" s="11"/>
      <c r="Q209" s="11" t="s">
        <v>9479</v>
      </c>
    </row>
    <row r="210" spans="1:17">
      <c r="D210" s="487">
        <v>2010</v>
      </c>
      <c r="E210" s="487">
        <v>2011</v>
      </c>
      <c r="F210" s="487">
        <v>2012</v>
      </c>
      <c r="G210" s="487">
        <v>2013</v>
      </c>
      <c r="H210" s="487">
        <v>2014</v>
      </c>
      <c r="I210" s="487">
        <v>2015</v>
      </c>
      <c r="J210" s="487">
        <v>2016</v>
      </c>
      <c r="K210" s="487">
        <v>2017</v>
      </c>
      <c r="L210" s="487">
        <v>2018</v>
      </c>
      <c r="M210" s="487">
        <v>2019</v>
      </c>
      <c r="N210" s="487">
        <v>2020</v>
      </c>
      <c r="O210" s="953" t="s">
        <v>14823</v>
      </c>
      <c r="Q210" s="13" t="s">
        <v>1527</v>
      </c>
    </row>
    <row r="211" spans="1:17">
      <c r="A211" s="486" t="s">
        <v>1855</v>
      </c>
      <c r="D211" s="488">
        <f t="shared" ref="D211:M211" si="86">SUM(D212:D231,D233:D240,D242:D247)</f>
        <v>81366</v>
      </c>
      <c r="E211" s="488">
        <f t="shared" si="86"/>
        <v>81667</v>
      </c>
      <c r="F211" s="488">
        <f t="shared" si="86"/>
        <v>81767</v>
      </c>
      <c r="G211" s="488">
        <f t="shared" si="86"/>
        <v>82455</v>
      </c>
      <c r="H211" s="488">
        <f t="shared" si="86"/>
        <v>82104</v>
      </c>
      <c r="I211" s="488">
        <f t="shared" si="86"/>
        <v>81470</v>
      </c>
      <c r="J211" s="488">
        <f t="shared" si="86"/>
        <v>80922</v>
      </c>
      <c r="K211" s="488">
        <f t="shared" si="86"/>
        <v>81527</v>
      </c>
      <c r="L211" s="488">
        <f t="shared" si="86"/>
        <v>82455</v>
      </c>
      <c r="M211" s="488">
        <f t="shared" si="86"/>
        <v>81846</v>
      </c>
      <c r="N211" s="488">
        <f>SUM(N212:N231,N233:N240,N242:N247)</f>
        <v>83635</v>
      </c>
      <c r="O211" s="488">
        <f>SUM(O212:O231,O233:O240,O242:O247)</f>
        <v>83284</v>
      </c>
    </row>
    <row r="212" spans="1:17">
      <c r="A212" s="486" t="s">
        <v>5387</v>
      </c>
      <c r="B212" s="136" t="s">
        <v>12414</v>
      </c>
      <c r="C212" s="55" t="s">
        <v>14314</v>
      </c>
      <c r="D212" s="488">
        <v>67977</v>
      </c>
      <c r="E212" s="488">
        <v>68277</v>
      </c>
      <c r="F212" s="488">
        <v>68409</v>
      </c>
      <c r="G212" s="488">
        <v>69005</v>
      </c>
      <c r="H212" s="488">
        <v>68707</v>
      </c>
      <c r="I212" s="488">
        <v>68195</v>
      </c>
      <c r="J212" s="488">
        <v>67640</v>
      </c>
      <c r="K212" s="488">
        <v>68223</v>
      </c>
      <c r="L212" s="488">
        <v>68976</v>
      </c>
      <c r="M212" s="56">
        <v>2010</v>
      </c>
      <c r="N212" s="56">
        <v>2069</v>
      </c>
      <c r="O212" s="56">
        <v>2064</v>
      </c>
      <c r="Q212" s="486" t="s">
        <v>4614</v>
      </c>
    </row>
    <row r="213" spans="1:17">
      <c r="A213" s="486" t="s">
        <v>5389</v>
      </c>
      <c r="B213" s="136" t="s">
        <v>12415</v>
      </c>
      <c r="C213" s="55" t="s">
        <v>14315</v>
      </c>
      <c r="D213" s="488">
        <v>0</v>
      </c>
      <c r="E213" s="488">
        <v>0</v>
      </c>
      <c r="F213" s="488">
        <v>0</v>
      </c>
      <c r="G213" s="488">
        <v>0</v>
      </c>
      <c r="H213" s="488">
        <v>0</v>
      </c>
      <c r="I213" s="488">
        <v>0</v>
      </c>
      <c r="J213" s="488">
        <v>0</v>
      </c>
      <c r="K213" s="488">
        <v>0</v>
      </c>
      <c r="L213" s="488">
        <v>0</v>
      </c>
      <c r="M213" s="56">
        <v>2183</v>
      </c>
      <c r="N213" s="56">
        <v>2216</v>
      </c>
      <c r="O213" s="56">
        <v>2207</v>
      </c>
      <c r="Q213" s="486" t="s">
        <v>4614</v>
      </c>
    </row>
    <row r="214" spans="1:17">
      <c r="A214" s="486" t="s">
        <v>5391</v>
      </c>
      <c r="B214" s="136" t="s">
        <v>1856</v>
      </c>
      <c r="C214" s="55" t="s">
        <v>14316</v>
      </c>
      <c r="D214" s="488">
        <v>0</v>
      </c>
      <c r="E214" s="488">
        <v>0</v>
      </c>
      <c r="F214" s="488">
        <v>0</v>
      </c>
      <c r="G214" s="488">
        <v>0</v>
      </c>
      <c r="H214" s="488">
        <v>0</v>
      </c>
      <c r="I214" s="488">
        <v>0</v>
      </c>
      <c r="J214" s="488">
        <v>0</v>
      </c>
      <c r="K214" s="488">
        <v>0</v>
      </c>
      <c r="L214" s="488">
        <v>0</v>
      </c>
      <c r="M214" s="56">
        <v>2008</v>
      </c>
      <c r="N214" s="56">
        <v>2030</v>
      </c>
      <c r="O214" s="56">
        <v>2026</v>
      </c>
      <c r="Q214" s="486" t="s">
        <v>4614</v>
      </c>
    </row>
    <row r="215" spans="1:17">
      <c r="A215" s="486" t="s">
        <v>5393</v>
      </c>
      <c r="B215" s="136" t="s">
        <v>921</v>
      </c>
      <c r="C215" s="55" t="s">
        <v>14317</v>
      </c>
      <c r="D215" s="488">
        <v>0</v>
      </c>
      <c r="E215" s="488">
        <v>0</v>
      </c>
      <c r="F215" s="488">
        <v>0</v>
      </c>
      <c r="G215" s="488">
        <v>0</v>
      </c>
      <c r="H215" s="488">
        <v>0</v>
      </c>
      <c r="I215" s="488">
        <v>0</v>
      </c>
      <c r="J215" s="488">
        <v>0</v>
      </c>
      <c r="K215" s="488">
        <v>0</v>
      </c>
      <c r="L215" s="488">
        <v>0</v>
      </c>
      <c r="M215" s="56">
        <v>1967</v>
      </c>
      <c r="N215" s="56">
        <v>2000</v>
      </c>
      <c r="O215" s="56">
        <v>1992</v>
      </c>
      <c r="Q215" s="486" t="s">
        <v>4614</v>
      </c>
    </row>
    <row r="216" spans="1:17">
      <c r="A216" s="486" t="s">
        <v>5394</v>
      </c>
      <c r="B216" s="136" t="s">
        <v>3244</v>
      </c>
      <c r="C216" s="55" t="s">
        <v>14318</v>
      </c>
      <c r="D216" s="488">
        <v>0</v>
      </c>
      <c r="E216" s="488">
        <v>0</v>
      </c>
      <c r="F216" s="488">
        <v>0</v>
      </c>
      <c r="G216" s="488">
        <v>0</v>
      </c>
      <c r="H216" s="488">
        <v>0</v>
      </c>
      <c r="I216" s="488">
        <v>0</v>
      </c>
      <c r="J216" s="488">
        <v>0</v>
      </c>
      <c r="K216" s="488">
        <v>0</v>
      </c>
      <c r="L216" s="488">
        <v>0</v>
      </c>
      <c r="M216" s="56">
        <v>3905</v>
      </c>
      <c r="N216" s="56">
        <v>4020</v>
      </c>
      <c r="O216" s="56">
        <v>3988</v>
      </c>
      <c r="Q216" s="486" t="s">
        <v>4614</v>
      </c>
    </row>
    <row r="217" spans="1:17">
      <c r="A217" s="486" t="s">
        <v>5416</v>
      </c>
      <c r="B217" s="136" t="s">
        <v>3245</v>
      </c>
      <c r="C217" s="55" t="s">
        <v>14319</v>
      </c>
      <c r="D217" s="488">
        <v>0</v>
      </c>
      <c r="E217" s="488">
        <v>0</v>
      </c>
      <c r="F217" s="488">
        <v>0</v>
      </c>
      <c r="G217" s="488">
        <v>0</v>
      </c>
      <c r="H217" s="488">
        <v>0</v>
      </c>
      <c r="I217" s="488">
        <v>0</v>
      </c>
      <c r="J217" s="488">
        <v>0</v>
      </c>
      <c r="K217" s="488">
        <v>0</v>
      </c>
      <c r="L217" s="488">
        <v>0</v>
      </c>
      <c r="M217" s="56">
        <v>2210</v>
      </c>
      <c r="N217" s="56">
        <v>2223</v>
      </c>
      <c r="O217" s="56">
        <v>2220</v>
      </c>
      <c r="Q217" s="486" t="s">
        <v>4614</v>
      </c>
    </row>
    <row r="218" spans="1:17">
      <c r="A218" s="486" t="s">
        <v>5418</v>
      </c>
      <c r="B218" s="136" t="s">
        <v>12416</v>
      </c>
      <c r="C218" s="55" t="s">
        <v>14320</v>
      </c>
      <c r="D218" s="488">
        <v>0</v>
      </c>
      <c r="E218" s="488">
        <v>0</v>
      </c>
      <c r="F218" s="488">
        <v>0</v>
      </c>
      <c r="G218" s="488">
        <v>0</v>
      </c>
      <c r="H218" s="488">
        <v>0</v>
      </c>
      <c r="I218" s="488">
        <v>0</v>
      </c>
      <c r="J218" s="488">
        <v>0</v>
      </c>
      <c r="K218" s="488">
        <v>0</v>
      </c>
      <c r="L218" s="488">
        <v>0</v>
      </c>
      <c r="M218" s="56">
        <v>1964</v>
      </c>
      <c r="N218" s="56">
        <v>2020</v>
      </c>
      <c r="O218" s="56">
        <v>2009</v>
      </c>
      <c r="Q218" s="486" t="s">
        <v>4614</v>
      </c>
    </row>
    <row r="219" spans="1:17">
      <c r="A219" s="486" t="s">
        <v>5420</v>
      </c>
      <c r="B219" s="136" t="s">
        <v>3246</v>
      </c>
      <c r="C219" s="55" t="s">
        <v>14321</v>
      </c>
      <c r="D219" s="488">
        <v>0</v>
      </c>
      <c r="E219" s="488">
        <v>0</v>
      </c>
      <c r="F219" s="488">
        <v>0</v>
      </c>
      <c r="G219" s="488">
        <v>0</v>
      </c>
      <c r="H219" s="488">
        <v>0</v>
      </c>
      <c r="I219" s="488">
        <v>0</v>
      </c>
      <c r="J219" s="488">
        <v>0</v>
      </c>
      <c r="K219" s="488">
        <v>0</v>
      </c>
      <c r="L219" s="488">
        <v>0</v>
      </c>
      <c r="M219" s="56">
        <v>2203</v>
      </c>
      <c r="N219" s="56">
        <v>2192</v>
      </c>
      <c r="O219" s="56">
        <v>2183</v>
      </c>
      <c r="Q219" s="486" t="s">
        <v>4614</v>
      </c>
    </row>
    <row r="220" spans="1:17">
      <c r="A220" s="486" t="s">
        <v>5422</v>
      </c>
      <c r="B220" s="136" t="s">
        <v>12417</v>
      </c>
      <c r="C220" s="55" t="s">
        <v>14322</v>
      </c>
      <c r="D220" s="488">
        <v>0</v>
      </c>
      <c r="E220" s="488">
        <v>0</v>
      </c>
      <c r="F220" s="488">
        <v>0</v>
      </c>
      <c r="G220" s="488">
        <v>0</v>
      </c>
      <c r="H220" s="488">
        <v>0</v>
      </c>
      <c r="I220" s="488">
        <v>0</v>
      </c>
      <c r="J220" s="488">
        <v>0</v>
      </c>
      <c r="K220" s="488">
        <v>0</v>
      </c>
      <c r="L220" s="488">
        <v>0</v>
      </c>
      <c r="M220" s="56">
        <v>2142</v>
      </c>
      <c r="N220" s="56">
        <v>2202</v>
      </c>
      <c r="O220" s="56">
        <v>2196</v>
      </c>
      <c r="Q220" s="486" t="s">
        <v>4614</v>
      </c>
    </row>
    <row r="221" spans="1:17">
      <c r="A221" s="486" t="s">
        <v>5424</v>
      </c>
      <c r="B221" s="136" t="s">
        <v>3247</v>
      </c>
      <c r="C221" s="55" t="s">
        <v>14323</v>
      </c>
      <c r="D221" s="488">
        <v>0</v>
      </c>
      <c r="E221" s="488">
        <v>0</v>
      </c>
      <c r="F221" s="488">
        <v>0</v>
      </c>
      <c r="G221" s="488">
        <v>0</v>
      </c>
      <c r="H221" s="488">
        <v>0</v>
      </c>
      <c r="I221" s="488">
        <v>0</v>
      </c>
      <c r="J221" s="488">
        <v>0</v>
      </c>
      <c r="K221" s="488">
        <v>0</v>
      </c>
      <c r="L221" s="488">
        <v>0</v>
      </c>
      <c r="M221" s="56">
        <v>3503</v>
      </c>
      <c r="N221" s="56">
        <v>3630</v>
      </c>
      <c r="O221" s="56">
        <v>3608</v>
      </c>
      <c r="Q221" s="486" t="s">
        <v>4614</v>
      </c>
    </row>
    <row r="222" spans="1:17">
      <c r="A222" s="486" t="s">
        <v>5426</v>
      </c>
      <c r="B222" s="136" t="s">
        <v>12418</v>
      </c>
      <c r="C222" s="55" t="s">
        <v>14324</v>
      </c>
      <c r="D222" s="488">
        <v>0</v>
      </c>
      <c r="E222" s="488">
        <v>0</v>
      </c>
      <c r="F222" s="488">
        <v>0</v>
      </c>
      <c r="G222" s="488">
        <v>0</v>
      </c>
      <c r="H222" s="488">
        <v>0</v>
      </c>
      <c r="I222" s="488">
        <v>0</v>
      </c>
      <c r="J222" s="488">
        <v>0</v>
      </c>
      <c r="K222" s="488">
        <v>0</v>
      </c>
      <c r="L222" s="488">
        <v>0</v>
      </c>
      <c r="M222" s="56">
        <v>4219</v>
      </c>
      <c r="N222" s="56">
        <v>4316</v>
      </c>
      <c r="O222" s="56">
        <v>4308</v>
      </c>
      <c r="Q222" s="486" t="s">
        <v>4614</v>
      </c>
    </row>
    <row r="223" spans="1:17">
      <c r="A223" s="486" t="s">
        <v>5428</v>
      </c>
      <c r="B223" s="136" t="s">
        <v>3248</v>
      </c>
      <c r="C223" s="55" t="s">
        <v>14325</v>
      </c>
      <c r="D223" s="489">
        <v>13389</v>
      </c>
      <c r="E223" s="489">
        <v>13390</v>
      </c>
      <c r="F223" s="489">
        <v>13358</v>
      </c>
      <c r="G223" s="489">
        <v>13450</v>
      </c>
      <c r="H223" s="489">
        <v>13397</v>
      </c>
      <c r="I223" s="489">
        <v>13275</v>
      </c>
      <c r="J223" s="489">
        <v>13282</v>
      </c>
      <c r="K223" s="489">
        <v>13304</v>
      </c>
      <c r="L223" s="489">
        <v>13479</v>
      </c>
      <c r="M223" s="56">
        <v>1919</v>
      </c>
      <c r="N223" s="56">
        <v>1856</v>
      </c>
      <c r="O223" s="56">
        <v>1846</v>
      </c>
      <c r="Q223" s="486" t="s">
        <v>1740</v>
      </c>
    </row>
    <row r="224" spans="1:17">
      <c r="A224" s="486" t="s">
        <v>5429</v>
      </c>
      <c r="B224" s="136" t="s">
        <v>3249</v>
      </c>
      <c r="C224" s="55" t="s">
        <v>14326</v>
      </c>
      <c r="D224" s="488">
        <v>0</v>
      </c>
      <c r="E224" s="488">
        <v>0</v>
      </c>
      <c r="F224" s="488">
        <v>0</v>
      </c>
      <c r="G224" s="488">
        <v>0</v>
      </c>
      <c r="H224" s="488">
        <v>0</v>
      </c>
      <c r="I224" s="488">
        <v>0</v>
      </c>
      <c r="J224" s="488">
        <v>0</v>
      </c>
      <c r="K224" s="488">
        <v>0</v>
      </c>
      <c r="L224" s="488">
        <v>0</v>
      </c>
      <c r="M224" s="56">
        <v>4086</v>
      </c>
      <c r="N224" s="56">
        <v>4270</v>
      </c>
      <c r="O224" s="56">
        <v>4263</v>
      </c>
      <c r="Q224" s="486" t="s">
        <v>1740</v>
      </c>
    </row>
    <row r="225" spans="1:17">
      <c r="A225" s="486" t="s">
        <v>5431</v>
      </c>
      <c r="B225" s="136" t="s">
        <v>3250</v>
      </c>
      <c r="C225" s="55" t="s">
        <v>14327</v>
      </c>
      <c r="D225" s="488">
        <v>0</v>
      </c>
      <c r="E225" s="488">
        <v>0</v>
      </c>
      <c r="F225" s="488">
        <v>0</v>
      </c>
      <c r="G225" s="488">
        <v>0</v>
      </c>
      <c r="H225" s="488">
        <v>0</v>
      </c>
      <c r="I225" s="488">
        <v>0</v>
      </c>
      <c r="J225" s="488">
        <v>0</v>
      </c>
      <c r="K225" s="488">
        <v>0</v>
      </c>
      <c r="L225" s="488">
        <v>0</v>
      </c>
      <c r="M225" s="56">
        <v>2196</v>
      </c>
      <c r="N225" s="56">
        <v>2256</v>
      </c>
      <c r="O225" s="56">
        <v>2252</v>
      </c>
      <c r="Q225" s="486" t="s">
        <v>4614</v>
      </c>
    </row>
    <row r="226" spans="1:17">
      <c r="A226" s="486" t="s">
        <v>5433</v>
      </c>
      <c r="B226" s="136" t="s">
        <v>1123</v>
      </c>
      <c r="C226" s="55" t="s">
        <v>14328</v>
      </c>
      <c r="D226" s="488">
        <v>0</v>
      </c>
      <c r="E226" s="488">
        <v>0</v>
      </c>
      <c r="F226" s="488">
        <v>0</v>
      </c>
      <c r="G226" s="488">
        <v>0</v>
      </c>
      <c r="H226" s="488">
        <v>0</v>
      </c>
      <c r="I226" s="488">
        <v>0</v>
      </c>
      <c r="J226" s="488">
        <v>0</v>
      </c>
      <c r="K226" s="488">
        <v>0</v>
      </c>
      <c r="L226" s="488">
        <v>0</v>
      </c>
      <c r="M226" s="56">
        <v>3734</v>
      </c>
      <c r="N226" s="56">
        <v>3754</v>
      </c>
      <c r="O226" s="56">
        <v>3745</v>
      </c>
      <c r="Q226" s="486" t="s">
        <v>4614</v>
      </c>
    </row>
    <row r="227" spans="1:17">
      <c r="A227" s="486" t="s">
        <v>5435</v>
      </c>
      <c r="B227" s="136" t="s">
        <v>12419</v>
      </c>
      <c r="C227" s="55" t="s">
        <v>14329</v>
      </c>
      <c r="D227" s="488">
        <v>0</v>
      </c>
      <c r="E227" s="488">
        <v>0</v>
      </c>
      <c r="F227" s="488">
        <v>0</v>
      </c>
      <c r="G227" s="488">
        <v>0</v>
      </c>
      <c r="H227" s="488">
        <v>0</v>
      </c>
      <c r="I227" s="488">
        <v>0</v>
      </c>
      <c r="J227" s="488">
        <v>0</v>
      </c>
      <c r="K227" s="488">
        <v>0</v>
      </c>
      <c r="L227" s="488">
        <v>0</v>
      </c>
      <c r="M227" s="56">
        <v>2072</v>
      </c>
      <c r="N227" s="56">
        <v>2155</v>
      </c>
      <c r="O227" s="56">
        <v>2148</v>
      </c>
      <c r="Q227" s="486" t="s">
        <v>4614</v>
      </c>
    </row>
    <row r="228" spans="1:17">
      <c r="A228" s="486" t="s">
        <v>5436</v>
      </c>
      <c r="B228" s="136" t="s">
        <v>1124</v>
      </c>
      <c r="C228" s="55" t="s">
        <v>14330</v>
      </c>
      <c r="D228" s="488">
        <v>0</v>
      </c>
      <c r="E228" s="488">
        <v>0</v>
      </c>
      <c r="F228" s="488">
        <v>0</v>
      </c>
      <c r="G228" s="488">
        <v>0</v>
      </c>
      <c r="H228" s="488">
        <v>0</v>
      </c>
      <c r="I228" s="488">
        <v>0</v>
      </c>
      <c r="J228" s="488">
        <v>0</v>
      </c>
      <c r="K228" s="488">
        <v>0</v>
      </c>
      <c r="L228" s="488">
        <v>0</v>
      </c>
      <c r="M228" s="56">
        <v>4147</v>
      </c>
      <c r="N228" s="56">
        <v>4319</v>
      </c>
      <c r="O228" s="56">
        <v>4302</v>
      </c>
      <c r="Q228" s="486" t="s">
        <v>4614</v>
      </c>
    </row>
    <row r="229" spans="1:17">
      <c r="A229" s="486" t="s">
        <v>5437</v>
      </c>
      <c r="B229" s="136" t="s">
        <v>1125</v>
      </c>
      <c r="C229" s="55" t="s">
        <v>14331</v>
      </c>
      <c r="D229" s="488">
        <v>0</v>
      </c>
      <c r="E229" s="488">
        <v>0</v>
      </c>
      <c r="F229" s="488">
        <v>0</v>
      </c>
      <c r="G229" s="488">
        <v>0</v>
      </c>
      <c r="H229" s="488">
        <v>0</v>
      </c>
      <c r="I229" s="488">
        <v>0</v>
      </c>
      <c r="J229" s="488">
        <v>0</v>
      </c>
      <c r="K229" s="488">
        <v>0</v>
      </c>
      <c r="L229" s="488">
        <v>0</v>
      </c>
      <c r="M229" s="56">
        <v>2056</v>
      </c>
      <c r="N229" s="56">
        <v>2151</v>
      </c>
      <c r="O229" s="56">
        <v>2139</v>
      </c>
      <c r="Q229" s="486" t="s">
        <v>4614</v>
      </c>
    </row>
    <row r="230" spans="1:17">
      <c r="A230" s="486" t="s">
        <v>5439</v>
      </c>
      <c r="B230" s="136" t="s">
        <v>2989</v>
      </c>
      <c r="C230" s="55" t="s">
        <v>14332</v>
      </c>
      <c r="D230" s="488">
        <v>0</v>
      </c>
      <c r="E230" s="488">
        <v>0</v>
      </c>
      <c r="F230" s="488">
        <v>0</v>
      </c>
      <c r="G230" s="488">
        <v>0</v>
      </c>
      <c r="H230" s="488">
        <v>0</v>
      </c>
      <c r="I230" s="488">
        <v>0</v>
      </c>
      <c r="J230" s="488">
        <v>0</v>
      </c>
      <c r="K230" s="488">
        <v>0</v>
      </c>
      <c r="L230" s="488">
        <v>0</v>
      </c>
      <c r="M230" s="56">
        <v>535</v>
      </c>
      <c r="N230" s="56">
        <v>531</v>
      </c>
      <c r="O230" s="56">
        <v>527</v>
      </c>
      <c r="Q230" s="486" t="s">
        <v>1740</v>
      </c>
    </row>
    <row r="231" spans="1:17" ht="15.75" thickBot="1">
      <c r="C231" s="55" t="s">
        <v>14332</v>
      </c>
      <c r="D231" s="488">
        <v>0</v>
      </c>
      <c r="E231" s="488">
        <v>0</v>
      </c>
      <c r="F231" s="488">
        <v>0</v>
      </c>
      <c r="G231" s="488">
        <v>0</v>
      </c>
      <c r="H231" s="488">
        <v>0</v>
      </c>
      <c r="I231" s="488">
        <v>0</v>
      </c>
      <c r="J231" s="488">
        <v>0</v>
      </c>
      <c r="K231" s="488">
        <v>0</v>
      </c>
      <c r="L231" s="488">
        <v>0</v>
      </c>
      <c r="M231" s="56">
        <v>1336</v>
      </c>
      <c r="N231" s="56">
        <v>1384</v>
      </c>
      <c r="O231" s="56">
        <v>1382</v>
      </c>
      <c r="Q231" s="486" t="s">
        <v>4614</v>
      </c>
    </row>
    <row r="232" spans="1:17" ht="15.75" thickBot="1">
      <c r="A232" s="486"/>
      <c r="C232" s="55" t="s">
        <v>14332</v>
      </c>
      <c r="D232" s="495">
        <f t="shared" ref="D232:N232" si="87">D230+D231</f>
        <v>0</v>
      </c>
      <c r="E232" s="495">
        <f t="shared" si="87"/>
        <v>0</v>
      </c>
      <c r="F232" s="495">
        <f t="shared" si="87"/>
        <v>0</v>
      </c>
      <c r="G232" s="495">
        <f t="shared" si="87"/>
        <v>0</v>
      </c>
      <c r="H232" s="495">
        <f t="shared" si="87"/>
        <v>0</v>
      </c>
      <c r="I232" s="495">
        <f t="shared" si="87"/>
        <v>0</v>
      </c>
      <c r="J232" s="495">
        <f t="shared" si="87"/>
        <v>0</v>
      </c>
      <c r="K232" s="495">
        <f t="shared" si="87"/>
        <v>0</v>
      </c>
      <c r="L232" s="495">
        <f t="shared" si="87"/>
        <v>0</v>
      </c>
      <c r="M232" s="495">
        <f t="shared" si="87"/>
        <v>1871</v>
      </c>
      <c r="N232" s="495">
        <f t="shared" si="87"/>
        <v>1915</v>
      </c>
      <c r="O232" s="495">
        <f>O230+O231</f>
        <v>1909</v>
      </c>
      <c r="Q232" s="486"/>
    </row>
    <row r="233" spans="1:17">
      <c r="A233" s="486" t="s">
        <v>5441</v>
      </c>
      <c r="B233" s="136" t="s">
        <v>1126</v>
      </c>
      <c r="C233" s="55" t="s">
        <v>14333</v>
      </c>
      <c r="D233" s="488">
        <v>0</v>
      </c>
      <c r="E233" s="488">
        <v>0</v>
      </c>
      <c r="F233" s="488">
        <v>0</v>
      </c>
      <c r="G233" s="488">
        <v>0</v>
      </c>
      <c r="H233" s="488">
        <v>0</v>
      </c>
      <c r="I233" s="488">
        <v>0</v>
      </c>
      <c r="J233" s="488">
        <v>0</v>
      </c>
      <c r="K233" s="488">
        <v>0</v>
      </c>
      <c r="L233" s="488">
        <v>0</v>
      </c>
      <c r="M233" s="56">
        <v>2246</v>
      </c>
      <c r="N233" s="56">
        <v>2320</v>
      </c>
      <c r="O233" s="56">
        <v>2306</v>
      </c>
      <c r="Q233" s="486" t="s">
        <v>4614</v>
      </c>
    </row>
    <row r="234" spans="1:17">
      <c r="A234" s="486" t="s">
        <v>5886</v>
      </c>
      <c r="B234" s="136" t="s">
        <v>3253</v>
      </c>
      <c r="C234" s="55" t="s">
        <v>14335</v>
      </c>
      <c r="D234" s="488">
        <v>0</v>
      </c>
      <c r="E234" s="488">
        <v>0</v>
      </c>
      <c r="F234" s="488">
        <v>0</v>
      </c>
      <c r="G234" s="488">
        <v>0</v>
      </c>
      <c r="H234" s="488">
        <v>0</v>
      </c>
      <c r="I234" s="488">
        <v>0</v>
      </c>
      <c r="J234" s="488">
        <v>0</v>
      </c>
      <c r="K234" s="488">
        <v>0</v>
      </c>
      <c r="L234" s="488">
        <v>0</v>
      </c>
      <c r="M234" s="56">
        <v>2007</v>
      </c>
      <c r="N234" s="56">
        <v>2056</v>
      </c>
      <c r="O234" s="56">
        <v>2038</v>
      </c>
      <c r="Q234" s="486" t="s">
        <v>4614</v>
      </c>
    </row>
    <row r="235" spans="1:17">
      <c r="A235" s="486" t="s">
        <v>5888</v>
      </c>
      <c r="B235" s="136" t="s">
        <v>3254</v>
      </c>
      <c r="C235" s="55" t="s">
        <v>14336</v>
      </c>
      <c r="D235" s="488">
        <v>0</v>
      </c>
      <c r="E235" s="488">
        <v>0</v>
      </c>
      <c r="F235" s="488">
        <v>0</v>
      </c>
      <c r="G235" s="488">
        <v>0</v>
      </c>
      <c r="H235" s="488">
        <v>0</v>
      </c>
      <c r="I235" s="488">
        <v>0</v>
      </c>
      <c r="J235" s="488">
        <v>0</v>
      </c>
      <c r="K235" s="488">
        <v>0</v>
      </c>
      <c r="L235" s="488">
        <v>0</v>
      </c>
      <c r="M235" s="56">
        <v>4119</v>
      </c>
      <c r="N235" s="56">
        <v>4164</v>
      </c>
      <c r="O235" s="56">
        <v>4152</v>
      </c>
      <c r="Q235" s="486" t="s">
        <v>4614</v>
      </c>
    </row>
    <row r="236" spans="1:17">
      <c r="A236" s="486" t="s">
        <v>5889</v>
      </c>
      <c r="B236" s="136" t="s">
        <v>3252</v>
      </c>
      <c r="C236" s="55" t="s">
        <v>14334</v>
      </c>
      <c r="D236" s="488">
        <v>0</v>
      </c>
      <c r="E236" s="488">
        <v>0</v>
      </c>
      <c r="F236" s="488">
        <v>0</v>
      </c>
      <c r="G236" s="488">
        <v>0</v>
      </c>
      <c r="H236" s="488">
        <v>0</v>
      </c>
      <c r="I236" s="488">
        <v>0</v>
      </c>
      <c r="J236" s="488">
        <v>0</v>
      </c>
      <c r="K236" s="488">
        <v>0</v>
      </c>
      <c r="L236" s="488">
        <v>0</v>
      </c>
      <c r="M236" s="56">
        <v>2032</v>
      </c>
      <c r="N236" s="56">
        <v>2042</v>
      </c>
      <c r="O236" s="56">
        <v>2027</v>
      </c>
      <c r="Q236" s="486" t="s">
        <v>4614</v>
      </c>
    </row>
    <row r="237" spans="1:17">
      <c r="A237" s="486" t="s">
        <v>4431</v>
      </c>
      <c r="B237" s="136" t="s">
        <v>12420</v>
      </c>
      <c r="C237" s="55" t="s">
        <v>14337</v>
      </c>
      <c r="D237" s="488">
        <v>0</v>
      </c>
      <c r="E237" s="488">
        <v>0</v>
      </c>
      <c r="F237" s="488">
        <v>0</v>
      </c>
      <c r="G237" s="488">
        <v>0</v>
      </c>
      <c r="H237" s="488">
        <v>0</v>
      </c>
      <c r="I237" s="488">
        <v>0</v>
      </c>
      <c r="J237" s="488">
        <v>0</v>
      </c>
      <c r="K237" s="488">
        <v>0</v>
      </c>
      <c r="L237" s="488">
        <v>0</v>
      </c>
      <c r="M237" s="56">
        <v>4381</v>
      </c>
      <c r="N237" s="56">
        <v>4461</v>
      </c>
      <c r="O237" s="56">
        <v>4440</v>
      </c>
      <c r="Q237" s="486" t="s">
        <v>4614</v>
      </c>
    </row>
    <row r="238" spans="1:17">
      <c r="A238" s="486" t="s">
        <v>4432</v>
      </c>
      <c r="B238" s="136" t="s">
        <v>12412</v>
      </c>
      <c r="C238" s="55" t="s">
        <v>14338</v>
      </c>
      <c r="D238" s="488">
        <v>0</v>
      </c>
      <c r="E238" s="488">
        <v>0</v>
      </c>
      <c r="F238" s="488">
        <v>0</v>
      </c>
      <c r="G238" s="488">
        <v>0</v>
      </c>
      <c r="H238" s="488">
        <v>0</v>
      </c>
      <c r="I238" s="488">
        <v>0</v>
      </c>
      <c r="J238" s="488">
        <v>0</v>
      </c>
      <c r="K238" s="488">
        <v>0</v>
      </c>
      <c r="L238" s="488">
        <v>0</v>
      </c>
      <c r="M238" s="56">
        <v>2273</v>
      </c>
      <c r="N238" s="56">
        <v>2285</v>
      </c>
      <c r="O238" s="56">
        <v>2266</v>
      </c>
      <c r="Q238" s="486" t="s">
        <v>1740</v>
      </c>
    </row>
    <row r="239" spans="1:17">
      <c r="A239" s="486" t="s">
        <v>4434</v>
      </c>
      <c r="B239" s="136" t="s">
        <v>12413</v>
      </c>
      <c r="C239" s="55" t="s">
        <v>14339</v>
      </c>
      <c r="D239" s="488">
        <v>0</v>
      </c>
      <c r="E239" s="488">
        <v>0</v>
      </c>
      <c r="F239" s="488">
        <v>0</v>
      </c>
      <c r="G239" s="488">
        <v>0</v>
      </c>
      <c r="H239" s="488">
        <v>0</v>
      </c>
      <c r="I239" s="488">
        <v>0</v>
      </c>
      <c r="J239" s="488">
        <v>0</v>
      </c>
      <c r="K239" s="488">
        <v>0</v>
      </c>
      <c r="L239" s="488">
        <v>0</v>
      </c>
      <c r="M239" s="56">
        <v>503</v>
      </c>
      <c r="N239" s="56">
        <v>541</v>
      </c>
      <c r="O239" s="56">
        <v>538</v>
      </c>
      <c r="Q239" s="486" t="s">
        <v>1740</v>
      </c>
    </row>
    <row r="240" spans="1:17" ht="15.75" thickBot="1">
      <c r="C240" s="55" t="s">
        <v>14339</v>
      </c>
      <c r="D240" s="488">
        <v>0</v>
      </c>
      <c r="E240" s="488">
        <v>0</v>
      </c>
      <c r="F240" s="488">
        <v>0</v>
      </c>
      <c r="G240" s="488">
        <v>0</v>
      </c>
      <c r="H240" s="488">
        <v>0</v>
      </c>
      <c r="I240" s="488">
        <v>0</v>
      </c>
      <c r="J240" s="488">
        <v>0</v>
      </c>
      <c r="K240" s="488">
        <v>0</v>
      </c>
      <c r="L240" s="488">
        <v>0</v>
      </c>
      <c r="M240" s="56">
        <v>1363</v>
      </c>
      <c r="N240" s="56">
        <v>1415</v>
      </c>
      <c r="O240" s="56">
        <v>1410</v>
      </c>
      <c r="Q240" s="486" t="s">
        <v>4614</v>
      </c>
    </row>
    <row r="241" spans="1:17" ht="15.75" thickBot="1">
      <c r="C241" s="55" t="s">
        <v>14339</v>
      </c>
      <c r="D241" s="495">
        <f t="shared" ref="D241:N241" si="88">D239+D240</f>
        <v>0</v>
      </c>
      <c r="E241" s="495">
        <f t="shared" si="88"/>
        <v>0</v>
      </c>
      <c r="F241" s="495">
        <f t="shared" si="88"/>
        <v>0</v>
      </c>
      <c r="G241" s="495">
        <f t="shared" si="88"/>
        <v>0</v>
      </c>
      <c r="H241" s="495">
        <f t="shared" si="88"/>
        <v>0</v>
      </c>
      <c r="I241" s="495">
        <f t="shared" si="88"/>
        <v>0</v>
      </c>
      <c r="J241" s="495">
        <f t="shared" si="88"/>
        <v>0</v>
      </c>
      <c r="K241" s="495">
        <f t="shared" si="88"/>
        <v>0</v>
      </c>
      <c r="L241" s="495">
        <f t="shared" si="88"/>
        <v>0</v>
      </c>
      <c r="M241" s="495">
        <f t="shared" si="88"/>
        <v>1866</v>
      </c>
      <c r="N241" s="495">
        <f t="shared" si="88"/>
        <v>1956</v>
      </c>
      <c r="O241" s="495">
        <f>O239+O240</f>
        <v>1948</v>
      </c>
      <c r="Q241" s="486"/>
    </row>
    <row r="242" spans="1:17">
      <c r="A242" s="486" t="s">
        <v>4533</v>
      </c>
      <c r="B242" s="136" t="s">
        <v>3255</v>
      </c>
      <c r="C242" s="55" t="s">
        <v>14340</v>
      </c>
      <c r="D242" s="488">
        <v>0</v>
      </c>
      <c r="E242" s="488">
        <v>0</v>
      </c>
      <c r="F242" s="488">
        <v>0</v>
      </c>
      <c r="G242" s="488">
        <v>0</v>
      </c>
      <c r="H242" s="488">
        <v>0</v>
      </c>
      <c r="I242" s="488">
        <v>0</v>
      </c>
      <c r="J242" s="488">
        <v>0</v>
      </c>
      <c r="K242" s="488">
        <v>0</v>
      </c>
      <c r="L242" s="488">
        <v>0</v>
      </c>
      <c r="M242" s="56">
        <v>2201</v>
      </c>
      <c r="N242" s="56">
        <v>2226</v>
      </c>
      <c r="O242" s="56">
        <v>2215</v>
      </c>
      <c r="Q242" s="486" t="s">
        <v>4614</v>
      </c>
    </row>
    <row r="243" spans="1:17">
      <c r="A243" s="486" t="s">
        <v>4535</v>
      </c>
      <c r="B243" s="136" t="s">
        <v>3256</v>
      </c>
      <c r="C243" s="55" t="s">
        <v>14341</v>
      </c>
      <c r="D243" s="488">
        <v>0</v>
      </c>
      <c r="E243" s="488">
        <v>0</v>
      </c>
      <c r="F243" s="488">
        <v>0</v>
      </c>
      <c r="G243" s="488">
        <v>0</v>
      </c>
      <c r="H243" s="488">
        <v>0</v>
      </c>
      <c r="I243" s="488">
        <v>0</v>
      </c>
      <c r="J243" s="488">
        <v>0</v>
      </c>
      <c r="K243" s="488">
        <v>0</v>
      </c>
      <c r="L243" s="488">
        <v>0</v>
      </c>
      <c r="M243" s="56">
        <v>2054</v>
      </c>
      <c r="N243" s="56">
        <v>2147</v>
      </c>
      <c r="O243" s="56">
        <v>2142</v>
      </c>
      <c r="Q243" s="486" t="s">
        <v>1740</v>
      </c>
    </row>
    <row r="244" spans="1:17">
      <c r="A244" s="486" t="s">
        <v>4537</v>
      </c>
      <c r="B244" s="136" t="s">
        <v>12421</v>
      </c>
      <c r="C244" s="55" t="s">
        <v>14342</v>
      </c>
      <c r="D244" s="488">
        <v>0</v>
      </c>
      <c r="E244" s="488">
        <v>0</v>
      </c>
      <c r="F244" s="488">
        <v>0</v>
      </c>
      <c r="G244" s="488">
        <v>0</v>
      </c>
      <c r="H244" s="488">
        <v>0</v>
      </c>
      <c r="I244" s="488">
        <v>0</v>
      </c>
      <c r="J244" s="488">
        <v>0</v>
      </c>
      <c r="K244" s="488">
        <v>0</v>
      </c>
      <c r="L244" s="488">
        <v>0</v>
      </c>
      <c r="M244" s="56">
        <v>2184</v>
      </c>
      <c r="N244" s="56">
        <v>2190</v>
      </c>
      <c r="O244" s="56">
        <v>2185</v>
      </c>
      <c r="Q244" s="486" t="s">
        <v>4614</v>
      </c>
    </row>
    <row r="245" spans="1:17">
      <c r="A245" s="486" t="s">
        <v>4539</v>
      </c>
      <c r="B245" s="136" t="s">
        <v>3257</v>
      </c>
      <c r="C245" s="55" t="s">
        <v>14343</v>
      </c>
      <c r="D245" s="488">
        <v>0</v>
      </c>
      <c r="E245" s="488">
        <v>0</v>
      </c>
      <c r="F245" s="488">
        <v>0</v>
      </c>
      <c r="G245" s="488">
        <v>0</v>
      </c>
      <c r="H245" s="488">
        <v>0</v>
      </c>
      <c r="I245" s="488">
        <v>0</v>
      </c>
      <c r="J245" s="488">
        <v>0</v>
      </c>
      <c r="K245" s="488">
        <v>0</v>
      </c>
      <c r="L245" s="488">
        <v>0</v>
      </c>
      <c r="M245" s="56">
        <v>2036</v>
      </c>
      <c r="N245" s="56">
        <v>2060</v>
      </c>
      <c r="O245" s="56">
        <v>2048</v>
      </c>
      <c r="Q245" s="486" t="s">
        <v>1740</v>
      </c>
    </row>
    <row r="246" spans="1:17">
      <c r="A246" s="486" t="s">
        <v>6158</v>
      </c>
      <c r="B246" s="136" t="s">
        <v>12422</v>
      </c>
      <c r="C246" s="55" t="s">
        <v>14344</v>
      </c>
      <c r="D246" s="488">
        <v>0</v>
      </c>
      <c r="E246" s="488">
        <v>0</v>
      </c>
      <c r="F246" s="488">
        <v>0</v>
      </c>
      <c r="G246" s="488">
        <v>0</v>
      </c>
      <c r="H246" s="488">
        <v>0</v>
      </c>
      <c r="I246" s="488">
        <v>0</v>
      </c>
      <c r="J246" s="488">
        <v>0</v>
      </c>
      <c r="K246" s="488">
        <v>0</v>
      </c>
      <c r="L246" s="488">
        <v>0</v>
      </c>
      <c r="M246" s="56">
        <v>1957</v>
      </c>
      <c r="N246" s="56">
        <v>1997</v>
      </c>
      <c r="O246" s="56">
        <v>1976</v>
      </c>
      <c r="Q246" s="486" t="s">
        <v>4614</v>
      </c>
    </row>
    <row r="247" spans="1:17">
      <c r="A247" s="486" t="s">
        <v>6159</v>
      </c>
      <c r="B247" s="136" t="s">
        <v>3259</v>
      </c>
      <c r="C247" s="55" t="s">
        <v>14345</v>
      </c>
      <c r="D247" s="488">
        <v>0</v>
      </c>
      <c r="E247" s="488">
        <v>0</v>
      </c>
      <c r="F247" s="488">
        <v>0</v>
      </c>
      <c r="G247" s="488">
        <v>0</v>
      </c>
      <c r="H247" s="488">
        <v>0</v>
      </c>
      <c r="I247" s="488">
        <v>0</v>
      </c>
      <c r="J247" s="488">
        <v>0</v>
      </c>
      <c r="K247" s="488">
        <v>0</v>
      </c>
      <c r="L247" s="488">
        <v>0</v>
      </c>
      <c r="M247" s="56">
        <v>2095</v>
      </c>
      <c r="N247" s="56">
        <v>2137</v>
      </c>
      <c r="O247" s="56">
        <v>2136</v>
      </c>
      <c r="Q247" s="486" t="s">
        <v>4614</v>
      </c>
    </row>
    <row r="248" spans="1:17">
      <c r="D248" s="489"/>
      <c r="E248" s="489"/>
      <c r="F248" s="489"/>
      <c r="G248" s="489"/>
      <c r="H248" s="489"/>
      <c r="I248" s="489"/>
      <c r="J248" s="489"/>
      <c r="K248" s="489"/>
      <c r="L248" s="489"/>
      <c r="M248" s="489"/>
      <c r="N248" s="489"/>
      <c r="O248" s="489"/>
    </row>
    <row r="249" spans="1:17">
      <c r="A249" s="136" t="s">
        <v>4663</v>
      </c>
      <c r="D249" s="489">
        <f t="shared" ref="D249:L249" si="89">SUM(D223:D224,D230,D238:D239,D243,D245)</f>
        <v>13389</v>
      </c>
      <c r="E249" s="489">
        <f t="shared" si="89"/>
        <v>13390</v>
      </c>
      <c r="F249" s="489">
        <f t="shared" si="89"/>
        <v>13358</v>
      </c>
      <c r="G249" s="489">
        <f t="shared" si="89"/>
        <v>13450</v>
      </c>
      <c r="H249" s="489">
        <f t="shared" si="89"/>
        <v>13397</v>
      </c>
      <c r="I249" s="489">
        <f t="shared" si="89"/>
        <v>13275</v>
      </c>
      <c r="J249" s="489">
        <f t="shared" si="89"/>
        <v>13282</v>
      </c>
      <c r="K249" s="489">
        <f t="shared" si="89"/>
        <v>13304</v>
      </c>
      <c r="L249" s="489">
        <f t="shared" si="89"/>
        <v>13479</v>
      </c>
      <c r="M249" s="489">
        <f>SUM(M223:M224,M230,M238:M239,M243,M245)</f>
        <v>13406</v>
      </c>
      <c r="N249" s="489">
        <f>SUM(N223:N224,N230,N238:N239,N243,N245)</f>
        <v>13690</v>
      </c>
      <c r="O249" s="489">
        <f>SUM(O223:O224,O230,O238:O239,O243,O245)</f>
        <v>13630</v>
      </c>
    </row>
    <row r="250" spans="1:17">
      <c r="A250" s="486" t="s">
        <v>4614</v>
      </c>
      <c r="D250" s="488">
        <f t="shared" ref="D250:M250" si="90">SUM(D212:D222,D225:D229,D231,D233:D237,D240,D242,D244,D246:D247)</f>
        <v>67977</v>
      </c>
      <c r="E250" s="488">
        <f t="shared" si="90"/>
        <v>68277</v>
      </c>
      <c r="F250" s="488">
        <f t="shared" si="90"/>
        <v>68409</v>
      </c>
      <c r="G250" s="488">
        <f t="shared" si="90"/>
        <v>69005</v>
      </c>
      <c r="H250" s="488">
        <f t="shared" si="90"/>
        <v>68707</v>
      </c>
      <c r="I250" s="488">
        <f t="shared" si="90"/>
        <v>68195</v>
      </c>
      <c r="J250" s="488">
        <f t="shared" si="90"/>
        <v>67640</v>
      </c>
      <c r="K250" s="488">
        <f t="shared" si="90"/>
        <v>68223</v>
      </c>
      <c r="L250" s="488">
        <f t="shared" si="90"/>
        <v>68976</v>
      </c>
      <c r="M250" s="488">
        <f t="shared" si="90"/>
        <v>68440</v>
      </c>
      <c r="N250" s="488">
        <f>SUM(N212:N222,N225:N229,N231,N233:N237,N240,N242,N244,N246:N247)</f>
        <v>69945</v>
      </c>
      <c r="O250" s="488">
        <f>SUM(O212:O222,O225:O229,O231,O233:O237,O240,O242,O244,O246:O247)</f>
        <v>69654</v>
      </c>
    </row>
    <row r="251" spans="1:17">
      <c r="A251" s="486"/>
      <c r="D251" s="488"/>
      <c r="E251" s="488"/>
      <c r="F251" s="488"/>
      <c r="G251" s="488"/>
      <c r="H251" s="488"/>
      <c r="I251" s="488"/>
      <c r="J251" s="488"/>
      <c r="K251" s="488"/>
      <c r="L251" s="488"/>
    </row>
    <row r="252" spans="1:17">
      <c r="A252" s="486" t="s">
        <v>14346</v>
      </c>
      <c r="D252" s="488"/>
      <c r="E252" s="488"/>
      <c r="F252" s="488"/>
      <c r="G252" s="488"/>
      <c r="H252" s="488"/>
      <c r="I252" s="488"/>
      <c r="J252" s="488"/>
      <c r="K252" s="488"/>
      <c r="L252" s="488"/>
    </row>
    <row r="253" spans="1:17">
      <c r="A253" s="486"/>
      <c r="B253" s="486"/>
      <c r="D253" s="496"/>
      <c r="E253" s="496"/>
      <c r="F253" s="496"/>
      <c r="G253" s="496"/>
      <c r="H253" s="496"/>
      <c r="I253" s="496"/>
      <c r="J253" s="496"/>
      <c r="K253" s="496"/>
      <c r="L253" s="496"/>
    </row>
    <row r="254" spans="1:17">
      <c r="A254" s="486"/>
      <c r="B254" s="486"/>
    </row>
    <row r="255" spans="1:17">
      <c r="A255" s="486"/>
      <c r="B255" s="486"/>
    </row>
    <row r="256" spans="1:17">
      <c r="E256" s="51" t="s">
        <v>1526</v>
      </c>
      <c r="F256" s="51"/>
      <c r="G256" s="51"/>
      <c r="H256" s="51"/>
      <c r="I256" s="51"/>
      <c r="J256" s="51"/>
      <c r="K256" s="51"/>
      <c r="L256" s="51"/>
      <c r="M256" s="11"/>
      <c r="N256" s="11"/>
      <c r="O256" s="11"/>
      <c r="P256" s="11"/>
      <c r="Q256" s="11" t="s">
        <v>9479</v>
      </c>
    </row>
    <row r="257" spans="1:17">
      <c r="D257" s="487">
        <v>2010</v>
      </c>
      <c r="E257" s="487">
        <v>2011</v>
      </c>
      <c r="F257" s="487">
        <v>2012</v>
      </c>
      <c r="G257" s="487">
        <v>2013</v>
      </c>
      <c r="H257" s="487">
        <v>2014</v>
      </c>
      <c r="I257" s="487">
        <v>2015</v>
      </c>
      <c r="J257" s="487">
        <v>2016</v>
      </c>
      <c r="K257" s="487">
        <v>2017</v>
      </c>
      <c r="L257" s="487">
        <v>2018</v>
      </c>
      <c r="M257" s="487">
        <v>2019</v>
      </c>
      <c r="N257" s="487">
        <v>2020</v>
      </c>
      <c r="O257" s="953" t="s">
        <v>14823</v>
      </c>
      <c r="Q257" s="13" t="s">
        <v>1527</v>
      </c>
    </row>
    <row r="258" spans="1:17">
      <c r="A258" s="486" t="s">
        <v>3260</v>
      </c>
      <c r="D258" s="488">
        <f t="shared" ref="D258:I258" si="91">SUM(D259:D273)</f>
        <v>97431</v>
      </c>
      <c r="E258" s="488">
        <f t="shared" si="91"/>
        <v>98569</v>
      </c>
      <c r="F258" s="488">
        <f t="shared" si="91"/>
        <v>98771</v>
      </c>
      <c r="G258" s="488">
        <f t="shared" si="91"/>
        <v>97924</v>
      </c>
      <c r="H258" s="488">
        <f t="shared" si="91"/>
        <v>98595</v>
      </c>
      <c r="I258" s="488">
        <f t="shared" si="91"/>
        <v>93985</v>
      </c>
      <c r="J258" s="488">
        <f>SUM(J259:J273)</f>
        <v>93077</v>
      </c>
      <c r="K258" s="488">
        <f>SUM(K259:K273)</f>
        <v>93894</v>
      </c>
      <c r="L258" s="488">
        <f>SUM(L259:L273)</f>
        <v>96154</v>
      </c>
      <c r="M258" s="488">
        <f>SUM(M259:M273)</f>
        <v>92961</v>
      </c>
      <c r="N258" s="488">
        <f>SUM(N259:N262,N264:N273)</f>
        <v>103871</v>
      </c>
      <c r="O258" s="488">
        <f>SUM(O259:O262,O264:O273)</f>
        <v>97557</v>
      </c>
    </row>
    <row r="259" spans="1:17">
      <c r="A259" s="486" t="s">
        <v>5387</v>
      </c>
      <c r="B259" s="486" t="s">
        <v>3261</v>
      </c>
      <c r="C259" s="55" t="s">
        <v>12758</v>
      </c>
      <c r="D259" s="488">
        <v>68262</v>
      </c>
      <c r="E259" s="488">
        <v>69304</v>
      </c>
      <c r="F259" s="488">
        <v>69482</v>
      </c>
      <c r="G259" s="488">
        <v>68465</v>
      </c>
      <c r="H259" s="488">
        <v>69045</v>
      </c>
      <c r="I259" s="488">
        <v>65488</v>
      </c>
      <c r="J259" s="488">
        <v>64837</v>
      </c>
      <c r="K259" s="488">
        <v>65060</v>
      </c>
      <c r="L259" s="488">
        <v>67063</v>
      </c>
      <c r="M259" s="488">
        <v>64472</v>
      </c>
      <c r="N259" s="63">
        <v>6886</v>
      </c>
      <c r="O259" s="63">
        <v>6463</v>
      </c>
      <c r="Q259" s="486" t="s">
        <v>4619</v>
      </c>
    </row>
    <row r="260" spans="1:17">
      <c r="A260" s="486" t="s">
        <v>5389</v>
      </c>
      <c r="B260" s="486" t="s">
        <v>3262</v>
      </c>
      <c r="C260" s="55" t="s">
        <v>12759</v>
      </c>
      <c r="D260" s="488">
        <v>29169</v>
      </c>
      <c r="E260" s="488">
        <v>29265</v>
      </c>
      <c r="F260" s="488">
        <v>29289</v>
      </c>
      <c r="G260" s="488">
        <v>29459</v>
      </c>
      <c r="H260" s="488">
        <v>29550</v>
      </c>
      <c r="I260" s="488">
        <v>28497</v>
      </c>
      <c r="J260" s="488">
        <v>28240</v>
      </c>
      <c r="K260" s="488">
        <v>28834</v>
      </c>
      <c r="L260" s="488">
        <v>29091</v>
      </c>
      <c r="M260" s="488">
        <v>28489</v>
      </c>
      <c r="N260" s="63">
        <v>7493</v>
      </c>
      <c r="O260" s="63">
        <v>7177</v>
      </c>
      <c r="Q260" s="486" t="s">
        <v>4617</v>
      </c>
    </row>
    <row r="261" spans="1:17">
      <c r="A261" s="486" t="s">
        <v>5391</v>
      </c>
      <c r="B261" s="486" t="s">
        <v>3263</v>
      </c>
      <c r="C261" s="55" t="s">
        <v>12760</v>
      </c>
      <c r="D261" s="488">
        <v>0</v>
      </c>
      <c r="E261" s="488">
        <v>0</v>
      </c>
      <c r="F261" s="488">
        <v>0</v>
      </c>
      <c r="G261" s="488">
        <v>0</v>
      </c>
      <c r="H261" s="488">
        <v>0</v>
      </c>
      <c r="I261" s="488">
        <v>0</v>
      </c>
      <c r="J261" s="488">
        <v>0</v>
      </c>
      <c r="K261" s="488">
        <v>0</v>
      </c>
      <c r="L261" s="488">
        <v>0</v>
      </c>
      <c r="M261" s="488">
        <v>0</v>
      </c>
      <c r="N261" s="63">
        <v>7117</v>
      </c>
      <c r="O261" s="63">
        <v>6879</v>
      </c>
      <c r="Q261" s="486" t="s">
        <v>4617</v>
      </c>
    </row>
    <row r="262" spans="1:17" ht="15.75" thickBot="1">
      <c r="A262" s="486"/>
      <c r="B262" s="486"/>
      <c r="C262" s="55" t="s">
        <v>12760</v>
      </c>
      <c r="D262" s="488">
        <v>0</v>
      </c>
      <c r="E262" s="488">
        <v>0</v>
      </c>
      <c r="F262" s="488">
        <v>0</v>
      </c>
      <c r="G262" s="488">
        <v>0</v>
      </c>
      <c r="H262" s="488">
        <v>0</v>
      </c>
      <c r="I262" s="488">
        <v>0</v>
      </c>
      <c r="J262" s="488">
        <v>0</v>
      </c>
      <c r="K262" s="488">
        <v>0</v>
      </c>
      <c r="L262" s="488">
        <v>0</v>
      </c>
      <c r="M262" s="58">
        <v>0</v>
      </c>
      <c r="N262" s="58">
        <v>1045</v>
      </c>
      <c r="O262" s="58">
        <v>972</v>
      </c>
      <c r="Q262" s="486" t="s">
        <v>4619</v>
      </c>
    </row>
    <row r="263" spans="1:17" ht="15.75" thickBot="1">
      <c r="A263" s="486"/>
      <c r="B263" s="486"/>
      <c r="C263" s="55" t="s">
        <v>12760</v>
      </c>
      <c r="D263" s="495">
        <f t="shared" ref="D263:N263" si="92">D261+D262</f>
        <v>0</v>
      </c>
      <c r="E263" s="495">
        <f t="shared" si="92"/>
        <v>0</v>
      </c>
      <c r="F263" s="495">
        <f t="shared" si="92"/>
        <v>0</v>
      </c>
      <c r="G263" s="495">
        <f t="shared" si="92"/>
        <v>0</v>
      </c>
      <c r="H263" s="495">
        <f t="shared" si="92"/>
        <v>0</v>
      </c>
      <c r="I263" s="495">
        <f t="shared" si="92"/>
        <v>0</v>
      </c>
      <c r="J263" s="495">
        <f t="shared" si="92"/>
        <v>0</v>
      </c>
      <c r="K263" s="495">
        <f t="shared" si="92"/>
        <v>0</v>
      </c>
      <c r="L263" s="495">
        <f t="shared" si="92"/>
        <v>0</v>
      </c>
      <c r="M263" s="495">
        <f t="shared" si="92"/>
        <v>0</v>
      </c>
      <c r="N263" s="495">
        <f t="shared" si="92"/>
        <v>8162</v>
      </c>
      <c r="O263" s="495">
        <f>O261+O262</f>
        <v>7851</v>
      </c>
      <c r="Q263" s="486"/>
    </row>
    <row r="264" spans="1:17">
      <c r="A264" s="486" t="s">
        <v>5393</v>
      </c>
      <c r="B264" s="486" t="s">
        <v>3264</v>
      </c>
      <c r="C264" s="55" t="s">
        <v>12761</v>
      </c>
      <c r="D264" s="488">
        <v>0</v>
      </c>
      <c r="E264" s="488">
        <v>0</v>
      </c>
      <c r="F264" s="488">
        <v>0</v>
      </c>
      <c r="G264" s="488">
        <v>0</v>
      </c>
      <c r="H264" s="488">
        <v>0</v>
      </c>
      <c r="I264" s="488">
        <v>0</v>
      </c>
      <c r="J264" s="488">
        <v>0</v>
      </c>
      <c r="K264" s="488">
        <v>0</v>
      </c>
      <c r="L264" s="488">
        <v>0</v>
      </c>
      <c r="M264" s="488">
        <v>0</v>
      </c>
      <c r="N264" s="63">
        <v>8004</v>
      </c>
      <c r="O264" s="63">
        <v>7715</v>
      </c>
      <c r="Q264" s="486" t="s">
        <v>4619</v>
      </c>
    </row>
    <row r="265" spans="1:17">
      <c r="A265" s="486" t="s">
        <v>5394</v>
      </c>
      <c r="B265" s="486" t="s">
        <v>3265</v>
      </c>
      <c r="C265" s="55" t="s">
        <v>12762</v>
      </c>
      <c r="D265" s="488">
        <v>0</v>
      </c>
      <c r="E265" s="488">
        <v>0</v>
      </c>
      <c r="F265" s="488">
        <v>0</v>
      </c>
      <c r="G265" s="488">
        <v>0</v>
      </c>
      <c r="H265" s="488">
        <v>0</v>
      </c>
      <c r="I265" s="488">
        <v>0</v>
      </c>
      <c r="J265" s="488">
        <v>0</v>
      </c>
      <c r="K265" s="488">
        <v>0</v>
      </c>
      <c r="L265" s="488">
        <v>0</v>
      </c>
      <c r="M265" s="488">
        <v>0</v>
      </c>
      <c r="N265" s="63">
        <v>7707</v>
      </c>
      <c r="O265" s="63">
        <v>7379</v>
      </c>
      <c r="Q265" s="486" t="s">
        <v>4619</v>
      </c>
    </row>
    <row r="266" spans="1:17">
      <c r="A266" s="486" t="s">
        <v>5416</v>
      </c>
      <c r="B266" s="486" t="s">
        <v>3266</v>
      </c>
      <c r="C266" s="55" t="s">
        <v>12763</v>
      </c>
      <c r="D266" s="488">
        <v>0</v>
      </c>
      <c r="E266" s="488">
        <v>0</v>
      </c>
      <c r="F266" s="488">
        <v>0</v>
      </c>
      <c r="G266" s="488">
        <v>0</v>
      </c>
      <c r="H266" s="488">
        <v>0</v>
      </c>
      <c r="I266" s="488">
        <v>0</v>
      </c>
      <c r="J266" s="488">
        <v>0</v>
      </c>
      <c r="K266" s="488">
        <v>0</v>
      </c>
      <c r="L266" s="488">
        <v>0</v>
      </c>
      <c r="M266" s="488">
        <v>0</v>
      </c>
      <c r="N266" s="63">
        <v>7437</v>
      </c>
      <c r="O266" s="63">
        <v>6907</v>
      </c>
      <c r="Q266" s="486" t="s">
        <v>4619</v>
      </c>
    </row>
    <row r="267" spans="1:17">
      <c r="A267" s="486" t="s">
        <v>5418</v>
      </c>
      <c r="B267" s="486" t="s">
        <v>3267</v>
      </c>
      <c r="C267" s="55" t="s">
        <v>12764</v>
      </c>
      <c r="D267" s="488">
        <v>0</v>
      </c>
      <c r="E267" s="488">
        <v>0</v>
      </c>
      <c r="F267" s="488">
        <v>0</v>
      </c>
      <c r="G267" s="488">
        <v>0</v>
      </c>
      <c r="H267" s="488">
        <v>0</v>
      </c>
      <c r="I267" s="488">
        <v>0</v>
      </c>
      <c r="J267" s="488">
        <v>0</v>
      </c>
      <c r="K267" s="488">
        <v>0</v>
      </c>
      <c r="L267" s="488">
        <v>0</v>
      </c>
      <c r="M267" s="488">
        <v>0</v>
      </c>
      <c r="N267" s="63">
        <v>7366</v>
      </c>
      <c r="O267" s="63">
        <v>7034</v>
      </c>
      <c r="Q267" s="486" t="s">
        <v>4617</v>
      </c>
    </row>
    <row r="268" spans="1:17">
      <c r="A268" s="486" t="s">
        <v>5420</v>
      </c>
      <c r="B268" s="486" t="s">
        <v>4632</v>
      </c>
      <c r="C268" s="55" t="s">
        <v>12765</v>
      </c>
      <c r="D268" s="488">
        <v>0</v>
      </c>
      <c r="E268" s="488">
        <v>0</v>
      </c>
      <c r="F268" s="488">
        <v>0</v>
      </c>
      <c r="G268" s="488">
        <v>0</v>
      </c>
      <c r="H268" s="488">
        <v>0</v>
      </c>
      <c r="I268" s="488">
        <v>0</v>
      </c>
      <c r="J268" s="488">
        <v>0</v>
      </c>
      <c r="K268" s="488">
        <v>0</v>
      </c>
      <c r="L268" s="488">
        <v>0</v>
      </c>
      <c r="M268" s="488">
        <v>0</v>
      </c>
      <c r="N268" s="63">
        <v>8777</v>
      </c>
      <c r="O268" s="63">
        <v>8115</v>
      </c>
      <c r="Q268" s="486" t="s">
        <v>4619</v>
      </c>
    </row>
    <row r="269" spans="1:17">
      <c r="A269" s="486" t="s">
        <v>5422</v>
      </c>
      <c r="B269" s="486" t="s">
        <v>3268</v>
      </c>
      <c r="C269" s="55" t="s">
        <v>12766</v>
      </c>
      <c r="D269" s="488">
        <v>0</v>
      </c>
      <c r="E269" s="488">
        <v>0</v>
      </c>
      <c r="F269" s="488">
        <v>0</v>
      </c>
      <c r="G269" s="488">
        <v>0</v>
      </c>
      <c r="H269" s="488">
        <v>0</v>
      </c>
      <c r="I269" s="488">
        <v>0</v>
      </c>
      <c r="J269" s="488">
        <v>0</v>
      </c>
      <c r="K269" s="488">
        <v>0</v>
      </c>
      <c r="L269" s="488">
        <v>0</v>
      </c>
      <c r="M269" s="488">
        <v>0</v>
      </c>
      <c r="N269" s="63">
        <v>7579</v>
      </c>
      <c r="O269" s="63">
        <v>7216</v>
      </c>
      <c r="Q269" s="486" t="s">
        <v>4617</v>
      </c>
    </row>
    <row r="270" spans="1:17">
      <c r="A270" s="486" t="s">
        <v>5424</v>
      </c>
      <c r="B270" s="486" t="s">
        <v>3269</v>
      </c>
      <c r="C270" s="55" t="s">
        <v>12767</v>
      </c>
      <c r="D270" s="488">
        <v>0</v>
      </c>
      <c r="E270" s="488">
        <v>0</v>
      </c>
      <c r="F270" s="488">
        <v>0</v>
      </c>
      <c r="G270" s="488">
        <v>0</v>
      </c>
      <c r="H270" s="488">
        <v>0</v>
      </c>
      <c r="I270" s="488">
        <v>0</v>
      </c>
      <c r="J270" s="488">
        <v>0</v>
      </c>
      <c r="K270" s="488">
        <v>0</v>
      </c>
      <c r="L270" s="488">
        <v>0</v>
      </c>
      <c r="M270" s="488">
        <v>0</v>
      </c>
      <c r="N270" s="63">
        <v>7205</v>
      </c>
      <c r="O270" s="63">
        <v>6820</v>
      </c>
      <c r="Q270" s="486" t="s">
        <v>4619</v>
      </c>
    </row>
    <row r="271" spans="1:17">
      <c r="A271" s="486" t="s">
        <v>5426</v>
      </c>
      <c r="B271" s="486" t="s">
        <v>3270</v>
      </c>
      <c r="C271" s="55" t="s">
        <v>12768</v>
      </c>
      <c r="D271" s="488">
        <v>0</v>
      </c>
      <c r="E271" s="488">
        <v>0</v>
      </c>
      <c r="F271" s="488">
        <v>0</v>
      </c>
      <c r="G271" s="488">
        <v>0</v>
      </c>
      <c r="H271" s="488">
        <v>0</v>
      </c>
      <c r="I271" s="488">
        <v>0</v>
      </c>
      <c r="J271" s="488">
        <v>0</v>
      </c>
      <c r="K271" s="488">
        <v>0</v>
      </c>
      <c r="L271" s="488">
        <v>0</v>
      </c>
      <c r="M271" s="488">
        <v>0</v>
      </c>
      <c r="N271" s="63">
        <v>8266</v>
      </c>
      <c r="O271" s="63">
        <v>7810</v>
      </c>
      <c r="Q271" s="486" t="s">
        <v>4619</v>
      </c>
    </row>
    <row r="272" spans="1:17">
      <c r="A272" s="486" t="s">
        <v>5428</v>
      </c>
      <c r="B272" s="486" t="s">
        <v>1878</v>
      </c>
      <c r="C272" s="55" t="s">
        <v>12769</v>
      </c>
      <c r="D272" s="488">
        <v>0</v>
      </c>
      <c r="E272" s="488">
        <v>0</v>
      </c>
      <c r="F272" s="488">
        <v>0</v>
      </c>
      <c r="G272" s="488">
        <v>0</v>
      </c>
      <c r="H272" s="488">
        <v>0</v>
      </c>
      <c r="I272" s="488">
        <v>0</v>
      </c>
      <c r="J272" s="488">
        <v>0</v>
      </c>
      <c r="K272" s="488">
        <v>0</v>
      </c>
      <c r="L272" s="488">
        <v>0</v>
      </c>
      <c r="M272" s="488">
        <v>0</v>
      </c>
      <c r="N272" s="63">
        <v>10558</v>
      </c>
      <c r="O272" s="63">
        <v>9108</v>
      </c>
      <c r="Q272" s="486" t="s">
        <v>4619</v>
      </c>
    </row>
    <row r="273" spans="1:17">
      <c r="A273" s="486" t="s">
        <v>5429</v>
      </c>
      <c r="B273" s="486" t="s">
        <v>3258</v>
      </c>
      <c r="C273" s="55" t="s">
        <v>12770</v>
      </c>
      <c r="D273" s="488">
        <v>0</v>
      </c>
      <c r="E273" s="488">
        <v>0</v>
      </c>
      <c r="F273" s="488">
        <v>0</v>
      </c>
      <c r="G273" s="488">
        <v>0</v>
      </c>
      <c r="H273" s="488">
        <v>0</v>
      </c>
      <c r="I273" s="488">
        <v>0</v>
      </c>
      <c r="J273" s="488">
        <v>0</v>
      </c>
      <c r="K273" s="488">
        <v>0</v>
      </c>
      <c r="L273" s="488">
        <v>0</v>
      </c>
      <c r="M273" s="488">
        <v>0</v>
      </c>
      <c r="N273" s="63">
        <v>8431</v>
      </c>
      <c r="O273" s="63">
        <v>7962</v>
      </c>
      <c r="Q273" s="486" t="s">
        <v>4619</v>
      </c>
    </row>
    <row r="274" spans="1:17">
      <c r="D274" s="489"/>
      <c r="E274" s="489"/>
      <c r="F274" s="489"/>
      <c r="G274" s="489"/>
      <c r="H274" s="489"/>
      <c r="I274" s="489"/>
      <c r="J274" s="489"/>
      <c r="K274" s="489"/>
      <c r="L274" s="489"/>
      <c r="M274" s="489"/>
      <c r="N274" s="489"/>
      <c r="O274" s="489"/>
    </row>
    <row r="275" spans="1:17">
      <c r="A275" s="486" t="s">
        <v>4664</v>
      </c>
      <c r="D275" s="488">
        <f t="shared" ref="D275:M275" si="93">D260+D261+D267+D269</f>
        <v>29169</v>
      </c>
      <c r="E275" s="488">
        <f t="shared" si="93"/>
        <v>29265</v>
      </c>
      <c r="F275" s="488">
        <f t="shared" si="93"/>
        <v>29289</v>
      </c>
      <c r="G275" s="488">
        <f t="shared" si="93"/>
        <v>29459</v>
      </c>
      <c r="H275" s="488">
        <f t="shared" si="93"/>
        <v>29550</v>
      </c>
      <c r="I275" s="488">
        <f t="shared" si="93"/>
        <v>28497</v>
      </c>
      <c r="J275" s="488">
        <f t="shared" si="93"/>
        <v>28240</v>
      </c>
      <c r="K275" s="488">
        <f t="shared" si="93"/>
        <v>28834</v>
      </c>
      <c r="L275" s="488">
        <f t="shared" si="93"/>
        <v>29091</v>
      </c>
      <c r="M275" s="488">
        <f t="shared" si="93"/>
        <v>28489</v>
      </c>
      <c r="N275" s="488">
        <f>N260+N261+N267+N269</f>
        <v>29555</v>
      </c>
      <c r="O275" s="488">
        <f>O260+O261+O267+O269</f>
        <v>28306</v>
      </c>
    </row>
    <row r="276" spans="1:17">
      <c r="A276" s="486" t="s">
        <v>1879</v>
      </c>
      <c r="D276" s="488">
        <f t="shared" ref="D276:M276" si="94">SUM(D259,D262,D264:D266,D268,D270:D273)</f>
        <v>68262</v>
      </c>
      <c r="E276" s="488">
        <f t="shared" si="94"/>
        <v>69304</v>
      </c>
      <c r="F276" s="488">
        <f t="shared" si="94"/>
        <v>69482</v>
      </c>
      <c r="G276" s="488">
        <f t="shared" si="94"/>
        <v>68465</v>
      </c>
      <c r="H276" s="488">
        <f t="shared" si="94"/>
        <v>69045</v>
      </c>
      <c r="I276" s="488">
        <f t="shared" si="94"/>
        <v>65488</v>
      </c>
      <c r="J276" s="488">
        <f t="shared" si="94"/>
        <v>64837</v>
      </c>
      <c r="K276" s="488">
        <f t="shared" si="94"/>
        <v>65060</v>
      </c>
      <c r="L276" s="488">
        <f t="shared" si="94"/>
        <v>67063</v>
      </c>
      <c r="M276" s="488">
        <f t="shared" si="94"/>
        <v>64472</v>
      </c>
      <c r="N276" s="488">
        <f>SUM(N259,N262,N264:N266,N268,N270:N273)</f>
        <v>74316</v>
      </c>
      <c r="O276" s="488">
        <f>SUM(O259,O262,O264:O266,O268,O270:O273)</f>
        <v>69251</v>
      </c>
    </row>
    <row r="277" spans="1:17">
      <c r="A277" s="486"/>
      <c r="D277" s="488"/>
      <c r="E277" s="488"/>
      <c r="F277" s="488"/>
      <c r="G277" s="488"/>
      <c r="H277" s="488"/>
      <c r="I277" s="488"/>
      <c r="J277" s="488"/>
      <c r="K277" s="488"/>
      <c r="L277" s="488"/>
      <c r="M277" s="488"/>
      <c r="N277" s="488"/>
      <c r="O277" s="488"/>
    </row>
    <row r="278" spans="1:17">
      <c r="A278" s="486" t="s">
        <v>12771</v>
      </c>
      <c r="D278" s="488"/>
      <c r="E278" s="488"/>
      <c r="F278" s="488"/>
      <c r="G278" s="488"/>
      <c r="H278" s="488"/>
      <c r="I278" s="488"/>
      <c r="J278" s="488"/>
      <c r="K278" s="488"/>
      <c r="L278" s="488"/>
      <c r="M278" s="488"/>
      <c r="N278" s="488"/>
      <c r="O278" s="488"/>
    </row>
    <row r="279" spans="1:17">
      <c r="A279" s="486"/>
      <c r="B279" s="486"/>
      <c r="D279" s="496"/>
      <c r="E279" s="496"/>
      <c r="F279" s="496"/>
      <c r="G279" s="496"/>
      <c r="H279" s="496"/>
      <c r="I279" s="496"/>
      <c r="J279" s="496"/>
      <c r="K279" s="496"/>
      <c r="L279" s="496"/>
      <c r="M279" s="496"/>
      <c r="N279" s="496"/>
      <c r="O279" s="496"/>
    </row>
    <row r="280" spans="1:17">
      <c r="A280" s="486"/>
      <c r="B280" s="486"/>
      <c r="D280" s="496"/>
      <c r="E280" s="496"/>
      <c r="F280" s="496"/>
      <c r="G280" s="496"/>
      <c r="H280" s="496"/>
      <c r="I280" s="496"/>
      <c r="J280" s="496"/>
      <c r="K280" s="496"/>
      <c r="L280" s="496"/>
      <c r="M280" s="496"/>
      <c r="N280" s="496"/>
      <c r="O280" s="496"/>
    </row>
    <row r="281" spans="1:17">
      <c r="E281" s="51" t="s">
        <v>1526</v>
      </c>
      <c r="F281" s="51"/>
      <c r="G281" s="51"/>
      <c r="H281" s="51"/>
      <c r="I281" s="51"/>
      <c r="J281" s="51"/>
      <c r="K281" s="51"/>
      <c r="L281" s="51"/>
      <c r="M281" s="51"/>
      <c r="N281" s="51"/>
      <c r="O281" s="51"/>
      <c r="P281" s="11"/>
      <c r="Q281" s="11" t="s">
        <v>9479</v>
      </c>
    </row>
    <row r="282" spans="1:17">
      <c r="D282" s="487">
        <v>2010</v>
      </c>
      <c r="E282" s="487">
        <v>2011</v>
      </c>
      <c r="F282" s="487">
        <v>2012</v>
      </c>
      <c r="G282" s="487">
        <v>2013</v>
      </c>
      <c r="H282" s="487">
        <v>2014</v>
      </c>
      <c r="I282" s="487">
        <v>2015</v>
      </c>
      <c r="J282" s="487">
        <v>2016</v>
      </c>
      <c r="K282" s="487">
        <v>2017</v>
      </c>
      <c r="L282" s="487">
        <v>2018</v>
      </c>
      <c r="M282" s="487">
        <v>2019</v>
      </c>
      <c r="N282" s="487">
        <v>2020</v>
      </c>
      <c r="O282" s="953" t="s">
        <v>14823</v>
      </c>
      <c r="Q282" s="13" t="s">
        <v>1527</v>
      </c>
    </row>
    <row r="283" spans="1:17">
      <c r="A283" s="486" t="s">
        <v>1880</v>
      </c>
      <c r="D283" s="488">
        <f t="shared" ref="D283:L283" si="95">SUM(D284:D301,D303:D312)</f>
        <v>95769</v>
      </c>
      <c r="E283" s="488">
        <f t="shared" si="95"/>
        <v>97093</v>
      </c>
      <c r="F283" s="488">
        <f t="shared" si="95"/>
        <v>97804</v>
      </c>
      <c r="G283" s="488">
        <f t="shared" si="95"/>
        <v>99227</v>
      </c>
      <c r="H283" s="488">
        <f t="shared" si="95"/>
        <v>99183</v>
      </c>
      <c r="I283" s="488">
        <f t="shared" si="95"/>
        <v>97771</v>
      </c>
      <c r="J283" s="488">
        <f t="shared" si="95"/>
        <v>98595</v>
      </c>
      <c r="K283" s="488">
        <f t="shared" si="95"/>
        <v>103887</v>
      </c>
      <c r="L283" s="488">
        <f t="shared" si="95"/>
        <v>103957</v>
      </c>
      <c r="M283" s="488">
        <f>SUM(M284:M301,M303:M312)</f>
        <v>105337</v>
      </c>
      <c r="N283" s="488">
        <f>SUM(N284:N301,N303:N312)</f>
        <v>108927</v>
      </c>
      <c r="O283" s="488">
        <f>SUM(O284:O301,O303:O312)</f>
        <v>108909</v>
      </c>
    </row>
    <row r="284" spans="1:17">
      <c r="A284" s="486" t="s">
        <v>5387</v>
      </c>
      <c r="B284" s="486" t="s">
        <v>12448</v>
      </c>
      <c r="C284" s="55" t="s">
        <v>12892</v>
      </c>
      <c r="D284" s="488">
        <v>76009</v>
      </c>
      <c r="E284" s="488">
        <v>77316</v>
      </c>
      <c r="F284" s="488">
        <v>77866</v>
      </c>
      <c r="G284" s="488">
        <v>78985</v>
      </c>
      <c r="H284" s="488">
        <v>79013</v>
      </c>
      <c r="I284" s="488">
        <v>77828</v>
      </c>
      <c r="J284" s="488">
        <v>78550</v>
      </c>
      <c r="K284" s="488">
        <v>82874</v>
      </c>
      <c r="L284" s="488">
        <v>82930</v>
      </c>
      <c r="M284" s="56">
        <v>5127</v>
      </c>
      <c r="N284" s="56">
        <v>5262</v>
      </c>
      <c r="O284" s="56">
        <v>5257</v>
      </c>
      <c r="Q284" s="136" t="s">
        <v>6112</v>
      </c>
    </row>
    <row r="285" spans="1:17">
      <c r="A285" s="486" t="s">
        <v>5389</v>
      </c>
      <c r="B285" s="486" t="s">
        <v>12449</v>
      </c>
      <c r="C285" s="55" t="s">
        <v>12893</v>
      </c>
      <c r="D285" s="488">
        <v>0</v>
      </c>
      <c r="E285" s="488">
        <v>0</v>
      </c>
      <c r="F285" s="488">
        <v>0</v>
      </c>
      <c r="G285" s="488">
        <v>0</v>
      </c>
      <c r="H285" s="488">
        <v>0</v>
      </c>
      <c r="I285" s="488">
        <v>0</v>
      </c>
      <c r="J285" s="488">
        <v>0</v>
      </c>
      <c r="K285" s="488">
        <v>0</v>
      </c>
      <c r="L285" s="488">
        <v>0</v>
      </c>
      <c r="M285" s="56">
        <v>2715</v>
      </c>
      <c r="N285" s="56">
        <v>2756</v>
      </c>
      <c r="O285" s="56">
        <v>2756</v>
      </c>
      <c r="Q285" s="136" t="s">
        <v>6112</v>
      </c>
    </row>
    <row r="286" spans="1:17">
      <c r="A286" s="486" t="s">
        <v>5391</v>
      </c>
      <c r="B286" s="486" t="s">
        <v>1881</v>
      </c>
      <c r="C286" s="55" t="s">
        <v>12894</v>
      </c>
      <c r="D286" s="488">
        <v>0</v>
      </c>
      <c r="E286" s="488">
        <v>0</v>
      </c>
      <c r="F286" s="488">
        <v>0</v>
      </c>
      <c r="G286" s="488">
        <v>0</v>
      </c>
      <c r="H286" s="488">
        <v>0</v>
      </c>
      <c r="I286" s="488">
        <v>0</v>
      </c>
      <c r="J286" s="488">
        <v>0</v>
      </c>
      <c r="K286" s="488">
        <v>0</v>
      </c>
      <c r="L286" s="488">
        <v>0</v>
      </c>
      <c r="M286" s="56">
        <v>2655</v>
      </c>
      <c r="N286" s="56">
        <v>2699</v>
      </c>
      <c r="O286" s="56">
        <v>2695</v>
      </c>
      <c r="Q286" s="136" t="s">
        <v>6112</v>
      </c>
    </row>
    <row r="287" spans="1:17">
      <c r="A287" s="486" t="s">
        <v>5393</v>
      </c>
      <c r="B287" s="486" t="s">
        <v>1882</v>
      </c>
      <c r="C287" s="55" t="s">
        <v>12895</v>
      </c>
      <c r="D287" s="488">
        <v>0</v>
      </c>
      <c r="E287" s="488">
        <v>0</v>
      </c>
      <c r="F287" s="488">
        <v>0</v>
      </c>
      <c r="G287" s="488">
        <v>0</v>
      </c>
      <c r="H287" s="488">
        <v>0</v>
      </c>
      <c r="I287" s="488">
        <v>0</v>
      </c>
      <c r="J287" s="488">
        <v>0</v>
      </c>
      <c r="K287" s="488">
        <v>0</v>
      </c>
      <c r="L287" s="488">
        <v>0</v>
      </c>
      <c r="M287" s="56">
        <v>2474</v>
      </c>
      <c r="N287" s="56">
        <v>2510</v>
      </c>
      <c r="O287" s="56">
        <v>2507</v>
      </c>
      <c r="Q287" s="136" t="s">
        <v>6112</v>
      </c>
    </row>
    <row r="288" spans="1:17">
      <c r="A288" s="486" t="s">
        <v>5394</v>
      </c>
      <c r="B288" s="486" t="s">
        <v>12444</v>
      </c>
      <c r="C288" s="55" t="s">
        <v>12896</v>
      </c>
      <c r="D288" s="488">
        <v>15484</v>
      </c>
      <c r="E288" s="488">
        <v>15512</v>
      </c>
      <c r="F288" s="488">
        <v>15685</v>
      </c>
      <c r="G288" s="488">
        <v>15963</v>
      </c>
      <c r="H288" s="488">
        <v>15995</v>
      </c>
      <c r="I288" s="488">
        <v>15825</v>
      </c>
      <c r="J288" s="488">
        <v>15919</v>
      </c>
      <c r="K288" s="488">
        <v>16712</v>
      </c>
      <c r="L288" s="488">
        <v>16769</v>
      </c>
      <c r="M288" s="56">
        <v>4774</v>
      </c>
      <c r="N288" s="56">
        <v>4848</v>
      </c>
      <c r="O288" s="56">
        <v>4838</v>
      </c>
      <c r="Q288" s="136" t="s">
        <v>4611</v>
      </c>
    </row>
    <row r="289" spans="1:17">
      <c r="A289" s="486" t="s">
        <v>5416</v>
      </c>
      <c r="B289" s="486" t="s">
        <v>1883</v>
      </c>
      <c r="C289" s="55" t="s">
        <v>12897</v>
      </c>
      <c r="D289" s="488">
        <v>0</v>
      </c>
      <c r="E289" s="488">
        <v>0</v>
      </c>
      <c r="F289" s="488">
        <v>0</v>
      </c>
      <c r="G289" s="488">
        <v>0</v>
      </c>
      <c r="H289" s="488">
        <v>0</v>
      </c>
      <c r="I289" s="488">
        <v>0</v>
      </c>
      <c r="J289" s="488">
        <v>0</v>
      </c>
      <c r="K289" s="488">
        <v>0</v>
      </c>
      <c r="L289" s="488">
        <v>0</v>
      </c>
      <c r="M289" s="56">
        <v>3654</v>
      </c>
      <c r="N289" s="56">
        <v>3758</v>
      </c>
      <c r="O289" s="56">
        <v>3754</v>
      </c>
      <c r="Q289" s="136" t="s">
        <v>6112</v>
      </c>
    </row>
    <row r="290" spans="1:17">
      <c r="A290" s="486" t="s">
        <v>5418</v>
      </c>
      <c r="B290" s="486" t="s">
        <v>12450</v>
      </c>
      <c r="C290" s="55" t="s">
        <v>12898</v>
      </c>
      <c r="D290" s="488">
        <v>0</v>
      </c>
      <c r="E290" s="488">
        <v>0</v>
      </c>
      <c r="F290" s="488">
        <v>0</v>
      </c>
      <c r="G290" s="488">
        <v>0</v>
      </c>
      <c r="H290" s="488">
        <v>0</v>
      </c>
      <c r="I290" s="488">
        <v>0</v>
      </c>
      <c r="J290" s="488">
        <v>0</v>
      </c>
      <c r="K290" s="488">
        <v>0</v>
      </c>
      <c r="L290" s="488">
        <v>0</v>
      </c>
      <c r="M290" s="56">
        <v>7983</v>
      </c>
      <c r="N290" s="56">
        <v>8180</v>
      </c>
      <c r="O290" s="56">
        <v>8181</v>
      </c>
      <c r="Q290" s="136" t="s">
        <v>6112</v>
      </c>
    </row>
    <row r="291" spans="1:17">
      <c r="A291" s="486" t="s">
        <v>5420</v>
      </c>
      <c r="B291" s="486" t="s">
        <v>12451</v>
      </c>
      <c r="C291" s="55" t="s">
        <v>12916</v>
      </c>
      <c r="D291" s="488">
        <v>0</v>
      </c>
      <c r="E291" s="488">
        <v>0</v>
      </c>
      <c r="F291" s="488">
        <v>0</v>
      </c>
      <c r="G291" s="488">
        <v>0</v>
      </c>
      <c r="H291" s="488">
        <v>0</v>
      </c>
      <c r="I291" s="488">
        <v>0</v>
      </c>
      <c r="J291" s="488">
        <v>0</v>
      </c>
      <c r="K291" s="488">
        <v>0</v>
      </c>
      <c r="L291" s="488">
        <v>0</v>
      </c>
      <c r="M291" s="56">
        <v>5159</v>
      </c>
      <c r="N291" s="56">
        <v>5269</v>
      </c>
      <c r="O291" s="56">
        <v>5265</v>
      </c>
      <c r="Q291" s="136" t="s">
        <v>6112</v>
      </c>
    </row>
    <row r="292" spans="1:17">
      <c r="A292" s="486" t="s">
        <v>5422</v>
      </c>
      <c r="B292" s="486" t="s">
        <v>6192</v>
      </c>
      <c r="C292" s="55" t="s">
        <v>12899</v>
      </c>
      <c r="D292" s="488">
        <v>0</v>
      </c>
      <c r="E292" s="488">
        <v>0</v>
      </c>
      <c r="F292" s="488">
        <v>0</v>
      </c>
      <c r="G292" s="488">
        <v>0</v>
      </c>
      <c r="H292" s="488">
        <v>0</v>
      </c>
      <c r="I292" s="488">
        <v>0</v>
      </c>
      <c r="J292" s="488">
        <v>0</v>
      </c>
      <c r="K292" s="488">
        <v>0</v>
      </c>
      <c r="L292" s="488">
        <v>0</v>
      </c>
      <c r="M292" s="56">
        <v>1562</v>
      </c>
      <c r="N292" s="56">
        <v>1574</v>
      </c>
      <c r="O292" s="56">
        <v>1577</v>
      </c>
      <c r="Q292" s="136" t="s">
        <v>6112</v>
      </c>
    </row>
    <row r="293" spans="1:17">
      <c r="A293" s="486" t="s">
        <v>5424</v>
      </c>
      <c r="B293" s="486" t="s">
        <v>3240</v>
      </c>
      <c r="C293" s="55" t="s">
        <v>12900</v>
      </c>
      <c r="D293" s="488">
        <v>0</v>
      </c>
      <c r="E293" s="488">
        <v>0</v>
      </c>
      <c r="F293" s="488">
        <v>0</v>
      </c>
      <c r="G293" s="488">
        <v>0</v>
      </c>
      <c r="H293" s="488">
        <v>0</v>
      </c>
      <c r="I293" s="488">
        <v>0</v>
      </c>
      <c r="J293" s="488">
        <v>0</v>
      </c>
      <c r="K293" s="488">
        <v>0</v>
      </c>
      <c r="L293" s="488">
        <v>0</v>
      </c>
      <c r="M293" s="58">
        <v>2648</v>
      </c>
      <c r="N293" s="58">
        <v>2749</v>
      </c>
      <c r="O293" s="58">
        <v>2750</v>
      </c>
      <c r="Q293" s="136" t="s">
        <v>6112</v>
      </c>
    </row>
    <row r="294" spans="1:17">
      <c r="A294" s="486" t="s">
        <v>5426</v>
      </c>
      <c r="B294" s="486" t="s">
        <v>1850</v>
      </c>
      <c r="C294" s="55" t="s">
        <v>12917</v>
      </c>
      <c r="D294" s="488">
        <v>0</v>
      </c>
      <c r="E294" s="488">
        <v>0</v>
      </c>
      <c r="F294" s="488">
        <v>0</v>
      </c>
      <c r="G294" s="488">
        <v>0</v>
      </c>
      <c r="H294" s="488">
        <v>0</v>
      </c>
      <c r="I294" s="488">
        <v>0</v>
      </c>
      <c r="J294" s="488">
        <v>0</v>
      </c>
      <c r="K294" s="488">
        <v>0</v>
      </c>
      <c r="L294" s="488">
        <v>0</v>
      </c>
      <c r="M294" s="58">
        <v>4710</v>
      </c>
      <c r="N294" s="58">
        <v>4771</v>
      </c>
      <c r="O294" s="58">
        <v>4774</v>
      </c>
      <c r="Q294" s="136" t="s">
        <v>6112</v>
      </c>
    </row>
    <row r="295" spans="1:17">
      <c r="A295" s="486" t="s">
        <v>5428</v>
      </c>
      <c r="B295" s="486" t="s">
        <v>1851</v>
      </c>
      <c r="C295" s="55" t="s">
        <v>12901</v>
      </c>
      <c r="D295" s="488">
        <v>0</v>
      </c>
      <c r="E295" s="488">
        <v>0</v>
      </c>
      <c r="F295" s="488">
        <v>0</v>
      </c>
      <c r="G295" s="488">
        <v>0</v>
      </c>
      <c r="H295" s="488">
        <v>0</v>
      </c>
      <c r="I295" s="488">
        <v>0</v>
      </c>
      <c r="J295" s="488">
        <v>0</v>
      </c>
      <c r="K295" s="488">
        <v>0</v>
      </c>
      <c r="L295" s="488">
        <v>0</v>
      </c>
      <c r="M295" s="58">
        <v>2614</v>
      </c>
      <c r="N295" s="58">
        <v>2637</v>
      </c>
      <c r="O295" s="58">
        <v>2631</v>
      </c>
      <c r="Q295" s="136" t="s">
        <v>6112</v>
      </c>
    </row>
    <row r="296" spans="1:17">
      <c r="A296" s="486" t="s">
        <v>5429</v>
      </c>
      <c r="B296" s="486" t="s">
        <v>1852</v>
      </c>
      <c r="C296" s="55" t="s">
        <v>12902</v>
      </c>
      <c r="D296" s="488">
        <v>0</v>
      </c>
      <c r="E296" s="488">
        <v>0</v>
      </c>
      <c r="F296" s="488">
        <v>0</v>
      </c>
      <c r="G296" s="488">
        <v>0</v>
      </c>
      <c r="H296" s="488">
        <v>0</v>
      </c>
      <c r="I296" s="488">
        <v>0</v>
      </c>
      <c r="J296" s="488">
        <v>0</v>
      </c>
      <c r="K296" s="488">
        <v>0</v>
      </c>
      <c r="L296" s="488">
        <v>0</v>
      </c>
      <c r="M296" s="58">
        <v>6088</v>
      </c>
      <c r="N296" s="58">
        <v>6459</v>
      </c>
      <c r="O296" s="58">
        <v>6459</v>
      </c>
      <c r="Q296" s="136" t="s">
        <v>6112</v>
      </c>
    </row>
    <row r="297" spans="1:17">
      <c r="A297" s="486" t="s">
        <v>5431</v>
      </c>
      <c r="B297" s="486" t="s">
        <v>12445</v>
      </c>
      <c r="C297" s="55" t="s">
        <v>12903</v>
      </c>
      <c r="D297" s="488">
        <v>0</v>
      </c>
      <c r="E297" s="488">
        <v>0</v>
      </c>
      <c r="F297" s="488">
        <v>0</v>
      </c>
      <c r="G297" s="488">
        <v>0</v>
      </c>
      <c r="H297" s="488">
        <v>0</v>
      </c>
      <c r="I297" s="488">
        <v>0</v>
      </c>
      <c r="J297" s="488">
        <v>0</v>
      </c>
      <c r="K297" s="488">
        <v>0</v>
      </c>
      <c r="L297" s="488">
        <v>0</v>
      </c>
      <c r="M297" s="58">
        <v>2496</v>
      </c>
      <c r="N297" s="58">
        <v>2559</v>
      </c>
      <c r="O297" s="58">
        <v>2555</v>
      </c>
      <c r="Q297" s="136" t="s">
        <v>4611</v>
      </c>
    </row>
    <row r="298" spans="1:17">
      <c r="A298" s="486" t="s">
        <v>5433</v>
      </c>
      <c r="B298" s="486" t="s">
        <v>12452</v>
      </c>
      <c r="C298" s="55" t="s">
        <v>12904</v>
      </c>
      <c r="D298" s="488">
        <v>0</v>
      </c>
      <c r="E298" s="488">
        <v>0</v>
      </c>
      <c r="F298" s="488">
        <v>0</v>
      </c>
      <c r="G298" s="488">
        <v>0</v>
      </c>
      <c r="H298" s="488">
        <v>0</v>
      </c>
      <c r="I298" s="488">
        <v>0</v>
      </c>
      <c r="J298" s="488">
        <v>0</v>
      </c>
      <c r="K298" s="488">
        <v>0</v>
      </c>
      <c r="L298" s="488">
        <v>0</v>
      </c>
      <c r="M298" s="58">
        <v>4520</v>
      </c>
      <c r="N298" s="58">
        <v>4632</v>
      </c>
      <c r="O298" s="58">
        <v>4634</v>
      </c>
      <c r="Q298" s="136" t="s">
        <v>6112</v>
      </c>
    </row>
    <row r="299" spans="1:17">
      <c r="A299" s="486" t="s">
        <v>5435</v>
      </c>
      <c r="B299" s="486" t="s">
        <v>12453</v>
      </c>
      <c r="C299" s="55" t="s">
        <v>12905</v>
      </c>
      <c r="D299" s="488">
        <v>0</v>
      </c>
      <c r="E299" s="488">
        <v>0</v>
      </c>
      <c r="F299" s="488">
        <v>0</v>
      </c>
      <c r="G299" s="488">
        <v>0</v>
      </c>
      <c r="H299" s="488">
        <v>0</v>
      </c>
      <c r="I299" s="488">
        <v>0</v>
      </c>
      <c r="J299" s="488">
        <v>0</v>
      </c>
      <c r="K299" s="488">
        <v>0</v>
      </c>
      <c r="L299" s="488">
        <v>0</v>
      </c>
      <c r="M299" s="58">
        <v>7080</v>
      </c>
      <c r="N299" s="58">
        <v>7333</v>
      </c>
      <c r="O299" s="58">
        <v>7321</v>
      </c>
      <c r="Q299" s="136" t="s">
        <v>6112</v>
      </c>
    </row>
    <row r="300" spans="1:17">
      <c r="A300" s="486" t="s">
        <v>5436</v>
      </c>
      <c r="B300" s="486" t="s">
        <v>1853</v>
      </c>
      <c r="C300" s="55" t="s">
        <v>12906</v>
      </c>
      <c r="D300" s="488">
        <v>4276</v>
      </c>
      <c r="E300" s="488">
        <v>4265</v>
      </c>
      <c r="F300" s="488">
        <v>4253</v>
      </c>
      <c r="G300" s="488">
        <v>4279</v>
      </c>
      <c r="H300" s="488">
        <v>4175</v>
      </c>
      <c r="I300" s="488">
        <v>4118</v>
      </c>
      <c r="J300" s="488">
        <v>4126</v>
      </c>
      <c r="K300" s="488">
        <v>4301</v>
      </c>
      <c r="L300" s="488">
        <v>4258</v>
      </c>
      <c r="M300" s="58">
        <v>4241</v>
      </c>
      <c r="N300" s="58">
        <v>4249</v>
      </c>
      <c r="O300" s="58">
        <v>4230</v>
      </c>
      <c r="Q300" s="136" t="s">
        <v>4619</v>
      </c>
    </row>
    <row r="301" spans="1:17" ht="15.75" thickBot="1">
      <c r="B301" s="486"/>
      <c r="C301" s="55" t="s">
        <v>12906</v>
      </c>
      <c r="D301" s="488">
        <v>0</v>
      </c>
      <c r="E301" s="488">
        <v>0</v>
      </c>
      <c r="F301" s="488">
        <v>0</v>
      </c>
      <c r="G301" s="488">
        <v>0</v>
      </c>
      <c r="H301" s="488">
        <v>0</v>
      </c>
      <c r="I301" s="488">
        <v>0</v>
      </c>
      <c r="J301" s="488">
        <v>0</v>
      </c>
      <c r="K301" s="488">
        <v>0</v>
      </c>
      <c r="L301" s="488">
        <v>0</v>
      </c>
      <c r="M301" s="58">
        <v>783</v>
      </c>
      <c r="N301" s="58">
        <v>795</v>
      </c>
      <c r="O301" s="58">
        <v>792</v>
      </c>
      <c r="Q301" s="136" t="s">
        <v>6112</v>
      </c>
    </row>
    <row r="302" spans="1:17" ht="15.75" thickBot="1">
      <c r="B302" s="486"/>
      <c r="C302" s="55" t="s">
        <v>12906</v>
      </c>
      <c r="D302" s="495">
        <f t="shared" ref="D302:M302" si="96">D300+D301</f>
        <v>4276</v>
      </c>
      <c r="E302" s="495">
        <f t="shared" si="96"/>
        <v>4265</v>
      </c>
      <c r="F302" s="495">
        <f t="shared" si="96"/>
        <v>4253</v>
      </c>
      <c r="G302" s="495">
        <f t="shared" si="96"/>
        <v>4279</v>
      </c>
      <c r="H302" s="495">
        <f t="shared" si="96"/>
        <v>4175</v>
      </c>
      <c r="I302" s="495">
        <f t="shared" si="96"/>
        <v>4118</v>
      </c>
      <c r="J302" s="495">
        <f t="shared" si="96"/>
        <v>4126</v>
      </c>
      <c r="K302" s="495">
        <f t="shared" si="96"/>
        <v>4301</v>
      </c>
      <c r="L302" s="495">
        <f t="shared" si="96"/>
        <v>4258</v>
      </c>
      <c r="M302" s="495">
        <f t="shared" si="96"/>
        <v>5024</v>
      </c>
      <c r="N302" s="495">
        <f>N300+N301</f>
        <v>5044</v>
      </c>
      <c r="O302" s="495">
        <f>O300+O301</f>
        <v>5022</v>
      </c>
    </row>
    <row r="303" spans="1:17">
      <c r="A303" s="486" t="s">
        <v>5437</v>
      </c>
      <c r="B303" s="136" t="s">
        <v>3251</v>
      </c>
      <c r="C303" s="55" t="s">
        <v>12907</v>
      </c>
      <c r="D303" s="488">
        <v>0</v>
      </c>
      <c r="E303" s="488">
        <v>0</v>
      </c>
      <c r="F303" s="488">
        <v>0</v>
      </c>
      <c r="G303" s="488">
        <v>0</v>
      </c>
      <c r="H303" s="488">
        <v>0</v>
      </c>
      <c r="I303" s="488">
        <v>0</v>
      </c>
      <c r="J303" s="488">
        <v>0</v>
      </c>
      <c r="K303" s="488">
        <v>0</v>
      </c>
      <c r="L303" s="488">
        <v>0</v>
      </c>
      <c r="M303" s="58">
        <v>2474</v>
      </c>
      <c r="N303" s="58">
        <v>2516</v>
      </c>
      <c r="O303" s="58">
        <v>2516</v>
      </c>
      <c r="Q303" s="136" t="s">
        <v>6112</v>
      </c>
    </row>
    <row r="304" spans="1:17">
      <c r="A304" s="486" t="s">
        <v>5439</v>
      </c>
      <c r="B304" s="136" t="s">
        <v>12446</v>
      </c>
      <c r="C304" s="55" t="s">
        <v>12908</v>
      </c>
      <c r="D304" s="488">
        <v>0</v>
      </c>
      <c r="E304" s="488">
        <v>0</v>
      </c>
      <c r="F304" s="488">
        <v>0</v>
      </c>
      <c r="G304" s="488">
        <v>0</v>
      </c>
      <c r="H304" s="488">
        <v>0</v>
      </c>
      <c r="I304" s="488">
        <v>0</v>
      </c>
      <c r="J304" s="488">
        <v>0</v>
      </c>
      <c r="K304" s="488">
        <v>0</v>
      </c>
      <c r="L304" s="488">
        <v>0</v>
      </c>
      <c r="M304" s="58">
        <v>4020</v>
      </c>
      <c r="N304" s="58">
        <v>4442</v>
      </c>
      <c r="O304" s="58">
        <v>4456</v>
      </c>
      <c r="Q304" s="136" t="s">
        <v>4611</v>
      </c>
    </row>
    <row r="305" spans="1:17">
      <c r="A305" s="486" t="s">
        <v>5441</v>
      </c>
      <c r="B305" s="136" t="s">
        <v>3231</v>
      </c>
      <c r="C305" s="55" t="s">
        <v>12909</v>
      </c>
      <c r="D305" s="488">
        <v>0</v>
      </c>
      <c r="E305" s="488">
        <v>0</v>
      </c>
      <c r="F305" s="488">
        <v>0</v>
      </c>
      <c r="G305" s="488">
        <v>0</v>
      </c>
      <c r="H305" s="488">
        <v>0</v>
      </c>
      <c r="I305" s="488">
        <v>0</v>
      </c>
      <c r="J305" s="488">
        <v>0</v>
      </c>
      <c r="K305" s="488">
        <v>0</v>
      </c>
      <c r="L305" s="488">
        <v>0</v>
      </c>
      <c r="M305" s="58">
        <v>6558</v>
      </c>
      <c r="N305" s="58">
        <v>7023</v>
      </c>
      <c r="O305" s="58">
        <v>7034</v>
      </c>
      <c r="Q305" s="136" t="s">
        <v>6112</v>
      </c>
    </row>
    <row r="306" spans="1:17">
      <c r="A306" s="486" t="s">
        <v>5886</v>
      </c>
      <c r="B306" s="136" t="s">
        <v>12454</v>
      </c>
      <c r="C306" s="55" t="s">
        <v>12910</v>
      </c>
      <c r="D306" s="488">
        <v>0</v>
      </c>
      <c r="E306" s="488">
        <v>0</v>
      </c>
      <c r="F306" s="488">
        <v>0</v>
      </c>
      <c r="G306" s="488">
        <v>0</v>
      </c>
      <c r="H306" s="488">
        <v>0</v>
      </c>
      <c r="I306" s="488">
        <v>0</v>
      </c>
      <c r="J306" s="488">
        <v>0</v>
      </c>
      <c r="K306" s="488">
        <v>0</v>
      </c>
      <c r="L306" s="488">
        <v>0</v>
      </c>
      <c r="M306" s="58">
        <v>5826</v>
      </c>
      <c r="N306" s="58">
        <v>6113</v>
      </c>
      <c r="O306" s="58">
        <v>6118</v>
      </c>
      <c r="Q306" s="136" t="s">
        <v>6112</v>
      </c>
    </row>
    <row r="307" spans="1:17">
      <c r="A307" s="486" t="s">
        <v>5888</v>
      </c>
      <c r="B307" s="136" t="s">
        <v>3232</v>
      </c>
      <c r="C307" s="55" t="s">
        <v>12911</v>
      </c>
      <c r="D307" s="488">
        <v>0</v>
      </c>
      <c r="E307" s="488">
        <v>0</v>
      </c>
      <c r="F307" s="488">
        <v>0</v>
      </c>
      <c r="G307" s="488">
        <v>0</v>
      </c>
      <c r="H307" s="488">
        <v>0</v>
      </c>
      <c r="I307" s="488">
        <v>0</v>
      </c>
      <c r="J307" s="488">
        <v>0</v>
      </c>
      <c r="K307" s="488">
        <v>0</v>
      </c>
      <c r="L307" s="488">
        <v>0</v>
      </c>
      <c r="M307" s="58">
        <v>2761</v>
      </c>
      <c r="N307" s="58">
        <v>2787</v>
      </c>
      <c r="O307" s="58">
        <v>2782</v>
      </c>
      <c r="Q307" s="136" t="s">
        <v>6112</v>
      </c>
    </row>
    <row r="308" spans="1:17">
      <c r="A308" s="486" t="s">
        <v>5889</v>
      </c>
      <c r="B308" s="136" t="s">
        <v>12447</v>
      </c>
      <c r="C308" s="55" t="s">
        <v>12912</v>
      </c>
      <c r="D308" s="488">
        <v>0</v>
      </c>
      <c r="E308" s="488">
        <v>0</v>
      </c>
      <c r="F308" s="488">
        <v>0</v>
      </c>
      <c r="G308" s="488">
        <v>0</v>
      </c>
      <c r="H308" s="488">
        <v>0</v>
      </c>
      <c r="I308" s="488">
        <v>0</v>
      </c>
      <c r="J308" s="488">
        <v>0</v>
      </c>
      <c r="K308" s="488">
        <v>0</v>
      </c>
      <c r="L308" s="488">
        <v>0</v>
      </c>
      <c r="M308" s="58">
        <v>3736</v>
      </c>
      <c r="N308" s="58">
        <v>4188</v>
      </c>
      <c r="O308" s="58">
        <v>4193</v>
      </c>
      <c r="Q308" s="136" t="s">
        <v>4611</v>
      </c>
    </row>
    <row r="309" spans="1:17">
      <c r="A309" s="486" t="s">
        <v>4431</v>
      </c>
      <c r="B309" s="136" t="s">
        <v>3238</v>
      </c>
      <c r="C309" s="55" t="s">
        <v>12913</v>
      </c>
      <c r="D309" s="488">
        <v>0</v>
      </c>
      <c r="E309" s="488">
        <v>0</v>
      </c>
      <c r="F309" s="488">
        <v>0</v>
      </c>
      <c r="G309" s="488">
        <v>0</v>
      </c>
      <c r="H309" s="488">
        <v>0</v>
      </c>
      <c r="I309" s="488">
        <v>0</v>
      </c>
      <c r="J309" s="488">
        <v>0</v>
      </c>
      <c r="K309" s="488">
        <v>0</v>
      </c>
      <c r="L309" s="488">
        <v>0</v>
      </c>
      <c r="M309" s="56">
        <v>3388</v>
      </c>
      <c r="N309" s="56">
        <v>3416</v>
      </c>
      <c r="O309" s="56">
        <v>3417</v>
      </c>
      <c r="Q309" s="136" t="s">
        <v>6112</v>
      </c>
    </row>
    <row r="310" spans="1:17">
      <c r="A310" s="486" t="s">
        <v>4432</v>
      </c>
      <c r="B310" s="136" t="s">
        <v>3239</v>
      </c>
      <c r="C310" s="55" t="s">
        <v>12914</v>
      </c>
      <c r="D310" s="488">
        <v>0</v>
      </c>
      <c r="E310" s="488">
        <v>0</v>
      </c>
      <c r="F310" s="488">
        <v>0</v>
      </c>
      <c r="G310" s="488">
        <v>0</v>
      </c>
      <c r="H310" s="488">
        <v>0</v>
      </c>
      <c r="I310" s="488">
        <v>0</v>
      </c>
      <c r="J310" s="488">
        <v>0</v>
      </c>
      <c r="K310" s="488">
        <v>0</v>
      </c>
      <c r="L310" s="488">
        <v>0</v>
      </c>
      <c r="M310" s="58">
        <v>2633</v>
      </c>
      <c r="N310" s="58">
        <v>2651</v>
      </c>
      <c r="O310" s="58">
        <v>2662</v>
      </c>
      <c r="Q310" s="136" t="s">
        <v>6112</v>
      </c>
    </row>
    <row r="311" spans="1:17">
      <c r="A311" s="486" t="s">
        <v>4434</v>
      </c>
      <c r="B311" s="136" t="s">
        <v>3230</v>
      </c>
      <c r="C311" s="55" t="s">
        <v>12915</v>
      </c>
      <c r="D311" s="488">
        <v>0</v>
      </c>
      <c r="E311" s="488">
        <v>0</v>
      </c>
      <c r="F311" s="488">
        <v>0</v>
      </c>
      <c r="G311" s="488">
        <v>0</v>
      </c>
      <c r="H311" s="488">
        <v>0</v>
      </c>
      <c r="I311" s="488">
        <v>0</v>
      </c>
      <c r="J311" s="488">
        <v>0</v>
      </c>
      <c r="K311" s="488">
        <v>0</v>
      </c>
      <c r="L311" s="488">
        <v>0</v>
      </c>
      <c r="M311" s="58">
        <v>2130</v>
      </c>
      <c r="N311" s="58">
        <v>2214</v>
      </c>
      <c r="O311" s="58">
        <v>2216</v>
      </c>
      <c r="Q311" s="136" t="s">
        <v>4611</v>
      </c>
    </row>
    <row r="312" spans="1:17" ht="15.75" thickBot="1">
      <c r="A312" s="486"/>
      <c r="C312" s="55" t="s">
        <v>12915</v>
      </c>
      <c r="D312" s="488">
        <v>0</v>
      </c>
      <c r="E312" s="488">
        <v>0</v>
      </c>
      <c r="F312" s="488">
        <v>0</v>
      </c>
      <c r="G312" s="488">
        <v>0</v>
      </c>
      <c r="H312" s="488">
        <v>0</v>
      </c>
      <c r="I312" s="488">
        <v>0</v>
      </c>
      <c r="J312" s="488">
        <v>0</v>
      </c>
      <c r="K312" s="488">
        <v>0</v>
      </c>
      <c r="L312" s="488">
        <v>0</v>
      </c>
      <c r="M312" s="58">
        <v>528</v>
      </c>
      <c r="N312" s="58">
        <v>537</v>
      </c>
      <c r="O312" s="58">
        <v>539</v>
      </c>
      <c r="Q312" s="136" t="s">
        <v>6112</v>
      </c>
    </row>
    <row r="313" spans="1:17" ht="15.75" thickBot="1">
      <c r="A313" s="486"/>
      <c r="B313" s="486"/>
      <c r="C313" s="55" t="s">
        <v>12915</v>
      </c>
      <c r="D313" s="495">
        <f t="shared" ref="D313:M313" si="97">D311+D312</f>
        <v>0</v>
      </c>
      <c r="E313" s="495">
        <f t="shared" si="97"/>
        <v>0</v>
      </c>
      <c r="F313" s="495">
        <f t="shared" si="97"/>
        <v>0</v>
      </c>
      <c r="G313" s="495">
        <f t="shared" si="97"/>
        <v>0</v>
      </c>
      <c r="H313" s="495">
        <f t="shared" si="97"/>
        <v>0</v>
      </c>
      <c r="I313" s="495">
        <f t="shared" si="97"/>
        <v>0</v>
      </c>
      <c r="J313" s="495">
        <f t="shared" si="97"/>
        <v>0</v>
      </c>
      <c r="K313" s="495">
        <f t="shared" si="97"/>
        <v>0</v>
      </c>
      <c r="L313" s="495">
        <f t="shared" si="97"/>
        <v>0</v>
      </c>
      <c r="M313" s="495">
        <f t="shared" si="97"/>
        <v>2658</v>
      </c>
      <c r="N313" s="495">
        <f>N311+N312</f>
        <v>2751</v>
      </c>
      <c r="O313" s="495">
        <f>O311+O312</f>
        <v>2755</v>
      </c>
      <c r="Q313" s="486"/>
    </row>
    <row r="314" spans="1:17">
      <c r="D314" s="489"/>
      <c r="E314" s="489"/>
      <c r="F314" s="489"/>
      <c r="G314" s="489"/>
      <c r="H314" s="489"/>
      <c r="I314" s="489"/>
      <c r="J314" s="489"/>
      <c r="K314" s="489"/>
      <c r="L314" s="489"/>
      <c r="M314" s="489"/>
      <c r="N314" s="489"/>
      <c r="O314" s="489"/>
    </row>
    <row r="315" spans="1:17">
      <c r="A315" s="136" t="s">
        <v>1788</v>
      </c>
      <c r="D315" s="489">
        <f t="shared" ref="D315:L315" si="98">SUM(D288,D297,D304,D308,D311)</f>
        <v>15484</v>
      </c>
      <c r="E315" s="489">
        <f t="shared" si="98"/>
        <v>15512</v>
      </c>
      <c r="F315" s="489">
        <f t="shared" si="98"/>
        <v>15685</v>
      </c>
      <c r="G315" s="489">
        <f t="shared" si="98"/>
        <v>15963</v>
      </c>
      <c r="H315" s="489">
        <f t="shared" si="98"/>
        <v>15995</v>
      </c>
      <c r="I315" s="489">
        <f t="shared" si="98"/>
        <v>15825</v>
      </c>
      <c r="J315" s="489">
        <f t="shared" si="98"/>
        <v>15919</v>
      </c>
      <c r="K315" s="489">
        <f t="shared" si="98"/>
        <v>16712</v>
      </c>
      <c r="L315" s="489">
        <f t="shared" si="98"/>
        <v>16769</v>
      </c>
      <c r="M315" s="489">
        <f>SUM(M288,M297,M304,M308,M311)</f>
        <v>17156</v>
      </c>
      <c r="N315" s="489">
        <f>SUM(N288,N297,N304,N308,N311)</f>
        <v>18251</v>
      </c>
      <c r="O315" s="489">
        <f>SUM(O288,O297,O304,O308,O311)</f>
        <v>18258</v>
      </c>
    </row>
    <row r="316" spans="1:17">
      <c r="A316" s="486" t="s">
        <v>1879</v>
      </c>
      <c r="D316" s="488">
        <f t="shared" ref="D316:L316" si="99">D300</f>
        <v>4276</v>
      </c>
      <c r="E316" s="488">
        <f t="shared" si="99"/>
        <v>4265</v>
      </c>
      <c r="F316" s="488">
        <f t="shared" si="99"/>
        <v>4253</v>
      </c>
      <c r="G316" s="488">
        <f t="shared" si="99"/>
        <v>4279</v>
      </c>
      <c r="H316" s="488">
        <f t="shared" si="99"/>
        <v>4175</v>
      </c>
      <c r="I316" s="488">
        <f t="shared" si="99"/>
        <v>4118</v>
      </c>
      <c r="J316" s="488">
        <f t="shared" si="99"/>
        <v>4126</v>
      </c>
      <c r="K316" s="488">
        <f t="shared" si="99"/>
        <v>4301</v>
      </c>
      <c r="L316" s="488">
        <f t="shared" si="99"/>
        <v>4258</v>
      </c>
      <c r="M316" s="488">
        <f>M300</f>
        <v>4241</v>
      </c>
      <c r="N316" s="488">
        <f>N300</f>
        <v>4249</v>
      </c>
      <c r="O316" s="488">
        <f>O300</f>
        <v>4230</v>
      </c>
    </row>
    <row r="317" spans="1:17">
      <c r="A317" s="486" t="s">
        <v>6112</v>
      </c>
      <c r="D317" s="488">
        <f t="shared" ref="D317:L317" si="100">SUM(D284:D287,D289:D296,D298:D299,D301,D303,D305:D307,D309:D310,D312)</f>
        <v>76009</v>
      </c>
      <c r="E317" s="488">
        <f t="shared" si="100"/>
        <v>77316</v>
      </c>
      <c r="F317" s="488">
        <f t="shared" si="100"/>
        <v>77866</v>
      </c>
      <c r="G317" s="488">
        <f t="shared" si="100"/>
        <v>78985</v>
      </c>
      <c r="H317" s="488">
        <f t="shared" si="100"/>
        <v>79013</v>
      </c>
      <c r="I317" s="488">
        <f t="shared" si="100"/>
        <v>77828</v>
      </c>
      <c r="J317" s="488">
        <f t="shared" si="100"/>
        <v>78550</v>
      </c>
      <c r="K317" s="488">
        <f t="shared" si="100"/>
        <v>82874</v>
      </c>
      <c r="L317" s="488">
        <f t="shared" si="100"/>
        <v>82930</v>
      </c>
      <c r="M317" s="488">
        <f>SUM(M284:M287,M289:M296,M298:M299,M301,M303,M305:M307,M309:M310,M312)</f>
        <v>83940</v>
      </c>
      <c r="N317" s="488">
        <f>SUM(N284:N287,N289:N296,N298:N299,N301,N303,N305:N307,N309:N310,N312)</f>
        <v>86427</v>
      </c>
      <c r="O317" s="488">
        <f>SUM(O284:O287,O289:O296,O298:O299,O301,O303,O305:O307,O309:O310,O312)</f>
        <v>86421</v>
      </c>
    </row>
    <row r="319" spans="1:17">
      <c r="A319" s="136" t="s">
        <v>12918</v>
      </c>
    </row>
    <row r="320" spans="1:17">
      <c r="A320" s="136" t="s">
        <v>12919</v>
      </c>
    </row>
  </sheetData>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ignoredErrors>
    <ignoredError sqref="D97:K97 D153:K153 D134:K134 D258:K258 D3:K47 D81:K81 D71:K71 D55:H58 I55:K55 I58:K58 D52:K52 D89:K90 D126:K127 L274 L248 L251:L253 L314 L280:L282 L256:L258 L207:L210 L202 L3:L159 L205 L27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Q169"/>
  <sheetViews>
    <sheetView showGridLines="0" zoomScale="90" zoomScaleNormal="90" workbookViewId="0">
      <selection activeCell="S101" sqref="S101"/>
    </sheetView>
  </sheetViews>
  <sheetFormatPr defaultColWidth="12.5703125" defaultRowHeight="15"/>
  <cols>
    <col min="1" max="1" width="4.85546875" style="173" customWidth="1"/>
    <col min="2" max="2" width="40.7109375" style="173" customWidth="1"/>
    <col min="3" max="3" width="12.5703125" style="173" customWidth="1"/>
    <col min="4" max="15" width="10" style="173" customWidth="1"/>
    <col min="16" max="16" width="2.28515625" style="173" customWidth="1"/>
    <col min="17" max="17" width="30" style="173" customWidth="1"/>
    <col min="18" max="16384" width="12.5703125" style="173"/>
  </cols>
  <sheetData>
    <row r="1" spans="1:17">
      <c r="A1" s="276" t="s">
        <v>6924</v>
      </c>
      <c r="D1" s="51">
        <v>2010</v>
      </c>
      <c r="E1" s="51">
        <v>2011</v>
      </c>
      <c r="F1" s="51">
        <v>2012</v>
      </c>
      <c r="G1" s="51">
        <v>2013</v>
      </c>
      <c r="H1" s="51">
        <v>2014</v>
      </c>
      <c r="I1" s="51">
        <v>2015</v>
      </c>
      <c r="J1" s="51">
        <v>2016</v>
      </c>
      <c r="K1" s="51">
        <v>2017</v>
      </c>
      <c r="L1" s="51">
        <v>2018</v>
      </c>
      <c r="M1" s="51">
        <v>2019</v>
      </c>
      <c r="N1" s="51">
        <v>2020</v>
      </c>
      <c r="O1" s="992" t="s">
        <v>14823</v>
      </c>
    </row>
    <row r="3" spans="1:17">
      <c r="A3" s="206" t="s">
        <v>2529</v>
      </c>
      <c r="C3" s="206"/>
      <c r="D3" s="895">
        <f t="shared" ref="D3:I3" si="0">D43</f>
        <v>110958</v>
      </c>
      <c r="E3" s="895">
        <f t="shared" si="0"/>
        <v>112268</v>
      </c>
      <c r="F3" s="895">
        <f t="shared" si="0"/>
        <v>114213</v>
      </c>
      <c r="G3" s="895">
        <f t="shared" si="0"/>
        <v>115242</v>
      </c>
      <c r="H3" s="895">
        <f t="shared" si="0"/>
        <v>117223</v>
      </c>
      <c r="I3" s="895">
        <f t="shared" si="0"/>
        <v>114202</v>
      </c>
      <c r="J3" s="895">
        <f t="shared" ref="J3:O3" si="1">J43</f>
        <v>118210</v>
      </c>
      <c r="K3" s="895">
        <f t="shared" si="1"/>
        <v>119397</v>
      </c>
      <c r="L3" s="895">
        <f t="shared" si="1"/>
        <v>120132</v>
      </c>
      <c r="M3" s="895">
        <f t="shared" si="1"/>
        <v>118988</v>
      </c>
      <c r="N3" s="895">
        <f t="shared" si="1"/>
        <v>121731</v>
      </c>
      <c r="O3" s="895">
        <f t="shared" si="1"/>
        <v>122986</v>
      </c>
    </row>
    <row r="4" spans="1:17">
      <c r="A4" s="206" t="s">
        <v>2530</v>
      </c>
      <c r="C4" s="206"/>
      <c r="D4" s="895">
        <f t="shared" ref="D4:I4" si="2">D92</f>
        <v>191765</v>
      </c>
      <c r="E4" s="895">
        <f t="shared" si="2"/>
        <v>192536</v>
      </c>
      <c r="F4" s="895">
        <f t="shared" si="2"/>
        <v>196284</v>
      </c>
      <c r="G4" s="895">
        <f t="shared" si="2"/>
        <v>199191</v>
      </c>
      <c r="H4" s="895">
        <f t="shared" si="2"/>
        <v>202078</v>
      </c>
      <c r="I4" s="895">
        <f t="shared" si="2"/>
        <v>199782</v>
      </c>
      <c r="J4" s="895">
        <f t="shared" ref="J4:O4" si="3">J92</f>
        <v>197493</v>
      </c>
      <c r="K4" s="895">
        <f t="shared" si="3"/>
        <v>202047</v>
      </c>
      <c r="L4" s="895">
        <f t="shared" si="3"/>
        <v>205651</v>
      </c>
      <c r="M4" s="895">
        <f t="shared" si="3"/>
        <v>204027</v>
      </c>
      <c r="N4" s="895">
        <f t="shared" si="3"/>
        <v>210243</v>
      </c>
      <c r="O4" s="895">
        <f t="shared" si="3"/>
        <v>212145</v>
      </c>
    </row>
    <row r="5" spans="1:17" ht="15.75" thickBot="1">
      <c r="A5" s="206" t="s">
        <v>2531</v>
      </c>
      <c r="C5" s="206"/>
      <c r="D5" s="896">
        <f t="shared" ref="D5:I5" si="4">D143</f>
        <v>126090</v>
      </c>
      <c r="E5" s="896">
        <f t="shared" si="4"/>
        <v>127286</v>
      </c>
      <c r="F5" s="896">
        <f t="shared" si="4"/>
        <v>131069</v>
      </c>
      <c r="G5" s="896">
        <f t="shared" si="4"/>
        <v>134116</v>
      </c>
      <c r="H5" s="896">
        <f t="shared" si="4"/>
        <v>131480</v>
      </c>
      <c r="I5" s="896">
        <f t="shared" si="4"/>
        <v>125886</v>
      </c>
      <c r="J5" s="896">
        <f t="shared" ref="J5:O5" si="5">J143</f>
        <v>123871</v>
      </c>
      <c r="K5" s="896">
        <f t="shared" si="5"/>
        <v>127033</v>
      </c>
      <c r="L5" s="896">
        <f t="shared" si="5"/>
        <v>127400</v>
      </c>
      <c r="M5" s="896">
        <f t="shared" si="5"/>
        <v>128620</v>
      </c>
      <c r="N5" s="896">
        <f t="shared" si="5"/>
        <v>131026</v>
      </c>
      <c r="O5" s="896">
        <f t="shared" si="5"/>
        <v>132191</v>
      </c>
    </row>
    <row r="6" spans="1:17" ht="15.75" thickBot="1">
      <c r="D6" s="896">
        <f t="shared" ref="D6:I6" si="6">SUM(D3:D5)</f>
        <v>428813</v>
      </c>
      <c r="E6" s="896">
        <f t="shared" si="6"/>
        <v>432090</v>
      </c>
      <c r="F6" s="896">
        <f t="shared" si="6"/>
        <v>441566</v>
      </c>
      <c r="G6" s="896">
        <f t="shared" si="6"/>
        <v>448549</v>
      </c>
      <c r="H6" s="896">
        <f t="shared" si="6"/>
        <v>450781</v>
      </c>
      <c r="I6" s="896">
        <f t="shared" si="6"/>
        <v>439870</v>
      </c>
      <c r="J6" s="896">
        <f t="shared" ref="J6:O6" si="7">SUM(J3:J5)</f>
        <v>439574</v>
      </c>
      <c r="K6" s="896">
        <f t="shared" si="7"/>
        <v>448477</v>
      </c>
      <c r="L6" s="896">
        <f t="shared" si="7"/>
        <v>453183</v>
      </c>
      <c r="M6" s="896">
        <f t="shared" si="7"/>
        <v>451635</v>
      </c>
      <c r="N6" s="896">
        <f t="shared" si="7"/>
        <v>463000</v>
      </c>
      <c r="O6" s="896">
        <f t="shared" si="7"/>
        <v>467322</v>
      </c>
    </row>
    <row r="7" spans="1:17">
      <c r="D7" s="897"/>
      <c r="E7" s="897"/>
      <c r="F7" s="897"/>
      <c r="G7" s="897"/>
      <c r="H7" s="897"/>
      <c r="I7" s="897"/>
      <c r="J7" s="897"/>
      <c r="K7" s="897"/>
      <c r="L7" s="897"/>
      <c r="M7" s="897"/>
      <c r="N7" s="897"/>
      <c r="O7" s="897"/>
    </row>
    <row r="8" spans="1:17">
      <c r="A8" s="206" t="s">
        <v>2532</v>
      </c>
      <c r="D8" s="895">
        <f t="shared" ref="D8:I10" si="8">D3/2</f>
        <v>55479</v>
      </c>
      <c r="E8" s="895">
        <f t="shared" si="8"/>
        <v>56134</v>
      </c>
      <c r="F8" s="895">
        <f t="shared" si="8"/>
        <v>57106.5</v>
      </c>
      <c r="G8" s="895">
        <f t="shared" si="8"/>
        <v>57621</v>
      </c>
      <c r="H8" s="895">
        <f t="shared" si="8"/>
        <v>58611.5</v>
      </c>
      <c r="I8" s="895">
        <f t="shared" si="8"/>
        <v>57101</v>
      </c>
      <c r="J8" s="895">
        <f t="shared" ref="J8:O10" si="9">J3/2</f>
        <v>59105</v>
      </c>
      <c r="K8" s="895">
        <f t="shared" si="9"/>
        <v>59698.5</v>
      </c>
      <c r="L8" s="895">
        <f t="shared" si="9"/>
        <v>60066</v>
      </c>
      <c r="M8" s="895">
        <f t="shared" si="9"/>
        <v>59494</v>
      </c>
      <c r="N8" s="895">
        <f t="shared" si="9"/>
        <v>60865.5</v>
      </c>
      <c r="O8" s="895">
        <f t="shared" si="9"/>
        <v>61493</v>
      </c>
    </row>
    <row r="9" spans="1:17">
      <c r="A9" s="206" t="s">
        <v>109</v>
      </c>
      <c r="D9" s="895">
        <f t="shared" si="8"/>
        <v>95882.5</v>
      </c>
      <c r="E9" s="895">
        <f t="shared" si="8"/>
        <v>96268</v>
      </c>
      <c r="F9" s="895">
        <f t="shared" si="8"/>
        <v>98142</v>
      </c>
      <c r="G9" s="895">
        <f t="shared" si="8"/>
        <v>99595.5</v>
      </c>
      <c r="H9" s="895">
        <f t="shared" si="8"/>
        <v>101039</v>
      </c>
      <c r="I9" s="895">
        <f t="shared" si="8"/>
        <v>99891</v>
      </c>
      <c r="J9" s="895">
        <f t="shared" si="9"/>
        <v>98746.5</v>
      </c>
      <c r="K9" s="895">
        <f t="shared" si="9"/>
        <v>101023.5</v>
      </c>
      <c r="L9" s="895">
        <f t="shared" si="9"/>
        <v>102825.5</v>
      </c>
      <c r="M9" s="895">
        <f t="shared" si="9"/>
        <v>102013.5</v>
      </c>
      <c r="N9" s="895">
        <f t="shared" si="9"/>
        <v>105121.5</v>
      </c>
      <c r="O9" s="895">
        <f t="shared" si="9"/>
        <v>106072.5</v>
      </c>
    </row>
    <row r="10" spans="1:17">
      <c r="A10" s="206" t="s">
        <v>2534</v>
      </c>
      <c r="D10" s="895">
        <f t="shared" si="8"/>
        <v>63045</v>
      </c>
      <c r="E10" s="895">
        <f t="shared" si="8"/>
        <v>63643</v>
      </c>
      <c r="F10" s="895">
        <f t="shared" si="8"/>
        <v>65534.5</v>
      </c>
      <c r="G10" s="895">
        <f t="shared" si="8"/>
        <v>67058</v>
      </c>
      <c r="H10" s="895">
        <f t="shared" si="8"/>
        <v>65740</v>
      </c>
      <c r="I10" s="895">
        <f t="shared" si="8"/>
        <v>62943</v>
      </c>
      <c r="J10" s="895">
        <f t="shared" si="9"/>
        <v>61935.5</v>
      </c>
      <c r="K10" s="895">
        <f t="shared" si="9"/>
        <v>63516.5</v>
      </c>
      <c r="L10" s="895">
        <f t="shared" si="9"/>
        <v>63700</v>
      </c>
      <c r="M10" s="895">
        <f t="shared" si="9"/>
        <v>64310</v>
      </c>
      <c r="N10" s="895">
        <f t="shared" si="9"/>
        <v>65513</v>
      </c>
      <c r="O10" s="895">
        <f t="shared" si="9"/>
        <v>66095.5</v>
      </c>
    </row>
    <row r="11" spans="1:17">
      <c r="A11" s="206" t="s">
        <v>5868</v>
      </c>
      <c r="D11" s="895">
        <f t="shared" ref="D11:I11" si="10">D6/6</f>
        <v>71468.833333333328</v>
      </c>
      <c r="E11" s="895">
        <f t="shared" si="10"/>
        <v>72015</v>
      </c>
      <c r="F11" s="895">
        <f t="shared" si="10"/>
        <v>73594.333333333328</v>
      </c>
      <c r="G11" s="895">
        <f t="shared" si="10"/>
        <v>74758.166666666672</v>
      </c>
      <c r="H11" s="895">
        <f t="shared" si="10"/>
        <v>75130.166666666672</v>
      </c>
      <c r="I11" s="895">
        <f t="shared" si="10"/>
        <v>73311.666666666672</v>
      </c>
      <c r="J11" s="895">
        <f t="shared" ref="J11:O11" si="11">J6/6</f>
        <v>73262.333333333328</v>
      </c>
      <c r="K11" s="895">
        <f t="shared" si="11"/>
        <v>74746.166666666672</v>
      </c>
      <c r="L11" s="895">
        <f t="shared" si="11"/>
        <v>75530.5</v>
      </c>
      <c r="M11" s="895">
        <f t="shared" si="11"/>
        <v>75272.5</v>
      </c>
      <c r="N11" s="895">
        <f t="shared" si="11"/>
        <v>77166.666666666672</v>
      </c>
      <c r="O11" s="895">
        <f t="shared" si="11"/>
        <v>77887</v>
      </c>
    </row>
    <row r="12" spans="1:17">
      <c r="D12" s="897"/>
      <c r="E12" s="897"/>
      <c r="F12" s="897"/>
      <c r="G12" s="897"/>
      <c r="H12" s="897"/>
      <c r="I12" s="897"/>
      <c r="J12" s="897"/>
      <c r="K12" s="897"/>
      <c r="L12" s="897"/>
      <c r="M12" s="897"/>
      <c r="N12" s="897"/>
      <c r="O12" s="897"/>
    </row>
    <row r="13" spans="1:17">
      <c r="A13" s="206" t="s">
        <v>5869</v>
      </c>
      <c r="D13" s="895">
        <f>D83</f>
        <v>68692</v>
      </c>
      <c r="E13" s="895">
        <f>E83</f>
        <v>69019</v>
      </c>
      <c r="F13" s="895">
        <f t="shared" ref="F13:K13" si="12">F83</f>
        <v>69938</v>
      </c>
      <c r="G13" s="895">
        <f t="shared" si="12"/>
        <v>69782</v>
      </c>
      <c r="H13" s="895">
        <f t="shared" si="12"/>
        <v>70766</v>
      </c>
      <c r="I13" s="895">
        <f t="shared" si="12"/>
        <v>67998</v>
      </c>
      <c r="J13" s="895">
        <f t="shared" si="12"/>
        <v>70259</v>
      </c>
      <c r="K13" s="895">
        <f t="shared" si="12"/>
        <v>70465</v>
      </c>
      <c r="L13" s="895">
        <f>L83</f>
        <v>70364</v>
      </c>
      <c r="M13" s="895">
        <f>M83</f>
        <v>68946</v>
      </c>
      <c r="N13" s="895">
        <f>N83</f>
        <v>70013</v>
      </c>
      <c r="O13" s="895">
        <f>O83</f>
        <v>70533</v>
      </c>
      <c r="Q13" s="206" t="s">
        <v>5870</v>
      </c>
    </row>
    <row r="14" spans="1:17">
      <c r="D14" s="897"/>
      <c r="E14" s="897"/>
      <c r="F14" s="897"/>
      <c r="G14" s="897"/>
      <c r="H14" s="897"/>
      <c r="I14" s="897"/>
      <c r="J14" s="897"/>
      <c r="K14" s="897"/>
      <c r="L14" s="897"/>
      <c r="M14" s="897"/>
      <c r="N14" s="897"/>
      <c r="O14" s="897"/>
    </row>
    <row r="15" spans="1:17">
      <c r="A15" s="206" t="s">
        <v>5871</v>
      </c>
      <c r="D15" s="895">
        <f t="shared" ref="D15:I15" si="13">D164</f>
        <v>65721</v>
      </c>
      <c r="E15" s="895">
        <f t="shared" si="13"/>
        <v>66273</v>
      </c>
      <c r="F15" s="895">
        <f t="shared" si="13"/>
        <v>67949</v>
      </c>
      <c r="G15" s="895">
        <f t="shared" si="13"/>
        <v>68673</v>
      </c>
      <c r="H15" s="895">
        <f t="shared" si="13"/>
        <v>68072</v>
      </c>
      <c r="I15" s="895">
        <f t="shared" si="13"/>
        <v>65918</v>
      </c>
      <c r="J15" s="895">
        <f t="shared" ref="J15:O15" si="14">J164</f>
        <v>64552</v>
      </c>
      <c r="K15" s="895">
        <f t="shared" si="14"/>
        <v>66145</v>
      </c>
      <c r="L15" s="895">
        <f t="shared" si="14"/>
        <v>66272</v>
      </c>
      <c r="M15" s="895">
        <f t="shared" si="14"/>
        <v>66828</v>
      </c>
      <c r="N15" s="895">
        <f t="shared" si="14"/>
        <v>67670</v>
      </c>
      <c r="O15" s="895">
        <f t="shared" si="14"/>
        <v>68080</v>
      </c>
      <c r="Q15" s="206" t="s">
        <v>5872</v>
      </c>
    </row>
    <row r="16" spans="1:17">
      <c r="D16" s="897"/>
      <c r="E16" s="897"/>
      <c r="F16" s="897"/>
      <c r="G16" s="897"/>
      <c r="H16" s="897"/>
      <c r="I16" s="897"/>
      <c r="J16" s="897"/>
      <c r="K16" s="897"/>
      <c r="L16" s="897"/>
      <c r="M16" s="897"/>
      <c r="N16" s="897"/>
      <c r="O16" s="897"/>
    </row>
    <row r="17" spans="1:17">
      <c r="A17" s="206" t="s">
        <v>5873</v>
      </c>
      <c r="D17" s="895">
        <f t="shared" ref="D17:I17" si="15">D165</f>
        <v>60369</v>
      </c>
      <c r="E17" s="895">
        <f t="shared" si="15"/>
        <v>61013</v>
      </c>
      <c r="F17" s="895">
        <f t="shared" si="15"/>
        <v>63120</v>
      </c>
      <c r="G17" s="895">
        <f t="shared" si="15"/>
        <v>65443</v>
      </c>
      <c r="H17" s="895">
        <f t="shared" si="15"/>
        <v>63408</v>
      </c>
      <c r="I17" s="895">
        <f t="shared" si="15"/>
        <v>59968</v>
      </c>
      <c r="J17" s="895">
        <f t="shared" ref="J17:O17" si="16">J165</f>
        <v>59319</v>
      </c>
      <c r="K17" s="895">
        <f t="shared" si="16"/>
        <v>60888</v>
      </c>
      <c r="L17" s="895">
        <f t="shared" si="16"/>
        <v>61128</v>
      </c>
      <c r="M17" s="895">
        <f t="shared" si="16"/>
        <v>61792</v>
      </c>
      <c r="N17" s="895">
        <f t="shared" si="16"/>
        <v>63356</v>
      </c>
      <c r="O17" s="895">
        <f t="shared" si="16"/>
        <v>64111</v>
      </c>
      <c r="Q17" s="206" t="s">
        <v>5872</v>
      </c>
    </row>
    <row r="18" spans="1:17" ht="15.75" thickBot="1">
      <c r="D18" s="896">
        <f t="shared" ref="D18:O18" si="17">D133</f>
        <v>4815</v>
      </c>
      <c r="E18" s="896">
        <f t="shared" si="17"/>
        <v>4876</v>
      </c>
      <c r="F18" s="896">
        <f t="shared" si="17"/>
        <v>4918</v>
      </c>
      <c r="G18" s="896">
        <f t="shared" si="17"/>
        <v>4966</v>
      </c>
      <c r="H18" s="896">
        <f t="shared" si="17"/>
        <v>4926</v>
      </c>
      <c r="I18" s="896">
        <f t="shared" si="17"/>
        <v>4904</v>
      </c>
      <c r="J18" s="896">
        <f t="shared" si="17"/>
        <v>4817</v>
      </c>
      <c r="K18" s="896">
        <f t="shared" si="17"/>
        <v>4889</v>
      </c>
      <c r="L18" s="896">
        <f t="shared" si="17"/>
        <v>4927</v>
      </c>
      <c r="M18" s="896">
        <f t="shared" si="17"/>
        <v>4835</v>
      </c>
      <c r="N18" s="896">
        <f t="shared" si="17"/>
        <v>5045</v>
      </c>
      <c r="O18" s="896">
        <f t="shared" si="17"/>
        <v>5339</v>
      </c>
      <c r="Q18" s="206" t="s">
        <v>1520</v>
      </c>
    </row>
    <row r="19" spans="1:17" ht="15.75" thickBot="1">
      <c r="D19" s="896">
        <f t="shared" ref="D19:I19" si="18">D17+D18</f>
        <v>65184</v>
      </c>
      <c r="E19" s="896">
        <f t="shared" si="18"/>
        <v>65889</v>
      </c>
      <c r="F19" s="896">
        <f t="shared" si="18"/>
        <v>68038</v>
      </c>
      <c r="G19" s="896">
        <f t="shared" si="18"/>
        <v>70409</v>
      </c>
      <c r="H19" s="896">
        <f t="shared" si="18"/>
        <v>68334</v>
      </c>
      <c r="I19" s="896">
        <f t="shared" si="18"/>
        <v>64872</v>
      </c>
      <c r="J19" s="896">
        <f t="shared" ref="J19:O19" si="19">J17+J18</f>
        <v>64136</v>
      </c>
      <c r="K19" s="896">
        <f t="shared" si="19"/>
        <v>65777</v>
      </c>
      <c r="L19" s="896">
        <f t="shared" si="19"/>
        <v>66055</v>
      </c>
      <c r="M19" s="896">
        <f t="shared" si="19"/>
        <v>66627</v>
      </c>
      <c r="N19" s="896">
        <f t="shared" si="19"/>
        <v>68401</v>
      </c>
      <c r="O19" s="896">
        <f t="shared" si="19"/>
        <v>69450</v>
      </c>
    </row>
    <row r="20" spans="1:17">
      <c r="D20" s="897"/>
      <c r="E20" s="897"/>
      <c r="F20" s="897"/>
      <c r="G20" s="897"/>
      <c r="H20" s="897"/>
      <c r="I20" s="897"/>
      <c r="J20" s="897"/>
      <c r="K20" s="897"/>
      <c r="L20" s="897"/>
      <c r="M20" s="897"/>
      <c r="N20" s="897"/>
      <c r="O20" s="897"/>
    </row>
    <row r="21" spans="1:17">
      <c r="A21" s="206" t="s">
        <v>1521</v>
      </c>
      <c r="D21" s="895">
        <f t="shared" ref="D21:I21" si="20">D84</f>
        <v>10468</v>
      </c>
      <c r="E21" s="895">
        <f t="shared" si="20"/>
        <v>10824</v>
      </c>
      <c r="F21" s="895">
        <f t="shared" si="20"/>
        <v>11163</v>
      </c>
      <c r="G21" s="895">
        <f t="shared" si="20"/>
        <v>11495</v>
      </c>
      <c r="H21" s="895">
        <f t="shared" si="20"/>
        <v>11882</v>
      </c>
      <c r="I21" s="895">
        <f t="shared" si="20"/>
        <v>11954</v>
      </c>
      <c r="J21" s="895">
        <f t="shared" ref="J21:O21" si="21">J84</f>
        <v>12658</v>
      </c>
      <c r="K21" s="895">
        <f t="shared" si="21"/>
        <v>13132</v>
      </c>
      <c r="L21" s="895">
        <f t="shared" si="21"/>
        <v>13565</v>
      </c>
      <c r="M21" s="895">
        <f t="shared" si="21"/>
        <v>13873</v>
      </c>
      <c r="N21" s="895">
        <f t="shared" si="21"/>
        <v>14808</v>
      </c>
      <c r="O21" s="895">
        <f t="shared" si="21"/>
        <v>15119</v>
      </c>
      <c r="Q21" s="206" t="s">
        <v>5870</v>
      </c>
    </row>
    <row r="22" spans="1:17" ht="15.75" thickBot="1">
      <c r="D22" s="896">
        <f t="shared" ref="D22:O22" si="22">D134</f>
        <v>65446</v>
      </c>
      <c r="E22" s="896">
        <f t="shared" si="22"/>
        <v>65557</v>
      </c>
      <c r="F22" s="896">
        <f t="shared" si="22"/>
        <v>66647</v>
      </c>
      <c r="G22" s="896">
        <f t="shared" si="22"/>
        <v>67577</v>
      </c>
      <c r="H22" s="896">
        <f t="shared" si="22"/>
        <v>68607</v>
      </c>
      <c r="I22" s="896">
        <f t="shared" si="22"/>
        <v>68064</v>
      </c>
      <c r="J22" s="896">
        <f t="shared" si="22"/>
        <v>67411</v>
      </c>
      <c r="K22" s="896">
        <f t="shared" si="22"/>
        <v>69230</v>
      </c>
      <c r="L22" s="896">
        <f t="shared" si="22"/>
        <v>70647</v>
      </c>
      <c r="M22" s="896">
        <f t="shared" si="22"/>
        <v>70182</v>
      </c>
      <c r="N22" s="896">
        <f t="shared" si="22"/>
        <v>72858</v>
      </c>
      <c r="O22" s="896">
        <f t="shared" si="22"/>
        <v>73670</v>
      </c>
      <c r="Q22" s="206" t="s">
        <v>1520</v>
      </c>
    </row>
    <row r="23" spans="1:17" ht="15.75" thickBot="1">
      <c r="D23" s="896">
        <f t="shared" ref="D23:I23" si="23">SUM(D21:D22)</f>
        <v>75914</v>
      </c>
      <c r="E23" s="896">
        <f t="shared" si="23"/>
        <v>76381</v>
      </c>
      <c r="F23" s="896">
        <f t="shared" si="23"/>
        <v>77810</v>
      </c>
      <c r="G23" s="896">
        <f t="shared" si="23"/>
        <v>79072</v>
      </c>
      <c r="H23" s="896">
        <f t="shared" si="23"/>
        <v>80489</v>
      </c>
      <c r="I23" s="896">
        <f t="shared" si="23"/>
        <v>80018</v>
      </c>
      <c r="J23" s="896">
        <f t="shared" ref="J23:O23" si="24">SUM(J21:J22)</f>
        <v>80069</v>
      </c>
      <c r="K23" s="896">
        <f t="shared" si="24"/>
        <v>82362</v>
      </c>
      <c r="L23" s="896">
        <f t="shared" si="24"/>
        <v>84212</v>
      </c>
      <c r="M23" s="896">
        <f t="shared" si="24"/>
        <v>84055</v>
      </c>
      <c r="N23" s="896">
        <f t="shared" si="24"/>
        <v>87666</v>
      </c>
      <c r="O23" s="896">
        <f t="shared" si="24"/>
        <v>88789</v>
      </c>
    </row>
    <row r="24" spans="1:17">
      <c r="D24" s="897"/>
      <c r="E24" s="897"/>
      <c r="F24" s="897"/>
      <c r="G24" s="897"/>
      <c r="H24" s="897"/>
      <c r="I24" s="897"/>
      <c r="J24" s="897"/>
      <c r="K24" s="897"/>
      <c r="L24" s="897"/>
      <c r="M24" s="897"/>
      <c r="N24" s="897"/>
      <c r="O24" s="897"/>
    </row>
    <row r="25" spans="1:17">
      <c r="A25" s="206" t="s">
        <v>1522</v>
      </c>
      <c r="D25" s="895">
        <f t="shared" ref="D25:I25" si="25">D85</f>
        <v>31798</v>
      </c>
      <c r="E25" s="895">
        <f t="shared" si="25"/>
        <v>32425</v>
      </c>
      <c r="F25" s="895">
        <f t="shared" si="25"/>
        <v>33112</v>
      </c>
      <c r="G25" s="895">
        <f t="shared" si="25"/>
        <v>33965</v>
      </c>
      <c r="H25" s="895">
        <f t="shared" si="25"/>
        <v>34575</v>
      </c>
      <c r="I25" s="895">
        <f t="shared" si="25"/>
        <v>34250</v>
      </c>
      <c r="J25" s="895">
        <f t="shared" ref="J25:O25" si="26">J85</f>
        <v>35293</v>
      </c>
      <c r="K25" s="895">
        <f t="shared" si="26"/>
        <v>35800</v>
      </c>
      <c r="L25" s="895">
        <f t="shared" si="26"/>
        <v>36203</v>
      </c>
      <c r="M25" s="895">
        <f t="shared" si="26"/>
        <v>36169</v>
      </c>
      <c r="N25" s="895">
        <f t="shared" si="26"/>
        <v>36910</v>
      </c>
      <c r="O25" s="895">
        <f t="shared" si="26"/>
        <v>37334</v>
      </c>
      <c r="Q25" s="206" t="s">
        <v>5870</v>
      </c>
    </row>
    <row r="26" spans="1:17" ht="15.75" thickBot="1">
      <c r="D26" s="896">
        <f t="shared" ref="D26:O26" si="27">D135</f>
        <v>45393</v>
      </c>
      <c r="E26" s="896">
        <f t="shared" si="27"/>
        <v>45925</v>
      </c>
      <c r="F26" s="896">
        <f t="shared" si="27"/>
        <v>47099</v>
      </c>
      <c r="G26" s="896">
        <f t="shared" si="27"/>
        <v>47958</v>
      </c>
      <c r="H26" s="896">
        <f t="shared" si="27"/>
        <v>49028</v>
      </c>
      <c r="I26" s="896">
        <f t="shared" si="27"/>
        <v>48472</v>
      </c>
      <c r="J26" s="896">
        <f t="shared" si="27"/>
        <v>48306</v>
      </c>
      <c r="K26" s="896">
        <f t="shared" si="27"/>
        <v>49743</v>
      </c>
      <c r="L26" s="896">
        <f t="shared" si="27"/>
        <v>50940</v>
      </c>
      <c r="M26" s="896">
        <f t="shared" si="27"/>
        <v>50821</v>
      </c>
      <c r="N26" s="896">
        <f t="shared" si="27"/>
        <v>52607</v>
      </c>
      <c r="O26" s="896">
        <f t="shared" si="27"/>
        <v>53134</v>
      </c>
      <c r="Q26" s="206" t="s">
        <v>1520</v>
      </c>
    </row>
    <row r="27" spans="1:17" ht="15.75" thickBot="1">
      <c r="D27" s="896">
        <f t="shared" ref="D27:I27" si="28">D25+D26</f>
        <v>77191</v>
      </c>
      <c r="E27" s="896">
        <f t="shared" si="28"/>
        <v>78350</v>
      </c>
      <c r="F27" s="896">
        <f t="shared" si="28"/>
        <v>80211</v>
      </c>
      <c r="G27" s="896">
        <f t="shared" si="28"/>
        <v>81923</v>
      </c>
      <c r="H27" s="896">
        <f t="shared" si="28"/>
        <v>83603</v>
      </c>
      <c r="I27" s="896">
        <f t="shared" si="28"/>
        <v>82722</v>
      </c>
      <c r="J27" s="896">
        <f t="shared" ref="J27:O27" si="29">J25+J26</f>
        <v>83599</v>
      </c>
      <c r="K27" s="896">
        <f t="shared" si="29"/>
        <v>85543</v>
      </c>
      <c r="L27" s="896">
        <f t="shared" si="29"/>
        <v>87143</v>
      </c>
      <c r="M27" s="896">
        <f t="shared" si="29"/>
        <v>86990</v>
      </c>
      <c r="N27" s="896">
        <f t="shared" si="29"/>
        <v>89517</v>
      </c>
      <c r="O27" s="896">
        <f t="shared" si="29"/>
        <v>90468</v>
      </c>
    </row>
    <row r="28" spans="1:17">
      <c r="D28" s="897"/>
      <c r="E28" s="897"/>
      <c r="F28" s="897"/>
      <c r="G28" s="897"/>
      <c r="H28" s="897"/>
      <c r="I28" s="897"/>
      <c r="J28" s="897"/>
      <c r="K28" s="897"/>
      <c r="L28" s="897"/>
      <c r="M28" s="897"/>
      <c r="N28" s="897"/>
      <c r="O28" s="897"/>
    </row>
    <row r="29" spans="1:17">
      <c r="A29" s="206" t="s">
        <v>1523</v>
      </c>
      <c r="D29" s="895">
        <f t="shared" ref="D29:O29" si="30">D136</f>
        <v>76111</v>
      </c>
      <c r="E29" s="895">
        <f t="shared" si="30"/>
        <v>76178</v>
      </c>
      <c r="F29" s="895">
        <f t="shared" si="30"/>
        <v>77620</v>
      </c>
      <c r="G29" s="895">
        <f t="shared" si="30"/>
        <v>78690</v>
      </c>
      <c r="H29" s="895">
        <f t="shared" si="30"/>
        <v>79517</v>
      </c>
      <c r="I29" s="895">
        <f t="shared" si="30"/>
        <v>78342</v>
      </c>
      <c r="J29" s="895">
        <f t="shared" si="30"/>
        <v>76959</v>
      </c>
      <c r="K29" s="895">
        <f t="shared" si="30"/>
        <v>78185</v>
      </c>
      <c r="L29" s="895">
        <f t="shared" si="30"/>
        <v>79137</v>
      </c>
      <c r="M29" s="895">
        <f t="shared" si="30"/>
        <v>78189</v>
      </c>
      <c r="N29" s="895">
        <f t="shared" si="30"/>
        <v>79733</v>
      </c>
      <c r="O29" s="895">
        <f t="shared" si="30"/>
        <v>80002</v>
      </c>
      <c r="Q29" s="206" t="s">
        <v>1520</v>
      </c>
    </row>
    <row r="30" spans="1:17">
      <c r="D30" s="897"/>
      <c r="E30" s="897"/>
      <c r="F30" s="897"/>
      <c r="G30" s="897"/>
      <c r="H30" s="897"/>
      <c r="I30" s="897"/>
      <c r="J30" s="897"/>
      <c r="K30" s="897"/>
      <c r="L30" s="897"/>
      <c r="M30" s="897"/>
      <c r="N30" s="897"/>
      <c r="O30" s="897"/>
    </row>
    <row r="31" spans="1:17">
      <c r="A31" s="206" t="s">
        <v>6796</v>
      </c>
      <c r="D31" s="895">
        <f t="shared" ref="D31:I31" si="31">D13+D15+D19+D23+D27+D29</f>
        <v>428813</v>
      </c>
      <c r="E31" s="895">
        <f t="shared" si="31"/>
        <v>432090</v>
      </c>
      <c r="F31" s="895">
        <f t="shared" si="31"/>
        <v>441566</v>
      </c>
      <c r="G31" s="895">
        <f t="shared" si="31"/>
        <v>448549</v>
      </c>
      <c r="H31" s="895">
        <f t="shared" si="31"/>
        <v>450781</v>
      </c>
      <c r="I31" s="895">
        <f t="shared" si="31"/>
        <v>439870</v>
      </c>
      <c r="J31" s="895">
        <f t="shared" ref="J31:O31" si="32">J13+J15+J19+J23+J27+J29</f>
        <v>439574</v>
      </c>
      <c r="K31" s="895">
        <f t="shared" si="32"/>
        <v>448477</v>
      </c>
      <c r="L31" s="895">
        <f t="shared" si="32"/>
        <v>453183</v>
      </c>
      <c r="M31" s="895">
        <f t="shared" si="32"/>
        <v>451635</v>
      </c>
      <c r="N31" s="895">
        <f t="shared" si="32"/>
        <v>463000</v>
      </c>
      <c r="O31" s="895">
        <f t="shared" si="32"/>
        <v>467322</v>
      </c>
    </row>
    <row r="32" spans="1:17">
      <c r="D32" s="897"/>
      <c r="E32" s="897"/>
      <c r="F32" s="897"/>
      <c r="G32" s="897"/>
      <c r="H32" s="897"/>
      <c r="I32" s="897"/>
      <c r="J32" s="897"/>
      <c r="K32" s="897"/>
      <c r="L32" s="897"/>
      <c r="M32" s="897"/>
      <c r="N32" s="897"/>
      <c r="O32" s="897"/>
    </row>
    <row r="33" spans="1:17">
      <c r="A33" s="206" t="s">
        <v>6797</v>
      </c>
      <c r="D33" s="895">
        <f t="shared" ref="D33:I33" si="33">MAX(D13,D15,D19,D23,D27,D29)-MIN(D13,D15,D19,D23,D27,D29)</f>
        <v>12007</v>
      </c>
      <c r="E33" s="895">
        <f t="shared" si="33"/>
        <v>12461</v>
      </c>
      <c r="F33" s="895">
        <f t="shared" si="33"/>
        <v>12262</v>
      </c>
      <c r="G33" s="895">
        <f t="shared" si="33"/>
        <v>13250</v>
      </c>
      <c r="H33" s="895">
        <f t="shared" si="33"/>
        <v>15531</v>
      </c>
      <c r="I33" s="895">
        <f t="shared" si="33"/>
        <v>17850</v>
      </c>
      <c r="J33" s="895">
        <f t="shared" ref="J33:O33" si="34">MAX(J13,J15,J19,J23,J27,J29)-MIN(J13,J15,J19,J23,J27,J29)</f>
        <v>19463</v>
      </c>
      <c r="K33" s="895">
        <f t="shared" si="34"/>
        <v>19766</v>
      </c>
      <c r="L33" s="895">
        <f t="shared" si="34"/>
        <v>21088</v>
      </c>
      <c r="M33" s="895">
        <f t="shared" si="34"/>
        <v>20363</v>
      </c>
      <c r="N33" s="895">
        <f t="shared" si="34"/>
        <v>21847</v>
      </c>
      <c r="O33" s="895">
        <f t="shared" si="34"/>
        <v>22388</v>
      </c>
    </row>
    <row r="34" spans="1:17">
      <c r="D34" s="897"/>
      <c r="E34" s="897"/>
      <c r="F34" s="897"/>
      <c r="G34" s="897"/>
      <c r="H34" s="897"/>
      <c r="I34" s="897"/>
      <c r="J34" s="897"/>
      <c r="K34" s="897"/>
      <c r="L34" s="897"/>
      <c r="M34" s="897"/>
      <c r="N34" s="897"/>
      <c r="O34" s="897"/>
    </row>
    <row r="35" spans="1:17">
      <c r="A35" s="206" t="s">
        <v>6800</v>
      </c>
      <c r="D35" s="895">
        <f t="shared" ref="D35:I35" si="35">STDEVP(D13,D15,D19,D23,D27,D29)</f>
        <v>5071.1591514060065</v>
      </c>
      <c r="E35" s="895">
        <f t="shared" si="35"/>
        <v>5099.0065372253321</v>
      </c>
      <c r="F35" s="895">
        <f t="shared" si="35"/>
        <v>5064.0813140742075</v>
      </c>
      <c r="G35" s="895">
        <f t="shared" si="35"/>
        <v>5261.6544741702255</v>
      </c>
      <c r="H35" s="895">
        <f t="shared" si="35"/>
        <v>6255.6888087741554</v>
      </c>
      <c r="I35" s="895">
        <f t="shared" si="35"/>
        <v>7222.2211188033352</v>
      </c>
      <c r="J35" s="895">
        <f t="shared" ref="J35:O35" si="36">STDEVP(J13,J15,J19,J23,J27,J29)</f>
        <v>7472.4227589777656</v>
      </c>
      <c r="K35" s="895">
        <f t="shared" si="36"/>
        <v>7736.8437668226325</v>
      </c>
      <c r="L35" s="895">
        <f t="shared" si="36"/>
        <v>8420.4422439283626</v>
      </c>
      <c r="M35" s="895">
        <f t="shared" si="36"/>
        <v>8256.4816709863371</v>
      </c>
      <c r="N35" s="895">
        <f t="shared" si="36"/>
        <v>9014.352789980112</v>
      </c>
      <c r="O35" s="895">
        <f t="shared" si="36"/>
        <v>9156.5088325190845</v>
      </c>
    </row>
    <row r="37" spans="1:17">
      <c r="A37" s="206" t="s">
        <v>1524</v>
      </c>
    </row>
    <row r="38" spans="1:17">
      <c r="A38" s="206" t="s">
        <v>1525</v>
      </c>
    </row>
    <row r="41" spans="1:17">
      <c r="E41" s="51" t="s">
        <v>1526</v>
      </c>
      <c r="F41" s="51"/>
      <c r="G41" s="51"/>
      <c r="H41" s="51"/>
      <c r="I41" s="51"/>
      <c r="J41" s="51"/>
      <c r="K41" s="51"/>
      <c r="L41" s="51"/>
      <c r="M41" s="51"/>
      <c r="N41" s="51"/>
      <c r="O41" s="51"/>
      <c r="Q41" s="138" t="s">
        <v>9479</v>
      </c>
    </row>
    <row r="42" spans="1:17">
      <c r="D42" s="51">
        <v>2010</v>
      </c>
      <c r="E42" s="51">
        <v>2011</v>
      </c>
      <c r="F42" s="51">
        <v>2012</v>
      </c>
      <c r="G42" s="51">
        <v>2013</v>
      </c>
      <c r="H42" s="51">
        <v>2014</v>
      </c>
      <c r="I42" s="51">
        <v>2015</v>
      </c>
      <c r="J42" s="51">
        <v>2016</v>
      </c>
      <c r="K42" s="51">
        <v>2017</v>
      </c>
      <c r="L42" s="51">
        <v>2018</v>
      </c>
      <c r="M42" s="51">
        <v>2019</v>
      </c>
      <c r="N42" s="51">
        <v>2020</v>
      </c>
      <c r="O42" s="992" t="s">
        <v>14823</v>
      </c>
      <c r="Q42" s="206" t="s">
        <v>1527</v>
      </c>
    </row>
    <row r="43" spans="1:17">
      <c r="A43" s="206" t="s">
        <v>1528</v>
      </c>
      <c r="C43" s="206"/>
      <c r="D43" s="895">
        <f>SUM(D44:D49)+SUM(D51:D54)+D56+D57+D59+D60+SUM(D62:D68)+SUM(D70:D81)</f>
        <v>110958</v>
      </c>
      <c r="E43" s="895">
        <f>SUM(E44:E49)+SUM(E51:E54)+E56+E57+E59+E60+SUM(E62:E68)+SUM(E70:E81)</f>
        <v>112268</v>
      </c>
      <c r="F43" s="895">
        <f t="shared" ref="F43:K43" si="37">SUM(F44:F49)+SUM(F51:F54)+F56+F57+F59+F60+SUM(F62:F68)+SUM(F70:F81)</f>
        <v>114213</v>
      </c>
      <c r="G43" s="895">
        <f t="shared" si="37"/>
        <v>115242</v>
      </c>
      <c r="H43" s="895">
        <f t="shared" si="37"/>
        <v>117223</v>
      </c>
      <c r="I43" s="895">
        <f t="shared" si="37"/>
        <v>114202</v>
      </c>
      <c r="J43" s="895">
        <f t="shared" si="37"/>
        <v>118210</v>
      </c>
      <c r="K43" s="895">
        <f t="shared" si="37"/>
        <v>119397</v>
      </c>
      <c r="L43" s="895">
        <f>SUM(L44:L49)+SUM(L51:L54)+L56+L57+L59+L60+SUM(L62:L68)+SUM(L70:L81)</f>
        <v>120132</v>
      </c>
      <c r="M43" s="895">
        <f>SUM(M44:M49)+SUM(M51:M54)+M56+M57+M59+M60+SUM(M62:M68)+SUM(M70:M81)</f>
        <v>118988</v>
      </c>
      <c r="N43" s="895">
        <f>SUM(N44:N49)+SUM(N51:N54)+N56+N57+N59+N60+SUM(N62:N68)+SUM(N70:N81)</f>
        <v>121731</v>
      </c>
      <c r="O43" s="895">
        <f>SUM(O44:O49)+SUM(O51:O54)+O56+O57+O59+O60+SUM(O62:O68)+SUM(O70:O81)</f>
        <v>122986</v>
      </c>
    </row>
    <row r="44" spans="1:17">
      <c r="A44" s="206" t="s">
        <v>5387</v>
      </c>
      <c r="B44" s="206" t="s">
        <v>1529</v>
      </c>
      <c r="C44" s="484" t="s">
        <v>8969</v>
      </c>
      <c r="D44" s="895">
        <v>68692</v>
      </c>
      <c r="E44" s="895">
        <v>69019</v>
      </c>
      <c r="F44" s="895">
        <v>6305</v>
      </c>
      <c r="G44" s="895">
        <v>6314</v>
      </c>
      <c r="H44" s="63">
        <v>6340</v>
      </c>
      <c r="I44" s="63">
        <v>6212</v>
      </c>
      <c r="J44" s="56">
        <v>6348</v>
      </c>
      <c r="K44" s="56">
        <v>6291</v>
      </c>
      <c r="L44" s="56">
        <v>6238</v>
      </c>
      <c r="M44" s="56">
        <v>6184</v>
      </c>
      <c r="N44" s="56">
        <v>6173</v>
      </c>
      <c r="O44" s="56">
        <v>6190</v>
      </c>
      <c r="Q44" s="206" t="s">
        <v>5869</v>
      </c>
    </row>
    <row r="45" spans="1:17">
      <c r="A45" s="206" t="s">
        <v>5389</v>
      </c>
      <c r="B45" s="206" t="s">
        <v>8918</v>
      </c>
      <c r="C45" s="484" t="s">
        <v>8970</v>
      </c>
      <c r="D45" s="895">
        <v>31798</v>
      </c>
      <c r="E45" s="895">
        <v>32425</v>
      </c>
      <c r="F45" s="895">
        <v>5691</v>
      </c>
      <c r="G45" s="895">
        <v>5746</v>
      </c>
      <c r="H45" s="63">
        <v>5759</v>
      </c>
      <c r="I45" s="63">
        <v>5719</v>
      </c>
      <c r="J45" s="898">
        <v>5805</v>
      </c>
      <c r="K45" s="58">
        <v>5762</v>
      </c>
      <c r="L45" s="58">
        <v>5700</v>
      </c>
      <c r="M45" s="58">
        <v>5707</v>
      </c>
      <c r="N45" s="58">
        <v>5844</v>
      </c>
      <c r="O45" s="58">
        <v>5942</v>
      </c>
      <c r="Q45" s="206" t="s">
        <v>1522</v>
      </c>
    </row>
    <row r="46" spans="1:17">
      <c r="A46" s="206" t="s">
        <v>5391</v>
      </c>
      <c r="B46" s="206" t="s">
        <v>5904</v>
      </c>
      <c r="C46" s="484" t="s">
        <v>8971</v>
      </c>
      <c r="D46" s="895">
        <v>0</v>
      </c>
      <c r="E46" s="895">
        <v>0</v>
      </c>
      <c r="F46" s="895">
        <v>5013</v>
      </c>
      <c r="G46" s="895">
        <v>4851</v>
      </c>
      <c r="H46" s="63">
        <v>5046</v>
      </c>
      <c r="I46" s="63">
        <v>4723</v>
      </c>
      <c r="J46" s="56">
        <v>5000</v>
      </c>
      <c r="K46" s="56">
        <v>5152</v>
      </c>
      <c r="L46" s="56">
        <v>5182</v>
      </c>
      <c r="M46" s="56">
        <v>5045</v>
      </c>
      <c r="N46" s="56">
        <v>5112</v>
      </c>
      <c r="O46" s="56">
        <v>5355</v>
      </c>
      <c r="Q46" s="206" t="s">
        <v>5869</v>
      </c>
    </row>
    <row r="47" spans="1:17">
      <c r="A47" s="206" t="s">
        <v>5393</v>
      </c>
      <c r="B47" s="206" t="s">
        <v>5905</v>
      </c>
      <c r="C47" s="484" t="s">
        <v>8972</v>
      </c>
      <c r="D47" s="895">
        <v>0</v>
      </c>
      <c r="E47" s="895">
        <v>0</v>
      </c>
      <c r="F47" s="895">
        <v>5607</v>
      </c>
      <c r="G47" s="895">
        <v>5565</v>
      </c>
      <c r="H47" s="63">
        <v>5658</v>
      </c>
      <c r="I47" s="63">
        <v>5553</v>
      </c>
      <c r="J47" s="56">
        <v>5652</v>
      </c>
      <c r="K47" s="56">
        <v>5701</v>
      </c>
      <c r="L47" s="56">
        <v>5756</v>
      </c>
      <c r="M47" s="56">
        <v>5581</v>
      </c>
      <c r="N47" s="56">
        <v>5648</v>
      </c>
      <c r="O47" s="56">
        <v>5661</v>
      </c>
      <c r="Q47" s="206" t="s">
        <v>5869</v>
      </c>
    </row>
    <row r="48" spans="1:17">
      <c r="A48" s="206" t="s">
        <v>5394</v>
      </c>
      <c r="B48" s="206" t="s">
        <v>5906</v>
      </c>
      <c r="C48" s="484" t="s">
        <v>8973</v>
      </c>
      <c r="D48" s="895">
        <v>0</v>
      </c>
      <c r="E48" s="895">
        <v>0</v>
      </c>
      <c r="F48" s="895">
        <v>12</v>
      </c>
      <c r="G48" s="895">
        <v>16</v>
      </c>
      <c r="H48" s="63">
        <v>15</v>
      </c>
      <c r="I48" s="63">
        <v>15</v>
      </c>
      <c r="J48" s="56">
        <v>15</v>
      </c>
      <c r="K48" s="56">
        <v>14</v>
      </c>
      <c r="L48" s="56">
        <v>14</v>
      </c>
      <c r="M48" s="56">
        <v>17</v>
      </c>
      <c r="N48" s="56">
        <v>14</v>
      </c>
      <c r="O48" s="56">
        <v>14</v>
      </c>
      <c r="Q48" s="206" t="s">
        <v>5869</v>
      </c>
    </row>
    <row r="49" spans="1:17" ht="15.75" thickBot="1">
      <c r="A49" s="206"/>
      <c r="B49" s="206"/>
      <c r="C49" s="484" t="s">
        <v>8973</v>
      </c>
      <c r="D49" s="896">
        <v>0</v>
      </c>
      <c r="E49" s="896">
        <v>0</v>
      </c>
      <c r="F49" s="896">
        <v>3253</v>
      </c>
      <c r="G49" s="899">
        <v>3279</v>
      </c>
      <c r="H49" s="63">
        <v>3339</v>
      </c>
      <c r="I49" s="63">
        <v>3267</v>
      </c>
      <c r="J49" s="898">
        <v>3349</v>
      </c>
      <c r="K49" s="58">
        <v>3344</v>
      </c>
      <c r="L49" s="58">
        <v>3339</v>
      </c>
      <c r="M49" s="58">
        <v>3246</v>
      </c>
      <c r="N49" s="58">
        <v>3295</v>
      </c>
      <c r="O49" s="58">
        <v>3282</v>
      </c>
      <c r="Q49" s="206" t="s">
        <v>1522</v>
      </c>
    </row>
    <row r="50" spans="1:17" ht="15.75" thickBot="1">
      <c r="A50" s="206"/>
      <c r="B50" s="206"/>
      <c r="C50" s="484" t="s">
        <v>8973</v>
      </c>
      <c r="D50" s="900">
        <f>D48+D49</f>
        <v>0</v>
      </c>
      <c r="E50" s="900">
        <f t="shared" ref="E50:K50" si="38">E48+E49</f>
        <v>0</v>
      </c>
      <c r="F50" s="900">
        <f t="shared" si="38"/>
        <v>3265</v>
      </c>
      <c r="G50" s="900">
        <f t="shared" si="38"/>
        <v>3295</v>
      </c>
      <c r="H50" s="900">
        <f t="shared" si="38"/>
        <v>3354</v>
      </c>
      <c r="I50" s="900">
        <f t="shared" si="38"/>
        <v>3282</v>
      </c>
      <c r="J50" s="900">
        <f t="shared" si="38"/>
        <v>3364</v>
      </c>
      <c r="K50" s="900">
        <f t="shared" si="38"/>
        <v>3358</v>
      </c>
      <c r="L50" s="900">
        <f>L48+L49</f>
        <v>3353</v>
      </c>
      <c r="M50" s="900">
        <f>M48+M49</f>
        <v>3263</v>
      </c>
      <c r="N50" s="900">
        <f>N48+N49</f>
        <v>3309</v>
      </c>
      <c r="O50" s="900">
        <f>O48+O49</f>
        <v>3296</v>
      </c>
      <c r="Q50" s="206"/>
    </row>
    <row r="51" spans="1:17">
      <c r="A51" s="206" t="s">
        <v>5416</v>
      </c>
      <c r="B51" s="206" t="s">
        <v>5907</v>
      </c>
      <c r="C51" s="484" t="s">
        <v>8974</v>
      </c>
      <c r="D51" s="895">
        <v>0</v>
      </c>
      <c r="E51" s="895">
        <v>0</v>
      </c>
      <c r="F51" s="895">
        <v>5273</v>
      </c>
      <c r="G51" s="895">
        <v>5176</v>
      </c>
      <c r="H51" s="63">
        <v>5215</v>
      </c>
      <c r="I51" s="63">
        <v>4594</v>
      </c>
      <c r="J51" s="56">
        <v>4908</v>
      </c>
      <c r="K51" s="56">
        <v>4857</v>
      </c>
      <c r="L51" s="56">
        <v>4778</v>
      </c>
      <c r="M51" s="56">
        <v>4497</v>
      </c>
      <c r="N51" s="56">
        <v>4516</v>
      </c>
      <c r="O51" s="56">
        <v>4621</v>
      </c>
      <c r="Q51" s="206" t="s">
        <v>5869</v>
      </c>
    </row>
    <row r="52" spans="1:17">
      <c r="A52" s="206" t="s">
        <v>5418</v>
      </c>
      <c r="B52" s="206" t="s">
        <v>5874</v>
      </c>
      <c r="C52" s="484" t="s">
        <v>8975</v>
      </c>
      <c r="D52" s="895">
        <v>0</v>
      </c>
      <c r="E52" s="895">
        <v>0</v>
      </c>
      <c r="F52" s="895">
        <v>2305</v>
      </c>
      <c r="G52" s="895">
        <v>2398</v>
      </c>
      <c r="H52" s="63">
        <v>2568</v>
      </c>
      <c r="I52" s="63">
        <v>2502</v>
      </c>
      <c r="J52" s="898">
        <v>2639</v>
      </c>
      <c r="K52" s="58">
        <v>2887</v>
      </c>
      <c r="L52" s="58">
        <v>3087</v>
      </c>
      <c r="M52" s="58">
        <v>3184</v>
      </c>
      <c r="N52" s="58">
        <v>3288</v>
      </c>
      <c r="O52" s="58">
        <v>3353</v>
      </c>
      <c r="Q52" s="206" t="s">
        <v>1522</v>
      </c>
    </row>
    <row r="53" spans="1:17">
      <c r="A53" s="206" t="s">
        <v>5420</v>
      </c>
      <c r="B53" s="206" t="s">
        <v>9823</v>
      </c>
      <c r="C53" s="484" t="s">
        <v>8976</v>
      </c>
      <c r="D53" s="895">
        <v>0</v>
      </c>
      <c r="E53" s="895">
        <v>0</v>
      </c>
      <c r="F53" s="895">
        <v>67</v>
      </c>
      <c r="G53" s="895">
        <v>65</v>
      </c>
      <c r="H53" s="63">
        <v>66</v>
      </c>
      <c r="I53" s="63">
        <v>65</v>
      </c>
      <c r="J53" s="56">
        <v>61</v>
      </c>
      <c r="K53" s="56">
        <v>62</v>
      </c>
      <c r="L53" s="56">
        <v>59</v>
      </c>
      <c r="M53" s="56">
        <v>64</v>
      </c>
      <c r="N53" s="56">
        <v>66</v>
      </c>
      <c r="O53" s="56">
        <v>67</v>
      </c>
      <c r="Q53" s="206" t="s">
        <v>5869</v>
      </c>
    </row>
    <row r="54" spans="1:17" ht="15.75" thickBot="1">
      <c r="A54" s="206"/>
      <c r="B54" s="206"/>
      <c r="C54" s="484" t="s">
        <v>8976</v>
      </c>
      <c r="D54" s="895">
        <v>0</v>
      </c>
      <c r="E54" s="895">
        <v>0</v>
      </c>
      <c r="F54" s="895">
        <v>2900</v>
      </c>
      <c r="G54" s="895">
        <v>2963</v>
      </c>
      <c r="H54" s="63">
        <v>3007</v>
      </c>
      <c r="I54" s="63">
        <v>2978</v>
      </c>
      <c r="J54" s="898">
        <v>3070</v>
      </c>
      <c r="K54" s="58">
        <v>3137</v>
      </c>
      <c r="L54" s="58">
        <v>3344</v>
      </c>
      <c r="M54" s="58">
        <v>3494</v>
      </c>
      <c r="N54" s="58">
        <v>3758</v>
      </c>
      <c r="O54" s="58">
        <v>3810</v>
      </c>
      <c r="Q54" s="206" t="s">
        <v>1521</v>
      </c>
    </row>
    <row r="55" spans="1:17" ht="15.75" thickBot="1">
      <c r="A55" s="206"/>
      <c r="B55" s="206"/>
      <c r="C55" s="484" t="s">
        <v>8976</v>
      </c>
      <c r="D55" s="900">
        <f>D53+D54</f>
        <v>0</v>
      </c>
      <c r="E55" s="900">
        <f t="shared" ref="E55:L55" si="39">E53+E54</f>
        <v>0</v>
      </c>
      <c r="F55" s="900">
        <f t="shared" si="39"/>
        <v>2967</v>
      </c>
      <c r="G55" s="900">
        <f t="shared" si="39"/>
        <v>3028</v>
      </c>
      <c r="H55" s="900">
        <f t="shared" si="39"/>
        <v>3073</v>
      </c>
      <c r="I55" s="900">
        <f t="shared" si="39"/>
        <v>3043</v>
      </c>
      <c r="J55" s="900">
        <f t="shared" si="39"/>
        <v>3131</v>
      </c>
      <c r="K55" s="900">
        <f t="shared" si="39"/>
        <v>3199</v>
      </c>
      <c r="L55" s="900">
        <f t="shared" si="39"/>
        <v>3403</v>
      </c>
      <c r="M55" s="900">
        <f>M53+M54</f>
        <v>3558</v>
      </c>
      <c r="N55" s="900">
        <f>N53+N54</f>
        <v>3824</v>
      </c>
      <c r="O55" s="900">
        <f>O53+O54</f>
        <v>3877</v>
      </c>
    </row>
    <row r="56" spans="1:17">
      <c r="A56" s="206" t="s">
        <v>5422</v>
      </c>
      <c r="B56" s="206" t="s">
        <v>5875</v>
      </c>
      <c r="C56" s="484" t="s">
        <v>8977</v>
      </c>
      <c r="D56" s="895">
        <v>0</v>
      </c>
      <c r="E56" s="895">
        <v>0</v>
      </c>
      <c r="F56" s="895">
        <v>5488</v>
      </c>
      <c r="G56" s="895">
        <v>5468</v>
      </c>
      <c r="H56" s="63">
        <v>5522</v>
      </c>
      <c r="I56" s="63">
        <v>5179</v>
      </c>
      <c r="J56" s="56">
        <v>5344</v>
      </c>
      <c r="K56" s="56">
        <v>5455</v>
      </c>
      <c r="L56" s="56">
        <v>5363</v>
      </c>
      <c r="M56" s="56">
        <v>5321</v>
      </c>
      <c r="N56" s="56">
        <v>5373</v>
      </c>
      <c r="O56" s="56">
        <v>5430</v>
      </c>
      <c r="Q56" s="206" t="s">
        <v>5869</v>
      </c>
    </row>
    <row r="57" spans="1:17" ht="15.75" thickBot="1">
      <c r="A57" s="206"/>
      <c r="B57" s="206"/>
      <c r="C57" s="484" t="s">
        <v>8977</v>
      </c>
      <c r="D57" s="895">
        <v>0</v>
      </c>
      <c r="E57" s="895">
        <v>0</v>
      </c>
      <c r="F57" s="895">
        <v>425</v>
      </c>
      <c r="G57" s="895">
        <v>535</v>
      </c>
      <c r="H57" s="63">
        <v>625</v>
      </c>
      <c r="I57" s="63">
        <v>657</v>
      </c>
      <c r="J57" s="898">
        <v>783</v>
      </c>
      <c r="K57" s="898">
        <v>872</v>
      </c>
      <c r="L57" s="898">
        <v>906</v>
      </c>
      <c r="M57" s="898">
        <v>886</v>
      </c>
      <c r="N57" s="898">
        <v>920</v>
      </c>
      <c r="O57" s="898">
        <v>932</v>
      </c>
      <c r="Q57" s="206" t="s">
        <v>1522</v>
      </c>
    </row>
    <row r="58" spans="1:17" ht="15.75" thickBot="1">
      <c r="A58" s="206"/>
      <c r="B58" s="206"/>
      <c r="C58" s="484" t="s">
        <v>8977</v>
      </c>
      <c r="D58" s="900">
        <f>D56+D57</f>
        <v>0</v>
      </c>
      <c r="E58" s="900">
        <f t="shared" ref="E58:L58" si="40">E56+E57</f>
        <v>0</v>
      </c>
      <c r="F58" s="900">
        <f t="shared" si="40"/>
        <v>5913</v>
      </c>
      <c r="G58" s="900">
        <f t="shared" si="40"/>
        <v>6003</v>
      </c>
      <c r="H58" s="900">
        <f t="shared" si="40"/>
        <v>6147</v>
      </c>
      <c r="I58" s="900">
        <f t="shared" si="40"/>
        <v>5836</v>
      </c>
      <c r="J58" s="900">
        <f t="shared" si="40"/>
        <v>6127</v>
      </c>
      <c r="K58" s="900">
        <f t="shared" si="40"/>
        <v>6327</v>
      </c>
      <c r="L58" s="900">
        <f t="shared" si="40"/>
        <v>6269</v>
      </c>
      <c r="M58" s="900">
        <f>M56+M57</f>
        <v>6207</v>
      </c>
      <c r="N58" s="900">
        <f>N56+N57</f>
        <v>6293</v>
      </c>
      <c r="O58" s="900">
        <f>O56+O57</f>
        <v>6362</v>
      </c>
      <c r="Q58" s="206"/>
    </row>
    <row r="59" spans="1:17">
      <c r="A59" s="206" t="s">
        <v>5424</v>
      </c>
      <c r="B59" s="206" t="s">
        <v>5876</v>
      </c>
      <c r="C59" s="484" t="s">
        <v>8978</v>
      </c>
      <c r="D59" s="895">
        <v>0</v>
      </c>
      <c r="E59" s="895">
        <v>0</v>
      </c>
      <c r="F59" s="895">
        <v>490</v>
      </c>
      <c r="G59" s="895">
        <v>503</v>
      </c>
      <c r="H59" s="63">
        <v>490</v>
      </c>
      <c r="I59" s="63">
        <v>484</v>
      </c>
      <c r="J59" s="56">
        <v>511</v>
      </c>
      <c r="K59" s="56">
        <v>511</v>
      </c>
      <c r="L59" s="56">
        <v>508</v>
      </c>
      <c r="M59" s="56">
        <v>505</v>
      </c>
      <c r="N59" s="56">
        <v>505</v>
      </c>
      <c r="O59" s="56">
        <v>507</v>
      </c>
      <c r="Q59" s="206" t="s">
        <v>5869</v>
      </c>
    </row>
    <row r="60" spans="1:17" ht="15.75" thickBot="1">
      <c r="A60" s="206"/>
      <c r="B60" s="206"/>
      <c r="C60" s="484" t="s">
        <v>8978</v>
      </c>
      <c r="D60" s="895">
        <v>0</v>
      </c>
      <c r="E60" s="895">
        <v>0</v>
      </c>
      <c r="F60" s="895">
        <v>5369</v>
      </c>
      <c r="G60" s="895">
        <v>5630</v>
      </c>
      <c r="H60" s="63">
        <v>5704</v>
      </c>
      <c r="I60" s="63">
        <v>5593</v>
      </c>
      <c r="J60" s="898">
        <v>5662</v>
      </c>
      <c r="K60" s="898">
        <v>5618</v>
      </c>
      <c r="L60" s="898">
        <v>5633</v>
      </c>
      <c r="M60" s="898">
        <v>5624</v>
      </c>
      <c r="N60" s="898">
        <v>5720</v>
      </c>
      <c r="O60" s="898">
        <v>5761</v>
      </c>
      <c r="Q60" s="206" t="s">
        <v>1522</v>
      </c>
    </row>
    <row r="61" spans="1:17" ht="15.75" thickBot="1">
      <c r="A61" s="206"/>
      <c r="B61" s="206"/>
      <c r="C61" s="484" t="s">
        <v>8978</v>
      </c>
      <c r="D61" s="900">
        <f>D59+D60</f>
        <v>0</v>
      </c>
      <c r="E61" s="900">
        <f t="shared" ref="E61:L61" si="41">E59+E60</f>
        <v>0</v>
      </c>
      <c r="F61" s="900">
        <f t="shared" si="41"/>
        <v>5859</v>
      </c>
      <c r="G61" s="900">
        <f t="shared" si="41"/>
        <v>6133</v>
      </c>
      <c r="H61" s="900">
        <f t="shared" si="41"/>
        <v>6194</v>
      </c>
      <c r="I61" s="900">
        <f t="shared" si="41"/>
        <v>6077</v>
      </c>
      <c r="J61" s="900">
        <f t="shared" si="41"/>
        <v>6173</v>
      </c>
      <c r="K61" s="900">
        <f t="shared" si="41"/>
        <v>6129</v>
      </c>
      <c r="L61" s="900">
        <f t="shared" si="41"/>
        <v>6141</v>
      </c>
      <c r="M61" s="900">
        <f>M59+M60</f>
        <v>6129</v>
      </c>
      <c r="N61" s="900">
        <f>N59+N60</f>
        <v>6225</v>
      </c>
      <c r="O61" s="900">
        <f>O59+O60</f>
        <v>6268</v>
      </c>
      <c r="Q61" s="206"/>
    </row>
    <row r="62" spans="1:17">
      <c r="A62" s="206" t="s">
        <v>5426</v>
      </c>
      <c r="B62" s="206" t="s">
        <v>5877</v>
      </c>
      <c r="C62" s="484" t="s">
        <v>8979</v>
      </c>
      <c r="D62" s="895">
        <v>0</v>
      </c>
      <c r="E62" s="895">
        <v>0</v>
      </c>
      <c r="F62" s="895">
        <v>5505</v>
      </c>
      <c r="G62" s="895">
        <v>5366</v>
      </c>
      <c r="H62" s="63">
        <v>5510</v>
      </c>
      <c r="I62" s="63">
        <v>5073</v>
      </c>
      <c r="J62" s="56">
        <v>5233</v>
      </c>
      <c r="K62" s="56">
        <v>5260</v>
      </c>
      <c r="L62" s="56">
        <v>5273</v>
      </c>
      <c r="M62" s="56">
        <v>5181</v>
      </c>
      <c r="N62" s="56">
        <v>5382</v>
      </c>
      <c r="O62" s="56">
        <v>5417</v>
      </c>
      <c r="Q62" s="206" t="s">
        <v>5869</v>
      </c>
    </row>
    <row r="63" spans="1:17">
      <c r="A63" s="206" t="s">
        <v>5428</v>
      </c>
      <c r="B63" s="206" t="s">
        <v>5878</v>
      </c>
      <c r="C63" s="484" t="s">
        <v>8980</v>
      </c>
      <c r="D63" s="895">
        <v>0</v>
      </c>
      <c r="E63" s="895">
        <v>0</v>
      </c>
      <c r="F63" s="895">
        <v>3178</v>
      </c>
      <c r="G63" s="895">
        <v>3215</v>
      </c>
      <c r="H63" s="63">
        <v>3218</v>
      </c>
      <c r="I63" s="63">
        <v>3170</v>
      </c>
      <c r="J63" s="898">
        <v>3214</v>
      </c>
      <c r="K63" s="58">
        <v>3225</v>
      </c>
      <c r="L63" s="58">
        <v>3201</v>
      </c>
      <c r="M63" s="58">
        <v>3166</v>
      </c>
      <c r="N63" s="58">
        <v>3191</v>
      </c>
      <c r="O63" s="58">
        <v>3209</v>
      </c>
      <c r="Q63" s="206" t="s">
        <v>1522</v>
      </c>
    </row>
    <row r="64" spans="1:17">
      <c r="A64" s="206" t="s">
        <v>5429</v>
      </c>
      <c r="B64" s="206" t="s">
        <v>8919</v>
      </c>
      <c r="C64" s="484" t="s">
        <v>8981</v>
      </c>
      <c r="D64" s="895">
        <v>0</v>
      </c>
      <c r="E64" s="895">
        <v>0</v>
      </c>
      <c r="F64" s="895">
        <v>5140</v>
      </c>
      <c r="G64" s="895">
        <v>5181</v>
      </c>
      <c r="H64" s="63">
        <v>5136</v>
      </c>
      <c r="I64" s="63">
        <v>4983</v>
      </c>
      <c r="J64" s="56">
        <v>5095</v>
      </c>
      <c r="K64" s="56">
        <v>5054</v>
      </c>
      <c r="L64" s="56">
        <v>5022</v>
      </c>
      <c r="M64" s="56">
        <v>4872</v>
      </c>
      <c r="N64" s="56">
        <v>4927</v>
      </c>
      <c r="O64" s="56">
        <v>4900</v>
      </c>
      <c r="Q64" s="206" t="s">
        <v>5869</v>
      </c>
    </row>
    <row r="65" spans="1:17">
      <c r="A65" s="206" t="s">
        <v>5431</v>
      </c>
      <c r="B65" s="206" t="s">
        <v>5879</v>
      </c>
      <c r="C65" s="484" t="s">
        <v>8982</v>
      </c>
      <c r="D65" s="895">
        <v>0</v>
      </c>
      <c r="E65" s="895">
        <v>0</v>
      </c>
      <c r="F65" s="895">
        <v>2892</v>
      </c>
      <c r="G65" s="895">
        <v>2901</v>
      </c>
      <c r="H65" s="63">
        <v>2871</v>
      </c>
      <c r="I65" s="63">
        <v>2815</v>
      </c>
      <c r="J65" s="56">
        <v>2832</v>
      </c>
      <c r="K65" s="56">
        <v>2857</v>
      </c>
      <c r="L65" s="56">
        <v>2821</v>
      </c>
      <c r="M65" s="56">
        <v>2741</v>
      </c>
      <c r="N65" s="56">
        <v>2805</v>
      </c>
      <c r="O65" s="56">
        <v>2806</v>
      </c>
      <c r="Q65" s="206" t="s">
        <v>5869</v>
      </c>
    </row>
    <row r="66" spans="1:17">
      <c r="A66" s="206" t="s">
        <v>5433</v>
      </c>
      <c r="B66" s="206" t="s">
        <v>8922</v>
      </c>
      <c r="C66" s="484" t="s">
        <v>8983</v>
      </c>
      <c r="D66" s="895">
        <v>0</v>
      </c>
      <c r="E66" s="895">
        <v>0</v>
      </c>
      <c r="F66" s="895">
        <v>0</v>
      </c>
      <c r="G66" s="895">
        <v>59</v>
      </c>
      <c r="H66" s="63">
        <v>183</v>
      </c>
      <c r="I66" s="63">
        <v>225</v>
      </c>
      <c r="J66" s="56">
        <v>317</v>
      </c>
      <c r="K66" s="56">
        <v>589</v>
      </c>
      <c r="L66" s="56">
        <v>752</v>
      </c>
      <c r="M66" s="56">
        <v>792</v>
      </c>
      <c r="N66" s="56">
        <v>791</v>
      </c>
      <c r="O66" s="56">
        <v>809</v>
      </c>
      <c r="Q66" s="206" t="s">
        <v>5869</v>
      </c>
    </row>
    <row r="67" spans="1:17">
      <c r="A67" s="206"/>
      <c r="B67" s="206"/>
      <c r="C67" s="484" t="s">
        <v>8983</v>
      </c>
      <c r="D67" s="895">
        <v>0</v>
      </c>
      <c r="E67" s="895">
        <v>0</v>
      </c>
      <c r="F67" s="895">
        <v>2234</v>
      </c>
      <c r="G67" s="895">
        <v>2261</v>
      </c>
      <c r="H67" s="63">
        <v>2272</v>
      </c>
      <c r="I67" s="63">
        <v>2270</v>
      </c>
      <c r="J67" s="898">
        <v>2293</v>
      </c>
      <c r="K67" s="58">
        <v>2291</v>
      </c>
      <c r="L67" s="58">
        <v>2251</v>
      </c>
      <c r="M67" s="58">
        <v>2194</v>
      </c>
      <c r="N67" s="58">
        <v>2230</v>
      </c>
      <c r="O67" s="58">
        <v>2235</v>
      </c>
      <c r="Q67" s="206" t="s">
        <v>1521</v>
      </c>
    </row>
    <row r="68" spans="1:17" ht="15.75" thickBot="1">
      <c r="A68" s="206"/>
      <c r="B68" s="206"/>
      <c r="C68" s="484" t="s">
        <v>8983</v>
      </c>
      <c r="D68" s="895">
        <v>0</v>
      </c>
      <c r="E68" s="895">
        <v>0</v>
      </c>
      <c r="F68" s="895">
        <v>981</v>
      </c>
      <c r="G68" s="895">
        <v>1160</v>
      </c>
      <c r="H68" s="63">
        <v>1374</v>
      </c>
      <c r="I68" s="63">
        <v>1442</v>
      </c>
      <c r="J68" s="898">
        <v>1772</v>
      </c>
      <c r="K68" s="58">
        <v>1992</v>
      </c>
      <c r="L68" s="58">
        <v>2310</v>
      </c>
      <c r="M68" s="58">
        <v>2540</v>
      </c>
      <c r="N68" s="58">
        <v>2692</v>
      </c>
      <c r="O68" s="58">
        <v>2832</v>
      </c>
      <c r="Q68" s="206" t="s">
        <v>1522</v>
      </c>
    </row>
    <row r="69" spans="1:17" ht="15.75" thickBot="1">
      <c r="A69" s="206"/>
      <c r="B69" s="206"/>
      <c r="C69" s="484" t="s">
        <v>8983</v>
      </c>
      <c r="D69" s="900">
        <f>SUM(D66:D68)</f>
        <v>0</v>
      </c>
      <c r="E69" s="900">
        <f>SUM(E66:E68)</f>
        <v>0</v>
      </c>
      <c r="F69" s="900">
        <f>SUM(F66:F68)</f>
        <v>3215</v>
      </c>
      <c r="G69" s="900">
        <f t="shared" ref="G69:L69" si="42">SUM(G66:G68)</f>
        <v>3480</v>
      </c>
      <c r="H69" s="900">
        <f t="shared" si="42"/>
        <v>3829</v>
      </c>
      <c r="I69" s="900">
        <f t="shared" si="42"/>
        <v>3937</v>
      </c>
      <c r="J69" s="900">
        <f t="shared" si="42"/>
        <v>4382</v>
      </c>
      <c r="K69" s="900">
        <f t="shared" si="42"/>
        <v>4872</v>
      </c>
      <c r="L69" s="900">
        <f t="shared" si="42"/>
        <v>5313</v>
      </c>
      <c r="M69" s="900">
        <f>SUM(M66:M68)</f>
        <v>5526</v>
      </c>
      <c r="N69" s="900">
        <f>SUM(N66:N68)</f>
        <v>5713</v>
      </c>
      <c r="O69" s="900">
        <f>SUM(O66:O68)</f>
        <v>5876</v>
      </c>
      <c r="Q69" s="206"/>
    </row>
    <row r="70" spans="1:17">
      <c r="A70" s="206" t="s">
        <v>5435</v>
      </c>
      <c r="B70" s="206" t="s">
        <v>5880</v>
      </c>
      <c r="C70" s="484" t="s">
        <v>8984</v>
      </c>
      <c r="D70" s="895">
        <v>0</v>
      </c>
      <c r="E70" s="895">
        <v>0</v>
      </c>
      <c r="F70" s="895">
        <v>3152</v>
      </c>
      <c r="G70" s="895">
        <v>3167</v>
      </c>
      <c r="H70" s="63">
        <v>3143</v>
      </c>
      <c r="I70" s="63">
        <v>3090</v>
      </c>
      <c r="J70" s="56">
        <v>3096</v>
      </c>
      <c r="K70" s="56">
        <v>3085</v>
      </c>
      <c r="L70" s="56">
        <v>3087</v>
      </c>
      <c r="M70" s="56">
        <v>2983</v>
      </c>
      <c r="N70" s="56">
        <v>3020</v>
      </c>
      <c r="O70" s="56">
        <v>2992</v>
      </c>
      <c r="Q70" s="206" t="s">
        <v>5869</v>
      </c>
    </row>
    <row r="71" spans="1:17">
      <c r="A71" s="206" t="s">
        <v>5436</v>
      </c>
      <c r="B71" s="206" t="s">
        <v>8921</v>
      </c>
      <c r="C71" s="484" t="s">
        <v>8985</v>
      </c>
      <c r="D71" s="895">
        <v>0</v>
      </c>
      <c r="E71" s="895">
        <v>0</v>
      </c>
      <c r="F71" s="895">
        <v>2877</v>
      </c>
      <c r="G71" s="895">
        <v>3025</v>
      </c>
      <c r="H71" s="63">
        <v>3317</v>
      </c>
      <c r="I71" s="63">
        <v>3311</v>
      </c>
      <c r="J71" s="56">
        <v>3610</v>
      </c>
      <c r="K71" s="56">
        <v>3554</v>
      </c>
      <c r="L71" s="56">
        <v>3567</v>
      </c>
      <c r="M71" s="56">
        <v>3581</v>
      </c>
      <c r="N71" s="56">
        <v>3646</v>
      </c>
      <c r="O71" s="56">
        <v>3636</v>
      </c>
      <c r="Q71" s="206" t="s">
        <v>5869</v>
      </c>
    </row>
    <row r="72" spans="1:17">
      <c r="A72" s="206" t="s">
        <v>5437</v>
      </c>
      <c r="B72" s="206" t="s">
        <v>5881</v>
      </c>
      <c r="C72" s="484" t="s">
        <v>8986</v>
      </c>
      <c r="D72" s="895">
        <v>0</v>
      </c>
      <c r="E72" s="895">
        <v>0</v>
      </c>
      <c r="F72" s="895">
        <v>5790</v>
      </c>
      <c r="G72" s="895">
        <v>5901</v>
      </c>
      <c r="H72" s="63">
        <v>5929</v>
      </c>
      <c r="I72" s="63">
        <v>5745</v>
      </c>
      <c r="J72" s="56">
        <v>5850</v>
      </c>
      <c r="K72" s="56">
        <v>5806</v>
      </c>
      <c r="L72" s="56">
        <v>5765</v>
      </c>
      <c r="M72" s="56">
        <v>5606</v>
      </c>
      <c r="N72" s="56">
        <v>5683</v>
      </c>
      <c r="O72" s="56">
        <v>5709</v>
      </c>
      <c r="Q72" s="206" t="s">
        <v>5869</v>
      </c>
    </row>
    <row r="73" spans="1:17">
      <c r="A73" s="206" t="s">
        <v>5439</v>
      </c>
      <c r="B73" s="206" t="s">
        <v>5882</v>
      </c>
      <c r="C73" s="484" t="s">
        <v>8987</v>
      </c>
      <c r="D73" s="895">
        <v>0</v>
      </c>
      <c r="E73" s="895">
        <v>0</v>
      </c>
      <c r="F73" s="895">
        <v>5314</v>
      </c>
      <c r="G73" s="895">
        <v>5319</v>
      </c>
      <c r="H73" s="63">
        <v>5413</v>
      </c>
      <c r="I73" s="63">
        <v>5270</v>
      </c>
      <c r="J73" s="898">
        <v>5443</v>
      </c>
      <c r="K73" s="58">
        <v>5452</v>
      </c>
      <c r="L73" s="58">
        <v>5395</v>
      </c>
      <c r="M73" s="58">
        <v>5217</v>
      </c>
      <c r="N73" s="58">
        <v>5276</v>
      </c>
      <c r="O73" s="58">
        <v>5313</v>
      </c>
      <c r="Q73" s="206" t="s">
        <v>5869</v>
      </c>
    </row>
    <row r="74" spans="1:17">
      <c r="A74" s="206" t="s">
        <v>5441</v>
      </c>
      <c r="B74" s="206" t="s">
        <v>5883</v>
      </c>
      <c r="C74" s="484" t="s">
        <v>8988</v>
      </c>
      <c r="D74" s="895">
        <v>0</v>
      </c>
      <c r="E74" s="895">
        <v>0</v>
      </c>
      <c r="F74" s="895">
        <v>2957</v>
      </c>
      <c r="G74" s="895">
        <v>2996</v>
      </c>
      <c r="H74" s="63">
        <v>2945</v>
      </c>
      <c r="I74" s="63">
        <v>2966</v>
      </c>
      <c r="J74" s="898">
        <v>2987</v>
      </c>
      <c r="K74" s="58">
        <v>2964</v>
      </c>
      <c r="L74" s="58">
        <v>2959</v>
      </c>
      <c r="M74" s="58">
        <v>2956</v>
      </c>
      <c r="N74" s="58">
        <v>2984</v>
      </c>
      <c r="O74" s="58">
        <v>3000</v>
      </c>
      <c r="Q74" s="206" t="s">
        <v>1522</v>
      </c>
    </row>
    <row r="75" spans="1:17">
      <c r="A75" s="206" t="s">
        <v>5886</v>
      </c>
      <c r="B75" s="206" t="s">
        <v>5884</v>
      </c>
      <c r="C75" s="484" t="s">
        <v>8989</v>
      </c>
      <c r="D75" s="895">
        <v>0</v>
      </c>
      <c r="E75" s="895">
        <v>0</v>
      </c>
      <c r="F75" s="895">
        <v>5897</v>
      </c>
      <c r="G75" s="895">
        <v>5859</v>
      </c>
      <c r="H75" s="63">
        <v>5859</v>
      </c>
      <c r="I75" s="63">
        <v>5843</v>
      </c>
      <c r="J75" s="898">
        <v>5868</v>
      </c>
      <c r="K75" s="58">
        <v>5835</v>
      </c>
      <c r="L75" s="58">
        <v>5707</v>
      </c>
      <c r="M75" s="58">
        <v>5670</v>
      </c>
      <c r="N75" s="58">
        <v>5772</v>
      </c>
      <c r="O75" s="58">
        <v>5749</v>
      </c>
      <c r="Q75" s="206" t="s">
        <v>5869</v>
      </c>
    </row>
    <row r="76" spans="1:17">
      <c r="A76" s="206" t="s">
        <v>5888</v>
      </c>
      <c r="B76" s="206" t="s">
        <v>3995</v>
      </c>
      <c r="C76" s="484" t="s">
        <v>8990</v>
      </c>
      <c r="D76" s="895">
        <v>0</v>
      </c>
      <c r="E76" s="895">
        <v>0</v>
      </c>
      <c r="F76" s="895">
        <v>5116</v>
      </c>
      <c r="G76" s="895">
        <v>5046</v>
      </c>
      <c r="H76" s="63">
        <v>5053</v>
      </c>
      <c r="I76" s="63">
        <v>4818</v>
      </c>
      <c r="J76" s="898">
        <v>5076</v>
      </c>
      <c r="K76" s="58">
        <v>4930</v>
      </c>
      <c r="L76" s="58">
        <v>5077</v>
      </c>
      <c r="M76" s="58">
        <v>5089</v>
      </c>
      <c r="N76" s="58">
        <v>5304</v>
      </c>
      <c r="O76" s="58">
        <v>5357</v>
      </c>
      <c r="Q76" s="206" t="s">
        <v>5869</v>
      </c>
    </row>
    <row r="77" spans="1:17">
      <c r="A77" s="206" t="s">
        <v>5889</v>
      </c>
      <c r="B77" s="206" t="s">
        <v>5887</v>
      </c>
      <c r="C77" s="484" t="s">
        <v>8991</v>
      </c>
      <c r="D77" s="895">
        <v>0</v>
      </c>
      <c r="E77" s="895">
        <v>0</v>
      </c>
      <c r="F77" s="895">
        <v>2812</v>
      </c>
      <c r="G77" s="895">
        <v>2814</v>
      </c>
      <c r="H77" s="63">
        <v>2794</v>
      </c>
      <c r="I77" s="63">
        <v>2752</v>
      </c>
      <c r="J77" s="898">
        <v>2789</v>
      </c>
      <c r="K77" s="58">
        <v>2833</v>
      </c>
      <c r="L77" s="58">
        <v>2805</v>
      </c>
      <c r="M77" s="58">
        <v>2728</v>
      </c>
      <c r="N77" s="58">
        <v>2768</v>
      </c>
      <c r="O77" s="58">
        <v>2782</v>
      </c>
      <c r="Q77" s="206" t="s">
        <v>1522</v>
      </c>
    </row>
    <row r="78" spans="1:17">
      <c r="A78" s="206" t="s">
        <v>4431</v>
      </c>
      <c r="B78" s="206" t="s">
        <v>5890</v>
      </c>
      <c r="C78" s="484" t="s">
        <v>8992</v>
      </c>
      <c r="D78" s="895">
        <v>0</v>
      </c>
      <c r="E78" s="895">
        <v>0</v>
      </c>
      <c r="F78" s="895">
        <v>3218</v>
      </c>
      <c r="G78" s="895">
        <v>3195</v>
      </c>
      <c r="H78" s="63">
        <v>3217</v>
      </c>
      <c r="I78" s="63">
        <v>3198</v>
      </c>
      <c r="J78" s="898">
        <v>3245</v>
      </c>
      <c r="K78" s="58">
        <v>3232</v>
      </c>
      <c r="L78" s="58">
        <v>3217</v>
      </c>
      <c r="M78" s="58">
        <v>3111</v>
      </c>
      <c r="N78" s="58">
        <v>3151</v>
      </c>
      <c r="O78" s="58">
        <v>3164</v>
      </c>
      <c r="Q78" s="206" t="s">
        <v>1522</v>
      </c>
    </row>
    <row r="79" spans="1:17">
      <c r="A79" s="206" t="s">
        <v>4432</v>
      </c>
      <c r="B79" s="206" t="s">
        <v>4433</v>
      </c>
      <c r="C79" s="484" t="s">
        <v>8993</v>
      </c>
      <c r="D79" s="895">
        <v>10468</v>
      </c>
      <c r="E79" s="895">
        <v>10824</v>
      </c>
      <c r="F79" s="895">
        <v>2762</v>
      </c>
      <c r="G79" s="895">
        <v>2972</v>
      </c>
      <c r="H79" s="63">
        <v>3192</v>
      </c>
      <c r="I79" s="63">
        <v>3208</v>
      </c>
      <c r="J79" s="898">
        <v>3476</v>
      </c>
      <c r="K79" s="58">
        <v>3621</v>
      </c>
      <c r="L79" s="58">
        <v>3709</v>
      </c>
      <c r="M79" s="58">
        <v>3756</v>
      </c>
      <c r="N79" s="58">
        <v>3975</v>
      </c>
      <c r="O79" s="58">
        <v>4079</v>
      </c>
      <c r="Q79" s="206" t="s">
        <v>1521</v>
      </c>
    </row>
    <row r="80" spans="1:17">
      <c r="A80" s="206" t="s">
        <v>4434</v>
      </c>
      <c r="B80" s="206" t="s">
        <v>4435</v>
      </c>
      <c r="C80" s="484" t="s">
        <v>8994</v>
      </c>
      <c r="D80" s="895">
        <v>0</v>
      </c>
      <c r="E80" s="895">
        <v>0</v>
      </c>
      <c r="F80" s="895">
        <v>3267</v>
      </c>
      <c r="G80" s="895">
        <v>3299</v>
      </c>
      <c r="H80" s="63">
        <v>3411</v>
      </c>
      <c r="I80" s="63">
        <v>3498</v>
      </c>
      <c r="J80" s="898">
        <v>3819</v>
      </c>
      <c r="K80" s="58">
        <v>4083</v>
      </c>
      <c r="L80" s="58">
        <v>4261</v>
      </c>
      <c r="M80" s="58">
        <v>4429</v>
      </c>
      <c r="N80" s="58">
        <v>4845</v>
      </c>
      <c r="O80" s="58">
        <v>4995</v>
      </c>
      <c r="Q80" s="206" t="s">
        <v>1521</v>
      </c>
    </row>
    <row r="81" spans="1:17">
      <c r="A81" s="206">
        <v>27</v>
      </c>
      <c r="B81" s="206" t="s">
        <v>8920</v>
      </c>
      <c r="C81" s="484" t="s">
        <v>8995</v>
      </c>
      <c r="D81" s="895">
        <v>0</v>
      </c>
      <c r="E81" s="895">
        <v>0</v>
      </c>
      <c r="F81" s="895">
        <v>2923</v>
      </c>
      <c r="G81" s="895">
        <v>2997</v>
      </c>
      <c r="H81" s="63">
        <v>3032</v>
      </c>
      <c r="I81" s="63">
        <v>2984</v>
      </c>
      <c r="J81" s="898">
        <v>3048</v>
      </c>
      <c r="K81" s="58">
        <v>3071</v>
      </c>
      <c r="L81" s="58">
        <v>3046</v>
      </c>
      <c r="M81" s="58">
        <v>3021</v>
      </c>
      <c r="N81" s="58">
        <v>3057</v>
      </c>
      <c r="O81" s="58">
        <v>3077</v>
      </c>
      <c r="Q81" s="206" t="s">
        <v>1522</v>
      </c>
    </row>
    <row r="82" spans="1:17">
      <c r="D82" s="897"/>
      <c r="E82" s="897"/>
      <c r="F82" s="897"/>
      <c r="G82" s="897"/>
      <c r="H82" s="897"/>
      <c r="I82" s="897"/>
      <c r="J82" s="897"/>
      <c r="K82" s="897"/>
      <c r="L82" s="897"/>
      <c r="M82" s="897"/>
      <c r="N82" s="897"/>
      <c r="O82" s="897"/>
    </row>
    <row r="83" spans="1:17">
      <c r="A83" s="206" t="s">
        <v>5869</v>
      </c>
      <c r="D83" s="895">
        <f>D44+SUM(D46:D48)+D51+D53+D56+D59+D62+SUM(D64:D66)+SUM(D70:D73)+D75+D76</f>
        <v>68692</v>
      </c>
      <c r="E83" s="895">
        <f>E44+SUM(E46:E48)+E51+E53+E56+E59+E62+SUM(E64:E66)+SUM(E70:E73)+E75+E76</f>
        <v>69019</v>
      </c>
      <c r="F83" s="895">
        <f t="shared" ref="F83:K83" si="43">F44+SUM(F46:F48)+F51+F53+F56+F59+F62+SUM(F64:F66)+SUM(F70:F73)+F75+F76</f>
        <v>69938</v>
      </c>
      <c r="G83" s="895">
        <f t="shared" si="43"/>
        <v>69782</v>
      </c>
      <c r="H83" s="895">
        <f t="shared" si="43"/>
        <v>70766</v>
      </c>
      <c r="I83" s="895">
        <f t="shared" si="43"/>
        <v>67998</v>
      </c>
      <c r="J83" s="895">
        <f t="shared" si="43"/>
        <v>70259</v>
      </c>
      <c r="K83" s="895">
        <f t="shared" si="43"/>
        <v>70465</v>
      </c>
      <c r="L83" s="895">
        <f>L44+SUM(L46:L48)+L51+L53+L56+L59+L62+SUM(L64:L66)+SUM(L70:L73)+L75+L76</f>
        <v>70364</v>
      </c>
      <c r="M83" s="895">
        <f>M44+SUM(M46:M48)+M51+M53+M56+M59+M62+SUM(M64:M66)+SUM(M70:M73)+M75+M76</f>
        <v>68946</v>
      </c>
      <c r="N83" s="895">
        <f>N44+SUM(N46:N48)+N51+N53+N56+N59+N62+SUM(N64:N66)+SUM(N70:N73)+N75+N76</f>
        <v>70013</v>
      </c>
      <c r="O83" s="895">
        <f>O44+SUM(O46:O48)+O51+O53+O56+O59+O62+SUM(O64:O66)+SUM(O70:O73)+O75+O76</f>
        <v>70533</v>
      </c>
    </row>
    <row r="84" spans="1:17">
      <c r="A84" s="206" t="s">
        <v>4436</v>
      </c>
      <c r="D84" s="895">
        <f>D54+D67+D79+D80</f>
        <v>10468</v>
      </c>
      <c r="E84" s="895">
        <f>E54+E67+E79+E80</f>
        <v>10824</v>
      </c>
      <c r="F84" s="895">
        <f t="shared" ref="F84:K84" si="44">F54+F67+F79+F80</f>
        <v>11163</v>
      </c>
      <c r="G84" s="895">
        <f t="shared" si="44"/>
        <v>11495</v>
      </c>
      <c r="H84" s="895">
        <f t="shared" si="44"/>
        <v>11882</v>
      </c>
      <c r="I84" s="895">
        <f t="shared" si="44"/>
        <v>11954</v>
      </c>
      <c r="J84" s="895">
        <f t="shared" si="44"/>
        <v>12658</v>
      </c>
      <c r="K84" s="895">
        <f t="shared" si="44"/>
        <v>13132</v>
      </c>
      <c r="L84" s="895">
        <f>L54+L67+L79+L80</f>
        <v>13565</v>
      </c>
      <c r="M84" s="895">
        <f>M54+M67+M79+M80</f>
        <v>13873</v>
      </c>
      <c r="N84" s="895">
        <f>N54+N67+N79+N80</f>
        <v>14808</v>
      </c>
      <c r="O84" s="895">
        <f>O54+O67+O79+O80</f>
        <v>15119</v>
      </c>
    </row>
    <row r="85" spans="1:17">
      <c r="A85" s="206" t="s">
        <v>4437</v>
      </c>
      <c r="D85" s="895">
        <f>D45+D49+D52+D57+D60+D63+D68+D74+D77+D78+D81</f>
        <v>31798</v>
      </c>
      <c r="E85" s="895">
        <f>E45+E49+E52+E57+E60+E63+E68+E74+E77+E78+E81</f>
        <v>32425</v>
      </c>
      <c r="F85" s="895">
        <f t="shared" ref="F85:K85" si="45">F45+F49+F52+F57+F60+F63+F68+F74+F77+F78+F81</f>
        <v>33112</v>
      </c>
      <c r="G85" s="895">
        <f t="shared" si="45"/>
        <v>33965</v>
      </c>
      <c r="H85" s="895">
        <f t="shared" si="45"/>
        <v>34575</v>
      </c>
      <c r="I85" s="895">
        <f t="shared" si="45"/>
        <v>34250</v>
      </c>
      <c r="J85" s="895">
        <f t="shared" si="45"/>
        <v>35293</v>
      </c>
      <c r="K85" s="895">
        <f t="shared" si="45"/>
        <v>35800</v>
      </c>
      <c r="L85" s="895">
        <f>L45+L49+L52+L57+L60+L63+L68+L74+L77+L78+L81</f>
        <v>36203</v>
      </c>
      <c r="M85" s="895">
        <f>M45+M49+M52+M57+M60+M63+M68+M74+M77+M78+M81</f>
        <v>36169</v>
      </c>
      <c r="N85" s="895">
        <f>N45+N49+N52+N57+N60+N63+N68+N74+N77+N78+N81</f>
        <v>36910</v>
      </c>
      <c r="O85" s="895">
        <f>O45+O49+O52+O57+O60+O63+O68+O74+O77+O78+O81</f>
        <v>37334</v>
      </c>
    </row>
    <row r="86" spans="1:17">
      <c r="A86" s="206"/>
      <c r="D86" s="895"/>
      <c r="E86" s="895"/>
      <c r="F86" s="895"/>
      <c r="G86" s="895"/>
      <c r="H86" s="895"/>
      <c r="I86" s="895"/>
      <c r="J86" s="895"/>
      <c r="K86" s="895"/>
      <c r="L86" s="895"/>
      <c r="M86" s="895"/>
      <c r="N86" s="895"/>
      <c r="O86" s="895"/>
    </row>
    <row r="87" spans="1:17">
      <c r="A87" s="206" t="s">
        <v>8923</v>
      </c>
      <c r="D87" s="895"/>
      <c r="E87" s="895"/>
      <c r="F87" s="895"/>
      <c r="G87" s="895"/>
      <c r="H87" s="895"/>
      <c r="I87" s="895"/>
      <c r="J87" s="895"/>
      <c r="K87" s="895"/>
      <c r="L87" s="895"/>
      <c r="M87" s="895"/>
      <c r="N87" s="895"/>
      <c r="O87" s="895"/>
    </row>
    <row r="90" spans="1:17">
      <c r="E90" s="51" t="s">
        <v>1526</v>
      </c>
      <c r="F90" s="51"/>
      <c r="G90" s="51"/>
      <c r="H90" s="51"/>
      <c r="I90" s="51"/>
      <c r="J90" s="51"/>
      <c r="K90" s="51"/>
      <c r="L90" s="51"/>
      <c r="M90" s="51"/>
      <c r="N90" s="51"/>
      <c r="O90" s="51"/>
      <c r="Q90" s="138" t="s">
        <v>9479</v>
      </c>
    </row>
    <row r="91" spans="1:17">
      <c r="D91" s="51">
        <v>2010</v>
      </c>
      <c r="E91" s="51">
        <v>2011</v>
      </c>
      <c r="F91" s="51">
        <v>2012</v>
      </c>
      <c r="G91" s="51">
        <v>2013</v>
      </c>
      <c r="H91" s="51">
        <v>2014</v>
      </c>
      <c r="I91" s="51">
        <v>2015</v>
      </c>
      <c r="J91" s="51">
        <v>2016</v>
      </c>
      <c r="K91" s="51">
        <v>2017</v>
      </c>
      <c r="L91" s="51">
        <v>2018</v>
      </c>
      <c r="M91" s="51">
        <v>2019</v>
      </c>
      <c r="N91" s="51">
        <v>2020</v>
      </c>
      <c r="O91" s="992" t="s">
        <v>14823</v>
      </c>
      <c r="Q91" s="206" t="s">
        <v>1527</v>
      </c>
    </row>
    <row r="92" spans="1:17">
      <c r="A92" s="206" t="s">
        <v>4438</v>
      </c>
      <c r="D92" s="895">
        <f t="shared" ref="D92:M92" si="46">SUM(D93:D95,D97:D102,D104:D108,D110:D121,D123:D131)</f>
        <v>191765</v>
      </c>
      <c r="E92" s="895">
        <f t="shared" si="46"/>
        <v>192536</v>
      </c>
      <c r="F92" s="895">
        <f t="shared" si="46"/>
        <v>196284</v>
      </c>
      <c r="G92" s="895">
        <f t="shared" si="46"/>
        <v>199191</v>
      </c>
      <c r="H92" s="895">
        <f t="shared" si="46"/>
        <v>202078</v>
      </c>
      <c r="I92" s="895">
        <f t="shared" si="46"/>
        <v>199782</v>
      </c>
      <c r="J92" s="895">
        <f t="shared" si="46"/>
        <v>197493</v>
      </c>
      <c r="K92" s="895">
        <f t="shared" si="46"/>
        <v>202047</v>
      </c>
      <c r="L92" s="895">
        <f t="shared" si="46"/>
        <v>205651</v>
      </c>
      <c r="M92" s="895">
        <f t="shared" si="46"/>
        <v>204027</v>
      </c>
      <c r="N92" s="895">
        <f>SUM(N93:N95,N97:N102,N104:N108,N110:N121,N123:N131)</f>
        <v>210243</v>
      </c>
      <c r="O92" s="895">
        <f>SUM(O93:O95,O97:O102,O104:O108,O110:O121,O123:O131)</f>
        <v>212145</v>
      </c>
    </row>
    <row r="93" spans="1:17">
      <c r="A93" s="206" t="s">
        <v>5387</v>
      </c>
      <c r="B93" s="206" t="s">
        <v>4439</v>
      </c>
      <c r="C93" s="484" t="s">
        <v>12867</v>
      </c>
      <c r="D93" s="895">
        <v>65446</v>
      </c>
      <c r="E93" s="895">
        <v>65557</v>
      </c>
      <c r="F93" s="895">
        <v>66647</v>
      </c>
      <c r="G93" s="895">
        <v>67577</v>
      </c>
      <c r="H93" s="895">
        <v>68607</v>
      </c>
      <c r="I93" s="895">
        <v>68064</v>
      </c>
      <c r="J93" s="895">
        <v>67411</v>
      </c>
      <c r="K93" s="895">
        <v>69230</v>
      </c>
      <c r="L93" s="895">
        <v>70647</v>
      </c>
      <c r="M93" s="895">
        <v>70182</v>
      </c>
      <c r="N93" s="895">
        <v>10533</v>
      </c>
      <c r="O93" s="895">
        <v>10674</v>
      </c>
      <c r="Q93" s="206" t="s">
        <v>1521</v>
      </c>
    </row>
    <row r="94" spans="1:17">
      <c r="A94" s="206" t="s">
        <v>5389</v>
      </c>
      <c r="B94" s="206" t="s">
        <v>9477</v>
      </c>
      <c r="C94" s="484" t="s">
        <v>8996</v>
      </c>
      <c r="D94" s="895">
        <v>0</v>
      </c>
      <c r="E94" s="895">
        <v>0</v>
      </c>
      <c r="F94" s="895">
        <v>0</v>
      </c>
      <c r="G94" s="895">
        <v>0</v>
      </c>
      <c r="H94" s="895">
        <v>0</v>
      </c>
      <c r="I94" s="895">
        <v>0</v>
      </c>
      <c r="J94" s="895">
        <v>0</v>
      </c>
      <c r="K94" s="895">
        <v>0</v>
      </c>
      <c r="L94" s="895">
        <v>0</v>
      </c>
      <c r="M94" s="895">
        <v>0</v>
      </c>
      <c r="N94" s="895">
        <v>5709</v>
      </c>
      <c r="O94" s="895">
        <v>5763</v>
      </c>
      <c r="Q94" s="206" t="s">
        <v>1521</v>
      </c>
    </row>
    <row r="95" spans="1:17" ht="15.75" thickBot="1">
      <c r="A95" s="206"/>
      <c r="B95" s="206"/>
      <c r="C95" s="484" t="s">
        <v>8996</v>
      </c>
      <c r="D95" s="895">
        <v>0</v>
      </c>
      <c r="E95" s="895">
        <v>0</v>
      </c>
      <c r="F95" s="895">
        <v>0</v>
      </c>
      <c r="G95" s="895">
        <v>0</v>
      </c>
      <c r="H95" s="895">
        <v>0</v>
      </c>
      <c r="I95" s="895">
        <v>0</v>
      </c>
      <c r="J95" s="895">
        <v>0</v>
      </c>
      <c r="K95" s="895">
        <v>0</v>
      </c>
      <c r="L95" s="895">
        <v>0</v>
      </c>
      <c r="M95" s="895">
        <v>0</v>
      </c>
      <c r="N95" s="895">
        <v>6156</v>
      </c>
      <c r="O95" s="895">
        <v>6217</v>
      </c>
      <c r="Q95" s="206" t="s">
        <v>1522</v>
      </c>
    </row>
    <row r="96" spans="1:17" ht="15.75" thickBot="1">
      <c r="A96" s="206"/>
      <c r="B96" s="206"/>
      <c r="C96" s="484" t="s">
        <v>8996</v>
      </c>
      <c r="D96" s="900">
        <f t="shared" ref="D96:O96" si="47">D94+D95</f>
        <v>0</v>
      </c>
      <c r="E96" s="900">
        <f t="shared" si="47"/>
        <v>0</v>
      </c>
      <c r="F96" s="900">
        <f t="shared" si="47"/>
        <v>0</v>
      </c>
      <c r="G96" s="900">
        <f t="shared" si="47"/>
        <v>0</v>
      </c>
      <c r="H96" s="900">
        <f t="shared" si="47"/>
        <v>0</v>
      </c>
      <c r="I96" s="900">
        <f t="shared" si="47"/>
        <v>0</v>
      </c>
      <c r="J96" s="900">
        <f t="shared" si="47"/>
        <v>0</v>
      </c>
      <c r="K96" s="900">
        <f t="shared" si="47"/>
        <v>0</v>
      </c>
      <c r="L96" s="900">
        <f t="shared" si="47"/>
        <v>0</v>
      </c>
      <c r="M96" s="900">
        <f t="shared" si="47"/>
        <v>0</v>
      </c>
      <c r="N96" s="900">
        <f t="shared" si="47"/>
        <v>11865</v>
      </c>
      <c r="O96" s="900">
        <f t="shared" si="47"/>
        <v>11980</v>
      </c>
      <c r="Q96" s="206"/>
    </row>
    <row r="97" spans="1:17">
      <c r="A97" s="206" t="s">
        <v>5391</v>
      </c>
      <c r="B97" s="206" t="s">
        <v>8900</v>
      </c>
      <c r="C97" s="484" t="s">
        <v>8997</v>
      </c>
      <c r="D97" s="895">
        <v>0</v>
      </c>
      <c r="E97" s="895">
        <v>0</v>
      </c>
      <c r="F97" s="895">
        <v>0</v>
      </c>
      <c r="G97" s="895">
        <v>0</v>
      </c>
      <c r="H97" s="895">
        <v>0</v>
      </c>
      <c r="I97" s="895">
        <v>0</v>
      </c>
      <c r="J97" s="895">
        <v>0</v>
      </c>
      <c r="K97" s="895">
        <v>0</v>
      </c>
      <c r="L97" s="895">
        <v>0</v>
      </c>
      <c r="M97" s="895">
        <v>0</v>
      </c>
      <c r="N97" s="895">
        <v>3813</v>
      </c>
      <c r="O97" s="895">
        <v>3824</v>
      </c>
      <c r="Q97" s="206" t="s">
        <v>1521</v>
      </c>
    </row>
    <row r="98" spans="1:17">
      <c r="A98" s="206" t="s">
        <v>5393</v>
      </c>
      <c r="B98" s="206" t="s">
        <v>8901</v>
      </c>
      <c r="C98" s="484" t="s">
        <v>8998</v>
      </c>
      <c r="D98" s="895">
        <v>0</v>
      </c>
      <c r="E98" s="895">
        <v>0</v>
      </c>
      <c r="F98" s="895">
        <v>0</v>
      </c>
      <c r="G98" s="895">
        <v>0</v>
      </c>
      <c r="H98" s="895">
        <v>0</v>
      </c>
      <c r="I98" s="895">
        <v>0</v>
      </c>
      <c r="J98" s="895">
        <v>0</v>
      </c>
      <c r="K98" s="895">
        <v>0</v>
      </c>
      <c r="L98" s="895">
        <v>0</v>
      </c>
      <c r="M98" s="895">
        <v>0</v>
      </c>
      <c r="N98" s="895">
        <v>3989</v>
      </c>
      <c r="O98" s="895">
        <v>4016</v>
      </c>
      <c r="Q98" s="206" t="s">
        <v>1521</v>
      </c>
    </row>
    <row r="99" spans="1:17">
      <c r="A99" s="206" t="s">
        <v>5394</v>
      </c>
      <c r="B99" s="206" t="s">
        <v>8902</v>
      </c>
      <c r="C99" s="484" t="s">
        <v>8999</v>
      </c>
      <c r="D99" s="895">
        <v>45393</v>
      </c>
      <c r="E99" s="895">
        <v>45925</v>
      </c>
      <c r="F99" s="895">
        <v>47099</v>
      </c>
      <c r="G99" s="895">
        <v>47958</v>
      </c>
      <c r="H99" s="895">
        <v>49028</v>
      </c>
      <c r="I99" s="895">
        <v>48472</v>
      </c>
      <c r="J99" s="895">
        <v>48306</v>
      </c>
      <c r="K99" s="895">
        <v>49743</v>
      </c>
      <c r="L99" s="895">
        <v>50940</v>
      </c>
      <c r="M99" s="895">
        <v>50821</v>
      </c>
      <c r="N99" s="895">
        <v>7401</v>
      </c>
      <c r="O99" s="895">
        <v>7577</v>
      </c>
      <c r="Q99" s="206" t="s">
        <v>1522</v>
      </c>
    </row>
    <row r="100" spans="1:17">
      <c r="A100" s="206" t="s">
        <v>5416</v>
      </c>
      <c r="B100" s="206" t="s">
        <v>8903</v>
      </c>
      <c r="C100" s="484" t="s">
        <v>9000</v>
      </c>
      <c r="D100" s="895">
        <v>0</v>
      </c>
      <c r="E100" s="895">
        <v>0</v>
      </c>
      <c r="F100" s="895">
        <v>0</v>
      </c>
      <c r="G100" s="895">
        <v>0</v>
      </c>
      <c r="H100" s="895">
        <v>0</v>
      </c>
      <c r="I100" s="895">
        <v>0</v>
      </c>
      <c r="J100" s="895">
        <v>0</v>
      </c>
      <c r="K100" s="895">
        <v>0</v>
      </c>
      <c r="L100" s="895">
        <v>0</v>
      </c>
      <c r="M100" s="895">
        <v>0</v>
      </c>
      <c r="N100" s="895">
        <v>8567</v>
      </c>
      <c r="O100" s="895">
        <v>8612</v>
      </c>
      <c r="Q100" s="206" t="s">
        <v>1522</v>
      </c>
    </row>
    <row r="101" spans="1:17">
      <c r="A101" s="206" t="s">
        <v>5418</v>
      </c>
      <c r="B101" s="206" t="s">
        <v>8924</v>
      </c>
      <c r="C101" s="484" t="s">
        <v>12868</v>
      </c>
      <c r="D101" s="895">
        <v>4815</v>
      </c>
      <c r="E101" s="895">
        <v>4876</v>
      </c>
      <c r="F101" s="895">
        <v>4918</v>
      </c>
      <c r="G101" s="895">
        <v>4966</v>
      </c>
      <c r="H101" s="895">
        <v>4926</v>
      </c>
      <c r="I101" s="895">
        <v>4904</v>
      </c>
      <c r="J101" s="895">
        <v>4817</v>
      </c>
      <c r="K101" s="895">
        <v>4889</v>
      </c>
      <c r="L101" s="895">
        <v>4927</v>
      </c>
      <c r="M101" s="895">
        <v>4835</v>
      </c>
      <c r="N101" s="895">
        <v>5045</v>
      </c>
      <c r="O101" s="895">
        <v>5339</v>
      </c>
      <c r="Q101" s="206" t="s">
        <v>5873</v>
      </c>
    </row>
    <row r="102" spans="1:17" ht="15.75" thickBot="1">
      <c r="A102" s="206"/>
      <c r="B102" s="206"/>
      <c r="C102" s="484" t="s">
        <v>12868</v>
      </c>
      <c r="D102" s="895">
        <v>0</v>
      </c>
      <c r="E102" s="895">
        <v>0</v>
      </c>
      <c r="F102" s="895">
        <v>0</v>
      </c>
      <c r="G102" s="895">
        <v>0</v>
      </c>
      <c r="H102" s="895">
        <v>0</v>
      </c>
      <c r="I102" s="895">
        <v>0</v>
      </c>
      <c r="J102" s="895">
        <v>0</v>
      </c>
      <c r="K102" s="895">
        <v>0</v>
      </c>
      <c r="L102" s="895">
        <v>0</v>
      </c>
      <c r="M102" s="895">
        <v>0</v>
      </c>
      <c r="N102" s="895">
        <v>2542</v>
      </c>
      <c r="O102" s="895">
        <v>2556</v>
      </c>
      <c r="Q102" s="206" t="s">
        <v>1523</v>
      </c>
    </row>
    <row r="103" spans="1:17" ht="15.75" thickBot="1">
      <c r="A103" s="206"/>
      <c r="B103" s="206"/>
      <c r="C103" s="484" t="s">
        <v>12868</v>
      </c>
      <c r="D103" s="900">
        <f t="shared" ref="D103:O103" si="48">D101+D102</f>
        <v>4815</v>
      </c>
      <c r="E103" s="900">
        <f t="shared" si="48"/>
        <v>4876</v>
      </c>
      <c r="F103" s="900">
        <f t="shared" si="48"/>
        <v>4918</v>
      </c>
      <c r="G103" s="900">
        <f t="shared" si="48"/>
        <v>4966</v>
      </c>
      <c r="H103" s="900">
        <f t="shared" si="48"/>
        <v>4926</v>
      </c>
      <c r="I103" s="900">
        <f t="shared" si="48"/>
        <v>4904</v>
      </c>
      <c r="J103" s="900">
        <f t="shared" si="48"/>
        <v>4817</v>
      </c>
      <c r="K103" s="900">
        <f t="shared" si="48"/>
        <v>4889</v>
      </c>
      <c r="L103" s="900">
        <f t="shared" si="48"/>
        <v>4927</v>
      </c>
      <c r="M103" s="900">
        <f t="shared" si="48"/>
        <v>4835</v>
      </c>
      <c r="N103" s="900">
        <f t="shared" si="48"/>
        <v>7587</v>
      </c>
      <c r="O103" s="900">
        <f t="shared" si="48"/>
        <v>7895</v>
      </c>
      <c r="Q103" s="206"/>
    </row>
    <row r="104" spans="1:17">
      <c r="A104" s="206" t="s">
        <v>5420</v>
      </c>
      <c r="B104" s="206" t="s">
        <v>8904</v>
      </c>
      <c r="C104" s="484" t="s">
        <v>9001</v>
      </c>
      <c r="D104" s="895">
        <v>0</v>
      </c>
      <c r="E104" s="895">
        <v>0</v>
      </c>
      <c r="F104" s="895">
        <v>0</v>
      </c>
      <c r="G104" s="895">
        <v>0</v>
      </c>
      <c r="H104" s="895">
        <v>0</v>
      </c>
      <c r="I104" s="895">
        <v>0</v>
      </c>
      <c r="J104" s="895">
        <v>0</v>
      </c>
      <c r="K104" s="895">
        <v>0</v>
      </c>
      <c r="L104" s="895">
        <v>0</v>
      </c>
      <c r="M104" s="895">
        <v>0</v>
      </c>
      <c r="N104" s="895">
        <v>11038</v>
      </c>
      <c r="O104" s="895">
        <v>11205</v>
      </c>
      <c r="Q104" s="206" t="s">
        <v>1521</v>
      </c>
    </row>
    <row r="105" spans="1:17">
      <c r="A105" s="206" t="s">
        <v>5422</v>
      </c>
      <c r="B105" s="206" t="s">
        <v>12869</v>
      </c>
      <c r="C105" s="484" t="s">
        <v>9002</v>
      </c>
      <c r="D105" s="895">
        <v>76111</v>
      </c>
      <c r="E105" s="895">
        <v>76178</v>
      </c>
      <c r="F105" s="895">
        <v>77620</v>
      </c>
      <c r="G105" s="895">
        <v>78690</v>
      </c>
      <c r="H105" s="895">
        <v>79517</v>
      </c>
      <c r="I105" s="895">
        <v>78342</v>
      </c>
      <c r="J105" s="895">
        <v>76959</v>
      </c>
      <c r="K105" s="895">
        <v>78185</v>
      </c>
      <c r="L105" s="895">
        <v>79137</v>
      </c>
      <c r="M105" s="895">
        <v>78189</v>
      </c>
      <c r="N105" s="895">
        <v>3359</v>
      </c>
      <c r="O105" s="895">
        <v>3375</v>
      </c>
      <c r="Q105" s="206" t="s">
        <v>1523</v>
      </c>
    </row>
    <row r="106" spans="1:17">
      <c r="A106" s="206" t="s">
        <v>5424</v>
      </c>
      <c r="B106" s="206" t="s">
        <v>12870</v>
      </c>
      <c r="C106" s="484" t="s">
        <v>9003</v>
      </c>
      <c r="D106" s="895">
        <v>0</v>
      </c>
      <c r="E106" s="895">
        <v>0</v>
      </c>
      <c r="F106" s="895">
        <v>0</v>
      </c>
      <c r="G106" s="895">
        <v>0</v>
      </c>
      <c r="H106" s="895">
        <v>0</v>
      </c>
      <c r="I106" s="895">
        <v>0</v>
      </c>
      <c r="J106" s="895">
        <v>0</v>
      </c>
      <c r="K106" s="895">
        <v>0</v>
      </c>
      <c r="L106" s="895">
        <v>0</v>
      </c>
      <c r="M106" s="895">
        <v>0</v>
      </c>
      <c r="N106" s="895">
        <v>5967</v>
      </c>
      <c r="O106" s="895">
        <v>5986</v>
      </c>
      <c r="Q106" s="206" t="s">
        <v>1523</v>
      </c>
    </row>
    <row r="107" spans="1:17">
      <c r="A107" s="206" t="s">
        <v>5426</v>
      </c>
      <c r="B107" s="206" t="s">
        <v>12871</v>
      </c>
      <c r="C107" s="484" t="s">
        <v>12872</v>
      </c>
      <c r="D107" s="895">
        <v>0</v>
      </c>
      <c r="E107" s="895">
        <v>0</v>
      </c>
      <c r="F107" s="895">
        <v>0</v>
      </c>
      <c r="G107" s="895">
        <v>0</v>
      </c>
      <c r="H107" s="895">
        <v>0</v>
      </c>
      <c r="I107" s="895">
        <v>0</v>
      </c>
      <c r="J107" s="895">
        <v>0</v>
      </c>
      <c r="K107" s="895">
        <v>0</v>
      </c>
      <c r="L107" s="895">
        <v>0</v>
      </c>
      <c r="M107" s="895">
        <v>0</v>
      </c>
      <c r="N107" s="895">
        <v>0</v>
      </c>
      <c r="O107" s="895">
        <v>0</v>
      </c>
      <c r="Q107" s="206" t="s">
        <v>5873</v>
      </c>
    </row>
    <row r="108" spans="1:17" ht="15.75" thickBot="1">
      <c r="B108" s="206"/>
      <c r="C108" s="484" t="s">
        <v>12872</v>
      </c>
      <c r="D108" s="895">
        <v>0</v>
      </c>
      <c r="E108" s="895">
        <v>0</v>
      </c>
      <c r="F108" s="895">
        <v>0</v>
      </c>
      <c r="G108" s="895">
        <v>0</v>
      </c>
      <c r="H108" s="895">
        <v>0</v>
      </c>
      <c r="I108" s="895">
        <v>0</v>
      </c>
      <c r="J108" s="895">
        <v>0</v>
      </c>
      <c r="K108" s="895">
        <v>0</v>
      </c>
      <c r="L108" s="895">
        <v>0</v>
      </c>
      <c r="M108" s="895">
        <v>0</v>
      </c>
      <c r="N108" s="895">
        <v>3909</v>
      </c>
      <c r="O108" s="895">
        <v>3654</v>
      </c>
      <c r="Q108" s="206" t="s">
        <v>1523</v>
      </c>
    </row>
    <row r="109" spans="1:17" ht="15.75" thickBot="1">
      <c r="B109" s="206"/>
      <c r="C109" s="484" t="s">
        <v>12872</v>
      </c>
      <c r="D109" s="900">
        <f t="shared" ref="D109:O109" si="49">D107+D108</f>
        <v>0</v>
      </c>
      <c r="E109" s="900">
        <f t="shared" si="49"/>
        <v>0</v>
      </c>
      <c r="F109" s="900">
        <f t="shared" si="49"/>
        <v>0</v>
      </c>
      <c r="G109" s="900">
        <f t="shared" si="49"/>
        <v>0</v>
      </c>
      <c r="H109" s="900">
        <f t="shared" si="49"/>
        <v>0</v>
      </c>
      <c r="I109" s="900">
        <f t="shared" si="49"/>
        <v>0</v>
      </c>
      <c r="J109" s="900">
        <f t="shared" si="49"/>
        <v>0</v>
      </c>
      <c r="K109" s="900">
        <f t="shared" si="49"/>
        <v>0</v>
      </c>
      <c r="L109" s="900">
        <f t="shared" si="49"/>
        <v>0</v>
      </c>
      <c r="M109" s="900">
        <f t="shared" si="49"/>
        <v>0</v>
      </c>
      <c r="N109" s="900">
        <f t="shared" si="49"/>
        <v>3909</v>
      </c>
      <c r="O109" s="900">
        <f t="shared" si="49"/>
        <v>3654</v>
      </c>
      <c r="Q109" s="206"/>
    </row>
    <row r="110" spans="1:17">
      <c r="A110" s="206" t="s">
        <v>5428</v>
      </c>
      <c r="B110" s="206" t="s">
        <v>12873</v>
      </c>
      <c r="C110" s="484" t="s">
        <v>12874</v>
      </c>
      <c r="D110" s="895">
        <v>0</v>
      </c>
      <c r="E110" s="895">
        <v>0</v>
      </c>
      <c r="F110" s="895">
        <v>0</v>
      </c>
      <c r="G110" s="895">
        <v>0</v>
      </c>
      <c r="H110" s="895">
        <v>0</v>
      </c>
      <c r="I110" s="895">
        <v>0</v>
      </c>
      <c r="J110" s="895">
        <v>0</v>
      </c>
      <c r="K110" s="895">
        <v>0</v>
      </c>
      <c r="L110" s="895">
        <v>0</v>
      </c>
      <c r="M110" s="895">
        <v>0</v>
      </c>
      <c r="N110" s="895">
        <v>7167</v>
      </c>
      <c r="O110" s="895">
        <v>7244</v>
      </c>
      <c r="Q110" s="206" t="s">
        <v>1523</v>
      </c>
    </row>
    <row r="111" spans="1:17">
      <c r="A111" s="206" t="s">
        <v>5429</v>
      </c>
      <c r="B111" s="206" t="s">
        <v>12875</v>
      </c>
      <c r="C111" s="484" t="s">
        <v>9004</v>
      </c>
      <c r="D111" s="895">
        <v>0</v>
      </c>
      <c r="E111" s="895">
        <v>0</v>
      </c>
      <c r="F111" s="895">
        <v>0</v>
      </c>
      <c r="G111" s="895">
        <v>0</v>
      </c>
      <c r="H111" s="895">
        <v>0</v>
      </c>
      <c r="I111" s="895">
        <v>0</v>
      </c>
      <c r="J111" s="895">
        <v>0</v>
      </c>
      <c r="K111" s="895">
        <v>0</v>
      </c>
      <c r="L111" s="895">
        <v>0</v>
      </c>
      <c r="M111" s="895">
        <v>0</v>
      </c>
      <c r="N111" s="895">
        <v>7300</v>
      </c>
      <c r="O111" s="895">
        <v>7300</v>
      </c>
      <c r="Q111" s="206" t="s">
        <v>1523</v>
      </c>
    </row>
    <row r="112" spans="1:17">
      <c r="A112" s="206" t="s">
        <v>5431</v>
      </c>
      <c r="B112" s="206" t="s">
        <v>8905</v>
      </c>
      <c r="C112" s="484" t="s">
        <v>9005</v>
      </c>
      <c r="D112" s="895">
        <v>0</v>
      </c>
      <c r="E112" s="895">
        <v>0</v>
      </c>
      <c r="F112" s="895">
        <v>0</v>
      </c>
      <c r="G112" s="895">
        <v>0</v>
      </c>
      <c r="H112" s="895">
        <v>0</v>
      </c>
      <c r="I112" s="895">
        <v>0</v>
      </c>
      <c r="J112" s="895">
        <v>0</v>
      </c>
      <c r="K112" s="895">
        <v>0</v>
      </c>
      <c r="L112" s="895">
        <v>0</v>
      </c>
      <c r="M112" s="895">
        <v>0</v>
      </c>
      <c r="N112" s="895">
        <v>3370</v>
      </c>
      <c r="O112" s="895">
        <v>3377</v>
      </c>
      <c r="Q112" s="206" t="s">
        <v>1523</v>
      </c>
    </row>
    <row r="113" spans="1:17">
      <c r="A113" s="206" t="s">
        <v>5433</v>
      </c>
      <c r="B113" s="206" t="s">
        <v>8906</v>
      </c>
      <c r="C113" s="484" t="s">
        <v>9006</v>
      </c>
      <c r="D113" s="895">
        <v>0</v>
      </c>
      <c r="E113" s="895">
        <v>0</v>
      </c>
      <c r="F113" s="895">
        <v>0</v>
      </c>
      <c r="G113" s="895">
        <v>0</v>
      </c>
      <c r="H113" s="895">
        <v>0</v>
      </c>
      <c r="I113" s="895">
        <v>0</v>
      </c>
      <c r="J113" s="895">
        <v>0</v>
      </c>
      <c r="K113" s="895">
        <v>0</v>
      </c>
      <c r="L113" s="895">
        <v>0</v>
      </c>
      <c r="M113" s="895">
        <v>0</v>
      </c>
      <c r="N113" s="895">
        <v>10626</v>
      </c>
      <c r="O113" s="895">
        <v>10710</v>
      </c>
      <c r="Q113" s="206" t="s">
        <v>1521</v>
      </c>
    </row>
    <row r="114" spans="1:17">
      <c r="A114" s="206" t="s">
        <v>5435</v>
      </c>
      <c r="B114" s="206" t="s">
        <v>8907</v>
      </c>
      <c r="C114" s="484" t="s">
        <v>9007</v>
      </c>
      <c r="D114" s="895">
        <v>0</v>
      </c>
      <c r="E114" s="895">
        <v>0</v>
      </c>
      <c r="F114" s="895">
        <v>0</v>
      </c>
      <c r="G114" s="895">
        <v>0</v>
      </c>
      <c r="H114" s="895">
        <v>0</v>
      </c>
      <c r="I114" s="895">
        <v>0</v>
      </c>
      <c r="J114" s="895">
        <v>0</v>
      </c>
      <c r="K114" s="895">
        <v>0</v>
      </c>
      <c r="L114" s="895">
        <v>0</v>
      </c>
      <c r="M114" s="895">
        <v>0</v>
      </c>
      <c r="N114" s="895">
        <v>3511</v>
      </c>
      <c r="O114" s="895">
        <v>3619</v>
      </c>
      <c r="Q114" s="206" t="s">
        <v>1523</v>
      </c>
    </row>
    <row r="115" spans="1:17">
      <c r="A115" s="206" t="s">
        <v>5436</v>
      </c>
      <c r="B115" s="206" t="s">
        <v>8908</v>
      </c>
      <c r="C115" s="484" t="s">
        <v>12876</v>
      </c>
      <c r="D115" s="895">
        <v>0</v>
      </c>
      <c r="E115" s="895">
        <v>0</v>
      </c>
      <c r="F115" s="895">
        <v>0</v>
      </c>
      <c r="G115" s="895">
        <v>0</v>
      </c>
      <c r="H115" s="895">
        <v>0</v>
      </c>
      <c r="I115" s="895">
        <v>0</v>
      </c>
      <c r="J115" s="895">
        <v>0</v>
      </c>
      <c r="K115" s="895">
        <v>0</v>
      </c>
      <c r="L115" s="895">
        <v>0</v>
      </c>
      <c r="M115" s="895">
        <v>0</v>
      </c>
      <c r="N115" s="895">
        <v>2597</v>
      </c>
      <c r="O115" s="895">
        <v>2676</v>
      </c>
      <c r="Q115" s="206" t="s">
        <v>1521</v>
      </c>
    </row>
    <row r="116" spans="1:17">
      <c r="A116" s="206" t="s">
        <v>5437</v>
      </c>
      <c r="B116" s="206" t="s">
        <v>8909</v>
      </c>
      <c r="C116" s="484" t="s">
        <v>12877</v>
      </c>
      <c r="D116" s="895">
        <v>0</v>
      </c>
      <c r="E116" s="895">
        <v>0</v>
      </c>
      <c r="F116" s="895">
        <v>0</v>
      </c>
      <c r="G116" s="895">
        <v>0</v>
      </c>
      <c r="H116" s="895">
        <v>0</v>
      </c>
      <c r="I116" s="895">
        <v>0</v>
      </c>
      <c r="J116" s="895">
        <v>0</v>
      </c>
      <c r="K116" s="895">
        <v>0</v>
      </c>
      <c r="L116" s="895">
        <v>0</v>
      </c>
      <c r="M116" s="895">
        <v>0</v>
      </c>
      <c r="N116" s="895">
        <v>6032</v>
      </c>
      <c r="O116" s="895">
        <v>6053</v>
      </c>
      <c r="Q116" s="206" t="s">
        <v>1523</v>
      </c>
    </row>
    <row r="117" spans="1:17">
      <c r="A117" s="206" t="s">
        <v>5439</v>
      </c>
      <c r="B117" s="206" t="s">
        <v>8910</v>
      </c>
      <c r="C117" s="484" t="s">
        <v>9008</v>
      </c>
      <c r="D117" s="895">
        <v>0</v>
      </c>
      <c r="E117" s="895">
        <v>0</v>
      </c>
      <c r="F117" s="895">
        <v>0</v>
      </c>
      <c r="G117" s="895">
        <v>0</v>
      </c>
      <c r="H117" s="895">
        <v>0</v>
      </c>
      <c r="I117" s="895">
        <v>0</v>
      </c>
      <c r="J117" s="895">
        <v>0</v>
      </c>
      <c r="K117" s="895">
        <v>0</v>
      </c>
      <c r="L117" s="895">
        <v>0</v>
      </c>
      <c r="M117" s="895">
        <v>0</v>
      </c>
      <c r="N117" s="895">
        <v>10982</v>
      </c>
      <c r="O117" s="895">
        <v>11056</v>
      </c>
      <c r="Q117" s="206" t="s">
        <v>1523</v>
      </c>
    </row>
    <row r="118" spans="1:17">
      <c r="A118" s="206" t="s">
        <v>5441</v>
      </c>
      <c r="B118" s="206" t="s">
        <v>8911</v>
      </c>
      <c r="C118" s="484" t="s">
        <v>9009</v>
      </c>
      <c r="D118" s="895">
        <v>0</v>
      </c>
      <c r="E118" s="895">
        <v>0</v>
      </c>
      <c r="F118" s="895">
        <v>0</v>
      </c>
      <c r="G118" s="895">
        <v>0</v>
      </c>
      <c r="H118" s="895">
        <v>0</v>
      </c>
      <c r="I118" s="895">
        <v>0</v>
      </c>
      <c r="J118" s="895">
        <v>0</v>
      </c>
      <c r="K118" s="895">
        <v>0</v>
      </c>
      <c r="L118" s="895">
        <v>0</v>
      </c>
      <c r="M118" s="895">
        <v>0</v>
      </c>
      <c r="N118" s="895">
        <v>10347</v>
      </c>
      <c r="O118" s="895">
        <v>10462</v>
      </c>
      <c r="Q118" s="206" t="s">
        <v>1523</v>
      </c>
    </row>
    <row r="119" spans="1:17">
      <c r="A119" s="206" t="s">
        <v>5886</v>
      </c>
      <c r="B119" s="206" t="s">
        <v>8912</v>
      </c>
      <c r="C119" s="484" t="s">
        <v>9010</v>
      </c>
      <c r="D119" s="895">
        <v>0</v>
      </c>
      <c r="E119" s="895">
        <v>0</v>
      </c>
      <c r="F119" s="895">
        <v>0</v>
      </c>
      <c r="G119" s="895">
        <v>0</v>
      </c>
      <c r="H119" s="895">
        <v>0</v>
      </c>
      <c r="I119" s="895">
        <v>0</v>
      </c>
      <c r="J119" s="895">
        <v>0</v>
      </c>
      <c r="K119" s="895">
        <v>0</v>
      </c>
      <c r="L119" s="895">
        <v>0</v>
      </c>
      <c r="M119" s="895">
        <v>0</v>
      </c>
      <c r="N119" s="895">
        <v>9125</v>
      </c>
      <c r="O119" s="895">
        <v>9175</v>
      </c>
      <c r="Q119" s="206" t="s">
        <v>1523</v>
      </c>
    </row>
    <row r="120" spans="1:17">
      <c r="A120" s="206" t="s">
        <v>5888</v>
      </c>
      <c r="B120" s="206" t="s">
        <v>8913</v>
      </c>
      <c r="C120" s="484" t="s">
        <v>12878</v>
      </c>
      <c r="D120" s="895">
        <v>0</v>
      </c>
      <c r="E120" s="895">
        <v>0</v>
      </c>
      <c r="F120" s="895">
        <v>0</v>
      </c>
      <c r="G120" s="895">
        <v>0</v>
      </c>
      <c r="H120" s="895">
        <v>0</v>
      </c>
      <c r="I120" s="895">
        <v>0</v>
      </c>
      <c r="J120" s="895">
        <v>0</v>
      </c>
      <c r="K120" s="895">
        <v>0</v>
      </c>
      <c r="L120" s="895">
        <v>0</v>
      </c>
      <c r="M120" s="895">
        <v>0</v>
      </c>
      <c r="N120" s="895">
        <v>1188</v>
      </c>
      <c r="O120" s="895">
        <v>1187</v>
      </c>
      <c r="Q120" s="206" t="s">
        <v>1521</v>
      </c>
    </row>
    <row r="121" spans="1:17" ht="15.75" thickBot="1">
      <c r="B121" s="206"/>
      <c r="C121" s="484" t="s">
        <v>12878</v>
      </c>
      <c r="D121" s="895">
        <v>0</v>
      </c>
      <c r="E121" s="895">
        <v>0</v>
      </c>
      <c r="F121" s="895">
        <v>0</v>
      </c>
      <c r="G121" s="895">
        <v>0</v>
      </c>
      <c r="H121" s="895">
        <v>0</v>
      </c>
      <c r="I121" s="895">
        <v>0</v>
      </c>
      <c r="J121" s="895">
        <v>0</v>
      </c>
      <c r="K121" s="895">
        <v>0</v>
      </c>
      <c r="L121" s="895">
        <v>0</v>
      </c>
      <c r="M121" s="895">
        <v>0</v>
      </c>
      <c r="N121" s="895">
        <v>2412</v>
      </c>
      <c r="O121" s="895">
        <v>2402</v>
      </c>
      <c r="Q121" s="206" t="s">
        <v>1522</v>
      </c>
    </row>
    <row r="122" spans="1:17" ht="15.75" thickBot="1">
      <c r="B122" s="206"/>
      <c r="C122" s="484" t="s">
        <v>12878</v>
      </c>
      <c r="D122" s="900">
        <f t="shared" ref="D122:O122" si="50">D120+D121</f>
        <v>0</v>
      </c>
      <c r="E122" s="900">
        <f t="shared" si="50"/>
        <v>0</v>
      </c>
      <c r="F122" s="900">
        <f t="shared" si="50"/>
        <v>0</v>
      </c>
      <c r="G122" s="900">
        <f t="shared" si="50"/>
        <v>0</v>
      </c>
      <c r="H122" s="900">
        <f t="shared" si="50"/>
        <v>0</v>
      </c>
      <c r="I122" s="900">
        <f t="shared" si="50"/>
        <v>0</v>
      </c>
      <c r="J122" s="900">
        <f t="shared" si="50"/>
        <v>0</v>
      </c>
      <c r="K122" s="900">
        <f t="shared" si="50"/>
        <v>0</v>
      </c>
      <c r="L122" s="900">
        <f t="shared" si="50"/>
        <v>0</v>
      </c>
      <c r="M122" s="900">
        <f t="shared" si="50"/>
        <v>0</v>
      </c>
      <c r="N122" s="900">
        <f t="shared" si="50"/>
        <v>3600</v>
      </c>
      <c r="O122" s="900">
        <f t="shared" si="50"/>
        <v>3589</v>
      </c>
      <c r="Q122" s="206"/>
    </row>
    <row r="123" spans="1:17">
      <c r="A123" s="206" t="s">
        <v>5889</v>
      </c>
      <c r="B123" s="206" t="s">
        <v>3458</v>
      </c>
      <c r="C123" s="484" t="s">
        <v>9011</v>
      </c>
      <c r="D123" s="895">
        <v>0</v>
      </c>
      <c r="E123" s="895">
        <v>0</v>
      </c>
      <c r="F123" s="895">
        <v>0</v>
      </c>
      <c r="G123" s="895">
        <v>0</v>
      </c>
      <c r="H123" s="895">
        <v>0</v>
      </c>
      <c r="I123" s="895">
        <v>0</v>
      </c>
      <c r="J123" s="895">
        <v>0</v>
      </c>
      <c r="K123" s="895">
        <v>0</v>
      </c>
      <c r="L123" s="895">
        <v>0</v>
      </c>
      <c r="M123" s="895">
        <v>0</v>
      </c>
      <c r="N123" s="895">
        <v>3096</v>
      </c>
      <c r="O123" s="895">
        <v>3115</v>
      </c>
      <c r="Q123" s="206" t="s">
        <v>1523</v>
      </c>
    </row>
    <row r="124" spans="1:17">
      <c r="A124" s="206" t="s">
        <v>4431</v>
      </c>
      <c r="B124" s="206" t="s">
        <v>2929</v>
      </c>
      <c r="C124" s="484" t="s">
        <v>9012</v>
      </c>
      <c r="D124" s="895">
        <v>0</v>
      </c>
      <c r="E124" s="895">
        <v>0</v>
      </c>
      <c r="F124" s="895">
        <v>0</v>
      </c>
      <c r="G124" s="895">
        <v>0</v>
      </c>
      <c r="H124" s="895">
        <v>0</v>
      </c>
      <c r="I124" s="895">
        <v>0</v>
      </c>
      <c r="J124" s="895">
        <v>0</v>
      </c>
      <c r="K124" s="895">
        <v>0</v>
      </c>
      <c r="L124" s="895">
        <v>0</v>
      </c>
      <c r="M124" s="895">
        <v>0</v>
      </c>
      <c r="N124" s="895">
        <v>6481</v>
      </c>
      <c r="O124" s="895">
        <v>6579</v>
      </c>
      <c r="Q124" s="206" t="s">
        <v>1522</v>
      </c>
    </row>
    <row r="125" spans="1:17">
      <c r="A125" s="206" t="s">
        <v>4432</v>
      </c>
      <c r="B125" s="206" t="s">
        <v>2930</v>
      </c>
      <c r="C125" s="484" t="s">
        <v>12879</v>
      </c>
      <c r="D125" s="895">
        <v>0</v>
      </c>
      <c r="E125" s="895">
        <v>0</v>
      </c>
      <c r="F125" s="895">
        <v>0</v>
      </c>
      <c r="G125" s="895">
        <v>0</v>
      </c>
      <c r="H125" s="895">
        <v>0</v>
      </c>
      <c r="I125" s="895">
        <v>0</v>
      </c>
      <c r="J125" s="895">
        <v>0</v>
      </c>
      <c r="K125" s="895">
        <v>0</v>
      </c>
      <c r="L125" s="895">
        <v>0</v>
      </c>
      <c r="M125" s="895">
        <v>0</v>
      </c>
      <c r="N125" s="895">
        <v>9895</v>
      </c>
      <c r="O125" s="895">
        <v>9995</v>
      </c>
      <c r="Q125" s="206" t="s">
        <v>1522</v>
      </c>
    </row>
    <row r="126" spans="1:17">
      <c r="A126" s="206" t="s">
        <v>4434</v>
      </c>
      <c r="B126" s="206" t="s">
        <v>2931</v>
      </c>
      <c r="C126" s="484" t="s">
        <v>9013</v>
      </c>
      <c r="D126" s="895">
        <v>0</v>
      </c>
      <c r="E126" s="895">
        <v>0</v>
      </c>
      <c r="F126" s="895">
        <v>0</v>
      </c>
      <c r="G126" s="895">
        <v>0</v>
      </c>
      <c r="H126" s="895">
        <v>0</v>
      </c>
      <c r="I126" s="895">
        <v>0</v>
      </c>
      <c r="J126" s="895">
        <v>0</v>
      </c>
      <c r="K126" s="895">
        <v>0</v>
      </c>
      <c r="L126" s="895">
        <v>0</v>
      </c>
      <c r="M126" s="895">
        <v>0</v>
      </c>
      <c r="N126" s="895">
        <v>7781</v>
      </c>
      <c r="O126" s="895">
        <v>7923</v>
      </c>
      <c r="Q126" s="206" t="s">
        <v>1521</v>
      </c>
    </row>
    <row r="127" spans="1:17">
      <c r="A127" s="206">
        <v>27</v>
      </c>
      <c r="B127" s="206" t="s">
        <v>2928</v>
      </c>
      <c r="C127" s="484" t="s">
        <v>9014</v>
      </c>
      <c r="D127" s="895">
        <v>0</v>
      </c>
      <c r="E127" s="895">
        <v>0</v>
      </c>
      <c r="F127" s="895">
        <v>0</v>
      </c>
      <c r="G127" s="895">
        <v>0</v>
      </c>
      <c r="H127" s="895">
        <v>0</v>
      </c>
      <c r="I127" s="895">
        <v>0</v>
      </c>
      <c r="J127" s="895">
        <v>0</v>
      </c>
      <c r="K127" s="895">
        <v>0</v>
      </c>
      <c r="L127" s="895">
        <v>0</v>
      </c>
      <c r="M127" s="895">
        <v>0</v>
      </c>
      <c r="N127" s="895">
        <v>4316</v>
      </c>
      <c r="O127" s="895">
        <v>4359</v>
      </c>
      <c r="Q127" s="206" t="s">
        <v>1521</v>
      </c>
    </row>
    <row r="128" spans="1:17">
      <c r="A128" s="206">
        <v>28</v>
      </c>
      <c r="B128" s="206" t="s">
        <v>8914</v>
      </c>
      <c r="C128" s="484" t="s">
        <v>9015</v>
      </c>
      <c r="D128" s="895">
        <v>0</v>
      </c>
      <c r="E128" s="895">
        <v>0</v>
      </c>
      <c r="F128" s="895">
        <v>0</v>
      </c>
      <c r="G128" s="895">
        <v>0</v>
      </c>
      <c r="H128" s="895">
        <v>0</v>
      </c>
      <c r="I128" s="895">
        <v>0</v>
      </c>
      <c r="J128" s="895">
        <v>0</v>
      </c>
      <c r="K128" s="895">
        <v>0</v>
      </c>
      <c r="L128" s="895">
        <v>0</v>
      </c>
      <c r="M128" s="895">
        <v>0</v>
      </c>
      <c r="N128" s="895">
        <v>11695</v>
      </c>
      <c r="O128" s="895">
        <v>11752</v>
      </c>
      <c r="Q128" s="206" t="s">
        <v>1522</v>
      </c>
    </row>
    <row r="129" spans="1:17">
      <c r="A129" s="320">
        <v>29</v>
      </c>
      <c r="B129" s="206" t="s">
        <v>8915</v>
      </c>
      <c r="C129" s="484" t="s">
        <v>9016</v>
      </c>
      <c r="D129" s="895">
        <v>0</v>
      </c>
      <c r="E129" s="895">
        <v>0</v>
      </c>
      <c r="F129" s="895">
        <v>0</v>
      </c>
      <c r="G129" s="895">
        <v>0</v>
      </c>
      <c r="H129" s="895">
        <v>0</v>
      </c>
      <c r="I129" s="895">
        <v>0</v>
      </c>
      <c r="J129" s="895">
        <v>0</v>
      </c>
      <c r="K129" s="895">
        <v>0</v>
      </c>
      <c r="L129" s="895">
        <v>0</v>
      </c>
      <c r="M129" s="895">
        <v>0</v>
      </c>
      <c r="N129" s="895">
        <v>3026</v>
      </c>
      <c r="O129" s="895">
        <v>3030</v>
      </c>
      <c r="Q129" s="206" t="s">
        <v>1523</v>
      </c>
    </row>
    <row r="130" spans="1:17">
      <c r="A130" s="320">
        <v>30</v>
      </c>
      <c r="B130" s="206" t="s">
        <v>5933</v>
      </c>
      <c r="C130" s="484" t="s">
        <v>9017</v>
      </c>
      <c r="D130" s="895">
        <v>0</v>
      </c>
      <c r="E130" s="895">
        <v>0</v>
      </c>
      <c r="F130" s="895">
        <v>0</v>
      </c>
      <c r="G130" s="895">
        <v>0</v>
      </c>
      <c r="H130" s="895">
        <v>0</v>
      </c>
      <c r="I130" s="895">
        <v>0</v>
      </c>
      <c r="J130" s="895">
        <v>0</v>
      </c>
      <c r="K130" s="895">
        <v>0</v>
      </c>
      <c r="L130" s="895">
        <v>0</v>
      </c>
      <c r="M130" s="895">
        <v>0</v>
      </c>
      <c r="N130" s="895">
        <v>7527</v>
      </c>
      <c r="O130" s="895">
        <v>7572</v>
      </c>
      <c r="Q130" s="206" t="s">
        <v>1521</v>
      </c>
    </row>
    <row r="131" spans="1:17">
      <c r="A131" s="320">
        <v>31</v>
      </c>
      <c r="B131" s="206" t="s">
        <v>8916</v>
      </c>
      <c r="C131" s="484" t="s">
        <v>9018</v>
      </c>
      <c r="D131" s="895">
        <v>0</v>
      </c>
      <c r="E131" s="895">
        <v>0</v>
      </c>
      <c r="F131" s="895">
        <v>0</v>
      </c>
      <c r="G131" s="895">
        <v>0</v>
      </c>
      <c r="H131" s="895">
        <v>0</v>
      </c>
      <c r="I131" s="895">
        <v>0</v>
      </c>
      <c r="J131" s="895">
        <v>0</v>
      </c>
      <c r="K131" s="895">
        <v>0</v>
      </c>
      <c r="L131" s="895">
        <v>0</v>
      </c>
      <c r="M131" s="895">
        <v>0</v>
      </c>
      <c r="N131" s="895">
        <v>3741</v>
      </c>
      <c r="O131" s="895">
        <v>3761</v>
      </c>
      <c r="Q131" s="206" t="s">
        <v>1521</v>
      </c>
    </row>
    <row r="132" spans="1:17">
      <c r="D132" s="897"/>
      <c r="E132" s="897"/>
      <c r="F132" s="897"/>
      <c r="G132" s="897"/>
      <c r="H132" s="897"/>
      <c r="I132" s="897"/>
      <c r="J132" s="897"/>
      <c r="K132" s="897"/>
      <c r="L132" s="897"/>
      <c r="M132" s="897"/>
      <c r="N132" s="897"/>
      <c r="O132" s="897"/>
    </row>
    <row r="133" spans="1:17">
      <c r="A133" s="206" t="s">
        <v>4413</v>
      </c>
      <c r="D133" s="895">
        <f t="shared" ref="D133:I133" si="51">D101</f>
        <v>4815</v>
      </c>
      <c r="E133" s="895">
        <f t="shared" si="51"/>
        <v>4876</v>
      </c>
      <c r="F133" s="895">
        <f t="shared" si="51"/>
        <v>4918</v>
      </c>
      <c r="G133" s="895">
        <f t="shared" si="51"/>
        <v>4966</v>
      </c>
      <c r="H133" s="895">
        <f t="shared" si="51"/>
        <v>4926</v>
      </c>
      <c r="I133" s="895">
        <f t="shared" si="51"/>
        <v>4904</v>
      </c>
      <c r="J133" s="895">
        <f>J101</f>
        <v>4817</v>
      </c>
      <c r="K133" s="895">
        <f>K101</f>
        <v>4889</v>
      </c>
      <c r="L133" s="895">
        <f>L101</f>
        <v>4927</v>
      </c>
      <c r="M133" s="895">
        <f>M101</f>
        <v>4835</v>
      </c>
      <c r="N133" s="895">
        <f>SUM(N101,N107)</f>
        <v>5045</v>
      </c>
      <c r="O133" s="895">
        <f>SUM(O101,O107)</f>
        <v>5339</v>
      </c>
    </row>
    <row r="134" spans="1:17">
      <c r="A134" s="206" t="s">
        <v>4436</v>
      </c>
      <c r="D134" s="895">
        <f t="shared" ref="D134:I134" si="52">D93+D94+D97+D98+D104+D111+D113+D118+D124+D125+D128+D129</f>
        <v>65446</v>
      </c>
      <c r="E134" s="895">
        <f t="shared" si="52"/>
        <v>65557</v>
      </c>
      <c r="F134" s="895">
        <f t="shared" si="52"/>
        <v>66647</v>
      </c>
      <c r="G134" s="895">
        <f t="shared" si="52"/>
        <v>67577</v>
      </c>
      <c r="H134" s="895">
        <f t="shared" si="52"/>
        <v>68607</v>
      </c>
      <c r="I134" s="895">
        <f t="shared" si="52"/>
        <v>68064</v>
      </c>
      <c r="J134" s="895">
        <f>J93+J94+J97+J98+J104+J111+J113+J118+J124+J125+J128+J129</f>
        <v>67411</v>
      </c>
      <c r="K134" s="895">
        <f>K93+K94+K97+K98+K104+K111+K113+K118+K124+K125+K128+K129</f>
        <v>69230</v>
      </c>
      <c r="L134" s="895">
        <f>L93+L94+L97+L98+L104+L111+L113+L118+L124+L125+L128+L129</f>
        <v>70647</v>
      </c>
      <c r="M134" s="895">
        <f>M93+M94+M97+M98+M104+M111+M113+M118+M124+M125+M128+M129</f>
        <v>70182</v>
      </c>
      <c r="N134" s="895">
        <f>SUM(N93:N94,N97:N98,N104,N113,N115,N120,N126:N127,N130:N131)</f>
        <v>72858</v>
      </c>
      <c r="O134" s="895">
        <f>SUM(O93:O94,O97:O98,O104,O113,O115,O120,O126:O127,O130:O131)</f>
        <v>73670</v>
      </c>
    </row>
    <row r="135" spans="1:17">
      <c r="A135" s="206" t="s">
        <v>4437</v>
      </c>
      <c r="D135" s="895">
        <f t="shared" ref="D135:M135" si="53">SUM(D95,D99:D100,D121,D124:D125,D128)</f>
        <v>45393</v>
      </c>
      <c r="E135" s="895">
        <f t="shared" si="53"/>
        <v>45925</v>
      </c>
      <c r="F135" s="895">
        <f t="shared" si="53"/>
        <v>47099</v>
      </c>
      <c r="G135" s="895">
        <f t="shared" si="53"/>
        <v>47958</v>
      </c>
      <c r="H135" s="895">
        <f t="shared" si="53"/>
        <v>49028</v>
      </c>
      <c r="I135" s="895">
        <f t="shared" si="53"/>
        <v>48472</v>
      </c>
      <c r="J135" s="895">
        <f t="shared" si="53"/>
        <v>48306</v>
      </c>
      <c r="K135" s="895">
        <f t="shared" si="53"/>
        <v>49743</v>
      </c>
      <c r="L135" s="895">
        <f t="shared" si="53"/>
        <v>50940</v>
      </c>
      <c r="M135" s="895">
        <f t="shared" si="53"/>
        <v>50821</v>
      </c>
      <c r="N135" s="895">
        <f>SUM(N95,N99:N100,N121,N124:N125,N128)</f>
        <v>52607</v>
      </c>
      <c r="O135" s="895">
        <f>SUM(O95,O99:O100,O121,O124:O125,O128)</f>
        <v>53134</v>
      </c>
    </row>
    <row r="136" spans="1:17">
      <c r="A136" s="206" t="s">
        <v>1523</v>
      </c>
      <c r="D136" s="895">
        <f t="shared" ref="D136:I136" si="54">D102+SUM(D105:D110)+D112+SUM(D114:D117)+D121+D127</f>
        <v>76111</v>
      </c>
      <c r="E136" s="895">
        <f t="shared" si="54"/>
        <v>76178</v>
      </c>
      <c r="F136" s="895">
        <f t="shared" si="54"/>
        <v>77620</v>
      </c>
      <c r="G136" s="895">
        <f t="shared" si="54"/>
        <v>78690</v>
      </c>
      <c r="H136" s="895">
        <f t="shared" si="54"/>
        <v>79517</v>
      </c>
      <c r="I136" s="895">
        <f t="shared" si="54"/>
        <v>78342</v>
      </c>
      <c r="J136" s="895">
        <f>J102+SUM(J105:J110)+J112+SUM(J114:J117)+J121+J127</f>
        <v>76959</v>
      </c>
      <c r="K136" s="895">
        <f>K102+SUM(K105:K110)+K112+SUM(K114:K117)+K121+K127</f>
        <v>78185</v>
      </c>
      <c r="L136" s="895">
        <f>L102+SUM(L105:L110)+L112+SUM(L114:L117)+L121+L127</f>
        <v>79137</v>
      </c>
      <c r="M136" s="895">
        <f>M102+SUM(M105:M110)+M112+SUM(M114:M117)+M121+M127</f>
        <v>78189</v>
      </c>
      <c r="N136" s="895">
        <f>SUM(N102,N105:N106,N108,N110:N112,N114,N116:N119,N123,N129)</f>
        <v>79733</v>
      </c>
      <c r="O136" s="895">
        <f>SUM(O102,O105:O106,O108,O110:O112,O114,O116:O119,O123,O129)</f>
        <v>80002</v>
      </c>
    </row>
    <row r="137" spans="1:17">
      <c r="D137" s="897"/>
      <c r="E137" s="897"/>
      <c r="F137" s="897"/>
      <c r="G137" s="897"/>
      <c r="H137" s="897"/>
      <c r="I137" s="897"/>
      <c r="J137" s="897"/>
      <c r="K137" s="897"/>
      <c r="L137" s="897"/>
      <c r="M137" s="897"/>
      <c r="N137" s="897"/>
      <c r="O137" s="897"/>
    </row>
    <row r="138" spans="1:17">
      <c r="A138" s="173" t="s">
        <v>8917</v>
      </c>
      <c r="D138" s="897"/>
      <c r="E138" s="897"/>
      <c r="F138" s="897"/>
      <c r="G138" s="897"/>
      <c r="H138" s="897"/>
      <c r="I138" s="897"/>
      <c r="J138" s="897"/>
      <c r="K138" s="897"/>
      <c r="L138" s="897"/>
      <c r="M138" s="897"/>
      <c r="N138" s="897"/>
      <c r="O138" s="897"/>
    </row>
    <row r="139" spans="1:17">
      <c r="A139" s="173" t="s">
        <v>12880</v>
      </c>
      <c r="D139" s="897"/>
      <c r="E139" s="897"/>
      <c r="F139" s="897"/>
      <c r="G139" s="897"/>
      <c r="H139" s="897"/>
      <c r="I139" s="897"/>
      <c r="J139" s="897"/>
      <c r="K139" s="897"/>
      <c r="L139" s="897"/>
      <c r="M139" s="897"/>
      <c r="N139" s="897"/>
      <c r="O139" s="897"/>
    </row>
    <row r="140" spans="1:17">
      <c r="D140" s="897"/>
      <c r="E140" s="897"/>
      <c r="F140" s="897"/>
      <c r="G140" s="897"/>
      <c r="H140" s="897"/>
      <c r="I140" s="897"/>
      <c r="J140" s="897"/>
      <c r="K140" s="897"/>
      <c r="L140" s="897"/>
      <c r="M140" s="897"/>
      <c r="N140" s="897"/>
      <c r="O140" s="897"/>
    </row>
    <row r="141" spans="1:17">
      <c r="E141" s="51" t="s">
        <v>1526</v>
      </c>
      <c r="F141" s="51"/>
      <c r="G141" s="51"/>
      <c r="H141" s="51"/>
      <c r="I141" s="51"/>
      <c r="J141" s="51"/>
      <c r="K141" s="51"/>
      <c r="L141" s="51"/>
      <c r="M141" s="51"/>
      <c r="N141" s="51"/>
      <c r="O141" s="51"/>
      <c r="Q141" s="138" t="s">
        <v>9479</v>
      </c>
    </row>
    <row r="142" spans="1:17">
      <c r="D142" s="51">
        <v>2010</v>
      </c>
      <c r="E142" s="51">
        <v>2011</v>
      </c>
      <c r="F142" s="51">
        <v>2012</v>
      </c>
      <c r="G142" s="51">
        <v>2013</v>
      </c>
      <c r="H142" s="51">
        <v>2014</v>
      </c>
      <c r="I142" s="51">
        <v>2015</v>
      </c>
      <c r="J142" s="51">
        <v>2016</v>
      </c>
      <c r="K142" s="51">
        <v>2017</v>
      </c>
      <c r="L142" s="51">
        <v>2018</v>
      </c>
      <c r="M142" s="51">
        <v>2019</v>
      </c>
      <c r="N142" s="51">
        <v>2020</v>
      </c>
      <c r="O142" s="992" t="s">
        <v>14823</v>
      </c>
      <c r="Q142" s="206" t="s">
        <v>1527</v>
      </c>
    </row>
    <row r="143" spans="1:17">
      <c r="A143" s="206" t="s">
        <v>2531</v>
      </c>
      <c r="D143" s="895">
        <f t="shared" ref="D143:I143" si="55">SUM(D144:D162)</f>
        <v>126090</v>
      </c>
      <c r="E143" s="895">
        <f t="shared" si="55"/>
        <v>127286</v>
      </c>
      <c r="F143" s="895">
        <f t="shared" si="55"/>
        <v>131069</v>
      </c>
      <c r="G143" s="895">
        <f t="shared" si="55"/>
        <v>134116</v>
      </c>
      <c r="H143" s="895">
        <f t="shared" si="55"/>
        <v>131480</v>
      </c>
      <c r="I143" s="895">
        <f t="shared" si="55"/>
        <v>125886</v>
      </c>
      <c r="J143" s="895">
        <f t="shared" ref="J143:O143" si="56">SUM(J144:J162)</f>
        <v>123871</v>
      </c>
      <c r="K143" s="895">
        <f t="shared" si="56"/>
        <v>127033</v>
      </c>
      <c r="L143" s="895">
        <f t="shared" si="56"/>
        <v>127400</v>
      </c>
      <c r="M143" s="895">
        <f t="shared" si="56"/>
        <v>128620</v>
      </c>
      <c r="N143" s="895">
        <f t="shared" si="56"/>
        <v>131026</v>
      </c>
      <c r="O143" s="895">
        <f t="shared" si="56"/>
        <v>132191</v>
      </c>
    </row>
    <row r="144" spans="1:17">
      <c r="A144" s="206" t="s">
        <v>5387</v>
      </c>
      <c r="B144" s="206" t="s">
        <v>4414</v>
      </c>
      <c r="C144" s="55" t="s">
        <v>7528</v>
      </c>
      <c r="D144" s="895">
        <v>5312</v>
      </c>
      <c r="E144" s="895">
        <v>5434</v>
      </c>
      <c r="F144" s="895">
        <v>5603</v>
      </c>
      <c r="G144" s="901">
        <v>5665</v>
      </c>
      <c r="H144" s="63">
        <v>5559</v>
      </c>
      <c r="I144" s="63">
        <v>5427</v>
      </c>
      <c r="J144" s="63">
        <v>5295</v>
      </c>
      <c r="K144" s="63">
        <v>5429</v>
      </c>
      <c r="L144" s="63">
        <v>5475</v>
      </c>
      <c r="M144" s="63">
        <v>5519</v>
      </c>
      <c r="N144" s="63">
        <v>5561</v>
      </c>
      <c r="O144" s="63">
        <v>5603</v>
      </c>
      <c r="Q144" s="206" t="s">
        <v>5871</v>
      </c>
    </row>
    <row r="145" spans="1:17">
      <c r="A145" s="206" t="s">
        <v>5389</v>
      </c>
      <c r="B145" s="206" t="s">
        <v>4415</v>
      </c>
      <c r="C145" s="55" t="s">
        <v>7529</v>
      </c>
      <c r="D145" s="895">
        <v>8022</v>
      </c>
      <c r="E145" s="895">
        <v>8439</v>
      </c>
      <c r="F145" s="895">
        <v>9094</v>
      </c>
      <c r="G145" s="901">
        <v>9291</v>
      </c>
      <c r="H145" s="63">
        <v>9251</v>
      </c>
      <c r="I145" s="63">
        <v>8717</v>
      </c>
      <c r="J145" s="63">
        <v>8351</v>
      </c>
      <c r="K145" s="63">
        <v>8548</v>
      </c>
      <c r="L145" s="63">
        <v>8678</v>
      </c>
      <c r="M145" s="63">
        <v>8837</v>
      </c>
      <c r="N145" s="63">
        <v>9051</v>
      </c>
      <c r="O145" s="63">
        <v>9239</v>
      </c>
      <c r="Q145" s="206" t="s">
        <v>5873</v>
      </c>
    </row>
    <row r="146" spans="1:17">
      <c r="A146" s="206" t="s">
        <v>5391</v>
      </c>
      <c r="B146" s="206" t="s">
        <v>4416</v>
      </c>
      <c r="C146" s="55" t="s">
        <v>7530</v>
      </c>
      <c r="D146" s="895">
        <v>5620</v>
      </c>
      <c r="E146" s="895">
        <v>5611</v>
      </c>
      <c r="F146" s="895">
        <v>5689</v>
      </c>
      <c r="G146" s="901">
        <v>5755</v>
      </c>
      <c r="H146" s="63">
        <v>5652</v>
      </c>
      <c r="I146" s="63">
        <v>5426</v>
      </c>
      <c r="J146" s="63">
        <v>5366</v>
      </c>
      <c r="K146" s="63">
        <v>5438</v>
      </c>
      <c r="L146" s="63">
        <v>5374</v>
      </c>
      <c r="M146" s="63">
        <v>5399</v>
      </c>
      <c r="N146" s="63">
        <v>5367</v>
      </c>
      <c r="O146" s="63">
        <v>5399</v>
      </c>
      <c r="Q146" s="206" t="s">
        <v>5871</v>
      </c>
    </row>
    <row r="147" spans="1:17">
      <c r="A147" s="206" t="s">
        <v>5393</v>
      </c>
      <c r="B147" s="206" t="s">
        <v>4417</v>
      </c>
      <c r="C147" s="55" t="s">
        <v>7531</v>
      </c>
      <c r="D147" s="895">
        <v>8220</v>
      </c>
      <c r="E147" s="895">
        <v>8328</v>
      </c>
      <c r="F147" s="895">
        <v>8626</v>
      </c>
      <c r="G147" s="901">
        <v>8845</v>
      </c>
      <c r="H147" s="63">
        <v>8722</v>
      </c>
      <c r="I147" s="63">
        <v>8453</v>
      </c>
      <c r="J147" s="63">
        <v>8227</v>
      </c>
      <c r="K147" s="63">
        <v>8478</v>
      </c>
      <c r="L147" s="63">
        <v>8527</v>
      </c>
      <c r="M147" s="63">
        <v>8620</v>
      </c>
      <c r="N147" s="63">
        <v>8880</v>
      </c>
      <c r="O147" s="63">
        <v>8972</v>
      </c>
      <c r="Q147" s="206" t="s">
        <v>5871</v>
      </c>
    </row>
    <row r="148" spans="1:17">
      <c r="A148" s="206" t="s">
        <v>5394</v>
      </c>
      <c r="B148" s="206" t="s">
        <v>6842</v>
      </c>
      <c r="C148" s="55" t="s">
        <v>7532</v>
      </c>
      <c r="D148" s="895">
        <v>4847</v>
      </c>
      <c r="E148" s="895">
        <v>4865</v>
      </c>
      <c r="F148" s="895">
        <v>4927</v>
      </c>
      <c r="G148" s="901">
        <v>5032</v>
      </c>
      <c r="H148" s="63">
        <v>4938</v>
      </c>
      <c r="I148" s="63">
        <v>4751</v>
      </c>
      <c r="J148" s="63">
        <v>4696</v>
      </c>
      <c r="K148" s="63">
        <v>4755</v>
      </c>
      <c r="L148" s="63">
        <v>4737</v>
      </c>
      <c r="M148" s="63">
        <v>4750</v>
      </c>
      <c r="N148" s="63">
        <v>4871</v>
      </c>
      <c r="O148" s="63">
        <v>4921</v>
      </c>
      <c r="Q148" s="206" t="s">
        <v>5873</v>
      </c>
    </row>
    <row r="149" spans="1:17" ht="15.75" customHeight="1">
      <c r="A149" s="206" t="s">
        <v>5416</v>
      </c>
      <c r="B149" s="206" t="s">
        <v>4418</v>
      </c>
      <c r="C149" s="55" t="s">
        <v>7533</v>
      </c>
      <c r="D149" s="895">
        <v>8743</v>
      </c>
      <c r="E149" s="895">
        <v>8848</v>
      </c>
      <c r="F149" s="895">
        <v>9173</v>
      </c>
      <c r="G149" s="901">
        <v>9403</v>
      </c>
      <c r="H149" s="63">
        <v>9022</v>
      </c>
      <c r="I149" s="63">
        <v>8349</v>
      </c>
      <c r="J149" s="63">
        <v>8243</v>
      </c>
      <c r="K149" s="63">
        <v>8473</v>
      </c>
      <c r="L149" s="63">
        <v>8564</v>
      </c>
      <c r="M149" s="63">
        <v>8709</v>
      </c>
      <c r="N149" s="63">
        <v>8848</v>
      </c>
      <c r="O149" s="63">
        <v>9056</v>
      </c>
      <c r="Q149" s="206" t="s">
        <v>5873</v>
      </c>
    </row>
    <row r="150" spans="1:17">
      <c r="A150" s="206" t="s">
        <v>5418</v>
      </c>
      <c r="B150" s="206" t="s">
        <v>1559</v>
      </c>
      <c r="C150" s="55" t="s">
        <v>7534</v>
      </c>
      <c r="D150" s="895">
        <v>6981</v>
      </c>
      <c r="E150" s="895">
        <v>7000</v>
      </c>
      <c r="F150" s="895">
        <v>7217</v>
      </c>
      <c r="G150" s="901">
        <v>7466</v>
      </c>
      <c r="H150" s="63">
        <v>7151</v>
      </c>
      <c r="I150" s="63">
        <v>6712</v>
      </c>
      <c r="J150" s="63">
        <v>6839</v>
      </c>
      <c r="K150" s="63">
        <v>7052</v>
      </c>
      <c r="L150" s="63">
        <v>7054</v>
      </c>
      <c r="M150" s="63">
        <v>7202</v>
      </c>
      <c r="N150" s="63">
        <v>7321</v>
      </c>
      <c r="O150" s="63">
        <v>7384</v>
      </c>
      <c r="Q150" s="206" t="s">
        <v>5873</v>
      </c>
    </row>
    <row r="151" spans="1:17">
      <c r="A151" s="206" t="s">
        <v>5420</v>
      </c>
      <c r="B151" s="206" t="s">
        <v>1601</v>
      </c>
      <c r="C151" s="55" t="s">
        <v>7535</v>
      </c>
      <c r="D151" s="895">
        <v>4719</v>
      </c>
      <c r="E151" s="895">
        <v>4705</v>
      </c>
      <c r="F151" s="895">
        <v>4983</v>
      </c>
      <c r="G151" s="901">
        <v>5143</v>
      </c>
      <c r="H151" s="63">
        <v>4761</v>
      </c>
      <c r="I151" s="63">
        <v>4299</v>
      </c>
      <c r="J151" s="63">
        <v>4206</v>
      </c>
      <c r="K151" s="63">
        <v>4502</v>
      </c>
      <c r="L151" s="63">
        <v>4500</v>
      </c>
      <c r="M151" s="63">
        <v>4500</v>
      </c>
      <c r="N151" s="63">
        <v>4671</v>
      </c>
      <c r="O151" s="63">
        <v>4723</v>
      </c>
      <c r="Q151" s="206" t="s">
        <v>5873</v>
      </c>
    </row>
    <row r="152" spans="1:17">
      <c r="A152" s="206" t="s">
        <v>5422</v>
      </c>
      <c r="B152" s="206" t="s">
        <v>2912</v>
      </c>
      <c r="C152" s="55" t="s">
        <v>7536</v>
      </c>
      <c r="D152" s="895">
        <v>5748</v>
      </c>
      <c r="E152" s="895">
        <v>5756</v>
      </c>
      <c r="F152" s="895">
        <v>5840</v>
      </c>
      <c r="G152" s="901">
        <v>5841</v>
      </c>
      <c r="H152" s="63">
        <v>5905</v>
      </c>
      <c r="I152" s="63">
        <v>5768</v>
      </c>
      <c r="J152" s="63">
        <v>5614</v>
      </c>
      <c r="K152" s="63">
        <v>5705</v>
      </c>
      <c r="L152" s="63">
        <v>5677</v>
      </c>
      <c r="M152" s="63">
        <v>5687</v>
      </c>
      <c r="N152" s="63">
        <v>5782</v>
      </c>
      <c r="O152" s="63">
        <v>5792</v>
      </c>
      <c r="Q152" s="206" t="s">
        <v>5871</v>
      </c>
    </row>
    <row r="153" spans="1:17">
      <c r="A153" s="206" t="s">
        <v>5424</v>
      </c>
      <c r="B153" s="206" t="s">
        <v>2958</v>
      </c>
      <c r="C153" s="55" t="s">
        <v>7537</v>
      </c>
      <c r="D153" s="895">
        <v>7623</v>
      </c>
      <c r="E153" s="895">
        <v>7708</v>
      </c>
      <c r="F153" s="895">
        <v>7974</v>
      </c>
      <c r="G153" s="901">
        <v>8097</v>
      </c>
      <c r="H153" s="63">
        <v>7962</v>
      </c>
      <c r="I153" s="63">
        <v>7617</v>
      </c>
      <c r="J153" s="63">
        <v>7492</v>
      </c>
      <c r="K153" s="63">
        <v>7815</v>
      </c>
      <c r="L153" s="63">
        <v>7920</v>
      </c>
      <c r="M153" s="63">
        <v>7952</v>
      </c>
      <c r="N153" s="63">
        <v>8052</v>
      </c>
      <c r="O153" s="63">
        <v>8140</v>
      </c>
      <c r="Q153" s="206" t="s">
        <v>5871</v>
      </c>
    </row>
    <row r="154" spans="1:17">
      <c r="A154" s="206" t="s">
        <v>5426</v>
      </c>
      <c r="B154" s="206" t="s">
        <v>2959</v>
      </c>
      <c r="C154" s="55" t="s">
        <v>7538</v>
      </c>
      <c r="D154" s="895">
        <v>8344</v>
      </c>
      <c r="E154" s="895">
        <v>8421</v>
      </c>
      <c r="F154" s="895">
        <v>8678</v>
      </c>
      <c r="G154" s="901">
        <v>8716</v>
      </c>
      <c r="H154" s="63">
        <v>8655</v>
      </c>
      <c r="I154" s="63">
        <v>8360</v>
      </c>
      <c r="J154" s="63">
        <v>8207</v>
      </c>
      <c r="K154" s="63">
        <v>8372</v>
      </c>
      <c r="L154" s="63">
        <v>8394</v>
      </c>
      <c r="M154" s="63">
        <v>8393</v>
      </c>
      <c r="N154" s="63">
        <v>8410</v>
      </c>
      <c r="O154" s="63">
        <v>8507</v>
      </c>
      <c r="Q154" s="206" t="s">
        <v>5871</v>
      </c>
    </row>
    <row r="155" spans="1:17">
      <c r="A155" s="206" t="s">
        <v>5428</v>
      </c>
      <c r="B155" s="206" t="s">
        <v>2960</v>
      </c>
      <c r="C155" s="55" t="s">
        <v>7539</v>
      </c>
      <c r="D155" s="895">
        <v>5592</v>
      </c>
      <c r="E155" s="895">
        <v>5594</v>
      </c>
      <c r="F155" s="895">
        <v>5622</v>
      </c>
      <c r="G155" s="901">
        <v>5693</v>
      </c>
      <c r="H155" s="63">
        <v>5707</v>
      </c>
      <c r="I155" s="63">
        <v>5648</v>
      </c>
      <c r="J155" s="63">
        <v>5530</v>
      </c>
      <c r="K155" s="63">
        <v>5668</v>
      </c>
      <c r="L155" s="63">
        <v>5599</v>
      </c>
      <c r="M155" s="63">
        <v>5632</v>
      </c>
      <c r="N155" s="63">
        <v>5725</v>
      </c>
      <c r="O155" s="63">
        <v>5673</v>
      </c>
      <c r="Q155" s="206" t="s">
        <v>5871</v>
      </c>
    </row>
    <row r="156" spans="1:17">
      <c r="A156" s="206" t="s">
        <v>5429</v>
      </c>
      <c r="B156" s="206" t="s">
        <v>2961</v>
      </c>
      <c r="C156" s="55" t="s">
        <v>7540</v>
      </c>
      <c r="D156" s="895">
        <v>5261</v>
      </c>
      <c r="E156" s="895">
        <v>5309</v>
      </c>
      <c r="F156" s="895">
        <v>5356</v>
      </c>
      <c r="G156" s="901">
        <v>5289</v>
      </c>
      <c r="H156" s="63">
        <v>5084</v>
      </c>
      <c r="I156" s="63">
        <v>4904</v>
      </c>
      <c r="J156" s="63">
        <v>4966</v>
      </c>
      <c r="K156" s="63">
        <v>5082</v>
      </c>
      <c r="L156" s="63">
        <v>5110</v>
      </c>
      <c r="M156" s="63">
        <v>5154</v>
      </c>
      <c r="N156" s="63">
        <v>5160</v>
      </c>
      <c r="O156" s="63">
        <v>5213</v>
      </c>
      <c r="Q156" s="206" t="s">
        <v>5871</v>
      </c>
    </row>
    <row r="157" spans="1:17">
      <c r="A157" s="902">
        <v>14</v>
      </c>
      <c r="B157" s="206" t="s">
        <v>2962</v>
      </c>
      <c r="C157" s="55" t="s">
        <v>7541</v>
      </c>
      <c r="D157" s="895">
        <v>7567</v>
      </c>
      <c r="E157" s="895">
        <v>7606</v>
      </c>
      <c r="F157" s="895">
        <v>7844</v>
      </c>
      <c r="G157" s="901">
        <v>8024</v>
      </c>
      <c r="H157" s="63">
        <v>7834</v>
      </c>
      <c r="I157" s="63">
        <v>7573</v>
      </c>
      <c r="J157" s="63">
        <v>7566</v>
      </c>
      <c r="K157" s="63">
        <v>7728</v>
      </c>
      <c r="L157" s="63">
        <v>7727</v>
      </c>
      <c r="M157" s="63">
        <v>7802</v>
      </c>
      <c r="N157" s="63">
        <v>7840</v>
      </c>
      <c r="O157" s="63">
        <v>7863</v>
      </c>
      <c r="Q157" s="206" t="s">
        <v>5873</v>
      </c>
    </row>
    <row r="158" spans="1:17">
      <c r="A158" s="902">
        <v>15</v>
      </c>
      <c r="B158" s="206" t="s">
        <v>2963</v>
      </c>
      <c r="C158" s="55" t="s">
        <v>7542</v>
      </c>
      <c r="D158" s="895">
        <v>8670</v>
      </c>
      <c r="E158" s="895">
        <v>8659</v>
      </c>
      <c r="F158" s="895">
        <v>8970</v>
      </c>
      <c r="G158" s="901">
        <v>9095</v>
      </c>
      <c r="H158" s="63">
        <v>9175</v>
      </c>
      <c r="I158" s="63">
        <v>8827</v>
      </c>
      <c r="J158" s="63">
        <v>8501</v>
      </c>
      <c r="K158" s="63">
        <v>8719</v>
      </c>
      <c r="L158" s="63">
        <v>8810</v>
      </c>
      <c r="M158" s="63">
        <v>9075</v>
      </c>
      <c r="N158" s="63">
        <v>9372</v>
      </c>
      <c r="O158" s="63">
        <v>9369</v>
      </c>
      <c r="Q158" s="206" t="s">
        <v>5871</v>
      </c>
    </row>
    <row r="159" spans="1:17">
      <c r="A159" s="902">
        <v>16</v>
      </c>
      <c r="B159" s="206" t="s">
        <v>2964</v>
      </c>
      <c r="C159" s="55" t="s">
        <v>7543</v>
      </c>
      <c r="D159" s="895">
        <v>5901</v>
      </c>
      <c r="E159" s="895">
        <v>5964</v>
      </c>
      <c r="F159" s="895">
        <v>6132</v>
      </c>
      <c r="G159" s="901">
        <v>7153</v>
      </c>
      <c r="H159" s="63">
        <v>6650</v>
      </c>
      <c r="I159" s="63">
        <v>6011</v>
      </c>
      <c r="J159" s="63">
        <v>6139</v>
      </c>
      <c r="K159" s="63">
        <v>6461</v>
      </c>
      <c r="L159" s="63">
        <v>6624</v>
      </c>
      <c r="M159" s="63">
        <v>6812</v>
      </c>
      <c r="N159" s="63">
        <v>7664</v>
      </c>
      <c r="O159" s="63">
        <v>7783</v>
      </c>
      <c r="Q159" s="206" t="s">
        <v>5873</v>
      </c>
    </row>
    <row r="160" spans="1:17">
      <c r="A160" s="902">
        <v>17</v>
      </c>
      <c r="B160" s="206" t="s">
        <v>2965</v>
      </c>
      <c r="C160" s="55" t="s">
        <v>7544</v>
      </c>
      <c r="D160" s="895">
        <v>5358</v>
      </c>
      <c r="E160" s="895">
        <v>5393</v>
      </c>
      <c r="F160" s="895">
        <v>5462</v>
      </c>
      <c r="G160" s="901">
        <v>5503</v>
      </c>
      <c r="H160" s="63">
        <v>5454</v>
      </c>
      <c r="I160" s="63">
        <v>5377</v>
      </c>
      <c r="J160" s="63">
        <v>5294</v>
      </c>
      <c r="K160" s="63">
        <v>5337</v>
      </c>
      <c r="L160" s="63">
        <v>5280</v>
      </c>
      <c r="M160" s="63">
        <v>5227</v>
      </c>
      <c r="N160" s="63">
        <v>5172</v>
      </c>
      <c r="O160" s="63">
        <v>5186</v>
      </c>
      <c r="Q160" s="206" t="s">
        <v>5873</v>
      </c>
    </row>
    <row r="161" spans="1:17">
      <c r="A161" s="902">
        <v>18</v>
      </c>
      <c r="B161" s="206" t="s">
        <v>2966</v>
      </c>
      <c r="C161" s="55" t="s">
        <v>7545</v>
      </c>
      <c r="D161" s="895">
        <v>5331</v>
      </c>
      <c r="E161" s="895">
        <v>5453</v>
      </c>
      <c r="F161" s="895">
        <v>5591</v>
      </c>
      <c r="G161" s="901">
        <v>5677</v>
      </c>
      <c r="H161" s="63">
        <v>5651</v>
      </c>
      <c r="I161" s="63">
        <v>5488</v>
      </c>
      <c r="J161" s="63">
        <v>5354</v>
      </c>
      <c r="K161" s="63">
        <v>5439</v>
      </c>
      <c r="L161" s="63">
        <v>5386</v>
      </c>
      <c r="M161" s="63">
        <v>5397</v>
      </c>
      <c r="N161" s="63">
        <v>5361</v>
      </c>
      <c r="O161" s="63">
        <v>5412</v>
      </c>
      <c r="Q161" s="206" t="s">
        <v>5871</v>
      </c>
    </row>
    <row r="162" spans="1:17">
      <c r="A162" s="902">
        <v>19</v>
      </c>
      <c r="B162" s="206" t="s">
        <v>2967</v>
      </c>
      <c r="C162" s="55" t="s">
        <v>7546</v>
      </c>
      <c r="D162" s="895">
        <v>8231</v>
      </c>
      <c r="E162" s="895">
        <v>8193</v>
      </c>
      <c r="F162" s="895">
        <v>8288</v>
      </c>
      <c r="G162" s="901">
        <v>8428</v>
      </c>
      <c r="H162" s="63">
        <v>8347</v>
      </c>
      <c r="I162" s="63">
        <v>8179</v>
      </c>
      <c r="J162" s="63">
        <v>7985</v>
      </c>
      <c r="K162" s="63">
        <v>8032</v>
      </c>
      <c r="L162" s="63">
        <v>7964</v>
      </c>
      <c r="M162" s="63">
        <v>7953</v>
      </c>
      <c r="N162" s="63">
        <v>7918</v>
      </c>
      <c r="O162" s="63">
        <v>7956</v>
      </c>
      <c r="Q162" s="206" t="s">
        <v>5873</v>
      </c>
    </row>
    <row r="163" spans="1:17">
      <c r="D163" s="897"/>
      <c r="E163" s="897"/>
      <c r="F163" s="897"/>
      <c r="G163" s="897"/>
      <c r="H163" s="897"/>
      <c r="I163" s="63"/>
      <c r="J163" s="63"/>
      <c r="K163" s="63"/>
      <c r="L163" s="63"/>
      <c r="M163" s="63"/>
      <c r="N163" s="63"/>
      <c r="O163" s="63"/>
    </row>
    <row r="164" spans="1:17">
      <c r="A164" s="206" t="s">
        <v>5871</v>
      </c>
      <c r="D164" s="895">
        <f t="shared" ref="D164:I164" si="57">D144+D146+D147+SUM(D152:D156)+D158+D161</f>
        <v>65721</v>
      </c>
      <c r="E164" s="895">
        <f t="shared" si="57"/>
        <v>66273</v>
      </c>
      <c r="F164" s="895">
        <f t="shared" si="57"/>
        <v>67949</v>
      </c>
      <c r="G164" s="895">
        <f t="shared" si="57"/>
        <v>68673</v>
      </c>
      <c r="H164" s="895">
        <f t="shared" si="57"/>
        <v>68072</v>
      </c>
      <c r="I164" s="895">
        <f t="shared" si="57"/>
        <v>65918</v>
      </c>
      <c r="J164" s="895">
        <f t="shared" ref="J164:O164" si="58">J144+J146+J147+SUM(J152:J156)+J158+J161</f>
        <v>64552</v>
      </c>
      <c r="K164" s="895">
        <f t="shared" si="58"/>
        <v>66145</v>
      </c>
      <c r="L164" s="895">
        <f t="shared" si="58"/>
        <v>66272</v>
      </c>
      <c r="M164" s="895">
        <f t="shared" si="58"/>
        <v>66828</v>
      </c>
      <c r="N164" s="895">
        <f t="shared" si="58"/>
        <v>67670</v>
      </c>
      <c r="O164" s="895">
        <f t="shared" si="58"/>
        <v>68080</v>
      </c>
    </row>
    <row r="165" spans="1:17">
      <c r="A165" s="206" t="s">
        <v>4413</v>
      </c>
      <c r="D165" s="895">
        <f t="shared" ref="D165:I165" si="59">D145+SUM(D148:D151)+D157+D159+D160+D162</f>
        <v>60369</v>
      </c>
      <c r="E165" s="895">
        <f t="shared" si="59"/>
        <v>61013</v>
      </c>
      <c r="F165" s="895">
        <f t="shared" si="59"/>
        <v>63120</v>
      </c>
      <c r="G165" s="895">
        <f t="shared" si="59"/>
        <v>65443</v>
      </c>
      <c r="H165" s="895">
        <f t="shared" si="59"/>
        <v>63408</v>
      </c>
      <c r="I165" s="895">
        <f t="shared" si="59"/>
        <v>59968</v>
      </c>
      <c r="J165" s="895">
        <f t="shared" ref="J165:O165" si="60">J145+SUM(J148:J151)+J157+J159+J160+J162</f>
        <v>59319</v>
      </c>
      <c r="K165" s="895">
        <f t="shared" si="60"/>
        <v>60888</v>
      </c>
      <c r="L165" s="895">
        <f t="shared" si="60"/>
        <v>61128</v>
      </c>
      <c r="M165" s="895">
        <f t="shared" si="60"/>
        <v>61792</v>
      </c>
      <c r="N165" s="895">
        <f t="shared" si="60"/>
        <v>63356</v>
      </c>
      <c r="O165" s="895">
        <f t="shared" si="60"/>
        <v>64111</v>
      </c>
    </row>
    <row r="167" spans="1:17">
      <c r="A167" s="206" t="s">
        <v>1589</v>
      </c>
    </row>
    <row r="168" spans="1:17">
      <c r="A168" s="21"/>
    </row>
    <row r="169" spans="1:17">
      <c r="A169" s="206"/>
      <c r="D169" s="903"/>
      <c r="E169" s="903"/>
      <c r="F169" s="903"/>
      <c r="G169" s="903"/>
      <c r="H169" s="903"/>
      <c r="I169" s="903"/>
      <c r="J169" s="903"/>
      <c r="K169" s="903"/>
      <c r="L169" s="903"/>
    </row>
  </sheetData>
  <sortState ref="R144:T162">
    <sortCondition ref="R144"/>
  </sortState>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ignoredErrors>
    <ignoredError sqref="D143:K143 D3:K35 D43:F55 D68:F68 D58:F65 D66:E66 D83:K85 G43:G61 H43 H50:H68 I58:I68 I43:I55 J50:K50 J55:K55 J58:K58 J61:K61 J43:K43 D164:K165 D133:K134 L132:L134 L141:L165 L3:L91 D136:K136 L136" unlockedFormula="1"/>
    <ignoredError sqref="D69:K69" formulaRange="1"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dimension ref="A1:Q143"/>
  <sheetViews>
    <sheetView showGridLines="0" topLeftCell="A103" zoomScale="90" zoomScaleNormal="90" workbookViewId="0">
      <selection activeCell="O130" sqref="O130"/>
    </sheetView>
  </sheetViews>
  <sheetFormatPr defaultColWidth="12.5703125" defaultRowHeight="15"/>
  <cols>
    <col min="1" max="1" width="4.85546875" style="135" customWidth="1"/>
    <col min="2" max="2" width="40.85546875" style="135" customWidth="1"/>
    <col min="3" max="3" width="11.5703125" style="135" customWidth="1"/>
    <col min="4" max="15" width="10" style="135" customWidth="1"/>
    <col min="16" max="16" width="2.28515625" style="135" customWidth="1"/>
    <col min="17" max="17" width="27.42578125" style="135" customWidth="1"/>
    <col min="18" max="16384" width="12.5703125" style="135"/>
  </cols>
  <sheetData>
    <row r="1" spans="1:17">
      <c r="A1" s="476" t="s">
        <v>6924</v>
      </c>
      <c r="D1" s="477">
        <v>2010</v>
      </c>
      <c r="E1" s="477">
        <v>2011</v>
      </c>
      <c r="F1" s="477">
        <v>2012</v>
      </c>
      <c r="G1" s="477">
        <v>2013</v>
      </c>
      <c r="H1" s="477">
        <v>2014</v>
      </c>
      <c r="I1" s="477">
        <v>2015</v>
      </c>
      <c r="J1" s="477">
        <v>2016</v>
      </c>
      <c r="K1" s="477">
        <v>2017</v>
      </c>
      <c r="L1" s="477">
        <v>2018</v>
      </c>
      <c r="M1" s="477">
        <v>2019</v>
      </c>
      <c r="N1" s="477">
        <v>2020</v>
      </c>
      <c r="O1" s="952" t="s">
        <v>14823</v>
      </c>
    </row>
    <row r="3" spans="1:17">
      <c r="A3" s="476" t="s">
        <v>5293</v>
      </c>
      <c r="D3" s="478">
        <f t="shared" ref="D3:O3" si="0">SUM(D5:D6)</f>
        <v>502147</v>
      </c>
      <c r="E3" s="478">
        <f t="shared" si="0"/>
        <v>506628</v>
      </c>
      <c r="F3" s="478">
        <f t="shared" si="0"/>
        <v>509202</v>
      </c>
      <c r="G3" s="478">
        <f t="shared" si="0"/>
        <v>512665</v>
      </c>
      <c r="H3" s="478">
        <f t="shared" si="0"/>
        <v>495114</v>
      </c>
      <c r="I3" s="478">
        <f t="shared" si="0"/>
        <v>495992</v>
      </c>
      <c r="J3" s="478">
        <f t="shared" si="0"/>
        <v>493571</v>
      </c>
      <c r="K3" s="478">
        <f t="shared" si="0"/>
        <v>510314</v>
      </c>
      <c r="L3" s="478">
        <f t="shared" si="0"/>
        <v>512350</v>
      </c>
      <c r="M3" s="478">
        <f t="shared" si="0"/>
        <v>514214</v>
      </c>
      <c r="N3" s="478">
        <f t="shared" si="0"/>
        <v>528414</v>
      </c>
      <c r="O3" s="478">
        <f t="shared" si="0"/>
        <v>529899</v>
      </c>
    </row>
    <row r="4" spans="1:17">
      <c r="D4" s="479"/>
      <c r="E4" s="479"/>
      <c r="F4" s="479"/>
      <c r="G4" s="479"/>
      <c r="H4" s="479"/>
      <c r="I4" s="479"/>
      <c r="J4" s="479"/>
      <c r="K4" s="479"/>
      <c r="L4" s="479"/>
      <c r="M4" s="479"/>
      <c r="N4" s="479"/>
      <c r="O4" s="479"/>
    </row>
    <row r="5" spans="1:17">
      <c r="A5" s="476" t="s">
        <v>15192</v>
      </c>
      <c r="C5" s="476"/>
      <c r="D5" s="478">
        <f t="shared" ref="D5:O5" si="1">D35</f>
        <v>229482</v>
      </c>
      <c r="E5" s="478">
        <f t="shared" si="1"/>
        <v>231461</v>
      </c>
      <c r="F5" s="478">
        <f t="shared" si="1"/>
        <v>232541</v>
      </c>
      <c r="G5" s="478">
        <f t="shared" si="1"/>
        <v>233920</v>
      </c>
      <c r="H5" s="478">
        <f t="shared" si="1"/>
        <v>228411</v>
      </c>
      <c r="I5" s="478">
        <f t="shared" si="1"/>
        <v>230610</v>
      </c>
      <c r="J5" s="478">
        <f t="shared" si="1"/>
        <v>228857</v>
      </c>
      <c r="K5" s="478">
        <f t="shared" si="1"/>
        <v>235593</v>
      </c>
      <c r="L5" s="478">
        <f t="shared" si="1"/>
        <v>236851</v>
      </c>
      <c r="M5" s="478">
        <f t="shared" si="1"/>
        <v>237613</v>
      </c>
      <c r="N5" s="478">
        <f t="shared" si="1"/>
        <v>245056</v>
      </c>
      <c r="O5" s="478">
        <f t="shared" si="1"/>
        <v>245381</v>
      </c>
      <c r="Q5" s="480"/>
    </row>
    <row r="6" spans="1:17">
      <c r="A6" s="476" t="s">
        <v>15193</v>
      </c>
      <c r="C6" s="476"/>
      <c r="D6" s="478">
        <f>D84</f>
        <v>272665</v>
      </c>
      <c r="E6" s="478">
        <f t="shared" ref="E6:O6" si="2">E84</f>
        <v>275167</v>
      </c>
      <c r="F6" s="478">
        <f t="shared" si="2"/>
        <v>276661</v>
      </c>
      <c r="G6" s="478">
        <f t="shared" si="2"/>
        <v>278745</v>
      </c>
      <c r="H6" s="478">
        <f t="shared" si="2"/>
        <v>266703</v>
      </c>
      <c r="I6" s="478">
        <f t="shared" si="2"/>
        <v>265382</v>
      </c>
      <c r="J6" s="478">
        <f t="shared" si="2"/>
        <v>264714</v>
      </c>
      <c r="K6" s="478">
        <f t="shared" si="2"/>
        <v>274721</v>
      </c>
      <c r="L6" s="478">
        <f t="shared" si="2"/>
        <v>275499</v>
      </c>
      <c r="M6" s="478">
        <f t="shared" si="2"/>
        <v>276601</v>
      </c>
      <c r="N6" s="478">
        <f t="shared" si="2"/>
        <v>283358</v>
      </c>
      <c r="O6" s="478">
        <f t="shared" si="2"/>
        <v>284518</v>
      </c>
      <c r="Q6" s="480"/>
    </row>
    <row r="7" spans="1:17">
      <c r="B7" s="476"/>
      <c r="C7" s="476"/>
      <c r="D7" s="478"/>
      <c r="E7" s="478"/>
      <c r="F7" s="478"/>
      <c r="G7" s="478"/>
      <c r="H7" s="478"/>
      <c r="I7" s="478"/>
      <c r="J7" s="478"/>
      <c r="K7" s="478"/>
      <c r="L7" s="478"/>
      <c r="M7" s="478"/>
      <c r="N7" s="478"/>
      <c r="O7" s="478"/>
      <c r="Q7" s="480"/>
    </row>
    <row r="8" spans="1:17">
      <c r="A8" s="476" t="s">
        <v>6216</v>
      </c>
      <c r="D8" s="478">
        <f t="shared" ref="D8:O8" si="3">D3/7</f>
        <v>71735.28571428571</v>
      </c>
      <c r="E8" s="478">
        <f t="shared" si="3"/>
        <v>72375.428571428565</v>
      </c>
      <c r="F8" s="478">
        <f t="shared" si="3"/>
        <v>72743.142857142855</v>
      </c>
      <c r="G8" s="478">
        <f t="shared" si="3"/>
        <v>73237.857142857145</v>
      </c>
      <c r="H8" s="478">
        <f t="shared" si="3"/>
        <v>70730.571428571435</v>
      </c>
      <c r="I8" s="478">
        <f t="shared" si="3"/>
        <v>70856</v>
      </c>
      <c r="J8" s="478">
        <f t="shared" si="3"/>
        <v>70510.142857142855</v>
      </c>
      <c r="K8" s="478">
        <f t="shared" si="3"/>
        <v>72902</v>
      </c>
      <c r="L8" s="478">
        <f t="shared" si="3"/>
        <v>73192.857142857145</v>
      </c>
      <c r="M8" s="478">
        <f t="shared" si="3"/>
        <v>73459.142857142855</v>
      </c>
      <c r="N8" s="478">
        <f t="shared" si="3"/>
        <v>75487.71428571429</v>
      </c>
      <c r="O8" s="478">
        <f t="shared" si="3"/>
        <v>75699.857142857145</v>
      </c>
    </row>
    <row r="9" spans="1:17">
      <c r="D9" s="479"/>
      <c r="E9" s="479"/>
      <c r="F9" s="479"/>
      <c r="G9" s="479"/>
      <c r="H9" s="479"/>
      <c r="I9" s="479"/>
      <c r="J9" s="479"/>
      <c r="K9" s="479"/>
      <c r="L9" s="479"/>
      <c r="M9" s="479"/>
      <c r="N9" s="479"/>
      <c r="O9" s="479"/>
    </row>
    <row r="10" spans="1:17">
      <c r="A10" s="476" t="s">
        <v>6217</v>
      </c>
      <c r="D10" s="478">
        <f>D71</f>
        <v>78275</v>
      </c>
      <c r="E10" s="478">
        <f t="shared" ref="E10:O10" si="4">E71</f>
        <v>79468</v>
      </c>
      <c r="F10" s="478">
        <f t="shared" si="4"/>
        <v>79788</v>
      </c>
      <c r="G10" s="478">
        <f t="shared" si="4"/>
        <v>80671</v>
      </c>
      <c r="H10" s="478">
        <f t="shared" si="4"/>
        <v>79573</v>
      </c>
      <c r="I10" s="478">
        <f t="shared" si="4"/>
        <v>79553</v>
      </c>
      <c r="J10" s="478">
        <f t="shared" si="4"/>
        <v>80049</v>
      </c>
      <c r="K10" s="478">
        <f t="shared" si="4"/>
        <v>81140</v>
      </c>
      <c r="L10" s="478">
        <f t="shared" si="4"/>
        <v>81941</v>
      </c>
      <c r="M10" s="478">
        <f t="shared" si="4"/>
        <v>82257</v>
      </c>
      <c r="N10" s="478">
        <f t="shared" si="4"/>
        <v>85103</v>
      </c>
      <c r="O10" s="478">
        <f t="shared" si="4"/>
        <v>85946</v>
      </c>
      <c r="Q10" s="135" t="s">
        <v>15197</v>
      </c>
    </row>
    <row r="11" spans="1:17">
      <c r="D11" s="478"/>
      <c r="E11" s="478"/>
      <c r="F11" s="478"/>
      <c r="G11" s="478"/>
      <c r="H11" s="478"/>
      <c r="I11" s="478"/>
      <c r="J11" s="478"/>
      <c r="K11" s="478"/>
      <c r="L11" s="478"/>
      <c r="M11" s="478"/>
      <c r="N11" s="478"/>
      <c r="O11" s="478"/>
    </row>
    <row r="12" spans="1:17">
      <c r="A12" s="476" t="s">
        <v>6218</v>
      </c>
      <c r="D12" s="478">
        <f>D72</f>
        <v>5624</v>
      </c>
      <c r="E12" s="478">
        <f t="shared" ref="E12:O12" si="5">E72</f>
        <v>5535</v>
      </c>
      <c r="F12" s="478">
        <f t="shared" si="5"/>
        <v>5622</v>
      </c>
      <c r="G12" s="478">
        <f t="shared" si="5"/>
        <v>5601</v>
      </c>
      <c r="H12" s="478">
        <f t="shared" si="5"/>
        <v>5374</v>
      </c>
      <c r="I12" s="478">
        <f t="shared" si="5"/>
        <v>5508</v>
      </c>
      <c r="J12" s="478">
        <f t="shared" si="5"/>
        <v>5613</v>
      </c>
      <c r="K12" s="478">
        <f t="shared" si="5"/>
        <v>6048</v>
      </c>
      <c r="L12" s="478">
        <f t="shared" si="5"/>
        <v>6008</v>
      </c>
      <c r="M12" s="478">
        <f t="shared" si="5"/>
        <v>6094</v>
      </c>
      <c r="N12" s="478">
        <f t="shared" si="5"/>
        <v>6505</v>
      </c>
      <c r="O12" s="478">
        <f t="shared" si="5"/>
        <v>6467</v>
      </c>
      <c r="Q12" s="135" t="s">
        <v>15198</v>
      </c>
    </row>
    <row r="13" spans="1:17" ht="15.75" thickBot="1">
      <c r="D13" s="478">
        <f>D135</f>
        <v>66012</v>
      </c>
      <c r="E13" s="478">
        <f t="shared" ref="E13:O13" si="6">E135</f>
        <v>66368</v>
      </c>
      <c r="F13" s="478">
        <f t="shared" si="6"/>
        <v>67187</v>
      </c>
      <c r="G13" s="478">
        <f t="shared" si="6"/>
        <v>67742</v>
      </c>
      <c r="H13" s="478">
        <f t="shared" si="6"/>
        <v>66754</v>
      </c>
      <c r="I13" s="478">
        <f t="shared" si="6"/>
        <v>66421</v>
      </c>
      <c r="J13" s="478">
        <f t="shared" si="6"/>
        <v>65866</v>
      </c>
      <c r="K13" s="478">
        <f t="shared" si="6"/>
        <v>68241</v>
      </c>
      <c r="L13" s="478">
        <f t="shared" si="6"/>
        <v>68666</v>
      </c>
      <c r="M13" s="478">
        <f t="shared" si="6"/>
        <v>69237</v>
      </c>
      <c r="N13" s="478">
        <f t="shared" si="6"/>
        <v>71578</v>
      </c>
      <c r="O13" s="478">
        <f t="shared" si="6"/>
        <v>71530</v>
      </c>
      <c r="Q13" s="476" t="s">
        <v>15199</v>
      </c>
    </row>
    <row r="14" spans="1:17" ht="15.75" thickBot="1">
      <c r="D14" s="485">
        <f>D12+D13</f>
        <v>71636</v>
      </c>
      <c r="E14" s="485">
        <f t="shared" ref="E14:O14" si="7">E12+E13</f>
        <v>71903</v>
      </c>
      <c r="F14" s="485">
        <f t="shared" si="7"/>
        <v>72809</v>
      </c>
      <c r="G14" s="485">
        <f t="shared" si="7"/>
        <v>73343</v>
      </c>
      <c r="H14" s="485">
        <f t="shared" si="7"/>
        <v>72128</v>
      </c>
      <c r="I14" s="485">
        <f t="shared" si="7"/>
        <v>71929</v>
      </c>
      <c r="J14" s="485">
        <f t="shared" si="7"/>
        <v>71479</v>
      </c>
      <c r="K14" s="485">
        <f t="shared" si="7"/>
        <v>74289</v>
      </c>
      <c r="L14" s="485">
        <f t="shared" si="7"/>
        <v>74674</v>
      </c>
      <c r="M14" s="485">
        <f t="shared" si="7"/>
        <v>75331</v>
      </c>
      <c r="N14" s="485">
        <f t="shared" si="7"/>
        <v>78083</v>
      </c>
      <c r="O14" s="485">
        <f t="shared" si="7"/>
        <v>77997</v>
      </c>
    </row>
    <row r="15" spans="1:17">
      <c r="D15" s="478"/>
      <c r="E15" s="478"/>
      <c r="F15" s="478"/>
      <c r="G15" s="478"/>
      <c r="H15" s="478"/>
      <c r="I15" s="478"/>
      <c r="J15" s="478"/>
      <c r="K15" s="478"/>
      <c r="L15" s="478"/>
      <c r="M15" s="478"/>
      <c r="N15" s="478"/>
      <c r="O15" s="478"/>
    </row>
    <row r="16" spans="1:17">
      <c r="A16" s="476" t="s">
        <v>4781</v>
      </c>
      <c r="D16" s="478">
        <f>D73</f>
        <v>68786</v>
      </c>
      <c r="E16" s="478">
        <f t="shared" ref="E16:O16" si="8">E73</f>
        <v>69610</v>
      </c>
      <c r="F16" s="478">
        <f t="shared" si="8"/>
        <v>69842</v>
      </c>
      <c r="G16" s="478">
        <f t="shared" si="8"/>
        <v>70826</v>
      </c>
      <c r="H16" s="478">
        <f t="shared" si="8"/>
        <v>70431</v>
      </c>
      <c r="I16" s="478">
        <f t="shared" si="8"/>
        <v>69424</v>
      </c>
      <c r="J16" s="478">
        <f t="shared" si="8"/>
        <v>68279</v>
      </c>
      <c r="K16" s="478">
        <f t="shared" si="8"/>
        <v>69982</v>
      </c>
      <c r="L16" s="478">
        <f t="shared" si="8"/>
        <v>70589</v>
      </c>
      <c r="M16" s="478">
        <f t="shared" si="8"/>
        <v>70486</v>
      </c>
      <c r="N16" s="478">
        <f t="shared" si="8"/>
        <v>72839</v>
      </c>
      <c r="O16" s="478">
        <f t="shared" si="8"/>
        <v>72777</v>
      </c>
      <c r="Q16" s="135" t="s">
        <v>15197</v>
      </c>
    </row>
    <row r="17" spans="1:17">
      <c r="D17" s="478"/>
      <c r="E17" s="478"/>
      <c r="F17" s="478"/>
      <c r="G17" s="478"/>
      <c r="H17" s="478"/>
      <c r="I17" s="478"/>
      <c r="J17" s="478"/>
      <c r="K17" s="478"/>
      <c r="L17" s="478"/>
      <c r="M17" s="478"/>
      <c r="N17" s="478"/>
      <c r="O17" s="478"/>
    </row>
    <row r="18" spans="1:17">
      <c r="A18" s="476" t="s">
        <v>4782</v>
      </c>
      <c r="D18" s="478">
        <f>D136</f>
        <v>61749</v>
      </c>
      <c r="E18" s="478">
        <f t="shared" ref="E18:O18" si="9">E136</f>
        <v>62095</v>
      </c>
      <c r="F18" s="478">
        <f t="shared" si="9"/>
        <v>61808</v>
      </c>
      <c r="G18" s="478">
        <f t="shared" si="9"/>
        <v>62032</v>
      </c>
      <c r="H18" s="478">
        <f t="shared" si="9"/>
        <v>58295</v>
      </c>
      <c r="I18" s="478">
        <f t="shared" si="9"/>
        <v>57749</v>
      </c>
      <c r="J18" s="478">
        <f t="shared" si="9"/>
        <v>56005</v>
      </c>
      <c r="K18" s="478">
        <f t="shared" si="9"/>
        <v>57463</v>
      </c>
      <c r="L18" s="478">
        <f t="shared" si="9"/>
        <v>58324</v>
      </c>
      <c r="M18" s="478">
        <f t="shared" si="9"/>
        <v>58398</v>
      </c>
      <c r="N18" s="478">
        <f t="shared" si="9"/>
        <v>59188</v>
      </c>
      <c r="O18" s="478">
        <f t="shared" si="9"/>
        <v>59114</v>
      </c>
      <c r="Q18" s="476" t="s">
        <v>15200</v>
      </c>
    </row>
    <row r="19" spans="1:17">
      <c r="D19" s="478"/>
      <c r="E19" s="478"/>
      <c r="F19" s="478"/>
      <c r="G19" s="478"/>
      <c r="H19" s="478"/>
      <c r="I19" s="478"/>
      <c r="J19" s="478"/>
      <c r="K19" s="478"/>
      <c r="L19" s="478"/>
      <c r="M19" s="478"/>
      <c r="N19" s="478"/>
      <c r="O19" s="478"/>
    </row>
    <row r="20" spans="1:17">
      <c r="A20" s="476" t="s">
        <v>4783</v>
      </c>
      <c r="D20" s="478">
        <f>D137</f>
        <v>62852</v>
      </c>
      <c r="E20" s="478">
        <f t="shared" ref="E20:O20" si="10">E137</f>
        <v>63748</v>
      </c>
      <c r="F20" s="478">
        <f t="shared" si="10"/>
        <v>63638</v>
      </c>
      <c r="G20" s="478">
        <f t="shared" si="10"/>
        <v>63935</v>
      </c>
      <c r="H20" s="478">
        <f t="shared" si="10"/>
        <v>57476</v>
      </c>
      <c r="I20" s="478">
        <f t="shared" si="10"/>
        <v>59411</v>
      </c>
      <c r="J20" s="478">
        <f t="shared" si="10"/>
        <v>58416</v>
      </c>
      <c r="K20" s="478">
        <f t="shared" si="10"/>
        <v>60204</v>
      </c>
      <c r="L20" s="478">
        <f t="shared" si="10"/>
        <v>60993</v>
      </c>
      <c r="M20" s="478">
        <f t="shared" si="10"/>
        <v>60927</v>
      </c>
      <c r="N20" s="478">
        <f t="shared" si="10"/>
        <v>62553</v>
      </c>
      <c r="O20" s="478">
        <f t="shared" si="10"/>
        <v>62516</v>
      </c>
      <c r="Q20" s="476" t="s">
        <v>15200</v>
      </c>
    </row>
    <row r="21" spans="1:17">
      <c r="D21" s="478"/>
      <c r="E21" s="478"/>
      <c r="F21" s="478"/>
      <c r="G21" s="478"/>
      <c r="H21" s="478"/>
      <c r="I21" s="478"/>
      <c r="J21" s="478"/>
      <c r="K21" s="478"/>
      <c r="L21" s="478"/>
      <c r="M21" s="478"/>
      <c r="N21" s="478"/>
      <c r="O21" s="478"/>
    </row>
    <row r="22" spans="1:17">
      <c r="A22" s="476" t="s">
        <v>4784</v>
      </c>
      <c r="D22" s="478">
        <f>D138</f>
        <v>82052</v>
      </c>
      <c r="E22" s="478">
        <f t="shared" ref="E22:O22" si="11">E138</f>
        <v>82956</v>
      </c>
      <c r="F22" s="478">
        <f t="shared" si="11"/>
        <v>84028</v>
      </c>
      <c r="G22" s="478">
        <f t="shared" si="11"/>
        <v>85036</v>
      </c>
      <c r="H22" s="478">
        <f t="shared" si="11"/>
        <v>84178</v>
      </c>
      <c r="I22" s="478">
        <f t="shared" si="11"/>
        <v>81801</v>
      </c>
      <c r="J22" s="478">
        <f t="shared" si="11"/>
        <v>84427</v>
      </c>
      <c r="K22" s="478">
        <f t="shared" si="11"/>
        <v>88813</v>
      </c>
      <c r="L22" s="478">
        <f t="shared" si="11"/>
        <v>87516</v>
      </c>
      <c r="M22" s="478">
        <f t="shared" si="11"/>
        <v>88039</v>
      </c>
      <c r="N22" s="478">
        <f t="shared" si="11"/>
        <v>90039</v>
      </c>
      <c r="O22" s="478">
        <f t="shared" si="11"/>
        <v>91358</v>
      </c>
      <c r="Q22" s="476" t="s">
        <v>15200</v>
      </c>
    </row>
    <row r="23" spans="1:17">
      <c r="D23" s="478"/>
      <c r="E23" s="478"/>
      <c r="F23" s="478"/>
      <c r="G23" s="478"/>
      <c r="H23" s="478"/>
      <c r="I23" s="478"/>
      <c r="J23" s="478"/>
      <c r="K23" s="478"/>
      <c r="L23" s="478"/>
      <c r="M23" s="478"/>
      <c r="N23" s="478"/>
      <c r="O23" s="478"/>
    </row>
    <row r="24" spans="1:17">
      <c r="A24" s="476" t="s">
        <v>4785</v>
      </c>
      <c r="D24" s="478">
        <f>D74</f>
        <v>76797</v>
      </c>
      <c r="E24" s="478">
        <f t="shared" ref="E24:O24" si="12">E74</f>
        <v>76848</v>
      </c>
      <c r="F24" s="478">
        <f t="shared" si="12"/>
        <v>77289</v>
      </c>
      <c r="G24" s="478">
        <f t="shared" si="12"/>
        <v>76822</v>
      </c>
      <c r="H24" s="478">
        <f t="shared" si="12"/>
        <v>73033</v>
      </c>
      <c r="I24" s="478">
        <f t="shared" si="12"/>
        <v>76125</v>
      </c>
      <c r="J24" s="478">
        <f t="shared" si="12"/>
        <v>74916</v>
      </c>
      <c r="K24" s="478">
        <f t="shared" si="12"/>
        <v>78423</v>
      </c>
      <c r="L24" s="478">
        <f t="shared" si="12"/>
        <v>78313</v>
      </c>
      <c r="M24" s="478">
        <f t="shared" si="12"/>
        <v>78776</v>
      </c>
      <c r="N24" s="478">
        <f t="shared" si="12"/>
        <v>80609</v>
      </c>
      <c r="O24" s="478">
        <f t="shared" si="12"/>
        <v>80191</v>
      </c>
      <c r="Q24" s="135" t="s">
        <v>15197</v>
      </c>
    </row>
    <row r="25" spans="1:17">
      <c r="D25" s="479"/>
      <c r="E25" s="479"/>
      <c r="F25" s="479"/>
      <c r="G25" s="479"/>
      <c r="H25" s="479"/>
      <c r="I25" s="479"/>
      <c r="J25" s="479"/>
      <c r="K25" s="479"/>
      <c r="L25" s="479"/>
      <c r="M25" s="479"/>
      <c r="N25" s="479"/>
      <c r="O25" s="479"/>
    </row>
    <row r="26" spans="1:17">
      <c r="A26" s="476" t="s">
        <v>6796</v>
      </c>
      <c r="D26" s="478">
        <f>D10+D14+D16+D18+D20+D22+D24</f>
        <v>502147</v>
      </c>
      <c r="E26" s="478">
        <f t="shared" ref="E26:O26" si="13">E10+E14+E16+E18+E20+E22+E24</f>
        <v>506628</v>
      </c>
      <c r="F26" s="478">
        <f t="shared" si="13"/>
        <v>509202</v>
      </c>
      <c r="G26" s="478">
        <f t="shared" si="13"/>
        <v>512665</v>
      </c>
      <c r="H26" s="478">
        <f t="shared" si="13"/>
        <v>495114</v>
      </c>
      <c r="I26" s="478">
        <f t="shared" si="13"/>
        <v>495992</v>
      </c>
      <c r="J26" s="478">
        <f t="shared" si="13"/>
        <v>493571</v>
      </c>
      <c r="K26" s="478">
        <f t="shared" si="13"/>
        <v>510314</v>
      </c>
      <c r="L26" s="478">
        <f t="shared" si="13"/>
        <v>512350</v>
      </c>
      <c r="M26" s="478">
        <f t="shared" si="13"/>
        <v>514214</v>
      </c>
      <c r="N26" s="478">
        <f t="shared" si="13"/>
        <v>528414</v>
      </c>
      <c r="O26" s="478">
        <f t="shared" si="13"/>
        <v>529899</v>
      </c>
    </row>
    <row r="27" spans="1:17">
      <c r="D27" s="479"/>
      <c r="E27" s="479"/>
      <c r="F27" s="479"/>
      <c r="G27" s="479"/>
      <c r="H27" s="479"/>
      <c r="I27" s="479"/>
      <c r="J27" s="479"/>
      <c r="K27" s="479"/>
      <c r="L27" s="479"/>
      <c r="M27" s="479"/>
      <c r="N27" s="479"/>
      <c r="O27" s="479"/>
    </row>
    <row r="28" spans="1:17">
      <c r="A28" s="476" t="s">
        <v>6797</v>
      </c>
      <c r="D28" s="478">
        <f>MAX(D10,D14,D16,D18,D20,D22,D24)-MIN(D10,D14,D16,D18,D20,D22,D24)</f>
        <v>20303</v>
      </c>
      <c r="E28" s="478">
        <f t="shared" ref="E28:O28" si="14">MAX(E10,E14,E16,E18,E20,E22,E24)-MIN(E10,E14,E16,E18,E20,E22,E24)</f>
        <v>20861</v>
      </c>
      <c r="F28" s="478">
        <f t="shared" si="14"/>
        <v>22220</v>
      </c>
      <c r="G28" s="478">
        <f t="shared" si="14"/>
        <v>23004</v>
      </c>
      <c r="H28" s="478">
        <f t="shared" si="14"/>
        <v>26702</v>
      </c>
      <c r="I28" s="478">
        <f t="shared" si="14"/>
        <v>24052</v>
      </c>
      <c r="J28" s="478">
        <f t="shared" si="14"/>
        <v>28422</v>
      </c>
      <c r="K28" s="478">
        <f t="shared" si="14"/>
        <v>31350</v>
      </c>
      <c r="L28" s="478">
        <f t="shared" si="14"/>
        <v>29192</v>
      </c>
      <c r="M28" s="478">
        <f t="shared" si="14"/>
        <v>29641</v>
      </c>
      <c r="N28" s="478">
        <f t="shared" si="14"/>
        <v>30851</v>
      </c>
      <c r="O28" s="478">
        <f t="shared" si="14"/>
        <v>32244</v>
      </c>
    </row>
    <row r="29" spans="1:17">
      <c r="D29" s="479"/>
      <c r="E29" s="479"/>
      <c r="F29" s="479"/>
      <c r="G29" s="479"/>
      <c r="H29" s="479"/>
      <c r="I29" s="479"/>
      <c r="J29" s="479"/>
      <c r="K29" s="479"/>
      <c r="L29" s="479"/>
      <c r="M29" s="479"/>
      <c r="N29" s="479"/>
      <c r="O29" s="479"/>
    </row>
    <row r="30" spans="1:17">
      <c r="A30" s="476" t="s">
        <v>6800</v>
      </c>
      <c r="D30" s="478">
        <f>STDEVP(D10,D14,D16,D18,D20,D22,D24)</f>
        <v>7192.9550794864699</v>
      </c>
      <c r="E30" s="478">
        <f t="shared" ref="E30:O30" si="15">STDEVP(E10,E14,E16,E18,E20,E22,E24)</f>
        <v>7272.7227728418356</v>
      </c>
      <c r="F30" s="478">
        <f t="shared" si="15"/>
        <v>7639.6033260629338</v>
      </c>
      <c r="G30" s="478">
        <f t="shared" si="15"/>
        <v>7794.1036583262539</v>
      </c>
      <c r="H30" s="478">
        <f t="shared" si="15"/>
        <v>9232.6494085956074</v>
      </c>
      <c r="I30" s="478">
        <f t="shared" si="15"/>
        <v>8694.6339937753728</v>
      </c>
      <c r="J30" s="478">
        <f t="shared" si="15"/>
        <v>9758.9843503830052</v>
      </c>
      <c r="K30" s="478">
        <f t="shared" si="15"/>
        <v>10430.436917297102</v>
      </c>
      <c r="L30" s="478">
        <f t="shared" si="15"/>
        <v>9905.204770776847</v>
      </c>
      <c r="M30" s="478">
        <f t="shared" si="15"/>
        <v>10102.895984088231</v>
      </c>
      <c r="N30" s="478">
        <f t="shared" si="15"/>
        <v>10536.737889258648</v>
      </c>
      <c r="O30" s="478">
        <f t="shared" si="15"/>
        <v>10909.078466102985</v>
      </c>
    </row>
    <row r="31" spans="1:17">
      <c r="A31" s="476"/>
      <c r="D31" s="478"/>
      <c r="E31" s="478"/>
      <c r="F31" s="478"/>
      <c r="G31" s="478"/>
      <c r="H31" s="478"/>
      <c r="I31" s="478"/>
      <c r="J31" s="478"/>
      <c r="K31" s="478"/>
      <c r="L31" s="478"/>
      <c r="M31" s="478"/>
      <c r="N31" s="478"/>
      <c r="O31" s="478"/>
    </row>
    <row r="32" spans="1:17">
      <c r="A32" s="476"/>
      <c r="D32" s="482"/>
      <c r="E32" s="482"/>
      <c r="F32" s="482"/>
      <c r="G32" s="482"/>
      <c r="H32" s="482"/>
      <c r="I32" s="482"/>
      <c r="J32" s="482"/>
      <c r="K32" s="482"/>
      <c r="L32" s="482"/>
      <c r="M32" s="482"/>
      <c r="N32" s="482"/>
      <c r="O32" s="482"/>
    </row>
    <row r="33" spans="1:17">
      <c r="E33" s="51" t="s">
        <v>1526</v>
      </c>
      <c r="F33" s="51"/>
      <c r="G33" s="51"/>
      <c r="H33" s="51"/>
      <c r="I33" s="51"/>
      <c r="J33" s="51"/>
      <c r="K33" s="51"/>
      <c r="L33" s="51"/>
      <c r="M33" s="51"/>
      <c r="N33" s="51"/>
      <c r="O33" s="51"/>
      <c r="Q33" s="11" t="s">
        <v>9479</v>
      </c>
    </row>
    <row r="34" spans="1:17">
      <c r="D34" s="477">
        <v>2010</v>
      </c>
      <c r="E34" s="477">
        <v>2011</v>
      </c>
      <c r="F34" s="477">
        <v>2012</v>
      </c>
      <c r="G34" s="477">
        <v>2013</v>
      </c>
      <c r="H34" s="477">
        <v>2014</v>
      </c>
      <c r="I34" s="477">
        <v>2015</v>
      </c>
      <c r="J34" s="477">
        <v>2016</v>
      </c>
      <c r="K34" s="477">
        <v>2017</v>
      </c>
      <c r="L34" s="477">
        <v>2018</v>
      </c>
      <c r="M34" s="477">
        <v>2019</v>
      </c>
      <c r="N34" s="477">
        <v>2020</v>
      </c>
      <c r="O34" s="952" t="s">
        <v>14823</v>
      </c>
      <c r="P34" s="410"/>
      <c r="Q34" s="13" t="s">
        <v>1527</v>
      </c>
    </row>
    <row r="35" spans="1:17">
      <c r="A35" s="476" t="s">
        <v>15194</v>
      </c>
      <c r="C35" s="476"/>
      <c r="D35" s="478">
        <f t="shared" ref="D35:N35" si="16">SUM(D36:D44,D46:D49,D51:D53,D55:D62,D64:D69)</f>
        <v>229482</v>
      </c>
      <c r="E35" s="478">
        <f t="shared" si="16"/>
        <v>231461</v>
      </c>
      <c r="F35" s="478">
        <f t="shared" si="16"/>
        <v>232541</v>
      </c>
      <c r="G35" s="478">
        <f t="shared" si="16"/>
        <v>233920</v>
      </c>
      <c r="H35" s="478">
        <f t="shared" si="16"/>
        <v>228411</v>
      </c>
      <c r="I35" s="478">
        <f t="shared" si="16"/>
        <v>230610</v>
      </c>
      <c r="J35" s="478">
        <f t="shared" si="16"/>
        <v>228857</v>
      </c>
      <c r="K35" s="478">
        <f t="shared" si="16"/>
        <v>235593</v>
      </c>
      <c r="L35" s="478">
        <f t="shared" si="16"/>
        <v>236851</v>
      </c>
      <c r="M35" s="478">
        <f t="shared" si="16"/>
        <v>237613</v>
      </c>
      <c r="N35" s="478">
        <f t="shared" si="16"/>
        <v>245056</v>
      </c>
      <c r="O35" s="56">
        <f>SUM(O36:O44,O46:O49,O51:O53,O55:O62,O64:O69)</f>
        <v>245381</v>
      </c>
    </row>
    <row r="36" spans="1:17">
      <c r="A36" s="483">
        <v>1</v>
      </c>
      <c r="B36" s="476" t="s">
        <v>15096</v>
      </c>
      <c r="C36" s="55" t="s">
        <v>15135</v>
      </c>
      <c r="D36" s="478">
        <v>76797</v>
      </c>
      <c r="E36" s="478">
        <v>76848</v>
      </c>
      <c r="F36" s="478">
        <v>77289</v>
      </c>
      <c r="G36" s="478">
        <v>76822</v>
      </c>
      <c r="H36" s="478">
        <v>73033</v>
      </c>
      <c r="I36" s="478">
        <v>76125</v>
      </c>
      <c r="J36" s="478">
        <v>74916</v>
      </c>
      <c r="K36" s="478">
        <v>78423</v>
      </c>
      <c r="L36" s="478">
        <v>78313</v>
      </c>
      <c r="M36" s="478">
        <v>78776</v>
      </c>
      <c r="N36" s="478">
        <v>80609</v>
      </c>
      <c r="O36" s="56">
        <v>8845</v>
      </c>
      <c r="Q36" s="476" t="s">
        <v>4785</v>
      </c>
    </row>
    <row r="37" spans="1:17">
      <c r="A37" s="483">
        <v>2</v>
      </c>
      <c r="B37" s="476" t="s">
        <v>15097</v>
      </c>
      <c r="C37" s="55" t="s">
        <v>15136</v>
      </c>
      <c r="D37" s="478">
        <v>68786</v>
      </c>
      <c r="E37" s="478">
        <v>69610</v>
      </c>
      <c r="F37" s="478">
        <v>69842</v>
      </c>
      <c r="G37" s="478">
        <v>70826</v>
      </c>
      <c r="H37" s="478">
        <v>70431</v>
      </c>
      <c r="I37" s="478">
        <v>69424</v>
      </c>
      <c r="J37" s="478">
        <v>68279</v>
      </c>
      <c r="K37" s="478">
        <v>69982</v>
      </c>
      <c r="L37" s="478">
        <v>70589</v>
      </c>
      <c r="M37" s="478">
        <v>70486</v>
      </c>
      <c r="N37" s="478">
        <v>72839</v>
      </c>
      <c r="O37" s="56">
        <v>9431</v>
      </c>
      <c r="Q37" s="476" t="s">
        <v>4781</v>
      </c>
    </row>
    <row r="38" spans="1:17">
      <c r="A38" s="483">
        <v>3</v>
      </c>
      <c r="B38" s="476" t="s">
        <v>3536</v>
      </c>
      <c r="C38" s="55" t="s">
        <v>15137</v>
      </c>
      <c r="D38" s="478">
        <v>0</v>
      </c>
      <c r="E38" s="478">
        <v>0</v>
      </c>
      <c r="F38" s="478">
        <v>0</v>
      </c>
      <c r="G38" s="478">
        <v>0</v>
      </c>
      <c r="H38" s="478">
        <v>0</v>
      </c>
      <c r="I38" s="478">
        <v>0</v>
      </c>
      <c r="J38" s="478">
        <v>0</v>
      </c>
      <c r="K38" s="478">
        <v>0</v>
      </c>
      <c r="L38" s="478">
        <v>0</v>
      </c>
      <c r="M38" s="478">
        <v>0</v>
      </c>
      <c r="N38" s="478">
        <v>0</v>
      </c>
      <c r="O38" s="56">
        <v>8176</v>
      </c>
      <c r="Q38" s="476" t="s">
        <v>4781</v>
      </c>
    </row>
    <row r="39" spans="1:17">
      <c r="A39" s="483">
        <v>4</v>
      </c>
      <c r="B39" s="476" t="s">
        <v>15098</v>
      </c>
      <c r="C39" s="55" t="s">
        <v>15138</v>
      </c>
      <c r="D39" s="478">
        <v>78275</v>
      </c>
      <c r="E39" s="478">
        <v>79468</v>
      </c>
      <c r="F39" s="478">
        <v>79788</v>
      </c>
      <c r="G39" s="478">
        <v>80671</v>
      </c>
      <c r="H39" s="478">
        <v>79573</v>
      </c>
      <c r="I39" s="478">
        <v>79553</v>
      </c>
      <c r="J39" s="478">
        <v>80049</v>
      </c>
      <c r="K39" s="478">
        <v>81140</v>
      </c>
      <c r="L39" s="478">
        <v>81941</v>
      </c>
      <c r="M39" s="478">
        <v>82257</v>
      </c>
      <c r="N39" s="478">
        <v>85103</v>
      </c>
      <c r="O39" s="56">
        <v>9495</v>
      </c>
      <c r="Q39" s="476" t="s">
        <v>6217</v>
      </c>
    </row>
    <row r="40" spans="1:17">
      <c r="A40" s="483">
        <v>5</v>
      </c>
      <c r="B40" s="135" t="s">
        <v>15099</v>
      </c>
      <c r="C40" s="55" t="s">
        <v>15139</v>
      </c>
      <c r="D40" s="478">
        <v>0</v>
      </c>
      <c r="E40" s="478">
        <v>0</v>
      </c>
      <c r="F40" s="478">
        <v>0</v>
      </c>
      <c r="G40" s="478">
        <v>0</v>
      </c>
      <c r="H40" s="478">
        <v>0</v>
      </c>
      <c r="I40" s="478">
        <v>0</v>
      </c>
      <c r="J40" s="478">
        <v>0</v>
      </c>
      <c r="K40" s="478">
        <v>0</v>
      </c>
      <c r="L40" s="478">
        <v>0</v>
      </c>
      <c r="M40" s="478">
        <v>0</v>
      </c>
      <c r="N40" s="478">
        <v>0</v>
      </c>
      <c r="O40" s="56">
        <v>9087</v>
      </c>
      <c r="Q40" s="476" t="s">
        <v>6217</v>
      </c>
    </row>
    <row r="41" spans="1:17">
      <c r="A41" s="483">
        <v>6</v>
      </c>
      <c r="B41" s="476" t="s">
        <v>15100</v>
      </c>
      <c r="C41" s="55" t="s">
        <v>15140</v>
      </c>
      <c r="D41" s="478">
        <v>0</v>
      </c>
      <c r="E41" s="478">
        <v>0</v>
      </c>
      <c r="F41" s="478">
        <v>0</v>
      </c>
      <c r="G41" s="478">
        <v>0</v>
      </c>
      <c r="H41" s="478">
        <v>0</v>
      </c>
      <c r="I41" s="478">
        <v>0</v>
      </c>
      <c r="J41" s="478">
        <v>0</v>
      </c>
      <c r="K41" s="478">
        <v>0</v>
      </c>
      <c r="L41" s="478">
        <v>0</v>
      </c>
      <c r="M41" s="478">
        <v>0</v>
      </c>
      <c r="N41" s="478">
        <v>0</v>
      </c>
      <c r="O41" s="56">
        <v>8875</v>
      </c>
      <c r="Q41" s="476" t="s">
        <v>4785</v>
      </c>
    </row>
    <row r="42" spans="1:17">
      <c r="A42" s="483">
        <v>7</v>
      </c>
      <c r="B42" s="476" t="s">
        <v>15101</v>
      </c>
      <c r="C42" s="55" t="s">
        <v>15141</v>
      </c>
      <c r="D42" s="478">
        <v>0</v>
      </c>
      <c r="E42" s="478">
        <v>0</v>
      </c>
      <c r="F42" s="478">
        <v>0</v>
      </c>
      <c r="G42" s="478">
        <v>0</v>
      </c>
      <c r="H42" s="478">
        <v>0</v>
      </c>
      <c r="I42" s="478">
        <v>0</v>
      </c>
      <c r="J42" s="478">
        <v>0</v>
      </c>
      <c r="K42" s="478">
        <v>0</v>
      </c>
      <c r="L42" s="478">
        <v>0</v>
      </c>
      <c r="M42" s="478">
        <v>0</v>
      </c>
      <c r="N42" s="478">
        <v>0</v>
      </c>
      <c r="O42" s="56">
        <v>10556</v>
      </c>
      <c r="Q42" s="476" t="s">
        <v>4781</v>
      </c>
    </row>
    <row r="43" spans="1:17">
      <c r="A43" s="483">
        <v>8</v>
      </c>
      <c r="B43" s="476" t="s">
        <v>1938</v>
      </c>
      <c r="C43" s="55" t="s">
        <v>15142</v>
      </c>
      <c r="D43" s="478">
        <v>5624</v>
      </c>
      <c r="E43" s="478">
        <v>5535</v>
      </c>
      <c r="F43" s="478">
        <v>5622</v>
      </c>
      <c r="G43" s="478">
        <v>5601</v>
      </c>
      <c r="H43" s="478">
        <v>5374</v>
      </c>
      <c r="I43" s="478">
        <v>5508</v>
      </c>
      <c r="J43" s="478">
        <v>5613</v>
      </c>
      <c r="K43" s="478">
        <v>6048</v>
      </c>
      <c r="L43" s="478">
        <v>6008</v>
      </c>
      <c r="M43" s="478">
        <v>6094</v>
      </c>
      <c r="N43" s="478">
        <v>6505</v>
      </c>
      <c r="O43" s="56">
        <v>6467</v>
      </c>
      <c r="Q43" s="476" t="s">
        <v>6218</v>
      </c>
    </row>
    <row r="44" spans="1:17" ht="15.75" thickBot="1">
      <c r="A44" s="483"/>
      <c r="B44" s="476"/>
      <c r="C44" s="55" t="s">
        <v>15142</v>
      </c>
      <c r="D44" s="478">
        <v>0</v>
      </c>
      <c r="E44" s="478">
        <v>0</v>
      </c>
      <c r="F44" s="478">
        <v>0</v>
      </c>
      <c r="G44" s="478">
        <v>0</v>
      </c>
      <c r="H44" s="478">
        <v>0</v>
      </c>
      <c r="I44" s="478">
        <v>0</v>
      </c>
      <c r="J44" s="478">
        <v>0</v>
      </c>
      <c r="K44" s="478">
        <v>0</v>
      </c>
      <c r="L44" s="478">
        <v>0</v>
      </c>
      <c r="M44" s="478">
        <v>0</v>
      </c>
      <c r="N44" s="478">
        <v>0</v>
      </c>
      <c r="O44" s="56">
        <v>4324</v>
      </c>
      <c r="Q44" s="476" t="s">
        <v>4785</v>
      </c>
    </row>
    <row r="45" spans="1:17" ht="15.75" thickBot="1">
      <c r="A45" s="483"/>
      <c r="B45" s="476"/>
      <c r="C45" s="55" t="s">
        <v>15142</v>
      </c>
      <c r="D45" s="485">
        <f>D43+D44</f>
        <v>5624</v>
      </c>
      <c r="E45" s="485">
        <f t="shared" ref="E45:O45" si="17">E43+E44</f>
        <v>5535</v>
      </c>
      <c r="F45" s="485">
        <f t="shared" si="17"/>
        <v>5622</v>
      </c>
      <c r="G45" s="485">
        <f t="shared" si="17"/>
        <v>5601</v>
      </c>
      <c r="H45" s="485">
        <f t="shared" si="17"/>
        <v>5374</v>
      </c>
      <c r="I45" s="485">
        <f t="shared" si="17"/>
        <v>5508</v>
      </c>
      <c r="J45" s="485">
        <f t="shared" si="17"/>
        <v>5613</v>
      </c>
      <c r="K45" s="485">
        <f t="shared" si="17"/>
        <v>6048</v>
      </c>
      <c r="L45" s="485">
        <f t="shared" si="17"/>
        <v>6008</v>
      </c>
      <c r="M45" s="485">
        <f t="shared" si="17"/>
        <v>6094</v>
      </c>
      <c r="N45" s="485">
        <f t="shared" si="17"/>
        <v>6505</v>
      </c>
      <c r="O45" s="485">
        <f t="shared" si="17"/>
        <v>10791</v>
      </c>
      <c r="Q45" s="476"/>
    </row>
    <row r="46" spans="1:17">
      <c r="A46" s="483">
        <v>9</v>
      </c>
      <c r="B46" s="476" t="s">
        <v>1939</v>
      </c>
      <c r="C46" s="55" t="s">
        <v>15143</v>
      </c>
      <c r="D46" s="478">
        <v>0</v>
      </c>
      <c r="E46" s="478">
        <v>0</v>
      </c>
      <c r="F46" s="478">
        <v>0</v>
      </c>
      <c r="G46" s="478">
        <v>0</v>
      </c>
      <c r="H46" s="478">
        <v>0</v>
      </c>
      <c r="I46" s="478">
        <v>0</v>
      </c>
      <c r="J46" s="478">
        <v>0</v>
      </c>
      <c r="K46" s="478">
        <v>0</v>
      </c>
      <c r="L46" s="478">
        <v>0</v>
      </c>
      <c r="M46" s="478">
        <v>0</v>
      </c>
      <c r="N46" s="478">
        <v>0</v>
      </c>
      <c r="O46" s="56">
        <v>9167</v>
      </c>
      <c r="Q46" s="476" t="s">
        <v>4785</v>
      </c>
    </row>
    <row r="47" spans="1:17">
      <c r="A47" s="483">
        <v>10</v>
      </c>
      <c r="B47" s="476" t="s">
        <v>15102</v>
      </c>
      <c r="C47" s="55" t="s">
        <v>15144</v>
      </c>
      <c r="D47" s="478">
        <v>0</v>
      </c>
      <c r="E47" s="478">
        <v>0</v>
      </c>
      <c r="F47" s="478">
        <v>0</v>
      </c>
      <c r="G47" s="478">
        <v>0</v>
      </c>
      <c r="H47" s="478">
        <v>0</v>
      </c>
      <c r="I47" s="478">
        <v>0</v>
      </c>
      <c r="J47" s="478">
        <v>0</v>
      </c>
      <c r="K47" s="478">
        <v>0</v>
      </c>
      <c r="L47" s="478">
        <v>0</v>
      </c>
      <c r="M47" s="478">
        <v>0</v>
      </c>
      <c r="N47" s="478">
        <v>0</v>
      </c>
      <c r="O47" s="56">
        <v>9975</v>
      </c>
      <c r="Q47" s="476" t="s">
        <v>4785</v>
      </c>
    </row>
    <row r="48" spans="1:17">
      <c r="A48" s="483">
        <v>11</v>
      </c>
      <c r="B48" s="476" t="s">
        <v>15103</v>
      </c>
      <c r="C48" s="55" t="s">
        <v>15145</v>
      </c>
      <c r="D48" s="478">
        <v>0</v>
      </c>
      <c r="E48" s="478">
        <v>0</v>
      </c>
      <c r="F48" s="478">
        <v>0</v>
      </c>
      <c r="G48" s="478">
        <v>0</v>
      </c>
      <c r="H48" s="478">
        <v>0</v>
      </c>
      <c r="I48" s="478">
        <v>0</v>
      </c>
      <c r="J48" s="478">
        <v>0</v>
      </c>
      <c r="K48" s="478">
        <v>0</v>
      </c>
      <c r="L48" s="478">
        <v>0</v>
      </c>
      <c r="M48" s="478">
        <v>0</v>
      </c>
      <c r="N48" s="478">
        <v>0</v>
      </c>
      <c r="O48" s="56">
        <v>0</v>
      </c>
      <c r="Q48" s="476" t="s">
        <v>6217</v>
      </c>
    </row>
    <row r="49" spans="1:17" ht="15.75" thickBot="1">
      <c r="A49" s="483"/>
      <c r="B49" s="476"/>
      <c r="C49" s="55" t="s">
        <v>15145</v>
      </c>
      <c r="D49" s="478">
        <v>0</v>
      </c>
      <c r="E49" s="478">
        <v>0</v>
      </c>
      <c r="F49" s="478">
        <v>0</v>
      </c>
      <c r="G49" s="478">
        <v>0</v>
      </c>
      <c r="H49" s="478">
        <v>0</v>
      </c>
      <c r="I49" s="478">
        <v>0</v>
      </c>
      <c r="J49" s="478">
        <v>0</v>
      </c>
      <c r="K49" s="478">
        <v>0</v>
      </c>
      <c r="L49" s="478">
        <v>0</v>
      </c>
      <c r="M49" s="478">
        <v>0</v>
      </c>
      <c r="N49" s="478">
        <v>0</v>
      </c>
      <c r="O49" s="56">
        <v>9670</v>
      </c>
      <c r="Q49" s="476" t="s">
        <v>4785</v>
      </c>
    </row>
    <row r="50" spans="1:17" ht="15.75" thickBot="1">
      <c r="A50" s="483"/>
      <c r="B50" s="476"/>
      <c r="C50" s="55" t="s">
        <v>15145</v>
      </c>
      <c r="D50" s="485">
        <f>D48+D49</f>
        <v>0</v>
      </c>
      <c r="E50" s="485">
        <f t="shared" ref="E50:O50" si="18">E48+E49</f>
        <v>0</v>
      </c>
      <c r="F50" s="485">
        <f t="shared" si="18"/>
        <v>0</v>
      </c>
      <c r="G50" s="485">
        <f t="shared" si="18"/>
        <v>0</v>
      </c>
      <c r="H50" s="485">
        <f t="shared" si="18"/>
        <v>0</v>
      </c>
      <c r="I50" s="485">
        <f t="shared" si="18"/>
        <v>0</v>
      </c>
      <c r="J50" s="485">
        <f t="shared" si="18"/>
        <v>0</v>
      </c>
      <c r="K50" s="485">
        <f t="shared" si="18"/>
        <v>0</v>
      </c>
      <c r="L50" s="485">
        <f t="shared" si="18"/>
        <v>0</v>
      </c>
      <c r="M50" s="485">
        <f t="shared" si="18"/>
        <v>0</v>
      </c>
      <c r="N50" s="485">
        <f t="shared" si="18"/>
        <v>0</v>
      </c>
      <c r="O50" s="485">
        <f t="shared" si="18"/>
        <v>9670</v>
      </c>
      <c r="Q50" s="476"/>
    </row>
    <row r="51" spans="1:17">
      <c r="A51" s="483">
        <v>12</v>
      </c>
      <c r="B51" s="476" t="s">
        <v>1940</v>
      </c>
      <c r="C51" s="55" t="s">
        <v>15146</v>
      </c>
      <c r="D51" s="478">
        <v>0</v>
      </c>
      <c r="E51" s="478">
        <v>0</v>
      </c>
      <c r="F51" s="478">
        <v>0</v>
      </c>
      <c r="G51" s="478">
        <v>0</v>
      </c>
      <c r="H51" s="478">
        <v>0</v>
      </c>
      <c r="I51" s="478">
        <v>0</v>
      </c>
      <c r="J51" s="478">
        <v>0</v>
      </c>
      <c r="K51" s="478">
        <v>0</v>
      </c>
      <c r="L51" s="478">
        <v>0</v>
      </c>
      <c r="M51" s="478">
        <v>0</v>
      </c>
      <c r="N51" s="478">
        <v>0</v>
      </c>
      <c r="O51" s="56">
        <v>8837</v>
      </c>
      <c r="Q51" s="476" t="s">
        <v>4785</v>
      </c>
    </row>
    <row r="52" spans="1:17">
      <c r="A52" s="1000" t="s">
        <v>5429</v>
      </c>
      <c r="B52" s="135" t="s">
        <v>15104</v>
      </c>
      <c r="C52" s="135" t="s">
        <v>15147</v>
      </c>
      <c r="D52" s="478">
        <v>0</v>
      </c>
      <c r="E52" s="478">
        <v>0</v>
      </c>
      <c r="F52" s="478">
        <v>0</v>
      </c>
      <c r="G52" s="478">
        <v>0</v>
      </c>
      <c r="H52" s="478">
        <v>0</v>
      </c>
      <c r="I52" s="478">
        <v>0</v>
      </c>
      <c r="J52" s="478">
        <v>0</v>
      </c>
      <c r="K52" s="478">
        <v>0</v>
      </c>
      <c r="L52" s="478">
        <v>0</v>
      </c>
      <c r="M52" s="478">
        <v>0</v>
      </c>
      <c r="N52" s="478">
        <v>0</v>
      </c>
      <c r="O52" s="56">
        <v>9850</v>
      </c>
      <c r="Q52" s="476" t="s">
        <v>6217</v>
      </c>
    </row>
    <row r="53" spans="1:17" ht="15.75" thickBot="1">
      <c r="A53" s="1000"/>
      <c r="C53" s="135" t="s">
        <v>15147</v>
      </c>
      <c r="D53" s="478">
        <v>0</v>
      </c>
      <c r="E53" s="478">
        <v>0</v>
      </c>
      <c r="F53" s="478">
        <v>0</v>
      </c>
      <c r="G53" s="478">
        <v>0</v>
      </c>
      <c r="H53" s="478">
        <v>0</v>
      </c>
      <c r="I53" s="478">
        <v>0</v>
      </c>
      <c r="J53" s="478">
        <v>0</v>
      </c>
      <c r="K53" s="478">
        <v>0</v>
      </c>
      <c r="L53" s="478">
        <v>0</v>
      </c>
      <c r="M53" s="478">
        <v>0</v>
      </c>
      <c r="N53" s="478">
        <v>0</v>
      </c>
      <c r="O53" s="56">
        <v>0</v>
      </c>
      <c r="Q53" s="476" t="s">
        <v>4785</v>
      </c>
    </row>
    <row r="54" spans="1:17" ht="15.75" thickBot="1">
      <c r="A54" s="1000"/>
      <c r="C54" s="135" t="s">
        <v>15147</v>
      </c>
      <c r="D54" s="485">
        <f>D52+D53</f>
        <v>0</v>
      </c>
      <c r="E54" s="485">
        <f t="shared" ref="E54:O54" si="19">E52+E53</f>
        <v>0</v>
      </c>
      <c r="F54" s="485">
        <f t="shared" si="19"/>
        <v>0</v>
      </c>
      <c r="G54" s="485">
        <f t="shared" si="19"/>
        <v>0</v>
      </c>
      <c r="H54" s="485">
        <f t="shared" si="19"/>
        <v>0</v>
      </c>
      <c r="I54" s="485">
        <f t="shared" si="19"/>
        <v>0</v>
      </c>
      <c r="J54" s="485">
        <f t="shared" si="19"/>
        <v>0</v>
      </c>
      <c r="K54" s="485">
        <f t="shared" si="19"/>
        <v>0</v>
      </c>
      <c r="L54" s="485">
        <f t="shared" si="19"/>
        <v>0</v>
      </c>
      <c r="M54" s="485">
        <f t="shared" si="19"/>
        <v>0</v>
      </c>
      <c r="N54" s="485">
        <f t="shared" si="19"/>
        <v>0</v>
      </c>
      <c r="O54" s="485">
        <f t="shared" si="19"/>
        <v>9850</v>
      </c>
    </row>
    <row r="55" spans="1:17">
      <c r="A55" s="1001" t="s">
        <v>5431</v>
      </c>
      <c r="B55" s="135" t="s">
        <v>15105</v>
      </c>
      <c r="C55" s="135" t="s">
        <v>15148</v>
      </c>
      <c r="D55" s="478">
        <v>0</v>
      </c>
      <c r="E55" s="478">
        <v>0</v>
      </c>
      <c r="F55" s="478">
        <v>0</v>
      </c>
      <c r="G55" s="478">
        <v>0</v>
      </c>
      <c r="H55" s="478">
        <v>0</v>
      </c>
      <c r="I55" s="478">
        <v>0</v>
      </c>
      <c r="J55" s="478">
        <v>0</v>
      </c>
      <c r="K55" s="478">
        <v>0</v>
      </c>
      <c r="L55" s="478">
        <v>0</v>
      </c>
      <c r="M55" s="478">
        <v>0</v>
      </c>
      <c r="N55" s="478">
        <v>0</v>
      </c>
      <c r="O55" s="478">
        <v>8376</v>
      </c>
      <c r="Q55" s="476" t="s">
        <v>4781</v>
      </c>
    </row>
    <row r="56" spans="1:17">
      <c r="A56" s="1001" t="s">
        <v>5433</v>
      </c>
      <c r="B56" s="476" t="s">
        <v>6065</v>
      </c>
      <c r="C56" s="135" t="s">
        <v>15149</v>
      </c>
      <c r="D56" s="478">
        <v>0</v>
      </c>
      <c r="E56" s="478">
        <v>0</v>
      </c>
      <c r="F56" s="478">
        <v>0</v>
      </c>
      <c r="G56" s="478">
        <v>0</v>
      </c>
      <c r="H56" s="478">
        <v>0</v>
      </c>
      <c r="I56" s="478">
        <v>0</v>
      </c>
      <c r="J56" s="478">
        <v>0</v>
      </c>
      <c r="K56" s="478">
        <v>0</v>
      </c>
      <c r="L56" s="478">
        <v>0</v>
      </c>
      <c r="M56" s="478">
        <v>0</v>
      </c>
      <c r="N56" s="478">
        <v>0</v>
      </c>
      <c r="O56" s="478">
        <v>8599</v>
      </c>
      <c r="Q56" s="476" t="s">
        <v>6217</v>
      </c>
    </row>
    <row r="57" spans="1:17">
      <c r="A57" s="1001" t="s">
        <v>5435</v>
      </c>
      <c r="B57" s="476" t="s">
        <v>10971</v>
      </c>
      <c r="C57" s="135" t="s">
        <v>15150</v>
      </c>
      <c r="D57" s="478">
        <v>0</v>
      </c>
      <c r="E57" s="478">
        <v>0</v>
      </c>
      <c r="F57" s="478">
        <v>0</v>
      </c>
      <c r="G57" s="478">
        <v>0</v>
      </c>
      <c r="H57" s="478">
        <v>0</v>
      </c>
      <c r="I57" s="478">
        <v>0</v>
      </c>
      <c r="J57" s="478">
        <v>0</v>
      </c>
      <c r="K57" s="478">
        <v>0</v>
      </c>
      <c r="L57" s="478">
        <v>0</v>
      </c>
      <c r="M57" s="478">
        <v>0</v>
      </c>
      <c r="N57" s="478">
        <v>0</v>
      </c>
      <c r="O57" s="478">
        <v>9521</v>
      </c>
      <c r="Q57" s="476" t="s">
        <v>6217</v>
      </c>
    </row>
    <row r="58" spans="1:17">
      <c r="A58" s="1001" t="s">
        <v>5436</v>
      </c>
      <c r="B58" s="476" t="s">
        <v>15106</v>
      </c>
      <c r="C58" s="135" t="s">
        <v>15151</v>
      </c>
      <c r="D58" s="478">
        <v>0</v>
      </c>
      <c r="E58" s="478">
        <v>0</v>
      </c>
      <c r="F58" s="478">
        <v>0</v>
      </c>
      <c r="G58" s="478">
        <v>0</v>
      </c>
      <c r="H58" s="478">
        <v>0</v>
      </c>
      <c r="I58" s="478">
        <v>0</v>
      </c>
      <c r="J58" s="478">
        <v>0</v>
      </c>
      <c r="K58" s="478">
        <v>0</v>
      </c>
      <c r="L58" s="478">
        <v>0</v>
      </c>
      <c r="M58" s="478">
        <v>0</v>
      </c>
      <c r="N58" s="478">
        <v>0</v>
      </c>
      <c r="O58" s="478">
        <v>9188</v>
      </c>
      <c r="Q58" s="476" t="s">
        <v>4781</v>
      </c>
    </row>
    <row r="59" spans="1:17">
      <c r="A59" s="1001" t="s">
        <v>5437</v>
      </c>
      <c r="B59" s="476" t="s">
        <v>5883</v>
      </c>
      <c r="C59" s="135" t="s">
        <v>15152</v>
      </c>
      <c r="D59" s="478">
        <v>0</v>
      </c>
      <c r="E59" s="478">
        <v>0</v>
      </c>
      <c r="F59" s="478">
        <v>0</v>
      </c>
      <c r="G59" s="478">
        <v>0</v>
      </c>
      <c r="H59" s="478">
        <v>0</v>
      </c>
      <c r="I59" s="478">
        <v>0</v>
      </c>
      <c r="J59" s="478">
        <v>0</v>
      </c>
      <c r="K59" s="478">
        <v>0</v>
      </c>
      <c r="L59" s="478">
        <v>0</v>
      </c>
      <c r="M59" s="478">
        <v>0</v>
      </c>
      <c r="N59" s="478">
        <v>0</v>
      </c>
      <c r="O59" s="478">
        <v>9081</v>
      </c>
      <c r="Q59" s="476" t="s">
        <v>6217</v>
      </c>
    </row>
    <row r="60" spans="1:17">
      <c r="A60" s="1000" t="s">
        <v>5439</v>
      </c>
      <c r="B60" s="135" t="s">
        <v>627</v>
      </c>
      <c r="C60" s="135" t="s">
        <v>15153</v>
      </c>
      <c r="D60" s="478">
        <v>0</v>
      </c>
      <c r="E60" s="478">
        <v>0</v>
      </c>
      <c r="F60" s="478">
        <v>0</v>
      </c>
      <c r="G60" s="478">
        <v>0</v>
      </c>
      <c r="H60" s="478">
        <v>0</v>
      </c>
      <c r="I60" s="478">
        <v>0</v>
      </c>
      <c r="J60" s="478">
        <v>0</v>
      </c>
      <c r="K60" s="478">
        <v>0</v>
      </c>
      <c r="L60" s="478">
        <v>0</v>
      </c>
      <c r="M60" s="478">
        <v>0</v>
      </c>
      <c r="N60" s="478">
        <v>0</v>
      </c>
      <c r="O60" s="478">
        <v>10073</v>
      </c>
      <c r="Q60" s="476" t="s">
        <v>6217</v>
      </c>
    </row>
    <row r="61" spans="1:17">
      <c r="A61" s="1000" t="s">
        <v>5441</v>
      </c>
      <c r="B61" s="135" t="s">
        <v>15107</v>
      </c>
      <c r="C61" s="135" t="s">
        <v>15154</v>
      </c>
      <c r="D61" s="478">
        <v>0</v>
      </c>
      <c r="E61" s="478">
        <v>0</v>
      </c>
      <c r="F61" s="478">
        <v>0</v>
      </c>
      <c r="G61" s="478">
        <v>0</v>
      </c>
      <c r="H61" s="478">
        <v>0</v>
      </c>
      <c r="I61" s="478">
        <v>0</v>
      </c>
      <c r="J61" s="478">
        <v>0</v>
      </c>
      <c r="K61" s="478">
        <v>0</v>
      </c>
      <c r="L61" s="478">
        <v>0</v>
      </c>
      <c r="M61" s="478">
        <v>0</v>
      </c>
      <c r="N61" s="478">
        <v>0</v>
      </c>
      <c r="O61" s="478">
        <v>9240</v>
      </c>
      <c r="P61" s="410"/>
      <c r="Q61" s="476" t="s">
        <v>6217</v>
      </c>
    </row>
    <row r="62" spans="1:17" ht="15.75" thickBot="1">
      <c r="A62" s="1000"/>
      <c r="C62" s="135" t="s">
        <v>15154</v>
      </c>
      <c r="D62" s="478">
        <v>0</v>
      </c>
      <c r="E62" s="478">
        <v>0</v>
      </c>
      <c r="F62" s="478">
        <v>0</v>
      </c>
      <c r="G62" s="478">
        <v>0</v>
      </c>
      <c r="H62" s="478">
        <v>0</v>
      </c>
      <c r="I62" s="478">
        <v>0</v>
      </c>
      <c r="J62" s="478">
        <v>0</v>
      </c>
      <c r="K62" s="478">
        <v>0</v>
      </c>
      <c r="L62" s="478">
        <v>0</v>
      </c>
      <c r="M62" s="478">
        <v>0</v>
      </c>
      <c r="N62" s="478">
        <v>0</v>
      </c>
      <c r="O62" s="478">
        <v>0</v>
      </c>
      <c r="P62" s="410"/>
      <c r="Q62" s="476" t="s">
        <v>4785</v>
      </c>
    </row>
    <row r="63" spans="1:17" ht="15.75" thickBot="1">
      <c r="A63" s="1000"/>
      <c r="C63" s="135" t="s">
        <v>15154</v>
      </c>
      <c r="D63" s="485">
        <f>D61+D62</f>
        <v>0</v>
      </c>
      <c r="E63" s="485">
        <f t="shared" ref="E63:O63" si="20">E61+E62</f>
        <v>0</v>
      </c>
      <c r="F63" s="485">
        <f t="shared" si="20"/>
        <v>0</v>
      </c>
      <c r="G63" s="485">
        <f t="shared" si="20"/>
        <v>0</v>
      </c>
      <c r="H63" s="485">
        <f t="shared" si="20"/>
        <v>0</v>
      </c>
      <c r="I63" s="485">
        <f t="shared" si="20"/>
        <v>0</v>
      </c>
      <c r="J63" s="485">
        <f t="shared" si="20"/>
        <v>0</v>
      </c>
      <c r="K63" s="485">
        <f t="shared" si="20"/>
        <v>0</v>
      </c>
      <c r="L63" s="485">
        <f t="shared" si="20"/>
        <v>0</v>
      </c>
      <c r="M63" s="485">
        <f t="shared" si="20"/>
        <v>0</v>
      </c>
      <c r="N63" s="485">
        <f t="shared" si="20"/>
        <v>0</v>
      </c>
      <c r="O63" s="485">
        <f t="shared" si="20"/>
        <v>9240</v>
      </c>
      <c r="P63" s="410"/>
      <c r="Q63" s="13"/>
    </row>
    <row r="64" spans="1:17">
      <c r="A64" s="1001" t="s">
        <v>5886</v>
      </c>
      <c r="B64" s="135" t="s">
        <v>15108</v>
      </c>
      <c r="C64" s="135" t="s">
        <v>15155</v>
      </c>
      <c r="D64" s="478">
        <v>0</v>
      </c>
      <c r="E64" s="478">
        <v>0</v>
      </c>
      <c r="F64" s="478">
        <v>0</v>
      </c>
      <c r="G64" s="478">
        <v>0</v>
      </c>
      <c r="H64" s="478">
        <v>0</v>
      </c>
      <c r="I64" s="478">
        <v>0</v>
      </c>
      <c r="J64" s="478">
        <v>0</v>
      </c>
      <c r="K64" s="478">
        <v>0</v>
      </c>
      <c r="L64" s="478">
        <v>0</v>
      </c>
      <c r="M64" s="478">
        <v>0</v>
      </c>
      <c r="N64" s="478">
        <v>0</v>
      </c>
      <c r="O64" s="478">
        <v>9420</v>
      </c>
      <c r="Q64" s="476" t="s">
        <v>4781</v>
      </c>
    </row>
    <row r="65" spans="1:17">
      <c r="A65" s="1001" t="s">
        <v>5888</v>
      </c>
      <c r="B65" s="476" t="s">
        <v>15109</v>
      </c>
      <c r="C65" s="55" t="s">
        <v>15156</v>
      </c>
      <c r="D65" s="478">
        <v>0</v>
      </c>
      <c r="E65" s="478">
        <v>0</v>
      </c>
      <c r="F65" s="478">
        <v>0</v>
      </c>
      <c r="G65" s="478">
        <v>0</v>
      </c>
      <c r="H65" s="478">
        <v>0</v>
      </c>
      <c r="I65" s="478">
        <v>0</v>
      </c>
      <c r="J65" s="478">
        <v>0</v>
      </c>
      <c r="K65" s="478">
        <v>0</v>
      </c>
      <c r="L65" s="478">
        <v>0</v>
      </c>
      <c r="M65" s="478">
        <v>0</v>
      </c>
      <c r="N65" s="478">
        <v>0</v>
      </c>
      <c r="O65" s="56">
        <v>9303</v>
      </c>
      <c r="Q65" s="476" t="s">
        <v>4785</v>
      </c>
    </row>
    <row r="66" spans="1:17">
      <c r="A66" s="1001" t="s">
        <v>5889</v>
      </c>
      <c r="B66" s="476" t="s">
        <v>15110</v>
      </c>
      <c r="C66" s="55" t="s">
        <v>15157</v>
      </c>
      <c r="D66" s="478">
        <v>0</v>
      </c>
      <c r="E66" s="478">
        <v>0</v>
      </c>
      <c r="F66" s="478">
        <v>0</v>
      </c>
      <c r="G66" s="478">
        <v>0</v>
      </c>
      <c r="H66" s="478">
        <v>0</v>
      </c>
      <c r="I66" s="478">
        <v>0</v>
      </c>
      <c r="J66" s="478">
        <v>0</v>
      </c>
      <c r="K66" s="478">
        <v>0</v>
      </c>
      <c r="L66" s="478">
        <v>0</v>
      </c>
      <c r="M66" s="478">
        <v>0</v>
      </c>
      <c r="N66" s="478">
        <v>0</v>
      </c>
      <c r="O66" s="56">
        <v>11195</v>
      </c>
      <c r="Q66" s="476" t="s">
        <v>4785</v>
      </c>
    </row>
    <row r="67" spans="1:17">
      <c r="A67" s="1001" t="s">
        <v>4431</v>
      </c>
      <c r="B67" s="476" t="s">
        <v>15111</v>
      </c>
      <c r="C67" s="55" t="s">
        <v>15158</v>
      </c>
      <c r="D67" s="478">
        <v>0</v>
      </c>
      <c r="E67" s="478">
        <v>0</v>
      </c>
      <c r="F67" s="478">
        <v>0</v>
      </c>
      <c r="G67" s="478">
        <v>0</v>
      </c>
      <c r="H67" s="478">
        <v>0</v>
      </c>
      <c r="I67" s="478">
        <v>0</v>
      </c>
      <c r="J67" s="478">
        <v>0</v>
      </c>
      <c r="K67" s="478">
        <v>0</v>
      </c>
      <c r="L67" s="478">
        <v>0</v>
      </c>
      <c r="M67" s="478">
        <v>0</v>
      </c>
      <c r="N67" s="478">
        <v>0</v>
      </c>
      <c r="O67" s="56">
        <v>11000</v>
      </c>
      <c r="Q67" s="476" t="s">
        <v>6217</v>
      </c>
    </row>
    <row r="68" spans="1:17">
      <c r="A68" s="1001" t="s">
        <v>4432</v>
      </c>
      <c r="B68" s="476" t="s">
        <v>15112</v>
      </c>
      <c r="C68" s="55" t="s">
        <v>15159</v>
      </c>
      <c r="D68" s="478">
        <v>0</v>
      </c>
      <c r="E68" s="478">
        <v>0</v>
      </c>
      <c r="F68" s="478">
        <v>0</v>
      </c>
      <c r="G68" s="478">
        <v>0</v>
      </c>
      <c r="H68" s="478">
        <v>0</v>
      </c>
      <c r="I68" s="478">
        <v>0</v>
      </c>
      <c r="J68" s="478">
        <v>0</v>
      </c>
      <c r="K68" s="478">
        <v>0</v>
      </c>
      <c r="L68" s="478">
        <v>0</v>
      </c>
      <c r="M68" s="478">
        <v>0</v>
      </c>
      <c r="N68" s="478">
        <v>0</v>
      </c>
      <c r="O68" s="56">
        <v>9657</v>
      </c>
      <c r="Q68" s="476" t="s">
        <v>4781</v>
      </c>
    </row>
    <row r="69" spans="1:17">
      <c r="A69" s="1001" t="s">
        <v>4434</v>
      </c>
      <c r="B69" s="476" t="s">
        <v>15113</v>
      </c>
      <c r="C69" s="55" t="s">
        <v>15160</v>
      </c>
      <c r="D69" s="478">
        <v>0</v>
      </c>
      <c r="E69" s="478">
        <v>0</v>
      </c>
      <c r="F69" s="478">
        <v>0</v>
      </c>
      <c r="G69" s="478">
        <v>0</v>
      </c>
      <c r="H69" s="478">
        <v>0</v>
      </c>
      <c r="I69" s="478">
        <v>0</v>
      </c>
      <c r="J69" s="478">
        <v>0</v>
      </c>
      <c r="K69" s="478">
        <v>0</v>
      </c>
      <c r="L69" s="478">
        <v>0</v>
      </c>
      <c r="M69" s="478">
        <v>0</v>
      </c>
      <c r="N69" s="478">
        <v>0</v>
      </c>
      <c r="O69" s="56">
        <v>7973</v>
      </c>
      <c r="Q69" s="476" t="s">
        <v>4781</v>
      </c>
    </row>
    <row r="70" spans="1:17">
      <c r="A70" s="1001"/>
      <c r="B70" s="476"/>
      <c r="C70" s="55"/>
      <c r="D70" s="478"/>
      <c r="E70" s="478"/>
      <c r="F70" s="478"/>
      <c r="G70" s="478"/>
      <c r="H70" s="478"/>
      <c r="I70" s="478"/>
      <c r="J70" s="478"/>
      <c r="K70" s="478"/>
      <c r="L70" s="478"/>
      <c r="M70" s="478"/>
      <c r="N70" s="478"/>
      <c r="O70" s="56"/>
      <c r="Q70" s="476"/>
    </row>
    <row r="71" spans="1:17">
      <c r="A71" s="476" t="s">
        <v>6217</v>
      </c>
      <c r="B71" s="476"/>
      <c r="C71" s="55"/>
      <c r="D71" s="56">
        <f t="shared" ref="D71:N71" si="21">SUM(D39:D40,D48,D52,D56:D57,D59:D61,D67)</f>
        <v>78275</v>
      </c>
      <c r="E71" s="56">
        <f t="shared" si="21"/>
        <v>79468</v>
      </c>
      <c r="F71" s="56">
        <f t="shared" si="21"/>
        <v>79788</v>
      </c>
      <c r="G71" s="56">
        <f t="shared" si="21"/>
        <v>80671</v>
      </c>
      <c r="H71" s="56">
        <f t="shared" si="21"/>
        <v>79573</v>
      </c>
      <c r="I71" s="56">
        <f t="shared" si="21"/>
        <v>79553</v>
      </c>
      <c r="J71" s="56">
        <f t="shared" si="21"/>
        <v>80049</v>
      </c>
      <c r="K71" s="56">
        <f t="shared" si="21"/>
        <v>81140</v>
      </c>
      <c r="L71" s="56">
        <f t="shared" si="21"/>
        <v>81941</v>
      </c>
      <c r="M71" s="56">
        <f t="shared" si="21"/>
        <v>82257</v>
      </c>
      <c r="N71" s="56">
        <f t="shared" si="21"/>
        <v>85103</v>
      </c>
      <c r="O71" s="56">
        <f>SUM(O39:O40,O48,O52,O56:O57,O59:O61,O67)</f>
        <v>85946</v>
      </c>
      <c r="Q71" s="476"/>
    </row>
    <row r="72" spans="1:17">
      <c r="A72" s="476" t="s">
        <v>625</v>
      </c>
      <c r="B72" s="476"/>
      <c r="C72" s="55"/>
      <c r="D72" s="56">
        <f t="shared" ref="D72:N72" si="22">D43</f>
        <v>5624</v>
      </c>
      <c r="E72" s="56">
        <f t="shared" si="22"/>
        <v>5535</v>
      </c>
      <c r="F72" s="56">
        <f t="shared" si="22"/>
        <v>5622</v>
      </c>
      <c r="G72" s="56">
        <f t="shared" si="22"/>
        <v>5601</v>
      </c>
      <c r="H72" s="56">
        <f t="shared" si="22"/>
        <v>5374</v>
      </c>
      <c r="I72" s="56">
        <f t="shared" si="22"/>
        <v>5508</v>
      </c>
      <c r="J72" s="56">
        <f t="shared" si="22"/>
        <v>5613</v>
      </c>
      <c r="K72" s="56">
        <f t="shared" si="22"/>
        <v>6048</v>
      </c>
      <c r="L72" s="56">
        <f t="shared" si="22"/>
        <v>6008</v>
      </c>
      <c r="M72" s="56">
        <f t="shared" si="22"/>
        <v>6094</v>
      </c>
      <c r="N72" s="56">
        <f t="shared" si="22"/>
        <v>6505</v>
      </c>
      <c r="O72" s="56">
        <f>O43</f>
        <v>6467</v>
      </c>
      <c r="Q72" s="476"/>
    </row>
    <row r="73" spans="1:17">
      <c r="A73" s="476" t="s">
        <v>4781</v>
      </c>
      <c r="B73" s="476"/>
      <c r="C73" s="55"/>
      <c r="D73" s="56">
        <f t="shared" ref="D73:N73" si="23">SUM(D37:D38,D42,D55,D58,D64,D68:D69)</f>
        <v>68786</v>
      </c>
      <c r="E73" s="56">
        <f t="shared" si="23"/>
        <v>69610</v>
      </c>
      <c r="F73" s="56">
        <f t="shared" si="23"/>
        <v>69842</v>
      </c>
      <c r="G73" s="56">
        <f t="shared" si="23"/>
        <v>70826</v>
      </c>
      <c r="H73" s="56">
        <f t="shared" si="23"/>
        <v>70431</v>
      </c>
      <c r="I73" s="56">
        <f t="shared" si="23"/>
        <v>69424</v>
      </c>
      <c r="J73" s="56">
        <f t="shared" si="23"/>
        <v>68279</v>
      </c>
      <c r="K73" s="56">
        <f t="shared" si="23"/>
        <v>69982</v>
      </c>
      <c r="L73" s="56">
        <f t="shared" si="23"/>
        <v>70589</v>
      </c>
      <c r="M73" s="56">
        <f t="shared" si="23"/>
        <v>70486</v>
      </c>
      <c r="N73" s="56">
        <f t="shared" si="23"/>
        <v>72839</v>
      </c>
      <c r="O73" s="56">
        <f>SUM(O37:O38,O42,O55,O58,O64,O68:O69)</f>
        <v>72777</v>
      </c>
      <c r="Q73" s="476"/>
    </row>
    <row r="74" spans="1:17">
      <c r="A74" s="476" t="s">
        <v>4785</v>
      </c>
      <c r="B74" s="476"/>
      <c r="C74" s="55"/>
      <c r="D74" s="56">
        <f t="shared" ref="D74:N74" si="24">SUM(D36,D41,D44,D46:D47,D49,D51,D53,D62,D65:D66)</f>
        <v>76797</v>
      </c>
      <c r="E74" s="56">
        <f t="shared" si="24"/>
        <v>76848</v>
      </c>
      <c r="F74" s="56">
        <f t="shared" si="24"/>
        <v>77289</v>
      </c>
      <c r="G74" s="56">
        <f t="shared" si="24"/>
        <v>76822</v>
      </c>
      <c r="H74" s="56">
        <f t="shared" si="24"/>
        <v>73033</v>
      </c>
      <c r="I74" s="56">
        <f t="shared" si="24"/>
        <v>76125</v>
      </c>
      <c r="J74" s="56">
        <f t="shared" si="24"/>
        <v>74916</v>
      </c>
      <c r="K74" s="56">
        <f t="shared" si="24"/>
        <v>78423</v>
      </c>
      <c r="L74" s="56">
        <f t="shared" si="24"/>
        <v>78313</v>
      </c>
      <c r="M74" s="56">
        <f t="shared" si="24"/>
        <v>78776</v>
      </c>
      <c r="N74" s="56">
        <f t="shared" si="24"/>
        <v>80609</v>
      </c>
      <c r="O74" s="56">
        <f>SUM(O36,O41,O44,O46:O47,O49,O51,O53,O62,O65:O66)</f>
        <v>80191</v>
      </c>
      <c r="Q74" s="476"/>
    </row>
    <row r="75" spans="1:17">
      <c r="A75" s="1001"/>
      <c r="B75" s="476"/>
      <c r="C75" s="55"/>
      <c r="D75" s="478"/>
      <c r="E75" s="478"/>
      <c r="F75" s="478"/>
      <c r="G75" s="478"/>
      <c r="H75" s="478"/>
      <c r="I75" s="478"/>
      <c r="J75" s="478"/>
      <c r="K75" s="478"/>
      <c r="L75" s="478"/>
      <c r="M75" s="478"/>
      <c r="N75" s="478"/>
      <c r="O75" s="56"/>
      <c r="Q75" s="476"/>
    </row>
    <row r="76" spans="1:17">
      <c r="A76" s="1001" t="s">
        <v>15195</v>
      </c>
      <c r="B76" s="476"/>
      <c r="C76" s="55"/>
      <c r="D76" s="478"/>
      <c r="E76" s="478"/>
      <c r="F76" s="478"/>
      <c r="G76" s="478"/>
      <c r="H76" s="478"/>
      <c r="I76" s="478"/>
      <c r="J76" s="478"/>
      <c r="K76" s="478"/>
      <c r="L76" s="478"/>
      <c r="M76" s="478"/>
      <c r="N76" s="478"/>
      <c r="O76" s="56"/>
      <c r="Q76" s="476"/>
    </row>
    <row r="77" spans="1:17">
      <c r="A77" s="1001"/>
      <c r="B77" s="476"/>
      <c r="C77" s="55"/>
      <c r="D77" s="478"/>
      <c r="E77" s="478"/>
      <c r="F77" s="478"/>
      <c r="G77" s="478"/>
      <c r="H77" s="478"/>
      <c r="I77" s="478"/>
      <c r="J77" s="478"/>
      <c r="K77" s="478"/>
      <c r="L77" s="478"/>
      <c r="M77" s="478"/>
      <c r="N77" s="478"/>
      <c r="O77" s="56"/>
      <c r="Q77" s="476"/>
    </row>
    <row r="78" spans="1:17">
      <c r="A78" s="1008" t="s">
        <v>16023</v>
      </c>
      <c r="B78" s="476"/>
      <c r="C78" s="55"/>
      <c r="D78" s="481"/>
      <c r="E78" s="481"/>
      <c r="F78" s="481"/>
      <c r="G78" s="481"/>
      <c r="H78" s="481"/>
      <c r="I78" s="481"/>
      <c r="J78" s="481"/>
      <c r="K78" s="481"/>
      <c r="L78" s="481"/>
      <c r="M78" s="481"/>
      <c r="N78" s="481"/>
      <c r="O78" s="56"/>
      <c r="Q78" s="476"/>
    </row>
    <row r="79" spans="1:17">
      <c r="A79" s="167" t="s">
        <v>16099</v>
      </c>
      <c r="B79" s="476"/>
      <c r="C79" s="55"/>
      <c r="D79" s="478"/>
      <c r="E79" s="478"/>
      <c r="F79" s="478"/>
      <c r="G79" s="478"/>
      <c r="H79" s="478"/>
      <c r="I79" s="478"/>
      <c r="J79" s="478"/>
      <c r="K79" s="478"/>
      <c r="L79" s="478"/>
      <c r="M79" s="478"/>
      <c r="N79" s="478"/>
      <c r="O79" s="56"/>
      <c r="Q79" s="476"/>
    </row>
    <row r="80" spans="1:17">
      <c r="A80" s="167"/>
      <c r="B80" s="476"/>
      <c r="C80" s="55"/>
      <c r="D80" s="478"/>
      <c r="E80" s="478"/>
      <c r="F80" s="478"/>
      <c r="G80" s="478"/>
      <c r="H80" s="478"/>
      <c r="I80" s="478"/>
      <c r="J80" s="478"/>
      <c r="K80" s="478"/>
      <c r="L80" s="478"/>
      <c r="M80" s="478"/>
      <c r="N80" s="478"/>
      <c r="O80" s="56"/>
      <c r="Q80" s="476"/>
    </row>
    <row r="81" spans="1:17">
      <c r="A81" s="167"/>
      <c r="B81" s="476"/>
      <c r="C81" s="55"/>
      <c r="D81" s="478"/>
      <c r="E81" s="478"/>
      <c r="F81" s="478"/>
      <c r="G81" s="478"/>
      <c r="H81" s="478"/>
      <c r="I81" s="478"/>
      <c r="J81" s="478"/>
      <c r="K81" s="478"/>
      <c r="L81" s="478"/>
      <c r="M81" s="478"/>
      <c r="N81" s="478"/>
      <c r="O81" s="56"/>
      <c r="Q81" s="476"/>
    </row>
    <row r="82" spans="1:17">
      <c r="A82" s="1001"/>
      <c r="B82" s="476"/>
      <c r="C82" s="55"/>
      <c r="E82" s="51" t="s">
        <v>1526</v>
      </c>
      <c r="F82" s="51"/>
      <c r="G82" s="51"/>
      <c r="H82" s="51"/>
      <c r="I82" s="51"/>
      <c r="J82" s="51"/>
      <c r="K82" s="51"/>
      <c r="L82" s="51"/>
      <c r="M82" s="51"/>
      <c r="N82" s="51"/>
      <c r="O82" s="51"/>
      <c r="Q82" s="11" t="s">
        <v>9479</v>
      </c>
    </row>
    <row r="83" spans="1:17">
      <c r="A83" s="1001"/>
      <c r="B83" s="476"/>
      <c r="C83" s="55"/>
      <c r="D83" s="477">
        <v>2010</v>
      </c>
      <c r="E83" s="477">
        <v>2011</v>
      </c>
      <c r="F83" s="477">
        <v>2012</v>
      </c>
      <c r="G83" s="477">
        <v>2013</v>
      </c>
      <c r="H83" s="477">
        <v>2014</v>
      </c>
      <c r="I83" s="477">
        <v>2015</v>
      </c>
      <c r="J83" s="477">
        <v>2016</v>
      </c>
      <c r="K83" s="477">
        <v>2017</v>
      </c>
      <c r="L83" s="477">
        <v>2018</v>
      </c>
      <c r="M83" s="477">
        <v>2019</v>
      </c>
      <c r="N83" s="477">
        <v>2020</v>
      </c>
      <c r="O83" s="952" t="s">
        <v>14823</v>
      </c>
      <c r="P83" s="410"/>
      <c r="Q83" s="13" t="s">
        <v>1527</v>
      </c>
    </row>
    <row r="84" spans="1:17">
      <c r="A84" s="476" t="s">
        <v>15196</v>
      </c>
      <c r="B84" s="476"/>
      <c r="C84" s="55"/>
      <c r="D84" s="478">
        <f t="shared" ref="D84:N84" si="25">SUM(D85:D86,D88:D89,D91:D96,D98:D100,D102:D108,D110:D120,D122:D123,D125:D127,D129:D130,D132:D133)</f>
        <v>272665</v>
      </c>
      <c r="E84" s="478">
        <f t="shared" si="25"/>
        <v>275167</v>
      </c>
      <c r="F84" s="478">
        <f t="shared" si="25"/>
        <v>276661</v>
      </c>
      <c r="G84" s="478">
        <f t="shared" si="25"/>
        <v>278745</v>
      </c>
      <c r="H84" s="478">
        <f t="shared" si="25"/>
        <v>266703</v>
      </c>
      <c r="I84" s="478">
        <f t="shared" si="25"/>
        <v>265382</v>
      </c>
      <c r="J84" s="478">
        <f t="shared" si="25"/>
        <v>264714</v>
      </c>
      <c r="K84" s="478">
        <f t="shared" si="25"/>
        <v>274721</v>
      </c>
      <c r="L84" s="478">
        <f t="shared" si="25"/>
        <v>275499</v>
      </c>
      <c r="M84" s="478">
        <f t="shared" si="25"/>
        <v>276601</v>
      </c>
      <c r="N84" s="478">
        <f t="shared" si="25"/>
        <v>283358</v>
      </c>
      <c r="O84" s="478">
        <f>SUM(O85:O86,O88:O89,O91:O96,O98:O100,O102:O108,O110:O120,O122:O123,O125:O127,O129:O130,O132:O133)</f>
        <v>284518</v>
      </c>
    </row>
    <row r="85" spans="1:17">
      <c r="A85" s="483">
        <v>1</v>
      </c>
      <c r="B85" s="476" t="s">
        <v>15114</v>
      </c>
      <c r="C85" s="55" t="s">
        <v>15161</v>
      </c>
      <c r="D85" s="478">
        <v>0</v>
      </c>
      <c r="E85" s="478">
        <v>0</v>
      </c>
      <c r="F85" s="478">
        <v>0</v>
      </c>
      <c r="G85" s="478">
        <v>0</v>
      </c>
      <c r="H85" s="478">
        <v>0</v>
      </c>
      <c r="I85" s="478">
        <v>0</v>
      </c>
      <c r="J85" s="478">
        <v>0</v>
      </c>
      <c r="K85" s="478">
        <v>0</v>
      </c>
      <c r="L85" s="478">
        <v>0</v>
      </c>
      <c r="M85" s="478">
        <v>0</v>
      </c>
      <c r="N85" s="478">
        <v>0</v>
      </c>
      <c r="O85" s="56">
        <v>7635</v>
      </c>
      <c r="Q85" s="476" t="s">
        <v>4782</v>
      </c>
    </row>
    <row r="86" spans="1:17" ht="15.75" thickBot="1">
      <c r="A86" s="483"/>
      <c r="B86" s="476"/>
      <c r="C86" s="55" t="s">
        <v>15161</v>
      </c>
      <c r="D86" s="478">
        <v>0</v>
      </c>
      <c r="E86" s="478">
        <v>0</v>
      </c>
      <c r="F86" s="478">
        <v>0</v>
      </c>
      <c r="G86" s="478">
        <v>0</v>
      </c>
      <c r="H86" s="478">
        <v>0</v>
      </c>
      <c r="I86" s="478">
        <v>0</v>
      </c>
      <c r="J86" s="478">
        <v>0</v>
      </c>
      <c r="K86" s="478">
        <v>0</v>
      </c>
      <c r="L86" s="478">
        <v>0</v>
      </c>
      <c r="M86" s="478">
        <v>0</v>
      </c>
      <c r="N86" s="478">
        <v>0</v>
      </c>
      <c r="O86" s="56">
        <v>714</v>
      </c>
      <c r="Q86" s="476" t="s">
        <v>4783</v>
      </c>
    </row>
    <row r="87" spans="1:17" ht="15.75" thickBot="1">
      <c r="A87" s="483"/>
      <c r="B87" s="476"/>
      <c r="C87" s="55" t="s">
        <v>15161</v>
      </c>
      <c r="D87" s="485">
        <f>D85+D86</f>
        <v>0</v>
      </c>
      <c r="E87" s="485">
        <f t="shared" ref="E87:O87" si="26">E85+E86</f>
        <v>0</v>
      </c>
      <c r="F87" s="485">
        <f t="shared" si="26"/>
        <v>0</v>
      </c>
      <c r="G87" s="485">
        <f t="shared" si="26"/>
        <v>0</v>
      </c>
      <c r="H87" s="485">
        <f t="shared" si="26"/>
        <v>0</v>
      </c>
      <c r="I87" s="485">
        <f t="shared" si="26"/>
        <v>0</v>
      </c>
      <c r="J87" s="485">
        <f t="shared" si="26"/>
        <v>0</v>
      </c>
      <c r="K87" s="485">
        <f t="shared" si="26"/>
        <v>0</v>
      </c>
      <c r="L87" s="485">
        <f t="shared" si="26"/>
        <v>0</v>
      </c>
      <c r="M87" s="485">
        <f t="shared" si="26"/>
        <v>0</v>
      </c>
      <c r="N87" s="485">
        <f t="shared" si="26"/>
        <v>0</v>
      </c>
      <c r="O87" s="485">
        <f t="shared" si="26"/>
        <v>8349</v>
      </c>
      <c r="Q87" s="476"/>
    </row>
    <row r="88" spans="1:17">
      <c r="A88" s="483">
        <v>2</v>
      </c>
      <c r="B88" s="476" t="s">
        <v>15115</v>
      </c>
      <c r="C88" s="55" t="s">
        <v>15162</v>
      </c>
      <c r="D88" s="478">
        <v>0</v>
      </c>
      <c r="E88" s="478">
        <v>0</v>
      </c>
      <c r="F88" s="478">
        <v>0</v>
      </c>
      <c r="G88" s="478">
        <v>0</v>
      </c>
      <c r="H88" s="478">
        <v>0</v>
      </c>
      <c r="I88" s="478">
        <v>0</v>
      </c>
      <c r="J88" s="478">
        <v>0</v>
      </c>
      <c r="K88" s="478">
        <v>0</v>
      </c>
      <c r="L88" s="478">
        <v>0</v>
      </c>
      <c r="M88" s="478">
        <v>0</v>
      </c>
      <c r="N88" s="478">
        <v>0</v>
      </c>
      <c r="O88" s="56">
        <v>1773</v>
      </c>
      <c r="Q88" s="476" t="s">
        <v>4782</v>
      </c>
    </row>
    <row r="89" spans="1:17" ht="15.75" thickBot="1">
      <c r="A89" s="483"/>
      <c r="B89" s="476"/>
      <c r="C89" s="55" t="s">
        <v>15162</v>
      </c>
      <c r="D89" s="478">
        <v>0</v>
      </c>
      <c r="E89" s="478">
        <v>0</v>
      </c>
      <c r="F89" s="478">
        <v>0</v>
      </c>
      <c r="G89" s="478">
        <v>0</v>
      </c>
      <c r="H89" s="478">
        <v>0</v>
      </c>
      <c r="I89" s="478">
        <v>0</v>
      </c>
      <c r="J89" s="478">
        <v>0</v>
      </c>
      <c r="K89" s="478">
        <v>0</v>
      </c>
      <c r="L89" s="478">
        <v>0</v>
      </c>
      <c r="M89" s="478">
        <v>0</v>
      </c>
      <c r="N89" s="478">
        <v>0</v>
      </c>
      <c r="O89" s="56">
        <v>8061</v>
      </c>
      <c r="Q89" s="476" t="s">
        <v>4783</v>
      </c>
    </row>
    <row r="90" spans="1:17" ht="15.75" thickBot="1">
      <c r="A90" s="483"/>
      <c r="B90" s="476"/>
      <c r="C90" s="55" t="s">
        <v>15162</v>
      </c>
      <c r="D90" s="485">
        <f>D88+D89</f>
        <v>0</v>
      </c>
      <c r="E90" s="485">
        <f t="shared" ref="E90:O90" si="27">E88+E89</f>
        <v>0</v>
      </c>
      <c r="F90" s="485">
        <f t="shared" si="27"/>
        <v>0</v>
      </c>
      <c r="G90" s="485">
        <f t="shared" si="27"/>
        <v>0</v>
      </c>
      <c r="H90" s="485">
        <f t="shared" si="27"/>
        <v>0</v>
      </c>
      <c r="I90" s="485">
        <f t="shared" si="27"/>
        <v>0</v>
      </c>
      <c r="J90" s="485">
        <f t="shared" si="27"/>
        <v>0</v>
      </c>
      <c r="K90" s="485">
        <f t="shared" si="27"/>
        <v>0</v>
      </c>
      <c r="L90" s="485">
        <f t="shared" si="27"/>
        <v>0</v>
      </c>
      <c r="M90" s="485">
        <f t="shared" si="27"/>
        <v>0</v>
      </c>
      <c r="N90" s="485">
        <f t="shared" si="27"/>
        <v>0</v>
      </c>
      <c r="O90" s="485">
        <f t="shared" si="27"/>
        <v>9834</v>
      </c>
    </row>
    <row r="91" spans="1:17">
      <c r="A91" s="483">
        <v>3</v>
      </c>
      <c r="B91" s="476" t="s">
        <v>15116</v>
      </c>
      <c r="C91" s="55" t="s">
        <v>15163</v>
      </c>
      <c r="D91" s="478">
        <v>61749</v>
      </c>
      <c r="E91" s="478">
        <v>62095</v>
      </c>
      <c r="F91" s="478">
        <v>61808</v>
      </c>
      <c r="G91" s="478">
        <v>62032</v>
      </c>
      <c r="H91" s="478">
        <v>58295</v>
      </c>
      <c r="I91" s="478">
        <v>57749</v>
      </c>
      <c r="J91" s="478">
        <v>56005</v>
      </c>
      <c r="K91" s="478">
        <v>57463</v>
      </c>
      <c r="L91" s="478">
        <v>58324</v>
      </c>
      <c r="M91" s="478">
        <v>58398</v>
      </c>
      <c r="N91" s="478">
        <v>59188</v>
      </c>
      <c r="O91" s="56">
        <v>8567</v>
      </c>
      <c r="Q91" s="476" t="s">
        <v>4782</v>
      </c>
    </row>
    <row r="92" spans="1:17">
      <c r="A92" s="483">
        <v>4</v>
      </c>
      <c r="B92" s="476" t="s">
        <v>15117</v>
      </c>
      <c r="C92" s="55" t="s">
        <v>15164</v>
      </c>
      <c r="D92" s="478">
        <v>82052</v>
      </c>
      <c r="E92" s="478">
        <v>82956</v>
      </c>
      <c r="F92" s="478">
        <v>84028</v>
      </c>
      <c r="G92" s="478">
        <v>85036</v>
      </c>
      <c r="H92" s="478">
        <v>84178</v>
      </c>
      <c r="I92" s="478">
        <v>81801</v>
      </c>
      <c r="J92" s="478">
        <v>84427</v>
      </c>
      <c r="K92" s="478">
        <v>88813</v>
      </c>
      <c r="L92" s="478">
        <v>87516</v>
      </c>
      <c r="M92" s="478">
        <v>88039</v>
      </c>
      <c r="N92" s="478">
        <v>90039</v>
      </c>
      <c r="O92" s="56">
        <v>11808</v>
      </c>
      <c r="Q92" s="476" t="s">
        <v>4784</v>
      </c>
    </row>
    <row r="93" spans="1:17">
      <c r="A93" s="483">
        <v>5</v>
      </c>
      <c r="B93" s="476" t="s">
        <v>15118</v>
      </c>
      <c r="C93" s="55" t="s">
        <v>15165</v>
      </c>
      <c r="D93" s="478">
        <v>66012</v>
      </c>
      <c r="E93" s="478">
        <v>66368</v>
      </c>
      <c r="F93" s="478">
        <v>67187</v>
      </c>
      <c r="G93" s="478">
        <v>67742</v>
      </c>
      <c r="H93" s="478">
        <v>66754</v>
      </c>
      <c r="I93" s="478">
        <v>66421</v>
      </c>
      <c r="J93" s="478">
        <v>65866</v>
      </c>
      <c r="K93" s="478">
        <v>68241</v>
      </c>
      <c r="L93" s="478">
        <v>68666</v>
      </c>
      <c r="M93" s="478">
        <v>69237</v>
      </c>
      <c r="N93" s="478">
        <v>71578</v>
      </c>
      <c r="O93" s="56">
        <v>9900</v>
      </c>
      <c r="Q93" s="476" t="s">
        <v>6218</v>
      </c>
    </row>
    <row r="94" spans="1:17">
      <c r="A94" s="483">
        <v>6</v>
      </c>
      <c r="B94" s="476" t="s">
        <v>1931</v>
      </c>
      <c r="C94" s="55" t="s">
        <v>15166</v>
      </c>
      <c r="D94" s="478">
        <v>0</v>
      </c>
      <c r="E94" s="478">
        <v>0</v>
      </c>
      <c r="F94" s="478">
        <v>0</v>
      </c>
      <c r="G94" s="478">
        <v>0</v>
      </c>
      <c r="H94" s="478">
        <v>0</v>
      </c>
      <c r="I94" s="478">
        <v>0</v>
      </c>
      <c r="J94" s="478">
        <v>0</v>
      </c>
      <c r="K94" s="478">
        <v>0</v>
      </c>
      <c r="L94" s="478">
        <v>0</v>
      </c>
      <c r="M94" s="478">
        <v>0</v>
      </c>
      <c r="N94" s="478">
        <v>0</v>
      </c>
      <c r="O94" s="56">
        <v>9637</v>
      </c>
      <c r="Q94" s="476" t="s">
        <v>6218</v>
      </c>
    </row>
    <row r="95" spans="1:17">
      <c r="A95" s="483">
        <v>7</v>
      </c>
      <c r="B95" s="476" t="s">
        <v>15119</v>
      </c>
      <c r="C95" s="55" t="s">
        <v>15167</v>
      </c>
      <c r="D95" s="478">
        <v>0</v>
      </c>
      <c r="E95" s="478">
        <v>0</v>
      </c>
      <c r="F95" s="478">
        <v>0</v>
      </c>
      <c r="G95" s="478">
        <v>0</v>
      </c>
      <c r="H95" s="478">
        <v>0</v>
      </c>
      <c r="I95" s="478">
        <v>0</v>
      </c>
      <c r="J95" s="478">
        <v>0</v>
      </c>
      <c r="K95" s="478">
        <v>0</v>
      </c>
      <c r="L95" s="478">
        <v>0</v>
      </c>
      <c r="M95" s="478">
        <v>0</v>
      </c>
      <c r="N95" s="478">
        <v>0</v>
      </c>
      <c r="O95" s="56">
        <v>7506</v>
      </c>
      <c r="Q95" s="476" t="s">
        <v>6218</v>
      </c>
    </row>
    <row r="96" spans="1:17" ht="15.75" thickBot="1">
      <c r="A96" s="483"/>
      <c r="B96" s="476"/>
      <c r="C96" s="55" t="s">
        <v>15167</v>
      </c>
      <c r="D96" s="478">
        <v>0</v>
      </c>
      <c r="E96" s="478">
        <v>0</v>
      </c>
      <c r="F96" s="478">
        <v>0</v>
      </c>
      <c r="G96" s="478">
        <v>0</v>
      </c>
      <c r="H96" s="478">
        <v>0</v>
      </c>
      <c r="I96" s="478">
        <v>0</v>
      </c>
      <c r="J96" s="478">
        <v>0</v>
      </c>
      <c r="K96" s="478">
        <v>0</v>
      </c>
      <c r="L96" s="478">
        <v>0</v>
      </c>
      <c r="M96" s="478">
        <v>0</v>
      </c>
      <c r="N96" s="478">
        <v>0</v>
      </c>
      <c r="O96" s="56">
        <v>2797</v>
      </c>
      <c r="Q96" s="476" t="s">
        <v>4784</v>
      </c>
    </row>
    <row r="97" spans="1:17" ht="15.75" thickBot="1">
      <c r="A97" s="483"/>
      <c r="B97" s="476"/>
      <c r="C97" s="55" t="s">
        <v>15167</v>
      </c>
      <c r="D97" s="485">
        <f>D95+D96</f>
        <v>0</v>
      </c>
      <c r="E97" s="485">
        <f t="shared" ref="E97:O97" si="28">E95+E96</f>
        <v>0</v>
      </c>
      <c r="F97" s="485">
        <f t="shared" si="28"/>
        <v>0</v>
      </c>
      <c r="G97" s="485">
        <f t="shared" si="28"/>
        <v>0</v>
      </c>
      <c r="H97" s="485">
        <f t="shared" si="28"/>
        <v>0</v>
      </c>
      <c r="I97" s="485">
        <f t="shared" si="28"/>
        <v>0</v>
      </c>
      <c r="J97" s="485">
        <f t="shared" si="28"/>
        <v>0</v>
      </c>
      <c r="K97" s="485">
        <f t="shared" si="28"/>
        <v>0</v>
      </c>
      <c r="L97" s="485">
        <f t="shared" si="28"/>
        <v>0</v>
      </c>
      <c r="M97" s="485">
        <f t="shared" si="28"/>
        <v>0</v>
      </c>
      <c r="N97" s="485">
        <f t="shared" si="28"/>
        <v>0</v>
      </c>
      <c r="O97" s="485">
        <f t="shared" si="28"/>
        <v>10303</v>
      </c>
    </row>
    <row r="98" spans="1:17">
      <c r="A98" s="483">
        <v>8</v>
      </c>
      <c r="B98" s="476" t="s">
        <v>5904</v>
      </c>
      <c r="C98" s="55" t="s">
        <v>15168</v>
      </c>
      <c r="D98" s="478">
        <v>62852</v>
      </c>
      <c r="E98" s="478">
        <v>63748</v>
      </c>
      <c r="F98" s="478">
        <v>63638</v>
      </c>
      <c r="G98" s="478">
        <v>63935</v>
      </c>
      <c r="H98" s="478">
        <v>57476</v>
      </c>
      <c r="I98" s="478">
        <v>59411</v>
      </c>
      <c r="J98" s="478">
        <v>58416</v>
      </c>
      <c r="K98" s="478">
        <v>60204</v>
      </c>
      <c r="L98" s="478">
        <v>60993</v>
      </c>
      <c r="M98" s="478">
        <v>60927</v>
      </c>
      <c r="N98" s="478">
        <v>62553</v>
      </c>
      <c r="O98" s="56">
        <v>8116</v>
      </c>
      <c r="Q98" s="476" t="s">
        <v>4783</v>
      </c>
    </row>
    <row r="99" spans="1:17">
      <c r="A99" s="483">
        <v>9</v>
      </c>
      <c r="B99" s="476" t="s">
        <v>15120</v>
      </c>
      <c r="C99" s="55" t="s">
        <v>15169</v>
      </c>
      <c r="D99" s="478">
        <v>0</v>
      </c>
      <c r="E99" s="478">
        <v>0</v>
      </c>
      <c r="F99" s="478">
        <v>0</v>
      </c>
      <c r="G99" s="478">
        <v>0</v>
      </c>
      <c r="H99" s="478">
        <v>0</v>
      </c>
      <c r="I99" s="478">
        <v>0</v>
      </c>
      <c r="J99" s="478">
        <v>0</v>
      </c>
      <c r="K99" s="478">
        <v>0</v>
      </c>
      <c r="L99" s="478">
        <v>0</v>
      </c>
      <c r="M99" s="478">
        <v>0</v>
      </c>
      <c r="N99" s="478">
        <v>0</v>
      </c>
      <c r="O99" s="56">
        <v>0</v>
      </c>
      <c r="Q99" s="476" t="s">
        <v>4782</v>
      </c>
    </row>
    <row r="100" spans="1:17" ht="15.75" thickBot="1">
      <c r="A100" s="483"/>
      <c r="B100" s="476"/>
      <c r="C100" s="55" t="s">
        <v>15169</v>
      </c>
      <c r="D100" s="478">
        <v>0</v>
      </c>
      <c r="E100" s="478">
        <v>0</v>
      </c>
      <c r="F100" s="478">
        <v>0</v>
      </c>
      <c r="G100" s="478">
        <v>0</v>
      </c>
      <c r="H100" s="478">
        <v>0</v>
      </c>
      <c r="I100" s="478">
        <v>0</v>
      </c>
      <c r="J100" s="478">
        <v>0</v>
      </c>
      <c r="K100" s="478">
        <v>0</v>
      </c>
      <c r="L100" s="478">
        <v>0</v>
      </c>
      <c r="M100" s="478">
        <v>0</v>
      </c>
      <c r="N100" s="478">
        <v>0</v>
      </c>
      <c r="O100" s="56">
        <v>7432</v>
      </c>
      <c r="Q100" s="476" t="s">
        <v>4783</v>
      </c>
    </row>
    <row r="101" spans="1:17" ht="15.75" thickBot="1">
      <c r="A101" s="483"/>
      <c r="B101" s="476"/>
      <c r="C101" s="55" t="s">
        <v>15169</v>
      </c>
      <c r="D101" s="485">
        <f>D99+D100</f>
        <v>0</v>
      </c>
      <c r="E101" s="485">
        <f t="shared" ref="E101:O101" si="29">E99+E100</f>
        <v>0</v>
      </c>
      <c r="F101" s="485">
        <f t="shared" si="29"/>
        <v>0</v>
      </c>
      <c r="G101" s="485">
        <f t="shared" si="29"/>
        <v>0</v>
      </c>
      <c r="H101" s="485">
        <f t="shared" si="29"/>
        <v>0</v>
      </c>
      <c r="I101" s="485">
        <f t="shared" si="29"/>
        <v>0</v>
      </c>
      <c r="J101" s="485">
        <f t="shared" si="29"/>
        <v>0</v>
      </c>
      <c r="K101" s="485">
        <f t="shared" si="29"/>
        <v>0</v>
      </c>
      <c r="L101" s="485">
        <f t="shared" si="29"/>
        <v>0</v>
      </c>
      <c r="M101" s="485">
        <f t="shared" si="29"/>
        <v>0</v>
      </c>
      <c r="N101" s="485">
        <f t="shared" si="29"/>
        <v>0</v>
      </c>
      <c r="O101" s="485">
        <f t="shared" si="29"/>
        <v>7432</v>
      </c>
    </row>
    <row r="102" spans="1:17">
      <c r="A102" s="483">
        <v>10</v>
      </c>
      <c r="B102" s="476" t="s">
        <v>15121</v>
      </c>
      <c r="C102" s="55" t="s">
        <v>15170</v>
      </c>
      <c r="D102" s="478">
        <v>0</v>
      </c>
      <c r="E102" s="478">
        <v>0</v>
      </c>
      <c r="F102" s="478">
        <v>0</v>
      </c>
      <c r="G102" s="478">
        <v>0</v>
      </c>
      <c r="H102" s="478">
        <v>0</v>
      </c>
      <c r="I102" s="478">
        <v>0</v>
      </c>
      <c r="J102" s="478">
        <v>0</v>
      </c>
      <c r="K102" s="478">
        <v>0</v>
      </c>
      <c r="L102" s="478">
        <v>0</v>
      </c>
      <c r="M102" s="478">
        <v>0</v>
      </c>
      <c r="N102" s="478">
        <v>0</v>
      </c>
      <c r="O102" s="56">
        <v>7594</v>
      </c>
      <c r="Q102" s="476" t="s">
        <v>6218</v>
      </c>
    </row>
    <row r="103" spans="1:17">
      <c r="A103" s="483">
        <v>11</v>
      </c>
      <c r="B103" s="476" t="s">
        <v>15122</v>
      </c>
      <c r="C103" s="55" t="s">
        <v>15171</v>
      </c>
      <c r="D103" s="478">
        <v>0</v>
      </c>
      <c r="E103" s="478">
        <v>0</v>
      </c>
      <c r="F103" s="478">
        <v>0</v>
      </c>
      <c r="G103" s="478">
        <v>0</v>
      </c>
      <c r="H103" s="478">
        <v>0</v>
      </c>
      <c r="I103" s="478">
        <v>0</v>
      </c>
      <c r="J103" s="478">
        <v>0</v>
      </c>
      <c r="K103" s="478">
        <v>0</v>
      </c>
      <c r="L103" s="478">
        <v>0</v>
      </c>
      <c r="M103" s="478">
        <v>0</v>
      </c>
      <c r="N103" s="478">
        <v>0</v>
      </c>
      <c r="O103" s="58">
        <v>8313</v>
      </c>
      <c r="Q103" s="476" t="s">
        <v>6218</v>
      </c>
    </row>
    <row r="104" spans="1:17">
      <c r="A104" s="483">
        <v>12</v>
      </c>
      <c r="B104" s="135" t="s">
        <v>3329</v>
      </c>
      <c r="C104" s="135" t="s">
        <v>15172</v>
      </c>
      <c r="D104" s="478">
        <v>0</v>
      </c>
      <c r="E104" s="478">
        <v>0</v>
      </c>
      <c r="F104" s="478">
        <v>0</v>
      </c>
      <c r="G104" s="478">
        <v>0</v>
      </c>
      <c r="H104" s="478">
        <v>0</v>
      </c>
      <c r="I104" s="478">
        <v>0</v>
      </c>
      <c r="J104" s="478">
        <v>0</v>
      </c>
      <c r="K104" s="478">
        <v>0</v>
      </c>
      <c r="L104" s="478">
        <v>0</v>
      </c>
      <c r="M104" s="478">
        <v>0</v>
      </c>
      <c r="N104" s="478">
        <v>0</v>
      </c>
      <c r="O104" s="58">
        <v>9824</v>
      </c>
      <c r="Q104" s="476" t="s">
        <v>4784</v>
      </c>
    </row>
    <row r="105" spans="1:17">
      <c r="A105" s="1000" t="s">
        <v>5429</v>
      </c>
      <c r="B105" s="135" t="s">
        <v>15123</v>
      </c>
      <c r="C105" s="135" t="s">
        <v>15173</v>
      </c>
      <c r="D105" s="478">
        <v>0</v>
      </c>
      <c r="E105" s="478">
        <v>0</v>
      </c>
      <c r="F105" s="478">
        <v>0</v>
      </c>
      <c r="G105" s="478">
        <v>0</v>
      </c>
      <c r="H105" s="478">
        <v>0</v>
      </c>
      <c r="I105" s="478">
        <v>0</v>
      </c>
      <c r="J105" s="478">
        <v>0</v>
      </c>
      <c r="K105" s="478">
        <v>0</v>
      </c>
      <c r="L105" s="478">
        <v>0</v>
      </c>
      <c r="M105" s="478">
        <v>0</v>
      </c>
      <c r="N105" s="478">
        <v>0</v>
      </c>
      <c r="O105" s="58">
        <v>8180</v>
      </c>
      <c r="Q105" s="476" t="s">
        <v>4783</v>
      </c>
    </row>
    <row r="106" spans="1:17">
      <c r="A106" s="1001" t="s">
        <v>5431</v>
      </c>
      <c r="B106" s="476" t="s">
        <v>15124</v>
      </c>
      <c r="C106" s="476" t="s">
        <v>15174</v>
      </c>
      <c r="D106" s="478">
        <v>0</v>
      </c>
      <c r="E106" s="478">
        <v>0</v>
      </c>
      <c r="F106" s="478">
        <v>0</v>
      </c>
      <c r="G106" s="478">
        <v>0</v>
      </c>
      <c r="H106" s="478">
        <v>0</v>
      </c>
      <c r="I106" s="478">
        <v>0</v>
      </c>
      <c r="J106" s="478">
        <v>0</v>
      </c>
      <c r="K106" s="478">
        <v>0</v>
      </c>
      <c r="L106" s="478">
        <v>0</v>
      </c>
      <c r="M106" s="478">
        <v>0</v>
      </c>
      <c r="N106" s="478">
        <v>0</v>
      </c>
      <c r="O106" s="58">
        <v>9013</v>
      </c>
      <c r="Q106" s="476" t="s">
        <v>4783</v>
      </c>
    </row>
    <row r="107" spans="1:17">
      <c r="A107" s="1001" t="s">
        <v>5433</v>
      </c>
      <c r="B107" s="476" t="s">
        <v>15125</v>
      </c>
      <c r="C107" s="476" t="s">
        <v>15175</v>
      </c>
      <c r="D107" s="478">
        <v>0</v>
      </c>
      <c r="E107" s="478">
        <v>0</v>
      </c>
      <c r="F107" s="478">
        <v>0</v>
      </c>
      <c r="G107" s="478">
        <v>0</v>
      </c>
      <c r="H107" s="478">
        <v>0</v>
      </c>
      <c r="I107" s="478">
        <v>0</v>
      </c>
      <c r="J107" s="478">
        <v>0</v>
      </c>
      <c r="K107" s="478">
        <v>0</v>
      </c>
      <c r="L107" s="478">
        <v>0</v>
      </c>
      <c r="M107" s="478">
        <v>0</v>
      </c>
      <c r="N107" s="478">
        <v>0</v>
      </c>
      <c r="O107" s="58">
        <v>4827</v>
      </c>
      <c r="Q107" s="476" t="s">
        <v>4783</v>
      </c>
    </row>
    <row r="108" spans="1:17" ht="15.75" thickBot="1">
      <c r="A108" s="1001"/>
      <c r="B108" s="476"/>
      <c r="C108" s="476" t="s">
        <v>15175</v>
      </c>
      <c r="D108" s="478">
        <v>0</v>
      </c>
      <c r="E108" s="478">
        <v>0</v>
      </c>
      <c r="F108" s="478">
        <v>0</v>
      </c>
      <c r="G108" s="478">
        <v>0</v>
      </c>
      <c r="H108" s="478">
        <v>0</v>
      </c>
      <c r="I108" s="478">
        <v>0</v>
      </c>
      <c r="J108" s="478">
        <v>0</v>
      </c>
      <c r="K108" s="478">
        <v>0</v>
      </c>
      <c r="L108" s="478">
        <v>0</v>
      </c>
      <c r="M108" s="478">
        <v>0</v>
      </c>
      <c r="N108" s="478">
        <v>0</v>
      </c>
      <c r="O108" s="58">
        <v>2655</v>
      </c>
      <c r="Q108" s="476" t="s">
        <v>4784</v>
      </c>
    </row>
    <row r="109" spans="1:17" ht="15.75" thickBot="1">
      <c r="A109" s="1001"/>
      <c r="B109" s="476"/>
      <c r="C109" s="476" t="s">
        <v>15175</v>
      </c>
      <c r="D109" s="485">
        <f>D107+D108</f>
        <v>0</v>
      </c>
      <c r="E109" s="485">
        <f t="shared" ref="E109:O109" si="30">E107+E108</f>
        <v>0</v>
      </c>
      <c r="F109" s="485">
        <f t="shared" si="30"/>
        <v>0</v>
      </c>
      <c r="G109" s="485">
        <f t="shared" si="30"/>
        <v>0</v>
      </c>
      <c r="H109" s="485">
        <f t="shared" si="30"/>
        <v>0</v>
      </c>
      <c r="I109" s="485">
        <f t="shared" si="30"/>
        <v>0</v>
      </c>
      <c r="J109" s="485">
        <f t="shared" si="30"/>
        <v>0</v>
      </c>
      <c r="K109" s="485">
        <f t="shared" si="30"/>
        <v>0</v>
      </c>
      <c r="L109" s="485">
        <f t="shared" si="30"/>
        <v>0</v>
      </c>
      <c r="M109" s="485">
        <f t="shared" si="30"/>
        <v>0</v>
      </c>
      <c r="N109" s="485">
        <f t="shared" si="30"/>
        <v>0</v>
      </c>
      <c r="O109" s="485">
        <f t="shared" si="30"/>
        <v>7482</v>
      </c>
    </row>
    <row r="110" spans="1:17">
      <c r="A110" s="1001" t="s">
        <v>5435</v>
      </c>
      <c r="B110" s="476" t="s">
        <v>15126</v>
      </c>
      <c r="C110" s="135" t="s">
        <v>15176</v>
      </c>
      <c r="D110" s="478">
        <v>0</v>
      </c>
      <c r="E110" s="478">
        <v>0</v>
      </c>
      <c r="F110" s="478">
        <v>0</v>
      </c>
      <c r="G110" s="478">
        <v>0</v>
      </c>
      <c r="H110" s="478">
        <v>0</v>
      </c>
      <c r="I110" s="478">
        <v>0</v>
      </c>
      <c r="J110" s="478">
        <v>0</v>
      </c>
      <c r="K110" s="478">
        <v>0</v>
      </c>
      <c r="L110" s="478">
        <v>0</v>
      </c>
      <c r="M110" s="478">
        <v>0</v>
      </c>
      <c r="N110" s="478">
        <v>0</v>
      </c>
      <c r="O110" s="58">
        <v>8664</v>
      </c>
      <c r="Q110" s="476" t="s">
        <v>4784</v>
      </c>
    </row>
    <row r="111" spans="1:17">
      <c r="A111" s="1001" t="s">
        <v>5436</v>
      </c>
      <c r="B111" s="476" t="s">
        <v>15127</v>
      </c>
      <c r="C111" s="135" t="s">
        <v>15177</v>
      </c>
      <c r="D111" s="478">
        <v>0</v>
      </c>
      <c r="E111" s="478">
        <v>0</v>
      </c>
      <c r="F111" s="478">
        <v>0</v>
      </c>
      <c r="G111" s="478">
        <v>0</v>
      </c>
      <c r="H111" s="478">
        <v>0</v>
      </c>
      <c r="I111" s="478">
        <v>0</v>
      </c>
      <c r="J111" s="478">
        <v>0</v>
      </c>
      <c r="K111" s="478">
        <v>0</v>
      </c>
      <c r="L111" s="478">
        <v>0</v>
      </c>
      <c r="M111" s="478">
        <v>0</v>
      </c>
      <c r="N111" s="478">
        <v>0</v>
      </c>
      <c r="O111" s="58">
        <v>10323</v>
      </c>
      <c r="Q111" s="476" t="s">
        <v>4784</v>
      </c>
    </row>
    <row r="112" spans="1:17">
      <c r="A112" s="1001" t="s">
        <v>5437</v>
      </c>
      <c r="B112" s="135" t="s">
        <v>1936</v>
      </c>
      <c r="C112" s="135" t="s">
        <v>15178</v>
      </c>
      <c r="D112" s="478">
        <v>0</v>
      </c>
      <c r="E112" s="478">
        <v>0</v>
      </c>
      <c r="F112" s="478">
        <v>0</v>
      </c>
      <c r="G112" s="478">
        <v>0</v>
      </c>
      <c r="H112" s="478">
        <v>0</v>
      </c>
      <c r="I112" s="478">
        <v>0</v>
      </c>
      <c r="J112" s="478">
        <v>0</v>
      </c>
      <c r="K112" s="478">
        <v>0</v>
      </c>
      <c r="L112" s="478">
        <v>0</v>
      </c>
      <c r="M112" s="478">
        <v>0</v>
      </c>
      <c r="N112" s="478">
        <v>0</v>
      </c>
      <c r="O112" s="58">
        <v>9547</v>
      </c>
      <c r="Q112" s="476" t="s">
        <v>4782</v>
      </c>
    </row>
    <row r="113" spans="1:17">
      <c r="A113" s="1000" t="s">
        <v>5439</v>
      </c>
      <c r="B113" s="135" t="s">
        <v>15128</v>
      </c>
      <c r="C113" s="135" t="s">
        <v>15179</v>
      </c>
      <c r="D113" s="478">
        <v>0</v>
      </c>
      <c r="E113" s="478">
        <v>0</v>
      </c>
      <c r="F113" s="478">
        <v>0</v>
      </c>
      <c r="G113" s="478">
        <v>0</v>
      </c>
      <c r="H113" s="478">
        <v>0</v>
      </c>
      <c r="I113" s="478">
        <v>0</v>
      </c>
      <c r="J113" s="478">
        <v>0</v>
      </c>
      <c r="K113" s="478">
        <v>0</v>
      </c>
      <c r="L113" s="478">
        <v>0</v>
      </c>
      <c r="M113" s="478">
        <v>0</v>
      </c>
      <c r="N113" s="478">
        <v>0</v>
      </c>
      <c r="O113" s="58">
        <v>9697</v>
      </c>
      <c r="P113" s="410"/>
      <c r="Q113" s="476" t="s">
        <v>4782</v>
      </c>
    </row>
    <row r="114" spans="1:17">
      <c r="A114" s="1000" t="s">
        <v>5441</v>
      </c>
      <c r="B114" s="135" t="s">
        <v>15129</v>
      </c>
      <c r="C114" s="135" t="s">
        <v>15180</v>
      </c>
      <c r="D114" s="478">
        <v>0</v>
      </c>
      <c r="E114" s="478">
        <v>0</v>
      </c>
      <c r="F114" s="478">
        <v>0</v>
      </c>
      <c r="G114" s="478">
        <v>0</v>
      </c>
      <c r="H114" s="478">
        <v>0</v>
      </c>
      <c r="I114" s="478">
        <v>0</v>
      </c>
      <c r="J114" s="478">
        <v>0</v>
      </c>
      <c r="K114" s="478">
        <v>0</v>
      </c>
      <c r="L114" s="478">
        <v>0</v>
      </c>
      <c r="M114" s="478">
        <v>0</v>
      </c>
      <c r="N114" s="478">
        <v>0</v>
      </c>
      <c r="O114" s="58">
        <v>8294</v>
      </c>
      <c r="Q114" s="476" t="s">
        <v>4782</v>
      </c>
    </row>
    <row r="115" spans="1:17">
      <c r="A115" s="1001" t="s">
        <v>5886</v>
      </c>
      <c r="B115" s="476" t="s">
        <v>1933</v>
      </c>
      <c r="C115" s="55" t="s">
        <v>15181</v>
      </c>
      <c r="D115" s="478">
        <v>0</v>
      </c>
      <c r="E115" s="478">
        <v>0</v>
      </c>
      <c r="F115" s="478">
        <v>0</v>
      </c>
      <c r="G115" s="478">
        <v>0</v>
      </c>
      <c r="H115" s="478">
        <v>0</v>
      </c>
      <c r="I115" s="478">
        <v>0</v>
      </c>
      <c r="J115" s="478">
        <v>0</v>
      </c>
      <c r="K115" s="478">
        <v>0</v>
      </c>
      <c r="L115" s="478">
        <v>0</v>
      </c>
      <c r="M115" s="478">
        <v>0</v>
      </c>
      <c r="N115" s="478">
        <v>0</v>
      </c>
      <c r="O115" s="58">
        <v>9015</v>
      </c>
      <c r="Q115" s="476" t="s">
        <v>6218</v>
      </c>
    </row>
    <row r="116" spans="1:17">
      <c r="A116" s="1001" t="s">
        <v>5888</v>
      </c>
      <c r="B116" s="476" t="s">
        <v>3330</v>
      </c>
      <c r="C116" s="55" t="s">
        <v>15182</v>
      </c>
      <c r="D116" s="478">
        <v>0</v>
      </c>
      <c r="E116" s="478">
        <v>0</v>
      </c>
      <c r="F116" s="478">
        <v>0</v>
      </c>
      <c r="G116" s="478">
        <v>0</v>
      </c>
      <c r="H116" s="478">
        <v>0</v>
      </c>
      <c r="I116" s="478">
        <v>0</v>
      </c>
      <c r="J116" s="478">
        <v>0</v>
      </c>
      <c r="K116" s="478">
        <v>0</v>
      </c>
      <c r="L116" s="478">
        <v>0</v>
      </c>
      <c r="M116" s="478">
        <v>0</v>
      </c>
      <c r="N116" s="478">
        <v>0</v>
      </c>
      <c r="O116" s="58">
        <v>9285</v>
      </c>
      <c r="Q116" s="476" t="s">
        <v>4784</v>
      </c>
    </row>
    <row r="117" spans="1:17">
      <c r="A117" s="1001" t="s">
        <v>5889</v>
      </c>
      <c r="B117" s="476" t="s">
        <v>1934</v>
      </c>
      <c r="C117" s="3" t="s">
        <v>15183</v>
      </c>
      <c r="D117" s="478">
        <v>0</v>
      </c>
      <c r="E117" s="478">
        <v>0</v>
      </c>
      <c r="F117" s="478">
        <v>0</v>
      </c>
      <c r="G117" s="478">
        <v>0</v>
      </c>
      <c r="H117" s="478">
        <v>0</v>
      </c>
      <c r="I117" s="478">
        <v>0</v>
      </c>
      <c r="J117" s="478">
        <v>0</v>
      </c>
      <c r="K117" s="478">
        <v>0</v>
      </c>
      <c r="L117" s="478">
        <v>0</v>
      </c>
      <c r="M117" s="478">
        <v>0</v>
      </c>
      <c r="N117" s="478">
        <v>0</v>
      </c>
      <c r="O117" s="58">
        <v>10392</v>
      </c>
      <c r="Q117" s="476" t="s">
        <v>6218</v>
      </c>
    </row>
    <row r="118" spans="1:17">
      <c r="A118" s="1001" t="s">
        <v>4431</v>
      </c>
      <c r="B118" s="476" t="s">
        <v>1937</v>
      </c>
      <c r="C118" s="3" t="s">
        <v>15184</v>
      </c>
      <c r="D118" s="478">
        <v>0</v>
      </c>
      <c r="E118" s="478">
        <v>0</v>
      </c>
      <c r="F118" s="478">
        <v>0</v>
      </c>
      <c r="G118" s="478">
        <v>0</v>
      </c>
      <c r="H118" s="478">
        <v>0</v>
      </c>
      <c r="I118" s="478">
        <v>0</v>
      </c>
      <c r="J118" s="478">
        <v>0</v>
      </c>
      <c r="K118" s="478">
        <v>0</v>
      </c>
      <c r="L118" s="478">
        <v>0</v>
      </c>
      <c r="M118" s="478">
        <v>0</v>
      </c>
      <c r="N118" s="478">
        <v>0</v>
      </c>
      <c r="O118" s="58">
        <v>8736</v>
      </c>
      <c r="Q118" s="476" t="s">
        <v>4784</v>
      </c>
    </row>
    <row r="119" spans="1:17">
      <c r="A119" s="1001" t="s">
        <v>4432</v>
      </c>
      <c r="B119" s="476" t="s">
        <v>15130</v>
      </c>
      <c r="C119" s="3" t="s">
        <v>15185</v>
      </c>
      <c r="D119" s="478">
        <v>0</v>
      </c>
      <c r="E119" s="478">
        <v>0</v>
      </c>
      <c r="F119" s="478">
        <v>0</v>
      </c>
      <c r="G119" s="478">
        <v>0</v>
      </c>
      <c r="H119" s="478">
        <v>0</v>
      </c>
      <c r="I119" s="478">
        <v>0</v>
      </c>
      <c r="J119" s="478">
        <v>0</v>
      </c>
      <c r="K119" s="478">
        <v>0</v>
      </c>
      <c r="L119" s="478">
        <v>0</v>
      </c>
      <c r="M119" s="478">
        <v>0</v>
      </c>
      <c r="N119" s="478">
        <v>0</v>
      </c>
      <c r="O119" s="58">
        <v>9564</v>
      </c>
      <c r="Q119" s="476" t="s">
        <v>4783</v>
      </c>
    </row>
    <row r="120" spans="1:17" ht="15.75" thickBot="1">
      <c r="A120" s="1001"/>
      <c r="B120" s="476"/>
      <c r="C120" s="3" t="s">
        <v>15185</v>
      </c>
      <c r="D120" s="478">
        <v>0</v>
      </c>
      <c r="E120" s="478">
        <v>0</v>
      </c>
      <c r="F120" s="478">
        <v>0</v>
      </c>
      <c r="G120" s="478">
        <v>0</v>
      </c>
      <c r="H120" s="478">
        <v>0</v>
      </c>
      <c r="I120" s="478">
        <v>0</v>
      </c>
      <c r="J120" s="478">
        <v>0</v>
      </c>
      <c r="K120" s="478">
        <v>0</v>
      </c>
      <c r="L120" s="478">
        <v>0</v>
      </c>
      <c r="M120" s="478">
        <v>0</v>
      </c>
      <c r="N120" s="478">
        <v>0</v>
      </c>
      <c r="O120" s="58">
        <v>0</v>
      </c>
      <c r="Q120" s="476" t="s">
        <v>4784</v>
      </c>
    </row>
    <row r="121" spans="1:17" ht="15.75" thickBot="1">
      <c r="A121" s="1001"/>
      <c r="B121" s="476"/>
      <c r="C121" s="3" t="s">
        <v>15185</v>
      </c>
      <c r="D121" s="485">
        <f>D119+D120</f>
        <v>0</v>
      </c>
      <c r="E121" s="485">
        <f t="shared" ref="E121:O121" si="31">E119+E120</f>
        <v>0</v>
      </c>
      <c r="F121" s="485">
        <f t="shared" si="31"/>
        <v>0</v>
      </c>
      <c r="G121" s="485">
        <f t="shared" si="31"/>
        <v>0</v>
      </c>
      <c r="H121" s="485">
        <f t="shared" si="31"/>
        <v>0</v>
      </c>
      <c r="I121" s="485">
        <f t="shared" si="31"/>
        <v>0</v>
      </c>
      <c r="J121" s="485">
        <f t="shared" si="31"/>
        <v>0</v>
      </c>
      <c r="K121" s="485">
        <f t="shared" si="31"/>
        <v>0</v>
      </c>
      <c r="L121" s="485">
        <f t="shared" si="31"/>
        <v>0</v>
      </c>
      <c r="M121" s="485">
        <f t="shared" si="31"/>
        <v>0</v>
      </c>
      <c r="N121" s="485">
        <f t="shared" si="31"/>
        <v>0</v>
      </c>
      <c r="O121" s="485">
        <f t="shared" si="31"/>
        <v>9564</v>
      </c>
      <c r="Q121" s="476"/>
    </row>
    <row r="122" spans="1:17">
      <c r="A122" s="1001" t="s">
        <v>4434</v>
      </c>
      <c r="B122" s="476" t="s">
        <v>15131</v>
      </c>
      <c r="C122" s="3" t="s">
        <v>15186</v>
      </c>
      <c r="D122" s="478">
        <v>0</v>
      </c>
      <c r="E122" s="478">
        <v>0</v>
      </c>
      <c r="F122" s="478">
        <v>0</v>
      </c>
      <c r="G122" s="478">
        <v>0</v>
      </c>
      <c r="H122" s="478">
        <v>0</v>
      </c>
      <c r="I122" s="478">
        <v>0</v>
      </c>
      <c r="J122" s="478">
        <v>0</v>
      </c>
      <c r="K122" s="478">
        <v>0</v>
      </c>
      <c r="L122" s="478">
        <v>0</v>
      </c>
      <c r="M122" s="478">
        <v>0</v>
      </c>
      <c r="N122" s="478">
        <v>0</v>
      </c>
      <c r="O122" s="58">
        <v>5278</v>
      </c>
      <c r="Q122" s="476" t="s">
        <v>4782</v>
      </c>
    </row>
    <row r="123" spans="1:17" ht="15.75" thickBot="1">
      <c r="A123" s="1001"/>
      <c r="B123" s="476"/>
      <c r="C123" s="3" t="s">
        <v>15186</v>
      </c>
      <c r="D123" s="478">
        <v>0</v>
      </c>
      <c r="E123" s="478">
        <v>0</v>
      </c>
      <c r="F123" s="478">
        <v>0</v>
      </c>
      <c r="G123" s="478">
        <v>0</v>
      </c>
      <c r="H123" s="478">
        <v>0</v>
      </c>
      <c r="I123" s="478">
        <v>0</v>
      </c>
      <c r="J123" s="478">
        <v>0</v>
      </c>
      <c r="K123" s="478">
        <v>0</v>
      </c>
      <c r="L123" s="478">
        <v>0</v>
      </c>
      <c r="M123" s="478">
        <v>0</v>
      </c>
      <c r="N123" s="478">
        <v>0</v>
      </c>
      <c r="O123" s="58">
        <v>2110</v>
      </c>
      <c r="Q123" s="476" t="s">
        <v>4783</v>
      </c>
    </row>
    <row r="124" spans="1:17" ht="15.75" thickBot="1">
      <c r="A124" s="1001"/>
      <c r="B124" s="476"/>
      <c r="C124" s="3" t="s">
        <v>15186</v>
      </c>
      <c r="D124" s="485">
        <f>D122+D123</f>
        <v>0</v>
      </c>
      <c r="E124" s="485">
        <f t="shared" ref="E124:O124" si="32">E122+E123</f>
        <v>0</v>
      </c>
      <c r="F124" s="485">
        <f t="shared" si="32"/>
        <v>0</v>
      </c>
      <c r="G124" s="485">
        <f t="shared" si="32"/>
        <v>0</v>
      </c>
      <c r="H124" s="485">
        <f t="shared" si="32"/>
        <v>0</v>
      </c>
      <c r="I124" s="485">
        <f t="shared" si="32"/>
        <v>0</v>
      </c>
      <c r="J124" s="485">
        <f t="shared" si="32"/>
        <v>0</v>
      </c>
      <c r="K124" s="485">
        <f t="shared" si="32"/>
        <v>0</v>
      </c>
      <c r="L124" s="485">
        <f t="shared" si="32"/>
        <v>0</v>
      </c>
      <c r="M124" s="485">
        <f t="shared" si="32"/>
        <v>0</v>
      </c>
      <c r="N124" s="485">
        <f t="shared" si="32"/>
        <v>0</v>
      </c>
      <c r="O124" s="485">
        <f t="shared" si="32"/>
        <v>7388</v>
      </c>
      <c r="Q124" s="476"/>
    </row>
    <row r="125" spans="1:17">
      <c r="A125" s="1001" t="s">
        <v>4533</v>
      </c>
      <c r="B125" s="135" t="s">
        <v>3331</v>
      </c>
      <c r="C125" s="55" t="s">
        <v>15187</v>
      </c>
      <c r="D125" s="478">
        <v>0</v>
      </c>
      <c r="E125" s="478">
        <v>0</v>
      </c>
      <c r="F125" s="478">
        <v>0</v>
      </c>
      <c r="G125" s="478">
        <v>0</v>
      </c>
      <c r="H125" s="478">
        <v>0</v>
      </c>
      <c r="I125" s="478">
        <v>0</v>
      </c>
      <c r="J125" s="478">
        <v>0</v>
      </c>
      <c r="K125" s="478">
        <v>0</v>
      </c>
      <c r="L125" s="478">
        <v>0</v>
      </c>
      <c r="M125" s="478">
        <v>0</v>
      </c>
      <c r="N125" s="478">
        <v>0</v>
      </c>
      <c r="O125" s="58">
        <v>10266</v>
      </c>
      <c r="Q125" s="476" t="s">
        <v>4784</v>
      </c>
    </row>
    <row r="126" spans="1:17">
      <c r="A126" s="1001" t="s">
        <v>4535</v>
      </c>
      <c r="B126" s="476" t="s">
        <v>15132</v>
      </c>
      <c r="C126" s="55" t="s">
        <v>15188</v>
      </c>
      <c r="D126" s="478">
        <v>0</v>
      </c>
      <c r="E126" s="478">
        <v>0</v>
      </c>
      <c r="F126" s="478">
        <v>0</v>
      </c>
      <c r="G126" s="478">
        <v>0</v>
      </c>
      <c r="H126" s="478">
        <v>0</v>
      </c>
      <c r="I126" s="478">
        <v>0</v>
      </c>
      <c r="J126" s="478">
        <v>0</v>
      </c>
      <c r="K126" s="478">
        <v>0</v>
      </c>
      <c r="L126" s="478">
        <v>0</v>
      </c>
      <c r="M126" s="478">
        <v>0</v>
      </c>
      <c r="N126" s="478">
        <v>0</v>
      </c>
      <c r="O126" s="58">
        <v>4499</v>
      </c>
      <c r="Q126" s="476" t="s">
        <v>4783</v>
      </c>
    </row>
    <row r="127" spans="1:17" ht="15.75" thickBot="1">
      <c r="A127" s="1001"/>
      <c r="B127" s="476"/>
      <c r="C127" s="55" t="s">
        <v>15188</v>
      </c>
      <c r="D127" s="478">
        <v>0</v>
      </c>
      <c r="E127" s="478">
        <v>0</v>
      </c>
      <c r="F127" s="478">
        <v>0</v>
      </c>
      <c r="G127" s="478">
        <v>0</v>
      </c>
      <c r="H127" s="478">
        <v>0</v>
      </c>
      <c r="I127" s="478">
        <v>0</v>
      </c>
      <c r="J127" s="478">
        <v>0</v>
      </c>
      <c r="K127" s="478">
        <v>0</v>
      </c>
      <c r="L127" s="478">
        <v>0</v>
      </c>
      <c r="M127" s="478">
        <v>0</v>
      </c>
      <c r="N127" s="478">
        <v>0</v>
      </c>
      <c r="O127" s="58">
        <v>5540</v>
      </c>
      <c r="Q127" s="476" t="s">
        <v>4784</v>
      </c>
    </row>
    <row r="128" spans="1:17" ht="15.75" thickBot="1">
      <c r="A128" s="1001"/>
      <c r="B128" s="476"/>
      <c r="C128" s="55" t="s">
        <v>15188</v>
      </c>
      <c r="D128" s="485">
        <f>D126+D127</f>
        <v>0</v>
      </c>
      <c r="E128" s="485">
        <f t="shared" ref="E128:O128" si="33">E126+E127</f>
        <v>0</v>
      </c>
      <c r="F128" s="485">
        <f t="shared" si="33"/>
        <v>0</v>
      </c>
      <c r="G128" s="485">
        <f t="shared" si="33"/>
        <v>0</v>
      </c>
      <c r="H128" s="485">
        <f t="shared" si="33"/>
        <v>0</v>
      </c>
      <c r="I128" s="485">
        <f t="shared" si="33"/>
        <v>0</v>
      </c>
      <c r="J128" s="485">
        <f t="shared" si="33"/>
        <v>0</v>
      </c>
      <c r="K128" s="485">
        <f t="shared" si="33"/>
        <v>0</v>
      </c>
      <c r="L128" s="485">
        <f t="shared" si="33"/>
        <v>0</v>
      </c>
      <c r="M128" s="485">
        <f t="shared" si="33"/>
        <v>0</v>
      </c>
      <c r="N128" s="485">
        <f t="shared" si="33"/>
        <v>0</v>
      </c>
      <c r="O128" s="485">
        <f t="shared" si="33"/>
        <v>10039</v>
      </c>
      <c r="Q128" s="476"/>
    </row>
    <row r="129" spans="1:17">
      <c r="A129" s="1001" t="s">
        <v>4537</v>
      </c>
      <c r="B129" s="476" t="s">
        <v>9087</v>
      </c>
      <c r="C129" s="55" t="s">
        <v>15189</v>
      </c>
      <c r="D129" s="478">
        <v>0</v>
      </c>
      <c r="E129" s="478">
        <v>0</v>
      </c>
      <c r="F129" s="478">
        <v>0</v>
      </c>
      <c r="G129" s="478">
        <v>0</v>
      </c>
      <c r="H129" s="478">
        <v>0</v>
      </c>
      <c r="I129" s="478">
        <v>0</v>
      </c>
      <c r="J129" s="478">
        <v>0</v>
      </c>
      <c r="K129" s="478">
        <v>0</v>
      </c>
      <c r="L129" s="478">
        <v>0</v>
      </c>
      <c r="M129" s="478">
        <v>0</v>
      </c>
      <c r="N129" s="478">
        <v>0</v>
      </c>
      <c r="O129" s="58">
        <v>8323</v>
      </c>
      <c r="Q129" s="476" t="s">
        <v>4782</v>
      </c>
    </row>
    <row r="130" spans="1:17" ht="15.75" thickBot="1">
      <c r="A130" s="1001"/>
      <c r="B130" s="476"/>
      <c r="C130" s="55" t="s">
        <v>15189</v>
      </c>
      <c r="D130" s="478">
        <v>0</v>
      </c>
      <c r="E130" s="478">
        <v>0</v>
      </c>
      <c r="F130" s="478">
        <v>0</v>
      </c>
      <c r="G130" s="478">
        <v>0</v>
      </c>
      <c r="H130" s="478">
        <v>0</v>
      </c>
      <c r="I130" s="478">
        <v>0</v>
      </c>
      <c r="J130" s="478">
        <v>0</v>
      </c>
      <c r="K130" s="478">
        <v>0</v>
      </c>
      <c r="L130" s="478">
        <v>0</v>
      </c>
      <c r="M130" s="478">
        <v>0</v>
      </c>
      <c r="N130" s="478">
        <v>0</v>
      </c>
      <c r="O130" s="58">
        <v>0</v>
      </c>
      <c r="Q130" s="476" t="s">
        <v>4783</v>
      </c>
    </row>
    <row r="131" spans="1:17" ht="15.75" thickBot="1">
      <c r="A131" s="1001"/>
      <c r="B131" s="476"/>
      <c r="C131" s="55" t="s">
        <v>15189</v>
      </c>
      <c r="D131" s="485">
        <f>D129+D130</f>
        <v>0</v>
      </c>
      <c r="E131" s="485">
        <f t="shared" ref="E131:O131" si="34">E129+E130</f>
        <v>0</v>
      </c>
      <c r="F131" s="485">
        <f t="shared" si="34"/>
        <v>0</v>
      </c>
      <c r="G131" s="485">
        <f t="shared" si="34"/>
        <v>0</v>
      </c>
      <c r="H131" s="485">
        <f t="shared" si="34"/>
        <v>0</v>
      </c>
      <c r="I131" s="485">
        <f t="shared" si="34"/>
        <v>0</v>
      </c>
      <c r="J131" s="485">
        <f t="shared" si="34"/>
        <v>0</v>
      </c>
      <c r="K131" s="485">
        <f t="shared" si="34"/>
        <v>0</v>
      </c>
      <c r="L131" s="485">
        <f t="shared" si="34"/>
        <v>0</v>
      </c>
      <c r="M131" s="485">
        <f t="shared" si="34"/>
        <v>0</v>
      </c>
      <c r="N131" s="485">
        <f t="shared" si="34"/>
        <v>0</v>
      </c>
      <c r="O131" s="485">
        <f t="shared" si="34"/>
        <v>8323</v>
      </c>
      <c r="Q131" s="476"/>
    </row>
    <row r="132" spans="1:17">
      <c r="A132" s="1001" t="s">
        <v>4539</v>
      </c>
      <c r="B132" s="476" t="s">
        <v>15133</v>
      </c>
      <c r="C132" s="55" t="s">
        <v>15190</v>
      </c>
      <c r="D132" s="478">
        <v>0</v>
      </c>
      <c r="E132" s="478">
        <v>0</v>
      </c>
      <c r="F132" s="478">
        <v>0</v>
      </c>
      <c r="G132" s="478">
        <v>0</v>
      </c>
      <c r="H132" s="478">
        <v>0</v>
      </c>
      <c r="I132" s="478">
        <v>0</v>
      </c>
      <c r="J132" s="478">
        <v>0</v>
      </c>
      <c r="K132" s="478">
        <v>0</v>
      </c>
      <c r="L132" s="478">
        <v>0</v>
      </c>
      <c r="M132" s="478">
        <v>0</v>
      </c>
      <c r="N132" s="478">
        <v>0</v>
      </c>
      <c r="O132" s="58">
        <v>11460</v>
      </c>
      <c r="Q132" s="476" t="s">
        <v>4784</v>
      </c>
    </row>
    <row r="133" spans="1:17">
      <c r="A133" s="1001" t="s">
        <v>6158</v>
      </c>
      <c r="B133" s="135" t="s">
        <v>15134</v>
      </c>
      <c r="C133" s="55" t="s">
        <v>15191</v>
      </c>
      <c r="D133" s="478">
        <v>0</v>
      </c>
      <c r="E133" s="478">
        <v>0</v>
      </c>
      <c r="F133" s="478">
        <v>0</v>
      </c>
      <c r="G133" s="478">
        <v>0</v>
      </c>
      <c r="H133" s="478">
        <v>0</v>
      </c>
      <c r="I133" s="478">
        <v>0</v>
      </c>
      <c r="J133" s="478">
        <v>0</v>
      </c>
      <c r="K133" s="478">
        <v>0</v>
      </c>
      <c r="L133" s="478">
        <v>0</v>
      </c>
      <c r="M133" s="478">
        <v>0</v>
      </c>
      <c r="N133" s="478">
        <v>0</v>
      </c>
      <c r="O133" s="58">
        <v>9173</v>
      </c>
      <c r="Q133" s="476" t="s">
        <v>6218</v>
      </c>
    </row>
    <row r="134" spans="1:17">
      <c r="A134" s="1001"/>
    </row>
    <row r="135" spans="1:17">
      <c r="A135" s="476" t="s">
        <v>625</v>
      </c>
      <c r="D135" s="478">
        <f t="shared" ref="D135:N135" si="35">SUM(D93:D95,D102:D103,D115,D117,D133)</f>
        <v>66012</v>
      </c>
      <c r="E135" s="478">
        <f t="shared" si="35"/>
        <v>66368</v>
      </c>
      <c r="F135" s="478">
        <f t="shared" si="35"/>
        <v>67187</v>
      </c>
      <c r="G135" s="478">
        <f t="shared" si="35"/>
        <v>67742</v>
      </c>
      <c r="H135" s="478">
        <f t="shared" si="35"/>
        <v>66754</v>
      </c>
      <c r="I135" s="478">
        <f t="shared" si="35"/>
        <v>66421</v>
      </c>
      <c r="J135" s="478">
        <f t="shared" si="35"/>
        <v>65866</v>
      </c>
      <c r="K135" s="478">
        <f t="shared" si="35"/>
        <v>68241</v>
      </c>
      <c r="L135" s="478">
        <f t="shared" si="35"/>
        <v>68666</v>
      </c>
      <c r="M135" s="478">
        <f t="shared" si="35"/>
        <v>69237</v>
      </c>
      <c r="N135" s="478">
        <f t="shared" si="35"/>
        <v>71578</v>
      </c>
      <c r="O135" s="478">
        <f>SUM(O93:O95,O102:O103,O115,O117,O133)</f>
        <v>71530</v>
      </c>
    </row>
    <row r="136" spans="1:17">
      <c r="A136" s="476" t="s">
        <v>4782</v>
      </c>
      <c r="D136" s="478">
        <f t="shared" ref="D136:N136" si="36">SUM(D85,D88,D91,D99,D112:D114,D122,D129)</f>
        <v>61749</v>
      </c>
      <c r="E136" s="478">
        <f t="shared" si="36"/>
        <v>62095</v>
      </c>
      <c r="F136" s="478">
        <f t="shared" si="36"/>
        <v>61808</v>
      </c>
      <c r="G136" s="478">
        <f t="shared" si="36"/>
        <v>62032</v>
      </c>
      <c r="H136" s="478">
        <f t="shared" si="36"/>
        <v>58295</v>
      </c>
      <c r="I136" s="478">
        <f t="shared" si="36"/>
        <v>57749</v>
      </c>
      <c r="J136" s="478">
        <f t="shared" si="36"/>
        <v>56005</v>
      </c>
      <c r="K136" s="478">
        <f t="shared" si="36"/>
        <v>57463</v>
      </c>
      <c r="L136" s="478">
        <f t="shared" si="36"/>
        <v>58324</v>
      </c>
      <c r="M136" s="478">
        <f t="shared" si="36"/>
        <v>58398</v>
      </c>
      <c r="N136" s="478">
        <f t="shared" si="36"/>
        <v>59188</v>
      </c>
      <c r="O136" s="478">
        <f>SUM(O85,O88,O91,O99,O112:O114,O122,O129)</f>
        <v>59114</v>
      </c>
    </row>
    <row r="137" spans="1:17">
      <c r="A137" s="476" t="s">
        <v>4783</v>
      </c>
      <c r="D137" s="478">
        <f t="shared" ref="D137:N137" si="37">SUM(D86,D89,D98,D100,D105:D107,D119,D123,D126,D130)</f>
        <v>62852</v>
      </c>
      <c r="E137" s="478">
        <f t="shared" si="37"/>
        <v>63748</v>
      </c>
      <c r="F137" s="478">
        <f t="shared" si="37"/>
        <v>63638</v>
      </c>
      <c r="G137" s="478">
        <f t="shared" si="37"/>
        <v>63935</v>
      </c>
      <c r="H137" s="478">
        <f t="shared" si="37"/>
        <v>57476</v>
      </c>
      <c r="I137" s="478">
        <f t="shared" si="37"/>
        <v>59411</v>
      </c>
      <c r="J137" s="478">
        <f t="shared" si="37"/>
        <v>58416</v>
      </c>
      <c r="K137" s="478">
        <f t="shared" si="37"/>
        <v>60204</v>
      </c>
      <c r="L137" s="478">
        <f t="shared" si="37"/>
        <v>60993</v>
      </c>
      <c r="M137" s="478">
        <f t="shared" si="37"/>
        <v>60927</v>
      </c>
      <c r="N137" s="478">
        <f t="shared" si="37"/>
        <v>62553</v>
      </c>
      <c r="O137" s="478">
        <f>SUM(O86,O89,O98,O100,O105:O107,O119,O123,O126,O130)</f>
        <v>62516</v>
      </c>
    </row>
    <row r="138" spans="1:17">
      <c r="A138" s="476" t="s">
        <v>4784</v>
      </c>
      <c r="D138" s="478">
        <f t="shared" ref="D138:N138" si="38">SUM(D92,D96,D104,D108,D110:D111,D116,D118,D120,D125,D127,D132)</f>
        <v>82052</v>
      </c>
      <c r="E138" s="478">
        <f t="shared" si="38"/>
        <v>82956</v>
      </c>
      <c r="F138" s="478">
        <f t="shared" si="38"/>
        <v>84028</v>
      </c>
      <c r="G138" s="478">
        <f t="shared" si="38"/>
        <v>85036</v>
      </c>
      <c r="H138" s="478">
        <f t="shared" si="38"/>
        <v>84178</v>
      </c>
      <c r="I138" s="478">
        <f t="shared" si="38"/>
        <v>81801</v>
      </c>
      <c r="J138" s="478">
        <f t="shared" si="38"/>
        <v>84427</v>
      </c>
      <c r="K138" s="478">
        <f t="shared" si="38"/>
        <v>88813</v>
      </c>
      <c r="L138" s="478">
        <f t="shared" si="38"/>
        <v>87516</v>
      </c>
      <c r="M138" s="478">
        <f t="shared" si="38"/>
        <v>88039</v>
      </c>
      <c r="N138" s="478">
        <f t="shared" si="38"/>
        <v>90039</v>
      </c>
      <c r="O138" s="478">
        <f>SUM(O92,O96,O104,O108,O110:O111,O116,O118,O120,O125,O127,O132)</f>
        <v>91358</v>
      </c>
    </row>
    <row r="140" spans="1:17">
      <c r="A140" s="1001" t="s">
        <v>15195</v>
      </c>
    </row>
    <row r="142" spans="1:17">
      <c r="A142" s="1008" t="s">
        <v>16023</v>
      </c>
    </row>
    <row r="143" spans="1:17">
      <c r="A143" s="167" t="s">
        <v>16099</v>
      </c>
    </row>
  </sheetData>
  <phoneticPr fontId="6" type="noConversion"/>
  <printOptions gridLinesSet="0"/>
  <pageMargins left="0.78740157480314965" right="0" top="0.51181102362204722" bottom="0.51181102362204722" header="0.51181102362204722" footer="0.51181102362204722"/>
  <pageSetup paperSize="9" scale="65" orientation="portrait" horizontalDpi="300" verticalDpi="300" r:id="rId1"/>
  <headerFooter alignWithMargins="0">
    <oddFooter>&amp;C&amp;"Times New Roman,Regular"&amp;8&amp;P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dimension ref="A1:Q154"/>
  <sheetViews>
    <sheetView showGridLines="0" zoomScale="90" zoomScaleNormal="90" workbookViewId="0">
      <selection activeCell="A38" sqref="A38:XFD40"/>
    </sheetView>
  </sheetViews>
  <sheetFormatPr defaultColWidth="12.5703125" defaultRowHeight="15"/>
  <cols>
    <col min="1" max="1" width="4.85546875" style="134" customWidth="1"/>
    <col min="2" max="2" width="45.5703125" style="134" customWidth="1"/>
    <col min="3" max="3" width="11.5703125" style="134" customWidth="1"/>
    <col min="4" max="15" width="10" style="134" customWidth="1"/>
    <col min="16" max="16" width="2.28515625" style="134" customWidth="1"/>
    <col min="17" max="17" width="23.28515625" style="134" customWidth="1"/>
    <col min="18" max="16384" width="12.5703125" style="134"/>
  </cols>
  <sheetData>
    <row r="1" spans="1:17">
      <c r="A1" s="466" t="s">
        <v>6924</v>
      </c>
      <c r="D1" s="467">
        <v>2010</v>
      </c>
      <c r="E1" s="467">
        <v>2011</v>
      </c>
      <c r="F1" s="467">
        <v>2012</v>
      </c>
      <c r="G1" s="467">
        <v>2013</v>
      </c>
      <c r="H1" s="467">
        <v>2014</v>
      </c>
      <c r="I1" s="467">
        <v>2015</v>
      </c>
      <c r="J1" s="467">
        <v>2016</v>
      </c>
      <c r="K1" s="467">
        <v>2017</v>
      </c>
      <c r="L1" s="467">
        <v>2018</v>
      </c>
      <c r="M1" s="467">
        <v>2019</v>
      </c>
      <c r="N1" s="467">
        <v>2020</v>
      </c>
      <c r="O1" s="951" t="s">
        <v>14823</v>
      </c>
    </row>
    <row r="3" spans="1:17">
      <c r="A3" s="466" t="s">
        <v>1029</v>
      </c>
      <c r="D3" s="468">
        <f t="shared" ref="D3:I3" si="0">SUM(D29:D68)+SUM(D70:D79)+SUM(D81:D84)+SUM(D86:D96)+SUM(D97:D100)</f>
        <v>245114</v>
      </c>
      <c r="E3" s="468">
        <f t="shared" si="0"/>
        <v>241852</v>
      </c>
      <c r="F3" s="468">
        <f t="shared" si="0"/>
        <v>245348</v>
      </c>
      <c r="G3" s="468">
        <f t="shared" si="0"/>
        <v>248229</v>
      </c>
      <c r="H3" s="468">
        <f t="shared" si="0"/>
        <v>244701</v>
      </c>
      <c r="I3" s="468">
        <f t="shared" si="0"/>
        <v>244610</v>
      </c>
      <c r="J3" s="468">
        <f t="shared" ref="J3:O3" si="1">SUM(J29:J68)+SUM(J70:J79)+SUM(J81:J84)+SUM(J86:J96)+SUM(J97:J100)</f>
        <v>232448</v>
      </c>
      <c r="K3" s="468">
        <f t="shared" si="1"/>
        <v>235363</v>
      </c>
      <c r="L3" s="468">
        <f t="shared" si="1"/>
        <v>241298</v>
      </c>
      <c r="M3" s="468">
        <f t="shared" si="1"/>
        <v>239893</v>
      </c>
      <c r="N3" s="468">
        <f t="shared" si="1"/>
        <v>245392</v>
      </c>
      <c r="O3" s="468">
        <f t="shared" si="1"/>
        <v>249414</v>
      </c>
    </row>
    <row r="4" spans="1:17">
      <c r="D4" s="469"/>
      <c r="E4" s="469"/>
      <c r="F4" s="469"/>
      <c r="G4" s="469"/>
      <c r="H4" s="469"/>
      <c r="I4" s="469"/>
      <c r="J4" s="469"/>
      <c r="K4" s="469"/>
      <c r="L4" s="469"/>
      <c r="M4" s="469"/>
      <c r="N4" s="469"/>
      <c r="O4" s="469"/>
    </row>
    <row r="5" spans="1:17">
      <c r="A5" s="466" t="s">
        <v>1052</v>
      </c>
      <c r="D5" s="468">
        <f t="shared" ref="D5:I5" si="2">D3/3</f>
        <v>81704.666666666672</v>
      </c>
      <c r="E5" s="468">
        <f t="shared" si="2"/>
        <v>80617.333333333328</v>
      </c>
      <c r="F5" s="468">
        <f t="shared" si="2"/>
        <v>81782.666666666672</v>
      </c>
      <c r="G5" s="468">
        <f t="shared" si="2"/>
        <v>82743</v>
      </c>
      <c r="H5" s="468">
        <f t="shared" si="2"/>
        <v>81567</v>
      </c>
      <c r="I5" s="468">
        <f t="shared" si="2"/>
        <v>81536.666666666672</v>
      </c>
      <c r="J5" s="468">
        <f t="shared" ref="J5:O5" si="3">J3/3</f>
        <v>77482.666666666672</v>
      </c>
      <c r="K5" s="468">
        <f t="shared" si="3"/>
        <v>78454.333333333328</v>
      </c>
      <c r="L5" s="468">
        <f t="shared" si="3"/>
        <v>80432.666666666672</v>
      </c>
      <c r="M5" s="468">
        <f t="shared" si="3"/>
        <v>79964.333333333328</v>
      </c>
      <c r="N5" s="468">
        <f t="shared" si="3"/>
        <v>81797.333333333328</v>
      </c>
      <c r="O5" s="468">
        <f t="shared" si="3"/>
        <v>83138</v>
      </c>
    </row>
    <row r="6" spans="1:17">
      <c r="D6" s="469"/>
      <c r="E6" s="469"/>
      <c r="F6" s="469"/>
      <c r="G6" s="469"/>
      <c r="H6" s="469"/>
      <c r="I6" s="469"/>
      <c r="J6" s="469"/>
      <c r="K6" s="469"/>
      <c r="L6" s="469"/>
      <c r="M6" s="469"/>
      <c r="N6" s="469"/>
      <c r="O6" s="469"/>
    </row>
    <row r="7" spans="1:17">
      <c r="A7" s="466" t="s">
        <v>1030</v>
      </c>
      <c r="D7" s="468">
        <f t="shared" ref="D7:I7" si="4">D102</f>
        <v>57112</v>
      </c>
      <c r="E7" s="468">
        <f t="shared" si="4"/>
        <v>55785</v>
      </c>
      <c r="F7" s="468">
        <f t="shared" si="4"/>
        <v>57712</v>
      </c>
      <c r="G7" s="468">
        <f t="shared" si="4"/>
        <v>58392</v>
      </c>
      <c r="H7" s="468">
        <f t="shared" si="4"/>
        <v>57262</v>
      </c>
      <c r="I7" s="468">
        <f t="shared" si="4"/>
        <v>57640</v>
      </c>
      <c r="J7" s="468">
        <f t="shared" ref="J7:O7" si="5">J102</f>
        <v>55548</v>
      </c>
      <c r="K7" s="468">
        <f t="shared" si="5"/>
        <v>56234</v>
      </c>
      <c r="L7" s="468">
        <f t="shared" si="5"/>
        <v>57860</v>
      </c>
      <c r="M7" s="468">
        <f t="shared" si="5"/>
        <v>57544</v>
      </c>
      <c r="N7" s="468">
        <f t="shared" si="5"/>
        <v>58962</v>
      </c>
      <c r="O7" s="468">
        <f t="shared" si="5"/>
        <v>59968</v>
      </c>
      <c r="Q7" s="466" t="s">
        <v>1031</v>
      </c>
    </row>
    <row r="8" spans="1:17">
      <c r="D8" s="469"/>
      <c r="E8" s="469"/>
      <c r="F8" s="469"/>
      <c r="G8" s="469"/>
      <c r="H8" s="469"/>
      <c r="I8" s="469"/>
      <c r="J8" s="469"/>
      <c r="K8" s="469"/>
      <c r="L8" s="469"/>
      <c r="M8" s="469"/>
      <c r="N8" s="469"/>
      <c r="O8" s="469"/>
    </row>
    <row r="9" spans="1:17">
      <c r="A9" s="466" t="s">
        <v>1032</v>
      </c>
      <c r="D9" s="468">
        <f t="shared" ref="D9:I9" si="6">D103</f>
        <v>64035</v>
      </c>
      <c r="E9" s="468">
        <f t="shared" si="6"/>
        <v>63173</v>
      </c>
      <c r="F9" s="468">
        <f t="shared" si="6"/>
        <v>63719</v>
      </c>
      <c r="G9" s="468">
        <f t="shared" si="6"/>
        <v>64674</v>
      </c>
      <c r="H9" s="468">
        <f t="shared" si="6"/>
        <v>63912</v>
      </c>
      <c r="I9" s="468">
        <f t="shared" si="6"/>
        <v>63712</v>
      </c>
      <c r="J9" s="468">
        <f t="shared" ref="J9:O9" si="7">J103</f>
        <v>59819</v>
      </c>
      <c r="K9" s="468">
        <f t="shared" si="7"/>
        <v>60990</v>
      </c>
      <c r="L9" s="468">
        <f t="shared" si="7"/>
        <v>62420</v>
      </c>
      <c r="M9" s="468">
        <f t="shared" si="7"/>
        <v>62153</v>
      </c>
      <c r="N9" s="468">
        <f t="shared" si="7"/>
        <v>63520</v>
      </c>
      <c r="O9" s="468">
        <f t="shared" si="7"/>
        <v>64593</v>
      </c>
      <c r="Q9" s="466" t="s">
        <v>1031</v>
      </c>
    </row>
    <row r="10" spans="1:17">
      <c r="D10" s="469"/>
      <c r="E10" s="469"/>
      <c r="F10" s="469"/>
      <c r="G10" s="469"/>
      <c r="H10" s="469"/>
      <c r="I10" s="469"/>
      <c r="J10" s="469"/>
      <c r="K10" s="469"/>
      <c r="L10" s="469"/>
      <c r="M10" s="469"/>
      <c r="N10" s="469"/>
      <c r="O10" s="469"/>
    </row>
    <row r="11" spans="1:17">
      <c r="A11" s="466" t="s">
        <v>1033</v>
      </c>
      <c r="D11" s="469">
        <f>'TYNE &amp; WEAR'!D18</f>
        <v>0</v>
      </c>
      <c r="E11" s="469">
        <f>'TYNE &amp; WEAR'!E18</f>
        <v>0</v>
      </c>
      <c r="F11" s="469">
        <f>'TYNE &amp; WEAR'!F18</f>
        <v>0</v>
      </c>
      <c r="G11" s="469">
        <f>'TYNE &amp; WEAR'!G18</f>
        <v>0</v>
      </c>
      <c r="H11" s="469">
        <f>'TYNE &amp; WEAR'!H18</f>
        <v>0</v>
      </c>
      <c r="I11" s="469">
        <f>'TYNE &amp; WEAR'!I18</f>
        <v>0</v>
      </c>
      <c r="J11" s="469">
        <f>'TYNE &amp; WEAR'!J18</f>
        <v>0</v>
      </c>
      <c r="K11" s="469">
        <f>'TYNE &amp; WEAR'!K18</f>
        <v>0</v>
      </c>
      <c r="L11" s="469">
        <f>'TYNE &amp; WEAR'!L18</f>
        <v>0</v>
      </c>
      <c r="M11" s="469">
        <f>'TYNE &amp; WEAR'!M18</f>
        <v>0</v>
      </c>
      <c r="N11" s="469">
        <f>'TYNE &amp; WEAR'!N18</f>
        <v>0</v>
      </c>
      <c r="O11" s="469">
        <f>'TYNE &amp; WEAR'!O18</f>
        <v>0</v>
      </c>
      <c r="Q11" s="134" t="s">
        <v>3701</v>
      </c>
    </row>
    <row r="12" spans="1:17" ht="15.75" thickBot="1">
      <c r="A12" s="466"/>
      <c r="D12" s="470">
        <f t="shared" ref="D12:I12" si="8">D104</f>
        <v>61085</v>
      </c>
      <c r="E12" s="470">
        <f t="shared" si="8"/>
        <v>60499</v>
      </c>
      <c r="F12" s="470">
        <f t="shared" si="8"/>
        <v>60590</v>
      </c>
      <c r="G12" s="470">
        <f t="shared" si="8"/>
        <v>60978</v>
      </c>
      <c r="H12" s="470">
        <f t="shared" si="8"/>
        <v>60260</v>
      </c>
      <c r="I12" s="470">
        <f t="shared" si="8"/>
        <v>60232</v>
      </c>
      <c r="J12" s="470">
        <f t="shared" ref="J12:O12" si="9">J104</f>
        <v>58198</v>
      </c>
      <c r="K12" s="470">
        <f t="shared" si="9"/>
        <v>58698</v>
      </c>
      <c r="L12" s="470">
        <f t="shared" si="9"/>
        <v>59856</v>
      </c>
      <c r="M12" s="470">
        <f t="shared" si="9"/>
        <v>59298</v>
      </c>
      <c r="N12" s="470">
        <f t="shared" si="9"/>
        <v>60437</v>
      </c>
      <c r="O12" s="470">
        <f t="shared" si="9"/>
        <v>61402</v>
      </c>
      <c r="Q12" s="466" t="s">
        <v>1031</v>
      </c>
    </row>
    <row r="13" spans="1:17" ht="15.75" thickBot="1">
      <c r="A13" s="466"/>
      <c r="D13" s="471">
        <f t="shared" ref="D13:O13" si="10">D11+D12</f>
        <v>61085</v>
      </c>
      <c r="E13" s="471">
        <f t="shared" si="10"/>
        <v>60499</v>
      </c>
      <c r="F13" s="471">
        <f t="shared" si="10"/>
        <v>60590</v>
      </c>
      <c r="G13" s="471">
        <f t="shared" si="10"/>
        <v>60978</v>
      </c>
      <c r="H13" s="471">
        <f t="shared" si="10"/>
        <v>60260</v>
      </c>
      <c r="I13" s="471">
        <f t="shared" si="10"/>
        <v>60232</v>
      </c>
      <c r="J13" s="471">
        <f t="shared" si="10"/>
        <v>58198</v>
      </c>
      <c r="K13" s="471">
        <f t="shared" si="10"/>
        <v>58698</v>
      </c>
      <c r="L13" s="471">
        <f t="shared" si="10"/>
        <v>59856</v>
      </c>
      <c r="M13" s="471">
        <f t="shared" si="10"/>
        <v>59298</v>
      </c>
      <c r="N13" s="471">
        <f t="shared" si="10"/>
        <v>60437</v>
      </c>
      <c r="O13" s="471">
        <f t="shared" si="10"/>
        <v>61402</v>
      </c>
      <c r="Q13" s="466"/>
    </row>
    <row r="14" spans="1:17">
      <c r="D14" s="469"/>
      <c r="E14" s="469"/>
      <c r="F14" s="469"/>
      <c r="G14" s="469"/>
      <c r="H14" s="469"/>
      <c r="I14" s="469"/>
      <c r="J14" s="469"/>
      <c r="K14" s="469"/>
      <c r="L14" s="469"/>
      <c r="M14" s="469"/>
      <c r="N14" s="469"/>
      <c r="O14" s="469"/>
    </row>
    <row r="15" spans="1:17">
      <c r="A15" s="466" t="s">
        <v>1034</v>
      </c>
      <c r="D15" s="468">
        <f t="shared" ref="D15:I15" si="11">D105</f>
        <v>62882</v>
      </c>
      <c r="E15" s="468">
        <f t="shared" si="11"/>
        <v>62395</v>
      </c>
      <c r="F15" s="468">
        <f t="shared" si="11"/>
        <v>63327</v>
      </c>
      <c r="G15" s="468">
        <f t="shared" si="11"/>
        <v>64185</v>
      </c>
      <c r="H15" s="468">
        <f t="shared" si="11"/>
        <v>63267</v>
      </c>
      <c r="I15" s="468">
        <f t="shared" si="11"/>
        <v>63026</v>
      </c>
      <c r="J15" s="468">
        <f t="shared" ref="J15:O15" si="12">J105</f>
        <v>58883</v>
      </c>
      <c r="K15" s="468">
        <f t="shared" si="12"/>
        <v>59441</v>
      </c>
      <c r="L15" s="468">
        <f t="shared" si="12"/>
        <v>61162</v>
      </c>
      <c r="M15" s="468">
        <f t="shared" si="12"/>
        <v>60898</v>
      </c>
      <c r="N15" s="468">
        <f t="shared" si="12"/>
        <v>62473</v>
      </c>
      <c r="O15" s="468">
        <f t="shared" si="12"/>
        <v>63451</v>
      </c>
      <c r="Q15" s="466" t="s">
        <v>1031</v>
      </c>
    </row>
    <row r="16" spans="1:17">
      <c r="D16" s="469"/>
      <c r="E16" s="469"/>
      <c r="F16" s="469"/>
      <c r="G16" s="469"/>
      <c r="H16" s="469"/>
      <c r="I16" s="469"/>
      <c r="J16" s="469"/>
      <c r="K16" s="469"/>
      <c r="L16" s="469"/>
      <c r="M16" s="469"/>
      <c r="N16" s="469"/>
      <c r="O16" s="469"/>
    </row>
    <row r="17" spans="1:17">
      <c r="A17" s="466" t="s">
        <v>6796</v>
      </c>
      <c r="D17" s="468">
        <f t="shared" ref="D17:O17" si="13">D7+D9+D12+D15</f>
        <v>245114</v>
      </c>
      <c r="E17" s="468">
        <f t="shared" si="13"/>
        <v>241852</v>
      </c>
      <c r="F17" s="468">
        <f t="shared" si="13"/>
        <v>245348</v>
      </c>
      <c r="G17" s="468">
        <f t="shared" si="13"/>
        <v>248229</v>
      </c>
      <c r="H17" s="468">
        <f t="shared" si="13"/>
        <v>244701</v>
      </c>
      <c r="I17" s="468">
        <f t="shared" si="13"/>
        <v>244610</v>
      </c>
      <c r="J17" s="468">
        <f t="shared" si="13"/>
        <v>232448</v>
      </c>
      <c r="K17" s="468">
        <f t="shared" si="13"/>
        <v>235363</v>
      </c>
      <c r="L17" s="468">
        <f t="shared" si="13"/>
        <v>241298</v>
      </c>
      <c r="M17" s="468">
        <f t="shared" si="13"/>
        <v>239893</v>
      </c>
      <c r="N17" s="468">
        <f t="shared" si="13"/>
        <v>245392</v>
      </c>
      <c r="O17" s="468">
        <f t="shared" si="13"/>
        <v>249414</v>
      </c>
    </row>
    <row r="18" spans="1:17">
      <c r="D18" s="469"/>
      <c r="E18" s="469"/>
      <c r="F18" s="469"/>
      <c r="G18" s="469"/>
      <c r="H18" s="469"/>
      <c r="I18" s="469"/>
      <c r="J18" s="469"/>
      <c r="K18" s="469"/>
      <c r="L18" s="469"/>
      <c r="M18" s="469"/>
      <c r="N18" s="469"/>
      <c r="O18" s="469"/>
    </row>
    <row r="19" spans="1:17">
      <c r="A19" s="466" t="s">
        <v>6797</v>
      </c>
      <c r="D19" s="468">
        <f t="shared" ref="D19:I19" si="14">MAX(D7,D9,D12,D15)-MIN(D7,D9,D12,D15)</f>
        <v>6923</v>
      </c>
      <c r="E19" s="468">
        <f t="shared" si="14"/>
        <v>7388</v>
      </c>
      <c r="F19" s="468">
        <f t="shared" si="14"/>
        <v>6007</v>
      </c>
      <c r="G19" s="468">
        <f t="shared" si="14"/>
        <v>6282</v>
      </c>
      <c r="H19" s="468">
        <f t="shared" si="14"/>
        <v>6650</v>
      </c>
      <c r="I19" s="468">
        <f t="shared" si="14"/>
        <v>6072</v>
      </c>
      <c r="J19" s="468">
        <f t="shared" ref="J19:O19" si="15">MAX(J7,J9,J12,J15)-MIN(J7,J9,J12,J15)</f>
        <v>4271</v>
      </c>
      <c r="K19" s="468">
        <f t="shared" si="15"/>
        <v>4756</v>
      </c>
      <c r="L19" s="468">
        <f t="shared" si="15"/>
        <v>4560</v>
      </c>
      <c r="M19" s="468">
        <f t="shared" si="15"/>
        <v>4609</v>
      </c>
      <c r="N19" s="468">
        <f t="shared" si="15"/>
        <v>4558</v>
      </c>
      <c r="O19" s="468">
        <f t="shared" si="15"/>
        <v>4625</v>
      </c>
    </row>
    <row r="20" spans="1:17">
      <c r="D20" s="469"/>
      <c r="E20" s="469"/>
      <c r="F20" s="469"/>
      <c r="G20" s="469"/>
      <c r="H20" s="469"/>
      <c r="I20" s="469"/>
      <c r="J20" s="469"/>
      <c r="K20" s="469"/>
      <c r="L20" s="469"/>
      <c r="M20" s="469"/>
      <c r="N20" s="469"/>
      <c r="O20" s="469"/>
    </row>
    <row r="21" spans="1:17">
      <c r="A21" s="466" t="s">
        <v>6800</v>
      </c>
      <c r="D21" s="468">
        <f t="shared" ref="D21:I21" si="16">STDEVP(D7,D9,D12,D15)</f>
        <v>2625.1985163031004</v>
      </c>
      <c r="E21" s="468">
        <f t="shared" si="16"/>
        <v>2870.614219988468</v>
      </c>
      <c r="F21" s="468">
        <f t="shared" si="16"/>
        <v>2415.1945056247541</v>
      </c>
      <c r="G21" s="468">
        <f t="shared" si="16"/>
        <v>2548.2120570117395</v>
      </c>
      <c r="H21" s="468">
        <f t="shared" si="16"/>
        <v>2646.5272882590875</v>
      </c>
      <c r="I21" s="468">
        <f t="shared" si="16"/>
        <v>2410.7062761771704</v>
      </c>
      <c r="J21" s="468">
        <f t="shared" ref="J21:O21" si="17">STDEVP(J7,J9,J12,J15)</f>
        <v>1588.2208599561964</v>
      </c>
      <c r="K21" s="468">
        <f t="shared" si="17"/>
        <v>1717.1996644246119</v>
      </c>
      <c r="L21" s="468">
        <f t="shared" si="17"/>
        <v>1687.1409988498294</v>
      </c>
      <c r="M21" s="468">
        <f t="shared" si="17"/>
        <v>1729.4284279784463</v>
      </c>
      <c r="N21" s="468">
        <f t="shared" si="17"/>
        <v>1768.2000735210934</v>
      </c>
      <c r="O21" s="468">
        <f t="shared" si="17"/>
        <v>1789.9601252541913</v>
      </c>
    </row>
    <row r="22" spans="1:17">
      <c r="A22" s="466"/>
      <c r="D22" s="472"/>
      <c r="E22" s="472"/>
      <c r="F22" s="472"/>
      <c r="G22" s="472"/>
      <c r="H22" s="472"/>
      <c r="I22" s="472"/>
      <c r="J22" s="472"/>
      <c r="K22" s="472"/>
      <c r="L22" s="472"/>
      <c r="M22" s="472"/>
      <c r="N22" s="472"/>
      <c r="O22" s="472"/>
    </row>
    <row r="23" spans="1:17">
      <c r="A23" s="466" t="s">
        <v>1035</v>
      </c>
      <c r="D23" s="472"/>
      <c r="E23" s="472"/>
      <c r="F23" s="472"/>
      <c r="G23" s="472"/>
      <c r="H23" s="472"/>
      <c r="I23" s="472"/>
      <c r="J23" s="472"/>
      <c r="K23" s="472"/>
      <c r="L23" s="472"/>
      <c r="M23" s="472"/>
      <c r="N23" s="472"/>
      <c r="O23" s="472"/>
    </row>
    <row r="24" spans="1:17">
      <c r="A24" s="466"/>
      <c r="D24" s="472"/>
      <c r="E24" s="472"/>
      <c r="F24" s="472"/>
      <c r="G24" s="472"/>
      <c r="H24" s="472"/>
      <c r="I24" s="472"/>
      <c r="J24" s="472"/>
      <c r="K24" s="472"/>
      <c r="L24" s="472"/>
      <c r="M24" s="472"/>
      <c r="N24" s="472"/>
      <c r="O24" s="472"/>
    </row>
    <row r="25" spans="1:17">
      <c r="A25" s="473"/>
      <c r="B25" s="473"/>
      <c r="C25" s="473"/>
      <c r="D25" s="473"/>
      <c r="E25" s="473"/>
      <c r="F25" s="473"/>
      <c r="G25" s="473"/>
      <c r="H25" s="473"/>
      <c r="I25" s="473"/>
      <c r="J25" s="473"/>
      <c r="K25" s="473"/>
      <c r="L25" s="473"/>
      <c r="M25" s="473"/>
      <c r="N25" s="473"/>
      <c r="O25" s="473"/>
      <c r="P25" s="473"/>
      <c r="Q25" s="473"/>
    </row>
    <row r="26" spans="1:17">
      <c r="E26" s="51" t="s">
        <v>1526</v>
      </c>
      <c r="F26" s="51"/>
      <c r="G26" s="51"/>
      <c r="H26" s="51"/>
      <c r="I26" s="51"/>
      <c r="J26" s="51"/>
      <c r="K26" s="51"/>
      <c r="L26" s="51"/>
      <c r="M26" s="51"/>
      <c r="N26" s="51"/>
      <c r="O26" s="51"/>
      <c r="Q26" s="11" t="s">
        <v>9479</v>
      </c>
    </row>
    <row r="27" spans="1:17">
      <c r="D27" s="350">
        <v>2010</v>
      </c>
      <c r="E27" s="350">
        <v>2011</v>
      </c>
      <c r="F27" s="350">
        <v>2012</v>
      </c>
      <c r="G27" s="350">
        <v>2013</v>
      </c>
      <c r="H27" s="350">
        <v>2014</v>
      </c>
      <c r="I27" s="350">
        <v>2015</v>
      </c>
      <c r="J27" s="350">
        <v>2016</v>
      </c>
      <c r="K27" s="350">
        <v>2017</v>
      </c>
      <c r="L27" s="350">
        <v>2018</v>
      </c>
      <c r="M27" s="350">
        <v>2019</v>
      </c>
      <c r="N27" s="350">
        <v>2020</v>
      </c>
      <c r="O27" s="952" t="s">
        <v>14823</v>
      </c>
      <c r="P27" s="410"/>
      <c r="Q27" s="13" t="s">
        <v>1527</v>
      </c>
    </row>
    <row r="28" spans="1:17">
      <c r="A28" s="466" t="s">
        <v>1029</v>
      </c>
      <c r="B28" s="466"/>
      <c r="C28" s="466"/>
      <c r="D28" s="468">
        <f t="shared" ref="D28:I28" si="18">SUM(D29:D68)+SUM(D70:D79)+SUM(D81:D84)+SUM(D86:D96)+SUM(D97:D100)</f>
        <v>245114</v>
      </c>
      <c r="E28" s="468">
        <f t="shared" si="18"/>
        <v>241852</v>
      </c>
      <c r="F28" s="468">
        <f t="shared" si="18"/>
        <v>245348</v>
      </c>
      <c r="G28" s="468">
        <f t="shared" si="18"/>
        <v>248229</v>
      </c>
      <c r="H28" s="468">
        <f t="shared" si="18"/>
        <v>244701</v>
      </c>
      <c r="I28" s="468">
        <f t="shared" si="18"/>
        <v>244610</v>
      </c>
      <c r="J28" s="468">
        <f t="shared" ref="J28:O28" si="19">SUM(J29:J68)+SUM(J70:J79)+SUM(J81:J84)+SUM(J86:J96)+SUM(J97:J100)</f>
        <v>232448</v>
      </c>
      <c r="K28" s="468">
        <f t="shared" si="19"/>
        <v>235363</v>
      </c>
      <c r="L28" s="468">
        <f t="shared" si="19"/>
        <v>241298</v>
      </c>
      <c r="M28" s="468">
        <f t="shared" si="19"/>
        <v>239893</v>
      </c>
      <c r="N28" s="468">
        <f t="shared" si="19"/>
        <v>245392</v>
      </c>
      <c r="O28" s="468">
        <f t="shared" si="19"/>
        <v>249414</v>
      </c>
    </row>
    <row r="29" spans="1:17">
      <c r="A29" s="422">
        <v>1</v>
      </c>
      <c r="B29" s="134" t="s">
        <v>5294</v>
      </c>
      <c r="C29" s="62" t="s">
        <v>9560</v>
      </c>
      <c r="D29" s="469">
        <v>57112</v>
      </c>
      <c r="E29" s="469">
        <v>55785</v>
      </c>
      <c r="F29" s="469">
        <v>57712</v>
      </c>
      <c r="G29" s="469">
        <v>58392</v>
      </c>
      <c r="H29" s="63">
        <v>7575</v>
      </c>
      <c r="I29" s="63">
        <v>7663</v>
      </c>
      <c r="J29" s="63">
        <v>7449</v>
      </c>
      <c r="K29" s="63">
        <v>7518</v>
      </c>
      <c r="L29" s="63">
        <v>7775</v>
      </c>
      <c r="M29" s="63">
        <v>7757</v>
      </c>
      <c r="N29" s="63">
        <v>7928</v>
      </c>
      <c r="O29" s="63">
        <v>8072</v>
      </c>
      <c r="Q29" s="466" t="s">
        <v>1030</v>
      </c>
    </row>
    <row r="30" spans="1:17">
      <c r="A30" s="422">
        <v>2</v>
      </c>
      <c r="B30" s="466" t="s">
        <v>1036</v>
      </c>
      <c r="C30" s="62" t="s">
        <v>9561</v>
      </c>
      <c r="D30" s="469">
        <v>0</v>
      </c>
      <c r="E30" s="469">
        <v>0</v>
      </c>
      <c r="F30" s="469">
        <v>0</v>
      </c>
      <c r="G30" s="469">
        <v>0</v>
      </c>
      <c r="H30" s="63">
        <v>3713</v>
      </c>
      <c r="I30" s="63">
        <v>3700</v>
      </c>
      <c r="J30" s="63">
        <v>3408</v>
      </c>
      <c r="K30" s="63">
        <v>3598</v>
      </c>
      <c r="L30" s="63">
        <v>3814</v>
      </c>
      <c r="M30" s="63">
        <v>3789</v>
      </c>
      <c r="N30" s="63">
        <v>3880</v>
      </c>
      <c r="O30" s="63">
        <v>4017</v>
      </c>
      <c r="Q30" s="466" t="s">
        <v>1030</v>
      </c>
    </row>
    <row r="31" spans="1:17">
      <c r="A31" s="422">
        <v>3</v>
      </c>
      <c r="B31" s="466" t="s">
        <v>1037</v>
      </c>
      <c r="C31" s="62" t="s">
        <v>9562</v>
      </c>
      <c r="D31" s="469">
        <v>0</v>
      </c>
      <c r="E31" s="469">
        <v>0</v>
      </c>
      <c r="F31" s="469">
        <v>0</v>
      </c>
      <c r="G31" s="469">
        <v>0</v>
      </c>
      <c r="H31" s="63">
        <v>3406</v>
      </c>
      <c r="I31" s="63">
        <v>3389</v>
      </c>
      <c r="J31" s="63">
        <v>3318</v>
      </c>
      <c r="K31" s="63">
        <v>3320</v>
      </c>
      <c r="L31" s="63">
        <v>3406</v>
      </c>
      <c r="M31" s="63">
        <v>3381</v>
      </c>
      <c r="N31" s="63">
        <v>3519</v>
      </c>
      <c r="O31" s="63">
        <v>3506</v>
      </c>
      <c r="Q31" s="466" t="s">
        <v>1030</v>
      </c>
    </row>
    <row r="32" spans="1:17">
      <c r="A32" s="422">
        <v>4</v>
      </c>
      <c r="B32" s="466" t="s">
        <v>2309</v>
      </c>
      <c r="C32" s="62" t="s">
        <v>9563</v>
      </c>
      <c r="D32" s="469">
        <v>62882</v>
      </c>
      <c r="E32" s="469">
        <v>62395</v>
      </c>
      <c r="F32" s="469">
        <v>63327</v>
      </c>
      <c r="G32" s="469">
        <v>64185</v>
      </c>
      <c r="H32" s="63">
        <v>3637</v>
      </c>
      <c r="I32" s="63">
        <v>3623</v>
      </c>
      <c r="J32" s="63">
        <v>3181</v>
      </c>
      <c r="K32" s="63">
        <v>3197</v>
      </c>
      <c r="L32" s="63">
        <v>3337</v>
      </c>
      <c r="M32" s="63">
        <v>3276</v>
      </c>
      <c r="N32" s="63">
        <v>3307</v>
      </c>
      <c r="O32" s="63">
        <v>3375</v>
      </c>
      <c r="Q32" s="466" t="s">
        <v>1034</v>
      </c>
    </row>
    <row r="33" spans="1:17">
      <c r="A33" s="422">
        <v>5</v>
      </c>
      <c r="B33" s="466" t="s">
        <v>2310</v>
      </c>
      <c r="C33" s="62" t="s">
        <v>9564</v>
      </c>
      <c r="D33" s="469">
        <v>0</v>
      </c>
      <c r="E33" s="469">
        <v>0</v>
      </c>
      <c r="F33" s="469">
        <v>0</v>
      </c>
      <c r="G33" s="469">
        <v>0</v>
      </c>
      <c r="H33" s="63">
        <v>3554</v>
      </c>
      <c r="I33" s="63">
        <v>3592</v>
      </c>
      <c r="J33" s="63">
        <v>3450</v>
      </c>
      <c r="K33" s="63">
        <v>3482</v>
      </c>
      <c r="L33" s="63">
        <v>3515</v>
      </c>
      <c r="M33" s="63">
        <v>3482</v>
      </c>
      <c r="N33" s="63">
        <v>3528</v>
      </c>
      <c r="O33" s="63">
        <v>3587</v>
      </c>
      <c r="Q33" s="466" t="s">
        <v>1030</v>
      </c>
    </row>
    <row r="34" spans="1:17">
      <c r="A34" s="422">
        <v>6</v>
      </c>
      <c r="B34" s="466" t="s">
        <v>2426</v>
      </c>
      <c r="C34" s="62" t="s">
        <v>9565</v>
      </c>
      <c r="D34" s="469">
        <v>0</v>
      </c>
      <c r="E34" s="469">
        <v>0</v>
      </c>
      <c r="F34" s="469">
        <v>0</v>
      </c>
      <c r="G34" s="469">
        <v>0</v>
      </c>
      <c r="H34" s="63">
        <v>3723</v>
      </c>
      <c r="I34" s="63">
        <v>3697</v>
      </c>
      <c r="J34" s="63">
        <v>3483</v>
      </c>
      <c r="K34" s="63">
        <v>3566</v>
      </c>
      <c r="L34" s="63">
        <v>3696</v>
      </c>
      <c r="M34" s="63">
        <v>3662</v>
      </c>
      <c r="N34" s="63">
        <v>3797</v>
      </c>
      <c r="O34" s="63">
        <v>3831</v>
      </c>
      <c r="Q34" s="466" t="s">
        <v>1034</v>
      </c>
    </row>
    <row r="35" spans="1:17">
      <c r="A35" s="422">
        <v>7</v>
      </c>
      <c r="B35" s="466" t="s">
        <v>2427</v>
      </c>
      <c r="C35" s="62" t="s">
        <v>9566</v>
      </c>
      <c r="D35" s="469">
        <v>0</v>
      </c>
      <c r="E35" s="469">
        <v>0</v>
      </c>
      <c r="F35" s="469">
        <v>0</v>
      </c>
      <c r="G35" s="469">
        <v>0</v>
      </c>
      <c r="H35" s="63">
        <v>3450</v>
      </c>
      <c r="I35" s="63">
        <v>3406</v>
      </c>
      <c r="J35" s="63">
        <v>3130</v>
      </c>
      <c r="K35" s="63">
        <v>3137</v>
      </c>
      <c r="L35" s="63">
        <v>3177</v>
      </c>
      <c r="M35" s="63">
        <v>3154</v>
      </c>
      <c r="N35" s="63">
        <v>3213</v>
      </c>
      <c r="O35" s="63">
        <v>3269</v>
      </c>
      <c r="Q35" s="466" t="s">
        <v>1034</v>
      </c>
    </row>
    <row r="36" spans="1:17">
      <c r="A36" s="422">
        <v>8</v>
      </c>
      <c r="B36" s="466" t="s">
        <v>2428</v>
      </c>
      <c r="C36" s="62" t="s">
        <v>9567</v>
      </c>
      <c r="D36" s="469">
        <v>0</v>
      </c>
      <c r="E36" s="469">
        <v>0</v>
      </c>
      <c r="F36" s="469">
        <v>0</v>
      </c>
      <c r="G36" s="469">
        <v>0</v>
      </c>
      <c r="H36" s="63">
        <v>3708</v>
      </c>
      <c r="I36" s="63">
        <v>3710</v>
      </c>
      <c r="J36" s="63">
        <v>3577</v>
      </c>
      <c r="K36" s="63">
        <v>3598</v>
      </c>
      <c r="L36" s="63">
        <v>3715</v>
      </c>
      <c r="M36" s="63">
        <v>3632</v>
      </c>
      <c r="N36" s="63">
        <v>3732</v>
      </c>
      <c r="O36" s="63">
        <v>3792</v>
      </c>
      <c r="Q36" s="466" t="s">
        <v>1034</v>
      </c>
    </row>
    <row r="37" spans="1:17">
      <c r="A37" s="422">
        <v>9</v>
      </c>
      <c r="B37" s="466" t="s">
        <v>4810</v>
      </c>
      <c r="C37" s="62" t="s">
        <v>9568</v>
      </c>
      <c r="D37" s="469">
        <v>61085</v>
      </c>
      <c r="E37" s="469">
        <v>60499</v>
      </c>
      <c r="F37" s="469">
        <v>60590</v>
      </c>
      <c r="G37" s="469">
        <v>60978</v>
      </c>
      <c r="H37" s="63">
        <v>3160</v>
      </c>
      <c r="I37" s="63">
        <v>3155</v>
      </c>
      <c r="J37" s="63">
        <v>3050</v>
      </c>
      <c r="K37" s="63">
        <v>3062</v>
      </c>
      <c r="L37" s="63">
        <v>3099</v>
      </c>
      <c r="M37" s="63">
        <v>3020</v>
      </c>
      <c r="N37" s="63">
        <v>3079</v>
      </c>
      <c r="O37" s="63">
        <v>3105</v>
      </c>
      <c r="Q37" s="466" t="s">
        <v>1033</v>
      </c>
    </row>
    <row r="38" spans="1:17">
      <c r="A38" s="422">
        <v>10</v>
      </c>
      <c r="B38" s="466" t="s">
        <v>2429</v>
      </c>
      <c r="C38" s="62" t="s">
        <v>9569</v>
      </c>
      <c r="D38" s="469">
        <v>0</v>
      </c>
      <c r="E38" s="469">
        <v>0</v>
      </c>
      <c r="F38" s="469">
        <v>0</v>
      </c>
      <c r="G38" s="469">
        <v>0</v>
      </c>
      <c r="H38" s="63">
        <v>3411</v>
      </c>
      <c r="I38" s="63">
        <v>3395</v>
      </c>
      <c r="J38" s="63">
        <v>3215</v>
      </c>
      <c r="K38" s="63">
        <v>3248</v>
      </c>
      <c r="L38" s="63">
        <v>3310</v>
      </c>
      <c r="M38" s="63">
        <v>3299</v>
      </c>
      <c r="N38" s="63">
        <v>3370</v>
      </c>
      <c r="O38" s="63">
        <v>3398</v>
      </c>
      <c r="Q38" s="466" t="s">
        <v>1030</v>
      </c>
    </row>
    <row r="39" spans="1:17">
      <c r="A39" s="422">
        <v>11</v>
      </c>
      <c r="B39" s="466" t="s">
        <v>2430</v>
      </c>
      <c r="C39" s="62" t="s">
        <v>9570</v>
      </c>
      <c r="D39" s="469">
        <v>0</v>
      </c>
      <c r="E39" s="469">
        <v>0</v>
      </c>
      <c r="F39" s="469">
        <v>0</v>
      </c>
      <c r="G39" s="469">
        <v>0</v>
      </c>
      <c r="H39" s="63">
        <v>3242</v>
      </c>
      <c r="I39" s="63">
        <v>3252</v>
      </c>
      <c r="J39" s="63">
        <v>3146</v>
      </c>
      <c r="K39" s="63">
        <v>3215</v>
      </c>
      <c r="L39" s="63">
        <v>3341</v>
      </c>
      <c r="M39" s="63">
        <v>3258</v>
      </c>
      <c r="N39" s="63">
        <v>3387</v>
      </c>
      <c r="O39" s="63">
        <v>3442</v>
      </c>
      <c r="Q39" s="466" t="s">
        <v>1030</v>
      </c>
    </row>
    <row r="40" spans="1:17">
      <c r="A40" s="422">
        <v>12</v>
      </c>
      <c r="B40" s="466" t="s">
        <v>2431</v>
      </c>
      <c r="C40" s="62" t="s">
        <v>9571</v>
      </c>
      <c r="D40" s="469">
        <v>0</v>
      </c>
      <c r="E40" s="469">
        <v>0</v>
      </c>
      <c r="F40" s="469">
        <v>0</v>
      </c>
      <c r="G40" s="469">
        <v>0</v>
      </c>
      <c r="H40" s="63">
        <v>3028</v>
      </c>
      <c r="I40" s="63">
        <v>3056</v>
      </c>
      <c r="J40" s="63">
        <v>2943</v>
      </c>
      <c r="K40" s="63">
        <v>2980</v>
      </c>
      <c r="L40" s="63">
        <v>3092</v>
      </c>
      <c r="M40" s="63">
        <v>3088</v>
      </c>
      <c r="N40" s="63">
        <v>3131</v>
      </c>
      <c r="O40" s="63">
        <v>3171</v>
      </c>
      <c r="Q40" s="466" t="s">
        <v>1030</v>
      </c>
    </row>
    <row r="41" spans="1:17">
      <c r="A41" s="422">
        <v>13</v>
      </c>
      <c r="B41" s="466" t="s">
        <v>2432</v>
      </c>
      <c r="C41" s="62" t="s">
        <v>9572</v>
      </c>
      <c r="D41" s="469">
        <v>0</v>
      </c>
      <c r="E41" s="469">
        <v>0</v>
      </c>
      <c r="F41" s="469">
        <v>0</v>
      </c>
      <c r="G41" s="469">
        <v>0</v>
      </c>
      <c r="H41" s="63">
        <v>3602</v>
      </c>
      <c r="I41" s="63">
        <v>3618</v>
      </c>
      <c r="J41" s="63">
        <v>3420</v>
      </c>
      <c r="K41" s="63">
        <v>3515</v>
      </c>
      <c r="L41" s="63">
        <v>3662</v>
      </c>
      <c r="M41" s="63">
        <v>3630</v>
      </c>
      <c r="N41" s="63">
        <v>3769</v>
      </c>
      <c r="O41" s="63">
        <v>3835</v>
      </c>
      <c r="Q41" s="466" t="s">
        <v>1034</v>
      </c>
    </row>
    <row r="42" spans="1:17">
      <c r="A42" s="422">
        <v>14</v>
      </c>
      <c r="B42" s="466" t="s">
        <v>2433</v>
      </c>
      <c r="C42" s="62" t="s">
        <v>9573</v>
      </c>
      <c r="D42" s="469">
        <v>0</v>
      </c>
      <c r="E42" s="469">
        <v>0</v>
      </c>
      <c r="F42" s="469">
        <v>0</v>
      </c>
      <c r="G42" s="469">
        <v>0</v>
      </c>
      <c r="H42" s="63">
        <v>3552</v>
      </c>
      <c r="I42" s="63">
        <v>3577</v>
      </c>
      <c r="J42" s="63">
        <v>3457</v>
      </c>
      <c r="K42" s="63">
        <v>3437</v>
      </c>
      <c r="L42" s="63">
        <v>3581</v>
      </c>
      <c r="M42" s="63">
        <v>3544</v>
      </c>
      <c r="N42" s="63">
        <v>3651</v>
      </c>
      <c r="O42" s="63">
        <v>3724</v>
      </c>
      <c r="Q42" s="466" t="s">
        <v>1033</v>
      </c>
    </row>
    <row r="43" spans="1:17">
      <c r="A43" s="422">
        <v>15</v>
      </c>
      <c r="B43" s="466" t="s">
        <v>2434</v>
      </c>
      <c r="C43" s="62" t="s">
        <v>9574</v>
      </c>
      <c r="D43" s="469">
        <v>0</v>
      </c>
      <c r="E43" s="469">
        <v>0</v>
      </c>
      <c r="F43" s="469">
        <v>0</v>
      </c>
      <c r="G43" s="469">
        <v>0</v>
      </c>
      <c r="H43" s="63">
        <v>3752</v>
      </c>
      <c r="I43" s="63">
        <v>3713</v>
      </c>
      <c r="J43" s="63">
        <v>3442</v>
      </c>
      <c r="K43" s="63">
        <v>3408</v>
      </c>
      <c r="L43" s="63">
        <v>3461</v>
      </c>
      <c r="M43" s="63">
        <v>3480</v>
      </c>
      <c r="N43" s="63">
        <v>3482</v>
      </c>
      <c r="O43" s="63">
        <v>3530</v>
      </c>
      <c r="Q43" s="466" t="s">
        <v>1034</v>
      </c>
    </row>
    <row r="44" spans="1:17">
      <c r="A44" s="422">
        <v>16</v>
      </c>
      <c r="B44" s="466" t="s">
        <v>1414</v>
      </c>
      <c r="C44" s="62" t="s">
        <v>9575</v>
      </c>
      <c r="D44" s="469">
        <v>0</v>
      </c>
      <c r="E44" s="469">
        <v>0</v>
      </c>
      <c r="F44" s="469">
        <v>0</v>
      </c>
      <c r="G44" s="469">
        <v>0</v>
      </c>
      <c r="H44" s="63">
        <v>3762</v>
      </c>
      <c r="I44" s="63">
        <v>3717</v>
      </c>
      <c r="J44" s="63">
        <v>3368</v>
      </c>
      <c r="K44" s="63">
        <v>3407</v>
      </c>
      <c r="L44" s="63">
        <v>3496</v>
      </c>
      <c r="M44" s="63">
        <v>3424</v>
      </c>
      <c r="N44" s="63">
        <v>3514</v>
      </c>
      <c r="O44" s="63">
        <v>3578</v>
      </c>
      <c r="Q44" s="466" t="s">
        <v>1034</v>
      </c>
    </row>
    <row r="45" spans="1:17">
      <c r="A45" s="422">
        <v>17</v>
      </c>
      <c r="B45" s="466" t="s">
        <v>2435</v>
      </c>
      <c r="C45" s="62" t="s">
        <v>9576</v>
      </c>
      <c r="D45" s="469">
        <v>0</v>
      </c>
      <c r="E45" s="469">
        <v>0</v>
      </c>
      <c r="F45" s="469">
        <v>0</v>
      </c>
      <c r="G45" s="469">
        <v>0</v>
      </c>
      <c r="H45" s="63">
        <v>3470</v>
      </c>
      <c r="I45" s="63">
        <v>3478</v>
      </c>
      <c r="J45" s="63">
        <v>3353</v>
      </c>
      <c r="K45" s="63">
        <v>3349</v>
      </c>
      <c r="L45" s="63">
        <v>3407</v>
      </c>
      <c r="M45" s="63">
        <v>3341</v>
      </c>
      <c r="N45" s="63">
        <v>3360</v>
      </c>
      <c r="O45" s="63">
        <v>3398</v>
      </c>
      <c r="Q45" s="466" t="s">
        <v>1033</v>
      </c>
    </row>
    <row r="46" spans="1:17">
      <c r="A46" s="422">
        <v>18</v>
      </c>
      <c r="B46" s="466" t="s">
        <v>2436</v>
      </c>
      <c r="C46" s="62" t="s">
        <v>9577</v>
      </c>
      <c r="D46" s="469">
        <v>64035</v>
      </c>
      <c r="E46" s="469">
        <v>63173</v>
      </c>
      <c r="F46" s="469">
        <v>63719</v>
      </c>
      <c r="G46" s="469">
        <v>64674</v>
      </c>
      <c r="H46" s="63">
        <v>3305</v>
      </c>
      <c r="I46" s="63">
        <v>3266</v>
      </c>
      <c r="J46" s="63">
        <v>3050</v>
      </c>
      <c r="K46" s="63">
        <v>2991</v>
      </c>
      <c r="L46" s="63">
        <v>3032</v>
      </c>
      <c r="M46" s="63">
        <v>3039</v>
      </c>
      <c r="N46" s="63">
        <v>3127</v>
      </c>
      <c r="O46" s="63">
        <v>3159</v>
      </c>
      <c r="Q46" s="466" t="s">
        <v>1032</v>
      </c>
    </row>
    <row r="47" spans="1:17">
      <c r="A47" s="423">
        <v>19</v>
      </c>
      <c r="B47" s="466" t="s">
        <v>2437</v>
      </c>
      <c r="C47" s="62" t="s">
        <v>9578</v>
      </c>
      <c r="D47" s="469">
        <v>0</v>
      </c>
      <c r="E47" s="469">
        <v>0</v>
      </c>
      <c r="F47" s="469">
        <v>0</v>
      </c>
      <c r="G47" s="469">
        <v>0</v>
      </c>
      <c r="H47" s="63">
        <v>3126</v>
      </c>
      <c r="I47" s="63">
        <v>3118</v>
      </c>
      <c r="J47" s="63">
        <v>2751</v>
      </c>
      <c r="K47" s="63">
        <v>2821</v>
      </c>
      <c r="L47" s="63">
        <v>2922</v>
      </c>
      <c r="M47" s="63">
        <v>2927</v>
      </c>
      <c r="N47" s="63">
        <v>3084</v>
      </c>
      <c r="O47" s="63">
        <v>3150</v>
      </c>
      <c r="Q47" s="466" t="s">
        <v>1032</v>
      </c>
    </row>
    <row r="48" spans="1:17">
      <c r="A48" s="423">
        <v>20</v>
      </c>
      <c r="B48" s="466" t="s">
        <v>2438</v>
      </c>
      <c r="C48" s="62" t="s">
        <v>9579</v>
      </c>
      <c r="D48" s="469">
        <v>0</v>
      </c>
      <c r="E48" s="469">
        <v>0</v>
      </c>
      <c r="F48" s="469">
        <v>0</v>
      </c>
      <c r="G48" s="469">
        <v>0</v>
      </c>
      <c r="H48" s="63">
        <v>4182</v>
      </c>
      <c r="I48" s="63">
        <v>4174</v>
      </c>
      <c r="J48" s="63">
        <v>3840</v>
      </c>
      <c r="K48" s="63">
        <v>3880</v>
      </c>
      <c r="L48" s="63">
        <v>3947</v>
      </c>
      <c r="M48" s="63">
        <v>3908</v>
      </c>
      <c r="N48" s="63">
        <v>3902</v>
      </c>
      <c r="O48" s="63">
        <v>3940</v>
      </c>
      <c r="Q48" s="466" t="s">
        <v>1032</v>
      </c>
    </row>
    <row r="49" spans="1:17">
      <c r="A49" s="422">
        <v>21</v>
      </c>
      <c r="B49" s="466" t="s">
        <v>2439</v>
      </c>
      <c r="C49" s="62" t="s">
        <v>9580</v>
      </c>
      <c r="D49" s="469">
        <v>0</v>
      </c>
      <c r="E49" s="469">
        <v>0</v>
      </c>
      <c r="F49" s="469">
        <v>0</v>
      </c>
      <c r="G49" s="469">
        <v>0</v>
      </c>
      <c r="H49" s="63">
        <v>4134</v>
      </c>
      <c r="I49" s="63">
        <v>4128</v>
      </c>
      <c r="J49" s="63">
        <v>4015</v>
      </c>
      <c r="K49" s="63">
        <v>4025</v>
      </c>
      <c r="L49" s="63">
        <v>4070</v>
      </c>
      <c r="M49" s="63">
        <v>4027</v>
      </c>
      <c r="N49" s="63">
        <v>4031</v>
      </c>
      <c r="O49" s="63">
        <v>4069</v>
      </c>
      <c r="Q49" s="466" t="s">
        <v>1032</v>
      </c>
    </row>
    <row r="50" spans="1:17">
      <c r="A50" s="422">
        <v>22</v>
      </c>
      <c r="B50" s="134" t="s">
        <v>2440</v>
      </c>
      <c r="C50" s="62" t="s">
        <v>9581</v>
      </c>
      <c r="D50" s="469">
        <v>0</v>
      </c>
      <c r="E50" s="469">
        <v>0</v>
      </c>
      <c r="F50" s="469">
        <v>0</v>
      </c>
      <c r="G50" s="469">
        <v>0</v>
      </c>
      <c r="H50" s="63">
        <v>3907</v>
      </c>
      <c r="I50" s="63">
        <v>3929</v>
      </c>
      <c r="J50" s="63">
        <v>3738</v>
      </c>
      <c r="K50" s="63">
        <v>3743</v>
      </c>
      <c r="L50" s="63">
        <v>3774</v>
      </c>
      <c r="M50" s="63">
        <v>3726</v>
      </c>
      <c r="N50" s="63">
        <v>3740</v>
      </c>
      <c r="O50" s="63">
        <v>3767</v>
      </c>
      <c r="Q50" s="466" t="s">
        <v>1032</v>
      </c>
    </row>
    <row r="51" spans="1:17">
      <c r="A51" s="422">
        <v>23</v>
      </c>
      <c r="B51" s="466" t="s">
        <v>2441</v>
      </c>
      <c r="C51" s="62" t="s">
        <v>9582</v>
      </c>
      <c r="D51" s="469">
        <v>0</v>
      </c>
      <c r="E51" s="469">
        <v>0</v>
      </c>
      <c r="F51" s="469">
        <v>0</v>
      </c>
      <c r="G51" s="469">
        <v>0</v>
      </c>
      <c r="H51" s="63">
        <v>3635</v>
      </c>
      <c r="I51" s="63">
        <v>3635</v>
      </c>
      <c r="J51" s="63">
        <v>3445</v>
      </c>
      <c r="K51" s="63">
        <v>3573</v>
      </c>
      <c r="L51" s="63">
        <v>3548</v>
      </c>
      <c r="M51" s="63">
        <v>3500</v>
      </c>
      <c r="N51" s="63">
        <v>3581</v>
      </c>
      <c r="O51" s="63">
        <v>3610</v>
      </c>
      <c r="Q51" s="466" t="s">
        <v>1032</v>
      </c>
    </row>
    <row r="52" spans="1:17">
      <c r="A52" s="422">
        <v>24</v>
      </c>
      <c r="B52" s="466" t="s">
        <v>2442</v>
      </c>
      <c r="C52" s="62" t="s">
        <v>9583</v>
      </c>
      <c r="D52" s="469">
        <v>0</v>
      </c>
      <c r="E52" s="469">
        <v>0</v>
      </c>
      <c r="F52" s="469">
        <v>0</v>
      </c>
      <c r="G52" s="469">
        <v>0</v>
      </c>
      <c r="H52" s="63">
        <v>4072</v>
      </c>
      <c r="I52" s="63">
        <v>4036</v>
      </c>
      <c r="J52" s="63">
        <v>3737</v>
      </c>
      <c r="K52" s="63">
        <v>3820</v>
      </c>
      <c r="L52" s="63">
        <v>3962</v>
      </c>
      <c r="M52" s="63">
        <v>3968</v>
      </c>
      <c r="N52" s="63">
        <v>4281</v>
      </c>
      <c r="O52" s="63">
        <v>4480</v>
      </c>
      <c r="Q52" s="466" t="s">
        <v>1032</v>
      </c>
    </row>
    <row r="53" spans="1:17">
      <c r="A53" s="422">
        <v>25</v>
      </c>
      <c r="B53" s="466" t="s">
        <v>1636</v>
      </c>
      <c r="C53" s="62" t="s">
        <v>9584</v>
      </c>
      <c r="D53" s="469">
        <v>0</v>
      </c>
      <c r="E53" s="469">
        <v>0</v>
      </c>
      <c r="F53" s="469">
        <v>0</v>
      </c>
      <c r="G53" s="469">
        <v>0</v>
      </c>
      <c r="H53" s="63">
        <v>3402</v>
      </c>
      <c r="I53" s="63">
        <v>3267</v>
      </c>
      <c r="J53" s="63">
        <v>2883</v>
      </c>
      <c r="K53" s="63">
        <v>2898</v>
      </c>
      <c r="L53" s="63">
        <v>2972</v>
      </c>
      <c r="M53" s="63">
        <v>2890</v>
      </c>
      <c r="N53" s="63">
        <v>3044</v>
      </c>
      <c r="O53" s="63">
        <v>3128</v>
      </c>
      <c r="Q53" s="466" t="s">
        <v>1032</v>
      </c>
    </row>
    <row r="54" spans="1:17">
      <c r="A54" s="422">
        <v>26</v>
      </c>
      <c r="B54" s="466" t="s">
        <v>9488</v>
      </c>
      <c r="C54" s="62" t="s">
        <v>9585</v>
      </c>
      <c r="D54" s="469">
        <v>0</v>
      </c>
      <c r="E54" s="469">
        <v>0</v>
      </c>
      <c r="F54" s="469">
        <v>0</v>
      </c>
      <c r="G54" s="469">
        <v>0</v>
      </c>
      <c r="H54" s="63">
        <v>4165</v>
      </c>
      <c r="I54" s="63">
        <v>4186</v>
      </c>
      <c r="J54" s="63">
        <v>3936</v>
      </c>
      <c r="K54" s="63">
        <v>3971</v>
      </c>
      <c r="L54" s="63">
        <v>4096</v>
      </c>
      <c r="M54" s="63">
        <v>4064</v>
      </c>
      <c r="N54" s="63">
        <v>4186</v>
      </c>
      <c r="O54" s="63">
        <v>4268</v>
      </c>
      <c r="Q54" s="466" t="s">
        <v>1030</v>
      </c>
    </row>
    <row r="55" spans="1:17">
      <c r="A55" s="422">
        <v>27</v>
      </c>
      <c r="B55" s="466" t="s">
        <v>3849</v>
      </c>
      <c r="C55" s="62" t="s">
        <v>9586</v>
      </c>
      <c r="D55" s="469">
        <v>0</v>
      </c>
      <c r="E55" s="469">
        <v>0</v>
      </c>
      <c r="F55" s="469">
        <v>0</v>
      </c>
      <c r="G55" s="469">
        <v>0</v>
      </c>
      <c r="H55" s="63">
        <v>3632</v>
      </c>
      <c r="I55" s="63">
        <v>3652</v>
      </c>
      <c r="J55" s="63">
        <v>3583</v>
      </c>
      <c r="K55" s="63">
        <v>3606</v>
      </c>
      <c r="L55" s="63">
        <v>3725</v>
      </c>
      <c r="M55" s="63">
        <v>3705</v>
      </c>
      <c r="N55" s="63">
        <v>3712</v>
      </c>
      <c r="O55" s="63">
        <v>3756</v>
      </c>
      <c r="Q55" s="466" t="s">
        <v>1033</v>
      </c>
    </row>
    <row r="56" spans="1:17">
      <c r="A56" s="422">
        <v>28</v>
      </c>
      <c r="B56" s="466" t="s">
        <v>3850</v>
      </c>
      <c r="C56" s="62" t="s">
        <v>9587</v>
      </c>
      <c r="D56" s="469">
        <v>0</v>
      </c>
      <c r="E56" s="469">
        <v>0</v>
      </c>
      <c r="F56" s="469">
        <v>0</v>
      </c>
      <c r="G56" s="469">
        <v>0</v>
      </c>
      <c r="H56" s="63">
        <v>4077</v>
      </c>
      <c r="I56" s="63">
        <v>4064</v>
      </c>
      <c r="J56" s="63">
        <v>3883</v>
      </c>
      <c r="K56" s="63">
        <v>3961</v>
      </c>
      <c r="L56" s="63">
        <v>3970</v>
      </c>
      <c r="M56" s="63">
        <v>3884</v>
      </c>
      <c r="N56" s="63">
        <v>3892</v>
      </c>
      <c r="O56" s="63">
        <v>3929</v>
      </c>
      <c r="Q56" s="466" t="s">
        <v>1032</v>
      </c>
    </row>
    <row r="57" spans="1:17">
      <c r="A57" s="422">
        <v>29</v>
      </c>
      <c r="B57" s="134" t="s">
        <v>3851</v>
      </c>
      <c r="C57" s="62" t="s">
        <v>9588</v>
      </c>
      <c r="D57" s="469">
        <v>0</v>
      </c>
      <c r="E57" s="469">
        <v>0</v>
      </c>
      <c r="F57" s="469">
        <v>0</v>
      </c>
      <c r="G57" s="469">
        <v>0</v>
      </c>
      <c r="H57" s="63">
        <v>3669</v>
      </c>
      <c r="I57" s="63">
        <v>3649</v>
      </c>
      <c r="J57" s="63">
        <v>3486</v>
      </c>
      <c r="K57" s="63">
        <v>3491</v>
      </c>
      <c r="L57" s="63">
        <v>3487</v>
      </c>
      <c r="M57" s="63">
        <v>3427</v>
      </c>
      <c r="N57" s="63">
        <v>3435</v>
      </c>
      <c r="O57" s="63">
        <v>3484</v>
      </c>
      <c r="Q57" s="466" t="s">
        <v>1034</v>
      </c>
    </row>
    <row r="58" spans="1:17">
      <c r="A58" s="422">
        <v>30</v>
      </c>
      <c r="B58" s="466" t="s">
        <v>2421</v>
      </c>
      <c r="C58" s="62" t="s">
        <v>9589</v>
      </c>
      <c r="D58" s="469">
        <v>0</v>
      </c>
      <c r="E58" s="469">
        <v>0</v>
      </c>
      <c r="F58" s="469">
        <v>0</v>
      </c>
      <c r="G58" s="469">
        <v>0</v>
      </c>
      <c r="H58" s="63">
        <v>3415</v>
      </c>
      <c r="I58" s="63">
        <v>3415</v>
      </c>
      <c r="J58" s="63">
        <v>3321</v>
      </c>
      <c r="K58" s="63">
        <v>3381</v>
      </c>
      <c r="L58" s="63">
        <v>3401</v>
      </c>
      <c r="M58" s="63">
        <v>3436</v>
      </c>
      <c r="N58" s="63">
        <v>3568</v>
      </c>
      <c r="O58" s="63">
        <v>3645</v>
      </c>
      <c r="Q58" s="466" t="s">
        <v>1033</v>
      </c>
    </row>
    <row r="59" spans="1:17">
      <c r="A59" s="422">
        <v>31</v>
      </c>
      <c r="B59" s="466" t="s">
        <v>2422</v>
      </c>
      <c r="C59" s="62" t="s">
        <v>9590</v>
      </c>
      <c r="D59" s="469">
        <v>0</v>
      </c>
      <c r="E59" s="469">
        <v>0</v>
      </c>
      <c r="F59" s="469">
        <v>0</v>
      </c>
      <c r="G59" s="469">
        <v>0</v>
      </c>
      <c r="H59" s="63">
        <v>3470</v>
      </c>
      <c r="I59" s="63">
        <v>3465</v>
      </c>
      <c r="J59" s="63">
        <v>3235</v>
      </c>
      <c r="K59" s="63">
        <v>3264</v>
      </c>
      <c r="L59" s="63">
        <v>3288</v>
      </c>
      <c r="M59" s="63">
        <v>3244</v>
      </c>
      <c r="N59" s="63">
        <v>3352</v>
      </c>
      <c r="O59" s="63">
        <v>3428</v>
      </c>
      <c r="Q59" s="466" t="s">
        <v>1033</v>
      </c>
    </row>
    <row r="60" spans="1:17">
      <c r="A60" s="422">
        <v>32</v>
      </c>
      <c r="B60" s="466" t="s">
        <v>3825</v>
      </c>
      <c r="C60" s="62" t="s">
        <v>9591</v>
      </c>
      <c r="D60" s="469">
        <v>0</v>
      </c>
      <c r="E60" s="469">
        <v>0</v>
      </c>
      <c r="F60" s="469">
        <v>0</v>
      </c>
      <c r="G60" s="469">
        <v>0</v>
      </c>
      <c r="H60" s="63">
        <v>3399</v>
      </c>
      <c r="I60" s="63">
        <v>3346</v>
      </c>
      <c r="J60" s="63">
        <v>3228</v>
      </c>
      <c r="K60" s="63">
        <v>3232</v>
      </c>
      <c r="L60" s="63">
        <v>3417</v>
      </c>
      <c r="M60" s="63">
        <v>3394</v>
      </c>
      <c r="N60" s="63">
        <v>3477</v>
      </c>
      <c r="O60" s="63">
        <v>3519</v>
      </c>
      <c r="Q60" s="466" t="s">
        <v>1033</v>
      </c>
    </row>
    <row r="61" spans="1:17">
      <c r="A61" s="423">
        <v>33</v>
      </c>
      <c r="B61" s="466" t="s">
        <v>3826</v>
      </c>
      <c r="C61" s="62" t="s">
        <v>9592</v>
      </c>
      <c r="D61" s="469">
        <v>0</v>
      </c>
      <c r="E61" s="469">
        <v>0</v>
      </c>
      <c r="F61" s="469">
        <v>0</v>
      </c>
      <c r="G61" s="469">
        <v>0</v>
      </c>
      <c r="H61" s="63">
        <v>3319</v>
      </c>
      <c r="I61" s="63">
        <v>3258</v>
      </c>
      <c r="J61" s="63">
        <v>3177</v>
      </c>
      <c r="K61" s="63">
        <v>3160</v>
      </c>
      <c r="L61" s="63">
        <v>3181</v>
      </c>
      <c r="M61" s="63">
        <v>3140</v>
      </c>
      <c r="N61" s="63">
        <v>3219</v>
      </c>
      <c r="O61" s="63">
        <v>3270</v>
      </c>
      <c r="Q61" s="466" t="s">
        <v>1033</v>
      </c>
    </row>
    <row r="62" spans="1:17">
      <c r="A62" s="422">
        <v>34</v>
      </c>
      <c r="B62" s="466" t="s">
        <v>3827</v>
      </c>
      <c r="C62" s="62" t="s">
        <v>9593</v>
      </c>
      <c r="D62" s="469">
        <v>0</v>
      </c>
      <c r="E62" s="469">
        <v>0</v>
      </c>
      <c r="F62" s="469">
        <v>0</v>
      </c>
      <c r="G62" s="469">
        <v>0</v>
      </c>
      <c r="H62" s="63">
        <v>3677</v>
      </c>
      <c r="I62" s="63">
        <v>3606</v>
      </c>
      <c r="J62" s="63">
        <v>3113</v>
      </c>
      <c r="K62" s="63">
        <v>3140</v>
      </c>
      <c r="L62" s="63">
        <v>3267</v>
      </c>
      <c r="M62" s="63">
        <v>3186</v>
      </c>
      <c r="N62" s="63">
        <v>3237</v>
      </c>
      <c r="O62" s="63">
        <v>3313</v>
      </c>
      <c r="Q62" s="466" t="s">
        <v>1034</v>
      </c>
    </row>
    <row r="63" spans="1:17">
      <c r="A63" s="422">
        <v>35</v>
      </c>
      <c r="B63" s="466" t="s">
        <v>4771</v>
      </c>
      <c r="C63" s="62" t="s">
        <v>9594</v>
      </c>
      <c r="D63" s="469">
        <v>0</v>
      </c>
      <c r="E63" s="469">
        <v>0</v>
      </c>
      <c r="F63" s="469">
        <v>0</v>
      </c>
      <c r="G63" s="469">
        <v>0</v>
      </c>
      <c r="H63" s="63">
        <v>4265</v>
      </c>
      <c r="I63" s="63">
        <v>4237</v>
      </c>
      <c r="J63" s="63">
        <v>3966</v>
      </c>
      <c r="K63" s="63">
        <v>3991</v>
      </c>
      <c r="L63" s="63">
        <v>4024</v>
      </c>
      <c r="M63" s="63">
        <v>3942</v>
      </c>
      <c r="N63" s="63">
        <v>3982</v>
      </c>
      <c r="O63" s="63">
        <v>4038</v>
      </c>
      <c r="Q63" s="466" t="s">
        <v>1032</v>
      </c>
    </row>
    <row r="64" spans="1:17">
      <c r="A64" s="422">
        <v>36</v>
      </c>
      <c r="B64" s="466" t="s">
        <v>3828</v>
      </c>
      <c r="C64" s="62" t="s">
        <v>9595</v>
      </c>
      <c r="D64" s="469">
        <v>0</v>
      </c>
      <c r="E64" s="469">
        <v>0</v>
      </c>
      <c r="F64" s="469">
        <v>0</v>
      </c>
      <c r="G64" s="469">
        <v>0</v>
      </c>
      <c r="H64" s="63">
        <v>3397</v>
      </c>
      <c r="I64" s="63">
        <v>3364</v>
      </c>
      <c r="J64" s="63">
        <v>3244</v>
      </c>
      <c r="K64" s="63">
        <v>3275</v>
      </c>
      <c r="L64" s="63">
        <v>3306</v>
      </c>
      <c r="M64" s="63">
        <v>3310</v>
      </c>
      <c r="N64" s="63">
        <v>3397</v>
      </c>
      <c r="O64" s="63">
        <v>3452</v>
      </c>
      <c r="Q64" s="466" t="s">
        <v>1033</v>
      </c>
    </row>
    <row r="65" spans="1:17">
      <c r="A65" s="422">
        <v>37</v>
      </c>
      <c r="B65" s="466" t="s">
        <v>3829</v>
      </c>
      <c r="C65" s="62" t="s">
        <v>9596</v>
      </c>
      <c r="D65" s="469">
        <v>0</v>
      </c>
      <c r="E65" s="469">
        <v>0</v>
      </c>
      <c r="F65" s="469">
        <v>0</v>
      </c>
      <c r="G65" s="469">
        <v>0</v>
      </c>
      <c r="H65" s="63">
        <v>3432</v>
      </c>
      <c r="I65" s="63">
        <v>3399</v>
      </c>
      <c r="J65" s="63">
        <v>3102</v>
      </c>
      <c r="K65" s="63">
        <v>3081</v>
      </c>
      <c r="L65" s="63">
        <v>3109</v>
      </c>
      <c r="M65" s="63">
        <v>3044</v>
      </c>
      <c r="N65" s="63">
        <v>3092</v>
      </c>
      <c r="O65" s="63">
        <v>3136</v>
      </c>
      <c r="Q65" s="466" t="s">
        <v>1032</v>
      </c>
    </row>
    <row r="66" spans="1:17">
      <c r="A66" s="422">
        <v>38</v>
      </c>
      <c r="B66" s="466" t="s">
        <v>3830</v>
      </c>
      <c r="C66" s="62" t="s">
        <v>9597</v>
      </c>
      <c r="D66" s="469">
        <v>0</v>
      </c>
      <c r="E66" s="469">
        <v>0</v>
      </c>
      <c r="F66" s="469">
        <v>0</v>
      </c>
      <c r="G66" s="469">
        <v>0</v>
      </c>
      <c r="H66" s="63">
        <v>4222</v>
      </c>
      <c r="I66" s="63">
        <v>4267</v>
      </c>
      <c r="J66" s="63">
        <v>4009</v>
      </c>
      <c r="K66" s="63">
        <v>4259</v>
      </c>
      <c r="L66" s="63">
        <v>4557</v>
      </c>
      <c r="M66" s="63">
        <v>4637</v>
      </c>
      <c r="N66" s="63">
        <v>4758</v>
      </c>
      <c r="O66" s="63">
        <v>4871</v>
      </c>
      <c r="Q66" s="466" t="s">
        <v>1032</v>
      </c>
    </row>
    <row r="67" spans="1:17">
      <c r="A67" s="422">
        <v>39</v>
      </c>
      <c r="B67" s="466" t="s">
        <v>11872</v>
      </c>
      <c r="C67" s="62" t="s">
        <v>9598</v>
      </c>
      <c r="D67" s="469">
        <v>0</v>
      </c>
      <c r="E67" s="469">
        <v>0</v>
      </c>
      <c r="F67" s="469">
        <v>0</v>
      </c>
      <c r="G67" s="469">
        <v>0</v>
      </c>
      <c r="H67" s="63">
        <v>2278</v>
      </c>
      <c r="I67" s="63">
        <v>2314</v>
      </c>
      <c r="J67" s="63">
        <v>2297</v>
      </c>
      <c r="K67" s="63">
        <v>2328</v>
      </c>
      <c r="L67" s="63">
        <v>2388</v>
      </c>
      <c r="M67" s="63">
        <v>2368</v>
      </c>
      <c r="N67" s="63">
        <v>2392</v>
      </c>
      <c r="O67" s="63">
        <v>2428</v>
      </c>
      <c r="Q67" s="466" t="s">
        <v>1030</v>
      </c>
    </row>
    <row r="68" spans="1:17" ht="15.75" thickBot="1">
      <c r="A68" s="422"/>
      <c r="B68" s="466"/>
      <c r="C68" s="62" t="s">
        <v>9598</v>
      </c>
      <c r="D68" s="469">
        <v>0</v>
      </c>
      <c r="E68" s="469">
        <v>0</v>
      </c>
      <c r="F68" s="469">
        <v>0</v>
      </c>
      <c r="G68" s="469">
        <v>0</v>
      </c>
      <c r="H68" s="63">
        <v>945</v>
      </c>
      <c r="I68" s="63">
        <v>944</v>
      </c>
      <c r="J68" s="63">
        <v>904</v>
      </c>
      <c r="K68" s="63">
        <v>923</v>
      </c>
      <c r="L68" s="63">
        <v>1035</v>
      </c>
      <c r="M68" s="63">
        <v>1121</v>
      </c>
      <c r="N68" s="63">
        <v>1270</v>
      </c>
      <c r="O68" s="63">
        <v>1304</v>
      </c>
      <c r="Q68" s="466" t="s">
        <v>1034</v>
      </c>
    </row>
    <row r="69" spans="1:17" ht="15.75" thickBot="1">
      <c r="A69" s="422"/>
      <c r="B69" s="466"/>
      <c r="C69" s="62" t="s">
        <v>9598</v>
      </c>
      <c r="D69" s="474">
        <f>D67+D68</f>
        <v>0</v>
      </c>
      <c r="E69" s="474">
        <f>E67+E68</f>
        <v>0</v>
      </c>
      <c r="F69" s="474">
        <f>F67+F68</f>
        <v>0</v>
      </c>
      <c r="G69" s="474">
        <f>G67+G68</f>
        <v>0</v>
      </c>
      <c r="H69" s="474">
        <f t="shared" ref="H69:M69" si="20">H67+H68</f>
        <v>3223</v>
      </c>
      <c r="I69" s="474">
        <f t="shared" si="20"/>
        <v>3258</v>
      </c>
      <c r="J69" s="474">
        <f t="shared" si="20"/>
        <v>3201</v>
      </c>
      <c r="K69" s="474">
        <f t="shared" si="20"/>
        <v>3251</v>
      </c>
      <c r="L69" s="474">
        <f t="shared" si="20"/>
        <v>3423</v>
      </c>
      <c r="M69" s="474">
        <f t="shared" si="20"/>
        <v>3489</v>
      </c>
      <c r="N69" s="474">
        <f>N67+N68</f>
        <v>3662</v>
      </c>
      <c r="O69" s="474">
        <f>O67+O68</f>
        <v>3732</v>
      </c>
      <c r="Q69" s="466"/>
    </row>
    <row r="70" spans="1:17">
      <c r="A70" s="422">
        <v>40</v>
      </c>
      <c r="B70" s="466" t="s">
        <v>3831</v>
      </c>
      <c r="C70" s="62" t="s">
        <v>9599</v>
      </c>
      <c r="D70" s="469">
        <v>0</v>
      </c>
      <c r="E70" s="469">
        <v>0</v>
      </c>
      <c r="F70" s="469">
        <v>0</v>
      </c>
      <c r="G70" s="469">
        <v>0</v>
      </c>
      <c r="H70" s="63">
        <v>3359</v>
      </c>
      <c r="I70" s="63">
        <v>3389</v>
      </c>
      <c r="J70" s="63">
        <v>3286</v>
      </c>
      <c r="K70" s="63">
        <v>3263</v>
      </c>
      <c r="L70" s="63">
        <v>3368</v>
      </c>
      <c r="M70" s="63">
        <v>3411</v>
      </c>
      <c r="N70" s="63">
        <v>3483</v>
      </c>
      <c r="O70" s="63">
        <v>3547</v>
      </c>
      <c r="Q70" s="466" t="s">
        <v>1030</v>
      </c>
    </row>
    <row r="71" spans="1:17">
      <c r="A71" s="422">
        <v>41</v>
      </c>
      <c r="B71" s="466" t="s">
        <v>3832</v>
      </c>
      <c r="C71" s="62" t="s">
        <v>9600</v>
      </c>
      <c r="D71" s="469">
        <v>0</v>
      </c>
      <c r="E71" s="469">
        <v>0</v>
      </c>
      <c r="F71" s="469">
        <v>0</v>
      </c>
      <c r="G71" s="469">
        <v>0</v>
      </c>
      <c r="H71" s="63">
        <v>3362</v>
      </c>
      <c r="I71" s="63">
        <v>3377</v>
      </c>
      <c r="J71" s="63">
        <v>3207</v>
      </c>
      <c r="K71" s="63">
        <v>3251</v>
      </c>
      <c r="L71" s="63">
        <v>3291</v>
      </c>
      <c r="M71" s="63">
        <v>3327</v>
      </c>
      <c r="N71" s="63">
        <v>3393</v>
      </c>
      <c r="O71" s="63">
        <v>3442</v>
      </c>
      <c r="Q71" s="466" t="s">
        <v>1030</v>
      </c>
    </row>
    <row r="72" spans="1:17">
      <c r="A72" s="422">
        <v>42</v>
      </c>
      <c r="B72" s="466" t="s">
        <v>3833</v>
      </c>
      <c r="C72" s="62" t="s">
        <v>9601</v>
      </c>
      <c r="D72" s="469">
        <v>0</v>
      </c>
      <c r="E72" s="469">
        <v>0</v>
      </c>
      <c r="F72" s="469">
        <v>0</v>
      </c>
      <c r="G72" s="469">
        <v>0</v>
      </c>
      <c r="H72" s="63">
        <v>4091</v>
      </c>
      <c r="I72" s="63">
        <v>4160</v>
      </c>
      <c r="J72" s="63">
        <v>4015</v>
      </c>
      <c r="K72" s="63">
        <v>4021</v>
      </c>
      <c r="L72" s="63">
        <v>4174</v>
      </c>
      <c r="M72" s="63">
        <v>4248</v>
      </c>
      <c r="N72" s="63">
        <v>4343</v>
      </c>
      <c r="O72" s="63">
        <v>4413</v>
      </c>
      <c r="Q72" s="466" t="s">
        <v>1034</v>
      </c>
    </row>
    <row r="73" spans="1:17">
      <c r="A73" s="422">
        <v>43</v>
      </c>
      <c r="B73" s="466" t="s">
        <v>3834</v>
      </c>
      <c r="C73" s="62" t="s">
        <v>9602</v>
      </c>
      <c r="D73" s="469">
        <v>0</v>
      </c>
      <c r="E73" s="469">
        <v>0</v>
      </c>
      <c r="F73" s="469">
        <v>0</v>
      </c>
      <c r="G73" s="469">
        <v>0</v>
      </c>
      <c r="H73" s="63">
        <v>3763</v>
      </c>
      <c r="I73" s="63">
        <v>3767</v>
      </c>
      <c r="J73" s="63">
        <v>3650</v>
      </c>
      <c r="K73" s="63">
        <v>3641</v>
      </c>
      <c r="L73" s="63">
        <v>3769</v>
      </c>
      <c r="M73" s="63">
        <v>3774</v>
      </c>
      <c r="N73" s="63">
        <v>3954</v>
      </c>
      <c r="O73" s="63">
        <v>4025</v>
      </c>
      <c r="Q73" s="466" t="s">
        <v>1034</v>
      </c>
    </row>
    <row r="74" spans="1:17">
      <c r="A74" s="422">
        <v>44</v>
      </c>
      <c r="B74" s="466" t="s">
        <v>3835</v>
      </c>
      <c r="C74" s="62" t="s">
        <v>9603</v>
      </c>
      <c r="D74" s="469">
        <v>0</v>
      </c>
      <c r="E74" s="469">
        <v>0</v>
      </c>
      <c r="F74" s="469">
        <v>0</v>
      </c>
      <c r="G74" s="469">
        <v>0</v>
      </c>
      <c r="H74" s="63">
        <v>3655</v>
      </c>
      <c r="I74" s="63">
        <v>3640</v>
      </c>
      <c r="J74" s="63">
        <v>3502</v>
      </c>
      <c r="K74" s="63">
        <v>3505</v>
      </c>
      <c r="L74" s="63">
        <v>3512</v>
      </c>
      <c r="M74" s="63">
        <v>3511</v>
      </c>
      <c r="N74" s="63">
        <v>3573</v>
      </c>
      <c r="O74" s="63">
        <v>3619</v>
      </c>
      <c r="Q74" s="466" t="s">
        <v>1034</v>
      </c>
    </row>
    <row r="75" spans="1:17">
      <c r="A75" s="422">
        <v>45</v>
      </c>
      <c r="B75" s="466" t="s">
        <v>3836</v>
      </c>
      <c r="C75" s="62" t="s">
        <v>9604</v>
      </c>
      <c r="D75" s="469">
        <v>0</v>
      </c>
      <c r="E75" s="469">
        <v>0</v>
      </c>
      <c r="F75" s="469">
        <v>0</v>
      </c>
      <c r="G75" s="469">
        <v>0</v>
      </c>
      <c r="H75" s="63">
        <v>3685</v>
      </c>
      <c r="I75" s="63">
        <v>3638</v>
      </c>
      <c r="J75" s="63">
        <v>3378</v>
      </c>
      <c r="K75" s="63">
        <v>3426</v>
      </c>
      <c r="L75" s="63">
        <v>3529</v>
      </c>
      <c r="M75" s="63">
        <v>3475</v>
      </c>
      <c r="N75" s="63">
        <v>3554</v>
      </c>
      <c r="O75" s="63">
        <v>3611</v>
      </c>
      <c r="Q75" s="466" t="s">
        <v>1034</v>
      </c>
    </row>
    <row r="76" spans="1:17">
      <c r="A76" s="422">
        <v>46</v>
      </c>
      <c r="B76" s="999" t="s">
        <v>3837</v>
      </c>
      <c r="C76" s="996" t="s">
        <v>15093</v>
      </c>
      <c r="D76" s="469">
        <v>0</v>
      </c>
      <c r="E76" s="469">
        <v>0</v>
      </c>
      <c r="F76" s="469">
        <v>0</v>
      </c>
      <c r="G76" s="469">
        <v>0</v>
      </c>
      <c r="H76" s="63">
        <v>3466</v>
      </c>
      <c r="I76" s="63">
        <v>3451</v>
      </c>
      <c r="J76" s="63">
        <v>3179</v>
      </c>
      <c r="K76" s="63">
        <v>3200</v>
      </c>
      <c r="L76" s="63">
        <v>3321</v>
      </c>
      <c r="M76" s="63">
        <v>3433</v>
      </c>
      <c r="N76" s="63">
        <v>3481</v>
      </c>
      <c r="O76" s="63">
        <v>3573</v>
      </c>
      <c r="Q76" s="466" t="s">
        <v>1032</v>
      </c>
    </row>
    <row r="77" spans="1:17">
      <c r="A77" s="422">
        <v>47</v>
      </c>
      <c r="B77" s="466" t="s">
        <v>3838</v>
      </c>
      <c r="C77" s="62" t="s">
        <v>9605</v>
      </c>
      <c r="D77" s="469">
        <v>0</v>
      </c>
      <c r="E77" s="469">
        <v>0</v>
      </c>
      <c r="F77" s="469">
        <v>0</v>
      </c>
      <c r="G77" s="469">
        <v>0</v>
      </c>
      <c r="H77" s="63">
        <v>3504</v>
      </c>
      <c r="I77" s="63">
        <v>3533</v>
      </c>
      <c r="J77" s="63">
        <v>3440</v>
      </c>
      <c r="K77" s="63">
        <v>3426</v>
      </c>
      <c r="L77" s="63">
        <v>3498</v>
      </c>
      <c r="M77" s="63">
        <v>3496</v>
      </c>
      <c r="N77" s="63">
        <v>3587</v>
      </c>
      <c r="O77" s="63">
        <v>3649</v>
      </c>
      <c r="Q77" s="466" t="s">
        <v>1030</v>
      </c>
    </row>
    <row r="78" spans="1:17">
      <c r="A78" s="422">
        <v>48</v>
      </c>
      <c r="B78" s="466" t="s">
        <v>15</v>
      </c>
      <c r="C78" s="62" t="s">
        <v>9606</v>
      </c>
      <c r="D78" s="469">
        <v>0</v>
      </c>
      <c r="E78" s="469">
        <v>0</v>
      </c>
      <c r="F78" s="469">
        <v>0</v>
      </c>
      <c r="G78" s="469">
        <v>0</v>
      </c>
      <c r="H78" s="63">
        <v>720</v>
      </c>
      <c r="I78" s="63">
        <v>741</v>
      </c>
      <c r="J78" s="63">
        <v>709</v>
      </c>
      <c r="K78" s="63">
        <v>731</v>
      </c>
      <c r="L78" s="63">
        <v>743</v>
      </c>
      <c r="M78" s="63">
        <v>726</v>
      </c>
      <c r="N78" s="63">
        <v>744</v>
      </c>
      <c r="O78" s="63">
        <v>763</v>
      </c>
      <c r="Q78" s="466" t="s">
        <v>1030</v>
      </c>
    </row>
    <row r="79" spans="1:17" ht="15.75" thickBot="1">
      <c r="A79" s="422"/>
      <c r="B79" s="466"/>
      <c r="C79" s="62" t="s">
        <v>9606</v>
      </c>
      <c r="D79" s="469">
        <v>0</v>
      </c>
      <c r="E79" s="469">
        <v>0</v>
      </c>
      <c r="F79" s="469">
        <v>0</v>
      </c>
      <c r="G79" s="469">
        <v>0</v>
      </c>
      <c r="H79" s="63">
        <v>3242</v>
      </c>
      <c r="I79" s="63">
        <v>3261</v>
      </c>
      <c r="J79" s="63">
        <v>3124</v>
      </c>
      <c r="K79" s="63">
        <v>3130</v>
      </c>
      <c r="L79" s="63">
        <v>3215</v>
      </c>
      <c r="M79" s="63">
        <v>3305</v>
      </c>
      <c r="N79" s="63">
        <v>3450</v>
      </c>
      <c r="O79" s="63">
        <v>3500</v>
      </c>
      <c r="Q79" s="466" t="s">
        <v>1034</v>
      </c>
    </row>
    <row r="80" spans="1:17" ht="15.75" thickBot="1">
      <c r="A80" s="422"/>
      <c r="B80" s="466"/>
      <c r="C80" s="62" t="s">
        <v>9606</v>
      </c>
      <c r="D80" s="474">
        <f>D78+D79</f>
        <v>0</v>
      </c>
      <c r="E80" s="474">
        <f>E78+E79</f>
        <v>0</v>
      </c>
      <c r="F80" s="474">
        <f>F78+F79</f>
        <v>0</v>
      </c>
      <c r="G80" s="474">
        <f>G78+G79</f>
        <v>0</v>
      </c>
      <c r="H80" s="474">
        <f t="shared" ref="H80:M80" si="21">H78+H79</f>
        <v>3962</v>
      </c>
      <c r="I80" s="474">
        <f t="shared" si="21"/>
        <v>4002</v>
      </c>
      <c r="J80" s="474">
        <f t="shared" si="21"/>
        <v>3833</v>
      </c>
      <c r="K80" s="474">
        <f t="shared" si="21"/>
        <v>3861</v>
      </c>
      <c r="L80" s="474">
        <f t="shared" si="21"/>
        <v>3958</v>
      </c>
      <c r="M80" s="474">
        <f t="shared" si="21"/>
        <v>4031</v>
      </c>
      <c r="N80" s="474">
        <f>N78+N79</f>
        <v>4194</v>
      </c>
      <c r="O80" s="474">
        <f>O78+O79</f>
        <v>4263</v>
      </c>
      <c r="Q80" s="466"/>
    </row>
    <row r="81" spans="1:17">
      <c r="A81" s="422">
        <v>49</v>
      </c>
      <c r="B81" s="466" t="s">
        <v>16</v>
      </c>
      <c r="C81" s="62" t="s">
        <v>9607</v>
      </c>
      <c r="D81" s="475">
        <v>0</v>
      </c>
      <c r="E81" s="475">
        <v>0</v>
      </c>
      <c r="F81" s="475">
        <v>0</v>
      </c>
      <c r="G81" s="475">
        <v>0</v>
      </c>
      <c r="H81" s="63">
        <v>3516</v>
      </c>
      <c r="I81" s="63">
        <v>3482</v>
      </c>
      <c r="J81" s="63">
        <v>3283</v>
      </c>
      <c r="K81" s="63">
        <v>3308</v>
      </c>
      <c r="L81" s="63">
        <v>3343</v>
      </c>
      <c r="M81" s="63">
        <v>3247</v>
      </c>
      <c r="N81" s="63">
        <v>3275</v>
      </c>
      <c r="O81" s="63">
        <v>3305</v>
      </c>
      <c r="Q81" s="466" t="s">
        <v>1032</v>
      </c>
    </row>
    <row r="82" spans="1:17">
      <c r="A82" s="422">
        <v>50</v>
      </c>
      <c r="B82" s="466" t="s">
        <v>9489</v>
      </c>
      <c r="C82" s="62" t="s">
        <v>9608</v>
      </c>
      <c r="D82" s="469">
        <v>0</v>
      </c>
      <c r="E82" s="469">
        <v>0</v>
      </c>
      <c r="F82" s="469">
        <v>0</v>
      </c>
      <c r="G82" s="469">
        <v>0</v>
      </c>
      <c r="H82" s="63">
        <v>3298</v>
      </c>
      <c r="I82" s="63">
        <v>3360</v>
      </c>
      <c r="J82" s="63">
        <v>3297</v>
      </c>
      <c r="K82" s="63">
        <v>3395</v>
      </c>
      <c r="L82" s="63">
        <v>3503</v>
      </c>
      <c r="M82" s="63">
        <v>3516</v>
      </c>
      <c r="N82" s="63">
        <v>3682</v>
      </c>
      <c r="O82" s="63">
        <v>3796</v>
      </c>
      <c r="Q82" s="466" t="s">
        <v>1033</v>
      </c>
    </row>
    <row r="83" spans="1:17">
      <c r="A83" s="422">
        <v>51</v>
      </c>
      <c r="B83" s="466" t="s">
        <v>1684</v>
      </c>
      <c r="C83" s="62" t="s">
        <v>9609</v>
      </c>
      <c r="D83" s="469">
        <v>0</v>
      </c>
      <c r="E83" s="469">
        <v>0</v>
      </c>
      <c r="F83" s="469">
        <v>0</v>
      </c>
      <c r="G83" s="469">
        <v>0</v>
      </c>
      <c r="H83" s="63">
        <v>515</v>
      </c>
      <c r="I83" s="63">
        <v>515</v>
      </c>
      <c r="J83" s="63">
        <v>507</v>
      </c>
      <c r="K83" s="63">
        <v>527</v>
      </c>
      <c r="L83" s="63">
        <v>542</v>
      </c>
      <c r="M83" s="63">
        <v>529</v>
      </c>
      <c r="N83" s="63">
        <v>551</v>
      </c>
      <c r="O83" s="63">
        <v>556</v>
      </c>
      <c r="Q83" s="466" t="s">
        <v>1030</v>
      </c>
    </row>
    <row r="84" spans="1:17" ht="15.75" thickBot="1">
      <c r="A84" s="422"/>
      <c r="B84" s="466"/>
      <c r="C84" s="62" t="s">
        <v>9609</v>
      </c>
      <c r="D84" s="469">
        <v>0</v>
      </c>
      <c r="E84" s="469">
        <v>0</v>
      </c>
      <c r="F84" s="469">
        <v>0</v>
      </c>
      <c r="G84" s="469">
        <v>0</v>
      </c>
      <c r="H84" s="63">
        <v>3203</v>
      </c>
      <c r="I84" s="63">
        <v>3177</v>
      </c>
      <c r="J84" s="63">
        <v>3137</v>
      </c>
      <c r="K84" s="63">
        <v>3185</v>
      </c>
      <c r="L84" s="63">
        <v>3255</v>
      </c>
      <c r="M84" s="63">
        <v>3186</v>
      </c>
      <c r="N84" s="63">
        <v>3298</v>
      </c>
      <c r="O84" s="63">
        <v>3345</v>
      </c>
      <c r="Q84" s="466" t="s">
        <v>1033</v>
      </c>
    </row>
    <row r="85" spans="1:17" ht="15.75" thickBot="1">
      <c r="A85" s="422"/>
      <c r="B85" s="466"/>
      <c r="C85" s="62" t="s">
        <v>9609</v>
      </c>
      <c r="D85" s="474">
        <f>D83+D84</f>
        <v>0</v>
      </c>
      <c r="E85" s="474">
        <f>E83+E84</f>
        <v>0</v>
      </c>
      <c r="F85" s="474">
        <f>F83+F84</f>
        <v>0</v>
      </c>
      <c r="G85" s="474">
        <f>G83+G84</f>
        <v>0</v>
      </c>
      <c r="H85" s="474">
        <f t="shared" ref="H85:M85" si="22">H83+H84</f>
        <v>3718</v>
      </c>
      <c r="I85" s="474">
        <f t="shared" si="22"/>
        <v>3692</v>
      </c>
      <c r="J85" s="474">
        <f t="shared" si="22"/>
        <v>3644</v>
      </c>
      <c r="K85" s="474">
        <f t="shared" si="22"/>
        <v>3712</v>
      </c>
      <c r="L85" s="474">
        <f t="shared" si="22"/>
        <v>3797</v>
      </c>
      <c r="M85" s="474">
        <f t="shared" si="22"/>
        <v>3715</v>
      </c>
      <c r="N85" s="474">
        <f>N83+N84</f>
        <v>3849</v>
      </c>
      <c r="O85" s="474">
        <f>O83+O84</f>
        <v>3901</v>
      </c>
      <c r="Q85" s="466"/>
    </row>
    <row r="86" spans="1:17">
      <c r="A86" s="423">
        <v>52</v>
      </c>
      <c r="B86" s="466" t="s">
        <v>2017</v>
      </c>
      <c r="C86" s="62" t="s">
        <v>9610</v>
      </c>
      <c r="D86" s="475">
        <v>0</v>
      </c>
      <c r="E86" s="475">
        <v>0</v>
      </c>
      <c r="F86" s="475">
        <v>0</v>
      </c>
      <c r="G86" s="475">
        <v>0</v>
      </c>
      <c r="H86" s="63">
        <v>3431</v>
      </c>
      <c r="I86" s="63">
        <v>3431</v>
      </c>
      <c r="J86" s="63">
        <v>3351</v>
      </c>
      <c r="K86" s="63">
        <v>3359</v>
      </c>
      <c r="L86" s="63">
        <v>3366</v>
      </c>
      <c r="M86" s="63">
        <v>3323</v>
      </c>
      <c r="N86" s="63">
        <v>3340</v>
      </c>
      <c r="O86" s="63">
        <v>3387</v>
      </c>
      <c r="Q86" s="466" t="s">
        <v>1033</v>
      </c>
    </row>
    <row r="87" spans="1:17">
      <c r="A87" s="423">
        <v>53</v>
      </c>
      <c r="B87" s="466" t="s">
        <v>2018</v>
      </c>
      <c r="C87" s="62" t="s">
        <v>9611</v>
      </c>
      <c r="D87" s="469">
        <v>0</v>
      </c>
      <c r="E87" s="469">
        <v>0</v>
      </c>
      <c r="F87" s="469">
        <v>0</v>
      </c>
      <c r="G87" s="469">
        <v>0</v>
      </c>
      <c r="H87" s="63">
        <v>3338</v>
      </c>
      <c r="I87" s="63">
        <v>3357</v>
      </c>
      <c r="J87" s="63">
        <v>3275</v>
      </c>
      <c r="K87" s="63">
        <v>3325</v>
      </c>
      <c r="L87" s="63">
        <v>3433</v>
      </c>
      <c r="M87" s="63">
        <v>3396</v>
      </c>
      <c r="N87" s="63">
        <v>3421</v>
      </c>
      <c r="O87" s="63">
        <v>3480</v>
      </c>
      <c r="Q87" s="466" t="s">
        <v>1033</v>
      </c>
    </row>
    <row r="88" spans="1:17">
      <c r="A88" s="422">
        <v>54</v>
      </c>
      <c r="B88" s="466" t="s">
        <v>9490</v>
      </c>
      <c r="C88" s="62" t="s">
        <v>9612</v>
      </c>
      <c r="D88" s="469">
        <v>0</v>
      </c>
      <c r="E88" s="469">
        <v>0</v>
      </c>
      <c r="F88" s="469">
        <v>0</v>
      </c>
      <c r="G88" s="469">
        <v>0</v>
      </c>
      <c r="H88" s="63">
        <v>4310</v>
      </c>
      <c r="I88" s="63">
        <v>4317</v>
      </c>
      <c r="J88" s="63">
        <v>4112</v>
      </c>
      <c r="K88" s="63">
        <v>4125</v>
      </c>
      <c r="L88" s="63">
        <v>4199</v>
      </c>
      <c r="M88" s="63">
        <v>4155</v>
      </c>
      <c r="N88" s="63">
        <v>4185</v>
      </c>
      <c r="O88" s="63">
        <v>4240</v>
      </c>
      <c r="Q88" s="466" t="s">
        <v>1033</v>
      </c>
    </row>
    <row r="89" spans="1:17">
      <c r="A89" s="422">
        <v>55</v>
      </c>
      <c r="B89" s="466" t="s">
        <v>9491</v>
      </c>
      <c r="C89" s="62" t="s">
        <v>9613</v>
      </c>
      <c r="D89" s="469">
        <v>0</v>
      </c>
      <c r="E89" s="469">
        <v>0</v>
      </c>
      <c r="F89" s="469">
        <v>0</v>
      </c>
      <c r="G89" s="469">
        <v>0</v>
      </c>
      <c r="H89" s="63">
        <v>3986</v>
      </c>
      <c r="I89" s="63">
        <v>3985</v>
      </c>
      <c r="J89" s="63">
        <v>3739</v>
      </c>
      <c r="K89" s="63">
        <v>3780</v>
      </c>
      <c r="L89" s="63">
        <v>3862</v>
      </c>
      <c r="M89" s="63">
        <v>3861</v>
      </c>
      <c r="N89" s="63">
        <v>3921</v>
      </c>
      <c r="O89" s="63">
        <v>3984</v>
      </c>
      <c r="Q89" s="466" t="s">
        <v>1033</v>
      </c>
    </row>
    <row r="90" spans="1:17">
      <c r="A90" s="422">
        <v>56</v>
      </c>
      <c r="B90" s="466" t="s">
        <v>2019</v>
      </c>
      <c r="C90" s="62" t="s">
        <v>9614</v>
      </c>
      <c r="D90" s="469">
        <v>0</v>
      </c>
      <c r="E90" s="469">
        <v>0</v>
      </c>
      <c r="F90" s="469">
        <v>0</v>
      </c>
      <c r="G90" s="469">
        <v>0</v>
      </c>
      <c r="H90" s="63">
        <v>4027</v>
      </c>
      <c r="I90" s="63">
        <v>4067</v>
      </c>
      <c r="J90" s="63">
        <v>3957</v>
      </c>
      <c r="K90" s="63">
        <v>3964</v>
      </c>
      <c r="L90" s="63">
        <v>4030</v>
      </c>
      <c r="M90" s="63">
        <v>3982</v>
      </c>
      <c r="N90" s="63">
        <v>4056</v>
      </c>
      <c r="O90" s="63">
        <v>4128</v>
      </c>
      <c r="Q90" s="466" t="s">
        <v>1030</v>
      </c>
    </row>
    <row r="91" spans="1:17">
      <c r="A91" s="422">
        <v>57</v>
      </c>
      <c r="B91" s="466" t="s">
        <v>2020</v>
      </c>
      <c r="C91" s="62" t="s">
        <v>9615</v>
      </c>
      <c r="D91" s="469">
        <v>0</v>
      </c>
      <c r="E91" s="469">
        <v>0</v>
      </c>
      <c r="F91" s="469">
        <v>0</v>
      </c>
      <c r="G91" s="469">
        <v>0</v>
      </c>
      <c r="H91" s="63">
        <v>3653</v>
      </c>
      <c r="I91" s="63">
        <v>3677</v>
      </c>
      <c r="J91" s="63">
        <v>3425</v>
      </c>
      <c r="K91" s="63">
        <v>3555</v>
      </c>
      <c r="L91" s="63">
        <v>3746</v>
      </c>
      <c r="M91" s="63">
        <v>3825</v>
      </c>
      <c r="N91" s="63">
        <v>4016</v>
      </c>
      <c r="O91" s="63">
        <v>4063</v>
      </c>
      <c r="Q91" s="466" t="s">
        <v>1034</v>
      </c>
    </row>
    <row r="92" spans="1:17">
      <c r="A92" s="422">
        <v>58</v>
      </c>
      <c r="B92" s="999" t="s">
        <v>2021</v>
      </c>
      <c r="C92" s="996" t="s">
        <v>15094</v>
      </c>
      <c r="D92" s="469">
        <v>0</v>
      </c>
      <c r="E92" s="469">
        <v>0</v>
      </c>
      <c r="F92" s="469">
        <v>0</v>
      </c>
      <c r="G92" s="469">
        <v>0</v>
      </c>
      <c r="H92" s="63">
        <v>4225</v>
      </c>
      <c r="I92" s="63">
        <v>4251</v>
      </c>
      <c r="J92" s="63">
        <v>4146</v>
      </c>
      <c r="K92" s="63">
        <v>4410</v>
      </c>
      <c r="L92" s="63">
        <v>4572</v>
      </c>
      <c r="M92" s="63">
        <v>4621</v>
      </c>
      <c r="N92" s="63">
        <v>4672</v>
      </c>
      <c r="O92" s="63">
        <v>4748</v>
      </c>
      <c r="Q92" s="466" t="s">
        <v>1032</v>
      </c>
    </row>
    <row r="93" spans="1:17">
      <c r="A93" s="422">
        <v>59</v>
      </c>
      <c r="B93" s="466" t="s">
        <v>2022</v>
      </c>
      <c r="C93" s="62" t="s">
        <v>9616</v>
      </c>
      <c r="D93" s="469">
        <v>0</v>
      </c>
      <c r="E93" s="469">
        <v>0</v>
      </c>
      <c r="F93" s="469">
        <v>0</v>
      </c>
      <c r="G93" s="469">
        <v>0</v>
      </c>
      <c r="H93" s="63">
        <v>4023</v>
      </c>
      <c r="I93" s="63">
        <v>4082</v>
      </c>
      <c r="J93" s="63">
        <v>3962</v>
      </c>
      <c r="K93" s="63">
        <v>4041</v>
      </c>
      <c r="L93" s="63">
        <v>4179</v>
      </c>
      <c r="M93" s="63">
        <v>4136</v>
      </c>
      <c r="N93" s="63">
        <v>4335</v>
      </c>
      <c r="O93" s="63">
        <v>4435</v>
      </c>
      <c r="Q93" s="466" t="s">
        <v>1030</v>
      </c>
    </row>
    <row r="94" spans="1:17">
      <c r="A94" s="422">
        <v>60</v>
      </c>
      <c r="B94" s="466" t="s">
        <v>2023</v>
      </c>
      <c r="C94" s="62" t="s">
        <v>9617</v>
      </c>
      <c r="D94" s="469">
        <v>0</v>
      </c>
      <c r="E94" s="469">
        <v>0</v>
      </c>
      <c r="F94" s="469">
        <v>0</v>
      </c>
      <c r="G94" s="469">
        <v>0</v>
      </c>
      <c r="H94" s="63">
        <v>3554</v>
      </c>
      <c r="I94" s="63">
        <v>3497</v>
      </c>
      <c r="J94" s="63">
        <v>3180</v>
      </c>
      <c r="K94" s="63">
        <v>3229</v>
      </c>
      <c r="L94" s="63">
        <v>3325</v>
      </c>
      <c r="M94" s="63">
        <v>3272</v>
      </c>
      <c r="N94" s="63">
        <v>3318</v>
      </c>
      <c r="O94" s="63">
        <v>3365</v>
      </c>
      <c r="Q94" s="466" t="s">
        <v>1034</v>
      </c>
    </row>
    <row r="95" spans="1:17">
      <c r="A95" s="422">
        <v>61</v>
      </c>
      <c r="B95" s="466" t="s">
        <v>2024</v>
      </c>
      <c r="C95" s="62" t="s">
        <v>9618</v>
      </c>
      <c r="D95" s="469">
        <v>0</v>
      </c>
      <c r="E95" s="469">
        <v>0</v>
      </c>
      <c r="F95" s="469">
        <v>0</v>
      </c>
      <c r="G95" s="469">
        <v>0</v>
      </c>
      <c r="H95" s="63">
        <v>3697</v>
      </c>
      <c r="I95" s="63">
        <v>3737</v>
      </c>
      <c r="J95" s="63">
        <v>3579</v>
      </c>
      <c r="K95" s="63">
        <v>3593</v>
      </c>
      <c r="L95" s="63">
        <v>3624</v>
      </c>
      <c r="M95" s="63">
        <v>3686</v>
      </c>
      <c r="N95" s="63">
        <v>3690</v>
      </c>
      <c r="O95" s="63">
        <v>3733</v>
      </c>
      <c r="Q95" s="466" t="s">
        <v>1032</v>
      </c>
    </row>
    <row r="96" spans="1:17">
      <c r="A96" s="422">
        <v>62</v>
      </c>
      <c r="B96" s="466" t="s">
        <v>2025</v>
      </c>
      <c r="C96" s="62" t="s">
        <v>9619</v>
      </c>
      <c r="D96" s="475">
        <v>0</v>
      </c>
      <c r="E96" s="475">
        <v>0</v>
      </c>
      <c r="F96" s="475">
        <v>0</v>
      </c>
      <c r="G96" s="475">
        <v>0</v>
      </c>
      <c r="H96" s="469">
        <v>3932</v>
      </c>
      <c r="I96" s="63">
        <v>3948</v>
      </c>
      <c r="J96" s="63">
        <v>3831</v>
      </c>
      <c r="K96" s="63">
        <v>3930</v>
      </c>
      <c r="L96" s="63">
        <v>3979</v>
      </c>
      <c r="M96" s="63">
        <v>3901</v>
      </c>
      <c r="N96" s="63">
        <v>3909</v>
      </c>
      <c r="O96" s="63">
        <v>3980</v>
      </c>
      <c r="Q96" s="466" t="s">
        <v>1033</v>
      </c>
    </row>
    <row r="97" spans="1:17">
      <c r="A97" s="422">
        <v>63</v>
      </c>
      <c r="B97" s="466" t="s">
        <v>2026</v>
      </c>
      <c r="C97" s="62" t="s">
        <v>9620</v>
      </c>
      <c r="D97" s="475">
        <v>0</v>
      </c>
      <c r="E97" s="475">
        <v>0</v>
      </c>
      <c r="F97" s="475">
        <v>0</v>
      </c>
      <c r="G97" s="475">
        <v>0</v>
      </c>
      <c r="H97" s="63">
        <v>3699</v>
      </c>
      <c r="I97" s="63">
        <v>3703</v>
      </c>
      <c r="J97" s="63">
        <v>3505</v>
      </c>
      <c r="K97" s="63">
        <v>3552</v>
      </c>
      <c r="L97" s="63">
        <v>3559</v>
      </c>
      <c r="M97" s="63">
        <v>3496</v>
      </c>
      <c r="N97" s="63">
        <v>3509</v>
      </c>
      <c r="O97" s="63">
        <v>3544</v>
      </c>
      <c r="Q97" s="466" t="s">
        <v>1034</v>
      </c>
    </row>
    <row r="98" spans="1:17">
      <c r="A98" s="422">
        <v>64</v>
      </c>
      <c r="B98" s="466" t="s">
        <v>633</v>
      </c>
      <c r="C98" s="62" t="s">
        <v>9621</v>
      </c>
      <c r="D98" s="469">
        <v>0</v>
      </c>
      <c r="E98" s="469">
        <v>0</v>
      </c>
      <c r="F98" s="469">
        <v>0</v>
      </c>
      <c r="G98" s="469">
        <v>0</v>
      </c>
      <c r="H98" s="63">
        <v>3948</v>
      </c>
      <c r="I98" s="63">
        <v>3947</v>
      </c>
      <c r="J98" s="63">
        <v>3808</v>
      </c>
      <c r="K98" s="63">
        <v>3833</v>
      </c>
      <c r="L98" s="63">
        <v>3854</v>
      </c>
      <c r="M98" s="63">
        <v>3826</v>
      </c>
      <c r="N98" s="63">
        <v>3866</v>
      </c>
      <c r="O98" s="63">
        <v>3893</v>
      </c>
      <c r="Q98" s="466" t="s">
        <v>1033</v>
      </c>
    </row>
    <row r="99" spans="1:17">
      <c r="A99" s="422">
        <v>65</v>
      </c>
      <c r="B99" s="466" t="s">
        <v>2769</v>
      </c>
      <c r="C99" s="62" t="s">
        <v>9622</v>
      </c>
      <c r="D99" s="469">
        <v>0</v>
      </c>
      <c r="E99" s="469">
        <v>0</v>
      </c>
      <c r="F99" s="469">
        <v>0</v>
      </c>
      <c r="G99" s="469">
        <v>0</v>
      </c>
      <c r="H99" s="63">
        <v>3249</v>
      </c>
      <c r="I99" s="63">
        <v>3271</v>
      </c>
      <c r="J99" s="63">
        <v>3213</v>
      </c>
      <c r="K99" s="63">
        <v>3436</v>
      </c>
      <c r="L99" s="63">
        <v>3673</v>
      </c>
      <c r="M99" s="63">
        <v>3674</v>
      </c>
      <c r="N99" s="63">
        <v>3888</v>
      </c>
      <c r="O99" s="63">
        <v>3957</v>
      </c>
      <c r="Q99" s="466" t="s">
        <v>1032</v>
      </c>
    </row>
    <row r="100" spans="1:17">
      <c r="A100" s="422">
        <v>66</v>
      </c>
      <c r="B100" s="466" t="s">
        <v>2770</v>
      </c>
      <c r="C100" s="62" t="s">
        <v>9623</v>
      </c>
      <c r="D100" s="469">
        <v>0</v>
      </c>
      <c r="E100" s="469">
        <v>0</v>
      </c>
      <c r="F100" s="469">
        <v>0</v>
      </c>
      <c r="G100" s="469">
        <v>0</v>
      </c>
      <c r="H100" s="63">
        <v>3380</v>
      </c>
      <c r="I100" s="63">
        <v>3389</v>
      </c>
      <c r="J100" s="63">
        <v>3318</v>
      </c>
      <c r="K100" s="63">
        <v>3371</v>
      </c>
      <c r="L100" s="63">
        <v>3472</v>
      </c>
      <c r="M100" s="63">
        <v>3451</v>
      </c>
      <c r="N100" s="63">
        <v>3492</v>
      </c>
      <c r="O100" s="63">
        <v>3559</v>
      </c>
      <c r="Q100" s="466" t="s">
        <v>1030</v>
      </c>
    </row>
    <row r="101" spans="1:17">
      <c r="A101" s="422"/>
      <c r="B101" s="466"/>
      <c r="C101" s="62"/>
      <c r="H101" s="469"/>
      <c r="I101" s="469"/>
      <c r="J101" s="469"/>
      <c r="K101" s="469"/>
      <c r="L101" s="469"/>
      <c r="M101" s="469"/>
      <c r="N101" s="469"/>
      <c r="O101" s="469"/>
      <c r="Q101" s="466"/>
    </row>
    <row r="102" spans="1:17">
      <c r="A102" s="466" t="s">
        <v>1030</v>
      </c>
      <c r="C102" s="62"/>
      <c r="D102" s="468">
        <f>SUM(D29:D31)+D33+SUM(D38:D40)+D54+D67+D67+D70+D71+D77+D78+D83+D90+D93+D100</f>
        <v>57112</v>
      </c>
      <c r="E102" s="468">
        <f>SUM(E29:E31)+E33+SUM(E38:E40)+E54+E67+E67+E70+E71+E77+E78+E83+E90+E93+E100</f>
        <v>55785</v>
      </c>
      <c r="F102" s="468">
        <f>SUM(F29:F31)+F33+SUM(F38:F40)+F54+F67+F67+F70+F71+F77+F78+F83+F90+F93+F100</f>
        <v>57712</v>
      </c>
      <c r="G102" s="468">
        <f>SUM(G29:G31)+G33+SUM(G38:G40)+G54+G67+G67+G70+G71+G77+G78+G83+G90+G93+G100</f>
        <v>58392</v>
      </c>
      <c r="H102" s="468">
        <f t="shared" ref="H102:M102" si="23">SUM(H29:H31)+H33+SUM(H38:H40)+H54+H67+H70+H71+H77+H78+H83+H90+H93+H100</f>
        <v>57262</v>
      </c>
      <c r="I102" s="468">
        <f t="shared" si="23"/>
        <v>57640</v>
      </c>
      <c r="J102" s="468">
        <f t="shared" si="23"/>
        <v>55548</v>
      </c>
      <c r="K102" s="468">
        <f t="shared" si="23"/>
        <v>56234</v>
      </c>
      <c r="L102" s="468">
        <f t="shared" si="23"/>
        <v>57860</v>
      </c>
      <c r="M102" s="468">
        <f t="shared" si="23"/>
        <v>57544</v>
      </c>
      <c r="N102" s="468">
        <f>SUM(N29:N31)+N33+SUM(N38:N40)+N54+N67+N70+N71+N77+N78+N83+N90+N93+N100</f>
        <v>58962</v>
      </c>
      <c r="O102" s="468">
        <f>SUM(O29:O31)+O33+SUM(O38:O40)+O54+O67+O70+O71+O77+O78+O83+O90+O93+O100</f>
        <v>59968</v>
      </c>
      <c r="Q102" s="466"/>
    </row>
    <row r="103" spans="1:17">
      <c r="A103" s="466" t="s">
        <v>1032</v>
      </c>
      <c r="C103" s="62"/>
      <c r="D103" s="468">
        <f t="shared" ref="D103:I103" si="24">SUM(D46:D53)+D56+D63+D65+D66+D76+D81+D92+D95+D99</f>
        <v>64035</v>
      </c>
      <c r="E103" s="468">
        <f t="shared" si="24"/>
        <v>63173</v>
      </c>
      <c r="F103" s="468">
        <f t="shared" si="24"/>
        <v>63719</v>
      </c>
      <c r="G103" s="468">
        <f t="shared" si="24"/>
        <v>64674</v>
      </c>
      <c r="H103" s="468">
        <f t="shared" si="24"/>
        <v>63912</v>
      </c>
      <c r="I103" s="468">
        <f t="shared" si="24"/>
        <v>63712</v>
      </c>
      <c r="J103" s="468">
        <f t="shared" ref="J103:O103" si="25">SUM(J46:J53)+J56+J63+J65+J66+J76+J81+J92+J95+J99</f>
        <v>59819</v>
      </c>
      <c r="K103" s="468">
        <f t="shared" si="25"/>
        <v>60990</v>
      </c>
      <c r="L103" s="468">
        <f t="shared" si="25"/>
        <v>62420</v>
      </c>
      <c r="M103" s="468">
        <f t="shared" si="25"/>
        <v>62153</v>
      </c>
      <c r="N103" s="468">
        <f t="shared" si="25"/>
        <v>63520</v>
      </c>
      <c r="O103" s="468">
        <f t="shared" si="25"/>
        <v>64593</v>
      </c>
    </row>
    <row r="104" spans="1:17">
      <c r="A104" s="466" t="s">
        <v>9493</v>
      </c>
      <c r="C104" s="62"/>
      <c r="D104" s="468">
        <f t="shared" ref="D104:I104" si="26">D37+D42+D45+D55+SUM(D58:D61)+D64+D82+D84+SUM(D86:D89)+D96+D98</f>
        <v>61085</v>
      </c>
      <c r="E104" s="468">
        <f t="shared" si="26"/>
        <v>60499</v>
      </c>
      <c r="F104" s="468">
        <f t="shared" si="26"/>
        <v>60590</v>
      </c>
      <c r="G104" s="468">
        <f t="shared" si="26"/>
        <v>60978</v>
      </c>
      <c r="H104" s="468">
        <f t="shared" si="26"/>
        <v>60260</v>
      </c>
      <c r="I104" s="468">
        <f t="shared" si="26"/>
        <v>60232</v>
      </c>
      <c r="J104" s="468">
        <f t="shared" ref="J104:O104" si="27">J37+J42+J45+J55+SUM(J58:J61)+J64+J82+J84+SUM(J86:J89)+J96+J98</f>
        <v>58198</v>
      </c>
      <c r="K104" s="468">
        <f t="shared" si="27"/>
        <v>58698</v>
      </c>
      <c r="L104" s="468">
        <f t="shared" si="27"/>
        <v>59856</v>
      </c>
      <c r="M104" s="468">
        <f t="shared" si="27"/>
        <v>59298</v>
      </c>
      <c r="N104" s="468">
        <f t="shared" si="27"/>
        <v>60437</v>
      </c>
      <c r="O104" s="468">
        <f t="shared" si="27"/>
        <v>61402</v>
      </c>
    </row>
    <row r="105" spans="1:17">
      <c r="A105" s="466" t="s">
        <v>1034</v>
      </c>
      <c r="C105" s="62"/>
      <c r="D105" s="468">
        <f t="shared" ref="D105:I105" si="28">D32+SUM(D34:D36)+D41+D43+D44+D57+D62+D68+SUM(D72:D75)+D79+D91+D94+D97</f>
        <v>62882</v>
      </c>
      <c r="E105" s="468">
        <f t="shared" si="28"/>
        <v>62395</v>
      </c>
      <c r="F105" s="468">
        <f t="shared" si="28"/>
        <v>63327</v>
      </c>
      <c r="G105" s="468">
        <f t="shared" si="28"/>
        <v>64185</v>
      </c>
      <c r="H105" s="468">
        <f t="shared" si="28"/>
        <v>63267</v>
      </c>
      <c r="I105" s="468">
        <f t="shared" si="28"/>
        <v>63026</v>
      </c>
      <c r="J105" s="468">
        <f t="shared" ref="J105:O105" si="29">J32+SUM(J34:J36)+J41+J43+J44+J57+J62+J68+SUM(J72:J75)+J79+J91+J94+J97</f>
        <v>58883</v>
      </c>
      <c r="K105" s="468">
        <f t="shared" si="29"/>
        <v>59441</v>
      </c>
      <c r="L105" s="468">
        <f t="shared" si="29"/>
        <v>61162</v>
      </c>
      <c r="M105" s="468">
        <f t="shared" si="29"/>
        <v>60898</v>
      </c>
      <c r="N105" s="468">
        <f t="shared" si="29"/>
        <v>62473</v>
      </c>
      <c r="O105" s="468">
        <f t="shared" si="29"/>
        <v>63451</v>
      </c>
    </row>
    <row r="106" spans="1:17">
      <c r="C106" s="62"/>
    </row>
    <row r="107" spans="1:17">
      <c r="A107" s="134" t="s">
        <v>9492</v>
      </c>
      <c r="C107" s="62"/>
    </row>
    <row r="108" spans="1:17">
      <c r="A108" s="134" t="s">
        <v>15095</v>
      </c>
      <c r="C108" s="62"/>
    </row>
    <row r="109" spans="1:17">
      <c r="C109" s="62"/>
    </row>
    <row r="110" spans="1:17">
      <c r="C110" s="62"/>
    </row>
    <row r="111" spans="1:17">
      <c r="C111" s="62"/>
    </row>
    <row r="112" spans="1:17">
      <c r="C112" s="62"/>
    </row>
    <row r="113" spans="3:3">
      <c r="C113" s="62"/>
    </row>
    <row r="114" spans="3:3">
      <c r="C114" s="62"/>
    </row>
    <row r="115" spans="3:3">
      <c r="C115" s="62"/>
    </row>
    <row r="116" spans="3:3">
      <c r="C116" s="62"/>
    </row>
    <row r="117" spans="3:3">
      <c r="C117" s="62"/>
    </row>
    <row r="118" spans="3:3">
      <c r="C118" s="62"/>
    </row>
    <row r="119" spans="3:3">
      <c r="C119" s="62"/>
    </row>
    <row r="120" spans="3:3">
      <c r="C120" s="62"/>
    </row>
    <row r="121" spans="3:3">
      <c r="C121" s="62"/>
    </row>
    <row r="122" spans="3:3">
      <c r="C122" s="62"/>
    </row>
    <row r="123" spans="3:3">
      <c r="C123" s="62"/>
    </row>
    <row r="124" spans="3:3">
      <c r="C124" s="62"/>
    </row>
    <row r="125" spans="3:3">
      <c r="C125" s="62"/>
    </row>
    <row r="126" spans="3:3">
      <c r="C126" s="62"/>
    </row>
    <row r="127" spans="3:3">
      <c r="C127" s="62"/>
    </row>
    <row r="128" spans="3:3">
      <c r="C128" s="62"/>
    </row>
    <row r="129" spans="3:3">
      <c r="C129" s="62"/>
    </row>
    <row r="130" spans="3:3">
      <c r="C130" s="62"/>
    </row>
    <row r="131" spans="3:3">
      <c r="C131" s="62"/>
    </row>
    <row r="132" spans="3:3">
      <c r="C132" s="62"/>
    </row>
    <row r="133" spans="3:3">
      <c r="C133" s="62"/>
    </row>
    <row r="134" spans="3:3">
      <c r="C134" s="62"/>
    </row>
    <row r="135" spans="3:3">
      <c r="C135" s="62"/>
    </row>
    <row r="136" spans="3:3">
      <c r="C136" s="62"/>
    </row>
    <row r="137" spans="3:3">
      <c r="C137" s="62"/>
    </row>
    <row r="138" spans="3:3">
      <c r="C138" s="62"/>
    </row>
    <row r="139" spans="3:3">
      <c r="C139" s="62"/>
    </row>
    <row r="140" spans="3:3">
      <c r="C140" s="62"/>
    </row>
    <row r="141" spans="3:3">
      <c r="C141" s="62"/>
    </row>
    <row r="142" spans="3:3">
      <c r="C142" s="62"/>
    </row>
    <row r="143" spans="3:3">
      <c r="C143" s="62"/>
    </row>
    <row r="144" spans="3:3">
      <c r="C144" s="62"/>
    </row>
    <row r="145" spans="3:3">
      <c r="C145" s="62"/>
    </row>
    <row r="146" spans="3:3">
      <c r="C146" s="62"/>
    </row>
    <row r="147" spans="3:3">
      <c r="C147" s="62"/>
    </row>
    <row r="148" spans="3:3">
      <c r="C148" s="62"/>
    </row>
    <row r="149" spans="3:3">
      <c r="C149" s="62"/>
    </row>
    <row r="150" spans="3:3">
      <c r="C150" s="62"/>
    </row>
    <row r="151" spans="3:3">
      <c r="C151" s="62"/>
    </row>
    <row r="152" spans="3:3">
      <c r="C152" s="62"/>
    </row>
    <row r="153" spans="3:3">
      <c r="C153" s="62"/>
    </row>
    <row r="154" spans="3:3">
      <c r="C154" s="62"/>
    </row>
  </sheetData>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&amp;C&amp;8&amp;P of &amp;N</oddFooter>
  </headerFooter>
  <rowBreaks count="1" manualBreakCount="1">
    <brk id="76" max="4" man="1"/>
  </rowBreaks>
  <ignoredErrors>
    <ignoredError sqref="D4 E4 F4 G4 D14:D16 E14:E16 F14:F16 G14:G16 G9:G10 F9:F10 E9:E10 D9:D10 D12:G13 D18:D21 E18:E21 F18:F21 G18:G22 D5 E5 F5 G5 D6:D8 E6:E8 F6:F8 G6:G8 D102:G102 D28:K28 H102 H103:H105 D3:H3 H5:H8 D103:G105 H9:H16 H18:H21 D17:H17 I102:I105 I3:I10 I12:I21 J102:J105 J3:J21 K102:K105 K3:K10 K12:K21 L3:L105" unlocked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AD100"/>
  <sheetViews>
    <sheetView showGridLines="0" zoomScale="90" zoomScaleNormal="90" workbookViewId="0">
      <selection activeCell="O3" sqref="O3"/>
    </sheetView>
  </sheetViews>
  <sheetFormatPr defaultColWidth="14.5703125" defaultRowHeight="15"/>
  <cols>
    <col min="1" max="1" width="4.85546875" style="127" customWidth="1"/>
    <col min="2" max="2" width="40.7109375" style="127" customWidth="1"/>
    <col min="3" max="3" width="11.5703125" style="127" customWidth="1"/>
    <col min="4" max="15" width="10" style="127" customWidth="1"/>
    <col min="16" max="16" width="2.28515625" style="127" customWidth="1"/>
    <col min="17" max="17" width="33.140625" style="127" customWidth="1"/>
    <col min="18" max="16384" width="14.5703125" style="127"/>
  </cols>
  <sheetData>
    <row r="1" spans="1:17">
      <c r="A1" s="397" t="s">
        <v>6924</v>
      </c>
      <c r="D1" s="398">
        <v>2010</v>
      </c>
      <c r="E1" s="398">
        <v>2011</v>
      </c>
      <c r="F1" s="398">
        <v>2012</v>
      </c>
      <c r="G1" s="398">
        <v>2013</v>
      </c>
      <c r="H1" s="398">
        <v>2014</v>
      </c>
      <c r="I1" s="398">
        <v>2015</v>
      </c>
      <c r="J1" s="398">
        <v>2016</v>
      </c>
      <c r="K1" s="398">
        <v>2017</v>
      </c>
      <c r="L1" s="398">
        <v>2018</v>
      </c>
      <c r="M1" s="398">
        <v>2019</v>
      </c>
      <c r="N1" s="398">
        <v>2020</v>
      </c>
      <c r="O1" s="943" t="s">
        <v>14823</v>
      </c>
    </row>
    <row r="3" spans="1:17">
      <c r="A3" s="397" t="s">
        <v>5520</v>
      </c>
      <c r="D3" s="401">
        <f t="shared" ref="D3:J3" si="0">SUM(D17:D51)</f>
        <v>155666</v>
      </c>
      <c r="E3" s="401">
        <f t="shared" si="0"/>
        <v>157001</v>
      </c>
      <c r="F3" s="401">
        <f t="shared" si="0"/>
        <v>157809</v>
      </c>
      <c r="G3" s="401">
        <f t="shared" si="0"/>
        <v>159585</v>
      </c>
      <c r="H3" s="401">
        <f t="shared" si="0"/>
        <v>157776</v>
      </c>
      <c r="I3" s="401">
        <f t="shared" si="0"/>
        <v>156981</v>
      </c>
      <c r="J3" s="401">
        <f t="shared" si="0"/>
        <v>151312</v>
      </c>
      <c r="K3" s="401">
        <f>SUM(K17:K51)</f>
        <v>159208</v>
      </c>
      <c r="L3" s="401">
        <f>SUM(L17:L51)</f>
        <v>158288</v>
      </c>
      <c r="M3" s="401">
        <f>SUM(M17:M51)</f>
        <v>159204</v>
      </c>
      <c r="N3" s="401">
        <f>SUM(N17:N51)</f>
        <v>164273</v>
      </c>
      <c r="O3" s="401">
        <f>SUM(O17:O51)</f>
        <v>164286</v>
      </c>
    </row>
    <row r="4" spans="1:17">
      <c r="B4" s="397"/>
      <c r="C4" s="397"/>
      <c r="D4" s="399"/>
      <c r="E4" s="399"/>
      <c r="F4" s="399"/>
      <c r="G4" s="399"/>
      <c r="H4" s="399"/>
      <c r="I4" s="399"/>
      <c r="J4" s="399"/>
      <c r="K4" s="399"/>
      <c r="L4" s="399"/>
      <c r="M4" s="399"/>
      <c r="N4" s="399"/>
      <c r="O4" s="399"/>
      <c r="Q4" s="400"/>
    </row>
    <row r="5" spans="1:17">
      <c r="A5" s="397" t="s">
        <v>2476</v>
      </c>
      <c r="D5" s="401">
        <f t="shared" ref="D5:I5" si="1">D3/2</f>
        <v>77833</v>
      </c>
      <c r="E5" s="401">
        <f t="shared" si="1"/>
        <v>78500.5</v>
      </c>
      <c r="F5" s="401">
        <f t="shared" si="1"/>
        <v>78904.5</v>
      </c>
      <c r="G5" s="401">
        <f t="shared" si="1"/>
        <v>79792.5</v>
      </c>
      <c r="H5" s="401">
        <f t="shared" si="1"/>
        <v>78888</v>
      </c>
      <c r="I5" s="401">
        <f t="shared" si="1"/>
        <v>78490.5</v>
      </c>
      <c r="J5" s="401">
        <f t="shared" ref="J5:O5" si="2">J3/2</f>
        <v>75656</v>
      </c>
      <c r="K5" s="401">
        <f t="shared" si="2"/>
        <v>79604</v>
      </c>
      <c r="L5" s="401">
        <f t="shared" si="2"/>
        <v>79144</v>
      </c>
      <c r="M5" s="401">
        <f t="shared" si="2"/>
        <v>79602</v>
      </c>
      <c r="N5" s="401">
        <f t="shared" si="2"/>
        <v>82136.5</v>
      </c>
      <c r="O5" s="401">
        <f t="shared" si="2"/>
        <v>82143</v>
      </c>
    </row>
    <row r="6" spans="1:17">
      <c r="D6" s="402"/>
      <c r="E6" s="402"/>
      <c r="F6" s="402"/>
      <c r="G6" s="402"/>
      <c r="H6" s="402"/>
      <c r="I6" s="402"/>
      <c r="J6" s="402"/>
      <c r="K6" s="402"/>
      <c r="L6" s="402"/>
      <c r="M6" s="402"/>
      <c r="N6" s="402"/>
      <c r="O6" s="402"/>
    </row>
    <row r="7" spans="1:17">
      <c r="A7" s="397" t="s">
        <v>5521</v>
      </c>
      <c r="D7" s="401">
        <f t="shared" ref="D7:I7" si="3">D17+SUM(D20:D24)+D26+SUM(D28:D37)+SUM(D49:D51)</f>
        <v>77150</v>
      </c>
      <c r="E7" s="401">
        <f t="shared" si="3"/>
        <v>78223</v>
      </c>
      <c r="F7" s="401">
        <f t="shared" si="3"/>
        <v>78687</v>
      </c>
      <c r="G7" s="401">
        <f t="shared" si="3"/>
        <v>79500</v>
      </c>
      <c r="H7" s="401">
        <f t="shared" si="3"/>
        <v>79281</v>
      </c>
      <c r="I7" s="401">
        <f t="shared" si="3"/>
        <v>78808</v>
      </c>
      <c r="J7" s="401">
        <f t="shared" ref="J7:O7" si="4">J17+SUM(J20:J24)+J26+SUM(J28:J37)+SUM(J49:J51)</f>
        <v>75979</v>
      </c>
      <c r="K7" s="401">
        <f t="shared" si="4"/>
        <v>79191</v>
      </c>
      <c r="L7" s="401">
        <f t="shared" si="4"/>
        <v>78469</v>
      </c>
      <c r="M7" s="401">
        <f t="shared" si="4"/>
        <v>78600</v>
      </c>
      <c r="N7" s="401">
        <f t="shared" si="4"/>
        <v>80898</v>
      </c>
      <c r="O7" s="401">
        <f t="shared" si="4"/>
        <v>80869</v>
      </c>
      <c r="Q7" s="397" t="s">
        <v>3989</v>
      </c>
    </row>
    <row r="8" spans="1:17">
      <c r="D8" s="399"/>
      <c r="E8" s="399"/>
      <c r="F8" s="399"/>
      <c r="G8" s="399"/>
      <c r="H8" s="399"/>
      <c r="I8" s="399"/>
      <c r="J8" s="399"/>
      <c r="K8" s="399"/>
      <c r="L8" s="399"/>
      <c r="M8" s="399"/>
      <c r="N8" s="399"/>
      <c r="O8" s="399"/>
      <c r="Q8" s="397"/>
    </row>
    <row r="9" spans="1:17">
      <c r="A9" s="397" t="s">
        <v>3990</v>
      </c>
      <c r="D9" s="401">
        <f t="shared" ref="D9:I9" si="5">D18+D19+D25+D27+SUM(D38:D48)</f>
        <v>78516</v>
      </c>
      <c r="E9" s="401">
        <f t="shared" si="5"/>
        <v>78778</v>
      </c>
      <c r="F9" s="401">
        <f t="shared" si="5"/>
        <v>79122</v>
      </c>
      <c r="G9" s="401">
        <f t="shared" si="5"/>
        <v>80085</v>
      </c>
      <c r="H9" s="401">
        <f t="shared" si="5"/>
        <v>78495</v>
      </c>
      <c r="I9" s="401">
        <f t="shared" si="5"/>
        <v>78173</v>
      </c>
      <c r="J9" s="401">
        <f t="shared" ref="J9:O9" si="6">J18+J19+J25+J27+SUM(J38:J48)</f>
        <v>75333</v>
      </c>
      <c r="K9" s="401">
        <f t="shared" si="6"/>
        <v>80017</v>
      </c>
      <c r="L9" s="401">
        <f t="shared" si="6"/>
        <v>79819</v>
      </c>
      <c r="M9" s="401">
        <f t="shared" si="6"/>
        <v>80604</v>
      </c>
      <c r="N9" s="401">
        <f t="shared" si="6"/>
        <v>83375</v>
      </c>
      <c r="O9" s="401">
        <f t="shared" si="6"/>
        <v>83417</v>
      </c>
      <c r="Q9" s="397" t="s">
        <v>3989</v>
      </c>
    </row>
    <row r="10" spans="1:17">
      <c r="D10" s="402"/>
      <c r="E10" s="402"/>
      <c r="F10" s="402"/>
      <c r="G10" s="402"/>
      <c r="H10" s="402"/>
      <c r="I10" s="402"/>
      <c r="J10" s="402"/>
      <c r="K10" s="402"/>
      <c r="L10" s="402"/>
      <c r="M10" s="402"/>
      <c r="N10" s="402"/>
      <c r="O10" s="402"/>
    </row>
    <row r="11" spans="1:17">
      <c r="A11" s="397" t="s">
        <v>6796</v>
      </c>
      <c r="D11" s="401">
        <f t="shared" ref="D11:I11" si="7">D7+D9</f>
        <v>155666</v>
      </c>
      <c r="E11" s="401">
        <f t="shared" si="7"/>
        <v>157001</v>
      </c>
      <c r="F11" s="401">
        <f t="shared" si="7"/>
        <v>157809</v>
      </c>
      <c r="G11" s="401">
        <f t="shared" si="7"/>
        <v>159585</v>
      </c>
      <c r="H11" s="401">
        <f t="shared" si="7"/>
        <v>157776</v>
      </c>
      <c r="I11" s="401">
        <f t="shared" si="7"/>
        <v>156981</v>
      </c>
      <c r="J11" s="401">
        <f t="shared" ref="J11:O11" si="8">J7+J9</f>
        <v>151312</v>
      </c>
      <c r="K11" s="401">
        <f t="shared" si="8"/>
        <v>159208</v>
      </c>
      <c r="L11" s="401">
        <f t="shared" si="8"/>
        <v>158288</v>
      </c>
      <c r="M11" s="401">
        <f t="shared" si="8"/>
        <v>159204</v>
      </c>
      <c r="N11" s="401">
        <f t="shared" si="8"/>
        <v>164273</v>
      </c>
      <c r="O11" s="401">
        <f t="shared" si="8"/>
        <v>164286</v>
      </c>
    </row>
    <row r="12" spans="1:17">
      <c r="D12" s="402"/>
      <c r="E12" s="402"/>
      <c r="F12" s="402"/>
      <c r="G12" s="402"/>
      <c r="H12" s="402"/>
      <c r="I12" s="402"/>
      <c r="J12" s="402"/>
      <c r="K12" s="402"/>
      <c r="L12" s="402"/>
      <c r="M12" s="402"/>
      <c r="N12" s="402"/>
      <c r="O12" s="402"/>
    </row>
    <row r="13" spans="1:17">
      <c r="A13" s="397" t="s">
        <v>6797</v>
      </c>
      <c r="D13" s="401">
        <f t="shared" ref="D13:I13" si="9">MAX(D7,D9)-MIN(D7,D9)</f>
        <v>1366</v>
      </c>
      <c r="E13" s="401">
        <f t="shared" si="9"/>
        <v>555</v>
      </c>
      <c r="F13" s="401">
        <f t="shared" si="9"/>
        <v>435</v>
      </c>
      <c r="G13" s="401">
        <f t="shared" si="9"/>
        <v>585</v>
      </c>
      <c r="H13" s="401">
        <f t="shared" si="9"/>
        <v>786</v>
      </c>
      <c r="I13" s="401">
        <f t="shared" si="9"/>
        <v>635</v>
      </c>
      <c r="J13" s="401">
        <f t="shared" ref="J13:O13" si="10">MAX(J7,J9)-MIN(J7,J9)</f>
        <v>646</v>
      </c>
      <c r="K13" s="401">
        <f t="shared" si="10"/>
        <v>826</v>
      </c>
      <c r="L13" s="401">
        <f t="shared" si="10"/>
        <v>1350</v>
      </c>
      <c r="M13" s="401">
        <f t="shared" si="10"/>
        <v>2004</v>
      </c>
      <c r="N13" s="401">
        <f t="shared" si="10"/>
        <v>2477</v>
      </c>
      <c r="O13" s="401">
        <f t="shared" si="10"/>
        <v>2548</v>
      </c>
    </row>
    <row r="14" spans="1:17">
      <c r="D14" s="402"/>
      <c r="E14" s="402"/>
      <c r="F14" s="402"/>
      <c r="G14" s="402"/>
      <c r="H14" s="402"/>
      <c r="I14" s="402"/>
      <c r="J14" s="402"/>
      <c r="K14" s="402"/>
      <c r="L14" s="402"/>
      <c r="M14" s="402"/>
      <c r="N14" s="402"/>
      <c r="O14" s="402"/>
    </row>
    <row r="15" spans="1:17">
      <c r="A15" s="397" t="s">
        <v>6800</v>
      </c>
      <c r="D15" s="401">
        <f t="shared" ref="D15:I15" si="11">STDEVP(D7,D9)</f>
        <v>683</v>
      </c>
      <c r="E15" s="401">
        <f t="shared" si="11"/>
        <v>277.5</v>
      </c>
      <c r="F15" s="401">
        <f t="shared" si="11"/>
        <v>217.5</v>
      </c>
      <c r="G15" s="401">
        <f t="shared" si="11"/>
        <v>292.5</v>
      </c>
      <c r="H15" s="401">
        <f t="shared" si="11"/>
        <v>393</v>
      </c>
      <c r="I15" s="401">
        <f t="shared" si="11"/>
        <v>317.5</v>
      </c>
      <c r="J15" s="401">
        <f t="shared" ref="J15:O15" si="12">STDEVP(J7,J9)</f>
        <v>323</v>
      </c>
      <c r="K15" s="401">
        <f t="shared" si="12"/>
        <v>413</v>
      </c>
      <c r="L15" s="401">
        <f t="shared" si="12"/>
        <v>675</v>
      </c>
      <c r="M15" s="401">
        <f t="shared" si="12"/>
        <v>1002</v>
      </c>
      <c r="N15" s="401">
        <f t="shared" si="12"/>
        <v>1238.5</v>
      </c>
      <c r="O15" s="401">
        <f t="shared" si="12"/>
        <v>1274</v>
      </c>
    </row>
    <row r="17" spans="1:17">
      <c r="A17" s="320">
        <v>1</v>
      </c>
      <c r="B17" s="397" t="s">
        <v>3991</v>
      </c>
      <c r="C17" s="55" t="s">
        <v>10972</v>
      </c>
      <c r="D17" s="401">
        <v>77150</v>
      </c>
      <c r="E17" s="401">
        <v>78223</v>
      </c>
      <c r="F17" s="401">
        <v>78687</v>
      </c>
      <c r="G17" s="56">
        <v>79500</v>
      </c>
      <c r="H17" s="56">
        <v>79281</v>
      </c>
      <c r="I17" s="56">
        <v>78808</v>
      </c>
      <c r="J17" s="56">
        <v>3514</v>
      </c>
      <c r="K17" s="56">
        <v>3603</v>
      </c>
      <c r="L17" s="56">
        <v>3591</v>
      </c>
      <c r="M17" s="56">
        <v>3591</v>
      </c>
      <c r="N17" s="56">
        <v>3656</v>
      </c>
      <c r="O17" s="56">
        <v>3652</v>
      </c>
      <c r="Q17" s="397" t="s">
        <v>5521</v>
      </c>
    </row>
    <row r="18" spans="1:17">
      <c r="A18" s="320">
        <v>2</v>
      </c>
      <c r="B18" s="397" t="s">
        <v>10974</v>
      </c>
      <c r="C18" s="55" t="s">
        <v>10993</v>
      </c>
      <c r="D18" s="401">
        <v>78516</v>
      </c>
      <c r="E18" s="401">
        <v>78778</v>
      </c>
      <c r="F18" s="401">
        <v>79122</v>
      </c>
      <c r="G18" s="58">
        <v>80085</v>
      </c>
      <c r="H18" s="58">
        <v>78495</v>
      </c>
      <c r="I18" s="58">
        <v>78173</v>
      </c>
      <c r="J18" s="58">
        <v>5802</v>
      </c>
      <c r="K18" s="58">
        <v>6079</v>
      </c>
      <c r="L18" s="58">
        <v>5989</v>
      </c>
      <c r="M18" s="58">
        <v>6011</v>
      </c>
      <c r="N18" s="58">
        <v>6247</v>
      </c>
      <c r="O18" s="58">
        <v>6256</v>
      </c>
      <c r="Q18" s="397" t="s">
        <v>3990</v>
      </c>
    </row>
    <row r="19" spans="1:17">
      <c r="A19" s="320">
        <v>3</v>
      </c>
      <c r="B19" s="397" t="s">
        <v>10975</v>
      </c>
      <c r="C19" s="55" t="s">
        <v>10994</v>
      </c>
      <c r="D19" s="401">
        <v>0</v>
      </c>
      <c r="E19" s="401">
        <v>0</v>
      </c>
      <c r="F19" s="401">
        <v>0</v>
      </c>
      <c r="G19" s="58">
        <v>0</v>
      </c>
      <c r="H19" s="58">
        <v>0</v>
      </c>
      <c r="I19" s="58">
        <v>0</v>
      </c>
      <c r="J19" s="58">
        <v>2998</v>
      </c>
      <c r="K19" s="58">
        <v>3136</v>
      </c>
      <c r="L19" s="58">
        <v>3087</v>
      </c>
      <c r="M19" s="58">
        <v>3028</v>
      </c>
      <c r="N19" s="58">
        <v>3200</v>
      </c>
      <c r="O19" s="58">
        <v>3204</v>
      </c>
      <c r="Q19" s="397" t="s">
        <v>3990</v>
      </c>
    </row>
    <row r="20" spans="1:17">
      <c r="A20" s="320">
        <v>4</v>
      </c>
      <c r="B20" s="397" t="s">
        <v>2554</v>
      </c>
      <c r="C20" s="55" t="s">
        <v>10995</v>
      </c>
      <c r="D20" s="401">
        <v>0</v>
      </c>
      <c r="E20" s="401">
        <v>0</v>
      </c>
      <c r="F20" s="401">
        <v>0</v>
      </c>
      <c r="G20" s="58">
        <v>0</v>
      </c>
      <c r="H20" s="58">
        <v>0</v>
      </c>
      <c r="I20" s="58">
        <v>0</v>
      </c>
      <c r="J20" s="56">
        <v>3153</v>
      </c>
      <c r="K20" s="56">
        <v>3334</v>
      </c>
      <c r="L20" s="56">
        <v>3249</v>
      </c>
      <c r="M20" s="56">
        <v>3300</v>
      </c>
      <c r="N20" s="56">
        <v>3402</v>
      </c>
      <c r="O20" s="56">
        <v>3402</v>
      </c>
      <c r="Q20" s="397" t="s">
        <v>5521</v>
      </c>
    </row>
    <row r="21" spans="1:17">
      <c r="A21" s="320">
        <v>5</v>
      </c>
      <c r="B21" s="397" t="s">
        <v>2555</v>
      </c>
      <c r="C21" s="55" t="s">
        <v>10996</v>
      </c>
      <c r="D21" s="401">
        <v>0</v>
      </c>
      <c r="E21" s="401">
        <v>0</v>
      </c>
      <c r="F21" s="401">
        <v>0</v>
      </c>
      <c r="G21" s="58">
        <v>0</v>
      </c>
      <c r="H21" s="58">
        <v>0</v>
      </c>
      <c r="I21" s="58">
        <v>0</v>
      </c>
      <c r="J21" s="56">
        <v>3218</v>
      </c>
      <c r="K21" s="56">
        <v>3358</v>
      </c>
      <c r="L21" s="56">
        <v>3285</v>
      </c>
      <c r="M21" s="56">
        <v>3263</v>
      </c>
      <c r="N21" s="56">
        <v>3297</v>
      </c>
      <c r="O21" s="56">
        <v>3304</v>
      </c>
      <c r="Q21" s="397" t="s">
        <v>5521</v>
      </c>
    </row>
    <row r="22" spans="1:17">
      <c r="A22" s="320">
        <v>6</v>
      </c>
      <c r="B22" s="397" t="s">
        <v>2556</v>
      </c>
      <c r="C22" s="55" t="s">
        <v>10997</v>
      </c>
      <c r="D22" s="401">
        <v>0</v>
      </c>
      <c r="E22" s="401">
        <v>0</v>
      </c>
      <c r="F22" s="401">
        <v>0</v>
      </c>
      <c r="G22" s="58">
        <v>0</v>
      </c>
      <c r="H22" s="58">
        <v>0</v>
      </c>
      <c r="I22" s="58">
        <v>0</v>
      </c>
      <c r="J22" s="56">
        <v>3346</v>
      </c>
      <c r="K22" s="56">
        <v>3553</v>
      </c>
      <c r="L22" s="56">
        <v>3516</v>
      </c>
      <c r="M22" s="56">
        <v>3508</v>
      </c>
      <c r="N22" s="56">
        <v>3603</v>
      </c>
      <c r="O22" s="56">
        <v>3597</v>
      </c>
      <c r="Q22" s="397" t="s">
        <v>5521</v>
      </c>
    </row>
    <row r="23" spans="1:17">
      <c r="A23" s="320">
        <v>7</v>
      </c>
      <c r="B23" s="397" t="s">
        <v>2557</v>
      </c>
      <c r="C23" s="55" t="s">
        <v>10998</v>
      </c>
      <c r="D23" s="401">
        <v>0</v>
      </c>
      <c r="E23" s="401">
        <v>0</v>
      </c>
      <c r="F23" s="401">
        <v>0</v>
      </c>
      <c r="G23" s="58">
        <v>0</v>
      </c>
      <c r="H23" s="58">
        <v>0</v>
      </c>
      <c r="I23" s="58">
        <v>0</v>
      </c>
      <c r="J23" s="56">
        <v>3091</v>
      </c>
      <c r="K23" s="56">
        <v>3166</v>
      </c>
      <c r="L23" s="56">
        <v>3164</v>
      </c>
      <c r="M23" s="56">
        <v>3200</v>
      </c>
      <c r="N23" s="56">
        <v>3309</v>
      </c>
      <c r="O23" s="56">
        <v>3307</v>
      </c>
      <c r="Q23" s="397" t="s">
        <v>5521</v>
      </c>
    </row>
    <row r="24" spans="1:17">
      <c r="A24" s="320">
        <v>8</v>
      </c>
      <c r="B24" s="397" t="s">
        <v>2558</v>
      </c>
      <c r="C24" s="55" t="s">
        <v>10999</v>
      </c>
      <c r="D24" s="401">
        <v>0</v>
      </c>
      <c r="E24" s="401">
        <v>0</v>
      </c>
      <c r="F24" s="401">
        <v>0</v>
      </c>
      <c r="G24" s="58">
        <v>0</v>
      </c>
      <c r="H24" s="58">
        <v>0</v>
      </c>
      <c r="I24" s="58">
        <v>0</v>
      </c>
      <c r="J24" s="56">
        <v>3156</v>
      </c>
      <c r="K24" s="56">
        <v>3261</v>
      </c>
      <c r="L24" s="56">
        <v>3282</v>
      </c>
      <c r="M24" s="56">
        <v>3301</v>
      </c>
      <c r="N24" s="56">
        <v>3345</v>
      </c>
      <c r="O24" s="56">
        <v>3344</v>
      </c>
      <c r="Q24" s="397" t="s">
        <v>5521</v>
      </c>
    </row>
    <row r="25" spans="1:17">
      <c r="A25" s="320">
        <v>9</v>
      </c>
      <c r="B25" s="397" t="s">
        <v>10976</v>
      </c>
      <c r="C25" s="55" t="s">
        <v>11000</v>
      </c>
      <c r="D25" s="401">
        <v>0</v>
      </c>
      <c r="E25" s="401">
        <v>0</v>
      </c>
      <c r="F25" s="401">
        <v>0</v>
      </c>
      <c r="G25" s="58">
        <v>0</v>
      </c>
      <c r="H25" s="58">
        <v>0</v>
      </c>
      <c r="I25" s="58">
        <v>0</v>
      </c>
      <c r="J25" s="58">
        <v>3007</v>
      </c>
      <c r="K25" s="58">
        <v>3162</v>
      </c>
      <c r="L25" s="58">
        <v>3117</v>
      </c>
      <c r="M25" s="58">
        <v>3115</v>
      </c>
      <c r="N25" s="58">
        <v>3227</v>
      </c>
      <c r="O25" s="58">
        <v>3235</v>
      </c>
      <c r="Q25" s="397" t="s">
        <v>3990</v>
      </c>
    </row>
    <row r="26" spans="1:17">
      <c r="A26" s="320">
        <v>10</v>
      </c>
      <c r="B26" s="397" t="s">
        <v>10977</v>
      </c>
      <c r="C26" s="55" t="s">
        <v>11001</v>
      </c>
      <c r="D26" s="401">
        <v>0</v>
      </c>
      <c r="E26" s="401">
        <v>0</v>
      </c>
      <c r="F26" s="401">
        <v>0</v>
      </c>
      <c r="G26" s="58">
        <v>0</v>
      </c>
      <c r="H26" s="58">
        <v>0</v>
      </c>
      <c r="I26" s="58">
        <v>0</v>
      </c>
      <c r="J26" s="56">
        <v>3370</v>
      </c>
      <c r="K26" s="56">
        <v>3484</v>
      </c>
      <c r="L26" s="56">
        <v>3436</v>
      </c>
      <c r="M26" s="56">
        <v>3398</v>
      </c>
      <c r="N26" s="56">
        <v>3508</v>
      </c>
      <c r="O26" s="56">
        <v>3505</v>
      </c>
      <c r="Q26" s="397" t="s">
        <v>5521</v>
      </c>
    </row>
    <row r="27" spans="1:17">
      <c r="A27" s="320">
        <v>11</v>
      </c>
      <c r="B27" s="397" t="s">
        <v>10978</v>
      </c>
      <c r="C27" s="55" t="s">
        <v>11002</v>
      </c>
      <c r="D27" s="401">
        <v>0</v>
      </c>
      <c r="E27" s="401">
        <v>0</v>
      </c>
      <c r="F27" s="401">
        <v>0</v>
      </c>
      <c r="G27" s="58">
        <v>0</v>
      </c>
      <c r="H27" s="58">
        <v>0</v>
      </c>
      <c r="I27" s="58">
        <v>0</v>
      </c>
      <c r="J27" s="58">
        <v>5455</v>
      </c>
      <c r="K27" s="58">
        <v>5715</v>
      </c>
      <c r="L27" s="58">
        <v>5739</v>
      </c>
      <c r="M27" s="58">
        <v>5856</v>
      </c>
      <c r="N27" s="58">
        <v>6054</v>
      </c>
      <c r="O27" s="58">
        <v>6066</v>
      </c>
      <c r="Q27" s="397" t="s">
        <v>3990</v>
      </c>
    </row>
    <row r="28" spans="1:17">
      <c r="A28" s="320">
        <v>12</v>
      </c>
      <c r="B28" s="397" t="s">
        <v>10979</v>
      </c>
      <c r="C28" s="55" t="s">
        <v>11003</v>
      </c>
      <c r="D28" s="401">
        <v>0</v>
      </c>
      <c r="E28" s="401">
        <v>0</v>
      </c>
      <c r="F28" s="401">
        <v>0</v>
      </c>
      <c r="G28" s="58">
        <v>0</v>
      </c>
      <c r="H28" s="58">
        <v>0</v>
      </c>
      <c r="I28" s="58">
        <v>0</v>
      </c>
      <c r="J28" s="56">
        <v>6267</v>
      </c>
      <c r="K28" s="56">
        <v>6513</v>
      </c>
      <c r="L28" s="56">
        <v>6494</v>
      </c>
      <c r="M28" s="56">
        <v>6510</v>
      </c>
      <c r="N28" s="56">
        <v>6779</v>
      </c>
      <c r="O28" s="56">
        <v>6775</v>
      </c>
      <c r="Q28" s="397" t="s">
        <v>5521</v>
      </c>
    </row>
    <row r="29" spans="1:17">
      <c r="A29" s="320">
        <v>13</v>
      </c>
      <c r="B29" s="397" t="s">
        <v>10980</v>
      </c>
      <c r="C29" s="55" t="s">
        <v>11004</v>
      </c>
      <c r="D29" s="401">
        <v>0</v>
      </c>
      <c r="E29" s="401">
        <v>0</v>
      </c>
      <c r="F29" s="401">
        <v>0</v>
      </c>
      <c r="G29" s="58">
        <v>0</v>
      </c>
      <c r="H29" s="58">
        <v>0</v>
      </c>
      <c r="I29" s="58">
        <v>0</v>
      </c>
      <c r="J29" s="56">
        <v>3330</v>
      </c>
      <c r="K29" s="56">
        <v>3387</v>
      </c>
      <c r="L29" s="56">
        <v>3329</v>
      </c>
      <c r="M29" s="56">
        <v>3293</v>
      </c>
      <c r="N29" s="56">
        <v>3326</v>
      </c>
      <c r="O29" s="56">
        <v>3330</v>
      </c>
      <c r="Q29" s="397" t="s">
        <v>5521</v>
      </c>
    </row>
    <row r="30" spans="1:17">
      <c r="A30" s="320">
        <v>14</v>
      </c>
      <c r="B30" s="397" t="s">
        <v>10981</v>
      </c>
      <c r="C30" s="55" t="s">
        <v>11005</v>
      </c>
      <c r="D30" s="401">
        <v>0</v>
      </c>
      <c r="E30" s="401">
        <v>0</v>
      </c>
      <c r="F30" s="401">
        <v>0</v>
      </c>
      <c r="G30" s="58">
        <v>0</v>
      </c>
      <c r="H30" s="58">
        <v>0</v>
      </c>
      <c r="I30" s="58">
        <v>0</v>
      </c>
      <c r="J30" s="56">
        <v>2931</v>
      </c>
      <c r="K30" s="56">
        <v>3043</v>
      </c>
      <c r="L30" s="56">
        <v>2978</v>
      </c>
      <c r="M30" s="56">
        <v>3018</v>
      </c>
      <c r="N30" s="56">
        <v>3049</v>
      </c>
      <c r="O30" s="56">
        <v>3045</v>
      </c>
      <c r="Q30" s="397" t="s">
        <v>5521</v>
      </c>
    </row>
    <row r="31" spans="1:17">
      <c r="A31" s="320">
        <v>15</v>
      </c>
      <c r="B31" s="397" t="s">
        <v>10982</v>
      </c>
      <c r="C31" s="55" t="s">
        <v>11006</v>
      </c>
      <c r="D31" s="401">
        <v>0</v>
      </c>
      <c r="E31" s="401">
        <v>0</v>
      </c>
      <c r="F31" s="401">
        <v>0</v>
      </c>
      <c r="G31" s="58">
        <v>0</v>
      </c>
      <c r="H31" s="58">
        <v>0</v>
      </c>
      <c r="I31" s="58">
        <v>0</v>
      </c>
      <c r="J31" s="56">
        <v>3226</v>
      </c>
      <c r="K31" s="56">
        <v>3410</v>
      </c>
      <c r="L31" s="56">
        <v>3416</v>
      </c>
      <c r="M31" s="56">
        <v>3403</v>
      </c>
      <c r="N31" s="56">
        <v>3494</v>
      </c>
      <c r="O31" s="56">
        <v>3492</v>
      </c>
      <c r="Q31" s="397" t="s">
        <v>5521</v>
      </c>
    </row>
    <row r="32" spans="1:17">
      <c r="A32" s="320">
        <v>16</v>
      </c>
      <c r="B32" s="397" t="s">
        <v>10983</v>
      </c>
      <c r="C32" s="55" t="s">
        <v>11007</v>
      </c>
      <c r="D32" s="401">
        <v>0</v>
      </c>
      <c r="E32" s="401">
        <v>0</v>
      </c>
      <c r="F32" s="401">
        <v>0</v>
      </c>
      <c r="G32" s="58">
        <v>0</v>
      </c>
      <c r="H32" s="58">
        <v>0</v>
      </c>
      <c r="I32" s="58">
        <v>0</v>
      </c>
      <c r="J32" s="56">
        <v>2757</v>
      </c>
      <c r="K32" s="56">
        <v>2822</v>
      </c>
      <c r="L32" s="56">
        <v>2799</v>
      </c>
      <c r="M32" s="56">
        <v>2782</v>
      </c>
      <c r="N32" s="56">
        <v>2852</v>
      </c>
      <c r="O32" s="56">
        <v>2850</v>
      </c>
      <c r="Q32" s="397" t="s">
        <v>5521</v>
      </c>
    </row>
    <row r="33" spans="1:17">
      <c r="A33" s="320">
        <v>17</v>
      </c>
      <c r="B33" s="397" t="s">
        <v>4003</v>
      </c>
      <c r="C33" s="55" t="s">
        <v>11008</v>
      </c>
      <c r="D33" s="401">
        <v>0</v>
      </c>
      <c r="E33" s="401">
        <v>0</v>
      </c>
      <c r="F33" s="401">
        <v>0</v>
      </c>
      <c r="G33" s="58">
        <v>0</v>
      </c>
      <c r="H33" s="58">
        <v>0</v>
      </c>
      <c r="I33" s="58">
        <v>0</v>
      </c>
      <c r="J33" s="56">
        <v>3255</v>
      </c>
      <c r="K33" s="56">
        <v>3386</v>
      </c>
      <c r="L33" s="56">
        <v>3304</v>
      </c>
      <c r="M33" s="56">
        <v>3325</v>
      </c>
      <c r="N33" s="56">
        <v>3398</v>
      </c>
      <c r="O33" s="56">
        <v>3398</v>
      </c>
      <c r="Q33" s="397" t="s">
        <v>5521</v>
      </c>
    </row>
    <row r="34" spans="1:17">
      <c r="A34" s="320">
        <v>18</v>
      </c>
      <c r="B34" s="127" t="s">
        <v>4004</v>
      </c>
      <c r="C34" s="55" t="s">
        <v>11009</v>
      </c>
      <c r="D34" s="401">
        <v>0</v>
      </c>
      <c r="E34" s="401">
        <v>0</v>
      </c>
      <c r="F34" s="401">
        <v>0</v>
      </c>
      <c r="G34" s="58">
        <v>0</v>
      </c>
      <c r="H34" s="58">
        <v>0</v>
      </c>
      <c r="I34" s="58">
        <v>0</v>
      </c>
      <c r="J34" s="56">
        <v>4926</v>
      </c>
      <c r="K34" s="56">
        <v>5254</v>
      </c>
      <c r="L34" s="56">
        <v>5241</v>
      </c>
      <c r="M34" s="56">
        <v>5250</v>
      </c>
      <c r="N34" s="56">
        <v>5535</v>
      </c>
      <c r="O34" s="56">
        <v>5536</v>
      </c>
      <c r="Q34" s="397" t="s">
        <v>5521</v>
      </c>
    </row>
    <row r="35" spans="1:17">
      <c r="A35" s="320">
        <v>19</v>
      </c>
      <c r="B35" s="397" t="s">
        <v>10984</v>
      </c>
      <c r="C35" s="55" t="s">
        <v>11010</v>
      </c>
      <c r="D35" s="401">
        <v>0</v>
      </c>
      <c r="E35" s="401">
        <v>0</v>
      </c>
      <c r="F35" s="401">
        <v>0</v>
      </c>
      <c r="G35" s="58">
        <v>0</v>
      </c>
      <c r="H35" s="58">
        <v>0</v>
      </c>
      <c r="I35" s="58">
        <v>0</v>
      </c>
      <c r="J35" s="56">
        <v>3659</v>
      </c>
      <c r="K35" s="56">
        <v>3888</v>
      </c>
      <c r="L35" s="56">
        <v>3794</v>
      </c>
      <c r="M35" s="56">
        <v>3776</v>
      </c>
      <c r="N35" s="56">
        <v>3864</v>
      </c>
      <c r="O35" s="56">
        <v>3857</v>
      </c>
      <c r="Q35" s="397" t="s">
        <v>5521</v>
      </c>
    </row>
    <row r="36" spans="1:17">
      <c r="A36" s="320">
        <v>20</v>
      </c>
      <c r="B36" s="397" t="s">
        <v>10985</v>
      </c>
      <c r="C36" s="55" t="s">
        <v>11011</v>
      </c>
      <c r="D36" s="401">
        <v>0</v>
      </c>
      <c r="E36" s="401">
        <v>0</v>
      </c>
      <c r="F36" s="401">
        <v>0</v>
      </c>
      <c r="G36" s="58">
        <v>0</v>
      </c>
      <c r="H36" s="58">
        <v>0</v>
      </c>
      <c r="I36" s="58">
        <v>0</v>
      </c>
      <c r="J36" s="58">
        <v>3191</v>
      </c>
      <c r="K36" s="58">
        <v>3301</v>
      </c>
      <c r="L36" s="58">
        <v>3285</v>
      </c>
      <c r="M36" s="58">
        <v>3303</v>
      </c>
      <c r="N36" s="58">
        <v>3317</v>
      </c>
      <c r="O36" s="58">
        <v>3314</v>
      </c>
      <c r="Q36" s="397" t="s">
        <v>5521</v>
      </c>
    </row>
    <row r="37" spans="1:17">
      <c r="A37" s="320">
        <v>21</v>
      </c>
      <c r="B37" s="397" t="s">
        <v>2563</v>
      </c>
      <c r="C37" s="55" t="s">
        <v>11012</v>
      </c>
      <c r="D37" s="401">
        <v>0</v>
      </c>
      <c r="E37" s="401">
        <v>0</v>
      </c>
      <c r="F37" s="401">
        <v>0</v>
      </c>
      <c r="G37" s="58">
        <v>0</v>
      </c>
      <c r="H37" s="58">
        <v>0</v>
      </c>
      <c r="I37" s="58">
        <v>0</v>
      </c>
      <c r="J37" s="58">
        <v>6948</v>
      </c>
      <c r="K37" s="58">
        <v>7216</v>
      </c>
      <c r="L37" s="58">
        <v>7164</v>
      </c>
      <c r="M37" s="58">
        <v>7121</v>
      </c>
      <c r="N37" s="58">
        <v>7308</v>
      </c>
      <c r="O37" s="58">
        <v>7305</v>
      </c>
      <c r="Q37" s="397" t="s">
        <v>5521</v>
      </c>
    </row>
    <row r="38" spans="1:17">
      <c r="A38" s="320">
        <v>22</v>
      </c>
      <c r="B38" s="397" t="s">
        <v>12183</v>
      </c>
      <c r="C38" s="55" t="s">
        <v>11013</v>
      </c>
      <c r="D38" s="401">
        <v>0</v>
      </c>
      <c r="E38" s="401">
        <v>0</v>
      </c>
      <c r="F38" s="401">
        <v>0</v>
      </c>
      <c r="G38" s="58">
        <v>0</v>
      </c>
      <c r="H38" s="58">
        <v>0</v>
      </c>
      <c r="I38" s="58">
        <v>0</v>
      </c>
      <c r="J38" s="58">
        <v>5514</v>
      </c>
      <c r="K38" s="58">
        <v>5811</v>
      </c>
      <c r="L38" s="58">
        <v>5814</v>
      </c>
      <c r="M38" s="58">
        <v>5921</v>
      </c>
      <c r="N38" s="58">
        <v>6066</v>
      </c>
      <c r="O38" s="58">
        <v>6070</v>
      </c>
      <c r="Q38" s="397" t="s">
        <v>3990</v>
      </c>
    </row>
    <row r="39" spans="1:17">
      <c r="A39" s="320">
        <v>23</v>
      </c>
      <c r="B39" s="397" t="s">
        <v>7505</v>
      </c>
      <c r="C39" s="55" t="s">
        <v>11014</v>
      </c>
      <c r="D39" s="401">
        <v>0</v>
      </c>
      <c r="E39" s="401">
        <v>0</v>
      </c>
      <c r="F39" s="401">
        <v>0</v>
      </c>
      <c r="G39" s="58">
        <v>0</v>
      </c>
      <c r="H39" s="58">
        <v>0</v>
      </c>
      <c r="I39" s="58">
        <v>0</v>
      </c>
      <c r="J39" s="58">
        <v>5364</v>
      </c>
      <c r="K39" s="58">
        <v>5856</v>
      </c>
      <c r="L39" s="58">
        <v>5868</v>
      </c>
      <c r="M39" s="58">
        <v>5880</v>
      </c>
      <c r="N39" s="58">
        <v>6125</v>
      </c>
      <c r="O39" s="58">
        <v>6117</v>
      </c>
      <c r="Q39" s="397" t="s">
        <v>3990</v>
      </c>
    </row>
    <row r="40" spans="1:17">
      <c r="A40" s="320">
        <v>24</v>
      </c>
      <c r="B40" s="397" t="s">
        <v>10986</v>
      </c>
      <c r="C40" s="55" t="s">
        <v>11015</v>
      </c>
      <c r="D40" s="401">
        <v>0</v>
      </c>
      <c r="E40" s="401">
        <v>0</v>
      </c>
      <c r="F40" s="401">
        <v>0</v>
      </c>
      <c r="G40" s="58">
        <v>0</v>
      </c>
      <c r="H40" s="58">
        <v>0</v>
      </c>
      <c r="I40" s="58">
        <v>0</v>
      </c>
      <c r="J40" s="58">
        <v>5854</v>
      </c>
      <c r="K40" s="58">
        <v>6347</v>
      </c>
      <c r="L40" s="58">
        <v>6206</v>
      </c>
      <c r="M40" s="58">
        <v>6229</v>
      </c>
      <c r="N40" s="58">
        <v>6519</v>
      </c>
      <c r="O40" s="58">
        <v>6524</v>
      </c>
      <c r="Q40" s="397" t="s">
        <v>3990</v>
      </c>
    </row>
    <row r="41" spans="1:17">
      <c r="A41" s="320">
        <v>25</v>
      </c>
      <c r="B41" s="397" t="s">
        <v>10987</v>
      </c>
      <c r="C41" s="55" t="s">
        <v>11016</v>
      </c>
      <c r="D41" s="401">
        <v>0</v>
      </c>
      <c r="E41" s="401">
        <v>0</v>
      </c>
      <c r="F41" s="401">
        <v>0</v>
      </c>
      <c r="G41" s="58">
        <v>0</v>
      </c>
      <c r="H41" s="58">
        <v>0</v>
      </c>
      <c r="I41" s="58">
        <v>0</v>
      </c>
      <c r="J41" s="58">
        <v>6392</v>
      </c>
      <c r="K41" s="58">
        <v>6796</v>
      </c>
      <c r="L41" s="58">
        <v>6793</v>
      </c>
      <c r="M41" s="58">
        <v>6857</v>
      </c>
      <c r="N41" s="58">
        <v>6960</v>
      </c>
      <c r="O41" s="58">
        <v>6958</v>
      </c>
      <c r="Q41" s="397" t="s">
        <v>3990</v>
      </c>
    </row>
    <row r="42" spans="1:17">
      <c r="A42" s="320">
        <v>26</v>
      </c>
      <c r="B42" s="397" t="s">
        <v>10988</v>
      </c>
      <c r="C42" s="55" t="s">
        <v>11017</v>
      </c>
      <c r="D42" s="401">
        <v>0</v>
      </c>
      <c r="E42" s="401">
        <v>0</v>
      </c>
      <c r="F42" s="401">
        <v>0</v>
      </c>
      <c r="G42" s="58">
        <v>0</v>
      </c>
      <c r="H42" s="58">
        <v>0</v>
      </c>
      <c r="I42" s="58">
        <v>0</v>
      </c>
      <c r="J42" s="58">
        <v>2959</v>
      </c>
      <c r="K42" s="58">
        <v>3099</v>
      </c>
      <c r="L42" s="58">
        <v>3165</v>
      </c>
      <c r="M42" s="58">
        <v>3188</v>
      </c>
      <c r="N42" s="58">
        <v>3266</v>
      </c>
      <c r="O42" s="58">
        <v>3264</v>
      </c>
      <c r="Q42" s="397" t="s">
        <v>3990</v>
      </c>
    </row>
    <row r="43" spans="1:17">
      <c r="A43" s="320">
        <v>27</v>
      </c>
      <c r="B43" s="397" t="s">
        <v>10989</v>
      </c>
      <c r="C43" s="55" t="s">
        <v>11018</v>
      </c>
      <c r="D43" s="401">
        <v>0</v>
      </c>
      <c r="E43" s="401">
        <v>0</v>
      </c>
      <c r="F43" s="401">
        <v>0</v>
      </c>
      <c r="G43" s="58">
        <v>0</v>
      </c>
      <c r="H43" s="58">
        <v>0</v>
      </c>
      <c r="I43" s="58">
        <v>0</v>
      </c>
      <c r="J43" s="58">
        <v>6406</v>
      </c>
      <c r="K43" s="58">
        <v>6796</v>
      </c>
      <c r="L43" s="58">
        <v>6786</v>
      </c>
      <c r="M43" s="58">
        <v>6808</v>
      </c>
      <c r="N43" s="58">
        <v>7008</v>
      </c>
      <c r="O43" s="58">
        <v>6999</v>
      </c>
      <c r="Q43" s="397" t="s">
        <v>3990</v>
      </c>
    </row>
    <row r="44" spans="1:17">
      <c r="A44" s="320">
        <v>28</v>
      </c>
      <c r="B44" s="397" t="s">
        <v>7506</v>
      </c>
      <c r="C44" s="55" t="s">
        <v>11019</v>
      </c>
      <c r="D44" s="401">
        <v>0</v>
      </c>
      <c r="E44" s="401">
        <v>0</v>
      </c>
      <c r="F44" s="401">
        <v>0</v>
      </c>
      <c r="G44" s="58">
        <v>0</v>
      </c>
      <c r="H44" s="58">
        <v>0</v>
      </c>
      <c r="I44" s="58">
        <v>0</v>
      </c>
      <c r="J44" s="58">
        <v>5945</v>
      </c>
      <c r="K44" s="58">
        <v>6135</v>
      </c>
      <c r="L44" s="58">
        <v>6109</v>
      </c>
      <c r="M44" s="58">
        <v>6123</v>
      </c>
      <c r="N44" s="58">
        <v>6225</v>
      </c>
      <c r="O44" s="58">
        <v>6224</v>
      </c>
      <c r="Q44" s="397" t="s">
        <v>3990</v>
      </c>
    </row>
    <row r="45" spans="1:17">
      <c r="A45" s="320">
        <v>29</v>
      </c>
      <c r="B45" s="397" t="s">
        <v>7507</v>
      </c>
      <c r="C45" s="55" t="s">
        <v>11020</v>
      </c>
      <c r="D45" s="401">
        <v>0</v>
      </c>
      <c r="E45" s="401">
        <v>0</v>
      </c>
      <c r="F45" s="401">
        <v>0</v>
      </c>
      <c r="G45" s="58">
        <v>0</v>
      </c>
      <c r="H45" s="58">
        <v>0</v>
      </c>
      <c r="I45" s="58">
        <v>0</v>
      </c>
      <c r="J45" s="58">
        <v>5975</v>
      </c>
      <c r="K45" s="58">
        <v>6321</v>
      </c>
      <c r="L45" s="58">
        <v>6285</v>
      </c>
      <c r="M45" s="58">
        <v>6364</v>
      </c>
      <c r="N45" s="58">
        <v>6564</v>
      </c>
      <c r="O45" s="58">
        <v>6560</v>
      </c>
      <c r="Q45" s="397" t="s">
        <v>3990</v>
      </c>
    </row>
    <row r="46" spans="1:17">
      <c r="A46" s="320">
        <v>30</v>
      </c>
      <c r="B46" s="397" t="s">
        <v>10990</v>
      </c>
      <c r="C46" s="55" t="s">
        <v>11021</v>
      </c>
      <c r="D46" s="401">
        <v>0</v>
      </c>
      <c r="E46" s="401">
        <v>0</v>
      </c>
      <c r="F46" s="401">
        <v>0</v>
      </c>
      <c r="G46" s="58">
        <v>0</v>
      </c>
      <c r="H46" s="58">
        <v>0</v>
      </c>
      <c r="I46" s="58">
        <v>0</v>
      </c>
      <c r="J46" s="58">
        <v>6090</v>
      </c>
      <c r="K46" s="58">
        <v>6361</v>
      </c>
      <c r="L46" s="58">
        <v>6323</v>
      </c>
      <c r="M46" s="58">
        <v>6317</v>
      </c>
      <c r="N46" s="58">
        <v>6525</v>
      </c>
      <c r="O46" s="58">
        <v>6519</v>
      </c>
      <c r="Q46" s="397" t="s">
        <v>3990</v>
      </c>
    </row>
    <row r="47" spans="1:17">
      <c r="A47" s="320">
        <v>31</v>
      </c>
      <c r="B47" s="397" t="s">
        <v>10991</v>
      </c>
      <c r="C47" s="55" t="s">
        <v>11022</v>
      </c>
      <c r="D47" s="401">
        <v>0</v>
      </c>
      <c r="E47" s="401">
        <v>0</v>
      </c>
      <c r="F47" s="401">
        <v>0</v>
      </c>
      <c r="G47" s="58">
        <v>0</v>
      </c>
      <c r="H47" s="58">
        <v>0</v>
      </c>
      <c r="I47" s="58">
        <v>0</v>
      </c>
      <c r="J47" s="58">
        <v>4311</v>
      </c>
      <c r="K47" s="58">
        <v>4947</v>
      </c>
      <c r="L47" s="58">
        <v>5103</v>
      </c>
      <c r="M47" s="58">
        <v>5442</v>
      </c>
      <c r="N47" s="58">
        <v>5826</v>
      </c>
      <c r="O47" s="58">
        <v>5850</v>
      </c>
      <c r="Q47" s="397" t="s">
        <v>3990</v>
      </c>
    </row>
    <row r="48" spans="1:17">
      <c r="A48" s="320">
        <v>32</v>
      </c>
      <c r="B48" s="397" t="s">
        <v>10992</v>
      </c>
      <c r="C48" s="55" t="s">
        <v>11023</v>
      </c>
      <c r="D48" s="401">
        <v>0</v>
      </c>
      <c r="E48" s="401">
        <v>0</v>
      </c>
      <c r="F48" s="401">
        <v>0</v>
      </c>
      <c r="G48" s="58">
        <v>0</v>
      </c>
      <c r="H48" s="58">
        <v>0</v>
      </c>
      <c r="I48" s="58">
        <v>0</v>
      </c>
      <c r="J48" s="58">
        <v>3261</v>
      </c>
      <c r="K48" s="58">
        <v>3456</v>
      </c>
      <c r="L48" s="58">
        <v>3435</v>
      </c>
      <c r="M48" s="58">
        <v>3465</v>
      </c>
      <c r="N48" s="58">
        <v>3563</v>
      </c>
      <c r="O48" s="58">
        <v>3571</v>
      </c>
      <c r="Q48" s="397" t="s">
        <v>3990</v>
      </c>
    </row>
    <row r="49" spans="1:30">
      <c r="A49" s="320">
        <v>33</v>
      </c>
      <c r="B49" s="397" t="s">
        <v>2564</v>
      </c>
      <c r="C49" s="55" t="s">
        <v>11024</v>
      </c>
      <c r="D49" s="401">
        <v>0</v>
      </c>
      <c r="E49" s="401">
        <v>0</v>
      </c>
      <c r="F49" s="401">
        <v>0</v>
      </c>
      <c r="G49" s="58">
        <v>0</v>
      </c>
      <c r="H49" s="58">
        <v>0</v>
      </c>
      <c r="I49" s="58">
        <v>0</v>
      </c>
      <c r="J49" s="58">
        <v>3239</v>
      </c>
      <c r="K49" s="58">
        <v>3391</v>
      </c>
      <c r="L49" s="58">
        <v>3400</v>
      </c>
      <c r="M49" s="58">
        <v>3416</v>
      </c>
      <c r="N49" s="58">
        <v>3600</v>
      </c>
      <c r="O49" s="58">
        <v>3599</v>
      </c>
      <c r="Q49" s="397" t="s">
        <v>5521</v>
      </c>
    </row>
    <row r="50" spans="1:30">
      <c r="A50" s="320">
        <v>34</v>
      </c>
      <c r="B50" s="397" t="s">
        <v>2565</v>
      </c>
      <c r="C50" s="55" t="s">
        <v>11025</v>
      </c>
      <c r="D50" s="401">
        <v>0</v>
      </c>
      <c r="E50" s="401">
        <v>0</v>
      </c>
      <c r="F50" s="401">
        <v>0</v>
      </c>
      <c r="G50" s="58">
        <v>0</v>
      </c>
      <c r="H50" s="58">
        <v>0</v>
      </c>
      <c r="I50" s="58">
        <v>0</v>
      </c>
      <c r="J50" s="58">
        <v>3096</v>
      </c>
      <c r="K50" s="58">
        <v>3248</v>
      </c>
      <c r="L50" s="58">
        <v>3188</v>
      </c>
      <c r="M50" s="58">
        <v>3229</v>
      </c>
      <c r="N50" s="58">
        <v>3346</v>
      </c>
      <c r="O50" s="58">
        <v>3351</v>
      </c>
      <c r="Q50" s="397" t="s">
        <v>5521</v>
      </c>
    </row>
    <row r="51" spans="1:30">
      <c r="A51" s="320">
        <v>35</v>
      </c>
      <c r="B51" s="397" t="s">
        <v>2566</v>
      </c>
      <c r="C51" s="55" t="s">
        <v>11026</v>
      </c>
      <c r="D51" s="401">
        <v>0</v>
      </c>
      <c r="E51" s="401">
        <v>0</v>
      </c>
      <c r="F51" s="401">
        <v>0</v>
      </c>
      <c r="G51" s="58">
        <v>0</v>
      </c>
      <c r="H51" s="58">
        <v>0</v>
      </c>
      <c r="I51" s="58">
        <v>0</v>
      </c>
      <c r="J51" s="58">
        <v>6306</v>
      </c>
      <c r="K51" s="58">
        <v>6573</v>
      </c>
      <c r="L51" s="58">
        <v>6554</v>
      </c>
      <c r="M51" s="58">
        <v>6613</v>
      </c>
      <c r="N51" s="58">
        <v>6910</v>
      </c>
      <c r="O51" s="58">
        <v>6906</v>
      </c>
      <c r="Q51" s="397" t="s">
        <v>5521</v>
      </c>
    </row>
    <row r="52" spans="1:30">
      <c r="C52" s="397"/>
      <c r="D52" s="402"/>
      <c r="E52" s="402"/>
      <c r="F52" s="402"/>
      <c r="G52" s="402"/>
      <c r="H52" s="402"/>
      <c r="I52" s="402"/>
      <c r="J52" s="402"/>
      <c r="K52" s="402"/>
      <c r="L52" s="402"/>
    </row>
    <row r="53" spans="1:30">
      <c r="A53" s="397" t="s">
        <v>10973</v>
      </c>
    </row>
    <row r="54" spans="1:30">
      <c r="A54" s="397"/>
    </row>
    <row r="55" spans="1:30">
      <c r="A55" s="397"/>
      <c r="AB55" s="1015"/>
      <c r="AC55" s="1015"/>
      <c r="AD55" s="1015"/>
    </row>
    <row r="56" spans="1:30">
      <c r="D56" s="465"/>
      <c r="E56" s="465"/>
      <c r="F56" s="465"/>
      <c r="G56" s="465"/>
      <c r="H56" s="465"/>
      <c r="I56" s="465"/>
      <c r="J56" s="465"/>
      <c r="K56" s="465"/>
      <c r="L56" s="465"/>
      <c r="M56" s="173"/>
      <c r="N56" s="173"/>
      <c r="O56" s="173"/>
      <c r="P56" s="173"/>
      <c r="Q56" s="173"/>
    </row>
    <row r="57" spans="1:30">
      <c r="D57" s="465"/>
      <c r="E57" s="465"/>
      <c r="F57" s="465"/>
      <c r="G57" s="465"/>
      <c r="H57" s="465"/>
      <c r="I57" s="465"/>
      <c r="J57" s="465"/>
      <c r="K57" s="465"/>
      <c r="L57" s="465"/>
      <c r="M57" s="173"/>
      <c r="N57" s="173"/>
      <c r="O57" s="173"/>
      <c r="P57" s="173"/>
      <c r="Q57" s="206"/>
    </row>
    <row r="58" spans="1:30">
      <c r="D58" s="465"/>
      <c r="E58" s="465"/>
      <c r="F58" s="465"/>
      <c r="G58" s="465"/>
      <c r="H58" s="465"/>
      <c r="I58" s="465"/>
      <c r="J58" s="465"/>
      <c r="K58" s="465"/>
      <c r="L58" s="465"/>
    </row>
    <row r="59" spans="1:30">
      <c r="B59" s="397"/>
      <c r="C59" s="397"/>
      <c r="D59" s="401"/>
      <c r="E59" s="401"/>
      <c r="F59" s="401"/>
      <c r="G59" s="401"/>
      <c r="H59" s="401"/>
      <c r="I59" s="401"/>
      <c r="J59" s="401"/>
      <c r="K59" s="401"/>
      <c r="L59" s="401"/>
    </row>
    <row r="60" spans="1:30">
      <c r="A60" s="320"/>
      <c r="B60" s="397"/>
      <c r="C60" s="397"/>
      <c r="D60" s="401"/>
      <c r="E60" s="401"/>
      <c r="F60" s="401"/>
      <c r="G60" s="401"/>
      <c r="H60" s="401"/>
      <c r="I60" s="401"/>
      <c r="J60" s="401"/>
      <c r="K60" s="401"/>
      <c r="L60" s="401"/>
      <c r="Q60" s="397"/>
    </row>
    <row r="61" spans="1:30">
      <c r="A61" s="320"/>
      <c r="B61" s="397"/>
      <c r="C61" s="397"/>
      <c r="D61" s="401"/>
      <c r="E61" s="401"/>
      <c r="F61" s="401"/>
      <c r="G61" s="401"/>
      <c r="H61" s="401"/>
      <c r="I61" s="401"/>
      <c r="J61" s="401"/>
      <c r="K61" s="401"/>
      <c r="L61" s="401"/>
      <c r="Q61" s="397"/>
    </row>
    <row r="62" spans="1:30">
      <c r="A62" s="320"/>
      <c r="B62" s="397"/>
      <c r="C62" s="397"/>
      <c r="D62" s="401"/>
      <c r="E62" s="401"/>
      <c r="F62" s="401"/>
      <c r="G62" s="401"/>
      <c r="H62" s="401"/>
      <c r="I62" s="401"/>
      <c r="J62" s="401"/>
      <c r="K62" s="401"/>
      <c r="L62" s="401"/>
      <c r="Q62" s="397"/>
    </row>
    <row r="63" spans="1:30">
      <c r="A63" s="403"/>
      <c r="D63" s="401"/>
      <c r="E63" s="401"/>
      <c r="F63" s="401"/>
      <c r="G63" s="401"/>
      <c r="H63" s="401"/>
      <c r="I63" s="401"/>
      <c r="J63" s="401"/>
      <c r="K63" s="401"/>
      <c r="L63" s="401"/>
      <c r="Q63" s="397"/>
    </row>
    <row r="64" spans="1:30">
      <c r="A64" s="320"/>
      <c r="B64" s="397"/>
      <c r="C64" s="397"/>
      <c r="D64" s="401"/>
      <c r="E64" s="401"/>
      <c r="F64" s="401"/>
      <c r="G64" s="401"/>
      <c r="H64" s="401"/>
      <c r="I64" s="401"/>
      <c r="J64" s="401"/>
      <c r="K64" s="401"/>
      <c r="L64" s="401"/>
      <c r="Q64" s="397"/>
    </row>
    <row r="65" spans="1:17">
      <c r="A65" s="320"/>
      <c r="B65" s="397"/>
      <c r="C65" s="397"/>
      <c r="D65" s="401"/>
      <c r="E65" s="401"/>
      <c r="F65" s="401"/>
      <c r="G65" s="401"/>
      <c r="H65" s="401"/>
      <c r="I65" s="401"/>
      <c r="J65" s="401"/>
      <c r="K65" s="401"/>
      <c r="L65" s="401"/>
      <c r="Q65" s="397"/>
    </row>
    <row r="66" spans="1:17">
      <c r="A66" s="320"/>
      <c r="B66" s="397"/>
      <c r="C66" s="397"/>
      <c r="D66" s="401"/>
      <c r="E66" s="401"/>
      <c r="F66" s="401"/>
      <c r="G66" s="401"/>
      <c r="H66" s="401"/>
      <c r="I66" s="401"/>
      <c r="J66" s="401"/>
      <c r="K66" s="401"/>
      <c r="L66" s="401"/>
      <c r="Q66" s="397"/>
    </row>
    <row r="67" spans="1:17">
      <c r="A67" s="320"/>
      <c r="B67" s="397"/>
      <c r="C67" s="397"/>
      <c r="D67" s="401"/>
      <c r="E67" s="401"/>
      <c r="F67" s="401"/>
      <c r="G67" s="401"/>
      <c r="H67" s="401"/>
      <c r="I67" s="401"/>
      <c r="J67" s="401"/>
      <c r="K67" s="401"/>
      <c r="L67" s="401"/>
      <c r="Q67" s="397"/>
    </row>
    <row r="68" spans="1:17">
      <c r="A68" s="320"/>
      <c r="B68" s="397"/>
      <c r="C68" s="397"/>
      <c r="D68" s="401"/>
      <c r="E68" s="401"/>
      <c r="F68" s="401"/>
      <c r="G68" s="401"/>
      <c r="H68" s="401"/>
      <c r="I68" s="401"/>
      <c r="J68" s="401"/>
      <c r="K68" s="401"/>
      <c r="L68" s="401"/>
      <c r="Q68" s="397"/>
    </row>
    <row r="69" spans="1:17">
      <c r="A69" s="320"/>
      <c r="B69" s="397"/>
      <c r="C69" s="397"/>
      <c r="D69" s="401"/>
      <c r="E69" s="401"/>
      <c r="F69" s="401"/>
      <c r="G69" s="401"/>
      <c r="H69" s="401"/>
      <c r="I69" s="401"/>
      <c r="J69" s="401"/>
      <c r="K69" s="401"/>
      <c r="L69" s="401"/>
      <c r="Q69" s="397"/>
    </row>
    <row r="70" spans="1:17">
      <c r="A70" s="320"/>
      <c r="B70" s="397"/>
      <c r="C70" s="397"/>
      <c r="D70" s="401"/>
      <c r="E70" s="401"/>
      <c r="F70" s="401"/>
      <c r="G70" s="401"/>
      <c r="H70" s="401"/>
      <c r="I70" s="401"/>
      <c r="J70" s="401"/>
      <c r="K70" s="401"/>
      <c r="L70" s="401"/>
      <c r="Q70" s="397"/>
    </row>
    <row r="71" spans="1:17">
      <c r="A71" s="320"/>
      <c r="B71" s="397"/>
      <c r="C71" s="397"/>
      <c r="D71" s="401"/>
      <c r="E71" s="401"/>
      <c r="F71" s="401"/>
      <c r="G71" s="401"/>
      <c r="H71" s="401"/>
      <c r="I71" s="401"/>
      <c r="J71" s="401"/>
      <c r="K71" s="401"/>
      <c r="L71" s="401"/>
      <c r="Q71" s="397"/>
    </row>
    <row r="72" spans="1:17">
      <c r="A72" s="320"/>
      <c r="B72" s="397"/>
      <c r="C72" s="397"/>
      <c r="D72" s="401"/>
      <c r="E72" s="401"/>
      <c r="F72" s="401"/>
      <c r="G72" s="401"/>
      <c r="H72" s="401"/>
      <c r="I72" s="401"/>
      <c r="J72" s="401"/>
      <c r="K72" s="401"/>
      <c r="L72" s="401"/>
      <c r="Q72" s="397"/>
    </row>
    <row r="73" spans="1:17">
      <c r="A73" s="320"/>
      <c r="B73" s="397"/>
      <c r="C73" s="397"/>
      <c r="D73" s="401"/>
      <c r="E73" s="401"/>
      <c r="F73" s="401"/>
      <c r="G73" s="401"/>
      <c r="H73" s="401"/>
      <c r="I73" s="401"/>
      <c r="J73" s="401"/>
      <c r="K73" s="401"/>
      <c r="L73" s="401"/>
      <c r="Q73" s="397"/>
    </row>
    <row r="74" spans="1:17">
      <c r="A74" s="320"/>
      <c r="B74" s="397"/>
      <c r="C74" s="397"/>
      <c r="D74" s="401"/>
      <c r="E74" s="401"/>
      <c r="F74" s="401"/>
      <c r="G74" s="401"/>
      <c r="H74" s="401"/>
      <c r="I74" s="401"/>
      <c r="J74" s="401"/>
      <c r="K74" s="401"/>
      <c r="L74" s="401"/>
      <c r="Q74" s="397"/>
    </row>
    <row r="75" spans="1:17">
      <c r="A75" s="320"/>
      <c r="B75" s="397"/>
      <c r="C75" s="397"/>
      <c r="D75" s="401"/>
      <c r="E75" s="401"/>
      <c r="F75" s="401"/>
      <c r="G75" s="401"/>
      <c r="H75" s="401"/>
      <c r="I75" s="401"/>
      <c r="J75" s="401"/>
      <c r="K75" s="401"/>
      <c r="L75" s="401"/>
      <c r="Q75" s="397"/>
    </row>
    <row r="76" spans="1:17">
      <c r="A76" s="320"/>
      <c r="B76" s="397"/>
      <c r="C76" s="397"/>
      <c r="D76" s="401"/>
      <c r="E76" s="401"/>
      <c r="F76" s="401"/>
      <c r="G76" s="401"/>
      <c r="H76" s="401"/>
      <c r="I76" s="401"/>
      <c r="J76" s="401"/>
      <c r="K76" s="401"/>
      <c r="L76" s="401"/>
      <c r="Q76" s="397"/>
    </row>
    <row r="77" spans="1:17">
      <c r="A77" s="403"/>
      <c r="D77" s="401"/>
      <c r="E77" s="401"/>
      <c r="F77" s="401"/>
      <c r="G77" s="401"/>
      <c r="H77" s="401"/>
      <c r="I77" s="401"/>
      <c r="J77" s="401"/>
      <c r="K77" s="401"/>
      <c r="L77" s="401"/>
      <c r="Q77" s="397"/>
    </row>
    <row r="78" spans="1:17">
      <c r="A78" s="320"/>
      <c r="B78" s="397"/>
      <c r="C78" s="397"/>
      <c r="D78" s="401"/>
      <c r="E78" s="401"/>
      <c r="F78" s="401"/>
      <c r="G78" s="401"/>
      <c r="H78" s="401"/>
      <c r="I78" s="401"/>
      <c r="J78" s="401"/>
      <c r="K78" s="401"/>
      <c r="L78" s="401"/>
      <c r="Q78" s="397"/>
    </row>
    <row r="79" spans="1:17">
      <c r="A79" s="320"/>
      <c r="B79" s="397"/>
      <c r="C79" s="397"/>
      <c r="D79" s="401"/>
      <c r="E79" s="401"/>
      <c r="F79" s="401"/>
      <c r="G79" s="401"/>
      <c r="H79" s="401"/>
      <c r="I79" s="401"/>
      <c r="J79" s="401"/>
      <c r="K79" s="401"/>
      <c r="L79" s="401"/>
      <c r="Q79" s="397"/>
    </row>
    <row r="80" spans="1:17">
      <c r="A80" s="320"/>
      <c r="B80" s="397"/>
      <c r="C80" s="397"/>
      <c r="D80" s="401"/>
      <c r="E80" s="401"/>
      <c r="F80" s="401"/>
      <c r="G80" s="401"/>
      <c r="H80" s="401"/>
      <c r="I80" s="401"/>
      <c r="J80" s="401"/>
      <c r="K80" s="401"/>
      <c r="L80" s="401"/>
      <c r="Q80" s="397"/>
    </row>
    <row r="81" spans="1:17">
      <c r="A81" s="320"/>
      <c r="B81" s="397"/>
      <c r="C81" s="397"/>
      <c r="D81" s="401"/>
      <c r="E81" s="401"/>
      <c r="F81" s="401"/>
      <c r="G81" s="401"/>
      <c r="H81" s="401"/>
      <c r="I81" s="401"/>
      <c r="J81" s="401"/>
      <c r="K81" s="401"/>
      <c r="L81" s="401"/>
      <c r="Q81" s="397"/>
    </row>
    <row r="82" spans="1:17">
      <c r="A82" s="320"/>
      <c r="B82" s="397"/>
      <c r="C82" s="397"/>
      <c r="D82" s="401"/>
      <c r="E82" s="401"/>
      <c r="F82" s="401"/>
      <c r="G82" s="401"/>
      <c r="H82" s="401"/>
      <c r="I82" s="401"/>
      <c r="J82" s="401"/>
      <c r="K82" s="401"/>
      <c r="L82" s="401"/>
      <c r="Q82" s="397"/>
    </row>
    <row r="83" spans="1:17">
      <c r="A83" s="320"/>
      <c r="B83" s="397"/>
      <c r="C83" s="397"/>
      <c r="D83" s="401"/>
      <c r="E83" s="401"/>
      <c r="F83" s="401"/>
      <c r="G83" s="401"/>
      <c r="H83" s="401"/>
      <c r="I83" s="401"/>
      <c r="J83" s="401"/>
      <c r="K83" s="401"/>
      <c r="L83" s="401"/>
      <c r="Q83" s="397"/>
    </row>
    <row r="84" spans="1:17">
      <c r="A84" s="320"/>
      <c r="B84" s="397"/>
      <c r="C84" s="397"/>
      <c r="D84" s="401"/>
      <c r="E84" s="401"/>
      <c r="F84" s="401"/>
      <c r="G84" s="401"/>
      <c r="H84" s="401"/>
      <c r="I84" s="401"/>
      <c r="J84" s="401"/>
      <c r="K84" s="401"/>
      <c r="L84" s="401"/>
      <c r="Q84" s="397"/>
    </row>
    <row r="85" spans="1:17">
      <c r="A85" s="320"/>
      <c r="B85" s="397"/>
      <c r="C85" s="397"/>
      <c r="D85" s="401"/>
      <c r="E85" s="401"/>
      <c r="F85" s="401"/>
      <c r="G85" s="401"/>
      <c r="H85" s="401"/>
      <c r="I85" s="401"/>
      <c r="J85" s="401"/>
      <c r="K85" s="401"/>
      <c r="L85" s="401"/>
      <c r="Q85" s="397"/>
    </row>
    <row r="86" spans="1:17">
      <c r="A86" s="320"/>
      <c r="B86" s="397"/>
      <c r="C86" s="397"/>
      <c r="D86" s="401"/>
      <c r="E86" s="401"/>
      <c r="F86" s="401"/>
      <c r="G86" s="401"/>
      <c r="H86" s="401"/>
      <c r="I86" s="401"/>
      <c r="J86" s="401"/>
      <c r="K86" s="401"/>
      <c r="L86" s="401"/>
      <c r="Q86" s="397"/>
    </row>
    <row r="87" spans="1:17">
      <c r="A87" s="320"/>
      <c r="B87" s="397"/>
      <c r="C87" s="397"/>
      <c r="D87" s="401"/>
      <c r="E87" s="401"/>
      <c r="F87" s="401"/>
      <c r="G87" s="401"/>
      <c r="H87" s="401"/>
      <c r="I87" s="401"/>
      <c r="J87" s="401"/>
      <c r="K87" s="401"/>
      <c r="L87" s="401"/>
      <c r="Q87" s="397"/>
    </row>
    <row r="88" spans="1:17">
      <c r="A88" s="320"/>
      <c r="B88" s="397"/>
      <c r="C88" s="397"/>
      <c r="D88" s="401"/>
      <c r="E88" s="401"/>
      <c r="F88" s="401"/>
      <c r="G88" s="401"/>
      <c r="H88" s="401"/>
      <c r="I88" s="401"/>
      <c r="J88" s="401"/>
      <c r="K88" s="401"/>
      <c r="L88" s="401"/>
      <c r="Q88" s="397"/>
    </row>
    <row r="89" spans="1:17">
      <c r="A89" s="320"/>
      <c r="B89" s="397"/>
      <c r="C89" s="397"/>
      <c r="D89" s="401"/>
      <c r="E89" s="401"/>
      <c r="F89" s="401"/>
      <c r="G89" s="401"/>
      <c r="H89" s="401"/>
      <c r="I89" s="401"/>
      <c r="J89" s="401"/>
      <c r="K89" s="401"/>
      <c r="L89" s="401"/>
      <c r="Q89" s="397"/>
    </row>
    <row r="90" spans="1:17">
      <c r="A90" s="320"/>
      <c r="B90" s="397"/>
      <c r="C90" s="397"/>
      <c r="D90" s="401"/>
      <c r="E90" s="401"/>
      <c r="F90" s="401"/>
      <c r="G90" s="401"/>
      <c r="H90" s="401"/>
      <c r="I90" s="401"/>
      <c r="J90" s="401"/>
      <c r="K90" s="401"/>
      <c r="L90" s="401"/>
      <c r="Q90" s="397"/>
    </row>
    <row r="91" spans="1:17">
      <c r="A91" s="320"/>
      <c r="B91" s="397"/>
      <c r="C91" s="397"/>
      <c r="D91" s="401"/>
      <c r="E91" s="401"/>
      <c r="F91" s="401"/>
      <c r="G91" s="401"/>
      <c r="H91" s="401"/>
      <c r="I91" s="401"/>
      <c r="J91" s="401"/>
      <c r="K91" s="401"/>
      <c r="L91" s="401"/>
      <c r="Q91" s="397"/>
    </row>
    <row r="92" spans="1:17">
      <c r="A92" s="320"/>
      <c r="B92" s="397"/>
      <c r="C92" s="397"/>
      <c r="D92" s="401"/>
      <c r="E92" s="401"/>
      <c r="F92" s="401"/>
      <c r="G92" s="401"/>
      <c r="H92" s="401"/>
      <c r="I92" s="401"/>
      <c r="J92" s="401"/>
      <c r="K92" s="401"/>
      <c r="L92" s="401"/>
      <c r="Q92" s="397"/>
    </row>
    <row r="93" spans="1:17">
      <c r="A93" s="320"/>
      <c r="B93" s="397"/>
      <c r="C93" s="397"/>
      <c r="D93" s="401"/>
      <c r="E93" s="401"/>
      <c r="F93" s="401"/>
      <c r="G93" s="401"/>
      <c r="H93" s="401"/>
      <c r="I93" s="401"/>
      <c r="J93" s="401"/>
      <c r="K93" s="401"/>
      <c r="L93" s="401"/>
      <c r="Q93" s="397"/>
    </row>
    <row r="94" spans="1:17">
      <c r="A94" s="320"/>
      <c r="B94" s="397"/>
      <c r="C94" s="397"/>
      <c r="D94" s="401"/>
      <c r="E94" s="401"/>
      <c r="F94" s="401"/>
      <c r="G94" s="401"/>
      <c r="H94" s="401"/>
      <c r="I94" s="401"/>
      <c r="J94" s="401"/>
      <c r="K94" s="401"/>
      <c r="L94" s="401"/>
      <c r="Q94" s="397"/>
    </row>
    <row r="95" spans="1:17">
      <c r="D95" s="402"/>
      <c r="E95" s="402"/>
      <c r="F95" s="402"/>
      <c r="G95" s="402"/>
      <c r="H95" s="402"/>
      <c r="I95" s="402"/>
      <c r="J95" s="402"/>
      <c r="K95" s="402"/>
      <c r="L95" s="402"/>
    </row>
    <row r="96" spans="1:17">
      <c r="A96" s="397"/>
      <c r="D96" s="401"/>
      <c r="E96" s="401"/>
      <c r="F96" s="401"/>
      <c r="G96" s="401"/>
      <c r="H96" s="401"/>
      <c r="I96" s="401"/>
      <c r="J96" s="401"/>
      <c r="K96" s="401"/>
      <c r="L96" s="401"/>
    </row>
    <row r="97" spans="1:12">
      <c r="A97" s="397"/>
      <c r="D97" s="401"/>
      <c r="E97" s="401"/>
      <c r="F97" s="401"/>
      <c r="G97" s="401"/>
      <c r="H97" s="401"/>
      <c r="I97" s="401"/>
      <c r="J97" s="401"/>
      <c r="K97" s="401"/>
      <c r="L97" s="401"/>
    </row>
    <row r="98" spans="1:12">
      <c r="A98" s="397"/>
      <c r="D98" s="401"/>
      <c r="E98" s="401"/>
      <c r="F98" s="401"/>
      <c r="G98" s="401"/>
      <c r="H98" s="401"/>
      <c r="I98" s="401"/>
      <c r="J98" s="401"/>
      <c r="K98" s="401"/>
      <c r="L98" s="401"/>
    </row>
    <row r="100" spans="1:12">
      <c r="A100" s="397"/>
    </row>
  </sheetData>
  <mergeCells count="1">
    <mergeCell ref="AB55:AD55"/>
  </mergeCells>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3:D4 E3:E4 F3:F4 G3:G4 D5:D7 E5:E6 F5:F6 G5:G6 H3:H4 H5:H6 I3:I6 D10:D15 E10:E15 F10:F15 G10:G15 H10:H15 I10:I15 D8 E7:I7 D9:I9 E8:I8 J3:J15 K3:K15"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dimension ref="A1:Q276"/>
  <sheetViews>
    <sheetView showGridLines="0" topLeftCell="A250" zoomScale="90" zoomScaleNormal="90" workbookViewId="0">
      <selection activeCell="R168" sqref="R168:U183"/>
    </sheetView>
  </sheetViews>
  <sheetFormatPr defaultColWidth="12.5703125" defaultRowHeight="15"/>
  <cols>
    <col min="1" max="1" width="4.7109375" style="107" customWidth="1"/>
    <col min="2" max="2" width="40.7109375" style="107" customWidth="1"/>
    <col min="3" max="3" width="11.5703125" style="107" customWidth="1"/>
    <col min="4" max="15" width="10" style="107" customWidth="1"/>
    <col min="16" max="16" width="2.28515625" style="107" customWidth="1"/>
    <col min="17" max="17" width="33.140625" style="107" customWidth="1"/>
    <col min="18" max="16384" width="12.5703125" style="107"/>
  </cols>
  <sheetData>
    <row r="1" spans="1:17">
      <c r="A1" s="176" t="s">
        <v>6924</v>
      </c>
      <c r="D1" s="177">
        <v>2010</v>
      </c>
      <c r="E1" s="177">
        <v>2011</v>
      </c>
      <c r="F1" s="177">
        <v>2012</v>
      </c>
      <c r="G1" s="177">
        <v>2013</v>
      </c>
      <c r="H1" s="177">
        <v>2014</v>
      </c>
      <c r="I1" s="177">
        <v>2015</v>
      </c>
      <c r="J1" s="177">
        <v>2016</v>
      </c>
      <c r="K1" s="177">
        <v>2017</v>
      </c>
      <c r="L1" s="177">
        <v>2018</v>
      </c>
      <c r="M1" s="177">
        <v>2019</v>
      </c>
      <c r="N1" s="177">
        <v>2020</v>
      </c>
      <c r="O1" s="923" t="s">
        <v>14823</v>
      </c>
    </row>
    <row r="3" spans="1:17">
      <c r="A3" s="176" t="s">
        <v>4898</v>
      </c>
      <c r="D3" s="180">
        <f t="shared" ref="D3:I3" si="0">SUM(D5:D11)</f>
        <v>457925</v>
      </c>
      <c r="E3" s="180">
        <f t="shared" si="0"/>
        <v>457932</v>
      </c>
      <c r="F3" s="180">
        <f t="shared" si="0"/>
        <v>457796</v>
      </c>
      <c r="G3" s="180">
        <f t="shared" si="0"/>
        <v>462169</v>
      </c>
      <c r="H3" s="180">
        <f t="shared" si="0"/>
        <v>460043</v>
      </c>
      <c r="I3" s="180">
        <f t="shared" si="0"/>
        <v>453258</v>
      </c>
      <c r="J3" s="180">
        <f t="shared" ref="J3:O3" si="1">SUM(J5:J11)</f>
        <v>442491</v>
      </c>
      <c r="K3" s="180">
        <f t="shared" si="1"/>
        <v>457890</v>
      </c>
      <c r="L3" s="180">
        <f t="shared" si="1"/>
        <v>459317</v>
      </c>
      <c r="M3" s="180">
        <f t="shared" si="1"/>
        <v>457488</v>
      </c>
      <c r="N3" s="180">
        <f t="shared" si="1"/>
        <v>467346</v>
      </c>
      <c r="O3" s="180">
        <f t="shared" si="1"/>
        <v>473300</v>
      </c>
    </row>
    <row r="4" spans="1:17">
      <c r="D4" s="179"/>
      <c r="E4" s="179"/>
      <c r="F4" s="179"/>
      <c r="G4" s="179"/>
      <c r="H4" s="179"/>
      <c r="I4" s="179"/>
      <c r="J4" s="179"/>
      <c r="K4" s="179"/>
      <c r="L4" s="179"/>
      <c r="M4" s="179"/>
      <c r="N4" s="179"/>
      <c r="O4" s="179"/>
    </row>
    <row r="5" spans="1:17">
      <c r="A5" s="176" t="s">
        <v>4899</v>
      </c>
      <c r="C5" s="176"/>
      <c r="D5" s="180">
        <f t="shared" ref="D5:I5" si="2">D47</f>
        <v>44376</v>
      </c>
      <c r="E5" s="180">
        <f t="shared" si="2"/>
        <v>44552</v>
      </c>
      <c r="F5" s="180">
        <f t="shared" si="2"/>
        <v>44576</v>
      </c>
      <c r="G5" s="180">
        <f t="shared" si="2"/>
        <v>44903</v>
      </c>
      <c r="H5" s="180">
        <f t="shared" si="2"/>
        <v>44423</v>
      </c>
      <c r="I5" s="180">
        <f t="shared" si="2"/>
        <v>43302</v>
      </c>
      <c r="J5" s="180">
        <f t="shared" ref="J5:O5" si="3">J47</f>
        <v>42127</v>
      </c>
      <c r="K5" s="180">
        <f t="shared" si="3"/>
        <v>43918</v>
      </c>
      <c r="L5" s="180">
        <f t="shared" si="3"/>
        <v>44156</v>
      </c>
      <c r="M5" s="180">
        <f t="shared" si="3"/>
        <v>43944</v>
      </c>
      <c r="N5" s="180">
        <f t="shared" si="3"/>
        <v>44344</v>
      </c>
      <c r="O5" s="180">
        <f t="shared" si="3"/>
        <v>45296</v>
      </c>
      <c r="Q5" s="463"/>
    </row>
    <row r="6" spans="1:17">
      <c r="A6" s="176" t="s">
        <v>4900</v>
      </c>
      <c r="C6" s="176"/>
      <c r="D6" s="180">
        <f t="shared" ref="D6:I6" si="4">D76</f>
        <v>70278</v>
      </c>
      <c r="E6" s="180">
        <f t="shared" si="4"/>
        <v>70709</v>
      </c>
      <c r="F6" s="180">
        <f t="shared" si="4"/>
        <v>70453</v>
      </c>
      <c r="G6" s="180">
        <f t="shared" si="4"/>
        <v>69992</v>
      </c>
      <c r="H6" s="180">
        <f t="shared" si="4"/>
        <v>70752</v>
      </c>
      <c r="I6" s="180">
        <f t="shared" si="4"/>
        <v>68768</v>
      </c>
      <c r="J6" s="180">
        <f t="shared" ref="J6:O6" si="5">J76</f>
        <v>67293</v>
      </c>
      <c r="K6" s="180">
        <f t="shared" si="5"/>
        <v>71238</v>
      </c>
      <c r="L6" s="180">
        <f t="shared" si="5"/>
        <v>70970</v>
      </c>
      <c r="M6" s="180">
        <f t="shared" si="5"/>
        <v>71676</v>
      </c>
      <c r="N6" s="180">
        <f t="shared" si="5"/>
        <v>73425</v>
      </c>
      <c r="O6" s="180">
        <f t="shared" si="5"/>
        <v>72262</v>
      </c>
      <c r="Q6" s="463"/>
    </row>
    <row r="7" spans="1:17">
      <c r="A7" s="176" t="s">
        <v>4901</v>
      </c>
      <c r="C7" s="176"/>
      <c r="D7" s="180">
        <f t="shared" ref="D7:I7" si="6">D107</f>
        <v>116382</v>
      </c>
      <c r="E7" s="180">
        <f t="shared" si="6"/>
        <v>117243</v>
      </c>
      <c r="F7" s="180">
        <f t="shared" si="6"/>
        <v>117436</v>
      </c>
      <c r="G7" s="180">
        <f t="shared" si="6"/>
        <v>118889</v>
      </c>
      <c r="H7" s="180">
        <f t="shared" si="6"/>
        <v>118076</v>
      </c>
      <c r="I7" s="180">
        <f t="shared" si="6"/>
        <v>117983</v>
      </c>
      <c r="J7" s="180">
        <f t="shared" ref="J7:O7" si="7">J107</f>
        <v>115996</v>
      </c>
      <c r="K7" s="180">
        <f t="shared" si="7"/>
        <v>119093</v>
      </c>
      <c r="L7" s="180">
        <f t="shared" si="7"/>
        <v>118845</v>
      </c>
      <c r="M7" s="180">
        <f t="shared" si="7"/>
        <v>117392</v>
      </c>
      <c r="N7" s="180">
        <f t="shared" si="7"/>
        <v>119931</v>
      </c>
      <c r="O7" s="180">
        <f t="shared" si="7"/>
        <v>122569</v>
      </c>
      <c r="Q7" s="463"/>
    </row>
    <row r="8" spans="1:17">
      <c r="A8" s="176" t="s">
        <v>4902</v>
      </c>
      <c r="C8" s="176"/>
      <c r="D8" s="180">
        <f t="shared" ref="D8:I8" si="8">D167</f>
        <v>37245</v>
      </c>
      <c r="E8" s="180">
        <f t="shared" si="8"/>
        <v>34633</v>
      </c>
      <c r="F8" s="180">
        <f t="shared" si="8"/>
        <v>34841</v>
      </c>
      <c r="G8" s="180">
        <f t="shared" si="8"/>
        <v>35623</v>
      </c>
      <c r="H8" s="180">
        <f t="shared" si="8"/>
        <v>35658</v>
      </c>
      <c r="I8" s="180">
        <f t="shared" si="8"/>
        <v>34720</v>
      </c>
      <c r="J8" s="180">
        <f t="shared" ref="J8:O8" si="9">J167</f>
        <v>34366</v>
      </c>
      <c r="K8" s="180">
        <f t="shared" si="9"/>
        <v>35855</v>
      </c>
      <c r="L8" s="180">
        <f t="shared" si="9"/>
        <v>36330</v>
      </c>
      <c r="M8" s="180">
        <f t="shared" si="9"/>
        <v>36185</v>
      </c>
      <c r="N8" s="180">
        <f t="shared" si="9"/>
        <v>38032</v>
      </c>
      <c r="O8" s="180">
        <f t="shared" si="9"/>
        <v>37539</v>
      </c>
      <c r="Q8" s="463"/>
    </row>
    <row r="9" spans="1:17">
      <c r="A9" s="176" t="s">
        <v>4903</v>
      </c>
      <c r="C9" s="176"/>
      <c r="D9" s="180">
        <f t="shared" ref="D9:I9" si="10">D192</f>
        <v>41032</v>
      </c>
      <c r="E9" s="180">
        <f t="shared" si="10"/>
        <v>41234</v>
      </c>
      <c r="F9" s="180">
        <f t="shared" si="10"/>
        <v>41480</v>
      </c>
      <c r="G9" s="180">
        <f t="shared" si="10"/>
        <v>42074</v>
      </c>
      <c r="H9" s="180">
        <f t="shared" si="10"/>
        <v>40530</v>
      </c>
      <c r="I9" s="180">
        <f t="shared" si="10"/>
        <v>40590</v>
      </c>
      <c r="J9" s="180">
        <f t="shared" ref="J9:O9" si="11">J192</f>
        <v>39668</v>
      </c>
      <c r="K9" s="180">
        <f t="shared" si="11"/>
        <v>41406</v>
      </c>
      <c r="L9" s="180">
        <f t="shared" si="11"/>
        <v>41576</v>
      </c>
      <c r="M9" s="180">
        <f t="shared" si="11"/>
        <v>41432</v>
      </c>
      <c r="N9" s="180">
        <f t="shared" si="11"/>
        <v>42356</v>
      </c>
      <c r="O9" s="180">
        <f t="shared" si="11"/>
        <v>43806</v>
      </c>
      <c r="Q9" s="463"/>
    </row>
    <row r="10" spans="1:17">
      <c r="A10" s="176" t="s">
        <v>4904</v>
      </c>
      <c r="C10" s="176"/>
      <c r="D10" s="180">
        <f t="shared" ref="D10:I10" si="12">D221</f>
        <v>85624</v>
      </c>
      <c r="E10" s="180">
        <f t="shared" si="12"/>
        <v>85634</v>
      </c>
      <c r="F10" s="180">
        <f t="shared" si="12"/>
        <v>85187</v>
      </c>
      <c r="G10" s="180">
        <f t="shared" si="12"/>
        <v>85066</v>
      </c>
      <c r="H10" s="180">
        <f t="shared" si="12"/>
        <v>84602</v>
      </c>
      <c r="I10" s="180">
        <f t="shared" si="12"/>
        <v>82120</v>
      </c>
      <c r="J10" s="180">
        <f t="shared" ref="J10:O10" si="13">J221</f>
        <v>79890</v>
      </c>
      <c r="K10" s="180">
        <f t="shared" si="13"/>
        <v>81261</v>
      </c>
      <c r="L10" s="180">
        <f t="shared" si="13"/>
        <v>81797</v>
      </c>
      <c r="M10" s="180">
        <f t="shared" si="13"/>
        <v>80829</v>
      </c>
      <c r="N10" s="180">
        <f t="shared" si="13"/>
        <v>81561</v>
      </c>
      <c r="O10" s="180">
        <f t="shared" si="13"/>
        <v>83348</v>
      </c>
      <c r="Q10" s="463"/>
    </row>
    <row r="11" spans="1:17">
      <c r="A11" s="176" t="s">
        <v>4905</v>
      </c>
      <c r="C11" s="176"/>
      <c r="D11" s="180">
        <f t="shared" ref="D11:I11" si="14">D251</f>
        <v>62988</v>
      </c>
      <c r="E11" s="180">
        <f t="shared" si="14"/>
        <v>63927</v>
      </c>
      <c r="F11" s="180">
        <f t="shared" si="14"/>
        <v>63823</v>
      </c>
      <c r="G11" s="180">
        <f t="shared" si="14"/>
        <v>65622</v>
      </c>
      <c r="H11" s="180">
        <f t="shared" si="14"/>
        <v>66002</v>
      </c>
      <c r="I11" s="180">
        <f t="shared" si="14"/>
        <v>65775</v>
      </c>
      <c r="J11" s="180">
        <f t="shared" ref="J11:O11" si="15">J251</f>
        <v>63151</v>
      </c>
      <c r="K11" s="180">
        <f t="shared" si="15"/>
        <v>65119</v>
      </c>
      <c r="L11" s="180">
        <f t="shared" si="15"/>
        <v>65643</v>
      </c>
      <c r="M11" s="180">
        <f t="shared" si="15"/>
        <v>66030</v>
      </c>
      <c r="N11" s="180">
        <f t="shared" si="15"/>
        <v>67697</v>
      </c>
      <c r="O11" s="180">
        <f t="shared" si="15"/>
        <v>68480</v>
      </c>
      <c r="Q11" s="463"/>
    </row>
    <row r="13" spans="1:17">
      <c r="A13" s="176" t="s">
        <v>639</v>
      </c>
      <c r="D13" s="180">
        <f t="shared" ref="D13:I13" si="16">SUM(D5:D11)/6</f>
        <v>76320.833333333328</v>
      </c>
      <c r="E13" s="180">
        <f t="shared" si="16"/>
        <v>76322</v>
      </c>
      <c r="F13" s="180">
        <f t="shared" si="16"/>
        <v>76299.333333333328</v>
      </c>
      <c r="G13" s="180">
        <f t="shared" si="16"/>
        <v>77028.166666666672</v>
      </c>
      <c r="H13" s="180">
        <f t="shared" si="16"/>
        <v>76673.833333333328</v>
      </c>
      <c r="I13" s="180">
        <f t="shared" si="16"/>
        <v>75543</v>
      </c>
      <c r="J13" s="180">
        <f t="shared" ref="J13:O13" si="17">SUM(J5:J11)/6</f>
        <v>73748.5</v>
      </c>
      <c r="K13" s="180">
        <f t="shared" si="17"/>
        <v>76315</v>
      </c>
      <c r="L13" s="180">
        <f t="shared" si="17"/>
        <v>76552.833333333328</v>
      </c>
      <c r="M13" s="180">
        <f t="shared" si="17"/>
        <v>76248</v>
      </c>
      <c r="N13" s="180">
        <f t="shared" si="17"/>
        <v>77891</v>
      </c>
      <c r="O13" s="180">
        <f t="shared" si="17"/>
        <v>78883.333333333328</v>
      </c>
    </row>
    <row r="14" spans="1:17">
      <c r="D14" s="179"/>
      <c r="E14" s="179"/>
      <c r="F14" s="179"/>
      <c r="G14" s="179"/>
      <c r="H14" s="179"/>
      <c r="I14" s="179"/>
      <c r="J14" s="179"/>
      <c r="K14" s="179"/>
      <c r="L14" s="179"/>
      <c r="M14" s="179"/>
      <c r="N14" s="179"/>
      <c r="O14" s="179"/>
    </row>
    <row r="15" spans="1:17">
      <c r="A15" s="176" t="s">
        <v>4906</v>
      </c>
      <c r="D15" s="180">
        <f t="shared" ref="D15:I15" si="18">D158</f>
        <v>74560</v>
      </c>
      <c r="E15" s="180">
        <f t="shared" si="18"/>
        <v>75044</v>
      </c>
      <c r="F15" s="180">
        <f t="shared" si="18"/>
        <v>75020</v>
      </c>
      <c r="G15" s="180">
        <f t="shared" si="18"/>
        <v>76047</v>
      </c>
      <c r="H15" s="180">
        <f t="shared" si="18"/>
        <v>75563</v>
      </c>
      <c r="I15" s="180">
        <f t="shared" si="18"/>
        <v>75542</v>
      </c>
      <c r="J15" s="180">
        <f t="shared" ref="J15:O15" si="19">J158</f>
        <v>74319</v>
      </c>
      <c r="K15" s="180">
        <f t="shared" si="19"/>
        <v>76417</v>
      </c>
      <c r="L15" s="180">
        <f t="shared" si="19"/>
        <v>76053</v>
      </c>
      <c r="M15" s="180">
        <f t="shared" si="19"/>
        <v>75034</v>
      </c>
      <c r="N15" s="180">
        <f t="shared" si="19"/>
        <v>76777</v>
      </c>
      <c r="O15" s="180">
        <f t="shared" si="19"/>
        <v>78372</v>
      </c>
      <c r="Q15" s="176" t="s">
        <v>4907</v>
      </c>
    </row>
    <row r="16" spans="1:17">
      <c r="D16" s="181" t="s">
        <v>5744</v>
      </c>
      <c r="E16" s="181" t="s">
        <v>5744</v>
      </c>
      <c r="F16" s="181" t="s">
        <v>5744</v>
      </c>
      <c r="G16" s="181" t="s">
        <v>5744</v>
      </c>
      <c r="H16" s="181" t="s">
        <v>5744</v>
      </c>
      <c r="I16" s="181" t="s">
        <v>5744</v>
      </c>
      <c r="J16" s="181" t="s">
        <v>5744</v>
      </c>
      <c r="K16" s="181" t="s">
        <v>5744</v>
      </c>
      <c r="L16" s="181" t="s">
        <v>5744</v>
      </c>
      <c r="M16" s="181" t="s">
        <v>5744</v>
      </c>
      <c r="N16" s="181" t="s">
        <v>5744</v>
      </c>
      <c r="O16" s="181" t="s">
        <v>5744</v>
      </c>
    </row>
    <row r="17" spans="1:17">
      <c r="A17" s="176" t="s">
        <v>4908</v>
      </c>
      <c r="D17" s="180">
        <f t="shared" ref="D17:I17" si="20">D99</f>
        <v>44069</v>
      </c>
      <c r="E17" s="180">
        <f t="shared" si="20"/>
        <v>44269</v>
      </c>
      <c r="F17" s="180">
        <f t="shared" si="20"/>
        <v>44061</v>
      </c>
      <c r="G17" s="180">
        <f t="shared" si="20"/>
        <v>43619</v>
      </c>
      <c r="H17" s="180">
        <f t="shared" si="20"/>
        <v>44105</v>
      </c>
      <c r="I17" s="180">
        <f t="shared" si="20"/>
        <v>42883</v>
      </c>
      <c r="J17" s="180">
        <f t="shared" ref="J17:O17" si="21">J99</f>
        <v>41991</v>
      </c>
      <c r="K17" s="180">
        <f t="shared" si="21"/>
        <v>44282</v>
      </c>
      <c r="L17" s="180">
        <f t="shared" si="21"/>
        <v>43885</v>
      </c>
      <c r="M17" s="180">
        <f t="shared" si="21"/>
        <v>44214</v>
      </c>
      <c r="N17" s="180">
        <f t="shared" si="21"/>
        <v>45187</v>
      </c>
      <c r="O17" s="180">
        <f t="shared" si="21"/>
        <v>44492</v>
      </c>
      <c r="Q17" s="176" t="s">
        <v>4909</v>
      </c>
    </row>
    <row r="18" spans="1:17" ht="15.75" thickBot="1">
      <c r="D18" s="183">
        <f t="shared" ref="D18:I18" si="22">D185</f>
        <v>37245</v>
      </c>
      <c r="E18" s="183">
        <f t="shared" si="22"/>
        <v>34633</v>
      </c>
      <c r="F18" s="183">
        <f t="shared" si="22"/>
        <v>34841</v>
      </c>
      <c r="G18" s="183">
        <f t="shared" si="22"/>
        <v>35623</v>
      </c>
      <c r="H18" s="183">
        <f t="shared" si="22"/>
        <v>35658</v>
      </c>
      <c r="I18" s="183">
        <f t="shared" si="22"/>
        <v>34720</v>
      </c>
      <c r="J18" s="183">
        <f t="shared" ref="J18:O18" si="23">J185</f>
        <v>34366</v>
      </c>
      <c r="K18" s="183">
        <f t="shared" si="23"/>
        <v>35855</v>
      </c>
      <c r="L18" s="183">
        <f t="shared" si="23"/>
        <v>36330</v>
      </c>
      <c r="M18" s="183">
        <f t="shared" si="23"/>
        <v>36185</v>
      </c>
      <c r="N18" s="183">
        <f t="shared" si="23"/>
        <v>38032</v>
      </c>
      <c r="O18" s="183">
        <f t="shared" si="23"/>
        <v>37539</v>
      </c>
      <c r="Q18" s="176" t="s">
        <v>4244</v>
      </c>
    </row>
    <row r="19" spans="1:17" ht="15.75" thickBot="1">
      <c r="D19" s="183">
        <f t="shared" ref="D19:I19" si="24">D17+D18</f>
        <v>81314</v>
      </c>
      <c r="E19" s="183">
        <f t="shared" si="24"/>
        <v>78902</v>
      </c>
      <c r="F19" s="183">
        <f t="shared" si="24"/>
        <v>78902</v>
      </c>
      <c r="G19" s="183">
        <f t="shared" si="24"/>
        <v>79242</v>
      </c>
      <c r="H19" s="183">
        <f t="shared" si="24"/>
        <v>79763</v>
      </c>
      <c r="I19" s="183">
        <f t="shared" si="24"/>
        <v>77603</v>
      </c>
      <c r="J19" s="183">
        <f t="shared" ref="J19:O19" si="25">J17+J18</f>
        <v>76357</v>
      </c>
      <c r="K19" s="183">
        <f t="shared" si="25"/>
        <v>80137</v>
      </c>
      <c r="L19" s="183">
        <f t="shared" si="25"/>
        <v>80215</v>
      </c>
      <c r="M19" s="183">
        <f t="shared" si="25"/>
        <v>80399</v>
      </c>
      <c r="N19" s="183">
        <f t="shared" si="25"/>
        <v>83219</v>
      </c>
      <c r="O19" s="183">
        <f t="shared" si="25"/>
        <v>82031</v>
      </c>
    </row>
    <row r="20" spans="1:17">
      <c r="D20" s="181" t="s">
        <v>5744</v>
      </c>
      <c r="E20" s="181" t="s">
        <v>5744</v>
      </c>
      <c r="F20" s="181" t="s">
        <v>5744</v>
      </c>
      <c r="G20" s="181" t="s">
        <v>5744</v>
      </c>
      <c r="H20" s="181" t="s">
        <v>5744</v>
      </c>
      <c r="I20" s="181" t="s">
        <v>5744</v>
      </c>
      <c r="J20" s="181" t="s">
        <v>5744</v>
      </c>
      <c r="K20" s="181" t="s">
        <v>5744</v>
      </c>
      <c r="L20" s="181" t="s">
        <v>5744</v>
      </c>
      <c r="M20" s="181" t="s">
        <v>5744</v>
      </c>
      <c r="N20" s="181" t="s">
        <v>5744</v>
      </c>
      <c r="O20" s="181" t="s">
        <v>5744</v>
      </c>
    </row>
    <row r="21" spans="1:17">
      <c r="A21" s="176" t="s">
        <v>4910</v>
      </c>
      <c r="D21" s="180">
        <f t="shared" ref="D21:I21" si="26">D243</f>
        <v>76032</v>
      </c>
      <c r="E21" s="180">
        <f t="shared" si="26"/>
        <v>76078</v>
      </c>
      <c r="F21" s="180">
        <f t="shared" si="26"/>
        <v>75613</v>
      </c>
      <c r="G21" s="180">
        <f t="shared" si="26"/>
        <v>75521</v>
      </c>
      <c r="H21" s="180">
        <f t="shared" si="26"/>
        <v>74997</v>
      </c>
      <c r="I21" s="180">
        <f t="shared" si="26"/>
        <v>72763</v>
      </c>
      <c r="J21" s="180">
        <f t="shared" ref="J21:O21" si="27">J243</f>
        <v>70708</v>
      </c>
      <c r="K21" s="180">
        <f t="shared" si="27"/>
        <v>71857</v>
      </c>
      <c r="L21" s="180">
        <f t="shared" si="27"/>
        <v>72357</v>
      </c>
      <c r="M21" s="180">
        <f t="shared" si="27"/>
        <v>71546</v>
      </c>
      <c r="N21" s="180">
        <f t="shared" si="27"/>
        <v>72191</v>
      </c>
      <c r="O21" s="180">
        <f t="shared" si="27"/>
        <v>73862</v>
      </c>
      <c r="Q21" s="176" t="s">
        <v>4911</v>
      </c>
    </row>
    <row r="22" spans="1:17">
      <c r="D22" s="181" t="s">
        <v>5744</v>
      </c>
      <c r="E22" s="181" t="s">
        <v>5744</v>
      </c>
      <c r="F22" s="181" t="s">
        <v>5744</v>
      </c>
      <c r="G22" s="181" t="s">
        <v>5744</v>
      </c>
      <c r="H22" s="181" t="s">
        <v>5744</v>
      </c>
      <c r="I22" s="181" t="s">
        <v>5744</v>
      </c>
      <c r="J22" s="181" t="s">
        <v>5744</v>
      </c>
      <c r="K22" s="181" t="s">
        <v>5744</v>
      </c>
      <c r="L22" s="181" t="s">
        <v>5744</v>
      </c>
      <c r="M22" s="181" t="s">
        <v>5744</v>
      </c>
      <c r="N22" s="181" t="s">
        <v>5744</v>
      </c>
      <c r="O22" s="181" t="s">
        <v>5744</v>
      </c>
    </row>
    <row r="23" spans="1:17">
      <c r="A23" s="176" t="s">
        <v>4912</v>
      </c>
      <c r="D23" s="180">
        <f t="shared" ref="D23:I23" si="28">D159</f>
        <v>9544</v>
      </c>
      <c r="E23" s="180">
        <f t="shared" si="28"/>
        <v>9653</v>
      </c>
      <c r="F23" s="180">
        <f t="shared" si="28"/>
        <v>9663</v>
      </c>
      <c r="G23" s="180">
        <f t="shared" si="28"/>
        <v>9737</v>
      </c>
      <c r="H23" s="180">
        <f t="shared" si="28"/>
        <v>9681</v>
      </c>
      <c r="I23" s="180">
        <f t="shared" si="28"/>
        <v>9678</v>
      </c>
      <c r="J23" s="180">
        <f t="shared" ref="J23:O23" si="29">J159</f>
        <v>9534</v>
      </c>
      <c r="K23" s="180">
        <f t="shared" si="29"/>
        <v>9753</v>
      </c>
      <c r="L23" s="180">
        <f t="shared" si="29"/>
        <v>9781</v>
      </c>
      <c r="M23" s="180">
        <f t="shared" si="29"/>
        <v>9670</v>
      </c>
      <c r="N23" s="180">
        <f t="shared" si="29"/>
        <v>9957</v>
      </c>
      <c r="O23" s="180">
        <f t="shared" si="29"/>
        <v>10198</v>
      </c>
      <c r="Q23" s="176" t="s">
        <v>4907</v>
      </c>
    </row>
    <row r="24" spans="1:17" ht="15.75" thickBot="1">
      <c r="D24" s="183">
        <f t="shared" ref="D24:I24" si="30">D272</f>
        <v>62988</v>
      </c>
      <c r="E24" s="183">
        <f t="shared" si="30"/>
        <v>63927</v>
      </c>
      <c r="F24" s="183">
        <f t="shared" si="30"/>
        <v>63823</v>
      </c>
      <c r="G24" s="183">
        <f t="shared" si="30"/>
        <v>65622</v>
      </c>
      <c r="H24" s="183">
        <f t="shared" si="30"/>
        <v>66002</v>
      </c>
      <c r="I24" s="183">
        <f t="shared" si="30"/>
        <v>65775</v>
      </c>
      <c r="J24" s="183">
        <f t="shared" ref="J24:O24" si="31">J272</f>
        <v>63151</v>
      </c>
      <c r="K24" s="183">
        <f t="shared" si="31"/>
        <v>65119</v>
      </c>
      <c r="L24" s="183">
        <f t="shared" si="31"/>
        <v>65643</v>
      </c>
      <c r="M24" s="183">
        <f t="shared" si="31"/>
        <v>66030</v>
      </c>
      <c r="N24" s="183">
        <f t="shared" si="31"/>
        <v>67697</v>
      </c>
      <c r="O24" s="183">
        <f t="shared" si="31"/>
        <v>68480</v>
      </c>
      <c r="Q24" s="176" t="s">
        <v>4247</v>
      </c>
    </row>
    <row r="25" spans="1:17" ht="15.75" thickBot="1">
      <c r="D25" s="183">
        <f t="shared" ref="D25:I25" si="32">D23+D24</f>
        <v>72532</v>
      </c>
      <c r="E25" s="183">
        <f t="shared" si="32"/>
        <v>73580</v>
      </c>
      <c r="F25" s="183">
        <f t="shared" si="32"/>
        <v>73486</v>
      </c>
      <c r="G25" s="183">
        <f t="shared" si="32"/>
        <v>75359</v>
      </c>
      <c r="H25" s="183">
        <f t="shared" si="32"/>
        <v>75683</v>
      </c>
      <c r="I25" s="183">
        <f t="shared" si="32"/>
        <v>75453</v>
      </c>
      <c r="J25" s="183">
        <f t="shared" ref="J25:O25" si="33">J23+J24</f>
        <v>72685</v>
      </c>
      <c r="K25" s="183">
        <f t="shared" si="33"/>
        <v>74872</v>
      </c>
      <c r="L25" s="183">
        <f t="shared" si="33"/>
        <v>75424</v>
      </c>
      <c r="M25" s="183">
        <f t="shared" si="33"/>
        <v>75700</v>
      </c>
      <c r="N25" s="183">
        <f t="shared" si="33"/>
        <v>77654</v>
      </c>
      <c r="O25" s="183">
        <f t="shared" si="33"/>
        <v>78678</v>
      </c>
    </row>
    <row r="26" spans="1:17">
      <c r="D26" s="181" t="s">
        <v>5744</v>
      </c>
      <c r="E26" s="181" t="s">
        <v>5744</v>
      </c>
      <c r="F26" s="181" t="s">
        <v>5744</v>
      </c>
      <c r="G26" s="181" t="s">
        <v>5744</v>
      </c>
      <c r="H26" s="181" t="s">
        <v>5744</v>
      </c>
      <c r="I26" s="181" t="s">
        <v>5744</v>
      </c>
      <c r="J26" s="181" t="s">
        <v>5744</v>
      </c>
      <c r="K26" s="181" t="s">
        <v>5744</v>
      </c>
      <c r="L26" s="181" t="s">
        <v>5744</v>
      </c>
      <c r="M26" s="181" t="s">
        <v>5744</v>
      </c>
      <c r="N26" s="181" t="s">
        <v>5744</v>
      </c>
      <c r="O26" s="181" t="s">
        <v>5744</v>
      </c>
    </row>
    <row r="27" spans="1:17">
      <c r="A27" s="176" t="s">
        <v>4913</v>
      </c>
      <c r="D27" s="180">
        <f t="shared" ref="D27:I27" si="34">D68</f>
        <v>44376</v>
      </c>
      <c r="E27" s="180">
        <f t="shared" si="34"/>
        <v>44552</v>
      </c>
      <c r="F27" s="180">
        <f t="shared" si="34"/>
        <v>44576</v>
      </c>
      <c r="G27" s="180">
        <f t="shared" si="34"/>
        <v>44903</v>
      </c>
      <c r="H27" s="180">
        <f t="shared" si="34"/>
        <v>44423</v>
      </c>
      <c r="I27" s="180">
        <f t="shared" si="34"/>
        <v>43302</v>
      </c>
      <c r="J27" s="180">
        <f t="shared" ref="J27:O27" si="35">J68</f>
        <v>42127</v>
      </c>
      <c r="K27" s="180">
        <f t="shared" si="35"/>
        <v>43918</v>
      </c>
      <c r="L27" s="180">
        <f t="shared" si="35"/>
        <v>44156</v>
      </c>
      <c r="M27" s="180">
        <f t="shared" si="35"/>
        <v>43944</v>
      </c>
      <c r="N27" s="180">
        <f t="shared" si="35"/>
        <v>44344</v>
      </c>
      <c r="O27" s="180">
        <f t="shared" si="35"/>
        <v>45296</v>
      </c>
      <c r="Q27" s="176" t="s">
        <v>4241</v>
      </c>
    </row>
    <row r="28" spans="1:17" ht="15.75" thickBot="1">
      <c r="D28" s="183">
        <f t="shared" ref="D28:I28" si="36">D160</f>
        <v>32278</v>
      </c>
      <c r="E28" s="183">
        <f t="shared" si="36"/>
        <v>32546</v>
      </c>
      <c r="F28" s="183">
        <f t="shared" si="36"/>
        <v>32753</v>
      </c>
      <c r="G28" s="183">
        <f t="shared" si="36"/>
        <v>33105</v>
      </c>
      <c r="H28" s="183">
        <f t="shared" si="36"/>
        <v>32832</v>
      </c>
      <c r="I28" s="183">
        <f t="shared" si="36"/>
        <v>32763</v>
      </c>
      <c r="J28" s="183">
        <f t="shared" ref="J28:O28" si="37">J160</f>
        <v>32143</v>
      </c>
      <c r="K28" s="183">
        <f t="shared" si="37"/>
        <v>32923</v>
      </c>
      <c r="L28" s="183">
        <f t="shared" si="37"/>
        <v>33011</v>
      </c>
      <c r="M28" s="183">
        <f t="shared" si="37"/>
        <v>32688</v>
      </c>
      <c r="N28" s="183">
        <f t="shared" si="37"/>
        <v>33197</v>
      </c>
      <c r="O28" s="183">
        <f t="shared" si="37"/>
        <v>33999</v>
      </c>
      <c r="Q28" s="176" t="s">
        <v>4907</v>
      </c>
    </row>
    <row r="29" spans="1:17" ht="15.75" thickBot="1">
      <c r="D29" s="183">
        <f t="shared" ref="D29:I29" si="38">D27+D28</f>
        <v>76654</v>
      </c>
      <c r="E29" s="183">
        <f t="shared" si="38"/>
        <v>77098</v>
      </c>
      <c r="F29" s="183">
        <f t="shared" si="38"/>
        <v>77329</v>
      </c>
      <c r="G29" s="183">
        <f t="shared" si="38"/>
        <v>78008</v>
      </c>
      <c r="H29" s="183">
        <f t="shared" si="38"/>
        <v>77255</v>
      </c>
      <c r="I29" s="183">
        <f t="shared" si="38"/>
        <v>76065</v>
      </c>
      <c r="J29" s="183">
        <f t="shared" ref="J29:O29" si="39">J27+J28</f>
        <v>74270</v>
      </c>
      <c r="K29" s="183">
        <f t="shared" si="39"/>
        <v>76841</v>
      </c>
      <c r="L29" s="183">
        <f t="shared" si="39"/>
        <v>77167</v>
      </c>
      <c r="M29" s="183">
        <f t="shared" si="39"/>
        <v>76632</v>
      </c>
      <c r="N29" s="183">
        <f t="shared" si="39"/>
        <v>77541</v>
      </c>
      <c r="O29" s="183">
        <f t="shared" si="39"/>
        <v>79295</v>
      </c>
    </row>
    <row r="30" spans="1:17">
      <c r="D30" s="181" t="s">
        <v>5744</v>
      </c>
      <c r="E30" s="181" t="s">
        <v>5744</v>
      </c>
      <c r="F30" s="181" t="s">
        <v>5744</v>
      </c>
      <c r="G30" s="181" t="s">
        <v>5744</v>
      </c>
      <c r="H30" s="181" t="s">
        <v>5744</v>
      </c>
      <c r="I30" s="181" t="s">
        <v>5744</v>
      </c>
      <c r="J30" s="181" t="s">
        <v>5744</v>
      </c>
      <c r="K30" s="181" t="s">
        <v>5744</v>
      </c>
      <c r="L30" s="181" t="s">
        <v>5744</v>
      </c>
      <c r="M30" s="181" t="s">
        <v>5744</v>
      </c>
      <c r="N30" s="181" t="s">
        <v>5744</v>
      </c>
      <c r="O30" s="181" t="s">
        <v>5744</v>
      </c>
    </row>
    <row r="31" spans="1:17">
      <c r="A31" s="176" t="s">
        <v>4914</v>
      </c>
      <c r="D31" s="180">
        <f t="shared" ref="D31:I31" si="40">D100</f>
        <v>26209</v>
      </c>
      <c r="E31" s="180">
        <f t="shared" si="40"/>
        <v>26440</v>
      </c>
      <c r="F31" s="180">
        <f t="shared" si="40"/>
        <v>26392</v>
      </c>
      <c r="G31" s="180">
        <f t="shared" si="40"/>
        <v>26373</v>
      </c>
      <c r="H31" s="180">
        <f t="shared" si="40"/>
        <v>26647</v>
      </c>
      <c r="I31" s="180">
        <f t="shared" si="40"/>
        <v>25885</v>
      </c>
      <c r="J31" s="180">
        <f t="shared" ref="J31:O31" si="41">J100</f>
        <v>25302</v>
      </c>
      <c r="K31" s="180">
        <f t="shared" si="41"/>
        <v>26956</v>
      </c>
      <c r="L31" s="180">
        <f t="shared" si="41"/>
        <v>27085</v>
      </c>
      <c r="M31" s="180">
        <f t="shared" si="41"/>
        <v>27462</v>
      </c>
      <c r="N31" s="180">
        <f t="shared" si="41"/>
        <v>28238</v>
      </c>
      <c r="O31" s="180">
        <f t="shared" si="41"/>
        <v>27770</v>
      </c>
      <c r="Q31" s="176" t="s">
        <v>4909</v>
      </c>
    </row>
    <row r="32" spans="1:17">
      <c r="D32" s="180">
        <f t="shared" ref="D32:I32" si="42">D214</f>
        <v>41032</v>
      </c>
      <c r="E32" s="180">
        <f t="shared" si="42"/>
        <v>41234</v>
      </c>
      <c r="F32" s="180">
        <f t="shared" si="42"/>
        <v>41480</v>
      </c>
      <c r="G32" s="180">
        <f t="shared" si="42"/>
        <v>42074</v>
      </c>
      <c r="H32" s="180">
        <f t="shared" si="42"/>
        <v>40530</v>
      </c>
      <c r="I32" s="180">
        <f t="shared" si="42"/>
        <v>40590</v>
      </c>
      <c r="J32" s="180">
        <f t="shared" ref="J32:O32" si="43">J214</f>
        <v>39668</v>
      </c>
      <c r="K32" s="180">
        <f t="shared" si="43"/>
        <v>41406</v>
      </c>
      <c r="L32" s="180">
        <f t="shared" si="43"/>
        <v>41576</v>
      </c>
      <c r="M32" s="180">
        <f t="shared" si="43"/>
        <v>41432</v>
      </c>
      <c r="N32" s="180">
        <f t="shared" si="43"/>
        <v>42356</v>
      </c>
      <c r="O32" s="180">
        <f t="shared" si="43"/>
        <v>43806</v>
      </c>
      <c r="Q32" s="176" t="s">
        <v>4245</v>
      </c>
    </row>
    <row r="33" spans="1:17" ht="15.75" thickBot="1">
      <c r="D33" s="183">
        <f t="shared" ref="D33:I33" si="44">D244</f>
        <v>9592</v>
      </c>
      <c r="E33" s="183">
        <f t="shared" si="44"/>
        <v>9556</v>
      </c>
      <c r="F33" s="183">
        <f t="shared" si="44"/>
        <v>9574</v>
      </c>
      <c r="G33" s="183">
        <f t="shared" si="44"/>
        <v>9545</v>
      </c>
      <c r="H33" s="183">
        <f t="shared" si="44"/>
        <v>9605</v>
      </c>
      <c r="I33" s="183">
        <f t="shared" si="44"/>
        <v>9357</v>
      </c>
      <c r="J33" s="183">
        <f t="shared" ref="J33:O33" si="45">J244</f>
        <v>9182</v>
      </c>
      <c r="K33" s="183">
        <f t="shared" si="45"/>
        <v>9404</v>
      </c>
      <c r="L33" s="183">
        <f t="shared" si="45"/>
        <v>9440</v>
      </c>
      <c r="M33" s="183">
        <f t="shared" si="45"/>
        <v>9283</v>
      </c>
      <c r="N33" s="183">
        <f t="shared" si="45"/>
        <v>9370</v>
      </c>
      <c r="O33" s="183">
        <f t="shared" si="45"/>
        <v>9486</v>
      </c>
      <c r="Q33" s="176" t="s">
        <v>4911</v>
      </c>
    </row>
    <row r="34" spans="1:17" ht="15.75" thickBot="1">
      <c r="D34" s="183">
        <f t="shared" ref="D34:I34" si="46">SUM(D31:D33)</f>
        <v>76833</v>
      </c>
      <c r="E34" s="183">
        <f t="shared" si="46"/>
        <v>77230</v>
      </c>
      <c r="F34" s="183">
        <f t="shared" si="46"/>
        <v>77446</v>
      </c>
      <c r="G34" s="183">
        <f t="shared" si="46"/>
        <v>77992</v>
      </c>
      <c r="H34" s="183">
        <f t="shared" si="46"/>
        <v>76782</v>
      </c>
      <c r="I34" s="183">
        <f t="shared" si="46"/>
        <v>75832</v>
      </c>
      <c r="J34" s="183">
        <f t="shared" ref="J34:O34" si="47">SUM(J31:J33)</f>
        <v>74152</v>
      </c>
      <c r="K34" s="183">
        <f t="shared" si="47"/>
        <v>77766</v>
      </c>
      <c r="L34" s="183">
        <f t="shared" si="47"/>
        <v>78101</v>
      </c>
      <c r="M34" s="183">
        <f t="shared" si="47"/>
        <v>78177</v>
      </c>
      <c r="N34" s="183">
        <f t="shared" si="47"/>
        <v>79964</v>
      </c>
      <c r="O34" s="183">
        <f t="shared" si="47"/>
        <v>81062</v>
      </c>
    </row>
    <row r="36" spans="1:17">
      <c r="A36" s="176" t="s">
        <v>6796</v>
      </c>
      <c r="D36" s="180">
        <f t="shared" ref="D36:I36" si="48">D15+D19+D21+D25+D29+D34</f>
        <v>457925</v>
      </c>
      <c r="E36" s="180">
        <f t="shared" si="48"/>
        <v>457932</v>
      </c>
      <c r="F36" s="180">
        <f t="shared" si="48"/>
        <v>457796</v>
      </c>
      <c r="G36" s="180">
        <f t="shared" si="48"/>
        <v>462169</v>
      </c>
      <c r="H36" s="180">
        <f t="shared" si="48"/>
        <v>460043</v>
      </c>
      <c r="I36" s="180">
        <f t="shared" si="48"/>
        <v>453258</v>
      </c>
      <c r="J36" s="180">
        <f t="shared" ref="J36:O36" si="49">J15+J19+J21+J25+J29+J34</f>
        <v>442491</v>
      </c>
      <c r="K36" s="180">
        <f t="shared" si="49"/>
        <v>457890</v>
      </c>
      <c r="L36" s="180">
        <f t="shared" si="49"/>
        <v>459317</v>
      </c>
      <c r="M36" s="180">
        <f t="shared" si="49"/>
        <v>457488</v>
      </c>
      <c r="N36" s="180">
        <f t="shared" si="49"/>
        <v>467346</v>
      </c>
      <c r="O36" s="180">
        <f t="shared" si="49"/>
        <v>473300</v>
      </c>
    </row>
    <row r="37" spans="1:17">
      <c r="D37" s="179"/>
      <c r="E37" s="179"/>
      <c r="F37" s="179"/>
      <c r="G37" s="179"/>
      <c r="H37" s="179"/>
      <c r="I37" s="179"/>
      <c r="J37" s="179"/>
      <c r="K37" s="179"/>
      <c r="L37" s="179"/>
      <c r="M37" s="179"/>
      <c r="N37" s="179"/>
      <c r="O37" s="179"/>
    </row>
    <row r="38" spans="1:17">
      <c r="A38" s="176" t="s">
        <v>6797</v>
      </c>
      <c r="D38" s="180">
        <f t="shared" ref="D38:I38" si="50">MAX(D15,D19,D34,D21,D25,D29)-MIN(D15,D19,D34,D21,D25,D29)</f>
        <v>8782</v>
      </c>
      <c r="E38" s="180">
        <f t="shared" si="50"/>
        <v>5322</v>
      </c>
      <c r="F38" s="180">
        <f t="shared" si="50"/>
        <v>5416</v>
      </c>
      <c r="G38" s="180">
        <f t="shared" si="50"/>
        <v>3883</v>
      </c>
      <c r="H38" s="180">
        <f t="shared" si="50"/>
        <v>4766</v>
      </c>
      <c r="I38" s="180">
        <f t="shared" si="50"/>
        <v>4840</v>
      </c>
      <c r="J38" s="180">
        <f t="shared" ref="J38:O38" si="51">MAX(J15,J19,J34,J21,J25,J29)-MIN(J15,J19,J34,J21,J25,J29)</f>
        <v>5649</v>
      </c>
      <c r="K38" s="180">
        <f t="shared" si="51"/>
        <v>8280</v>
      </c>
      <c r="L38" s="180">
        <f t="shared" si="51"/>
        <v>7858</v>
      </c>
      <c r="M38" s="180">
        <f t="shared" si="51"/>
        <v>8853</v>
      </c>
      <c r="N38" s="180">
        <f t="shared" si="51"/>
        <v>11028</v>
      </c>
      <c r="O38" s="180">
        <f t="shared" si="51"/>
        <v>8169</v>
      </c>
    </row>
    <row r="39" spans="1:17">
      <c r="D39" s="179"/>
      <c r="E39" s="179"/>
      <c r="F39" s="179"/>
      <c r="G39" s="179"/>
      <c r="H39" s="179"/>
      <c r="I39" s="179"/>
      <c r="J39" s="179"/>
      <c r="K39" s="179"/>
      <c r="L39" s="179"/>
      <c r="M39" s="179"/>
      <c r="N39" s="179"/>
      <c r="O39" s="179"/>
    </row>
    <row r="40" spans="1:17">
      <c r="A40" s="176" t="s">
        <v>6800</v>
      </c>
      <c r="D40" s="180">
        <f t="shared" ref="D40:I40" si="52">STDEVP(D15,D19,D21,D25,D29,D34)</f>
        <v>2672.210222310779</v>
      </c>
      <c r="E40" s="180">
        <f t="shared" si="52"/>
        <v>1697.7644123964903</v>
      </c>
      <c r="F40" s="180">
        <f t="shared" si="52"/>
        <v>1787.5273113686653</v>
      </c>
      <c r="G40" s="180">
        <f t="shared" si="52"/>
        <v>1461.1903157661868</v>
      </c>
      <c r="H40" s="180">
        <f t="shared" si="52"/>
        <v>1576.9103141551484</v>
      </c>
      <c r="I40" s="180">
        <f t="shared" si="52"/>
        <v>1433.8820267604538</v>
      </c>
      <c r="J40" s="180">
        <f t="shared" ref="J40:O40" si="53">STDEVP(J15,J19,J21,J25,J29,J34)</f>
        <v>1729.1707791115757</v>
      </c>
      <c r="K40" s="180">
        <f t="shared" si="53"/>
        <v>2548.076987324624</v>
      </c>
      <c r="L40" s="180">
        <f t="shared" si="53"/>
        <v>2426.0599344524767</v>
      </c>
      <c r="M40" s="180">
        <f t="shared" si="53"/>
        <v>2738.0711580721686</v>
      </c>
      <c r="N40" s="180">
        <f t="shared" si="53"/>
        <v>3331.5306292053406</v>
      </c>
      <c r="O40" s="180">
        <f t="shared" si="53"/>
        <v>2592.9801173338928</v>
      </c>
    </row>
    <row r="42" spans="1:17">
      <c r="A42" s="176" t="s">
        <v>3376</v>
      </c>
    </row>
    <row r="45" spans="1:17">
      <c r="E45" s="51" t="s">
        <v>1526</v>
      </c>
      <c r="F45" s="51"/>
      <c r="G45" s="51"/>
      <c r="H45" s="51"/>
      <c r="I45" s="51"/>
      <c r="J45" s="51"/>
      <c r="K45" s="51"/>
      <c r="L45" s="51"/>
      <c r="M45" s="51"/>
      <c r="N45" s="51"/>
      <c r="O45" s="51"/>
      <c r="P45" s="11"/>
      <c r="Q45" s="11" t="s">
        <v>9479</v>
      </c>
    </row>
    <row r="46" spans="1:17">
      <c r="D46" s="350">
        <v>2010</v>
      </c>
      <c r="E46" s="350">
        <v>2011</v>
      </c>
      <c r="F46" s="350">
        <v>2012</v>
      </c>
      <c r="G46" s="350">
        <v>2013</v>
      </c>
      <c r="H46" s="350">
        <v>2014</v>
      </c>
      <c r="I46" s="350">
        <v>2015</v>
      </c>
      <c r="J46" s="350">
        <v>2016</v>
      </c>
      <c r="K46" s="350">
        <v>2017</v>
      </c>
      <c r="L46" s="350">
        <v>2018</v>
      </c>
      <c r="M46" s="350">
        <v>2019</v>
      </c>
      <c r="N46" s="350">
        <v>2020</v>
      </c>
      <c r="O46" s="923" t="s">
        <v>14823</v>
      </c>
      <c r="P46" s="11"/>
      <c r="Q46" s="13" t="s">
        <v>1527</v>
      </c>
    </row>
    <row r="47" spans="1:17">
      <c r="A47" s="176" t="s">
        <v>3377</v>
      </c>
      <c r="C47" s="176"/>
      <c r="D47" s="180">
        <f t="shared" ref="D47:I47" si="54">SUM(D48:D66)</f>
        <v>44376</v>
      </c>
      <c r="E47" s="180">
        <f t="shared" si="54"/>
        <v>44552</v>
      </c>
      <c r="F47" s="180">
        <f t="shared" si="54"/>
        <v>44576</v>
      </c>
      <c r="G47" s="180">
        <f t="shared" si="54"/>
        <v>44903</v>
      </c>
      <c r="H47" s="180">
        <f t="shared" si="54"/>
        <v>44423</v>
      </c>
      <c r="I47" s="180">
        <f t="shared" si="54"/>
        <v>43302</v>
      </c>
      <c r="J47" s="180">
        <f t="shared" ref="J47:O47" si="55">SUM(J48:J66)</f>
        <v>42127</v>
      </c>
      <c r="K47" s="180">
        <f t="shared" si="55"/>
        <v>43918</v>
      </c>
      <c r="L47" s="180">
        <f t="shared" si="55"/>
        <v>44156</v>
      </c>
      <c r="M47" s="180">
        <f t="shared" si="55"/>
        <v>43944</v>
      </c>
      <c r="N47" s="180">
        <f t="shared" si="55"/>
        <v>44344</v>
      </c>
      <c r="O47" s="180">
        <f t="shared" si="55"/>
        <v>45296</v>
      </c>
    </row>
    <row r="48" spans="1:17">
      <c r="A48" s="176" t="s">
        <v>5387</v>
      </c>
      <c r="B48" s="176" t="s">
        <v>3378</v>
      </c>
      <c r="C48" s="55" t="s">
        <v>11474</v>
      </c>
      <c r="D48" s="180">
        <v>2897</v>
      </c>
      <c r="E48" s="180">
        <v>2940</v>
      </c>
      <c r="F48" s="180">
        <v>2960</v>
      </c>
      <c r="G48" s="56">
        <v>2979</v>
      </c>
      <c r="H48" s="56">
        <v>2947</v>
      </c>
      <c r="I48" s="56">
        <v>2919</v>
      </c>
      <c r="J48" s="56">
        <v>2824</v>
      </c>
      <c r="K48" s="56">
        <v>2892</v>
      </c>
      <c r="L48" s="56">
        <v>2888</v>
      </c>
      <c r="M48" s="56">
        <v>2865</v>
      </c>
      <c r="N48" s="56">
        <v>2939</v>
      </c>
      <c r="O48" s="56">
        <v>3000</v>
      </c>
      <c r="Q48" s="176" t="s">
        <v>4913</v>
      </c>
    </row>
    <row r="49" spans="1:17">
      <c r="A49" s="176" t="s">
        <v>5389</v>
      </c>
      <c r="B49" s="176" t="s">
        <v>3379</v>
      </c>
      <c r="C49" s="55" t="s">
        <v>11475</v>
      </c>
      <c r="D49" s="180">
        <v>1330</v>
      </c>
      <c r="E49" s="180">
        <v>1338</v>
      </c>
      <c r="F49" s="180">
        <v>1325</v>
      </c>
      <c r="G49" s="56">
        <v>1323</v>
      </c>
      <c r="H49" s="56">
        <v>1339</v>
      </c>
      <c r="I49" s="56">
        <v>1317</v>
      </c>
      <c r="J49" s="56">
        <v>1247</v>
      </c>
      <c r="K49" s="56">
        <v>1319</v>
      </c>
      <c r="L49" s="56">
        <v>1300</v>
      </c>
      <c r="M49" s="56">
        <v>1276</v>
      </c>
      <c r="N49" s="56">
        <v>1279</v>
      </c>
      <c r="O49" s="56">
        <v>1312</v>
      </c>
      <c r="Q49" s="176" t="s">
        <v>4913</v>
      </c>
    </row>
    <row r="50" spans="1:17">
      <c r="A50" s="176" t="s">
        <v>5391</v>
      </c>
      <c r="B50" s="176" t="s">
        <v>3380</v>
      </c>
      <c r="C50" s="55" t="s">
        <v>7799</v>
      </c>
      <c r="D50" s="180">
        <v>2995</v>
      </c>
      <c r="E50" s="180">
        <v>3004</v>
      </c>
      <c r="F50" s="180">
        <v>3000</v>
      </c>
      <c r="G50" s="56">
        <v>2973</v>
      </c>
      <c r="H50" s="56">
        <v>2900</v>
      </c>
      <c r="I50" s="56">
        <v>2832</v>
      </c>
      <c r="J50" s="56">
        <v>2795</v>
      </c>
      <c r="K50" s="56">
        <v>2885</v>
      </c>
      <c r="L50" s="56">
        <v>2908</v>
      </c>
      <c r="M50" s="56">
        <v>2854</v>
      </c>
      <c r="N50" s="56">
        <v>2874</v>
      </c>
      <c r="O50" s="56">
        <v>2939</v>
      </c>
      <c r="Q50" s="176" t="s">
        <v>4913</v>
      </c>
    </row>
    <row r="51" spans="1:17">
      <c r="A51" s="176" t="s">
        <v>5393</v>
      </c>
      <c r="B51" s="176" t="s">
        <v>3381</v>
      </c>
      <c r="C51" s="55" t="s">
        <v>11476</v>
      </c>
      <c r="D51" s="180">
        <v>1825</v>
      </c>
      <c r="E51" s="180">
        <v>1833</v>
      </c>
      <c r="F51" s="180">
        <v>1816</v>
      </c>
      <c r="G51" s="56">
        <v>1838</v>
      </c>
      <c r="H51" s="56">
        <v>1798</v>
      </c>
      <c r="I51" s="56">
        <v>1713</v>
      </c>
      <c r="J51" s="56">
        <v>1707</v>
      </c>
      <c r="K51" s="56">
        <v>1807</v>
      </c>
      <c r="L51" s="56">
        <v>1824</v>
      </c>
      <c r="M51" s="56">
        <v>1814</v>
      </c>
      <c r="N51" s="56">
        <v>1827</v>
      </c>
      <c r="O51" s="56">
        <v>1859</v>
      </c>
      <c r="Q51" s="176" t="s">
        <v>4913</v>
      </c>
    </row>
    <row r="52" spans="1:17">
      <c r="A52" s="176" t="s">
        <v>5394</v>
      </c>
      <c r="B52" s="176" t="s">
        <v>3382</v>
      </c>
      <c r="C52" s="55" t="s">
        <v>10399</v>
      </c>
      <c r="D52" s="180">
        <v>1507</v>
      </c>
      <c r="E52" s="180">
        <v>1515</v>
      </c>
      <c r="F52" s="180">
        <v>1522</v>
      </c>
      <c r="G52" s="56">
        <v>1543</v>
      </c>
      <c r="H52" s="56">
        <v>1531</v>
      </c>
      <c r="I52" s="56">
        <v>1513</v>
      </c>
      <c r="J52" s="56">
        <v>1479</v>
      </c>
      <c r="K52" s="56">
        <v>1505</v>
      </c>
      <c r="L52" s="56">
        <v>1534</v>
      </c>
      <c r="M52" s="56">
        <v>1552</v>
      </c>
      <c r="N52" s="56">
        <v>1544</v>
      </c>
      <c r="O52" s="56">
        <v>1569</v>
      </c>
      <c r="Q52" s="176" t="s">
        <v>4913</v>
      </c>
    </row>
    <row r="53" spans="1:17">
      <c r="A53" s="176" t="s">
        <v>5416</v>
      </c>
      <c r="B53" s="176" t="s">
        <v>3383</v>
      </c>
      <c r="C53" s="55" t="s">
        <v>10400</v>
      </c>
      <c r="D53" s="180">
        <v>2507</v>
      </c>
      <c r="E53" s="180">
        <v>2538</v>
      </c>
      <c r="F53" s="180">
        <v>2529</v>
      </c>
      <c r="G53" s="56">
        <v>2539</v>
      </c>
      <c r="H53" s="56">
        <v>2527</v>
      </c>
      <c r="I53" s="56">
        <v>2508</v>
      </c>
      <c r="J53" s="56">
        <v>2462</v>
      </c>
      <c r="K53" s="56">
        <v>2575</v>
      </c>
      <c r="L53" s="56">
        <v>2545</v>
      </c>
      <c r="M53" s="56">
        <v>2489</v>
      </c>
      <c r="N53" s="56">
        <v>2571</v>
      </c>
      <c r="O53" s="56">
        <v>2604</v>
      </c>
      <c r="Q53" s="176" t="s">
        <v>4913</v>
      </c>
    </row>
    <row r="54" spans="1:17">
      <c r="A54" s="176" t="s">
        <v>5418</v>
      </c>
      <c r="B54" s="176" t="s">
        <v>3384</v>
      </c>
      <c r="C54" s="55" t="s">
        <v>10401</v>
      </c>
      <c r="D54" s="180">
        <v>3157</v>
      </c>
      <c r="E54" s="180">
        <v>3168</v>
      </c>
      <c r="F54" s="180">
        <v>3167</v>
      </c>
      <c r="G54" s="56">
        <v>3149</v>
      </c>
      <c r="H54" s="56">
        <v>3102</v>
      </c>
      <c r="I54" s="56">
        <v>2976</v>
      </c>
      <c r="J54" s="56">
        <v>2944</v>
      </c>
      <c r="K54" s="56">
        <v>3050</v>
      </c>
      <c r="L54" s="56">
        <v>3058</v>
      </c>
      <c r="M54" s="56">
        <v>3073</v>
      </c>
      <c r="N54" s="56">
        <v>3158</v>
      </c>
      <c r="O54" s="56">
        <v>3242</v>
      </c>
      <c r="Q54" s="176" t="s">
        <v>4913</v>
      </c>
    </row>
    <row r="55" spans="1:17">
      <c r="A55" s="176" t="s">
        <v>5420</v>
      </c>
      <c r="B55" s="176" t="s">
        <v>3385</v>
      </c>
      <c r="C55" s="55" t="s">
        <v>11477</v>
      </c>
      <c r="D55" s="180">
        <v>1361</v>
      </c>
      <c r="E55" s="180">
        <v>1358</v>
      </c>
      <c r="F55" s="180">
        <v>1336</v>
      </c>
      <c r="G55" s="56">
        <v>1355</v>
      </c>
      <c r="H55" s="56">
        <v>1305</v>
      </c>
      <c r="I55" s="56">
        <v>1225</v>
      </c>
      <c r="J55" s="56">
        <v>1201</v>
      </c>
      <c r="K55" s="56">
        <v>1277</v>
      </c>
      <c r="L55" s="56">
        <v>1297</v>
      </c>
      <c r="M55" s="56">
        <v>1272</v>
      </c>
      <c r="N55" s="56">
        <v>1273</v>
      </c>
      <c r="O55" s="56">
        <v>1301</v>
      </c>
      <c r="Q55" s="176" t="s">
        <v>4913</v>
      </c>
    </row>
    <row r="56" spans="1:17">
      <c r="A56" s="176" t="s">
        <v>5422</v>
      </c>
      <c r="B56" s="176" t="s">
        <v>3386</v>
      </c>
      <c r="C56" s="55" t="s">
        <v>11478</v>
      </c>
      <c r="D56" s="180">
        <v>1798</v>
      </c>
      <c r="E56" s="180">
        <v>1823</v>
      </c>
      <c r="F56" s="180">
        <v>1798</v>
      </c>
      <c r="G56" s="56">
        <v>1794</v>
      </c>
      <c r="H56" s="56">
        <v>1842</v>
      </c>
      <c r="I56" s="56">
        <v>1814</v>
      </c>
      <c r="J56" s="56">
        <v>1709</v>
      </c>
      <c r="K56" s="56">
        <v>1799</v>
      </c>
      <c r="L56" s="56">
        <v>1775</v>
      </c>
      <c r="M56" s="56">
        <v>1759</v>
      </c>
      <c r="N56" s="56">
        <v>1787</v>
      </c>
      <c r="O56" s="56">
        <v>1821</v>
      </c>
      <c r="Q56" s="176" t="s">
        <v>4913</v>
      </c>
    </row>
    <row r="57" spans="1:17">
      <c r="A57" s="176" t="s">
        <v>5424</v>
      </c>
      <c r="B57" s="176" t="s">
        <v>3387</v>
      </c>
      <c r="C57" s="55" t="s">
        <v>7800</v>
      </c>
      <c r="D57" s="180">
        <v>3201</v>
      </c>
      <c r="E57" s="180">
        <v>3180</v>
      </c>
      <c r="F57" s="180">
        <v>3211</v>
      </c>
      <c r="G57" s="56">
        <v>3249</v>
      </c>
      <c r="H57" s="56">
        <v>3190</v>
      </c>
      <c r="I57" s="56">
        <v>3120</v>
      </c>
      <c r="J57" s="56">
        <v>3019</v>
      </c>
      <c r="K57" s="56">
        <v>3104</v>
      </c>
      <c r="L57" s="56">
        <v>3140</v>
      </c>
      <c r="M57" s="56">
        <v>3127</v>
      </c>
      <c r="N57" s="56">
        <v>3109</v>
      </c>
      <c r="O57" s="56">
        <v>3195</v>
      </c>
      <c r="Q57" s="176" t="s">
        <v>4913</v>
      </c>
    </row>
    <row r="58" spans="1:17">
      <c r="A58" s="176" t="s">
        <v>5426</v>
      </c>
      <c r="B58" s="176" t="s">
        <v>6349</v>
      </c>
      <c r="C58" s="55" t="s">
        <v>11479</v>
      </c>
      <c r="D58" s="180">
        <v>1479</v>
      </c>
      <c r="E58" s="180">
        <v>1468</v>
      </c>
      <c r="F58" s="180">
        <v>1468</v>
      </c>
      <c r="G58" s="56">
        <v>1472</v>
      </c>
      <c r="H58" s="56">
        <v>1467</v>
      </c>
      <c r="I58" s="56">
        <v>1455</v>
      </c>
      <c r="J58" s="56">
        <v>1391</v>
      </c>
      <c r="K58" s="56">
        <v>1487</v>
      </c>
      <c r="L58" s="56">
        <v>1504</v>
      </c>
      <c r="M58" s="56">
        <v>1515</v>
      </c>
      <c r="N58" s="56">
        <v>1500</v>
      </c>
      <c r="O58" s="56">
        <v>1534</v>
      </c>
      <c r="Q58" s="176" t="s">
        <v>4913</v>
      </c>
    </row>
    <row r="59" spans="1:17">
      <c r="A59" s="176" t="s">
        <v>5428</v>
      </c>
      <c r="B59" s="176" t="s">
        <v>6350</v>
      </c>
      <c r="C59" s="55" t="s">
        <v>11480</v>
      </c>
      <c r="D59" s="180">
        <v>2979</v>
      </c>
      <c r="E59" s="180">
        <v>2958</v>
      </c>
      <c r="F59" s="180">
        <v>2952</v>
      </c>
      <c r="G59" s="56">
        <v>3006</v>
      </c>
      <c r="H59" s="56">
        <v>2985</v>
      </c>
      <c r="I59" s="56">
        <v>2950</v>
      </c>
      <c r="J59" s="56">
        <v>2920</v>
      </c>
      <c r="K59" s="56">
        <v>3096</v>
      </c>
      <c r="L59" s="56">
        <v>3117</v>
      </c>
      <c r="M59" s="56">
        <v>3111</v>
      </c>
      <c r="N59" s="56">
        <v>3118</v>
      </c>
      <c r="O59" s="56">
        <v>3182</v>
      </c>
      <c r="Q59" s="176" t="s">
        <v>4913</v>
      </c>
    </row>
    <row r="60" spans="1:17">
      <c r="A60" s="176" t="s">
        <v>5429</v>
      </c>
      <c r="B60" s="176" t="s">
        <v>6385</v>
      </c>
      <c r="C60" s="55" t="s">
        <v>10402</v>
      </c>
      <c r="D60" s="180">
        <v>2785</v>
      </c>
      <c r="E60" s="180">
        <v>2797</v>
      </c>
      <c r="F60" s="180">
        <v>2762</v>
      </c>
      <c r="G60" s="56">
        <v>2810</v>
      </c>
      <c r="H60" s="56">
        <v>2799</v>
      </c>
      <c r="I60" s="56">
        <v>2747</v>
      </c>
      <c r="J60" s="56">
        <v>2665</v>
      </c>
      <c r="K60" s="56">
        <v>2810</v>
      </c>
      <c r="L60" s="56">
        <v>2823</v>
      </c>
      <c r="M60" s="56">
        <v>2846</v>
      </c>
      <c r="N60" s="56">
        <v>2891</v>
      </c>
      <c r="O60" s="56">
        <v>2928</v>
      </c>
      <c r="Q60" s="176" t="s">
        <v>4913</v>
      </c>
    </row>
    <row r="61" spans="1:17">
      <c r="A61" s="176" t="s">
        <v>5431</v>
      </c>
      <c r="B61" s="176" t="s">
        <v>6386</v>
      </c>
      <c r="C61" s="55" t="s">
        <v>10403</v>
      </c>
      <c r="D61" s="180">
        <v>2774</v>
      </c>
      <c r="E61" s="180">
        <v>2814</v>
      </c>
      <c r="F61" s="180">
        <v>2818</v>
      </c>
      <c r="G61" s="56">
        <v>2852</v>
      </c>
      <c r="H61" s="56">
        <v>2842</v>
      </c>
      <c r="I61" s="56">
        <v>2802</v>
      </c>
      <c r="J61" s="56">
        <v>2731</v>
      </c>
      <c r="K61" s="56">
        <v>2865</v>
      </c>
      <c r="L61" s="56">
        <v>2871</v>
      </c>
      <c r="M61" s="56">
        <v>2863</v>
      </c>
      <c r="N61" s="56">
        <v>2928</v>
      </c>
      <c r="O61" s="56">
        <v>2997</v>
      </c>
      <c r="Q61" s="176" t="s">
        <v>4913</v>
      </c>
    </row>
    <row r="62" spans="1:17">
      <c r="A62" s="176" t="s">
        <v>5433</v>
      </c>
      <c r="B62" s="176" t="s">
        <v>6387</v>
      </c>
      <c r="C62" s="55" t="s">
        <v>7801</v>
      </c>
      <c r="D62" s="180">
        <v>2775</v>
      </c>
      <c r="E62" s="180">
        <v>2779</v>
      </c>
      <c r="F62" s="180">
        <v>2773</v>
      </c>
      <c r="G62" s="56">
        <v>2769</v>
      </c>
      <c r="H62" s="56">
        <v>2711</v>
      </c>
      <c r="I62" s="56">
        <v>2600</v>
      </c>
      <c r="J62" s="56">
        <v>2505</v>
      </c>
      <c r="K62" s="56">
        <v>2639</v>
      </c>
      <c r="L62" s="56">
        <v>2670</v>
      </c>
      <c r="M62" s="56">
        <v>2635</v>
      </c>
      <c r="N62" s="56">
        <v>2582</v>
      </c>
      <c r="O62" s="56">
        <v>2642</v>
      </c>
      <c r="Q62" s="176" t="s">
        <v>4913</v>
      </c>
    </row>
    <row r="63" spans="1:17">
      <c r="A63" s="176" t="s">
        <v>5435</v>
      </c>
      <c r="B63" s="176" t="s">
        <v>6388</v>
      </c>
      <c r="C63" s="55" t="s">
        <v>10404</v>
      </c>
      <c r="D63" s="180">
        <v>2931</v>
      </c>
      <c r="E63" s="180">
        <v>2919</v>
      </c>
      <c r="F63" s="180">
        <v>2976</v>
      </c>
      <c r="G63" s="58">
        <v>3069</v>
      </c>
      <c r="H63" s="58">
        <v>3004</v>
      </c>
      <c r="I63" s="58">
        <v>2869</v>
      </c>
      <c r="J63" s="58">
        <v>2724</v>
      </c>
      <c r="K63" s="58">
        <v>2890</v>
      </c>
      <c r="L63" s="58">
        <v>2966</v>
      </c>
      <c r="M63" s="58">
        <v>2942</v>
      </c>
      <c r="N63" s="58">
        <v>2964</v>
      </c>
      <c r="O63" s="58">
        <v>3043</v>
      </c>
      <c r="Q63" s="176" t="s">
        <v>4913</v>
      </c>
    </row>
    <row r="64" spans="1:17">
      <c r="A64" s="176" t="s">
        <v>5436</v>
      </c>
      <c r="B64" s="176" t="s">
        <v>6389</v>
      </c>
      <c r="C64" s="55" t="s">
        <v>10405</v>
      </c>
      <c r="D64" s="180">
        <v>2893</v>
      </c>
      <c r="E64" s="180">
        <v>2921</v>
      </c>
      <c r="F64" s="180">
        <v>2926</v>
      </c>
      <c r="G64" s="58">
        <v>2966</v>
      </c>
      <c r="H64" s="58">
        <v>2958</v>
      </c>
      <c r="I64" s="58">
        <v>2843</v>
      </c>
      <c r="J64" s="58">
        <v>2763</v>
      </c>
      <c r="K64" s="58">
        <v>2803</v>
      </c>
      <c r="L64" s="58">
        <v>2832</v>
      </c>
      <c r="M64" s="58">
        <v>2869</v>
      </c>
      <c r="N64" s="58">
        <v>2870</v>
      </c>
      <c r="O64" s="58">
        <v>2940</v>
      </c>
      <c r="Q64" s="176" t="s">
        <v>4913</v>
      </c>
    </row>
    <row r="65" spans="1:17">
      <c r="A65" s="176" t="s">
        <v>5437</v>
      </c>
      <c r="B65" s="176" t="s">
        <v>6390</v>
      </c>
      <c r="C65" s="55" t="s">
        <v>7802</v>
      </c>
      <c r="D65" s="180">
        <v>1577</v>
      </c>
      <c r="E65" s="180">
        <v>1587</v>
      </c>
      <c r="F65" s="180">
        <v>1596</v>
      </c>
      <c r="G65" s="58">
        <v>1608</v>
      </c>
      <c r="H65" s="58">
        <v>1576</v>
      </c>
      <c r="I65" s="58">
        <v>1556</v>
      </c>
      <c r="J65" s="58">
        <v>1506</v>
      </c>
      <c r="K65" s="58">
        <v>1540</v>
      </c>
      <c r="L65" s="58">
        <v>1534</v>
      </c>
      <c r="M65" s="58">
        <v>1522</v>
      </c>
      <c r="N65" s="58">
        <v>1558</v>
      </c>
      <c r="O65" s="58">
        <v>1578</v>
      </c>
      <c r="Q65" s="176" t="s">
        <v>4913</v>
      </c>
    </row>
    <row r="66" spans="1:17">
      <c r="A66" s="176" t="s">
        <v>5439</v>
      </c>
      <c r="B66" s="176" t="s">
        <v>6391</v>
      </c>
      <c r="C66" s="55" t="s">
        <v>10406</v>
      </c>
      <c r="D66" s="180">
        <v>1605</v>
      </c>
      <c r="E66" s="180">
        <v>1612</v>
      </c>
      <c r="F66" s="180">
        <v>1641</v>
      </c>
      <c r="G66" s="58">
        <v>1609</v>
      </c>
      <c r="H66" s="58">
        <v>1600</v>
      </c>
      <c r="I66" s="58">
        <v>1543</v>
      </c>
      <c r="J66" s="58">
        <v>1535</v>
      </c>
      <c r="K66" s="58">
        <v>1575</v>
      </c>
      <c r="L66" s="58">
        <v>1570</v>
      </c>
      <c r="M66" s="58">
        <v>1560</v>
      </c>
      <c r="N66" s="58">
        <v>1572</v>
      </c>
      <c r="O66" s="58">
        <v>1610</v>
      </c>
      <c r="Q66" s="176" t="s">
        <v>4913</v>
      </c>
    </row>
    <row r="67" spans="1:17">
      <c r="D67" s="179"/>
      <c r="E67" s="179"/>
      <c r="F67" s="179"/>
      <c r="G67" s="179"/>
      <c r="H67" s="179"/>
      <c r="I67" s="179"/>
      <c r="J67" s="179"/>
      <c r="K67" s="179"/>
      <c r="L67" s="179"/>
      <c r="M67" s="179"/>
      <c r="N67" s="179"/>
      <c r="O67" s="179"/>
    </row>
    <row r="68" spans="1:17">
      <c r="A68" s="176" t="s">
        <v>4841</v>
      </c>
      <c r="D68" s="180">
        <f t="shared" ref="D68:I68" si="56">SUM(D48:D66)</f>
        <v>44376</v>
      </c>
      <c r="E68" s="180">
        <f t="shared" si="56"/>
        <v>44552</v>
      </c>
      <c r="F68" s="180">
        <f t="shared" si="56"/>
        <v>44576</v>
      </c>
      <c r="G68" s="180">
        <f t="shared" si="56"/>
        <v>44903</v>
      </c>
      <c r="H68" s="180">
        <f t="shared" si="56"/>
        <v>44423</v>
      </c>
      <c r="I68" s="180">
        <f t="shared" si="56"/>
        <v>43302</v>
      </c>
      <c r="J68" s="180">
        <f t="shared" ref="J68:O68" si="57">SUM(J48:J66)</f>
        <v>42127</v>
      </c>
      <c r="K68" s="180">
        <f t="shared" si="57"/>
        <v>43918</v>
      </c>
      <c r="L68" s="180">
        <f t="shared" si="57"/>
        <v>44156</v>
      </c>
      <c r="M68" s="180">
        <f t="shared" si="57"/>
        <v>43944</v>
      </c>
      <c r="N68" s="180">
        <f t="shared" si="57"/>
        <v>44344</v>
      </c>
      <c r="O68" s="180">
        <f t="shared" si="57"/>
        <v>45296</v>
      </c>
    </row>
    <row r="69" spans="1:17">
      <c r="A69" s="176"/>
      <c r="D69" s="180"/>
      <c r="E69" s="180"/>
      <c r="F69" s="180"/>
      <c r="G69" s="180"/>
      <c r="H69" s="180"/>
      <c r="I69" s="180"/>
      <c r="J69" s="180"/>
      <c r="K69" s="180"/>
      <c r="L69" s="180"/>
      <c r="M69" s="180"/>
      <c r="N69" s="180"/>
      <c r="O69" s="180"/>
    </row>
    <row r="70" spans="1:17">
      <c r="A70" s="176" t="s">
        <v>9625</v>
      </c>
      <c r="D70" s="180"/>
      <c r="E70" s="180"/>
      <c r="F70" s="180"/>
      <c r="G70" s="180"/>
      <c r="H70" s="180"/>
      <c r="I70" s="180"/>
      <c r="J70" s="180"/>
      <c r="K70" s="180"/>
      <c r="L70" s="180"/>
      <c r="M70" s="180"/>
      <c r="N70" s="180"/>
      <c r="O70" s="180"/>
    </row>
    <row r="71" spans="1:17">
      <c r="A71" s="176" t="s">
        <v>9626</v>
      </c>
      <c r="D71" s="180"/>
      <c r="E71" s="180"/>
      <c r="F71" s="180"/>
      <c r="G71" s="180"/>
      <c r="H71" s="180"/>
      <c r="I71" s="180"/>
      <c r="J71" s="180"/>
      <c r="K71" s="180"/>
      <c r="L71" s="180"/>
      <c r="M71" s="180"/>
      <c r="N71" s="180"/>
      <c r="O71" s="180"/>
    </row>
    <row r="72" spans="1:17">
      <c r="A72" s="176"/>
      <c r="B72" s="176"/>
      <c r="D72" s="464"/>
      <c r="E72" s="464"/>
      <c r="F72" s="464"/>
      <c r="G72" s="464"/>
      <c r="H72" s="464"/>
      <c r="I72" s="464"/>
      <c r="J72" s="464"/>
      <c r="K72" s="464"/>
      <c r="L72" s="464"/>
      <c r="M72" s="464"/>
      <c r="N72" s="464"/>
      <c r="O72" s="464"/>
    </row>
    <row r="73" spans="1:17">
      <c r="A73" s="176"/>
      <c r="B73" s="176"/>
      <c r="D73" s="464"/>
      <c r="E73" s="464"/>
      <c r="F73" s="464"/>
      <c r="G73" s="464"/>
      <c r="H73" s="464"/>
      <c r="I73" s="464"/>
      <c r="J73" s="464"/>
      <c r="K73" s="464"/>
      <c r="L73" s="464"/>
      <c r="M73" s="464"/>
      <c r="N73" s="464"/>
      <c r="O73" s="464"/>
    </row>
    <row r="74" spans="1:17">
      <c r="E74" s="51" t="s">
        <v>1526</v>
      </c>
      <c r="F74" s="51"/>
      <c r="G74" s="51"/>
      <c r="H74" s="51"/>
      <c r="I74" s="51"/>
      <c r="J74" s="51"/>
      <c r="K74" s="51"/>
      <c r="L74" s="51"/>
      <c r="M74" s="51"/>
      <c r="N74" s="51"/>
      <c r="O74" s="51"/>
      <c r="P74" s="11"/>
      <c r="Q74" s="11" t="s">
        <v>9479</v>
      </c>
    </row>
    <row r="75" spans="1:17">
      <c r="D75" s="350">
        <v>2010</v>
      </c>
      <c r="E75" s="350">
        <v>2011</v>
      </c>
      <c r="F75" s="350">
        <v>2012</v>
      </c>
      <c r="G75" s="350">
        <v>2013</v>
      </c>
      <c r="H75" s="350">
        <v>2014</v>
      </c>
      <c r="I75" s="350">
        <v>2015</v>
      </c>
      <c r="J75" s="350">
        <v>2016</v>
      </c>
      <c r="K75" s="350">
        <v>2017</v>
      </c>
      <c r="L75" s="350">
        <v>2018</v>
      </c>
      <c r="M75" s="350">
        <v>2019</v>
      </c>
      <c r="N75" s="350">
        <v>2020</v>
      </c>
      <c r="O75" s="923" t="s">
        <v>14823</v>
      </c>
      <c r="P75" s="11"/>
      <c r="Q75" s="13" t="s">
        <v>1527</v>
      </c>
    </row>
    <row r="76" spans="1:17">
      <c r="A76" s="176" t="s">
        <v>6211</v>
      </c>
      <c r="D76" s="180">
        <f>SUM(D77:D97)</f>
        <v>70278</v>
      </c>
      <c r="E76" s="180">
        <f>SUM(E77:E97)</f>
        <v>70709</v>
      </c>
      <c r="F76" s="180">
        <f>SUM(F77:F97)</f>
        <v>70453</v>
      </c>
      <c r="G76" s="180">
        <f>SUM(G77:G97)</f>
        <v>69992</v>
      </c>
      <c r="H76" s="180">
        <f>SUM(H77:H97)</f>
        <v>70752</v>
      </c>
      <c r="I76" s="180">
        <f t="shared" ref="I76:N76" si="58">SUM(I77:I79)+SUM(I81:I87)+SUM(I89:I97)</f>
        <v>68768</v>
      </c>
      <c r="J76" s="180">
        <f t="shared" si="58"/>
        <v>67293</v>
      </c>
      <c r="K76" s="180">
        <f t="shared" si="58"/>
        <v>71238</v>
      </c>
      <c r="L76" s="180">
        <f t="shared" si="58"/>
        <v>70970</v>
      </c>
      <c r="M76" s="180">
        <f t="shared" si="58"/>
        <v>71676</v>
      </c>
      <c r="N76" s="180">
        <f t="shared" si="58"/>
        <v>73425</v>
      </c>
      <c r="O76" s="180">
        <f>SUM(O77:O79)+SUM(O81:O87)+SUM(O89:O97)</f>
        <v>72262</v>
      </c>
    </row>
    <row r="77" spans="1:17">
      <c r="A77" s="176" t="s">
        <v>5387</v>
      </c>
      <c r="B77" s="107" t="s">
        <v>9820</v>
      </c>
      <c r="C77" s="55" t="s">
        <v>10407</v>
      </c>
      <c r="D77" s="180">
        <v>44069</v>
      </c>
      <c r="E77" s="180">
        <v>44269</v>
      </c>
      <c r="F77" s="180">
        <v>44061</v>
      </c>
      <c r="G77" s="180">
        <v>43619</v>
      </c>
      <c r="H77" s="56">
        <v>44105</v>
      </c>
      <c r="I77" s="56">
        <v>2505</v>
      </c>
      <c r="J77" s="56">
        <v>2414</v>
      </c>
      <c r="K77" s="56">
        <v>2539</v>
      </c>
      <c r="L77" s="56">
        <v>2516</v>
      </c>
      <c r="M77" s="56">
        <v>2510</v>
      </c>
      <c r="N77" s="56">
        <v>2526</v>
      </c>
      <c r="O77" s="56">
        <v>2504</v>
      </c>
      <c r="Q77" s="176" t="s">
        <v>4908</v>
      </c>
    </row>
    <row r="78" spans="1:17">
      <c r="A78" s="176" t="s">
        <v>5389</v>
      </c>
      <c r="B78" s="107" t="s">
        <v>9821</v>
      </c>
      <c r="C78" s="55" t="s">
        <v>10408</v>
      </c>
      <c r="D78" s="180">
        <v>0</v>
      </c>
      <c r="E78" s="180">
        <v>0</v>
      </c>
      <c r="F78" s="180">
        <v>0</v>
      </c>
      <c r="G78" s="180">
        <v>0</v>
      </c>
      <c r="H78" s="56">
        <v>0</v>
      </c>
      <c r="I78" s="56">
        <v>204</v>
      </c>
      <c r="J78" s="56">
        <v>201</v>
      </c>
      <c r="K78" s="56">
        <v>205</v>
      </c>
      <c r="L78" s="56">
        <v>212</v>
      </c>
      <c r="M78" s="56">
        <v>205</v>
      </c>
      <c r="N78" s="56">
        <v>210</v>
      </c>
      <c r="O78" s="56">
        <v>210</v>
      </c>
      <c r="Q78" s="176" t="s">
        <v>4908</v>
      </c>
    </row>
    <row r="79" spans="1:17" ht="15.75" thickBot="1">
      <c r="A79" s="176"/>
      <c r="C79" s="55" t="s">
        <v>10408</v>
      </c>
      <c r="D79" s="183">
        <v>0</v>
      </c>
      <c r="E79" s="183">
        <v>0</v>
      </c>
      <c r="F79" s="183">
        <v>0</v>
      </c>
      <c r="G79" s="183">
        <v>0</v>
      </c>
      <c r="H79" s="274">
        <v>0</v>
      </c>
      <c r="I79" s="56">
        <v>2594</v>
      </c>
      <c r="J79" s="56">
        <v>2495</v>
      </c>
      <c r="K79" s="56">
        <v>2635</v>
      </c>
      <c r="L79" s="56">
        <v>2590</v>
      </c>
      <c r="M79" s="56">
        <v>2630</v>
      </c>
      <c r="N79" s="56">
        <v>2676</v>
      </c>
      <c r="O79" s="56">
        <v>2635</v>
      </c>
      <c r="Q79" s="176" t="s">
        <v>4914</v>
      </c>
    </row>
    <row r="80" spans="1:17" ht="15.75" thickBot="1">
      <c r="A80" s="176"/>
      <c r="C80" s="55" t="s">
        <v>10408</v>
      </c>
      <c r="D80" s="184">
        <f>D78+D79</f>
        <v>0</v>
      </c>
      <c r="E80" s="184">
        <f t="shared" ref="E80:L80" si="59">E78+E79</f>
        <v>0</v>
      </c>
      <c r="F80" s="184">
        <f t="shared" si="59"/>
        <v>0</v>
      </c>
      <c r="G80" s="184">
        <f t="shared" si="59"/>
        <v>0</v>
      </c>
      <c r="H80" s="184">
        <f t="shared" si="59"/>
        <v>0</v>
      </c>
      <c r="I80" s="184">
        <f t="shared" si="59"/>
        <v>2798</v>
      </c>
      <c r="J80" s="184">
        <f t="shared" si="59"/>
        <v>2696</v>
      </c>
      <c r="K80" s="184">
        <f t="shared" si="59"/>
        <v>2840</v>
      </c>
      <c r="L80" s="184">
        <f t="shared" si="59"/>
        <v>2802</v>
      </c>
      <c r="M80" s="184">
        <f>M78+M79</f>
        <v>2835</v>
      </c>
      <c r="N80" s="184">
        <f>N78+N79</f>
        <v>2886</v>
      </c>
      <c r="O80" s="184">
        <f>O78+O79</f>
        <v>2845</v>
      </c>
      <c r="Q80" s="176"/>
    </row>
    <row r="81" spans="1:17">
      <c r="A81" s="176" t="s">
        <v>5391</v>
      </c>
      <c r="B81" s="107" t="s">
        <v>6212</v>
      </c>
      <c r="C81" s="55" t="s">
        <v>10409</v>
      </c>
      <c r="D81" s="180">
        <v>0</v>
      </c>
      <c r="E81" s="180">
        <v>0</v>
      </c>
      <c r="F81" s="180">
        <v>0</v>
      </c>
      <c r="G81" s="180">
        <v>0</v>
      </c>
      <c r="H81" s="56">
        <v>0</v>
      </c>
      <c r="I81" s="56">
        <v>6644</v>
      </c>
      <c r="J81" s="56">
        <v>6755</v>
      </c>
      <c r="K81" s="56">
        <v>7226</v>
      </c>
      <c r="L81" s="56">
        <v>7169</v>
      </c>
      <c r="M81" s="56">
        <v>7138</v>
      </c>
      <c r="N81" s="56">
        <v>7288</v>
      </c>
      <c r="O81" s="56">
        <v>7178</v>
      </c>
      <c r="Q81" s="176" t="s">
        <v>4908</v>
      </c>
    </row>
    <row r="82" spans="1:17">
      <c r="A82" s="176" t="s">
        <v>5393</v>
      </c>
      <c r="B82" s="176" t="s">
        <v>6213</v>
      </c>
      <c r="C82" s="55" t="s">
        <v>10410</v>
      </c>
      <c r="D82" s="180">
        <v>0</v>
      </c>
      <c r="E82" s="180">
        <v>0</v>
      </c>
      <c r="F82" s="180">
        <v>0</v>
      </c>
      <c r="G82" s="180">
        <v>0</v>
      </c>
      <c r="H82" s="56">
        <v>0</v>
      </c>
      <c r="I82" s="56">
        <v>7586</v>
      </c>
      <c r="J82" s="56">
        <v>7423</v>
      </c>
      <c r="K82" s="56">
        <v>7951</v>
      </c>
      <c r="L82" s="56">
        <v>7984</v>
      </c>
      <c r="M82" s="56">
        <v>8055</v>
      </c>
      <c r="N82" s="56">
        <v>8231</v>
      </c>
      <c r="O82" s="56">
        <v>8081</v>
      </c>
      <c r="Q82" s="176" t="s">
        <v>4914</v>
      </c>
    </row>
    <row r="83" spans="1:17">
      <c r="A83" s="176" t="s">
        <v>5394</v>
      </c>
      <c r="B83" s="176" t="s">
        <v>6214</v>
      </c>
      <c r="C83" s="55" t="s">
        <v>10411</v>
      </c>
      <c r="D83" s="180">
        <v>0</v>
      </c>
      <c r="E83" s="180">
        <v>0</v>
      </c>
      <c r="F83" s="180">
        <v>0</v>
      </c>
      <c r="G83" s="180">
        <v>0</v>
      </c>
      <c r="H83" s="56">
        <v>0</v>
      </c>
      <c r="I83" s="56">
        <v>4583</v>
      </c>
      <c r="J83" s="56">
        <v>4520</v>
      </c>
      <c r="K83" s="56">
        <v>4674</v>
      </c>
      <c r="L83" s="56">
        <v>4634</v>
      </c>
      <c r="M83" s="56">
        <v>4682</v>
      </c>
      <c r="N83" s="56">
        <v>4697</v>
      </c>
      <c r="O83" s="56">
        <v>4611</v>
      </c>
      <c r="Q83" s="176" t="s">
        <v>4908</v>
      </c>
    </row>
    <row r="84" spans="1:17">
      <c r="A84" s="176" t="s">
        <v>5416</v>
      </c>
      <c r="B84" s="176" t="s">
        <v>9813</v>
      </c>
      <c r="C84" s="55" t="s">
        <v>10412</v>
      </c>
      <c r="D84" s="180">
        <v>26209</v>
      </c>
      <c r="E84" s="180">
        <v>26440</v>
      </c>
      <c r="F84" s="180">
        <v>26392</v>
      </c>
      <c r="G84" s="180">
        <v>26373</v>
      </c>
      <c r="H84" s="58">
        <v>26647</v>
      </c>
      <c r="I84" s="56">
        <v>2794</v>
      </c>
      <c r="J84" s="56">
        <v>2726</v>
      </c>
      <c r="K84" s="56">
        <v>2832</v>
      </c>
      <c r="L84" s="56">
        <v>2869</v>
      </c>
      <c r="M84" s="56">
        <v>2909</v>
      </c>
      <c r="N84" s="56">
        <v>2980</v>
      </c>
      <c r="O84" s="56">
        <v>2937</v>
      </c>
      <c r="Q84" s="176" t="s">
        <v>4914</v>
      </c>
    </row>
    <row r="85" spans="1:17">
      <c r="A85" s="176" t="s">
        <v>5418</v>
      </c>
      <c r="B85" s="176" t="s">
        <v>9814</v>
      </c>
      <c r="C85" s="55" t="s">
        <v>10413</v>
      </c>
      <c r="D85" s="180">
        <v>0</v>
      </c>
      <c r="E85" s="180">
        <v>0</v>
      </c>
      <c r="F85" s="180">
        <v>0</v>
      </c>
      <c r="G85" s="180">
        <v>0</v>
      </c>
      <c r="H85" s="56">
        <v>0</v>
      </c>
      <c r="I85" s="56">
        <v>2643</v>
      </c>
      <c r="J85" s="56">
        <v>2505</v>
      </c>
      <c r="K85" s="56">
        <v>2632</v>
      </c>
      <c r="L85" s="56">
        <v>2608</v>
      </c>
      <c r="M85" s="56">
        <v>2659</v>
      </c>
      <c r="N85" s="56">
        <v>2666</v>
      </c>
      <c r="O85" s="56">
        <v>2630</v>
      </c>
      <c r="Q85" s="176" t="s">
        <v>4908</v>
      </c>
    </row>
    <row r="86" spans="1:17">
      <c r="A86" s="176" t="s">
        <v>5420</v>
      </c>
      <c r="B86" s="176" t="s">
        <v>8895</v>
      </c>
      <c r="C86" s="55" t="s">
        <v>10414</v>
      </c>
      <c r="D86" s="180">
        <v>0</v>
      </c>
      <c r="E86" s="180">
        <v>0</v>
      </c>
      <c r="F86" s="180">
        <v>0</v>
      </c>
      <c r="G86" s="180">
        <v>0</v>
      </c>
      <c r="H86" s="58">
        <v>0</v>
      </c>
      <c r="I86" s="56">
        <v>2235</v>
      </c>
      <c r="J86" s="56">
        <v>2194</v>
      </c>
      <c r="K86" s="56">
        <v>2308</v>
      </c>
      <c r="L86" s="56">
        <v>2271</v>
      </c>
      <c r="M86" s="56">
        <v>2336</v>
      </c>
      <c r="N86" s="56">
        <v>2370</v>
      </c>
      <c r="O86" s="56">
        <v>2330</v>
      </c>
      <c r="Q86" s="176" t="s">
        <v>4908</v>
      </c>
    </row>
    <row r="87" spans="1:17" ht="15.75" thickBot="1">
      <c r="A87" s="176"/>
      <c r="B87" s="176"/>
      <c r="C87" s="55" t="s">
        <v>10414</v>
      </c>
      <c r="D87" s="183">
        <v>0</v>
      </c>
      <c r="E87" s="183">
        <v>0</v>
      </c>
      <c r="F87" s="183">
        <v>0</v>
      </c>
      <c r="G87" s="183">
        <v>0</v>
      </c>
      <c r="H87" s="274">
        <v>0</v>
      </c>
      <c r="I87" s="58">
        <v>511</v>
      </c>
      <c r="J87" s="58">
        <v>493</v>
      </c>
      <c r="K87" s="58">
        <v>510</v>
      </c>
      <c r="L87" s="58">
        <v>488</v>
      </c>
      <c r="M87" s="58">
        <v>507</v>
      </c>
      <c r="N87" s="58">
        <v>512</v>
      </c>
      <c r="O87" s="58">
        <v>506</v>
      </c>
      <c r="Q87" s="176" t="s">
        <v>4914</v>
      </c>
    </row>
    <row r="88" spans="1:17" ht="15.75" thickBot="1">
      <c r="A88" s="176"/>
      <c r="B88" s="176"/>
      <c r="C88" s="55" t="s">
        <v>10414</v>
      </c>
      <c r="D88" s="184">
        <f t="shared" ref="D88:O88" si="60">D86+D87</f>
        <v>0</v>
      </c>
      <c r="E88" s="184">
        <f t="shared" si="60"/>
        <v>0</v>
      </c>
      <c r="F88" s="184">
        <f t="shared" si="60"/>
        <v>0</v>
      </c>
      <c r="G88" s="184">
        <f t="shared" si="60"/>
        <v>0</v>
      </c>
      <c r="H88" s="184">
        <f t="shared" si="60"/>
        <v>0</v>
      </c>
      <c r="I88" s="184">
        <f t="shared" si="60"/>
        <v>2746</v>
      </c>
      <c r="J88" s="184">
        <f t="shared" si="60"/>
        <v>2687</v>
      </c>
      <c r="K88" s="184">
        <f t="shared" si="60"/>
        <v>2818</v>
      </c>
      <c r="L88" s="184">
        <f t="shared" si="60"/>
        <v>2759</v>
      </c>
      <c r="M88" s="184">
        <f t="shared" si="60"/>
        <v>2843</v>
      </c>
      <c r="N88" s="184">
        <f t="shared" si="60"/>
        <v>2882</v>
      </c>
      <c r="O88" s="184">
        <f t="shared" si="60"/>
        <v>2836</v>
      </c>
      <c r="Q88" s="176"/>
    </row>
    <row r="89" spans="1:17">
      <c r="A89" s="176" t="s">
        <v>5422</v>
      </c>
      <c r="B89" s="176" t="s">
        <v>9815</v>
      </c>
      <c r="C89" s="55" t="s">
        <v>10415</v>
      </c>
      <c r="D89" s="180">
        <v>0</v>
      </c>
      <c r="E89" s="180">
        <v>0</v>
      </c>
      <c r="F89" s="180">
        <v>0</v>
      </c>
      <c r="G89" s="180">
        <v>0</v>
      </c>
      <c r="H89" s="58">
        <v>0</v>
      </c>
      <c r="I89" s="56">
        <v>4197</v>
      </c>
      <c r="J89" s="56">
        <v>4185</v>
      </c>
      <c r="K89" s="56">
        <v>4450</v>
      </c>
      <c r="L89" s="56">
        <v>4450</v>
      </c>
      <c r="M89" s="56">
        <v>4671</v>
      </c>
      <c r="N89" s="56">
        <v>4983</v>
      </c>
      <c r="O89" s="56">
        <v>4926</v>
      </c>
      <c r="Q89" s="176" t="s">
        <v>4908</v>
      </c>
    </row>
    <row r="90" spans="1:17">
      <c r="A90" s="176" t="s">
        <v>5424</v>
      </c>
      <c r="B90" s="176" t="s">
        <v>9816</v>
      </c>
      <c r="C90" s="55" t="s">
        <v>10416</v>
      </c>
      <c r="D90" s="180">
        <v>0</v>
      </c>
      <c r="E90" s="180">
        <v>0</v>
      </c>
      <c r="F90" s="180">
        <v>0</v>
      </c>
      <c r="G90" s="180">
        <v>0</v>
      </c>
      <c r="H90" s="56">
        <v>0</v>
      </c>
      <c r="I90" s="56">
        <v>5055</v>
      </c>
      <c r="J90" s="56">
        <v>4851</v>
      </c>
      <c r="K90" s="56">
        <v>5197</v>
      </c>
      <c r="L90" s="56">
        <v>5129</v>
      </c>
      <c r="M90" s="56">
        <v>5101</v>
      </c>
      <c r="N90" s="56">
        <v>5242</v>
      </c>
      <c r="O90" s="56">
        <v>5127</v>
      </c>
      <c r="Q90" s="176" t="s">
        <v>4908</v>
      </c>
    </row>
    <row r="91" spans="1:17">
      <c r="A91" s="176" t="s">
        <v>5426</v>
      </c>
      <c r="B91" s="176" t="s">
        <v>9817</v>
      </c>
      <c r="C91" s="55" t="s">
        <v>10417</v>
      </c>
      <c r="D91" s="180">
        <v>0</v>
      </c>
      <c r="E91" s="180">
        <v>0</v>
      </c>
      <c r="F91" s="180">
        <v>0</v>
      </c>
      <c r="G91" s="180">
        <v>0</v>
      </c>
      <c r="H91" s="56">
        <v>0</v>
      </c>
      <c r="I91" s="56">
        <v>2491</v>
      </c>
      <c r="J91" s="56">
        <v>2393</v>
      </c>
      <c r="K91" s="56">
        <v>2534</v>
      </c>
      <c r="L91" s="56">
        <v>2507</v>
      </c>
      <c r="M91" s="56">
        <v>2517</v>
      </c>
      <c r="N91" s="56">
        <v>2549</v>
      </c>
      <c r="O91" s="56">
        <v>2512</v>
      </c>
      <c r="Q91" s="176" t="s">
        <v>4908</v>
      </c>
    </row>
    <row r="92" spans="1:17">
      <c r="A92" s="176" t="s">
        <v>5428</v>
      </c>
      <c r="B92" s="176" t="s">
        <v>9818</v>
      </c>
      <c r="C92" s="55" t="s">
        <v>10418</v>
      </c>
      <c r="D92" s="180">
        <v>0</v>
      </c>
      <c r="E92" s="180">
        <v>0</v>
      </c>
      <c r="F92" s="180">
        <v>0</v>
      </c>
      <c r="G92" s="180">
        <v>0</v>
      </c>
      <c r="H92" s="56">
        <v>0</v>
      </c>
      <c r="I92" s="58">
        <v>2634</v>
      </c>
      <c r="J92" s="58">
        <v>2571</v>
      </c>
      <c r="K92" s="58">
        <v>2743</v>
      </c>
      <c r="L92" s="58">
        <v>2721</v>
      </c>
      <c r="M92" s="58">
        <v>2714</v>
      </c>
      <c r="N92" s="58">
        <v>2741</v>
      </c>
      <c r="O92" s="58">
        <v>2708</v>
      </c>
      <c r="Q92" s="176" t="s">
        <v>4914</v>
      </c>
    </row>
    <row r="93" spans="1:17">
      <c r="A93" s="176" t="s">
        <v>5429</v>
      </c>
      <c r="B93" s="176" t="s">
        <v>4005</v>
      </c>
      <c r="C93" s="55" t="s">
        <v>10419</v>
      </c>
      <c r="D93" s="180">
        <v>0</v>
      </c>
      <c r="E93" s="180">
        <v>0</v>
      </c>
      <c r="F93" s="180">
        <v>0</v>
      </c>
      <c r="G93" s="180">
        <v>0</v>
      </c>
      <c r="H93" s="56">
        <v>0</v>
      </c>
      <c r="I93" s="56">
        <v>5070</v>
      </c>
      <c r="J93" s="56">
        <v>4931</v>
      </c>
      <c r="K93" s="56">
        <v>5134</v>
      </c>
      <c r="L93" s="56">
        <v>5081</v>
      </c>
      <c r="M93" s="56">
        <v>5062</v>
      </c>
      <c r="N93" s="56">
        <v>5093</v>
      </c>
      <c r="O93" s="56">
        <v>5013</v>
      </c>
      <c r="Q93" s="176" t="s">
        <v>4908</v>
      </c>
    </row>
    <row r="94" spans="1:17">
      <c r="A94" s="176" t="s">
        <v>5431</v>
      </c>
      <c r="B94" s="176" t="s">
        <v>9819</v>
      </c>
      <c r="C94" s="55" t="s">
        <v>10420</v>
      </c>
      <c r="D94" s="180">
        <v>0</v>
      </c>
      <c r="E94" s="180">
        <v>0</v>
      </c>
      <c r="F94" s="180">
        <v>0</v>
      </c>
      <c r="G94" s="180">
        <v>0</v>
      </c>
      <c r="H94" s="56">
        <v>0</v>
      </c>
      <c r="I94" s="58">
        <v>4694</v>
      </c>
      <c r="J94" s="58">
        <v>4675</v>
      </c>
      <c r="K94" s="58">
        <v>5008</v>
      </c>
      <c r="L94" s="58">
        <v>5188</v>
      </c>
      <c r="M94" s="58">
        <v>5380</v>
      </c>
      <c r="N94" s="58">
        <v>5672</v>
      </c>
      <c r="O94" s="58">
        <v>5577</v>
      </c>
      <c r="Q94" s="176" t="s">
        <v>4914</v>
      </c>
    </row>
    <row r="95" spans="1:17">
      <c r="A95" s="176" t="s">
        <v>5433</v>
      </c>
      <c r="B95" s="176" t="s">
        <v>4006</v>
      </c>
      <c r="C95" s="55" t="s">
        <v>10421</v>
      </c>
      <c r="D95" s="180">
        <v>0</v>
      </c>
      <c r="E95" s="180">
        <v>0</v>
      </c>
      <c r="F95" s="180">
        <v>0</v>
      </c>
      <c r="G95" s="180">
        <v>0</v>
      </c>
      <c r="H95" s="56">
        <v>0</v>
      </c>
      <c r="I95" s="56">
        <v>4886</v>
      </c>
      <c r="J95" s="56">
        <v>4707</v>
      </c>
      <c r="K95" s="56">
        <v>4946</v>
      </c>
      <c r="L95" s="56">
        <v>4886</v>
      </c>
      <c r="M95" s="56">
        <v>4918</v>
      </c>
      <c r="N95" s="56">
        <v>5106</v>
      </c>
      <c r="O95" s="56">
        <v>5046</v>
      </c>
      <c r="Q95" s="176" t="s">
        <v>4908</v>
      </c>
    </row>
    <row r="96" spans="1:17">
      <c r="A96" s="176" t="s">
        <v>5435</v>
      </c>
      <c r="B96" s="176" t="s">
        <v>1176</v>
      </c>
      <c r="C96" s="55" t="s">
        <v>10422</v>
      </c>
      <c r="D96" s="180">
        <v>0</v>
      </c>
      <c r="E96" s="180">
        <v>0</v>
      </c>
      <c r="F96" s="180">
        <v>0</v>
      </c>
      <c r="G96" s="180">
        <v>0</v>
      </c>
      <c r="H96" s="56">
        <v>0</v>
      </c>
      <c r="I96" s="56">
        <v>2370</v>
      </c>
      <c r="J96" s="56">
        <v>2335</v>
      </c>
      <c r="K96" s="56">
        <v>2437</v>
      </c>
      <c r="L96" s="56">
        <v>2422</v>
      </c>
      <c r="M96" s="56">
        <v>2415</v>
      </c>
      <c r="N96" s="56">
        <v>2457</v>
      </c>
      <c r="O96" s="56">
        <v>2405</v>
      </c>
      <c r="Q96" s="176" t="s">
        <v>4908</v>
      </c>
    </row>
    <row r="97" spans="1:17">
      <c r="A97" s="176" t="s">
        <v>5436</v>
      </c>
      <c r="B97" s="176" t="s">
        <v>4007</v>
      </c>
      <c r="C97" s="55" t="s">
        <v>10423</v>
      </c>
      <c r="D97" s="180">
        <v>0</v>
      </c>
      <c r="E97" s="180">
        <v>0</v>
      </c>
      <c r="F97" s="180">
        <v>0</v>
      </c>
      <c r="G97" s="180">
        <v>0</v>
      </c>
      <c r="H97" s="56">
        <v>0</v>
      </c>
      <c r="I97" s="58">
        <v>5072</v>
      </c>
      <c r="J97" s="58">
        <v>4919</v>
      </c>
      <c r="K97" s="58">
        <v>5277</v>
      </c>
      <c r="L97" s="58">
        <v>5245</v>
      </c>
      <c r="M97" s="58">
        <v>5267</v>
      </c>
      <c r="N97" s="58">
        <v>5426</v>
      </c>
      <c r="O97" s="58">
        <v>5326</v>
      </c>
      <c r="Q97" s="176" t="s">
        <v>4914</v>
      </c>
    </row>
    <row r="98" spans="1:17">
      <c r="D98" s="179"/>
      <c r="E98" s="179"/>
      <c r="F98" s="179"/>
      <c r="G98" s="179"/>
      <c r="H98" s="179"/>
      <c r="I98" s="179"/>
      <c r="J98" s="179"/>
      <c r="K98" s="179"/>
      <c r="L98" s="179"/>
      <c r="M98" s="179"/>
      <c r="N98" s="179"/>
      <c r="O98" s="179"/>
    </row>
    <row r="99" spans="1:17">
      <c r="A99" s="176" t="s">
        <v>4009</v>
      </c>
      <c r="D99" s="180">
        <f>D77+D78+D81+D83+D85+D86+SUM(D89:D91)+D93+D95+D96</f>
        <v>44069</v>
      </c>
      <c r="E99" s="180">
        <f>E77+E78+E81+E83+E85+E86+SUM(E89:E91)+E93+E95+E96</f>
        <v>44269</v>
      </c>
      <c r="F99" s="180">
        <f>F77+F78+F81+F83+F85+F86+SUM(F89:F91)+F93+F95+F96</f>
        <v>44061</v>
      </c>
      <c r="G99" s="180">
        <f>G77+G78+G81+G83+G85+G86+SUM(G89:G91)+G93+G95+G96</f>
        <v>43619</v>
      </c>
      <c r="H99" s="180">
        <f>H77+H78+H81+H83+H85+H86+SUM(H89:H91)+H93+H95+H96</f>
        <v>44105</v>
      </c>
      <c r="I99" s="180">
        <f t="shared" ref="I99:N99" si="61">I77+I78+I81+I83+I85+I86+SUM(I89:I91)+I93+I95+I96</f>
        <v>42883</v>
      </c>
      <c r="J99" s="180">
        <f t="shared" si="61"/>
        <v>41991</v>
      </c>
      <c r="K99" s="180">
        <f t="shared" si="61"/>
        <v>44282</v>
      </c>
      <c r="L99" s="180">
        <f t="shared" si="61"/>
        <v>43885</v>
      </c>
      <c r="M99" s="180">
        <f t="shared" si="61"/>
        <v>44214</v>
      </c>
      <c r="N99" s="180">
        <f t="shared" si="61"/>
        <v>45187</v>
      </c>
      <c r="O99" s="180">
        <f>O77+O78+O81+O83+O85+O86+SUM(O89:O91)+O93+O95+O96</f>
        <v>44492</v>
      </c>
    </row>
    <row r="100" spans="1:17">
      <c r="A100" s="176" t="s">
        <v>4010</v>
      </c>
      <c r="D100" s="180">
        <f>D79+D82+D84+D87+D92+D94+D97</f>
        <v>26209</v>
      </c>
      <c r="E100" s="180">
        <f>E79+E82+E84+E87+E92+E94+E97</f>
        <v>26440</v>
      </c>
      <c r="F100" s="180">
        <f>F79+F82+F84+F87+F92+F94+F97</f>
        <v>26392</v>
      </c>
      <c r="G100" s="180">
        <f>G79+G82+G84+G87+G92+G94+G97</f>
        <v>26373</v>
      </c>
      <c r="H100" s="180">
        <f>H79+H82+H84+H87+H92+H94+H97</f>
        <v>26647</v>
      </c>
      <c r="I100" s="180">
        <f t="shared" ref="I100:N100" si="62">I79+I82+I84+I87+I92+I94+I97</f>
        <v>25885</v>
      </c>
      <c r="J100" s="180">
        <f t="shared" si="62"/>
        <v>25302</v>
      </c>
      <c r="K100" s="180">
        <f t="shared" si="62"/>
        <v>26956</v>
      </c>
      <c r="L100" s="180">
        <f t="shared" si="62"/>
        <v>27085</v>
      </c>
      <c r="M100" s="180">
        <f t="shared" si="62"/>
        <v>27462</v>
      </c>
      <c r="N100" s="180">
        <f t="shared" si="62"/>
        <v>28238</v>
      </c>
      <c r="O100" s="180">
        <f>O79+O82+O84+O87+O92+O94+O97</f>
        <v>27770</v>
      </c>
    </row>
    <row r="101" spans="1:17">
      <c r="A101" s="176"/>
      <c r="D101" s="180"/>
      <c r="E101" s="180"/>
      <c r="F101" s="180"/>
      <c r="G101" s="180"/>
      <c r="H101" s="180"/>
      <c r="I101" s="180"/>
      <c r="J101" s="180"/>
      <c r="K101" s="180"/>
      <c r="L101" s="180"/>
      <c r="M101" s="180"/>
      <c r="N101" s="180"/>
      <c r="O101" s="180"/>
    </row>
    <row r="102" spans="1:17">
      <c r="A102" s="176" t="s">
        <v>9822</v>
      </c>
      <c r="D102" s="180"/>
      <c r="E102" s="180"/>
      <c r="F102" s="180"/>
      <c r="G102" s="180"/>
      <c r="H102" s="180"/>
      <c r="I102" s="180"/>
      <c r="J102" s="180"/>
      <c r="K102" s="180"/>
      <c r="L102" s="180"/>
      <c r="M102" s="180"/>
      <c r="N102" s="180"/>
      <c r="O102" s="180"/>
    </row>
    <row r="103" spans="1:17">
      <c r="A103" s="176"/>
      <c r="B103" s="176"/>
      <c r="D103" s="464"/>
      <c r="E103" s="464"/>
      <c r="F103" s="464"/>
      <c r="G103" s="464"/>
      <c r="H103" s="464"/>
      <c r="I103" s="464"/>
      <c r="J103" s="464"/>
      <c r="K103" s="464"/>
      <c r="L103" s="464"/>
      <c r="M103" s="464"/>
      <c r="N103" s="464"/>
      <c r="O103" s="464"/>
    </row>
    <row r="104" spans="1:17">
      <c r="A104" s="176"/>
      <c r="B104" s="176"/>
      <c r="D104" s="464"/>
      <c r="E104" s="464"/>
      <c r="F104" s="464"/>
      <c r="G104" s="464"/>
      <c r="H104" s="464"/>
      <c r="I104" s="464"/>
      <c r="J104" s="464"/>
      <c r="K104" s="464"/>
      <c r="L104" s="464"/>
      <c r="M104" s="464"/>
      <c r="N104" s="464"/>
      <c r="O104" s="464"/>
    </row>
    <row r="105" spans="1:17">
      <c r="E105" s="51" t="s">
        <v>1526</v>
      </c>
      <c r="F105" s="51"/>
      <c r="G105" s="51"/>
      <c r="H105" s="51"/>
      <c r="I105" s="51"/>
      <c r="J105" s="51"/>
      <c r="K105" s="51"/>
      <c r="L105" s="51"/>
      <c r="M105" s="51"/>
      <c r="N105" s="51"/>
      <c r="O105" s="51"/>
      <c r="P105" s="11"/>
      <c r="Q105" s="11" t="s">
        <v>9479</v>
      </c>
    </row>
    <row r="106" spans="1:17">
      <c r="D106" s="350">
        <v>2010</v>
      </c>
      <c r="E106" s="350">
        <v>2011</v>
      </c>
      <c r="F106" s="350">
        <v>2012</v>
      </c>
      <c r="G106" s="350">
        <v>2013</v>
      </c>
      <c r="H106" s="350">
        <v>2014</v>
      </c>
      <c r="I106" s="350">
        <v>2015</v>
      </c>
      <c r="J106" s="350">
        <v>2016</v>
      </c>
      <c r="K106" s="350">
        <v>2017</v>
      </c>
      <c r="L106" s="350">
        <v>2018</v>
      </c>
      <c r="M106" s="350">
        <v>2019</v>
      </c>
      <c r="N106" s="350">
        <v>2020</v>
      </c>
      <c r="O106" s="923" t="s">
        <v>14823</v>
      </c>
      <c r="P106" s="11"/>
      <c r="Q106" s="13" t="s">
        <v>1527</v>
      </c>
    </row>
    <row r="107" spans="1:17">
      <c r="A107" s="176" t="s">
        <v>4901</v>
      </c>
      <c r="D107" s="180">
        <f>SUM(D108:D112)+D114+D115+SUM(D117:D145)+SUM(D147:D154)+D156</f>
        <v>116382</v>
      </c>
      <c r="E107" s="180">
        <f t="shared" ref="E107:L107" si="63">SUM(E108:E112)+E114+E115+SUM(E117:E145)+SUM(E147:E154)+E156</f>
        <v>117243</v>
      </c>
      <c r="F107" s="180">
        <f t="shared" si="63"/>
        <v>117436</v>
      </c>
      <c r="G107" s="180">
        <f t="shared" si="63"/>
        <v>118889</v>
      </c>
      <c r="H107" s="180">
        <f t="shared" si="63"/>
        <v>118076</v>
      </c>
      <c r="I107" s="180">
        <f t="shared" si="63"/>
        <v>117983</v>
      </c>
      <c r="J107" s="180">
        <f t="shared" si="63"/>
        <v>115996</v>
      </c>
      <c r="K107" s="180">
        <f t="shared" si="63"/>
        <v>119093</v>
      </c>
      <c r="L107" s="180">
        <f t="shared" si="63"/>
        <v>118845</v>
      </c>
      <c r="M107" s="180">
        <f>SUM(M108:M112)+M114+M115+SUM(M117:M145)+SUM(M147:M154)+M156</f>
        <v>117392</v>
      </c>
      <c r="N107" s="180">
        <f>SUM(N108:N112)+N114+N115+SUM(N117:N145)+SUM(N147:N154)+N156</f>
        <v>119931</v>
      </c>
      <c r="O107" s="180">
        <f>SUM(O108:O112)+O114+O115+SUM(O117:O145)+SUM(O147:O154)+O156</f>
        <v>122569</v>
      </c>
    </row>
    <row r="108" spans="1:17">
      <c r="A108" s="176" t="s">
        <v>5387</v>
      </c>
      <c r="B108" s="176" t="s">
        <v>11999</v>
      </c>
      <c r="C108" s="55" t="s">
        <v>11998</v>
      </c>
      <c r="D108" s="180">
        <v>32278</v>
      </c>
      <c r="E108" s="180">
        <v>32546</v>
      </c>
      <c r="F108" s="180">
        <v>32753</v>
      </c>
      <c r="G108" s="180">
        <v>33105</v>
      </c>
      <c r="H108" s="56">
        <v>32832</v>
      </c>
      <c r="I108" s="56">
        <v>32763</v>
      </c>
      <c r="J108" s="56">
        <v>32143</v>
      </c>
      <c r="K108" s="56">
        <v>32923</v>
      </c>
      <c r="L108" s="56">
        <v>2851</v>
      </c>
      <c r="M108" s="56">
        <v>2814</v>
      </c>
      <c r="N108" s="56">
        <v>2906</v>
      </c>
      <c r="O108" s="56">
        <v>3014</v>
      </c>
      <c r="Q108" s="176" t="s">
        <v>4913</v>
      </c>
    </row>
    <row r="109" spans="1:17">
      <c r="A109" s="176" t="s">
        <v>5389</v>
      </c>
      <c r="B109" s="176" t="s">
        <v>5601</v>
      </c>
      <c r="C109" s="55" t="s">
        <v>12000</v>
      </c>
      <c r="D109" s="180">
        <v>74560</v>
      </c>
      <c r="E109" s="180">
        <v>75044</v>
      </c>
      <c r="F109" s="180">
        <v>75020</v>
      </c>
      <c r="G109" s="180">
        <v>76047</v>
      </c>
      <c r="H109" s="58">
        <v>75563</v>
      </c>
      <c r="I109" s="58">
        <v>75542</v>
      </c>
      <c r="J109" s="58">
        <v>74319</v>
      </c>
      <c r="K109" s="58">
        <v>76417</v>
      </c>
      <c r="L109" s="58">
        <v>2645</v>
      </c>
      <c r="M109" s="58">
        <v>2667</v>
      </c>
      <c r="N109" s="58">
        <v>2765</v>
      </c>
      <c r="O109" s="58">
        <v>2850</v>
      </c>
      <c r="Q109" s="176" t="s">
        <v>4906</v>
      </c>
    </row>
    <row r="110" spans="1:17">
      <c r="A110" s="176" t="s">
        <v>5391</v>
      </c>
      <c r="B110" s="176" t="s">
        <v>5602</v>
      </c>
      <c r="C110" s="55" t="s">
        <v>12001</v>
      </c>
      <c r="D110" s="180">
        <v>0</v>
      </c>
      <c r="E110" s="180">
        <v>0</v>
      </c>
      <c r="F110" s="180">
        <v>0</v>
      </c>
      <c r="G110" s="180">
        <v>0</v>
      </c>
      <c r="H110" s="56">
        <v>0</v>
      </c>
      <c r="I110" s="56">
        <v>0</v>
      </c>
      <c r="J110" s="56">
        <v>0</v>
      </c>
      <c r="K110" s="56">
        <v>0</v>
      </c>
      <c r="L110" s="56">
        <v>1720</v>
      </c>
      <c r="M110" s="56">
        <v>1717</v>
      </c>
      <c r="N110" s="56">
        <v>1726</v>
      </c>
      <c r="O110" s="56">
        <v>1788</v>
      </c>
      <c r="Q110" s="176" t="s">
        <v>4906</v>
      </c>
    </row>
    <row r="111" spans="1:17">
      <c r="A111" s="176"/>
      <c r="B111" s="176"/>
      <c r="C111" s="55" t="s">
        <v>12001</v>
      </c>
      <c r="D111" s="180">
        <v>0</v>
      </c>
      <c r="E111" s="180">
        <v>0</v>
      </c>
      <c r="F111" s="180">
        <v>0</v>
      </c>
      <c r="G111" s="180">
        <v>0</v>
      </c>
      <c r="H111" s="56">
        <v>0</v>
      </c>
      <c r="I111" s="56">
        <v>0</v>
      </c>
      <c r="J111" s="56">
        <v>0</v>
      </c>
      <c r="K111" s="56">
        <v>0</v>
      </c>
      <c r="L111" s="56">
        <v>600</v>
      </c>
      <c r="M111" s="56">
        <v>586</v>
      </c>
      <c r="N111" s="56">
        <v>592</v>
      </c>
      <c r="O111" s="56">
        <v>608</v>
      </c>
      <c r="Q111" s="176" t="s">
        <v>4912</v>
      </c>
    </row>
    <row r="112" spans="1:17" ht="15.75" thickBot="1">
      <c r="A112" s="176"/>
      <c r="B112" s="176"/>
      <c r="C112" s="55" t="s">
        <v>12001</v>
      </c>
      <c r="D112" s="180">
        <v>0</v>
      </c>
      <c r="E112" s="180">
        <v>0</v>
      </c>
      <c r="F112" s="180">
        <v>0</v>
      </c>
      <c r="G112" s="180">
        <v>0</v>
      </c>
      <c r="H112" s="56">
        <v>0</v>
      </c>
      <c r="I112" s="56">
        <v>0</v>
      </c>
      <c r="J112" s="56">
        <v>0</v>
      </c>
      <c r="K112" s="56">
        <v>0</v>
      </c>
      <c r="L112" s="56">
        <v>557</v>
      </c>
      <c r="M112" s="56">
        <v>555</v>
      </c>
      <c r="N112" s="56">
        <v>548</v>
      </c>
      <c r="O112" s="56">
        <v>554</v>
      </c>
      <c r="Q112" s="176" t="s">
        <v>4913</v>
      </c>
    </row>
    <row r="113" spans="1:17" ht="15.75" thickBot="1">
      <c r="A113" s="176"/>
      <c r="B113" s="176"/>
      <c r="C113" s="55" t="s">
        <v>12001</v>
      </c>
      <c r="D113" s="184">
        <f>SUM(D110:D112)</f>
        <v>0</v>
      </c>
      <c r="E113" s="184">
        <f t="shared" ref="E113:L113" si="64">SUM(E110:E112)</f>
        <v>0</v>
      </c>
      <c r="F113" s="184">
        <f t="shared" si="64"/>
        <v>0</v>
      </c>
      <c r="G113" s="184">
        <f t="shared" si="64"/>
        <v>0</v>
      </c>
      <c r="H113" s="184">
        <f t="shared" si="64"/>
        <v>0</v>
      </c>
      <c r="I113" s="184">
        <f t="shared" si="64"/>
        <v>0</v>
      </c>
      <c r="J113" s="184">
        <f t="shared" si="64"/>
        <v>0</v>
      </c>
      <c r="K113" s="184">
        <f t="shared" si="64"/>
        <v>0</v>
      </c>
      <c r="L113" s="184">
        <f t="shared" si="64"/>
        <v>2877</v>
      </c>
      <c r="M113" s="184">
        <f>SUM(M110:M112)</f>
        <v>2858</v>
      </c>
      <c r="N113" s="184">
        <f>SUM(N110:N112)</f>
        <v>2866</v>
      </c>
      <c r="O113" s="184">
        <f>SUM(O110:O112)</f>
        <v>2950</v>
      </c>
      <c r="Q113" s="176"/>
    </row>
    <row r="114" spans="1:17">
      <c r="A114" s="176" t="s">
        <v>5393</v>
      </c>
      <c r="B114" s="176" t="s">
        <v>12002</v>
      </c>
      <c r="C114" s="55" t="s">
        <v>12003</v>
      </c>
      <c r="D114" s="180">
        <v>0</v>
      </c>
      <c r="E114" s="180">
        <v>0</v>
      </c>
      <c r="F114" s="180">
        <v>0</v>
      </c>
      <c r="G114" s="180">
        <v>0</v>
      </c>
      <c r="H114" s="56">
        <v>0</v>
      </c>
      <c r="I114" s="56">
        <v>0</v>
      </c>
      <c r="J114" s="56">
        <v>0</v>
      </c>
      <c r="K114" s="56">
        <v>0</v>
      </c>
      <c r="L114" s="56">
        <v>266</v>
      </c>
      <c r="M114" s="56">
        <v>262</v>
      </c>
      <c r="N114" s="56">
        <v>251</v>
      </c>
      <c r="O114" s="56">
        <v>252</v>
      </c>
      <c r="Q114" s="176" t="s">
        <v>4906</v>
      </c>
    </row>
    <row r="115" spans="1:17" ht="15.75" thickBot="1">
      <c r="A115" s="176"/>
      <c r="B115" s="176"/>
      <c r="C115" s="55" t="s">
        <v>12003</v>
      </c>
      <c r="D115" s="180">
        <v>0</v>
      </c>
      <c r="E115" s="180">
        <v>0</v>
      </c>
      <c r="F115" s="180">
        <v>0</v>
      </c>
      <c r="G115" s="180">
        <v>0</v>
      </c>
      <c r="H115" s="56">
        <v>0</v>
      </c>
      <c r="I115" s="56">
        <v>0</v>
      </c>
      <c r="J115" s="56">
        <v>0</v>
      </c>
      <c r="K115" s="56">
        <v>0</v>
      </c>
      <c r="L115" s="56">
        <v>2952</v>
      </c>
      <c r="M115" s="56">
        <v>2962</v>
      </c>
      <c r="N115" s="56">
        <v>2944</v>
      </c>
      <c r="O115" s="56">
        <v>3001</v>
      </c>
      <c r="Q115" s="176" t="s">
        <v>4913</v>
      </c>
    </row>
    <row r="116" spans="1:17" ht="15.75" thickBot="1">
      <c r="A116" s="176"/>
      <c r="B116" s="176"/>
      <c r="C116" s="55" t="s">
        <v>12003</v>
      </c>
      <c r="D116" s="184">
        <f>D114+D115</f>
        <v>0</v>
      </c>
      <c r="E116" s="184">
        <f t="shared" ref="E116:L116" si="65">E114+E115</f>
        <v>0</v>
      </c>
      <c r="F116" s="184">
        <f t="shared" si="65"/>
        <v>0</v>
      </c>
      <c r="G116" s="184">
        <f t="shared" si="65"/>
        <v>0</v>
      </c>
      <c r="H116" s="184">
        <f t="shared" si="65"/>
        <v>0</v>
      </c>
      <c r="I116" s="184">
        <f t="shared" si="65"/>
        <v>0</v>
      </c>
      <c r="J116" s="184">
        <f t="shared" si="65"/>
        <v>0</v>
      </c>
      <c r="K116" s="184">
        <f t="shared" si="65"/>
        <v>0</v>
      </c>
      <c r="L116" s="184">
        <f t="shared" si="65"/>
        <v>3218</v>
      </c>
      <c r="M116" s="184">
        <f>M114+M115</f>
        <v>3224</v>
      </c>
      <c r="N116" s="184">
        <f>N114+N115</f>
        <v>3195</v>
      </c>
      <c r="O116" s="184">
        <f>O114+O115</f>
        <v>3253</v>
      </c>
      <c r="Q116" s="176"/>
    </row>
    <row r="117" spans="1:17">
      <c r="A117" s="176" t="s">
        <v>5394</v>
      </c>
      <c r="B117" s="107" t="s">
        <v>12004</v>
      </c>
      <c r="C117" s="55" t="s">
        <v>12005</v>
      </c>
      <c r="D117" s="180">
        <v>0</v>
      </c>
      <c r="E117" s="180">
        <v>0</v>
      </c>
      <c r="F117" s="180">
        <v>0</v>
      </c>
      <c r="G117" s="180">
        <v>0</v>
      </c>
      <c r="H117" s="56">
        <v>0</v>
      </c>
      <c r="I117" s="56">
        <v>0</v>
      </c>
      <c r="J117" s="56">
        <v>0</v>
      </c>
      <c r="K117" s="56">
        <v>0</v>
      </c>
      <c r="L117" s="56">
        <v>3105</v>
      </c>
      <c r="M117" s="56">
        <v>3046</v>
      </c>
      <c r="N117" s="56">
        <v>3048</v>
      </c>
      <c r="O117" s="56">
        <v>3098</v>
      </c>
      <c r="Q117" s="176" t="s">
        <v>4906</v>
      </c>
    </row>
    <row r="118" spans="1:17">
      <c r="A118" s="176" t="s">
        <v>5416</v>
      </c>
      <c r="B118" s="176" t="s">
        <v>12006</v>
      </c>
      <c r="C118" s="55" t="s">
        <v>12007</v>
      </c>
      <c r="D118" s="180">
        <v>0</v>
      </c>
      <c r="E118" s="180">
        <v>0</v>
      </c>
      <c r="F118" s="180">
        <v>0</v>
      </c>
      <c r="G118" s="180">
        <v>0</v>
      </c>
      <c r="H118" s="56">
        <v>0</v>
      </c>
      <c r="I118" s="56">
        <v>0</v>
      </c>
      <c r="J118" s="56">
        <v>0</v>
      </c>
      <c r="K118" s="56">
        <v>0</v>
      </c>
      <c r="L118" s="56">
        <v>3146</v>
      </c>
      <c r="M118" s="56">
        <v>3023</v>
      </c>
      <c r="N118" s="56">
        <v>3086</v>
      </c>
      <c r="O118" s="56">
        <v>3107</v>
      </c>
      <c r="Q118" s="176" t="s">
        <v>4906</v>
      </c>
    </row>
    <row r="119" spans="1:17">
      <c r="A119" s="176" t="s">
        <v>5418</v>
      </c>
      <c r="B119" s="176" t="s">
        <v>12008</v>
      </c>
      <c r="C119" s="55" t="s">
        <v>12009</v>
      </c>
      <c r="D119" s="180">
        <v>0</v>
      </c>
      <c r="E119" s="180">
        <v>0</v>
      </c>
      <c r="F119" s="180">
        <v>0</v>
      </c>
      <c r="G119" s="180">
        <v>0</v>
      </c>
      <c r="H119" s="56">
        <v>0</v>
      </c>
      <c r="I119" s="56">
        <v>0</v>
      </c>
      <c r="J119" s="56">
        <v>0</v>
      </c>
      <c r="K119" s="56">
        <v>0</v>
      </c>
      <c r="L119" s="56">
        <v>2784</v>
      </c>
      <c r="M119" s="56">
        <v>2747</v>
      </c>
      <c r="N119" s="56">
        <v>2778</v>
      </c>
      <c r="O119" s="56">
        <v>2926</v>
      </c>
      <c r="Q119" s="176" t="s">
        <v>4906</v>
      </c>
    </row>
    <row r="120" spans="1:17">
      <c r="A120" s="176" t="s">
        <v>5420</v>
      </c>
      <c r="B120" s="176" t="s">
        <v>12010</v>
      </c>
      <c r="C120" s="55" t="s">
        <v>12011</v>
      </c>
      <c r="D120" s="180">
        <v>0</v>
      </c>
      <c r="E120" s="180">
        <v>0</v>
      </c>
      <c r="F120" s="180">
        <v>0</v>
      </c>
      <c r="G120" s="180">
        <v>0</v>
      </c>
      <c r="H120" s="56">
        <v>0</v>
      </c>
      <c r="I120" s="56">
        <v>0</v>
      </c>
      <c r="J120" s="56">
        <v>0</v>
      </c>
      <c r="K120" s="56">
        <v>0</v>
      </c>
      <c r="L120" s="56">
        <v>2963</v>
      </c>
      <c r="M120" s="56">
        <v>2890</v>
      </c>
      <c r="N120" s="56">
        <v>2974</v>
      </c>
      <c r="O120" s="56">
        <v>3056</v>
      </c>
      <c r="Q120" s="176" t="s">
        <v>4906</v>
      </c>
    </row>
    <row r="121" spans="1:17">
      <c r="A121" s="176" t="s">
        <v>5422</v>
      </c>
      <c r="B121" s="107" t="s">
        <v>12012</v>
      </c>
      <c r="C121" s="55" t="s">
        <v>12017</v>
      </c>
      <c r="D121" s="180">
        <v>0</v>
      </c>
      <c r="E121" s="180">
        <v>0</v>
      </c>
      <c r="F121" s="180">
        <v>0</v>
      </c>
      <c r="G121" s="180">
        <v>0</v>
      </c>
      <c r="H121" s="56">
        <v>0</v>
      </c>
      <c r="I121" s="56">
        <v>0</v>
      </c>
      <c r="J121" s="56">
        <v>0</v>
      </c>
      <c r="K121" s="56">
        <v>0</v>
      </c>
      <c r="L121" s="56">
        <v>2445</v>
      </c>
      <c r="M121" s="56">
        <v>2414</v>
      </c>
      <c r="N121" s="56">
        <v>2528</v>
      </c>
      <c r="O121" s="56">
        <v>2538</v>
      </c>
      <c r="Q121" s="176" t="s">
        <v>4906</v>
      </c>
    </row>
    <row r="122" spans="1:17">
      <c r="A122" s="176" t="s">
        <v>5424</v>
      </c>
      <c r="B122" s="107" t="s">
        <v>12013</v>
      </c>
      <c r="C122" s="55" t="s">
        <v>12018</v>
      </c>
      <c r="D122" s="180">
        <v>0</v>
      </c>
      <c r="E122" s="180">
        <v>0</v>
      </c>
      <c r="F122" s="180">
        <v>0</v>
      </c>
      <c r="G122" s="180">
        <v>0</v>
      </c>
      <c r="H122" s="56">
        <v>0</v>
      </c>
      <c r="I122" s="56">
        <v>0</v>
      </c>
      <c r="J122" s="56">
        <v>0</v>
      </c>
      <c r="K122" s="56">
        <v>0</v>
      </c>
      <c r="L122" s="56">
        <v>3121</v>
      </c>
      <c r="M122" s="56">
        <v>3079</v>
      </c>
      <c r="N122" s="56">
        <v>3118</v>
      </c>
      <c r="O122" s="56">
        <v>3186</v>
      </c>
      <c r="Q122" s="176" t="s">
        <v>4906</v>
      </c>
    </row>
    <row r="123" spans="1:17">
      <c r="A123" s="176" t="s">
        <v>5426</v>
      </c>
      <c r="B123" s="107" t="s">
        <v>12027</v>
      </c>
      <c r="C123" s="55" t="s">
        <v>12019</v>
      </c>
      <c r="D123" s="180">
        <v>0</v>
      </c>
      <c r="E123" s="180">
        <v>0</v>
      </c>
      <c r="F123" s="180">
        <v>0</v>
      </c>
      <c r="G123" s="180">
        <v>0</v>
      </c>
      <c r="H123" s="56">
        <v>0</v>
      </c>
      <c r="I123" s="56">
        <v>0</v>
      </c>
      <c r="J123" s="56">
        <v>0</v>
      </c>
      <c r="K123" s="56">
        <v>0</v>
      </c>
      <c r="L123" s="56">
        <v>2840</v>
      </c>
      <c r="M123" s="56">
        <v>2778</v>
      </c>
      <c r="N123" s="56">
        <v>2897</v>
      </c>
      <c r="O123" s="56">
        <v>2987</v>
      </c>
      <c r="Q123" s="176" t="s">
        <v>4906</v>
      </c>
    </row>
    <row r="124" spans="1:17">
      <c r="A124" s="176" t="s">
        <v>5428</v>
      </c>
      <c r="B124" s="107" t="s">
        <v>12014</v>
      </c>
      <c r="C124" s="55" t="s">
        <v>12020</v>
      </c>
      <c r="D124" s="180">
        <v>0</v>
      </c>
      <c r="E124" s="180">
        <v>0</v>
      </c>
      <c r="F124" s="180">
        <v>0</v>
      </c>
      <c r="G124" s="180">
        <v>0</v>
      </c>
      <c r="H124" s="56">
        <v>0</v>
      </c>
      <c r="I124" s="56">
        <v>0</v>
      </c>
      <c r="J124" s="56">
        <v>0</v>
      </c>
      <c r="K124" s="56">
        <v>0</v>
      </c>
      <c r="L124" s="56">
        <v>2870</v>
      </c>
      <c r="M124" s="56">
        <v>2859</v>
      </c>
      <c r="N124" s="56">
        <v>2974</v>
      </c>
      <c r="O124" s="56">
        <v>3073</v>
      </c>
      <c r="Q124" s="176" t="s">
        <v>4906</v>
      </c>
    </row>
    <row r="125" spans="1:17">
      <c r="A125" s="176" t="s">
        <v>5429</v>
      </c>
      <c r="B125" s="107" t="s">
        <v>12015</v>
      </c>
      <c r="C125" s="55" t="s">
        <v>12021</v>
      </c>
      <c r="D125" s="180">
        <v>0</v>
      </c>
      <c r="E125" s="180">
        <v>0</v>
      </c>
      <c r="F125" s="180">
        <v>0</v>
      </c>
      <c r="G125" s="180">
        <v>0</v>
      </c>
      <c r="H125" s="56">
        <v>0</v>
      </c>
      <c r="I125" s="56">
        <v>0</v>
      </c>
      <c r="J125" s="56">
        <v>0</v>
      </c>
      <c r="K125" s="56">
        <v>0</v>
      </c>
      <c r="L125" s="56">
        <v>2887</v>
      </c>
      <c r="M125" s="56">
        <v>2875</v>
      </c>
      <c r="N125" s="56">
        <v>2891</v>
      </c>
      <c r="O125" s="56">
        <v>2906</v>
      </c>
      <c r="Q125" s="176" t="s">
        <v>4906</v>
      </c>
    </row>
    <row r="126" spans="1:17">
      <c r="A126" s="176" t="s">
        <v>5431</v>
      </c>
      <c r="B126" s="107" t="s">
        <v>12016</v>
      </c>
      <c r="C126" s="55" t="s">
        <v>12023</v>
      </c>
      <c r="D126" s="180">
        <v>0</v>
      </c>
      <c r="E126" s="180">
        <v>0</v>
      </c>
      <c r="F126" s="180">
        <v>0</v>
      </c>
      <c r="G126" s="180">
        <v>0</v>
      </c>
      <c r="H126" s="56">
        <v>0</v>
      </c>
      <c r="I126" s="56">
        <v>0</v>
      </c>
      <c r="J126" s="56">
        <v>0</v>
      </c>
      <c r="K126" s="56">
        <v>0</v>
      </c>
      <c r="L126" s="56">
        <v>2848</v>
      </c>
      <c r="M126" s="56">
        <v>2799</v>
      </c>
      <c r="N126" s="56">
        <v>2908</v>
      </c>
      <c r="O126" s="56">
        <v>2980</v>
      </c>
      <c r="Q126" s="176" t="s">
        <v>4906</v>
      </c>
    </row>
    <row r="127" spans="1:17">
      <c r="A127" s="176" t="s">
        <v>5433</v>
      </c>
      <c r="B127" s="107" t="s">
        <v>12022</v>
      </c>
      <c r="C127" s="55" t="s">
        <v>12025</v>
      </c>
      <c r="D127" s="180">
        <v>0</v>
      </c>
      <c r="E127" s="180">
        <v>0</v>
      </c>
      <c r="F127" s="180">
        <v>0</v>
      </c>
      <c r="G127" s="180">
        <v>0</v>
      </c>
      <c r="H127" s="58">
        <v>0</v>
      </c>
      <c r="I127" s="58">
        <v>0</v>
      </c>
      <c r="J127" s="58">
        <v>0</v>
      </c>
      <c r="K127" s="58">
        <v>0</v>
      </c>
      <c r="L127" s="58">
        <v>2778</v>
      </c>
      <c r="M127" s="58">
        <v>2677</v>
      </c>
      <c r="N127" s="58">
        <v>2777</v>
      </c>
      <c r="O127" s="58">
        <v>2838</v>
      </c>
      <c r="Q127" s="176" t="s">
        <v>4906</v>
      </c>
    </row>
    <row r="128" spans="1:17">
      <c r="A128" s="176" t="s">
        <v>5435</v>
      </c>
      <c r="B128" s="107" t="s">
        <v>12024</v>
      </c>
      <c r="C128" s="55" t="s">
        <v>12028</v>
      </c>
      <c r="D128" s="178">
        <v>0</v>
      </c>
      <c r="E128" s="178">
        <v>0</v>
      </c>
      <c r="F128" s="178">
        <v>0</v>
      </c>
      <c r="G128" s="178">
        <v>0</v>
      </c>
      <c r="H128" s="56">
        <v>0</v>
      </c>
      <c r="I128" s="56">
        <v>0</v>
      </c>
      <c r="J128" s="56">
        <v>0</v>
      </c>
      <c r="K128" s="56">
        <v>0</v>
      </c>
      <c r="L128" s="56">
        <v>3324</v>
      </c>
      <c r="M128" s="56">
        <v>3259</v>
      </c>
      <c r="N128" s="56">
        <v>3331</v>
      </c>
      <c r="O128" s="56">
        <v>3380</v>
      </c>
      <c r="Q128" s="176" t="s">
        <v>4906</v>
      </c>
    </row>
    <row r="129" spans="1:17">
      <c r="A129" s="176" t="s">
        <v>5436</v>
      </c>
      <c r="B129" s="107" t="s">
        <v>12026</v>
      </c>
      <c r="C129" s="55" t="s">
        <v>12029</v>
      </c>
      <c r="D129" s="178">
        <v>0</v>
      </c>
      <c r="E129" s="178">
        <v>0</v>
      </c>
      <c r="F129" s="178">
        <v>0</v>
      </c>
      <c r="G129" s="178">
        <v>0</v>
      </c>
      <c r="H129" s="56">
        <v>0</v>
      </c>
      <c r="I129" s="56">
        <v>0</v>
      </c>
      <c r="J129" s="56">
        <v>0</v>
      </c>
      <c r="K129" s="56">
        <v>0</v>
      </c>
      <c r="L129" s="56">
        <v>2914</v>
      </c>
      <c r="M129" s="56">
        <v>2877</v>
      </c>
      <c r="N129" s="56">
        <v>2890</v>
      </c>
      <c r="O129" s="56">
        <v>2918</v>
      </c>
      <c r="Q129" s="176" t="s">
        <v>4906</v>
      </c>
    </row>
    <row r="130" spans="1:17">
      <c r="A130" s="176" t="s">
        <v>5437</v>
      </c>
      <c r="B130" s="176" t="s">
        <v>12060</v>
      </c>
      <c r="C130" s="55" t="s">
        <v>12030</v>
      </c>
      <c r="D130" s="178">
        <v>0</v>
      </c>
      <c r="E130" s="178">
        <v>0</v>
      </c>
      <c r="F130" s="178">
        <v>0</v>
      </c>
      <c r="G130" s="178">
        <v>0</v>
      </c>
      <c r="H130" s="56">
        <v>0</v>
      </c>
      <c r="I130" s="56">
        <v>0</v>
      </c>
      <c r="J130" s="56">
        <v>0</v>
      </c>
      <c r="K130" s="56">
        <v>0</v>
      </c>
      <c r="L130" s="56">
        <v>2662</v>
      </c>
      <c r="M130" s="56">
        <v>2616</v>
      </c>
      <c r="N130" s="56">
        <v>2727</v>
      </c>
      <c r="O130" s="56">
        <v>2803</v>
      </c>
      <c r="Q130" s="176" t="s">
        <v>4906</v>
      </c>
    </row>
    <row r="131" spans="1:17">
      <c r="A131" s="176" t="s">
        <v>5439</v>
      </c>
      <c r="B131" s="176" t="s">
        <v>12061</v>
      </c>
      <c r="C131" s="55" t="s">
        <v>12032</v>
      </c>
      <c r="D131" s="178">
        <v>0</v>
      </c>
      <c r="E131" s="178">
        <v>0</v>
      </c>
      <c r="F131" s="178">
        <v>0</v>
      </c>
      <c r="G131" s="178">
        <v>0</v>
      </c>
      <c r="H131" s="56">
        <v>0</v>
      </c>
      <c r="I131" s="56">
        <v>0</v>
      </c>
      <c r="J131" s="56">
        <v>0</v>
      </c>
      <c r="K131" s="56">
        <v>0</v>
      </c>
      <c r="L131" s="56">
        <v>3073</v>
      </c>
      <c r="M131" s="56">
        <v>3086</v>
      </c>
      <c r="N131" s="56">
        <v>3169</v>
      </c>
      <c r="O131" s="56">
        <v>3229</v>
      </c>
      <c r="Q131" s="176" t="s">
        <v>4906</v>
      </c>
    </row>
    <row r="132" spans="1:17">
      <c r="A132" s="176" t="s">
        <v>5441</v>
      </c>
      <c r="B132" s="176" t="s">
        <v>12062</v>
      </c>
      <c r="C132" s="55" t="s">
        <v>12031</v>
      </c>
      <c r="D132" s="178">
        <v>0</v>
      </c>
      <c r="E132" s="178">
        <v>0</v>
      </c>
      <c r="F132" s="178">
        <v>0</v>
      </c>
      <c r="G132" s="178">
        <v>0</v>
      </c>
      <c r="H132" s="56">
        <v>0</v>
      </c>
      <c r="I132" s="56">
        <v>0</v>
      </c>
      <c r="J132" s="56">
        <v>0</v>
      </c>
      <c r="K132" s="56">
        <v>0</v>
      </c>
      <c r="L132" s="58">
        <v>3278</v>
      </c>
      <c r="M132" s="58">
        <v>3231</v>
      </c>
      <c r="N132" s="58">
        <v>3303</v>
      </c>
      <c r="O132" s="58">
        <v>3366</v>
      </c>
      <c r="Q132" s="176" t="s">
        <v>4906</v>
      </c>
    </row>
    <row r="133" spans="1:17">
      <c r="A133" s="176" t="s">
        <v>5886</v>
      </c>
      <c r="B133" s="176" t="s">
        <v>12063</v>
      </c>
      <c r="C133" s="55" t="s">
        <v>12033</v>
      </c>
      <c r="D133" s="178">
        <v>0</v>
      </c>
      <c r="E133" s="178">
        <v>0</v>
      </c>
      <c r="F133" s="178">
        <v>0</v>
      </c>
      <c r="G133" s="178">
        <v>0</v>
      </c>
      <c r="H133" s="56">
        <v>0</v>
      </c>
      <c r="I133" s="56">
        <v>0</v>
      </c>
      <c r="J133" s="56">
        <v>0</v>
      </c>
      <c r="K133" s="56">
        <v>0</v>
      </c>
      <c r="L133" s="58">
        <v>2847</v>
      </c>
      <c r="M133" s="58">
        <v>2779</v>
      </c>
      <c r="N133" s="58">
        <v>2810</v>
      </c>
      <c r="O133" s="58">
        <v>2856</v>
      </c>
      <c r="Q133" s="176" t="s">
        <v>4906</v>
      </c>
    </row>
    <row r="134" spans="1:17">
      <c r="A134" s="176" t="s">
        <v>5888</v>
      </c>
      <c r="B134" s="176" t="s">
        <v>12064</v>
      </c>
      <c r="C134" s="55" t="s">
        <v>12034</v>
      </c>
      <c r="D134" s="178">
        <v>0</v>
      </c>
      <c r="E134" s="178">
        <v>0</v>
      </c>
      <c r="F134" s="178">
        <v>0</v>
      </c>
      <c r="G134" s="178">
        <v>0</v>
      </c>
      <c r="H134" s="56">
        <v>0</v>
      </c>
      <c r="I134" s="56">
        <v>0</v>
      </c>
      <c r="J134" s="56">
        <v>0</v>
      </c>
      <c r="K134" s="56">
        <v>0</v>
      </c>
      <c r="L134" s="58">
        <v>3349</v>
      </c>
      <c r="M134" s="58">
        <v>3302</v>
      </c>
      <c r="N134" s="58">
        <v>3361</v>
      </c>
      <c r="O134" s="58">
        <v>3376</v>
      </c>
      <c r="Q134" s="176" t="s">
        <v>4906</v>
      </c>
    </row>
    <row r="135" spans="1:17">
      <c r="A135" s="176" t="s">
        <v>5889</v>
      </c>
      <c r="B135" s="176" t="s">
        <v>12065</v>
      </c>
      <c r="C135" s="55" t="s">
        <v>12035</v>
      </c>
      <c r="D135" s="178">
        <v>0</v>
      </c>
      <c r="E135" s="178">
        <v>0</v>
      </c>
      <c r="F135" s="178">
        <v>0</v>
      </c>
      <c r="G135" s="178">
        <v>0</v>
      </c>
      <c r="H135" s="56">
        <v>0</v>
      </c>
      <c r="I135" s="56">
        <v>0</v>
      </c>
      <c r="J135" s="56">
        <v>0</v>
      </c>
      <c r="K135" s="56">
        <v>0</v>
      </c>
      <c r="L135" s="56">
        <v>3100</v>
      </c>
      <c r="M135" s="56">
        <v>2992</v>
      </c>
      <c r="N135" s="56">
        <v>3019</v>
      </c>
      <c r="O135" s="56">
        <v>3079</v>
      </c>
      <c r="Q135" s="176" t="s">
        <v>4906</v>
      </c>
    </row>
    <row r="136" spans="1:17">
      <c r="A136" s="176" t="s">
        <v>4431</v>
      </c>
      <c r="B136" s="176" t="s">
        <v>12059</v>
      </c>
      <c r="C136" s="55" t="s">
        <v>12036</v>
      </c>
      <c r="D136" s="178">
        <v>0</v>
      </c>
      <c r="E136" s="178">
        <v>0</v>
      </c>
      <c r="F136" s="178">
        <v>0</v>
      </c>
      <c r="G136" s="178">
        <v>0</v>
      </c>
      <c r="H136" s="56">
        <v>0</v>
      </c>
      <c r="I136" s="56">
        <v>0</v>
      </c>
      <c r="J136" s="56">
        <v>0</v>
      </c>
      <c r="K136" s="56">
        <v>0</v>
      </c>
      <c r="L136" s="58">
        <v>2215</v>
      </c>
      <c r="M136" s="58">
        <v>2293</v>
      </c>
      <c r="N136" s="58">
        <v>2444</v>
      </c>
      <c r="O136" s="58">
        <v>2516</v>
      </c>
      <c r="Q136" s="176" t="s">
        <v>4906</v>
      </c>
    </row>
    <row r="137" spans="1:17">
      <c r="A137" s="176" t="s">
        <v>4432</v>
      </c>
      <c r="B137" s="176" t="s">
        <v>12058</v>
      </c>
      <c r="C137" s="55" t="s">
        <v>12037</v>
      </c>
      <c r="D137" s="178">
        <v>0</v>
      </c>
      <c r="E137" s="178">
        <v>0</v>
      </c>
      <c r="F137" s="178">
        <v>0</v>
      </c>
      <c r="G137" s="178">
        <v>0</v>
      </c>
      <c r="H137" s="56">
        <v>0</v>
      </c>
      <c r="I137" s="56">
        <v>0</v>
      </c>
      <c r="J137" s="56">
        <v>0</v>
      </c>
      <c r="K137" s="56">
        <v>0</v>
      </c>
      <c r="L137" s="58">
        <v>3144</v>
      </c>
      <c r="M137" s="58">
        <v>3077</v>
      </c>
      <c r="N137" s="58">
        <v>3108</v>
      </c>
      <c r="O137" s="58">
        <v>3158</v>
      </c>
      <c r="Q137" s="176" t="s">
        <v>4906</v>
      </c>
    </row>
    <row r="138" spans="1:17">
      <c r="A138" s="176" t="s">
        <v>4434</v>
      </c>
      <c r="B138" s="176" t="s">
        <v>12057</v>
      </c>
      <c r="C138" s="55" t="s">
        <v>12038</v>
      </c>
      <c r="D138" s="178">
        <v>0</v>
      </c>
      <c r="E138" s="178">
        <v>0</v>
      </c>
      <c r="F138" s="178">
        <v>0</v>
      </c>
      <c r="G138" s="178">
        <v>0</v>
      </c>
      <c r="H138" s="56">
        <v>0</v>
      </c>
      <c r="I138" s="56">
        <v>0</v>
      </c>
      <c r="J138" s="56">
        <v>0</v>
      </c>
      <c r="K138" s="56">
        <v>0</v>
      </c>
      <c r="L138" s="58">
        <v>3401</v>
      </c>
      <c r="M138" s="58">
        <v>3355</v>
      </c>
      <c r="N138" s="58">
        <v>3435</v>
      </c>
      <c r="O138" s="58">
        <v>3486</v>
      </c>
      <c r="Q138" s="176" t="s">
        <v>4906</v>
      </c>
    </row>
    <row r="139" spans="1:17">
      <c r="A139" s="176" t="s">
        <v>4533</v>
      </c>
      <c r="B139" s="176" t="s">
        <v>12056</v>
      </c>
      <c r="C139" s="55" t="s">
        <v>12039</v>
      </c>
      <c r="D139" s="178">
        <v>0</v>
      </c>
      <c r="E139" s="178">
        <v>0</v>
      </c>
      <c r="F139" s="178">
        <v>0</v>
      </c>
      <c r="G139" s="178">
        <v>0</v>
      </c>
      <c r="H139" s="56">
        <v>0</v>
      </c>
      <c r="I139" s="56">
        <v>0</v>
      </c>
      <c r="J139" s="56">
        <v>0</v>
      </c>
      <c r="K139" s="56">
        <v>0</v>
      </c>
      <c r="L139" s="56">
        <v>2489</v>
      </c>
      <c r="M139" s="56">
        <v>2470</v>
      </c>
      <c r="N139" s="56">
        <v>2500</v>
      </c>
      <c r="O139" s="56">
        <v>2519</v>
      </c>
      <c r="Q139" s="176" t="s">
        <v>4906</v>
      </c>
    </row>
    <row r="140" spans="1:17">
      <c r="A140" s="176" t="s">
        <v>4535</v>
      </c>
      <c r="B140" s="176" t="s">
        <v>5603</v>
      </c>
      <c r="C140" s="55" t="s">
        <v>12040</v>
      </c>
      <c r="D140" s="178">
        <v>0</v>
      </c>
      <c r="E140" s="178">
        <v>0</v>
      </c>
      <c r="F140" s="178">
        <v>0</v>
      </c>
      <c r="G140" s="178">
        <v>0</v>
      </c>
      <c r="H140" s="56">
        <v>0</v>
      </c>
      <c r="I140" s="56">
        <v>0</v>
      </c>
      <c r="J140" s="56">
        <v>0</v>
      </c>
      <c r="K140" s="56">
        <v>0</v>
      </c>
      <c r="L140" s="58">
        <v>3199</v>
      </c>
      <c r="M140" s="58">
        <v>3244</v>
      </c>
      <c r="N140" s="58">
        <v>3340</v>
      </c>
      <c r="O140" s="58">
        <v>3469</v>
      </c>
      <c r="Q140" s="176" t="s">
        <v>4906</v>
      </c>
    </row>
    <row r="141" spans="1:17">
      <c r="A141" s="182">
        <v>29</v>
      </c>
      <c r="B141" s="176" t="s">
        <v>5604</v>
      </c>
      <c r="C141" s="55" t="s">
        <v>12041</v>
      </c>
      <c r="D141" s="178">
        <v>9544</v>
      </c>
      <c r="E141" s="178">
        <v>9653</v>
      </c>
      <c r="F141" s="178">
        <v>9663</v>
      </c>
      <c r="G141" s="178">
        <v>9737</v>
      </c>
      <c r="H141" s="56">
        <v>9681</v>
      </c>
      <c r="I141" s="56">
        <v>9678</v>
      </c>
      <c r="J141" s="56">
        <v>9534</v>
      </c>
      <c r="K141" s="56">
        <v>9753</v>
      </c>
      <c r="L141" s="58">
        <v>2910</v>
      </c>
      <c r="M141" s="58">
        <v>2916</v>
      </c>
      <c r="N141" s="58">
        <v>3062</v>
      </c>
      <c r="O141" s="58">
        <v>3150</v>
      </c>
      <c r="Q141" s="176" t="s">
        <v>4912</v>
      </c>
    </row>
    <row r="142" spans="1:17" ht="15.75" customHeight="1">
      <c r="A142" s="182">
        <v>30</v>
      </c>
      <c r="B142" s="176" t="s">
        <v>12055</v>
      </c>
      <c r="C142" s="55" t="s">
        <v>12042</v>
      </c>
      <c r="D142" s="180">
        <v>0</v>
      </c>
      <c r="E142" s="180">
        <v>0</v>
      </c>
      <c r="F142" s="180">
        <v>0</v>
      </c>
      <c r="G142" s="180">
        <v>0</v>
      </c>
      <c r="H142" s="58">
        <v>0</v>
      </c>
      <c r="I142" s="58">
        <v>0</v>
      </c>
      <c r="J142" s="58">
        <v>0</v>
      </c>
      <c r="K142" s="58">
        <v>0</v>
      </c>
      <c r="L142" s="58">
        <v>2812</v>
      </c>
      <c r="M142" s="58">
        <v>2773</v>
      </c>
      <c r="N142" s="58">
        <v>2811</v>
      </c>
      <c r="O142" s="58">
        <v>2877</v>
      </c>
      <c r="Q142" s="176" t="s">
        <v>4913</v>
      </c>
    </row>
    <row r="143" spans="1:17">
      <c r="A143" s="182">
        <v>31</v>
      </c>
      <c r="B143" s="176" t="s">
        <v>5606</v>
      </c>
      <c r="C143" s="55" t="s">
        <v>12043</v>
      </c>
      <c r="D143" s="180">
        <v>0</v>
      </c>
      <c r="E143" s="180">
        <v>0</v>
      </c>
      <c r="F143" s="180">
        <v>0</v>
      </c>
      <c r="G143" s="180">
        <v>0</v>
      </c>
      <c r="H143" s="58">
        <v>0</v>
      </c>
      <c r="I143" s="58">
        <v>0</v>
      </c>
      <c r="J143" s="58">
        <v>0</v>
      </c>
      <c r="K143" s="58">
        <v>0</v>
      </c>
      <c r="L143" s="58">
        <v>3075</v>
      </c>
      <c r="M143" s="58">
        <v>3102</v>
      </c>
      <c r="N143" s="58">
        <v>3158</v>
      </c>
      <c r="O143" s="58">
        <v>3258</v>
      </c>
      <c r="Q143" s="176" t="s">
        <v>4913</v>
      </c>
    </row>
    <row r="144" spans="1:17">
      <c r="A144" s="182">
        <v>32</v>
      </c>
      <c r="B144" s="176" t="s">
        <v>5607</v>
      </c>
      <c r="C144" s="55" t="s">
        <v>12044</v>
      </c>
      <c r="D144" s="180">
        <v>0</v>
      </c>
      <c r="E144" s="180">
        <v>0</v>
      </c>
      <c r="F144" s="180">
        <v>0</v>
      </c>
      <c r="G144" s="180">
        <v>0</v>
      </c>
      <c r="H144" s="58">
        <v>0</v>
      </c>
      <c r="I144" s="58">
        <v>0</v>
      </c>
      <c r="J144" s="58">
        <v>0</v>
      </c>
      <c r="K144" s="58">
        <v>0</v>
      </c>
      <c r="L144" s="58">
        <v>640</v>
      </c>
      <c r="M144" s="58">
        <v>620</v>
      </c>
      <c r="N144" s="58">
        <v>619</v>
      </c>
      <c r="O144" s="58">
        <v>632</v>
      </c>
      <c r="Q144" s="176" t="s">
        <v>4906</v>
      </c>
    </row>
    <row r="145" spans="1:17" ht="15.75" thickBot="1">
      <c r="A145" s="182"/>
      <c r="B145" s="176"/>
      <c r="C145" s="55" t="s">
        <v>12044</v>
      </c>
      <c r="D145" s="180">
        <v>0</v>
      </c>
      <c r="E145" s="180">
        <v>0</v>
      </c>
      <c r="F145" s="180">
        <v>0</v>
      </c>
      <c r="G145" s="180">
        <v>0</v>
      </c>
      <c r="H145" s="56">
        <v>0</v>
      </c>
      <c r="I145" s="56">
        <v>0</v>
      </c>
      <c r="J145" s="56">
        <v>0</v>
      </c>
      <c r="K145" s="56">
        <v>0</v>
      </c>
      <c r="L145" s="56">
        <v>2524</v>
      </c>
      <c r="M145" s="56">
        <v>2483</v>
      </c>
      <c r="N145" s="56">
        <v>2555</v>
      </c>
      <c r="O145" s="56">
        <v>2617</v>
      </c>
      <c r="Q145" s="176" t="s">
        <v>4912</v>
      </c>
    </row>
    <row r="146" spans="1:17" ht="15.75" thickBot="1">
      <c r="A146" s="182"/>
      <c r="B146" s="176"/>
      <c r="C146" s="55" t="s">
        <v>12044</v>
      </c>
      <c r="D146" s="184">
        <f>D144+D145</f>
        <v>0</v>
      </c>
      <c r="E146" s="184">
        <f t="shared" ref="E146:L146" si="66">E144+E145</f>
        <v>0</v>
      </c>
      <c r="F146" s="184">
        <f t="shared" si="66"/>
        <v>0</v>
      </c>
      <c r="G146" s="184">
        <f t="shared" si="66"/>
        <v>0</v>
      </c>
      <c r="H146" s="184">
        <f t="shared" si="66"/>
        <v>0</v>
      </c>
      <c r="I146" s="184">
        <f t="shared" si="66"/>
        <v>0</v>
      </c>
      <c r="J146" s="184">
        <f t="shared" si="66"/>
        <v>0</v>
      </c>
      <c r="K146" s="184">
        <f t="shared" si="66"/>
        <v>0</v>
      </c>
      <c r="L146" s="184">
        <f t="shared" si="66"/>
        <v>3164</v>
      </c>
      <c r="M146" s="184">
        <f>M144+M145</f>
        <v>3103</v>
      </c>
      <c r="N146" s="184">
        <f>N144+N145</f>
        <v>3174</v>
      </c>
      <c r="O146" s="184">
        <f>O144+O145</f>
        <v>3249</v>
      </c>
      <c r="Q146" s="176"/>
    </row>
    <row r="147" spans="1:17">
      <c r="A147" s="186">
        <v>33</v>
      </c>
      <c r="B147" s="176" t="s">
        <v>12054</v>
      </c>
      <c r="C147" s="55" t="s">
        <v>12045</v>
      </c>
      <c r="D147" s="180">
        <v>0</v>
      </c>
      <c r="E147" s="180">
        <v>0</v>
      </c>
      <c r="F147" s="180">
        <v>0</v>
      </c>
      <c r="G147" s="180">
        <v>0</v>
      </c>
      <c r="H147" s="58">
        <v>0</v>
      </c>
      <c r="I147" s="58">
        <v>0</v>
      </c>
      <c r="J147" s="58">
        <v>0</v>
      </c>
      <c r="K147" s="58">
        <v>0</v>
      </c>
      <c r="L147" s="56">
        <v>2946</v>
      </c>
      <c r="M147" s="56">
        <v>2894</v>
      </c>
      <c r="N147" s="56">
        <v>2904</v>
      </c>
      <c r="O147" s="56">
        <v>2964</v>
      </c>
      <c r="Q147" s="176" t="s">
        <v>4913</v>
      </c>
    </row>
    <row r="148" spans="1:17">
      <c r="A148" s="186">
        <v>34</v>
      </c>
      <c r="B148" s="176" t="s">
        <v>6897</v>
      </c>
      <c r="C148" s="55" t="s">
        <v>12046</v>
      </c>
      <c r="D148" s="180">
        <v>0</v>
      </c>
      <c r="E148" s="180">
        <v>0</v>
      </c>
      <c r="F148" s="180">
        <v>0</v>
      </c>
      <c r="G148" s="180">
        <v>0</v>
      </c>
      <c r="H148" s="58">
        <v>0</v>
      </c>
      <c r="I148" s="58">
        <v>0</v>
      </c>
      <c r="J148" s="58">
        <v>0</v>
      </c>
      <c r="K148" s="58">
        <v>0</v>
      </c>
      <c r="L148" s="58">
        <v>3074</v>
      </c>
      <c r="M148" s="58">
        <v>3022</v>
      </c>
      <c r="N148" s="58">
        <v>3050</v>
      </c>
      <c r="O148" s="58">
        <v>3125</v>
      </c>
      <c r="Q148" s="176" t="s">
        <v>4913</v>
      </c>
    </row>
    <row r="149" spans="1:17">
      <c r="A149" s="186">
        <v>35</v>
      </c>
      <c r="B149" s="176" t="s">
        <v>6898</v>
      </c>
      <c r="C149" s="55" t="s">
        <v>12047</v>
      </c>
      <c r="D149" s="180">
        <v>0</v>
      </c>
      <c r="E149" s="180">
        <v>0</v>
      </c>
      <c r="F149" s="180">
        <v>0</v>
      </c>
      <c r="G149" s="180">
        <v>0</v>
      </c>
      <c r="H149" s="58">
        <v>0</v>
      </c>
      <c r="I149" s="58">
        <v>0</v>
      </c>
      <c r="J149" s="58">
        <v>0</v>
      </c>
      <c r="K149" s="58">
        <v>0</v>
      </c>
      <c r="L149" s="58">
        <v>3051</v>
      </c>
      <c r="M149" s="58">
        <v>3049</v>
      </c>
      <c r="N149" s="58">
        <v>3073</v>
      </c>
      <c r="O149" s="58">
        <v>3112</v>
      </c>
      <c r="Q149" s="176" t="s">
        <v>4913</v>
      </c>
    </row>
    <row r="150" spans="1:17">
      <c r="A150" s="186">
        <v>36</v>
      </c>
      <c r="B150" s="176" t="s">
        <v>6899</v>
      </c>
      <c r="C150" s="55" t="s">
        <v>12048</v>
      </c>
      <c r="D150" s="180">
        <v>0</v>
      </c>
      <c r="E150" s="180">
        <v>0</v>
      </c>
      <c r="F150" s="180">
        <v>0</v>
      </c>
      <c r="G150" s="180">
        <v>0</v>
      </c>
      <c r="H150" s="58">
        <v>0</v>
      </c>
      <c r="I150" s="58">
        <v>0</v>
      </c>
      <c r="J150" s="58">
        <v>0</v>
      </c>
      <c r="K150" s="58">
        <v>0</v>
      </c>
      <c r="L150" s="58">
        <v>2891</v>
      </c>
      <c r="M150" s="58">
        <v>2833</v>
      </c>
      <c r="N150" s="58">
        <v>2931</v>
      </c>
      <c r="O150" s="58">
        <v>3034</v>
      </c>
      <c r="Q150" s="176" t="s">
        <v>4913</v>
      </c>
    </row>
    <row r="151" spans="1:17">
      <c r="A151" s="186">
        <v>37</v>
      </c>
      <c r="B151" s="176" t="s">
        <v>12053</v>
      </c>
      <c r="C151" s="55" t="s">
        <v>12049</v>
      </c>
      <c r="D151" s="180">
        <v>0</v>
      </c>
      <c r="E151" s="180">
        <v>0</v>
      </c>
      <c r="F151" s="180">
        <v>0</v>
      </c>
      <c r="G151" s="180">
        <v>0</v>
      </c>
      <c r="H151" s="58">
        <v>0</v>
      </c>
      <c r="I151" s="58">
        <v>0</v>
      </c>
      <c r="J151" s="58">
        <v>0</v>
      </c>
      <c r="K151" s="58">
        <v>0</v>
      </c>
      <c r="L151" s="58">
        <v>2980</v>
      </c>
      <c r="M151" s="58">
        <v>2863</v>
      </c>
      <c r="N151" s="58">
        <v>2956</v>
      </c>
      <c r="O151" s="58">
        <v>3013</v>
      </c>
      <c r="Q151" s="176" t="s">
        <v>4913</v>
      </c>
    </row>
    <row r="152" spans="1:17">
      <c r="A152" s="186">
        <v>38</v>
      </c>
      <c r="B152" s="176" t="s">
        <v>6900</v>
      </c>
      <c r="C152" s="55" t="s">
        <v>12050</v>
      </c>
      <c r="D152" s="180">
        <v>0</v>
      </c>
      <c r="E152" s="180">
        <v>0</v>
      </c>
      <c r="F152" s="180">
        <v>0</v>
      </c>
      <c r="G152" s="180">
        <v>0</v>
      </c>
      <c r="H152" s="58">
        <v>0</v>
      </c>
      <c r="I152" s="58">
        <v>0</v>
      </c>
      <c r="J152" s="58">
        <v>0</v>
      </c>
      <c r="K152" s="58">
        <v>0</v>
      </c>
      <c r="L152" s="58">
        <v>2985</v>
      </c>
      <c r="M152" s="58">
        <v>2923</v>
      </c>
      <c r="N152" s="58">
        <v>2979</v>
      </c>
      <c r="O152" s="58">
        <v>3044</v>
      </c>
      <c r="Q152" s="176" t="s">
        <v>4912</v>
      </c>
    </row>
    <row r="153" spans="1:17">
      <c r="A153" s="186">
        <v>39</v>
      </c>
      <c r="B153" s="176" t="s">
        <v>6901</v>
      </c>
      <c r="C153" s="55" t="s">
        <v>12051</v>
      </c>
      <c r="D153" s="180">
        <v>0</v>
      </c>
      <c r="E153" s="180">
        <v>0</v>
      </c>
      <c r="F153" s="180">
        <v>0</v>
      </c>
      <c r="G153" s="180">
        <v>0</v>
      </c>
      <c r="H153" s="58">
        <v>0</v>
      </c>
      <c r="I153" s="58">
        <v>0</v>
      </c>
      <c r="J153" s="58">
        <v>0</v>
      </c>
      <c r="K153" s="58">
        <v>0</v>
      </c>
      <c r="L153" s="58">
        <v>762</v>
      </c>
      <c r="M153" s="58">
        <v>762</v>
      </c>
      <c r="N153" s="58">
        <v>769</v>
      </c>
      <c r="O153" s="58">
        <v>779</v>
      </c>
      <c r="Q153" s="176" t="s">
        <v>4912</v>
      </c>
    </row>
    <row r="154" spans="1:17" ht="15.75" thickBot="1">
      <c r="A154" s="186"/>
      <c r="B154" s="176"/>
      <c r="C154" s="55" t="s">
        <v>12051</v>
      </c>
      <c r="D154" s="180">
        <v>0</v>
      </c>
      <c r="E154" s="180">
        <v>0</v>
      </c>
      <c r="F154" s="180">
        <v>0</v>
      </c>
      <c r="G154" s="180">
        <v>0</v>
      </c>
      <c r="H154" s="58">
        <v>0</v>
      </c>
      <c r="I154" s="58">
        <v>0</v>
      </c>
      <c r="J154" s="58">
        <v>0</v>
      </c>
      <c r="K154" s="58">
        <v>0</v>
      </c>
      <c r="L154" s="58">
        <v>2596</v>
      </c>
      <c r="M154" s="58">
        <v>2588</v>
      </c>
      <c r="N154" s="58">
        <v>2661</v>
      </c>
      <c r="O154" s="58">
        <v>2727</v>
      </c>
      <c r="Q154" s="176" t="s">
        <v>4913</v>
      </c>
    </row>
    <row r="155" spans="1:17" ht="15.75" thickBot="1">
      <c r="A155" s="186"/>
      <c r="B155" s="176"/>
      <c r="C155" s="55" t="s">
        <v>12051</v>
      </c>
      <c r="D155" s="184">
        <f>D153+D154</f>
        <v>0</v>
      </c>
      <c r="E155" s="184">
        <f t="shared" ref="E155:L155" si="67">E153+E154</f>
        <v>0</v>
      </c>
      <c r="F155" s="184">
        <f t="shared" si="67"/>
        <v>0</v>
      </c>
      <c r="G155" s="184">
        <f t="shared" si="67"/>
        <v>0</v>
      </c>
      <c r="H155" s="184">
        <f t="shared" si="67"/>
        <v>0</v>
      </c>
      <c r="I155" s="184">
        <f t="shared" si="67"/>
        <v>0</v>
      </c>
      <c r="J155" s="184">
        <f t="shared" si="67"/>
        <v>0</v>
      </c>
      <c r="K155" s="184">
        <f t="shared" si="67"/>
        <v>0</v>
      </c>
      <c r="L155" s="184">
        <f t="shared" si="67"/>
        <v>3358</v>
      </c>
      <c r="M155" s="184">
        <f>M153+M154</f>
        <v>3350</v>
      </c>
      <c r="N155" s="184">
        <f>N153+N154</f>
        <v>3430</v>
      </c>
      <c r="O155" s="184">
        <f>O153+O154</f>
        <v>3506</v>
      </c>
      <c r="Q155" s="176"/>
    </row>
    <row r="156" spans="1:17">
      <c r="A156" s="186">
        <v>40</v>
      </c>
      <c r="B156" s="176" t="s">
        <v>6902</v>
      </c>
      <c r="C156" s="55" t="s">
        <v>12052</v>
      </c>
      <c r="D156" s="180">
        <v>0</v>
      </c>
      <c r="E156" s="180">
        <v>0</v>
      </c>
      <c r="F156" s="180">
        <v>0</v>
      </c>
      <c r="G156" s="180">
        <v>0</v>
      </c>
      <c r="H156" s="58">
        <v>0</v>
      </c>
      <c r="I156" s="58">
        <v>0</v>
      </c>
      <c r="J156" s="58">
        <v>0</v>
      </c>
      <c r="K156" s="58">
        <v>0</v>
      </c>
      <c r="L156" s="58">
        <v>3226</v>
      </c>
      <c r="M156" s="58">
        <v>3233</v>
      </c>
      <c r="N156" s="58">
        <v>3255</v>
      </c>
      <c r="O156" s="58">
        <v>3320</v>
      </c>
      <c r="Q156" s="176" t="s">
        <v>4913</v>
      </c>
    </row>
    <row r="157" spans="1:17">
      <c r="D157" s="179"/>
      <c r="E157" s="179"/>
      <c r="F157" s="179"/>
      <c r="G157" s="179"/>
      <c r="H157" s="179"/>
      <c r="I157" s="179"/>
      <c r="J157" s="179"/>
      <c r="K157" s="179"/>
      <c r="L157" s="179"/>
      <c r="M157" s="179"/>
      <c r="N157" s="179"/>
      <c r="O157" s="179"/>
    </row>
    <row r="158" spans="1:17">
      <c r="A158" s="176" t="s">
        <v>4906</v>
      </c>
      <c r="D158" s="180">
        <f t="shared" ref="D158:J158" si="68">D109+D110+D114+SUM(D117:D140)+D144</f>
        <v>74560</v>
      </c>
      <c r="E158" s="180">
        <f t="shared" si="68"/>
        <v>75044</v>
      </c>
      <c r="F158" s="180">
        <f t="shared" si="68"/>
        <v>75020</v>
      </c>
      <c r="G158" s="180">
        <f t="shared" si="68"/>
        <v>76047</v>
      </c>
      <c r="H158" s="180">
        <f t="shared" si="68"/>
        <v>75563</v>
      </c>
      <c r="I158" s="180">
        <f t="shared" si="68"/>
        <v>75542</v>
      </c>
      <c r="J158" s="180">
        <f t="shared" si="68"/>
        <v>74319</v>
      </c>
      <c r="K158" s="180">
        <f>K109+K110+K114+SUM(K117:K140)+K144</f>
        <v>76417</v>
      </c>
      <c r="L158" s="180">
        <f>L109+L110+L114+SUM(L117:L140)+L144</f>
        <v>76053</v>
      </c>
      <c r="M158" s="180">
        <f>M109+M110+M114+SUM(M117:M140)+M144</f>
        <v>75034</v>
      </c>
      <c r="N158" s="180">
        <f>N109+N110+N114+SUM(N117:N140)+N144</f>
        <v>76777</v>
      </c>
      <c r="O158" s="180">
        <f>O109+O110+O114+SUM(O117:O140)+O144</f>
        <v>78372</v>
      </c>
    </row>
    <row r="159" spans="1:17">
      <c r="A159" s="176" t="s">
        <v>3957</v>
      </c>
      <c r="D159" s="180">
        <f t="shared" ref="D159:J159" si="69">D111+D141+D145+D152+D153</f>
        <v>9544</v>
      </c>
      <c r="E159" s="180">
        <f t="shared" si="69"/>
        <v>9653</v>
      </c>
      <c r="F159" s="180">
        <f t="shared" si="69"/>
        <v>9663</v>
      </c>
      <c r="G159" s="180">
        <f t="shared" si="69"/>
        <v>9737</v>
      </c>
      <c r="H159" s="180">
        <f t="shared" si="69"/>
        <v>9681</v>
      </c>
      <c r="I159" s="180">
        <f t="shared" si="69"/>
        <v>9678</v>
      </c>
      <c r="J159" s="180">
        <f t="shared" si="69"/>
        <v>9534</v>
      </c>
      <c r="K159" s="180">
        <f>K111+K141+K145+K152+K153</f>
        <v>9753</v>
      </c>
      <c r="L159" s="180">
        <f>L111+L141+L145+L152+L153</f>
        <v>9781</v>
      </c>
      <c r="M159" s="180">
        <f>M111+M141+M145+M152+M153</f>
        <v>9670</v>
      </c>
      <c r="N159" s="180">
        <f>N111+N141+N145+N152+N153</f>
        <v>9957</v>
      </c>
      <c r="O159" s="180">
        <f>O111+O141+O145+O152+O153</f>
        <v>10198</v>
      </c>
    </row>
    <row r="160" spans="1:17">
      <c r="A160" s="176" t="s">
        <v>4841</v>
      </c>
      <c r="D160" s="180">
        <f t="shared" ref="D160:J160" si="70">D108+D112+D115+D142+D143+SUM(D147:D151)+D154+D156</f>
        <v>32278</v>
      </c>
      <c r="E160" s="180">
        <f t="shared" si="70"/>
        <v>32546</v>
      </c>
      <c r="F160" s="180">
        <f t="shared" si="70"/>
        <v>32753</v>
      </c>
      <c r="G160" s="180">
        <f t="shared" si="70"/>
        <v>33105</v>
      </c>
      <c r="H160" s="180">
        <f t="shared" si="70"/>
        <v>32832</v>
      </c>
      <c r="I160" s="180">
        <f t="shared" si="70"/>
        <v>32763</v>
      </c>
      <c r="J160" s="180">
        <f t="shared" si="70"/>
        <v>32143</v>
      </c>
      <c r="K160" s="180">
        <f>K108+K112+K115+K142+K143+SUM(K147:K151)+K154+K156</f>
        <v>32923</v>
      </c>
      <c r="L160" s="180">
        <f>L108+L112+L115+L142+L143+SUM(L147:L151)+L154+L156</f>
        <v>33011</v>
      </c>
      <c r="M160" s="180">
        <f>M108+M112+M115+M142+M143+SUM(M147:M151)+M154+M156</f>
        <v>32688</v>
      </c>
      <c r="N160" s="180">
        <f>N108+N112+N115+N142+N143+SUM(N147:N151)+N154+N156</f>
        <v>33197</v>
      </c>
      <c r="O160" s="180">
        <f>O108+O112+O115+O142+O143+SUM(O147:O151)+O154+O156</f>
        <v>33999</v>
      </c>
    </row>
    <row r="162" spans="1:17">
      <c r="A162" s="176" t="s">
        <v>11997</v>
      </c>
    </row>
    <row r="163" spans="1:17">
      <c r="A163" s="176"/>
    </row>
    <row r="164" spans="1:17">
      <c r="A164" s="176"/>
    </row>
    <row r="165" spans="1:17">
      <c r="E165" s="51" t="s">
        <v>1526</v>
      </c>
      <c r="F165" s="51"/>
      <c r="G165" s="51"/>
      <c r="H165" s="51"/>
      <c r="I165" s="51"/>
      <c r="J165" s="51"/>
      <c r="K165" s="51"/>
      <c r="L165" s="51"/>
      <c r="M165" s="51"/>
      <c r="N165" s="51"/>
      <c r="O165" s="51"/>
      <c r="P165" s="11"/>
      <c r="Q165" s="11" t="s">
        <v>9479</v>
      </c>
    </row>
    <row r="166" spans="1:17">
      <c r="D166" s="350">
        <v>2010</v>
      </c>
      <c r="E166" s="350">
        <v>2011</v>
      </c>
      <c r="F166" s="350">
        <v>2012</v>
      </c>
      <c r="G166" s="350">
        <v>2013</v>
      </c>
      <c r="H166" s="350">
        <v>2014</v>
      </c>
      <c r="I166" s="350">
        <v>2015</v>
      </c>
      <c r="J166" s="350">
        <v>2016</v>
      </c>
      <c r="K166" s="350">
        <v>2017</v>
      </c>
      <c r="L166" s="350">
        <v>2018</v>
      </c>
      <c r="M166" s="350">
        <v>2019</v>
      </c>
      <c r="N166" s="350">
        <v>2020</v>
      </c>
      <c r="O166" s="923" t="s">
        <v>14823</v>
      </c>
      <c r="P166" s="11"/>
      <c r="Q166" s="13" t="s">
        <v>1527</v>
      </c>
    </row>
    <row r="167" spans="1:17">
      <c r="A167" s="176" t="s">
        <v>2042</v>
      </c>
      <c r="D167" s="180">
        <f t="shared" ref="D167:N167" si="71">SUM(D168:D183)</f>
        <v>37245</v>
      </c>
      <c r="E167" s="180">
        <f t="shared" si="71"/>
        <v>34633</v>
      </c>
      <c r="F167" s="180">
        <f t="shared" si="71"/>
        <v>34841</v>
      </c>
      <c r="G167" s="180">
        <f t="shared" si="71"/>
        <v>35623</v>
      </c>
      <c r="H167" s="180">
        <f t="shared" si="71"/>
        <v>35658</v>
      </c>
      <c r="I167" s="180">
        <f t="shared" si="71"/>
        <v>34720</v>
      </c>
      <c r="J167" s="180">
        <f t="shared" si="71"/>
        <v>34366</v>
      </c>
      <c r="K167" s="180">
        <f t="shared" si="71"/>
        <v>35855</v>
      </c>
      <c r="L167" s="180">
        <f t="shared" si="71"/>
        <v>36330</v>
      </c>
      <c r="M167" s="180">
        <f t="shared" si="71"/>
        <v>36185</v>
      </c>
      <c r="N167" s="180">
        <f t="shared" si="71"/>
        <v>38032</v>
      </c>
      <c r="O167" s="180">
        <f>SUM(O168:O183)</f>
        <v>37539</v>
      </c>
    </row>
    <row r="168" spans="1:17">
      <c r="A168" s="176" t="s">
        <v>5387</v>
      </c>
      <c r="B168" s="176" t="s">
        <v>13706</v>
      </c>
      <c r="C168" s="55" t="s">
        <v>13705</v>
      </c>
      <c r="D168" s="180">
        <v>37245</v>
      </c>
      <c r="E168" s="180">
        <v>34633</v>
      </c>
      <c r="F168" s="180">
        <v>34841</v>
      </c>
      <c r="G168" s="56">
        <v>35623</v>
      </c>
      <c r="H168" s="56">
        <v>35658</v>
      </c>
      <c r="I168" s="56">
        <v>34720</v>
      </c>
      <c r="J168" s="56">
        <v>34366</v>
      </c>
      <c r="K168" s="56">
        <v>35855</v>
      </c>
      <c r="L168" s="56">
        <v>36330</v>
      </c>
      <c r="M168" s="56">
        <v>36185</v>
      </c>
      <c r="N168" s="56">
        <v>5017</v>
      </c>
      <c r="O168" s="56">
        <v>4952</v>
      </c>
      <c r="Q168" s="176" t="s">
        <v>4908</v>
      </c>
    </row>
    <row r="169" spans="1:17">
      <c r="A169" s="176" t="s">
        <v>5389</v>
      </c>
      <c r="B169" s="176" t="s">
        <v>2043</v>
      </c>
      <c r="C169" s="55" t="s">
        <v>13707</v>
      </c>
      <c r="D169" s="180">
        <v>0</v>
      </c>
      <c r="E169" s="180">
        <v>0</v>
      </c>
      <c r="F169" s="180">
        <v>0</v>
      </c>
      <c r="G169" s="180">
        <v>0</v>
      </c>
      <c r="H169" s="180">
        <v>0</v>
      </c>
      <c r="I169" s="180">
        <v>0</v>
      </c>
      <c r="J169" s="180">
        <v>0</v>
      </c>
      <c r="K169" s="180">
        <v>0</v>
      </c>
      <c r="L169" s="180">
        <v>0</v>
      </c>
      <c r="M169" s="180">
        <v>0</v>
      </c>
      <c r="N169" s="56">
        <v>2828</v>
      </c>
      <c r="O169" s="56">
        <v>2824</v>
      </c>
      <c r="Q169" s="176" t="s">
        <v>4908</v>
      </c>
    </row>
    <row r="170" spans="1:17">
      <c r="A170" s="176" t="s">
        <v>5391</v>
      </c>
      <c r="B170" s="176" t="s">
        <v>13709</v>
      </c>
      <c r="C170" s="55" t="s">
        <v>13708</v>
      </c>
      <c r="D170" s="180">
        <v>0</v>
      </c>
      <c r="E170" s="180">
        <v>0</v>
      </c>
      <c r="F170" s="180">
        <v>0</v>
      </c>
      <c r="G170" s="180">
        <v>0</v>
      </c>
      <c r="H170" s="180">
        <v>0</v>
      </c>
      <c r="I170" s="180">
        <v>0</v>
      </c>
      <c r="J170" s="180">
        <v>0</v>
      </c>
      <c r="K170" s="180">
        <v>0</v>
      </c>
      <c r="L170" s="180">
        <v>0</v>
      </c>
      <c r="M170" s="180">
        <v>0</v>
      </c>
      <c r="N170" s="56">
        <v>2986</v>
      </c>
      <c r="O170" s="56">
        <v>2952</v>
      </c>
      <c r="Q170" s="176" t="s">
        <v>4908</v>
      </c>
    </row>
    <row r="171" spans="1:17">
      <c r="A171" s="176" t="s">
        <v>5393</v>
      </c>
      <c r="B171" s="176" t="s">
        <v>2044</v>
      </c>
      <c r="C171" s="55" t="s">
        <v>13710</v>
      </c>
      <c r="D171" s="180">
        <v>0</v>
      </c>
      <c r="E171" s="180">
        <v>0</v>
      </c>
      <c r="F171" s="180">
        <v>0</v>
      </c>
      <c r="G171" s="180">
        <v>0</v>
      </c>
      <c r="H171" s="180">
        <v>0</v>
      </c>
      <c r="I171" s="180">
        <v>0</v>
      </c>
      <c r="J171" s="180">
        <v>0</v>
      </c>
      <c r="K171" s="180">
        <v>0</v>
      </c>
      <c r="L171" s="180">
        <v>0</v>
      </c>
      <c r="M171" s="180">
        <v>0</v>
      </c>
      <c r="N171" s="56">
        <v>1785</v>
      </c>
      <c r="O171" s="56">
        <v>1767</v>
      </c>
      <c r="Q171" s="176" t="s">
        <v>4908</v>
      </c>
    </row>
    <row r="172" spans="1:17">
      <c r="A172" s="176" t="s">
        <v>5394</v>
      </c>
      <c r="B172" s="176" t="s">
        <v>13712</v>
      </c>
      <c r="C172" s="55" t="s">
        <v>13711</v>
      </c>
      <c r="D172" s="180">
        <v>0</v>
      </c>
      <c r="E172" s="180">
        <v>0</v>
      </c>
      <c r="F172" s="180">
        <v>0</v>
      </c>
      <c r="G172" s="180">
        <v>0</v>
      </c>
      <c r="H172" s="180">
        <v>0</v>
      </c>
      <c r="I172" s="180">
        <v>0</v>
      </c>
      <c r="J172" s="180">
        <v>0</v>
      </c>
      <c r="K172" s="180">
        <v>0</v>
      </c>
      <c r="L172" s="180">
        <v>0</v>
      </c>
      <c r="M172" s="180">
        <v>0</v>
      </c>
      <c r="N172" s="56">
        <v>1538</v>
      </c>
      <c r="O172" s="56">
        <v>1533</v>
      </c>
      <c r="Q172" s="176" t="s">
        <v>4908</v>
      </c>
    </row>
    <row r="173" spans="1:17">
      <c r="A173" s="176" t="s">
        <v>5416</v>
      </c>
      <c r="B173" s="176" t="s">
        <v>2045</v>
      </c>
      <c r="C173" s="55" t="s">
        <v>13713</v>
      </c>
      <c r="D173" s="180">
        <v>0</v>
      </c>
      <c r="E173" s="180">
        <v>0</v>
      </c>
      <c r="F173" s="180">
        <v>0</v>
      </c>
      <c r="G173" s="180">
        <v>0</v>
      </c>
      <c r="H173" s="180">
        <v>0</v>
      </c>
      <c r="I173" s="180">
        <v>0</v>
      </c>
      <c r="J173" s="180">
        <v>0</v>
      </c>
      <c r="K173" s="180">
        <v>0</v>
      </c>
      <c r="L173" s="180">
        <v>0</v>
      </c>
      <c r="M173" s="180">
        <v>0</v>
      </c>
      <c r="N173" s="56">
        <v>3263</v>
      </c>
      <c r="O173" s="56">
        <v>3164</v>
      </c>
      <c r="Q173" s="176" t="s">
        <v>4908</v>
      </c>
    </row>
    <row r="174" spans="1:17">
      <c r="A174" s="176" t="s">
        <v>5418</v>
      </c>
      <c r="B174" s="176" t="s">
        <v>743</v>
      </c>
      <c r="C174" s="55" t="s">
        <v>13714</v>
      </c>
      <c r="D174" s="180">
        <v>0</v>
      </c>
      <c r="E174" s="180">
        <v>0</v>
      </c>
      <c r="F174" s="180">
        <v>0</v>
      </c>
      <c r="G174" s="180">
        <v>0</v>
      </c>
      <c r="H174" s="180">
        <v>0</v>
      </c>
      <c r="I174" s="180">
        <v>0</v>
      </c>
      <c r="J174" s="180">
        <v>0</v>
      </c>
      <c r="K174" s="180">
        <v>0</v>
      </c>
      <c r="L174" s="180">
        <v>0</v>
      </c>
      <c r="M174" s="180">
        <v>0</v>
      </c>
      <c r="N174" s="56">
        <v>3162</v>
      </c>
      <c r="O174" s="56">
        <v>3124</v>
      </c>
      <c r="Q174" s="176" t="s">
        <v>4908</v>
      </c>
    </row>
    <row r="175" spans="1:17">
      <c r="A175" s="176" t="s">
        <v>5420</v>
      </c>
      <c r="B175" s="176" t="s">
        <v>13716</v>
      </c>
      <c r="C175" s="55" t="s">
        <v>13715</v>
      </c>
      <c r="D175" s="180">
        <v>0</v>
      </c>
      <c r="E175" s="180">
        <v>0</v>
      </c>
      <c r="F175" s="180">
        <v>0</v>
      </c>
      <c r="G175" s="180">
        <v>0</v>
      </c>
      <c r="H175" s="180">
        <v>0</v>
      </c>
      <c r="I175" s="180">
        <v>0</v>
      </c>
      <c r="J175" s="180">
        <v>0</v>
      </c>
      <c r="K175" s="180">
        <v>0</v>
      </c>
      <c r="L175" s="180">
        <v>0</v>
      </c>
      <c r="M175" s="180">
        <v>0</v>
      </c>
      <c r="N175" s="56">
        <v>1471</v>
      </c>
      <c r="O175" s="56">
        <v>1471</v>
      </c>
      <c r="Q175" s="176" t="s">
        <v>4908</v>
      </c>
    </row>
    <row r="176" spans="1:17">
      <c r="A176" s="176" t="s">
        <v>5422</v>
      </c>
      <c r="B176" s="176" t="s">
        <v>744</v>
      </c>
      <c r="C176" s="55" t="s">
        <v>13717</v>
      </c>
      <c r="D176" s="180">
        <v>0</v>
      </c>
      <c r="E176" s="180">
        <v>0</v>
      </c>
      <c r="F176" s="180">
        <v>0</v>
      </c>
      <c r="G176" s="180">
        <v>0</v>
      </c>
      <c r="H176" s="180">
        <v>0</v>
      </c>
      <c r="I176" s="180">
        <v>0</v>
      </c>
      <c r="J176" s="180">
        <v>0</v>
      </c>
      <c r="K176" s="180">
        <v>0</v>
      </c>
      <c r="L176" s="180">
        <v>0</v>
      </c>
      <c r="M176" s="180">
        <v>0</v>
      </c>
      <c r="N176" s="56">
        <v>1550</v>
      </c>
      <c r="O176" s="56">
        <v>1532</v>
      </c>
      <c r="Q176" s="176" t="s">
        <v>4908</v>
      </c>
    </row>
    <row r="177" spans="1:17">
      <c r="A177" s="176" t="s">
        <v>5424</v>
      </c>
      <c r="B177" s="176" t="s">
        <v>745</v>
      </c>
      <c r="C177" s="55" t="s">
        <v>13718</v>
      </c>
      <c r="D177" s="180">
        <v>0</v>
      </c>
      <c r="E177" s="180">
        <v>0</v>
      </c>
      <c r="F177" s="180">
        <v>0</v>
      </c>
      <c r="G177" s="180">
        <v>0</v>
      </c>
      <c r="H177" s="180">
        <v>0</v>
      </c>
      <c r="I177" s="180">
        <v>0</v>
      </c>
      <c r="J177" s="180">
        <v>0</v>
      </c>
      <c r="K177" s="180">
        <v>0</v>
      </c>
      <c r="L177" s="180">
        <v>0</v>
      </c>
      <c r="M177" s="180">
        <v>0</v>
      </c>
      <c r="N177" s="56">
        <v>1647</v>
      </c>
      <c r="O177" s="56">
        <v>1636</v>
      </c>
      <c r="Q177" s="176" t="s">
        <v>4908</v>
      </c>
    </row>
    <row r="178" spans="1:17">
      <c r="A178" s="176" t="s">
        <v>5426</v>
      </c>
      <c r="B178" s="176" t="s">
        <v>746</v>
      </c>
      <c r="C178" s="55" t="s">
        <v>13719</v>
      </c>
      <c r="D178" s="180">
        <v>0</v>
      </c>
      <c r="E178" s="180">
        <v>0</v>
      </c>
      <c r="F178" s="180">
        <v>0</v>
      </c>
      <c r="G178" s="180">
        <v>0</v>
      </c>
      <c r="H178" s="180">
        <v>0</v>
      </c>
      <c r="I178" s="180">
        <v>0</v>
      </c>
      <c r="J178" s="180">
        <v>0</v>
      </c>
      <c r="K178" s="180">
        <v>0</v>
      </c>
      <c r="L178" s="180">
        <v>0</v>
      </c>
      <c r="M178" s="180">
        <v>0</v>
      </c>
      <c r="N178" s="56">
        <v>1523</v>
      </c>
      <c r="O178" s="56">
        <v>1518</v>
      </c>
      <c r="Q178" s="176" t="s">
        <v>4908</v>
      </c>
    </row>
    <row r="179" spans="1:17">
      <c r="A179" s="176" t="s">
        <v>5428</v>
      </c>
      <c r="B179" s="176" t="s">
        <v>2070</v>
      </c>
      <c r="C179" s="55" t="s">
        <v>13720</v>
      </c>
      <c r="D179" s="180">
        <v>0</v>
      </c>
      <c r="E179" s="180">
        <v>0</v>
      </c>
      <c r="F179" s="180">
        <v>0</v>
      </c>
      <c r="G179" s="180">
        <v>0</v>
      </c>
      <c r="H179" s="180">
        <v>0</v>
      </c>
      <c r="I179" s="180">
        <v>0</v>
      </c>
      <c r="J179" s="180">
        <v>0</v>
      </c>
      <c r="K179" s="180">
        <v>0</v>
      </c>
      <c r="L179" s="180">
        <v>0</v>
      </c>
      <c r="M179" s="180">
        <v>0</v>
      </c>
      <c r="N179" s="56">
        <v>1671</v>
      </c>
      <c r="O179" s="56">
        <v>1664</v>
      </c>
      <c r="Q179" s="176" t="s">
        <v>4908</v>
      </c>
    </row>
    <row r="180" spans="1:17">
      <c r="A180" s="176" t="s">
        <v>5429</v>
      </c>
      <c r="B180" s="176" t="s">
        <v>13722</v>
      </c>
      <c r="C180" s="55" t="s">
        <v>13721</v>
      </c>
      <c r="D180" s="180">
        <v>0</v>
      </c>
      <c r="E180" s="180">
        <v>0</v>
      </c>
      <c r="F180" s="180">
        <v>0</v>
      </c>
      <c r="G180" s="180">
        <v>0</v>
      </c>
      <c r="H180" s="180">
        <v>0</v>
      </c>
      <c r="I180" s="180">
        <v>0</v>
      </c>
      <c r="J180" s="180">
        <v>0</v>
      </c>
      <c r="K180" s="180">
        <v>0</v>
      </c>
      <c r="L180" s="180">
        <v>0</v>
      </c>
      <c r="M180" s="180">
        <v>0</v>
      </c>
      <c r="N180" s="56">
        <v>1639</v>
      </c>
      <c r="O180" s="56">
        <v>1619</v>
      </c>
      <c r="Q180" s="176" t="s">
        <v>4908</v>
      </c>
    </row>
    <row r="181" spans="1:17">
      <c r="A181" s="176" t="s">
        <v>5431</v>
      </c>
      <c r="B181" s="176" t="s">
        <v>3450</v>
      </c>
      <c r="C181" s="55" t="s">
        <v>13723</v>
      </c>
      <c r="D181" s="180">
        <v>0</v>
      </c>
      <c r="E181" s="180">
        <v>0</v>
      </c>
      <c r="F181" s="180">
        <v>0</v>
      </c>
      <c r="G181" s="180">
        <v>0</v>
      </c>
      <c r="H181" s="180">
        <v>0</v>
      </c>
      <c r="I181" s="180">
        <v>0</v>
      </c>
      <c r="J181" s="180">
        <v>0</v>
      </c>
      <c r="K181" s="180">
        <v>0</v>
      </c>
      <c r="L181" s="180">
        <v>0</v>
      </c>
      <c r="M181" s="180">
        <v>0</v>
      </c>
      <c r="N181" s="56">
        <v>3359</v>
      </c>
      <c r="O181" s="56">
        <v>3317</v>
      </c>
      <c r="Q181" s="176" t="s">
        <v>4908</v>
      </c>
    </row>
    <row r="182" spans="1:17">
      <c r="A182" s="176" t="s">
        <v>5433</v>
      </c>
      <c r="B182" s="176" t="s">
        <v>3451</v>
      </c>
      <c r="C182" s="55" t="s">
        <v>13724</v>
      </c>
      <c r="D182" s="180">
        <v>0</v>
      </c>
      <c r="E182" s="180">
        <v>0</v>
      </c>
      <c r="F182" s="180">
        <v>0</v>
      </c>
      <c r="G182" s="180">
        <v>0</v>
      </c>
      <c r="H182" s="180">
        <v>0</v>
      </c>
      <c r="I182" s="180">
        <v>0</v>
      </c>
      <c r="J182" s="180">
        <v>0</v>
      </c>
      <c r="K182" s="180">
        <v>0</v>
      </c>
      <c r="L182" s="180">
        <v>0</v>
      </c>
      <c r="M182" s="180">
        <v>0</v>
      </c>
      <c r="N182" s="56">
        <v>3015</v>
      </c>
      <c r="O182" s="56">
        <v>2894</v>
      </c>
      <c r="Q182" s="176" t="s">
        <v>4908</v>
      </c>
    </row>
    <row r="183" spans="1:17">
      <c r="A183" s="176" t="s">
        <v>5435</v>
      </c>
      <c r="B183" s="176" t="s">
        <v>13726</v>
      </c>
      <c r="C183" s="55" t="s">
        <v>13725</v>
      </c>
      <c r="D183" s="180">
        <v>0</v>
      </c>
      <c r="E183" s="180">
        <v>0</v>
      </c>
      <c r="F183" s="180">
        <v>0</v>
      </c>
      <c r="G183" s="180">
        <v>0</v>
      </c>
      <c r="H183" s="180">
        <v>0</v>
      </c>
      <c r="I183" s="180">
        <v>0</v>
      </c>
      <c r="J183" s="180">
        <v>0</v>
      </c>
      <c r="K183" s="180">
        <v>0</v>
      </c>
      <c r="L183" s="180">
        <v>0</v>
      </c>
      <c r="M183" s="180">
        <v>0</v>
      </c>
      <c r="N183" s="58">
        <v>1578</v>
      </c>
      <c r="O183" s="58">
        <v>1572</v>
      </c>
      <c r="Q183" s="176" t="s">
        <v>4908</v>
      </c>
    </row>
    <row r="184" spans="1:17">
      <c r="D184" s="179"/>
      <c r="E184" s="179"/>
      <c r="F184" s="179"/>
      <c r="G184" s="179"/>
      <c r="H184" s="179"/>
      <c r="I184" s="179"/>
      <c r="J184" s="179"/>
      <c r="K184" s="179"/>
      <c r="L184" s="179"/>
      <c r="M184" s="179"/>
      <c r="N184" s="179"/>
      <c r="O184" s="179"/>
    </row>
    <row r="185" spans="1:17">
      <c r="A185" s="176" t="s">
        <v>4009</v>
      </c>
      <c r="D185" s="180">
        <f t="shared" ref="D185:N185" si="72">SUM(D168:D183)</f>
        <v>37245</v>
      </c>
      <c r="E185" s="180">
        <f t="shared" si="72"/>
        <v>34633</v>
      </c>
      <c r="F185" s="180">
        <f t="shared" si="72"/>
        <v>34841</v>
      </c>
      <c r="G185" s="180">
        <f t="shared" si="72"/>
        <v>35623</v>
      </c>
      <c r="H185" s="180">
        <f t="shared" si="72"/>
        <v>35658</v>
      </c>
      <c r="I185" s="180">
        <f t="shared" si="72"/>
        <v>34720</v>
      </c>
      <c r="J185" s="180">
        <f t="shared" si="72"/>
        <v>34366</v>
      </c>
      <c r="K185" s="180">
        <f t="shared" si="72"/>
        <v>35855</v>
      </c>
      <c r="L185" s="180">
        <f t="shared" si="72"/>
        <v>36330</v>
      </c>
      <c r="M185" s="180">
        <f t="shared" si="72"/>
        <v>36185</v>
      </c>
      <c r="N185" s="180">
        <f t="shared" si="72"/>
        <v>38032</v>
      </c>
      <c r="O185" s="180">
        <f>SUM(O168:O183)</f>
        <v>37539</v>
      </c>
    </row>
    <row r="186" spans="1:17">
      <c r="A186" s="176"/>
      <c r="D186" s="180"/>
      <c r="E186" s="180"/>
      <c r="F186" s="180"/>
      <c r="G186" s="180"/>
      <c r="H186" s="180"/>
      <c r="I186" s="180"/>
      <c r="J186" s="180"/>
      <c r="K186" s="180"/>
      <c r="L186" s="180"/>
      <c r="M186" s="180"/>
      <c r="N186" s="180"/>
      <c r="O186" s="180"/>
    </row>
    <row r="187" spans="1:17">
      <c r="A187" s="176" t="s">
        <v>13727</v>
      </c>
      <c r="D187" s="180"/>
      <c r="E187" s="180"/>
      <c r="F187" s="180"/>
      <c r="G187" s="180"/>
      <c r="H187" s="180"/>
      <c r="I187" s="180"/>
      <c r="J187" s="180"/>
      <c r="K187" s="180"/>
      <c r="L187" s="180"/>
      <c r="M187" s="180"/>
      <c r="N187" s="180"/>
      <c r="O187" s="180"/>
    </row>
    <row r="188" spans="1:17">
      <c r="A188" s="176"/>
      <c r="B188" s="176"/>
      <c r="D188" s="464"/>
      <c r="E188" s="464"/>
      <c r="F188" s="464"/>
      <c r="G188" s="464"/>
      <c r="H188" s="464"/>
      <c r="I188" s="464"/>
      <c r="J188" s="464"/>
      <c r="K188" s="464"/>
      <c r="L188" s="464"/>
      <c r="M188" s="464"/>
      <c r="N188" s="464"/>
      <c r="O188" s="464"/>
    </row>
    <row r="189" spans="1:17">
      <c r="A189" s="176"/>
      <c r="B189" s="176"/>
      <c r="D189" s="464"/>
      <c r="E189" s="464"/>
      <c r="F189" s="464"/>
      <c r="G189" s="464"/>
      <c r="H189" s="464"/>
      <c r="I189" s="464"/>
      <c r="J189" s="464"/>
      <c r="K189" s="464"/>
      <c r="L189" s="464"/>
      <c r="M189" s="464"/>
      <c r="N189" s="464"/>
      <c r="O189" s="464"/>
    </row>
    <row r="190" spans="1:17">
      <c r="E190" s="51" t="s">
        <v>1526</v>
      </c>
      <c r="F190" s="51"/>
      <c r="G190" s="51"/>
      <c r="H190" s="51"/>
      <c r="I190" s="51"/>
      <c r="J190" s="51"/>
      <c r="K190" s="51"/>
      <c r="L190" s="51"/>
      <c r="M190" s="51"/>
      <c r="N190" s="51"/>
      <c r="O190" s="51"/>
      <c r="P190" s="11"/>
      <c r="Q190" s="11" t="s">
        <v>9479</v>
      </c>
    </row>
    <row r="191" spans="1:17">
      <c r="D191" s="350">
        <v>2010</v>
      </c>
      <c r="E191" s="350">
        <v>2011</v>
      </c>
      <c r="F191" s="350">
        <v>2012</v>
      </c>
      <c r="G191" s="350">
        <v>2013</v>
      </c>
      <c r="H191" s="350">
        <v>2014</v>
      </c>
      <c r="I191" s="350">
        <v>2015</v>
      </c>
      <c r="J191" s="350">
        <v>2016</v>
      </c>
      <c r="K191" s="350">
        <v>2017</v>
      </c>
      <c r="L191" s="350">
        <v>2018</v>
      </c>
      <c r="M191" s="350">
        <v>2019</v>
      </c>
      <c r="N191" s="350">
        <v>2020</v>
      </c>
      <c r="O191" s="923" t="s">
        <v>14823</v>
      </c>
      <c r="P191" s="11"/>
      <c r="Q191" s="13" t="s">
        <v>1527</v>
      </c>
    </row>
    <row r="192" spans="1:17">
      <c r="A192" s="176" t="s">
        <v>4903</v>
      </c>
      <c r="D192" s="180">
        <f t="shared" ref="D192:I192" si="73">SUM(D193:D212)</f>
        <v>41032</v>
      </c>
      <c r="E192" s="180">
        <f t="shared" si="73"/>
        <v>41234</v>
      </c>
      <c r="F192" s="180">
        <f t="shared" si="73"/>
        <v>41480</v>
      </c>
      <c r="G192" s="180">
        <f t="shared" si="73"/>
        <v>42074</v>
      </c>
      <c r="H192" s="180">
        <f t="shared" si="73"/>
        <v>40530</v>
      </c>
      <c r="I192" s="180">
        <f t="shared" si="73"/>
        <v>40590</v>
      </c>
      <c r="J192" s="180">
        <f t="shared" ref="J192:O192" si="74">SUM(J193:J212)</f>
        <v>39668</v>
      </c>
      <c r="K192" s="180">
        <f t="shared" si="74"/>
        <v>41406</v>
      </c>
      <c r="L192" s="180">
        <f t="shared" si="74"/>
        <v>41576</v>
      </c>
      <c r="M192" s="180">
        <f t="shared" si="74"/>
        <v>41432</v>
      </c>
      <c r="N192" s="180">
        <f t="shared" si="74"/>
        <v>42356</v>
      </c>
      <c r="O192" s="180">
        <f t="shared" si="74"/>
        <v>43806</v>
      </c>
    </row>
    <row r="193" spans="1:17">
      <c r="A193" s="182">
        <v>1</v>
      </c>
      <c r="B193" s="176" t="s">
        <v>3452</v>
      </c>
      <c r="C193" s="55" t="s">
        <v>7803</v>
      </c>
      <c r="D193" s="180">
        <v>1510</v>
      </c>
      <c r="E193" s="180">
        <v>1549</v>
      </c>
      <c r="F193" s="180">
        <v>1540</v>
      </c>
      <c r="G193" s="63">
        <v>1571</v>
      </c>
      <c r="H193" s="63">
        <v>1510</v>
      </c>
      <c r="I193" s="63">
        <v>1517</v>
      </c>
      <c r="J193" s="63">
        <v>1479</v>
      </c>
      <c r="K193" s="63">
        <v>1543</v>
      </c>
      <c r="L193" s="63">
        <v>1560</v>
      </c>
      <c r="M193" s="63">
        <v>1500</v>
      </c>
      <c r="N193" s="63">
        <v>1525</v>
      </c>
      <c r="O193" s="63">
        <v>1564</v>
      </c>
      <c r="Q193" s="176" t="s">
        <v>4914</v>
      </c>
    </row>
    <row r="194" spans="1:17">
      <c r="A194" s="182">
        <v>2</v>
      </c>
      <c r="B194" s="176" t="s">
        <v>2061</v>
      </c>
      <c r="C194" s="55" t="s">
        <v>7804</v>
      </c>
      <c r="D194" s="180">
        <v>1372</v>
      </c>
      <c r="E194" s="180">
        <v>1428</v>
      </c>
      <c r="F194" s="180">
        <v>1407</v>
      </c>
      <c r="G194" s="63">
        <v>1443</v>
      </c>
      <c r="H194" s="63">
        <v>1319</v>
      </c>
      <c r="I194" s="63">
        <v>1281</v>
      </c>
      <c r="J194" s="63">
        <v>1236</v>
      </c>
      <c r="K194" s="63">
        <v>1313</v>
      </c>
      <c r="L194" s="63">
        <v>1310</v>
      </c>
      <c r="M194" s="63">
        <v>1267</v>
      </c>
      <c r="N194" s="63">
        <v>1310</v>
      </c>
      <c r="O194" s="63">
        <v>1375</v>
      </c>
      <c r="Q194" s="176" t="s">
        <v>4914</v>
      </c>
    </row>
    <row r="195" spans="1:17">
      <c r="A195" s="182">
        <v>3</v>
      </c>
      <c r="B195" s="176" t="s">
        <v>2062</v>
      </c>
      <c r="C195" s="55" t="s">
        <v>7805</v>
      </c>
      <c r="D195" s="180">
        <v>1271</v>
      </c>
      <c r="E195" s="180">
        <v>1265</v>
      </c>
      <c r="F195" s="180">
        <v>1269</v>
      </c>
      <c r="G195" s="63">
        <v>1268</v>
      </c>
      <c r="H195" s="63">
        <v>1267</v>
      </c>
      <c r="I195" s="63">
        <v>1283</v>
      </c>
      <c r="J195" s="63">
        <v>1253</v>
      </c>
      <c r="K195" s="63">
        <v>1302</v>
      </c>
      <c r="L195" s="63">
        <v>1293</v>
      </c>
      <c r="M195" s="63">
        <v>1318</v>
      </c>
      <c r="N195" s="63">
        <v>1352</v>
      </c>
      <c r="O195" s="63">
        <v>1396</v>
      </c>
      <c r="Q195" s="176" t="s">
        <v>4914</v>
      </c>
    </row>
    <row r="196" spans="1:17">
      <c r="A196" s="182">
        <v>4</v>
      </c>
      <c r="B196" s="176" t="s">
        <v>2063</v>
      </c>
      <c r="C196" s="55" t="s">
        <v>7806</v>
      </c>
      <c r="D196" s="180">
        <v>1179</v>
      </c>
      <c r="E196" s="180">
        <v>1172</v>
      </c>
      <c r="F196" s="180">
        <v>1163</v>
      </c>
      <c r="G196" s="63">
        <v>1167</v>
      </c>
      <c r="H196" s="63">
        <v>1097</v>
      </c>
      <c r="I196" s="63">
        <v>1096</v>
      </c>
      <c r="J196" s="63">
        <v>1062</v>
      </c>
      <c r="K196" s="63">
        <v>1089</v>
      </c>
      <c r="L196" s="63">
        <v>1104</v>
      </c>
      <c r="M196" s="63">
        <v>1086</v>
      </c>
      <c r="N196" s="63">
        <v>1124</v>
      </c>
      <c r="O196" s="63">
        <v>1164</v>
      </c>
      <c r="Q196" s="176" t="s">
        <v>4914</v>
      </c>
    </row>
    <row r="197" spans="1:17">
      <c r="A197" s="182">
        <v>5</v>
      </c>
      <c r="B197" s="176" t="s">
        <v>2521</v>
      </c>
      <c r="C197" s="55" t="s">
        <v>7807</v>
      </c>
      <c r="D197" s="180">
        <v>2743</v>
      </c>
      <c r="E197" s="180">
        <v>2764</v>
      </c>
      <c r="F197" s="180">
        <v>2768</v>
      </c>
      <c r="G197" s="63">
        <v>2756</v>
      </c>
      <c r="H197" s="63">
        <v>2673</v>
      </c>
      <c r="I197" s="63">
        <v>2685</v>
      </c>
      <c r="J197" s="63">
        <v>2630</v>
      </c>
      <c r="K197" s="63">
        <v>2713</v>
      </c>
      <c r="L197" s="63">
        <v>2721</v>
      </c>
      <c r="M197" s="63">
        <v>2672</v>
      </c>
      <c r="N197" s="63">
        <v>2750</v>
      </c>
      <c r="O197" s="63">
        <v>2835</v>
      </c>
      <c r="Q197" s="176" t="s">
        <v>4914</v>
      </c>
    </row>
    <row r="198" spans="1:17">
      <c r="A198" s="182">
        <v>6</v>
      </c>
      <c r="B198" s="176" t="s">
        <v>2064</v>
      </c>
      <c r="C198" s="55" t="s">
        <v>7808</v>
      </c>
      <c r="D198" s="180">
        <v>2525</v>
      </c>
      <c r="E198" s="180">
        <v>2538</v>
      </c>
      <c r="F198" s="180">
        <v>2541</v>
      </c>
      <c r="G198" s="63">
        <v>2585</v>
      </c>
      <c r="H198" s="63">
        <v>2485</v>
      </c>
      <c r="I198" s="63">
        <v>2477</v>
      </c>
      <c r="J198" s="63">
        <v>2369</v>
      </c>
      <c r="K198" s="63">
        <v>2534</v>
      </c>
      <c r="L198" s="63">
        <v>2531</v>
      </c>
      <c r="M198" s="63">
        <v>2506</v>
      </c>
      <c r="N198" s="63">
        <v>2591</v>
      </c>
      <c r="O198" s="63">
        <v>2726</v>
      </c>
      <c r="Q198" s="176" t="s">
        <v>4914</v>
      </c>
    </row>
    <row r="199" spans="1:17">
      <c r="A199" s="182">
        <v>7</v>
      </c>
      <c r="B199" s="176" t="s">
        <v>2065</v>
      </c>
      <c r="C199" s="55" t="s">
        <v>7809</v>
      </c>
      <c r="D199" s="180">
        <v>1417</v>
      </c>
      <c r="E199" s="180">
        <v>1420</v>
      </c>
      <c r="F199" s="180">
        <v>1435</v>
      </c>
      <c r="G199" s="63">
        <v>1444</v>
      </c>
      <c r="H199" s="63">
        <v>1384</v>
      </c>
      <c r="I199" s="63">
        <v>1398</v>
      </c>
      <c r="J199" s="63">
        <v>1384</v>
      </c>
      <c r="K199" s="63">
        <v>1416</v>
      </c>
      <c r="L199" s="63">
        <v>1410</v>
      </c>
      <c r="M199" s="63">
        <v>1397</v>
      </c>
      <c r="N199" s="63">
        <v>1438</v>
      </c>
      <c r="O199" s="63">
        <v>1475</v>
      </c>
      <c r="Q199" s="176" t="s">
        <v>4914</v>
      </c>
    </row>
    <row r="200" spans="1:17">
      <c r="A200" s="182">
        <v>8</v>
      </c>
      <c r="B200" s="176" t="s">
        <v>2066</v>
      </c>
      <c r="C200" s="55" t="s">
        <v>7810</v>
      </c>
      <c r="D200" s="180">
        <v>2795</v>
      </c>
      <c r="E200" s="180">
        <v>2770</v>
      </c>
      <c r="F200" s="180">
        <v>2798</v>
      </c>
      <c r="G200" s="63">
        <v>2857</v>
      </c>
      <c r="H200" s="63">
        <v>2754</v>
      </c>
      <c r="I200" s="63">
        <v>2730</v>
      </c>
      <c r="J200" s="63">
        <v>2634</v>
      </c>
      <c r="K200" s="63">
        <v>2707</v>
      </c>
      <c r="L200" s="63">
        <v>2701</v>
      </c>
      <c r="M200" s="63">
        <v>2698</v>
      </c>
      <c r="N200" s="63">
        <v>2775</v>
      </c>
      <c r="O200" s="63">
        <v>2833</v>
      </c>
      <c r="Q200" s="176" t="s">
        <v>4914</v>
      </c>
    </row>
    <row r="201" spans="1:17">
      <c r="A201" s="182">
        <v>9</v>
      </c>
      <c r="B201" s="176" t="s">
        <v>2067</v>
      </c>
      <c r="C201" s="55" t="s">
        <v>7811</v>
      </c>
      <c r="D201" s="180">
        <v>3863</v>
      </c>
      <c r="E201" s="180">
        <v>3866</v>
      </c>
      <c r="F201" s="180">
        <v>3935</v>
      </c>
      <c r="G201" s="63">
        <v>4065</v>
      </c>
      <c r="H201" s="63">
        <v>3810</v>
      </c>
      <c r="I201" s="63">
        <v>3799</v>
      </c>
      <c r="J201" s="63">
        <v>3745</v>
      </c>
      <c r="K201" s="63">
        <v>4005</v>
      </c>
      <c r="L201" s="63">
        <v>4102</v>
      </c>
      <c r="M201" s="63">
        <v>4231</v>
      </c>
      <c r="N201" s="63">
        <v>4354</v>
      </c>
      <c r="O201" s="63">
        <v>4538</v>
      </c>
      <c r="Q201" s="176" t="s">
        <v>4914</v>
      </c>
    </row>
    <row r="202" spans="1:17">
      <c r="A202" s="182">
        <v>10</v>
      </c>
      <c r="B202" s="176" t="s">
        <v>2068</v>
      </c>
      <c r="C202" s="55" t="s">
        <v>7812</v>
      </c>
      <c r="D202" s="180">
        <v>2940</v>
      </c>
      <c r="E202" s="180">
        <v>3016</v>
      </c>
      <c r="F202" s="180">
        <v>3109</v>
      </c>
      <c r="G202" s="63">
        <v>3179</v>
      </c>
      <c r="H202" s="63">
        <v>3088</v>
      </c>
      <c r="I202" s="63">
        <v>3097</v>
      </c>
      <c r="J202" s="63">
        <v>3060</v>
      </c>
      <c r="K202" s="63">
        <v>3235</v>
      </c>
      <c r="L202" s="63">
        <v>3223</v>
      </c>
      <c r="M202" s="63">
        <v>3245</v>
      </c>
      <c r="N202" s="63">
        <v>3313</v>
      </c>
      <c r="O202" s="63">
        <v>3407</v>
      </c>
      <c r="Q202" s="176" t="s">
        <v>4914</v>
      </c>
    </row>
    <row r="203" spans="1:17">
      <c r="A203" s="182">
        <v>11</v>
      </c>
      <c r="B203" s="176" t="s">
        <v>6469</v>
      </c>
      <c r="C203" s="55" t="s">
        <v>7813</v>
      </c>
      <c r="D203" s="180">
        <v>2638</v>
      </c>
      <c r="E203" s="180">
        <v>2666</v>
      </c>
      <c r="F203" s="180">
        <v>2665</v>
      </c>
      <c r="G203" s="63">
        <v>2684</v>
      </c>
      <c r="H203" s="63">
        <v>2522</v>
      </c>
      <c r="I203" s="63">
        <v>2525</v>
      </c>
      <c r="J203" s="63">
        <v>2408</v>
      </c>
      <c r="K203" s="63">
        <v>2509</v>
      </c>
      <c r="L203" s="63">
        <v>2520</v>
      </c>
      <c r="M203" s="63">
        <v>2513</v>
      </c>
      <c r="N203" s="63">
        <v>2512</v>
      </c>
      <c r="O203" s="63">
        <v>2613</v>
      </c>
      <c r="Q203" s="176" t="s">
        <v>4914</v>
      </c>
    </row>
    <row r="204" spans="1:17">
      <c r="A204" s="182">
        <v>12</v>
      </c>
      <c r="B204" s="176" t="s">
        <v>6470</v>
      </c>
      <c r="C204" s="55" t="s">
        <v>7814</v>
      </c>
      <c r="D204" s="180">
        <v>2657</v>
      </c>
      <c r="E204" s="180">
        <v>2674</v>
      </c>
      <c r="F204" s="180">
        <v>2649</v>
      </c>
      <c r="G204" s="63">
        <v>2703</v>
      </c>
      <c r="H204" s="63">
        <v>2783</v>
      </c>
      <c r="I204" s="63">
        <v>2822</v>
      </c>
      <c r="J204" s="63">
        <v>2747</v>
      </c>
      <c r="K204" s="63">
        <v>2867</v>
      </c>
      <c r="L204" s="63">
        <v>2956</v>
      </c>
      <c r="M204" s="63">
        <v>2941</v>
      </c>
      <c r="N204" s="63">
        <v>2981</v>
      </c>
      <c r="O204" s="63">
        <v>3069</v>
      </c>
      <c r="Q204" s="176" t="s">
        <v>4914</v>
      </c>
    </row>
    <row r="205" spans="1:17">
      <c r="A205" s="182">
        <v>13</v>
      </c>
      <c r="B205" s="176" t="s">
        <v>6471</v>
      </c>
      <c r="C205" s="55" t="s">
        <v>7815</v>
      </c>
      <c r="D205" s="180">
        <v>2855</v>
      </c>
      <c r="E205" s="180">
        <v>2850</v>
      </c>
      <c r="F205" s="180">
        <v>2884</v>
      </c>
      <c r="G205" s="63">
        <v>2897</v>
      </c>
      <c r="H205" s="63">
        <v>2679</v>
      </c>
      <c r="I205" s="63">
        <v>2728</v>
      </c>
      <c r="J205" s="63">
        <v>2701</v>
      </c>
      <c r="K205" s="63">
        <v>2805</v>
      </c>
      <c r="L205" s="63">
        <v>2811</v>
      </c>
      <c r="M205" s="63">
        <v>2799</v>
      </c>
      <c r="N205" s="63">
        <v>2806</v>
      </c>
      <c r="O205" s="63">
        <v>2914</v>
      </c>
      <c r="Q205" s="176" t="s">
        <v>4914</v>
      </c>
    </row>
    <row r="206" spans="1:17">
      <c r="A206" s="182">
        <v>14</v>
      </c>
      <c r="B206" s="176" t="s">
        <v>6472</v>
      </c>
      <c r="C206" s="55" t="s">
        <v>7816</v>
      </c>
      <c r="D206" s="180">
        <v>1421</v>
      </c>
      <c r="E206" s="180">
        <v>1428</v>
      </c>
      <c r="F206" s="180">
        <v>1425</v>
      </c>
      <c r="G206" s="63">
        <v>1433</v>
      </c>
      <c r="H206" s="63">
        <v>1343</v>
      </c>
      <c r="I206" s="63">
        <v>1339</v>
      </c>
      <c r="J206" s="63">
        <v>1332</v>
      </c>
      <c r="K206" s="63">
        <v>1392</v>
      </c>
      <c r="L206" s="63">
        <v>1380</v>
      </c>
      <c r="M206" s="63">
        <v>1374</v>
      </c>
      <c r="N206" s="63">
        <v>1426</v>
      </c>
      <c r="O206" s="63">
        <v>1477</v>
      </c>
      <c r="Q206" s="176" t="s">
        <v>4914</v>
      </c>
    </row>
    <row r="207" spans="1:17">
      <c r="A207" s="182">
        <v>15</v>
      </c>
      <c r="B207" s="176" t="s">
        <v>4988</v>
      </c>
      <c r="C207" s="55" t="s">
        <v>7817</v>
      </c>
      <c r="D207" s="180">
        <v>1337</v>
      </c>
      <c r="E207" s="180">
        <v>1342</v>
      </c>
      <c r="F207" s="180">
        <v>1349</v>
      </c>
      <c r="G207" s="63">
        <v>1383</v>
      </c>
      <c r="H207" s="63">
        <v>1323</v>
      </c>
      <c r="I207" s="63">
        <v>1336</v>
      </c>
      <c r="J207" s="63">
        <v>1320</v>
      </c>
      <c r="K207" s="63">
        <v>1387</v>
      </c>
      <c r="L207" s="63">
        <v>1374</v>
      </c>
      <c r="M207" s="63">
        <v>1359</v>
      </c>
      <c r="N207" s="63">
        <v>1377</v>
      </c>
      <c r="O207" s="63">
        <v>1423</v>
      </c>
      <c r="Q207" s="176" t="s">
        <v>4914</v>
      </c>
    </row>
    <row r="208" spans="1:17">
      <c r="A208" s="182">
        <v>16</v>
      </c>
      <c r="B208" s="176" t="s">
        <v>3988</v>
      </c>
      <c r="C208" s="55" t="s">
        <v>7818</v>
      </c>
      <c r="D208" s="180">
        <v>1570</v>
      </c>
      <c r="E208" s="180">
        <v>1568</v>
      </c>
      <c r="F208" s="180">
        <v>1570</v>
      </c>
      <c r="G208" s="63">
        <v>1573</v>
      </c>
      <c r="H208" s="63">
        <v>1531</v>
      </c>
      <c r="I208" s="63">
        <v>1534</v>
      </c>
      <c r="J208" s="63">
        <v>1505</v>
      </c>
      <c r="K208" s="63">
        <v>1391</v>
      </c>
      <c r="L208" s="63">
        <v>1539</v>
      </c>
      <c r="M208" s="63">
        <v>1540</v>
      </c>
      <c r="N208" s="63">
        <v>1576</v>
      </c>
      <c r="O208" s="63">
        <v>1632</v>
      </c>
      <c r="Q208" s="176" t="s">
        <v>4914</v>
      </c>
    </row>
    <row r="209" spans="1:17">
      <c r="A209" s="182">
        <v>17</v>
      </c>
      <c r="B209" s="176" t="s">
        <v>4989</v>
      </c>
      <c r="C209" s="55" t="s">
        <v>7819</v>
      </c>
      <c r="D209" s="180">
        <v>1400</v>
      </c>
      <c r="E209" s="180">
        <v>1412</v>
      </c>
      <c r="F209" s="180">
        <v>1410</v>
      </c>
      <c r="G209" s="63">
        <v>1417</v>
      </c>
      <c r="H209" s="63">
        <v>1395</v>
      </c>
      <c r="I209" s="63">
        <v>1394</v>
      </c>
      <c r="J209" s="63">
        <v>1345</v>
      </c>
      <c r="K209" s="63">
        <v>1550</v>
      </c>
      <c r="L209" s="63">
        <v>1400</v>
      </c>
      <c r="M209" s="63">
        <v>1408</v>
      </c>
      <c r="N209" s="63">
        <v>1453</v>
      </c>
      <c r="O209" s="63">
        <v>1485</v>
      </c>
      <c r="Q209" s="176" t="s">
        <v>4914</v>
      </c>
    </row>
    <row r="210" spans="1:17">
      <c r="A210" s="186">
        <v>18</v>
      </c>
      <c r="B210" s="176" t="s">
        <v>4990</v>
      </c>
      <c r="C210" s="55" t="s">
        <v>7820</v>
      </c>
      <c r="D210" s="180">
        <v>1424</v>
      </c>
      <c r="E210" s="180">
        <v>1400</v>
      </c>
      <c r="F210" s="180">
        <v>1420</v>
      </c>
      <c r="G210" s="63">
        <v>1446</v>
      </c>
      <c r="H210" s="63">
        <v>1425</v>
      </c>
      <c r="I210" s="63">
        <v>1422</v>
      </c>
      <c r="J210" s="63">
        <v>1381</v>
      </c>
      <c r="K210" s="63">
        <v>1451</v>
      </c>
      <c r="L210" s="63">
        <v>1450</v>
      </c>
      <c r="M210" s="63">
        <v>1414</v>
      </c>
      <c r="N210" s="63">
        <v>1430</v>
      </c>
      <c r="O210" s="63">
        <v>1490</v>
      </c>
      <c r="Q210" s="176" t="s">
        <v>4914</v>
      </c>
    </row>
    <row r="211" spans="1:17">
      <c r="A211" s="186">
        <v>19</v>
      </c>
      <c r="B211" s="176" t="s">
        <v>4991</v>
      </c>
      <c r="C211" s="55" t="s">
        <v>7821</v>
      </c>
      <c r="D211" s="180">
        <v>2717</v>
      </c>
      <c r="E211" s="180">
        <v>2708</v>
      </c>
      <c r="F211" s="180">
        <v>2741</v>
      </c>
      <c r="G211" s="63">
        <v>2740</v>
      </c>
      <c r="H211" s="63">
        <v>2684</v>
      </c>
      <c r="I211" s="63">
        <v>2677</v>
      </c>
      <c r="J211" s="63">
        <v>2616</v>
      </c>
      <c r="K211" s="63">
        <v>2703</v>
      </c>
      <c r="L211" s="63">
        <v>2734</v>
      </c>
      <c r="M211" s="63">
        <v>2743</v>
      </c>
      <c r="N211" s="63">
        <v>2801</v>
      </c>
      <c r="O211" s="63">
        <v>2876</v>
      </c>
      <c r="Q211" s="176" t="s">
        <v>4914</v>
      </c>
    </row>
    <row r="212" spans="1:17">
      <c r="A212" s="186">
        <v>20</v>
      </c>
      <c r="B212" s="176" t="s">
        <v>4642</v>
      </c>
      <c r="C212" s="55" t="s">
        <v>7822</v>
      </c>
      <c r="D212" s="180">
        <v>1398</v>
      </c>
      <c r="E212" s="180">
        <v>1398</v>
      </c>
      <c r="F212" s="180">
        <v>1402</v>
      </c>
      <c r="G212" s="63">
        <v>1463</v>
      </c>
      <c r="H212" s="63">
        <v>1458</v>
      </c>
      <c r="I212" s="63">
        <v>1450</v>
      </c>
      <c r="J212" s="63">
        <v>1461</v>
      </c>
      <c r="K212" s="63">
        <v>1494</v>
      </c>
      <c r="L212" s="63">
        <v>1457</v>
      </c>
      <c r="M212" s="63">
        <v>1421</v>
      </c>
      <c r="N212" s="63">
        <v>1462</v>
      </c>
      <c r="O212" s="63">
        <v>1514</v>
      </c>
      <c r="Q212" s="176" t="s">
        <v>4914</v>
      </c>
    </row>
    <row r="213" spans="1:17">
      <c r="D213" s="179"/>
      <c r="E213" s="179"/>
      <c r="F213" s="179"/>
      <c r="G213" s="179"/>
      <c r="H213" s="179"/>
      <c r="I213" s="179"/>
      <c r="J213" s="179"/>
      <c r="K213" s="179"/>
      <c r="L213" s="179"/>
      <c r="M213" s="179"/>
      <c r="N213" s="179"/>
      <c r="O213" s="179"/>
    </row>
    <row r="214" spans="1:17">
      <c r="A214" s="176" t="s">
        <v>4010</v>
      </c>
      <c r="D214" s="180">
        <f t="shared" ref="D214:I214" si="75">SUM(D193:D212)</f>
        <v>41032</v>
      </c>
      <c r="E214" s="180">
        <f t="shared" si="75"/>
        <v>41234</v>
      </c>
      <c r="F214" s="180">
        <f t="shared" si="75"/>
        <v>41480</v>
      </c>
      <c r="G214" s="180">
        <f t="shared" si="75"/>
        <v>42074</v>
      </c>
      <c r="H214" s="180">
        <f t="shared" si="75"/>
        <v>40530</v>
      </c>
      <c r="I214" s="180">
        <f t="shared" si="75"/>
        <v>40590</v>
      </c>
      <c r="J214" s="180">
        <f t="shared" ref="J214:O214" si="76">SUM(J193:J212)</f>
        <v>39668</v>
      </c>
      <c r="K214" s="180">
        <f t="shared" si="76"/>
        <v>41406</v>
      </c>
      <c r="L214" s="180">
        <f t="shared" si="76"/>
        <v>41576</v>
      </c>
      <c r="M214" s="180">
        <f t="shared" si="76"/>
        <v>41432</v>
      </c>
      <c r="N214" s="180">
        <f t="shared" si="76"/>
        <v>42356</v>
      </c>
      <c r="O214" s="180">
        <f t="shared" si="76"/>
        <v>43806</v>
      </c>
    </row>
    <row r="216" spans="1:17">
      <c r="A216" s="176" t="s">
        <v>4992</v>
      </c>
    </row>
    <row r="217" spans="1:17">
      <c r="A217" s="176"/>
    </row>
    <row r="218" spans="1:17">
      <c r="A218" s="176"/>
    </row>
    <row r="219" spans="1:17">
      <c r="E219" s="51" t="s">
        <v>1526</v>
      </c>
      <c r="F219" s="51"/>
      <c r="G219" s="51"/>
      <c r="H219" s="51"/>
      <c r="I219" s="51"/>
      <c r="J219" s="51"/>
      <c r="K219" s="51"/>
      <c r="L219" s="51"/>
      <c r="M219" s="51"/>
      <c r="N219" s="51"/>
      <c r="O219" s="51"/>
      <c r="P219" s="11"/>
      <c r="Q219" s="11" t="s">
        <v>9479</v>
      </c>
    </row>
    <row r="220" spans="1:17">
      <c r="D220" s="350">
        <v>2010</v>
      </c>
      <c r="E220" s="350">
        <v>2011</v>
      </c>
      <c r="F220" s="350">
        <v>2012</v>
      </c>
      <c r="G220" s="350">
        <v>2013</v>
      </c>
      <c r="H220" s="350">
        <v>2014</v>
      </c>
      <c r="I220" s="350">
        <v>2015</v>
      </c>
      <c r="J220" s="350">
        <v>2016</v>
      </c>
      <c r="K220" s="350">
        <v>2017</v>
      </c>
      <c r="L220" s="350">
        <v>2018</v>
      </c>
      <c r="M220" s="350">
        <v>2019</v>
      </c>
      <c r="N220" s="350">
        <v>2020</v>
      </c>
      <c r="O220" s="923" t="s">
        <v>14823</v>
      </c>
      <c r="P220" s="11"/>
      <c r="Q220" s="13" t="s">
        <v>1527</v>
      </c>
    </row>
    <row r="221" spans="1:17">
      <c r="A221" s="176" t="s">
        <v>4993</v>
      </c>
      <c r="D221" s="180">
        <f t="shared" ref="D221:N221" si="77">SUM(D222:D241)</f>
        <v>85624</v>
      </c>
      <c r="E221" s="180">
        <f t="shared" si="77"/>
        <v>85634</v>
      </c>
      <c r="F221" s="180">
        <f t="shared" si="77"/>
        <v>85187</v>
      </c>
      <c r="G221" s="180">
        <f t="shared" si="77"/>
        <v>85066</v>
      </c>
      <c r="H221" s="180">
        <f t="shared" si="77"/>
        <v>84602</v>
      </c>
      <c r="I221" s="180">
        <f t="shared" si="77"/>
        <v>82120</v>
      </c>
      <c r="J221" s="180">
        <f t="shared" si="77"/>
        <v>79890</v>
      </c>
      <c r="K221" s="180">
        <f t="shared" si="77"/>
        <v>81261</v>
      </c>
      <c r="L221" s="180">
        <f t="shared" si="77"/>
        <v>81797</v>
      </c>
      <c r="M221" s="180">
        <f t="shared" si="77"/>
        <v>80829</v>
      </c>
      <c r="N221" s="180">
        <f t="shared" si="77"/>
        <v>81561</v>
      </c>
      <c r="O221" s="180">
        <f>SUM(O222:O241)</f>
        <v>83348</v>
      </c>
    </row>
    <row r="222" spans="1:17">
      <c r="A222" s="176" t="s">
        <v>5387</v>
      </c>
      <c r="B222" s="176" t="s">
        <v>13774</v>
      </c>
      <c r="C222" s="55" t="s">
        <v>13773</v>
      </c>
      <c r="D222" s="180">
        <v>76032</v>
      </c>
      <c r="E222" s="180">
        <v>76078</v>
      </c>
      <c r="F222" s="180">
        <v>75613</v>
      </c>
      <c r="G222" s="180">
        <v>75521</v>
      </c>
      <c r="H222" s="180">
        <v>74997</v>
      </c>
      <c r="I222" s="180">
        <v>72763</v>
      </c>
      <c r="J222" s="180">
        <v>70708</v>
      </c>
      <c r="K222" s="180">
        <v>71857</v>
      </c>
      <c r="L222" s="180">
        <v>72357</v>
      </c>
      <c r="M222" s="180">
        <v>71546</v>
      </c>
      <c r="N222" s="63">
        <v>1769</v>
      </c>
      <c r="O222" s="63">
        <v>1784</v>
      </c>
      <c r="Q222" s="176" t="s">
        <v>4910</v>
      </c>
    </row>
    <row r="223" spans="1:17">
      <c r="A223" s="176" t="s">
        <v>5389</v>
      </c>
      <c r="B223" s="176" t="s">
        <v>5904</v>
      </c>
      <c r="C223" s="55" t="s">
        <v>13775</v>
      </c>
      <c r="D223" s="180">
        <v>0</v>
      </c>
      <c r="E223" s="180">
        <v>0</v>
      </c>
      <c r="F223" s="180">
        <v>0</v>
      </c>
      <c r="G223" s="180">
        <v>0</v>
      </c>
      <c r="H223" s="180">
        <v>0</v>
      </c>
      <c r="I223" s="180">
        <v>0</v>
      </c>
      <c r="J223" s="180">
        <v>0</v>
      </c>
      <c r="K223" s="180">
        <v>0</v>
      </c>
      <c r="L223" s="180">
        <v>0</v>
      </c>
      <c r="M223" s="180">
        <v>0</v>
      </c>
      <c r="N223" s="63">
        <v>5088</v>
      </c>
      <c r="O223" s="63">
        <v>5292</v>
      </c>
      <c r="Q223" s="176" t="s">
        <v>4910</v>
      </c>
    </row>
    <row r="224" spans="1:17">
      <c r="A224" s="176" t="s">
        <v>5391</v>
      </c>
      <c r="B224" s="176" t="s">
        <v>4994</v>
      </c>
      <c r="C224" s="55" t="s">
        <v>13776</v>
      </c>
      <c r="D224" s="180">
        <v>0</v>
      </c>
      <c r="E224" s="180">
        <v>0</v>
      </c>
      <c r="F224" s="180">
        <v>0</v>
      </c>
      <c r="G224" s="180">
        <v>0</v>
      </c>
      <c r="H224" s="180">
        <v>0</v>
      </c>
      <c r="I224" s="180">
        <v>0</v>
      </c>
      <c r="J224" s="180">
        <v>0</v>
      </c>
      <c r="K224" s="180">
        <v>0</v>
      </c>
      <c r="L224" s="180">
        <v>0</v>
      </c>
      <c r="M224" s="180">
        <v>0</v>
      </c>
      <c r="N224" s="63">
        <v>3650</v>
      </c>
      <c r="O224" s="63">
        <v>3664</v>
      </c>
      <c r="Q224" s="176" t="s">
        <v>4910</v>
      </c>
    </row>
    <row r="225" spans="1:17">
      <c r="A225" s="176" t="s">
        <v>5393</v>
      </c>
      <c r="B225" s="176" t="s">
        <v>13778</v>
      </c>
      <c r="C225" s="55" t="s">
        <v>13777</v>
      </c>
      <c r="D225" s="180">
        <v>0</v>
      </c>
      <c r="E225" s="180">
        <v>0</v>
      </c>
      <c r="F225" s="180">
        <v>0</v>
      </c>
      <c r="G225" s="180">
        <v>0</v>
      </c>
      <c r="H225" s="180">
        <v>0</v>
      </c>
      <c r="I225" s="180">
        <v>0</v>
      </c>
      <c r="J225" s="180">
        <v>0</v>
      </c>
      <c r="K225" s="180">
        <v>0</v>
      </c>
      <c r="L225" s="180">
        <v>0</v>
      </c>
      <c r="M225" s="180">
        <v>0</v>
      </c>
      <c r="N225" s="63">
        <v>4021</v>
      </c>
      <c r="O225" s="63">
        <v>4109</v>
      </c>
      <c r="Q225" s="176" t="s">
        <v>4910</v>
      </c>
    </row>
    <row r="226" spans="1:17">
      <c r="A226" s="176" t="s">
        <v>5394</v>
      </c>
      <c r="B226" s="176" t="s">
        <v>13780</v>
      </c>
      <c r="C226" s="55" t="s">
        <v>13779</v>
      </c>
      <c r="D226" s="180">
        <v>0</v>
      </c>
      <c r="E226" s="180">
        <v>0</v>
      </c>
      <c r="F226" s="180">
        <v>0</v>
      </c>
      <c r="G226" s="180">
        <v>0</v>
      </c>
      <c r="H226" s="180">
        <v>0</v>
      </c>
      <c r="I226" s="180">
        <v>0</v>
      </c>
      <c r="J226" s="180">
        <v>0</v>
      </c>
      <c r="K226" s="180">
        <v>0</v>
      </c>
      <c r="L226" s="180">
        <v>0</v>
      </c>
      <c r="M226" s="180">
        <v>0</v>
      </c>
      <c r="N226" s="63">
        <v>4045</v>
      </c>
      <c r="O226" s="63">
        <v>4139</v>
      </c>
      <c r="Q226" s="176" t="s">
        <v>4910</v>
      </c>
    </row>
    <row r="227" spans="1:17">
      <c r="A227" s="176" t="s">
        <v>5416</v>
      </c>
      <c r="B227" s="176" t="s">
        <v>1935</v>
      </c>
      <c r="C227" s="55" t="s">
        <v>13781</v>
      </c>
      <c r="D227" s="180">
        <v>0</v>
      </c>
      <c r="E227" s="180">
        <v>0</v>
      </c>
      <c r="F227" s="180">
        <v>0</v>
      </c>
      <c r="G227" s="180">
        <v>0</v>
      </c>
      <c r="H227" s="180">
        <v>0</v>
      </c>
      <c r="I227" s="180">
        <v>0</v>
      </c>
      <c r="J227" s="180">
        <v>0</v>
      </c>
      <c r="K227" s="180">
        <v>0</v>
      </c>
      <c r="L227" s="180">
        <v>0</v>
      </c>
      <c r="M227" s="180">
        <v>0</v>
      </c>
      <c r="N227" s="63">
        <v>4351</v>
      </c>
      <c r="O227" s="63">
        <v>4496</v>
      </c>
      <c r="Q227" s="176" t="s">
        <v>4910</v>
      </c>
    </row>
    <row r="228" spans="1:17">
      <c r="A228" s="176" t="s">
        <v>5418</v>
      </c>
      <c r="B228" s="176" t="s">
        <v>4986</v>
      </c>
      <c r="C228" s="55" t="s">
        <v>13782</v>
      </c>
      <c r="D228" s="180">
        <v>0</v>
      </c>
      <c r="E228" s="180">
        <v>0</v>
      </c>
      <c r="F228" s="180">
        <v>0</v>
      </c>
      <c r="G228" s="180">
        <v>0</v>
      </c>
      <c r="H228" s="180">
        <v>0</v>
      </c>
      <c r="I228" s="180">
        <v>0</v>
      </c>
      <c r="J228" s="180">
        <v>0</v>
      </c>
      <c r="K228" s="180">
        <v>0</v>
      </c>
      <c r="L228" s="180">
        <v>0</v>
      </c>
      <c r="M228" s="180">
        <v>0</v>
      </c>
      <c r="N228" s="63">
        <v>3689</v>
      </c>
      <c r="O228" s="63">
        <v>3753</v>
      </c>
      <c r="Q228" s="176" t="s">
        <v>4910</v>
      </c>
    </row>
    <row r="229" spans="1:17">
      <c r="A229" s="176" t="s">
        <v>5420</v>
      </c>
      <c r="B229" s="176" t="s">
        <v>13784</v>
      </c>
      <c r="C229" s="55" t="s">
        <v>13783</v>
      </c>
      <c r="D229" s="180">
        <v>0</v>
      </c>
      <c r="E229" s="180">
        <v>0</v>
      </c>
      <c r="F229" s="180">
        <v>0</v>
      </c>
      <c r="G229" s="180">
        <v>0</v>
      </c>
      <c r="H229" s="180">
        <v>0</v>
      </c>
      <c r="I229" s="180">
        <v>0</v>
      </c>
      <c r="J229" s="180">
        <v>0</v>
      </c>
      <c r="K229" s="180">
        <v>0</v>
      </c>
      <c r="L229" s="180">
        <v>0</v>
      </c>
      <c r="M229" s="180">
        <v>0</v>
      </c>
      <c r="N229" s="63">
        <v>6059</v>
      </c>
      <c r="O229" s="63">
        <v>6173</v>
      </c>
      <c r="Q229" s="176" t="s">
        <v>4910</v>
      </c>
    </row>
    <row r="230" spans="1:17">
      <c r="A230" s="176" t="s">
        <v>5422</v>
      </c>
      <c r="B230" s="176" t="s">
        <v>4987</v>
      </c>
      <c r="C230" s="55" t="s">
        <v>13785</v>
      </c>
      <c r="D230" s="180">
        <v>9592</v>
      </c>
      <c r="E230" s="180">
        <v>9556</v>
      </c>
      <c r="F230" s="180">
        <v>9574</v>
      </c>
      <c r="G230" s="180">
        <v>9545</v>
      </c>
      <c r="H230" s="180">
        <v>9605</v>
      </c>
      <c r="I230" s="180">
        <v>9357</v>
      </c>
      <c r="J230" s="180">
        <v>9182</v>
      </c>
      <c r="K230" s="180">
        <v>9404</v>
      </c>
      <c r="L230" s="180">
        <v>9440</v>
      </c>
      <c r="M230" s="180">
        <v>9283</v>
      </c>
      <c r="N230" s="63">
        <v>5712</v>
      </c>
      <c r="O230" s="63">
        <v>5785</v>
      </c>
      <c r="Q230" s="176" t="s">
        <v>4914</v>
      </c>
    </row>
    <row r="231" spans="1:17">
      <c r="A231" s="176" t="s">
        <v>5424</v>
      </c>
      <c r="B231" s="176" t="s">
        <v>13787</v>
      </c>
      <c r="C231" s="55" t="s">
        <v>13786</v>
      </c>
      <c r="D231" s="180">
        <v>0</v>
      </c>
      <c r="E231" s="180">
        <v>0</v>
      </c>
      <c r="F231" s="180">
        <v>0</v>
      </c>
      <c r="G231" s="180">
        <v>0</v>
      </c>
      <c r="H231" s="180">
        <v>0</v>
      </c>
      <c r="I231" s="180">
        <v>0</v>
      </c>
      <c r="J231" s="180">
        <v>0</v>
      </c>
      <c r="K231" s="180">
        <v>0</v>
      </c>
      <c r="L231" s="180">
        <v>0</v>
      </c>
      <c r="M231" s="180">
        <v>0</v>
      </c>
      <c r="N231" s="63">
        <v>1828</v>
      </c>
      <c r="O231" s="63">
        <v>1885</v>
      </c>
      <c r="Q231" s="176" t="s">
        <v>4910</v>
      </c>
    </row>
    <row r="232" spans="1:17">
      <c r="A232" s="176" t="s">
        <v>5426</v>
      </c>
      <c r="B232" s="176" t="s">
        <v>13789</v>
      </c>
      <c r="C232" s="55" t="s">
        <v>13788</v>
      </c>
      <c r="D232" s="180">
        <v>0</v>
      </c>
      <c r="E232" s="180">
        <v>0</v>
      </c>
      <c r="F232" s="180">
        <v>0</v>
      </c>
      <c r="G232" s="180">
        <v>0</v>
      </c>
      <c r="H232" s="180">
        <v>0</v>
      </c>
      <c r="I232" s="180">
        <v>0</v>
      </c>
      <c r="J232" s="180">
        <v>0</v>
      </c>
      <c r="K232" s="180">
        <v>0</v>
      </c>
      <c r="L232" s="180">
        <v>0</v>
      </c>
      <c r="M232" s="180">
        <v>0</v>
      </c>
      <c r="N232" s="63">
        <v>3658</v>
      </c>
      <c r="O232" s="63">
        <v>3701</v>
      </c>
      <c r="Q232" s="176" t="s">
        <v>4914</v>
      </c>
    </row>
    <row r="233" spans="1:17">
      <c r="A233" s="176" t="s">
        <v>5428</v>
      </c>
      <c r="B233" s="176" t="s">
        <v>5234</v>
      </c>
      <c r="C233" s="55" t="s">
        <v>13790</v>
      </c>
      <c r="D233" s="180">
        <v>0</v>
      </c>
      <c r="E233" s="180">
        <v>0</v>
      </c>
      <c r="F233" s="180">
        <v>0</v>
      </c>
      <c r="G233" s="180">
        <v>0</v>
      </c>
      <c r="H233" s="180">
        <v>0</v>
      </c>
      <c r="I233" s="180">
        <v>0</v>
      </c>
      <c r="J233" s="180">
        <v>0</v>
      </c>
      <c r="K233" s="180">
        <v>0</v>
      </c>
      <c r="L233" s="180">
        <v>0</v>
      </c>
      <c r="M233" s="180">
        <v>0</v>
      </c>
      <c r="N233" s="63">
        <v>3474</v>
      </c>
      <c r="O233" s="63">
        <v>3589</v>
      </c>
      <c r="Q233" s="176" t="s">
        <v>4910</v>
      </c>
    </row>
    <row r="234" spans="1:17">
      <c r="A234" s="176" t="s">
        <v>5429</v>
      </c>
      <c r="B234" s="176" t="s">
        <v>5605</v>
      </c>
      <c r="C234" s="55" t="s">
        <v>13791</v>
      </c>
      <c r="D234" s="180">
        <v>0</v>
      </c>
      <c r="E234" s="180">
        <v>0</v>
      </c>
      <c r="F234" s="180">
        <v>0</v>
      </c>
      <c r="G234" s="180">
        <v>0</v>
      </c>
      <c r="H234" s="180">
        <v>0</v>
      </c>
      <c r="I234" s="180">
        <v>0</v>
      </c>
      <c r="J234" s="180">
        <v>0</v>
      </c>
      <c r="K234" s="180">
        <v>0</v>
      </c>
      <c r="L234" s="180">
        <v>0</v>
      </c>
      <c r="M234" s="180">
        <v>0</v>
      </c>
      <c r="N234" s="63">
        <v>4919</v>
      </c>
      <c r="O234" s="63">
        <v>5019</v>
      </c>
      <c r="Q234" s="176" t="s">
        <v>4910</v>
      </c>
    </row>
    <row r="235" spans="1:17">
      <c r="A235" s="176" t="s">
        <v>5431</v>
      </c>
      <c r="B235" s="176" t="s">
        <v>2086</v>
      </c>
      <c r="C235" s="55" t="s">
        <v>13792</v>
      </c>
      <c r="D235" s="180">
        <v>0</v>
      </c>
      <c r="E235" s="180">
        <v>0</v>
      </c>
      <c r="F235" s="180">
        <v>0</v>
      </c>
      <c r="G235" s="180">
        <v>0</v>
      </c>
      <c r="H235" s="180">
        <v>0</v>
      </c>
      <c r="I235" s="180">
        <v>0</v>
      </c>
      <c r="J235" s="180">
        <v>0</v>
      </c>
      <c r="K235" s="180">
        <v>0</v>
      </c>
      <c r="L235" s="180">
        <v>0</v>
      </c>
      <c r="M235" s="180">
        <v>0</v>
      </c>
      <c r="N235" s="63">
        <v>5423</v>
      </c>
      <c r="O235" s="63">
        <v>5538</v>
      </c>
      <c r="Q235" s="176" t="s">
        <v>4910</v>
      </c>
    </row>
    <row r="236" spans="1:17">
      <c r="A236" s="176" t="s">
        <v>5433</v>
      </c>
      <c r="B236" s="176" t="s">
        <v>13794</v>
      </c>
      <c r="C236" s="55" t="s">
        <v>13793</v>
      </c>
      <c r="D236" s="180">
        <v>0</v>
      </c>
      <c r="E236" s="180">
        <v>0</v>
      </c>
      <c r="F236" s="180">
        <v>0</v>
      </c>
      <c r="G236" s="180">
        <v>0</v>
      </c>
      <c r="H236" s="180">
        <v>0</v>
      </c>
      <c r="I236" s="180">
        <v>0</v>
      </c>
      <c r="J236" s="180">
        <v>0</v>
      </c>
      <c r="K236" s="180">
        <v>0</v>
      </c>
      <c r="L236" s="180">
        <v>0</v>
      </c>
      <c r="M236" s="180">
        <v>0</v>
      </c>
      <c r="N236" s="63">
        <v>2916</v>
      </c>
      <c r="O236" s="63">
        <v>2964</v>
      </c>
      <c r="Q236" s="176" t="s">
        <v>4910</v>
      </c>
    </row>
    <row r="237" spans="1:17">
      <c r="A237" s="176" t="s">
        <v>5435</v>
      </c>
      <c r="B237" s="176" t="s">
        <v>2087</v>
      </c>
      <c r="C237" s="55" t="s">
        <v>13795</v>
      </c>
      <c r="D237" s="180">
        <v>0</v>
      </c>
      <c r="E237" s="180">
        <v>0</v>
      </c>
      <c r="F237" s="180">
        <v>0</v>
      </c>
      <c r="G237" s="180">
        <v>0</v>
      </c>
      <c r="H237" s="180">
        <v>0</v>
      </c>
      <c r="I237" s="180">
        <v>0</v>
      </c>
      <c r="J237" s="180">
        <v>0</v>
      </c>
      <c r="K237" s="180">
        <v>0</v>
      </c>
      <c r="L237" s="180">
        <v>0</v>
      </c>
      <c r="M237" s="180">
        <v>0</v>
      </c>
      <c r="N237" s="63">
        <v>3628</v>
      </c>
      <c r="O237" s="63">
        <v>3693</v>
      </c>
      <c r="Q237" s="176" t="s">
        <v>4910</v>
      </c>
    </row>
    <row r="238" spans="1:17">
      <c r="A238" s="176" t="s">
        <v>5436</v>
      </c>
      <c r="B238" s="176" t="s">
        <v>2088</v>
      </c>
      <c r="C238" s="55" t="s">
        <v>13796</v>
      </c>
      <c r="D238" s="180">
        <v>0</v>
      </c>
      <c r="E238" s="180">
        <v>0</v>
      </c>
      <c r="F238" s="180">
        <v>0</v>
      </c>
      <c r="G238" s="180">
        <v>0</v>
      </c>
      <c r="H238" s="180">
        <v>0</v>
      </c>
      <c r="I238" s="180">
        <v>0</v>
      </c>
      <c r="J238" s="180">
        <v>0</v>
      </c>
      <c r="K238" s="180">
        <v>0</v>
      </c>
      <c r="L238" s="180">
        <v>0</v>
      </c>
      <c r="M238" s="180">
        <v>0</v>
      </c>
      <c r="N238" s="63">
        <v>3432</v>
      </c>
      <c r="O238" s="63">
        <v>3493</v>
      </c>
      <c r="Q238" s="176" t="s">
        <v>4910</v>
      </c>
    </row>
    <row r="239" spans="1:17">
      <c r="A239" s="176" t="s">
        <v>5437</v>
      </c>
      <c r="B239" s="176" t="s">
        <v>13798</v>
      </c>
      <c r="C239" s="55" t="s">
        <v>13797</v>
      </c>
      <c r="D239" s="180">
        <v>0</v>
      </c>
      <c r="E239" s="180">
        <v>0</v>
      </c>
      <c r="F239" s="180">
        <v>0</v>
      </c>
      <c r="G239" s="180">
        <v>0</v>
      </c>
      <c r="H239" s="180">
        <v>0</v>
      </c>
      <c r="I239" s="180">
        <v>0</v>
      </c>
      <c r="J239" s="180">
        <v>0</v>
      </c>
      <c r="K239" s="180">
        <v>0</v>
      </c>
      <c r="L239" s="180">
        <v>0</v>
      </c>
      <c r="M239" s="180">
        <v>0</v>
      </c>
      <c r="N239" s="63">
        <v>5488</v>
      </c>
      <c r="O239" s="63">
        <v>5711</v>
      </c>
      <c r="Q239" s="176" t="s">
        <v>4910</v>
      </c>
    </row>
    <row r="240" spans="1:17">
      <c r="A240" s="182">
        <v>19</v>
      </c>
      <c r="B240" s="176" t="s">
        <v>2089</v>
      </c>
      <c r="C240" s="55" t="s">
        <v>13799</v>
      </c>
      <c r="D240" s="180">
        <v>0</v>
      </c>
      <c r="E240" s="180">
        <v>0</v>
      </c>
      <c r="F240" s="180">
        <v>0</v>
      </c>
      <c r="G240" s="180">
        <v>0</v>
      </c>
      <c r="H240" s="180">
        <v>0</v>
      </c>
      <c r="I240" s="180">
        <v>0</v>
      </c>
      <c r="J240" s="180">
        <v>0</v>
      </c>
      <c r="K240" s="180">
        <v>0</v>
      </c>
      <c r="L240" s="180">
        <v>0</v>
      </c>
      <c r="M240" s="180">
        <v>0</v>
      </c>
      <c r="N240" s="63">
        <v>3289</v>
      </c>
      <c r="O240" s="63">
        <v>3323</v>
      </c>
      <c r="Q240" s="176" t="s">
        <v>4910</v>
      </c>
    </row>
    <row r="241" spans="1:17">
      <c r="A241" s="182">
        <v>20</v>
      </c>
      <c r="B241" s="176" t="s">
        <v>3671</v>
      </c>
      <c r="C241" s="55" t="s">
        <v>13800</v>
      </c>
      <c r="D241" s="180">
        <v>0</v>
      </c>
      <c r="E241" s="180">
        <v>0</v>
      </c>
      <c r="F241" s="180">
        <v>0</v>
      </c>
      <c r="G241" s="180">
        <v>0</v>
      </c>
      <c r="H241" s="180">
        <v>0</v>
      </c>
      <c r="I241" s="180">
        <v>0</v>
      </c>
      <c r="J241" s="180">
        <v>0</v>
      </c>
      <c r="K241" s="180">
        <v>0</v>
      </c>
      <c r="L241" s="180">
        <v>0</v>
      </c>
      <c r="M241" s="180">
        <v>0</v>
      </c>
      <c r="N241" s="63">
        <v>5122</v>
      </c>
      <c r="O241" s="63">
        <v>5237</v>
      </c>
      <c r="Q241" s="176" t="s">
        <v>4910</v>
      </c>
    </row>
    <row r="242" spans="1:17">
      <c r="D242" s="179"/>
      <c r="E242" s="179"/>
      <c r="F242" s="179"/>
      <c r="G242" s="179"/>
      <c r="H242" s="179"/>
      <c r="I242" s="179"/>
      <c r="J242" s="179"/>
      <c r="K242" s="179"/>
      <c r="L242" s="179"/>
      <c r="M242" s="179"/>
      <c r="N242" s="179"/>
      <c r="O242" s="179"/>
    </row>
    <row r="243" spans="1:17">
      <c r="A243" s="176" t="s">
        <v>4910</v>
      </c>
      <c r="D243" s="180">
        <f t="shared" ref="D243:N243" si="78">SUM(D222:D229)+D231+SUM(D233:D241)</f>
        <v>76032</v>
      </c>
      <c r="E243" s="180">
        <f t="shared" si="78"/>
        <v>76078</v>
      </c>
      <c r="F243" s="180">
        <f t="shared" si="78"/>
        <v>75613</v>
      </c>
      <c r="G243" s="180">
        <f t="shared" si="78"/>
        <v>75521</v>
      </c>
      <c r="H243" s="180">
        <f t="shared" si="78"/>
        <v>74997</v>
      </c>
      <c r="I243" s="180">
        <f t="shared" si="78"/>
        <v>72763</v>
      </c>
      <c r="J243" s="180">
        <f t="shared" si="78"/>
        <v>70708</v>
      </c>
      <c r="K243" s="180">
        <f t="shared" si="78"/>
        <v>71857</v>
      </c>
      <c r="L243" s="180">
        <f t="shared" si="78"/>
        <v>72357</v>
      </c>
      <c r="M243" s="180">
        <f t="shared" si="78"/>
        <v>71546</v>
      </c>
      <c r="N243" s="180">
        <f t="shared" si="78"/>
        <v>72191</v>
      </c>
      <c r="O243" s="180">
        <f>SUM(O222:O229)+O231+SUM(O233:O241)</f>
        <v>73862</v>
      </c>
    </row>
    <row r="244" spans="1:17">
      <c r="A244" s="176" t="s">
        <v>4010</v>
      </c>
      <c r="D244" s="180">
        <f t="shared" ref="D244:N244" si="79">D230+D232</f>
        <v>9592</v>
      </c>
      <c r="E244" s="180">
        <f t="shared" si="79"/>
        <v>9556</v>
      </c>
      <c r="F244" s="180">
        <f t="shared" si="79"/>
        <v>9574</v>
      </c>
      <c r="G244" s="180">
        <f t="shared" si="79"/>
        <v>9545</v>
      </c>
      <c r="H244" s="180">
        <f t="shared" si="79"/>
        <v>9605</v>
      </c>
      <c r="I244" s="180">
        <f t="shared" si="79"/>
        <v>9357</v>
      </c>
      <c r="J244" s="180">
        <f t="shared" si="79"/>
        <v>9182</v>
      </c>
      <c r="K244" s="180">
        <f t="shared" si="79"/>
        <v>9404</v>
      </c>
      <c r="L244" s="180">
        <f t="shared" si="79"/>
        <v>9440</v>
      </c>
      <c r="M244" s="180">
        <f t="shared" si="79"/>
        <v>9283</v>
      </c>
      <c r="N244" s="180">
        <f t="shared" si="79"/>
        <v>9370</v>
      </c>
      <c r="O244" s="180">
        <f>O230+O232</f>
        <v>9486</v>
      </c>
    </row>
    <row r="245" spans="1:17">
      <c r="A245" s="176"/>
      <c r="D245" s="180"/>
      <c r="E245" s="180"/>
      <c r="F245" s="180"/>
      <c r="G245" s="180"/>
      <c r="H245" s="180"/>
      <c r="I245" s="180"/>
      <c r="J245" s="180"/>
      <c r="K245" s="180"/>
      <c r="L245" s="180"/>
      <c r="M245" s="180"/>
      <c r="N245" s="180"/>
      <c r="O245" s="180"/>
    </row>
    <row r="246" spans="1:17">
      <c r="A246" s="176" t="s">
        <v>13801</v>
      </c>
      <c r="D246" s="180"/>
      <c r="E246" s="180"/>
      <c r="F246" s="180"/>
      <c r="G246" s="180"/>
      <c r="H246" s="180"/>
      <c r="I246" s="180"/>
      <c r="J246" s="180"/>
      <c r="K246" s="180"/>
      <c r="L246" s="180"/>
      <c r="M246" s="180"/>
      <c r="N246" s="180"/>
      <c r="O246" s="180"/>
    </row>
    <row r="247" spans="1:17">
      <c r="A247" s="176"/>
      <c r="B247" s="176"/>
      <c r="D247" s="464"/>
      <c r="E247" s="464"/>
      <c r="F247" s="464"/>
      <c r="G247" s="464"/>
      <c r="H247" s="464"/>
      <c r="I247" s="464"/>
      <c r="J247" s="464"/>
      <c r="K247" s="464"/>
      <c r="L247" s="464"/>
      <c r="M247" s="464"/>
      <c r="N247" s="464"/>
      <c r="O247" s="464"/>
    </row>
    <row r="248" spans="1:17">
      <c r="A248" s="176"/>
      <c r="B248" s="176"/>
      <c r="D248" s="464"/>
      <c r="E248" s="464"/>
      <c r="F248" s="464"/>
      <c r="G248" s="464"/>
      <c r="H248" s="464"/>
      <c r="I248" s="464"/>
      <c r="J248" s="464"/>
      <c r="K248" s="464"/>
      <c r="L248" s="464"/>
      <c r="M248" s="464"/>
      <c r="N248" s="464"/>
      <c r="O248" s="464"/>
    </row>
    <row r="249" spans="1:17">
      <c r="E249" s="51" t="s">
        <v>1526</v>
      </c>
      <c r="F249" s="51"/>
      <c r="G249" s="51"/>
      <c r="H249" s="51"/>
      <c r="I249" s="51"/>
      <c r="J249" s="51"/>
      <c r="K249" s="51"/>
      <c r="L249" s="51"/>
      <c r="M249" s="51"/>
      <c r="N249" s="51"/>
      <c r="O249" s="51"/>
      <c r="P249" s="11"/>
      <c r="Q249" s="11" t="s">
        <v>9479</v>
      </c>
    </row>
    <row r="250" spans="1:17">
      <c r="D250" s="350">
        <v>2010</v>
      </c>
      <c r="E250" s="350">
        <v>2011</v>
      </c>
      <c r="F250" s="350">
        <v>2012</v>
      </c>
      <c r="G250" s="350">
        <v>2013</v>
      </c>
      <c r="H250" s="350">
        <v>2014</v>
      </c>
      <c r="I250" s="350">
        <v>2015</v>
      </c>
      <c r="J250" s="350">
        <v>2016</v>
      </c>
      <c r="K250" s="350">
        <v>2017</v>
      </c>
      <c r="L250" s="350">
        <v>2018</v>
      </c>
      <c r="M250" s="350">
        <v>2019</v>
      </c>
      <c r="N250" s="350">
        <v>2020</v>
      </c>
      <c r="O250" s="923" t="s">
        <v>14823</v>
      </c>
      <c r="P250" s="11"/>
      <c r="Q250" s="13" t="s">
        <v>1527</v>
      </c>
    </row>
    <row r="251" spans="1:17">
      <c r="A251" s="176" t="s">
        <v>4905</v>
      </c>
      <c r="D251" s="180">
        <f t="shared" ref="D251:I251" si="80">SUM(D252:D270)</f>
        <v>62988</v>
      </c>
      <c r="E251" s="180">
        <f t="shared" si="80"/>
        <v>63927</v>
      </c>
      <c r="F251" s="180">
        <f t="shared" si="80"/>
        <v>63823</v>
      </c>
      <c r="G251" s="180">
        <f t="shared" si="80"/>
        <v>65622</v>
      </c>
      <c r="H251" s="180">
        <f t="shared" si="80"/>
        <v>66002</v>
      </c>
      <c r="I251" s="180">
        <f t="shared" si="80"/>
        <v>65775</v>
      </c>
      <c r="J251" s="180">
        <f t="shared" ref="J251:O251" si="81">SUM(J252:J270)</f>
        <v>63151</v>
      </c>
      <c r="K251" s="180">
        <f t="shared" si="81"/>
        <v>65119</v>
      </c>
      <c r="L251" s="180">
        <f t="shared" si="81"/>
        <v>65643</v>
      </c>
      <c r="M251" s="180">
        <f t="shared" si="81"/>
        <v>66030</v>
      </c>
      <c r="N251" s="180">
        <f t="shared" si="81"/>
        <v>67697</v>
      </c>
      <c r="O251" s="180">
        <f t="shared" si="81"/>
        <v>68480</v>
      </c>
    </row>
    <row r="252" spans="1:17">
      <c r="A252" s="182">
        <v>1</v>
      </c>
      <c r="B252" s="176" t="s">
        <v>9866</v>
      </c>
      <c r="C252" s="55" t="s">
        <v>10380</v>
      </c>
      <c r="D252" s="180">
        <v>62988</v>
      </c>
      <c r="E252" s="180">
        <v>63927</v>
      </c>
      <c r="F252" s="180">
        <v>63823</v>
      </c>
      <c r="G252" s="56">
        <v>65622</v>
      </c>
      <c r="H252" s="56">
        <v>66002</v>
      </c>
      <c r="I252" s="56">
        <v>4550</v>
      </c>
      <c r="J252" s="56">
        <v>4422</v>
      </c>
      <c r="K252" s="56">
        <v>4516</v>
      </c>
      <c r="L252" s="56">
        <v>4509</v>
      </c>
      <c r="M252" s="56">
        <v>4534</v>
      </c>
      <c r="N252" s="56">
        <v>4709</v>
      </c>
      <c r="O252" s="56">
        <v>4745</v>
      </c>
      <c r="Q252" s="176" t="s">
        <v>4912</v>
      </c>
    </row>
    <row r="253" spans="1:17">
      <c r="A253" s="182">
        <v>2</v>
      </c>
      <c r="B253" s="176" t="s">
        <v>9867</v>
      </c>
      <c r="C253" s="55" t="s">
        <v>10381</v>
      </c>
      <c r="D253" s="56">
        <v>0</v>
      </c>
      <c r="E253" s="56">
        <v>0</v>
      </c>
      <c r="F253" s="56">
        <v>0</v>
      </c>
      <c r="G253" s="56">
        <v>0</v>
      </c>
      <c r="H253" s="56">
        <v>0</v>
      </c>
      <c r="I253" s="56">
        <v>2180</v>
      </c>
      <c r="J253" s="56">
        <v>2072</v>
      </c>
      <c r="K253" s="56">
        <v>2154</v>
      </c>
      <c r="L253" s="56">
        <v>2231</v>
      </c>
      <c r="M253" s="56">
        <v>2368</v>
      </c>
      <c r="N253" s="56">
        <v>2488</v>
      </c>
      <c r="O253" s="56">
        <v>2555</v>
      </c>
      <c r="Q253" s="176" t="s">
        <v>4912</v>
      </c>
    </row>
    <row r="254" spans="1:17">
      <c r="A254" s="182">
        <v>3</v>
      </c>
      <c r="B254" s="176" t="s">
        <v>5528</v>
      </c>
      <c r="C254" s="55" t="s">
        <v>10382</v>
      </c>
      <c r="D254" s="56">
        <v>0</v>
      </c>
      <c r="E254" s="56">
        <v>0</v>
      </c>
      <c r="F254" s="56">
        <v>0</v>
      </c>
      <c r="G254" s="56">
        <v>0</v>
      </c>
      <c r="H254" s="56">
        <v>0</v>
      </c>
      <c r="I254" s="56">
        <v>4826</v>
      </c>
      <c r="J254" s="56">
        <v>4721</v>
      </c>
      <c r="K254" s="56">
        <v>4773</v>
      </c>
      <c r="L254" s="56">
        <v>4772</v>
      </c>
      <c r="M254" s="56">
        <v>4797</v>
      </c>
      <c r="N254" s="56">
        <v>4894</v>
      </c>
      <c r="O254" s="56">
        <v>4929</v>
      </c>
      <c r="Q254" s="176" t="s">
        <v>4912</v>
      </c>
    </row>
    <row r="255" spans="1:17">
      <c r="A255" s="182">
        <v>4</v>
      </c>
      <c r="B255" s="176" t="s">
        <v>9868</v>
      </c>
      <c r="C255" s="55" t="s">
        <v>10383</v>
      </c>
      <c r="D255" s="56">
        <v>0</v>
      </c>
      <c r="E255" s="56">
        <v>0</v>
      </c>
      <c r="F255" s="56">
        <v>0</v>
      </c>
      <c r="G255" s="56">
        <v>0</v>
      </c>
      <c r="H255" s="56">
        <v>0</v>
      </c>
      <c r="I255" s="56">
        <v>2377</v>
      </c>
      <c r="J255" s="56">
        <v>2196</v>
      </c>
      <c r="K255" s="56">
        <v>2267</v>
      </c>
      <c r="L255" s="56">
        <v>2217</v>
      </c>
      <c r="M255" s="56">
        <v>2213</v>
      </c>
      <c r="N255" s="56">
        <v>2263</v>
      </c>
      <c r="O255" s="56">
        <v>2306</v>
      </c>
      <c r="Q255" s="176" t="s">
        <v>4912</v>
      </c>
    </row>
    <row r="256" spans="1:17">
      <c r="A256" s="182">
        <v>5</v>
      </c>
      <c r="B256" s="107" t="s">
        <v>9869</v>
      </c>
      <c r="C256" s="55" t="s">
        <v>10384</v>
      </c>
      <c r="D256" s="56">
        <v>0</v>
      </c>
      <c r="E256" s="56">
        <v>0</v>
      </c>
      <c r="F256" s="56">
        <v>0</v>
      </c>
      <c r="G256" s="56">
        <v>0</v>
      </c>
      <c r="H256" s="56">
        <v>0</v>
      </c>
      <c r="I256" s="56">
        <v>4661</v>
      </c>
      <c r="J256" s="56">
        <v>4498</v>
      </c>
      <c r="K256" s="56">
        <v>4579</v>
      </c>
      <c r="L256" s="56">
        <v>4519</v>
      </c>
      <c r="M256" s="56">
        <v>4519</v>
      </c>
      <c r="N256" s="56">
        <v>4710</v>
      </c>
      <c r="O256" s="56">
        <v>4746</v>
      </c>
      <c r="Q256" s="176" t="s">
        <v>4912</v>
      </c>
    </row>
    <row r="257" spans="1:17">
      <c r="A257" s="182">
        <v>6</v>
      </c>
      <c r="B257" s="176" t="s">
        <v>9870</v>
      </c>
      <c r="C257" s="55" t="s">
        <v>10385</v>
      </c>
      <c r="D257" s="56">
        <v>0</v>
      </c>
      <c r="E257" s="56">
        <v>0</v>
      </c>
      <c r="F257" s="56">
        <v>0</v>
      </c>
      <c r="G257" s="56">
        <v>0</v>
      </c>
      <c r="H257" s="56">
        <v>0</v>
      </c>
      <c r="I257" s="56">
        <v>2456</v>
      </c>
      <c r="J257" s="56">
        <v>2404</v>
      </c>
      <c r="K257" s="56">
        <v>2472</v>
      </c>
      <c r="L257" s="56">
        <v>2424</v>
      </c>
      <c r="M257" s="56">
        <v>2437</v>
      </c>
      <c r="N257" s="56">
        <v>2476</v>
      </c>
      <c r="O257" s="56">
        <v>2508</v>
      </c>
      <c r="Q257" s="176" t="s">
        <v>4912</v>
      </c>
    </row>
    <row r="258" spans="1:17">
      <c r="A258" s="182">
        <v>7</v>
      </c>
      <c r="B258" s="176" t="s">
        <v>2521</v>
      </c>
      <c r="C258" s="55" t="s">
        <v>10386</v>
      </c>
      <c r="D258" s="56">
        <v>0</v>
      </c>
      <c r="E258" s="56">
        <v>0</v>
      </c>
      <c r="F258" s="56">
        <v>0</v>
      </c>
      <c r="G258" s="56">
        <v>0</v>
      </c>
      <c r="H258" s="56">
        <v>0</v>
      </c>
      <c r="I258" s="56">
        <v>4348</v>
      </c>
      <c r="J258" s="56">
        <v>4270</v>
      </c>
      <c r="K258" s="56">
        <v>4357</v>
      </c>
      <c r="L258" s="56">
        <v>4391</v>
      </c>
      <c r="M258" s="56">
        <v>4368</v>
      </c>
      <c r="N258" s="56">
        <v>4397</v>
      </c>
      <c r="O258" s="56">
        <v>4423</v>
      </c>
      <c r="Q258" s="176" t="s">
        <v>4912</v>
      </c>
    </row>
    <row r="259" spans="1:17">
      <c r="A259" s="182">
        <v>8</v>
      </c>
      <c r="B259" s="176" t="s">
        <v>5529</v>
      </c>
      <c r="C259" s="55" t="s">
        <v>10387</v>
      </c>
      <c r="D259" s="56">
        <v>0</v>
      </c>
      <c r="E259" s="56">
        <v>0</v>
      </c>
      <c r="F259" s="56">
        <v>0</v>
      </c>
      <c r="G259" s="56">
        <v>0</v>
      </c>
      <c r="H259" s="56">
        <v>0</v>
      </c>
      <c r="I259" s="56">
        <v>2243</v>
      </c>
      <c r="J259" s="56">
        <v>2153</v>
      </c>
      <c r="K259" s="56">
        <v>2259</v>
      </c>
      <c r="L259" s="56">
        <v>2343</v>
      </c>
      <c r="M259" s="56">
        <v>2327</v>
      </c>
      <c r="N259" s="56">
        <v>2382</v>
      </c>
      <c r="O259" s="56">
        <v>2414</v>
      </c>
      <c r="Q259" s="176" t="s">
        <v>4912</v>
      </c>
    </row>
    <row r="260" spans="1:17">
      <c r="A260" s="182">
        <v>9</v>
      </c>
      <c r="B260" s="176" t="s">
        <v>9871</v>
      </c>
      <c r="C260" s="55" t="s">
        <v>10388</v>
      </c>
      <c r="D260" s="56">
        <v>0</v>
      </c>
      <c r="E260" s="56">
        <v>0</v>
      </c>
      <c r="F260" s="56">
        <v>0</v>
      </c>
      <c r="G260" s="56">
        <v>0</v>
      </c>
      <c r="H260" s="56">
        <v>0</v>
      </c>
      <c r="I260" s="56">
        <v>1968</v>
      </c>
      <c r="J260" s="56">
        <v>1903</v>
      </c>
      <c r="K260" s="56">
        <v>1926</v>
      </c>
      <c r="L260" s="56">
        <v>1967</v>
      </c>
      <c r="M260" s="56">
        <v>1920</v>
      </c>
      <c r="N260" s="56">
        <v>1955</v>
      </c>
      <c r="O260" s="56">
        <v>1972</v>
      </c>
      <c r="Q260" s="176" t="s">
        <v>4912</v>
      </c>
    </row>
    <row r="261" spans="1:17">
      <c r="A261" s="182">
        <v>10</v>
      </c>
      <c r="B261" s="176" t="s">
        <v>4242</v>
      </c>
      <c r="C261" s="55" t="s">
        <v>10389</v>
      </c>
      <c r="D261" s="56">
        <v>0</v>
      </c>
      <c r="E261" s="56">
        <v>0</v>
      </c>
      <c r="F261" s="56">
        <v>0</v>
      </c>
      <c r="G261" s="56">
        <v>0</v>
      </c>
      <c r="H261" s="56">
        <v>0</v>
      </c>
      <c r="I261" s="56">
        <v>2171</v>
      </c>
      <c r="J261" s="56">
        <v>2090</v>
      </c>
      <c r="K261" s="56">
        <v>2124</v>
      </c>
      <c r="L261" s="56">
        <v>2171</v>
      </c>
      <c r="M261" s="56">
        <v>2164</v>
      </c>
      <c r="N261" s="56">
        <v>2185</v>
      </c>
      <c r="O261" s="56">
        <v>2192</v>
      </c>
      <c r="Q261" s="176" t="s">
        <v>4912</v>
      </c>
    </row>
    <row r="262" spans="1:17">
      <c r="A262" s="182">
        <v>11</v>
      </c>
      <c r="B262" s="176" t="s">
        <v>9872</v>
      </c>
      <c r="C262" s="55" t="s">
        <v>10390</v>
      </c>
      <c r="D262" s="56">
        <v>0</v>
      </c>
      <c r="E262" s="56">
        <v>0</v>
      </c>
      <c r="F262" s="56">
        <v>0</v>
      </c>
      <c r="G262" s="56">
        <v>0</v>
      </c>
      <c r="H262" s="56">
        <v>0</v>
      </c>
      <c r="I262" s="56">
        <v>2382</v>
      </c>
      <c r="J262" s="56">
        <v>2322</v>
      </c>
      <c r="K262" s="56">
        <v>2403</v>
      </c>
      <c r="L262" s="56">
        <v>2390</v>
      </c>
      <c r="M262" s="56">
        <v>2348</v>
      </c>
      <c r="N262" s="56">
        <v>2385</v>
      </c>
      <c r="O262" s="56">
        <v>2424</v>
      </c>
      <c r="Q262" s="176" t="s">
        <v>4912</v>
      </c>
    </row>
    <row r="263" spans="1:17">
      <c r="A263" s="182">
        <v>12</v>
      </c>
      <c r="B263" s="176" t="s">
        <v>9873</v>
      </c>
      <c r="C263" s="55" t="s">
        <v>10391</v>
      </c>
      <c r="D263" s="56">
        <v>0</v>
      </c>
      <c r="E263" s="56">
        <v>0</v>
      </c>
      <c r="F263" s="56">
        <v>0</v>
      </c>
      <c r="G263" s="56">
        <v>0</v>
      </c>
      <c r="H263" s="56">
        <v>0</v>
      </c>
      <c r="I263" s="56">
        <v>1956</v>
      </c>
      <c r="J263" s="56">
        <v>1896</v>
      </c>
      <c r="K263" s="56">
        <v>1946</v>
      </c>
      <c r="L263" s="56">
        <v>1971</v>
      </c>
      <c r="M263" s="56">
        <v>1966</v>
      </c>
      <c r="N263" s="56">
        <v>1980</v>
      </c>
      <c r="O263" s="56">
        <v>2022</v>
      </c>
      <c r="Q263" s="176" t="s">
        <v>4912</v>
      </c>
    </row>
    <row r="264" spans="1:17">
      <c r="A264" s="182">
        <v>13</v>
      </c>
      <c r="B264" s="176" t="s">
        <v>9874</v>
      </c>
      <c r="C264" s="55" t="s">
        <v>10392</v>
      </c>
      <c r="D264" s="56">
        <v>0</v>
      </c>
      <c r="E264" s="56">
        <v>0</v>
      </c>
      <c r="F264" s="56">
        <v>0</v>
      </c>
      <c r="G264" s="56">
        <v>0</v>
      </c>
      <c r="H264" s="56">
        <v>0</v>
      </c>
      <c r="I264" s="56">
        <v>4859</v>
      </c>
      <c r="J264" s="56">
        <v>4450</v>
      </c>
      <c r="K264" s="56">
        <v>4676</v>
      </c>
      <c r="L264" s="56">
        <v>4814</v>
      </c>
      <c r="M264" s="56">
        <v>4845</v>
      </c>
      <c r="N264" s="56">
        <v>4977</v>
      </c>
      <c r="O264" s="56">
        <v>5094</v>
      </c>
      <c r="Q264" s="176" t="s">
        <v>4912</v>
      </c>
    </row>
    <row r="265" spans="1:17">
      <c r="A265" s="182">
        <v>14</v>
      </c>
      <c r="B265" s="176" t="s">
        <v>6259</v>
      </c>
      <c r="C265" s="55" t="s">
        <v>10393</v>
      </c>
      <c r="D265" s="56">
        <v>0</v>
      </c>
      <c r="E265" s="56">
        <v>0</v>
      </c>
      <c r="F265" s="56">
        <v>0</v>
      </c>
      <c r="G265" s="56">
        <v>0</v>
      </c>
      <c r="H265" s="56">
        <v>0</v>
      </c>
      <c r="I265" s="56">
        <v>6963</v>
      </c>
      <c r="J265" s="56">
        <v>6581</v>
      </c>
      <c r="K265" s="56">
        <v>6756</v>
      </c>
      <c r="L265" s="56">
        <v>6781</v>
      </c>
      <c r="M265" s="56">
        <v>6752</v>
      </c>
      <c r="N265" s="56">
        <v>6952</v>
      </c>
      <c r="O265" s="56">
        <v>7048</v>
      </c>
      <c r="Q265" s="176" t="s">
        <v>4912</v>
      </c>
    </row>
    <row r="266" spans="1:17">
      <c r="A266" s="182">
        <v>15</v>
      </c>
      <c r="B266" s="176" t="s">
        <v>6260</v>
      </c>
      <c r="C266" s="55" t="s">
        <v>10394</v>
      </c>
      <c r="D266" s="56">
        <v>0</v>
      </c>
      <c r="E266" s="56">
        <v>0</v>
      </c>
      <c r="F266" s="56">
        <v>0</v>
      </c>
      <c r="G266" s="56">
        <v>0</v>
      </c>
      <c r="H266" s="56">
        <v>0</v>
      </c>
      <c r="I266" s="56">
        <v>5365</v>
      </c>
      <c r="J266" s="56">
        <v>5023</v>
      </c>
      <c r="K266" s="56">
        <v>5284</v>
      </c>
      <c r="L266" s="56">
        <v>5524</v>
      </c>
      <c r="M266" s="56">
        <v>5762</v>
      </c>
      <c r="N266" s="56">
        <v>6034</v>
      </c>
      <c r="O266" s="56">
        <v>6091</v>
      </c>
      <c r="Q266" s="176" t="s">
        <v>4912</v>
      </c>
    </row>
    <row r="267" spans="1:17">
      <c r="A267" s="182">
        <v>16</v>
      </c>
      <c r="B267" s="176" t="s">
        <v>9875</v>
      </c>
      <c r="C267" s="55" t="s">
        <v>10395</v>
      </c>
      <c r="D267" s="58">
        <v>0</v>
      </c>
      <c r="E267" s="58">
        <v>0</v>
      </c>
      <c r="F267" s="58">
        <v>0</v>
      </c>
      <c r="G267" s="58">
        <v>0</v>
      </c>
      <c r="H267" s="58">
        <v>0</v>
      </c>
      <c r="I267" s="58">
        <v>2001</v>
      </c>
      <c r="J267" s="58">
        <v>2045</v>
      </c>
      <c r="K267" s="58">
        <v>2057</v>
      </c>
      <c r="L267" s="58">
        <v>2045</v>
      </c>
      <c r="M267" s="58">
        <v>2046</v>
      </c>
      <c r="N267" s="58">
        <v>2056</v>
      </c>
      <c r="O267" s="58">
        <v>2078</v>
      </c>
      <c r="Q267" s="176" t="s">
        <v>4912</v>
      </c>
    </row>
    <row r="268" spans="1:17">
      <c r="A268" s="182">
        <v>17</v>
      </c>
      <c r="B268" s="176" t="s">
        <v>9876</v>
      </c>
      <c r="C268" s="55" t="s">
        <v>10396</v>
      </c>
      <c r="D268" s="58">
        <v>0</v>
      </c>
      <c r="E268" s="58">
        <v>0</v>
      </c>
      <c r="F268" s="58">
        <v>0</v>
      </c>
      <c r="G268" s="58">
        <v>0</v>
      </c>
      <c r="H268" s="58">
        <v>0</v>
      </c>
      <c r="I268" s="58">
        <v>5968</v>
      </c>
      <c r="J268" s="58">
        <v>5677</v>
      </c>
      <c r="K268" s="58">
        <v>5882</v>
      </c>
      <c r="L268" s="58">
        <v>5876</v>
      </c>
      <c r="M268" s="58">
        <v>5899</v>
      </c>
      <c r="N268" s="58">
        <v>5953</v>
      </c>
      <c r="O268" s="58">
        <v>5963</v>
      </c>
      <c r="Q268" s="176" t="s">
        <v>4912</v>
      </c>
    </row>
    <row r="269" spans="1:17">
      <c r="A269" s="182">
        <v>18</v>
      </c>
      <c r="B269" s="176" t="s">
        <v>9877</v>
      </c>
      <c r="C269" s="55" t="s">
        <v>10397</v>
      </c>
      <c r="D269" s="58">
        <v>0</v>
      </c>
      <c r="E269" s="58">
        <v>0</v>
      </c>
      <c r="F269" s="58">
        <v>0</v>
      </c>
      <c r="G269" s="58">
        <v>0</v>
      </c>
      <c r="H269" s="58">
        <v>0</v>
      </c>
      <c r="I269" s="58">
        <v>2201</v>
      </c>
      <c r="J269" s="58">
        <v>2188</v>
      </c>
      <c r="K269" s="58">
        <v>2357</v>
      </c>
      <c r="L269" s="58">
        <v>2369</v>
      </c>
      <c r="M269" s="58">
        <v>2434</v>
      </c>
      <c r="N269" s="58">
        <v>2529</v>
      </c>
      <c r="O269" s="58">
        <v>2563</v>
      </c>
      <c r="Q269" s="176" t="s">
        <v>4912</v>
      </c>
    </row>
    <row r="270" spans="1:17">
      <c r="A270" s="182">
        <v>19</v>
      </c>
      <c r="B270" s="176" t="s">
        <v>3009</v>
      </c>
      <c r="C270" s="55" t="s">
        <v>10398</v>
      </c>
      <c r="D270" s="58">
        <v>0</v>
      </c>
      <c r="E270" s="58">
        <v>0</v>
      </c>
      <c r="F270" s="58">
        <v>0</v>
      </c>
      <c r="G270" s="58">
        <v>0</v>
      </c>
      <c r="H270" s="58">
        <v>0</v>
      </c>
      <c r="I270" s="58">
        <v>2300</v>
      </c>
      <c r="J270" s="58">
        <v>2240</v>
      </c>
      <c r="K270" s="58">
        <v>2331</v>
      </c>
      <c r="L270" s="58">
        <v>2329</v>
      </c>
      <c r="M270" s="58">
        <v>2331</v>
      </c>
      <c r="N270" s="58">
        <v>2372</v>
      </c>
      <c r="O270" s="58">
        <v>2407</v>
      </c>
      <c r="Q270" s="176" t="s">
        <v>4912</v>
      </c>
    </row>
    <row r="271" spans="1:17">
      <c r="D271" s="179"/>
      <c r="E271" s="179"/>
      <c r="F271" s="179"/>
      <c r="G271" s="58"/>
      <c r="H271" s="58"/>
      <c r="I271" s="58"/>
      <c r="J271" s="58"/>
      <c r="K271" s="58"/>
      <c r="L271" s="58"/>
      <c r="M271" s="58"/>
      <c r="N271" s="58"/>
      <c r="O271" s="58"/>
    </row>
    <row r="272" spans="1:17">
      <c r="A272" s="176" t="s">
        <v>3957</v>
      </c>
      <c r="D272" s="180">
        <f t="shared" ref="D272:L272" si="82">SUM(D252:D270)</f>
        <v>62988</v>
      </c>
      <c r="E272" s="180">
        <f t="shared" si="82"/>
        <v>63927</v>
      </c>
      <c r="F272" s="180">
        <f t="shared" si="82"/>
        <v>63823</v>
      </c>
      <c r="G272" s="180">
        <f t="shared" si="82"/>
        <v>65622</v>
      </c>
      <c r="H272" s="180">
        <f t="shared" si="82"/>
        <v>66002</v>
      </c>
      <c r="I272" s="180">
        <f t="shared" si="82"/>
        <v>65775</v>
      </c>
      <c r="J272" s="180">
        <f t="shared" si="82"/>
        <v>63151</v>
      </c>
      <c r="K272" s="180">
        <f t="shared" si="82"/>
        <v>65119</v>
      </c>
      <c r="L272" s="180">
        <f t="shared" si="82"/>
        <v>65643</v>
      </c>
      <c r="M272" s="180">
        <f>SUM(M252:M270)</f>
        <v>66030</v>
      </c>
      <c r="N272" s="180">
        <f>SUM(N252:N270)</f>
        <v>67697</v>
      </c>
      <c r="O272" s="180">
        <f>SUM(O252:O270)</f>
        <v>68480</v>
      </c>
    </row>
    <row r="274" spans="1:1">
      <c r="A274" s="176" t="s">
        <v>9878</v>
      </c>
    </row>
    <row r="275" spans="1:1">
      <c r="A275" s="176"/>
    </row>
    <row r="276" spans="1:1">
      <c r="A276" s="176"/>
    </row>
  </sheetData>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rowBreaks count="7" manualBreakCount="7">
    <brk id="44" max="4" man="1"/>
    <brk id="73" max="4" man="1"/>
    <brk id="104" max="4" man="1"/>
    <brk id="164" max="4" man="1"/>
    <brk id="189" max="4" man="1"/>
    <brk id="218" max="4" man="1"/>
    <brk id="248" max="4" man="1"/>
  </rowBreaks>
  <ignoredErrors>
    <ignoredError sqref="D192:E192 D214:E214 D76:E76 D47:E47 D68:E68 D185:E185 D167:E167 D221:E221 D272:K272 D251:E251 D243:E244 F243:F245 F214:F221 F185:F186 F161:F167 F101:F106 F72:F76 G221:K221 G192:K192 G214:K214 G76 G167:K167 G185:K185 G47:K47 G68 G251:K251 D3:G12 D13:E40 F13:F47 G13:G40 F68:F70 G243:H244 H3:H12 H72:H76 H68:H70 H13:H40 D80:K80 I76:K76 I99:I100 D99:H100 I243:I244 I68:K68 I3:I40 D88:K88 J99:J100 J243:J244 J3:J40 K99:K100 K243:K244 K3:K40 D116:K116 D155:K155 D146:K146 D107:K107 D158:K160 L3:L167 F188:F192 L188:L221 L184:L186 F248:F251 L248:L272 L242:L245" unlocked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dimension ref="A1:Q50"/>
  <sheetViews>
    <sheetView showGridLines="0" zoomScale="90" zoomScaleNormal="90" workbookViewId="0">
      <selection activeCell="Q13" sqref="Q13"/>
    </sheetView>
  </sheetViews>
  <sheetFormatPr defaultColWidth="12.5703125" defaultRowHeight="15"/>
  <cols>
    <col min="1" max="1" width="4.85546875" style="133" customWidth="1"/>
    <col min="2" max="2" width="40.7109375" style="133" customWidth="1"/>
    <col min="3" max="3" width="11.5703125" style="133" customWidth="1"/>
    <col min="4" max="15" width="10" style="133" customWidth="1"/>
    <col min="16" max="16" width="2.28515625" style="133" customWidth="1"/>
    <col min="17" max="17" width="27" style="133" customWidth="1"/>
    <col min="18" max="16384" width="12.5703125" style="133"/>
  </cols>
  <sheetData>
    <row r="1" spans="1:17">
      <c r="A1" s="451" t="s">
        <v>6924</v>
      </c>
      <c r="D1" s="452">
        <v>2010</v>
      </c>
      <c r="E1" s="452">
        <v>2011</v>
      </c>
      <c r="F1" s="452">
        <v>2012</v>
      </c>
      <c r="G1" s="452">
        <v>2013</v>
      </c>
      <c r="H1" s="452">
        <v>2014</v>
      </c>
      <c r="I1" s="452">
        <v>2015</v>
      </c>
      <c r="J1" s="452">
        <v>2016</v>
      </c>
      <c r="K1" s="452">
        <v>2017</v>
      </c>
      <c r="L1" s="452">
        <v>2018</v>
      </c>
      <c r="M1" s="452">
        <v>2019</v>
      </c>
      <c r="N1" s="452">
        <v>2020</v>
      </c>
      <c r="O1" s="950" t="s">
        <v>14823</v>
      </c>
    </row>
    <row r="3" spans="1:17">
      <c r="A3" s="451" t="s">
        <v>6247</v>
      </c>
      <c r="D3" s="457">
        <f t="shared" ref="D3:L3" si="0">SUM(D19:D22,D24:D29,D31:D35,D37:D44)</f>
        <v>186724</v>
      </c>
      <c r="E3" s="457">
        <f t="shared" si="0"/>
        <v>193221</v>
      </c>
      <c r="F3" s="457">
        <f t="shared" si="0"/>
        <v>199120</v>
      </c>
      <c r="G3" s="457">
        <f t="shared" si="0"/>
        <v>198122</v>
      </c>
      <c r="H3" s="457">
        <f t="shared" si="0"/>
        <v>194342</v>
      </c>
      <c r="I3" s="457">
        <f t="shared" si="0"/>
        <v>181224</v>
      </c>
      <c r="J3" s="457">
        <f t="shared" si="0"/>
        <v>187371</v>
      </c>
      <c r="K3" s="457">
        <f t="shared" si="0"/>
        <v>192286</v>
      </c>
      <c r="L3" s="457">
        <f t="shared" si="0"/>
        <v>206424</v>
      </c>
      <c r="M3" s="457">
        <f>SUM(M19:M22,M24:M29,M31:M35,M37:M44)</f>
        <v>192240</v>
      </c>
      <c r="N3" s="457">
        <f>SUM(N19:N22,N24:N29,N31:N35,N37:N44)</f>
        <v>213670</v>
      </c>
      <c r="O3" s="457">
        <f>SUM(O19:O22,O24:O29,O31:O35,O37:O44)</f>
        <v>212877</v>
      </c>
    </row>
    <row r="4" spans="1:17">
      <c r="B4" s="451"/>
      <c r="C4" s="451"/>
      <c r="D4" s="457"/>
      <c r="E4" s="457"/>
      <c r="F4" s="457"/>
      <c r="G4" s="457"/>
      <c r="H4" s="457"/>
      <c r="I4" s="457"/>
      <c r="J4" s="457"/>
      <c r="K4" s="457"/>
      <c r="L4" s="457"/>
      <c r="M4" s="457"/>
      <c r="N4" s="457"/>
      <c r="O4" s="457"/>
      <c r="Q4" s="454"/>
    </row>
    <row r="5" spans="1:17">
      <c r="A5" s="451" t="s">
        <v>1052</v>
      </c>
      <c r="D5" s="453">
        <f t="shared" ref="D5:I5" si="1">D3/3</f>
        <v>62241.333333333336</v>
      </c>
      <c r="E5" s="453">
        <f t="shared" si="1"/>
        <v>64407</v>
      </c>
      <c r="F5" s="453">
        <f t="shared" si="1"/>
        <v>66373.333333333328</v>
      </c>
      <c r="G5" s="453">
        <f t="shared" si="1"/>
        <v>66040.666666666672</v>
      </c>
      <c r="H5" s="453">
        <f t="shared" si="1"/>
        <v>64780.666666666664</v>
      </c>
      <c r="I5" s="453">
        <f t="shared" si="1"/>
        <v>60408</v>
      </c>
      <c r="J5" s="453">
        <f t="shared" ref="J5:O5" si="2">J3/3</f>
        <v>62457</v>
      </c>
      <c r="K5" s="453">
        <f t="shared" si="2"/>
        <v>64095.333333333336</v>
      </c>
      <c r="L5" s="453">
        <f t="shared" si="2"/>
        <v>68808</v>
      </c>
      <c r="M5" s="453">
        <f t="shared" si="2"/>
        <v>64080</v>
      </c>
      <c r="N5" s="453">
        <f t="shared" si="2"/>
        <v>71223.333333333328</v>
      </c>
      <c r="O5" s="453">
        <f t="shared" si="2"/>
        <v>70959</v>
      </c>
    </row>
    <row r="6" spans="1:17">
      <c r="D6" s="455"/>
      <c r="E6" s="455"/>
      <c r="F6" s="455"/>
      <c r="G6" s="455"/>
      <c r="H6" s="455"/>
      <c r="I6" s="455"/>
      <c r="J6" s="455"/>
      <c r="K6" s="455"/>
      <c r="L6" s="455"/>
      <c r="M6" s="455"/>
      <c r="N6" s="455"/>
      <c r="O6" s="455"/>
    </row>
    <row r="7" spans="1:17">
      <c r="A7" s="451" t="s">
        <v>6248</v>
      </c>
      <c r="D7" s="453">
        <f t="shared" ref="D7:L7" si="3">SUM(D21,D28,D33:D34,D39,D42:D43)</f>
        <v>57353</v>
      </c>
      <c r="E7" s="453">
        <f t="shared" si="3"/>
        <v>59489</v>
      </c>
      <c r="F7" s="453">
        <f t="shared" si="3"/>
        <v>61851</v>
      </c>
      <c r="G7" s="453">
        <f t="shared" si="3"/>
        <v>60933</v>
      </c>
      <c r="H7" s="453">
        <f t="shared" si="3"/>
        <v>59119</v>
      </c>
      <c r="I7" s="453">
        <f t="shared" si="3"/>
        <v>55250</v>
      </c>
      <c r="J7" s="453">
        <f t="shared" si="3"/>
        <v>57132</v>
      </c>
      <c r="K7" s="453">
        <f t="shared" si="3"/>
        <v>59207</v>
      </c>
      <c r="L7" s="453">
        <f t="shared" si="3"/>
        <v>63628</v>
      </c>
      <c r="M7" s="453">
        <f>SUM(M21,M28,M33:M34,M39,M42:M43)</f>
        <v>58930</v>
      </c>
      <c r="N7" s="453">
        <f>SUM(N21,N28,N33:N34,N39,N42:N43)</f>
        <v>66623</v>
      </c>
      <c r="O7" s="453">
        <f>SUM(O21,O28,O33:O34,O39,O42:O43)</f>
        <v>66279</v>
      </c>
      <c r="Q7" s="451" t="s">
        <v>6249</v>
      </c>
    </row>
    <row r="8" spans="1:17">
      <c r="D8" s="455"/>
      <c r="E8" s="455"/>
      <c r="F8" s="455"/>
      <c r="G8" s="455"/>
      <c r="H8" s="455"/>
      <c r="I8" s="455"/>
      <c r="J8" s="455"/>
      <c r="K8" s="455"/>
      <c r="L8" s="455"/>
      <c r="M8" s="455"/>
      <c r="N8" s="455"/>
      <c r="O8" s="455"/>
    </row>
    <row r="9" spans="1:17">
      <c r="A9" s="451" t="s">
        <v>6250</v>
      </c>
      <c r="D9" s="453">
        <f t="shared" ref="D9:L9" si="4">SUM(D19:D20,D22,D24:D27)</f>
        <v>63271</v>
      </c>
      <c r="E9" s="453">
        <f t="shared" si="4"/>
        <v>64578</v>
      </c>
      <c r="F9" s="453">
        <f t="shared" si="4"/>
        <v>65248</v>
      </c>
      <c r="G9" s="453">
        <f t="shared" si="4"/>
        <v>65434</v>
      </c>
      <c r="H9" s="453">
        <f t="shared" si="4"/>
        <v>64436</v>
      </c>
      <c r="I9" s="453">
        <f t="shared" si="4"/>
        <v>64090</v>
      </c>
      <c r="J9" s="453">
        <f t="shared" si="4"/>
        <v>64727</v>
      </c>
      <c r="K9" s="453">
        <f t="shared" si="4"/>
        <v>66426</v>
      </c>
      <c r="L9" s="453">
        <f t="shared" si="4"/>
        <v>68434</v>
      </c>
      <c r="M9" s="453">
        <f>SUM(M19:M20,M22,M24:M27)</f>
        <v>65727</v>
      </c>
      <c r="N9" s="453">
        <f>SUM(N19:N20,N22,N24:N27)</f>
        <v>67119</v>
      </c>
      <c r="O9" s="453">
        <f>SUM(O19:O20,O22,O24:O27)</f>
        <v>66914</v>
      </c>
      <c r="Q9" s="451" t="s">
        <v>6249</v>
      </c>
    </row>
    <row r="10" spans="1:17">
      <c r="D10" s="455"/>
      <c r="E10" s="455"/>
      <c r="F10" s="455"/>
      <c r="G10" s="455"/>
      <c r="H10" s="455"/>
      <c r="I10" s="455"/>
      <c r="J10" s="455"/>
      <c r="K10" s="455"/>
      <c r="L10" s="455"/>
      <c r="M10" s="455"/>
      <c r="N10" s="455"/>
      <c r="O10" s="455"/>
    </row>
    <row r="11" spans="1:17">
      <c r="A11" s="451" t="s">
        <v>6251</v>
      </c>
      <c r="D11" s="453">
        <f t="shared" ref="D11:L11" si="5">SUM(D29,D31:D32,D35,D37:D38,D40:D41,D44)</f>
        <v>66100</v>
      </c>
      <c r="E11" s="453">
        <f t="shared" si="5"/>
        <v>69154</v>
      </c>
      <c r="F11" s="453">
        <f t="shared" si="5"/>
        <v>72021</v>
      </c>
      <c r="G11" s="453">
        <f t="shared" si="5"/>
        <v>71755</v>
      </c>
      <c r="H11" s="453">
        <f t="shared" si="5"/>
        <v>70787</v>
      </c>
      <c r="I11" s="453">
        <f t="shared" si="5"/>
        <v>61884</v>
      </c>
      <c r="J11" s="453">
        <f t="shared" si="5"/>
        <v>65512</v>
      </c>
      <c r="K11" s="453">
        <f t="shared" si="5"/>
        <v>66653</v>
      </c>
      <c r="L11" s="453">
        <f t="shared" si="5"/>
        <v>74362</v>
      </c>
      <c r="M11" s="453">
        <f>SUM(M29,M31:M32,M35,M37:M38,M40:M41,M44)</f>
        <v>67583</v>
      </c>
      <c r="N11" s="453">
        <f>SUM(N29,N31:N32,N35,N37:N38,N40:N41,N44)</f>
        <v>79928</v>
      </c>
      <c r="O11" s="453">
        <f>SUM(O29,O31:O32,O35,O37:O38,O40:O41,O44)</f>
        <v>79684</v>
      </c>
      <c r="Q11" s="451" t="s">
        <v>6249</v>
      </c>
    </row>
    <row r="12" spans="1:17">
      <c r="D12" s="455"/>
      <c r="E12" s="455"/>
      <c r="F12" s="455"/>
      <c r="G12" s="455"/>
      <c r="H12" s="455"/>
      <c r="I12" s="455"/>
      <c r="J12" s="455"/>
      <c r="K12" s="455"/>
      <c r="L12" s="455"/>
      <c r="M12" s="455"/>
      <c r="N12" s="455"/>
      <c r="O12" s="455"/>
    </row>
    <row r="13" spans="1:17">
      <c r="A13" s="451" t="s">
        <v>6796</v>
      </c>
      <c r="D13" s="453">
        <f t="shared" ref="D13:I13" si="6">D7+D9+D11</f>
        <v>186724</v>
      </c>
      <c r="E13" s="453">
        <f t="shared" si="6"/>
        <v>193221</v>
      </c>
      <c r="F13" s="453">
        <f t="shared" si="6"/>
        <v>199120</v>
      </c>
      <c r="G13" s="453">
        <f t="shared" si="6"/>
        <v>198122</v>
      </c>
      <c r="H13" s="453">
        <f t="shared" si="6"/>
        <v>194342</v>
      </c>
      <c r="I13" s="453">
        <f t="shared" si="6"/>
        <v>181224</v>
      </c>
      <c r="J13" s="453">
        <f t="shared" ref="J13:O13" si="7">J7+J9+J11</f>
        <v>187371</v>
      </c>
      <c r="K13" s="453">
        <f t="shared" si="7"/>
        <v>192286</v>
      </c>
      <c r="L13" s="453">
        <f t="shared" si="7"/>
        <v>206424</v>
      </c>
      <c r="M13" s="453">
        <f t="shared" si="7"/>
        <v>192240</v>
      </c>
      <c r="N13" s="453">
        <f t="shared" si="7"/>
        <v>213670</v>
      </c>
      <c r="O13" s="453">
        <f t="shared" si="7"/>
        <v>212877</v>
      </c>
    </row>
    <row r="14" spans="1:17">
      <c r="D14" s="455"/>
      <c r="E14" s="455"/>
      <c r="F14" s="455"/>
      <c r="G14" s="455"/>
      <c r="H14" s="455"/>
      <c r="I14" s="455"/>
      <c r="J14" s="455"/>
      <c r="K14" s="455"/>
      <c r="L14" s="455"/>
      <c r="M14" s="455"/>
      <c r="N14" s="455"/>
      <c r="O14" s="455"/>
    </row>
    <row r="15" spans="1:17">
      <c r="A15" s="451" t="s">
        <v>6797</v>
      </c>
      <c r="D15" s="453">
        <f t="shared" ref="D15:I15" si="8">MAX(D7,D9,D11)-MIN(D7,D9,D11)</f>
        <v>8747</v>
      </c>
      <c r="E15" s="453">
        <f t="shared" si="8"/>
        <v>9665</v>
      </c>
      <c r="F15" s="453">
        <f t="shared" si="8"/>
        <v>10170</v>
      </c>
      <c r="G15" s="453">
        <f t="shared" si="8"/>
        <v>10822</v>
      </c>
      <c r="H15" s="453">
        <f t="shared" si="8"/>
        <v>11668</v>
      </c>
      <c r="I15" s="453">
        <f t="shared" si="8"/>
        <v>8840</v>
      </c>
      <c r="J15" s="453">
        <f t="shared" ref="J15:O15" si="9">MAX(J7,J9,J11)-MIN(J7,J9,J11)</f>
        <v>8380</v>
      </c>
      <c r="K15" s="453">
        <f t="shared" si="9"/>
        <v>7446</v>
      </c>
      <c r="L15" s="453">
        <f t="shared" si="9"/>
        <v>10734</v>
      </c>
      <c r="M15" s="453">
        <f t="shared" si="9"/>
        <v>8653</v>
      </c>
      <c r="N15" s="453">
        <f t="shared" si="9"/>
        <v>13305</v>
      </c>
      <c r="O15" s="453">
        <f t="shared" si="9"/>
        <v>13405</v>
      </c>
    </row>
    <row r="16" spans="1:17">
      <c r="D16" s="455"/>
      <c r="E16" s="455"/>
      <c r="F16" s="455"/>
      <c r="G16" s="455"/>
      <c r="H16" s="455"/>
      <c r="I16" s="455"/>
      <c r="J16" s="455"/>
      <c r="K16" s="455"/>
      <c r="L16" s="455"/>
      <c r="M16" s="455"/>
      <c r="N16" s="455"/>
      <c r="O16" s="455"/>
    </row>
    <row r="17" spans="1:17">
      <c r="A17" s="451" t="s">
        <v>6800</v>
      </c>
      <c r="D17" s="453">
        <f t="shared" ref="D17:I17" si="10">STDEVP(D7,D9,D11)</f>
        <v>3644.4169477282494</v>
      </c>
      <c r="E17" s="453">
        <f t="shared" si="10"/>
        <v>3947.5719963879906</v>
      </c>
      <c r="F17" s="453">
        <f t="shared" si="10"/>
        <v>4227.4504793735377</v>
      </c>
      <c r="G17" s="453">
        <f t="shared" si="10"/>
        <v>4438.8402639528367</v>
      </c>
      <c r="H17" s="453">
        <f t="shared" si="10"/>
        <v>4769.6717101098502</v>
      </c>
      <c r="I17" s="453">
        <f t="shared" si="10"/>
        <v>3756.8011215216952</v>
      </c>
      <c r="J17" s="453">
        <f t="shared" ref="J17:O17" si="11">STDEVP(J7,J9,J11)</f>
        <v>3778.9570871692454</v>
      </c>
      <c r="K17" s="453">
        <f t="shared" si="11"/>
        <v>3457.8157203002529</v>
      </c>
      <c r="L17" s="453">
        <f t="shared" si="11"/>
        <v>4390.1097936156448</v>
      </c>
      <c r="M17" s="453">
        <f t="shared" si="11"/>
        <v>3719.5930781023167</v>
      </c>
      <c r="N17" s="453">
        <f t="shared" si="11"/>
        <v>6158.4586996711732</v>
      </c>
      <c r="O17" s="453">
        <f t="shared" si="11"/>
        <v>6174.9507420437503</v>
      </c>
    </row>
    <row r="18" spans="1:17">
      <c r="A18" s="451"/>
      <c r="D18" s="458"/>
      <c r="E18" s="458"/>
      <c r="F18" s="458"/>
      <c r="G18" s="458"/>
      <c r="H18" s="458"/>
      <c r="I18" s="458"/>
      <c r="J18" s="458"/>
      <c r="K18" s="458"/>
      <c r="L18" s="458"/>
      <c r="M18" s="458"/>
      <c r="N18" s="458"/>
      <c r="O18" s="458"/>
    </row>
    <row r="19" spans="1:17">
      <c r="A19" s="451" t="s">
        <v>5387</v>
      </c>
      <c r="B19" s="451" t="s">
        <v>6252</v>
      </c>
      <c r="C19" s="133" t="s">
        <v>13684</v>
      </c>
      <c r="D19" s="453">
        <v>63271</v>
      </c>
      <c r="E19" s="453">
        <v>64578</v>
      </c>
      <c r="F19" s="453">
        <v>65248</v>
      </c>
      <c r="G19" s="453">
        <v>65434</v>
      </c>
      <c r="H19" s="453">
        <v>64436</v>
      </c>
      <c r="I19" s="453">
        <v>64090</v>
      </c>
      <c r="J19" s="453">
        <v>64727</v>
      </c>
      <c r="K19" s="453">
        <v>66426</v>
      </c>
      <c r="L19" s="453">
        <v>68434</v>
      </c>
      <c r="M19" s="56">
        <v>10569</v>
      </c>
      <c r="N19" s="56">
        <v>10827</v>
      </c>
      <c r="O19" s="56">
        <v>10759</v>
      </c>
      <c r="Q19" s="451" t="s">
        <v>6250</v>
      </c>
    </row>
    <row r="20" spans="1:17">
      <c r="A20" s="451" t="s">
        <v>5389</v>
      </c>
      <c r="B20" s="451" t="s">
        <v>6253</v>
      </c>
      <c r="C20" s="133" t="s">
        <v>13685</v>
      </c>
      <c r="D20" s="453">
        <v>0</v>
      </c>
      <c r="E20" s="453">
        <v>0</v>
      </c>
      <c r="F20" s="453">
        <v>0</v>
      </c>
      <c r="G20" s="453">
        <v>0</v>
      </c>
      <c r="H20" s="453">
        <v>0</v>
      </c>
      <c r="I20" s="453">
        <v>0</v>
      </c>
      <c r="J20" s="453">
        <v>0</v>
      </c>
      <c r="K20" s="453">
        <v>0</v>
      </c>
      <c r="L20" s="453">
        <v>0</v>
      </c>
      <c r="M20" s="56">
        <v>10766</v>
      </c>
      <c r="N20" s="56">
        <v>11210</v>
      </c>
      <c r="O20" s="56">
        <v>11200</v>
      </c>
      <c r="Q20" s="451" t="s">
        <v>6250</v>
      </c>
    </row>
    <row r="21" spans="1:17">
      <c r="A21" s="451" t="s">
        <v>5391</v>
      </c>
      <c r="B21" s="451" t="s">
        <v>6254</v>
      </c>
      <c r="C21" s="133" t="s">
        <v>13686</v>
      </c>
      <c r="D21" s="453">
        <v>0</v>
      </c>
      <c r="E21" s="453">
        <v>0</v>
      </c>
      <c r="F21" s="453">
        <v>0</v>
      </c>
      <c r="G21" s="453">
        <v>0</v>
      </c>
      <c r="H21" s="453">
        <v>0</v>
      </c>
      <c r="I21" s="453">
        <v>0</v>
      </c>
      <c r="J21" s="453">
        <v>0</v>
      </c>
      <c r="K21" s="453">
        <v>0</v>
      </c>
      <c r="L21" s="453">
        <v>0</v>
      </c>
      <c r="M21" s="56">
        <v>9510</v>
      </c>
      <c r="N21" s="56">
        <v>10124</v>
      </c>
      <c r="O21" s="56">
        <v>10090</v>
      </c>
      <c r="Q21" s="451" t="s">
        <v>6248</v>
      </c>
    </row>
    <row r="22" spans="1:17" ht="15.75" thickBot="1">
      <c r="B22" s="451"/>
      <c r="C22" s="133" t="s">
        <v>13686</v>
      </c>
      <c r="D22" s="453">
        <v>0</v>
      </c>
      <c r="E22" s="453">
        <v>0</v>
      </c>
      <c r="F22" s="453">
        <v>0</v>
      </c>
      <c r="G22" s="453">
        <v>0</v>
      </c>
      <c r="H22" s="453">
        <v>0</v>
      </c>
      <c r="I22" s="453">
        <v>0</v>
      </c>
      <c r="J22" s="453">
        <v>0</v>
      </c>
      <c r="K22" s="453">
        <v>0</v>
      </c>
      <c r="L22" s="453">
        <v>0</v>
      </c>
      <c r="M22" s="56">
        <v>22</v>
      </c>
      <c r="N22" s="56">
        <v>26</v>
      </c>
      <c r="O22" s="56">
        <v>25</v>
      </c>
      <c r="Q22" s="451" t="s">
        <v>6250</v>
      </c>
    </row>
    <row r="23" spans="1:17" ht="15.75" thickBot="1">
      <c r="B23" s="451"/>
      <c r="C23" s="133" t="s">
        <v>13686</v>
      </c>
      <c r="D23" s="184">
        <f>D21+D22</f>
        <v>0</v>
      </c>
      <c r="E23" s="184">
        <f t="shared" ref="E23:M23" si="12">E21+E22</f>
        <v>0</v>
      </c>
      <c r="F23" s="184">
        <f t="shared" si="12"/>
        <v>0</v>
      </c>
      <c r="G23" s="184">
        <f t="shared" si="12"/>
        <v>0</v>
      </c>
      <c r="H23" s="184">
        <f t="shared" si="12"/>
        <v>0</v>
      </c>
      <c r="I23" s="184">
        <f t="shared" si="12"/>
        <v>0</v>
      </c>
      <c r="J23" s="184">
        <f t="shared" si="12"/>
        <v>0</v>
      </c>
      <c r="K23" s="184">
        <f t="shared" si="12"/>
        <v>0</v>
      </c>
      <c r="L23" s="184">
        <f t="shared" si="12"/>
        <v>0</v>
      </c>
      <c r="M23" s="184">
        <f t="shared" si="12"/>
        <v>9532</v>
      </c>
      <c r="N23" s="184">
        <f>N21+N22</f>
        <v>10150</v>
      </c>
      <c r="O23" s="184">
        <f>O21+O22</f>
        <v>10115</v>
      </c>
    </row>
    <row r="24" spans="1:17">
      <c r="A24" s="451" t="s">
        <v>5393</v>
      </c>
      <c r="B24" s="451" t="s">
        <v>5658</v>
      </c>
      <c r="C24" s="133" t="s">
        <v>13687</v>
      </c>
      <c r="D24" s="453">
        <v>0</v>
      </c>
      <c r="E24" s="453">
        <v>0</v>
      </c>
      <c r="F24" s="453">
        <v>0</v>
      </c>
      <c r="G24" s="453">
        <v>0</v>
      </c>
      <c r="H24" s="453">
        <v>0</v>
      </c>
      <c r="I24" s="453">
        <v>0</v>
      </c>
      <c r="J24" s="453">
        <v>0</v>
      </c>
      <c r="K24" s="453">
        <v>0</v>
      </c>
      <c r="L24" s="453">
        <v>0</v>
      </c>
      <c r="M24" s="56">
        <v>11421</v>
      </c>
      <c r="N24" s="56">
        <v>11570</v>
      </c>
      <c r="O24" s="56">
        <v>11554</v>
      </c>
      <c r="Q24" s="451" t="s">
        <v>6250</v>
      </c>
    </row>
    <row r="25" spans="1:17">
      <c r="A25" s="451" t="s">
        <v>5394</v>
      </c>
      <c r="B25" s="451" t="s">
        <v>5659</v>
      </c>
      <c r="C25" s="133" t="s">
        <v>13688</v>
      </c>
      <c r="D25" s="453">
        <v>0</v>
      </c>
      <c r="E25" s="453">
        <v>0</v>
      </c>
      <c r="F25" s="453">
        <v>0</v>
      </c>
      <c r="G25" s="453">
        <v>0</v>
      </c>
      <c r="H25" s="453">
        <v>0</v>
      </c>
      <c r="I25" s="453">
        <v>0</v>
      </c>
      <c r="J25" s="453">
        <v>0</v>
      </c>
      <c r="K25" s="453">
        <v>0</v>
      </c>
      <c r="L25" s="453">
        <v>0</v>
      </c>
      <c r="M25" s="56">
        <v>11797</v>
      </c>
      <c r="N25" s="56">
        <v>12001</v>
      </c>
      <c r="O25" s="56">
        <v>11941</v>
      </c>
      <c r="Q25" s="451" t="s">
        <v>6250</v>
      </c>
    </row>
    <row r="26" spans="1:17">
      <c r="A26" s="451" t="s">
        <v>5416</v>
      </c>
      <c r="B26" s="451" t="s">
        <v>5660</v>
      </c>
      <c r="C26" s="133" t="s">
        <v>13689</v>
      </c>
      <c r="D26" s="453">
        <v>0</v>
      </c>
      <c r="E26" s="453">
        <v>0</v>
      </c>
      <c r="F26" s="453">
        <v>0</v>
      </c>
      <c r="G26" s="453">
        <v>0</v>
      </c>
      <c r="H26" s="453">
        <v>0</v>
      </c>
      <c r="I26" s="453">
        <v>0</v>
      </c>
      <c r="J26" s="453">
        <v>0</v>
      </c>
      <c r="K26" s="453">
        <v>0</v>
      </c>
      <c r="L26" s="453">
        <v>0</v>
      </c>
      <c r="M26" s="56">
        <v>10978</v>
      </c>
      <c r="N26" s="56">
        <v>11110</v>
      </c>
      <c r="O26" s="56">
        <v>11106</v>
      </c>
      <c r="Q26" s="451" t="s">
        <v>6250</v>
      </c>
    </row>
    <row r="27" spans="1:17">
      <c r="A27" s="451" t="s">
        <v>5418</v>
      </c>
      <c r="B27" s="451" t="s">
        <v>5661</v>
      </c>
      <c r="C27" s="133" t="s">
        <v>13690</v>
      </c>
      <c r="D27" s="453">
        <v>0</v>
      </c>
      <c r="E27" s="453">
        <v>0</v>
      </c>
      <c r="F27" s="453">
        <v>0</v>
      </c>
      <c r="G27" s="453">
        <v>0</v>
      </c>
      <c r="H27" s="453">
        <v>0</v>
      </c>
      <c r="I27" s="453">
        <v>0</v>
      </c>
      <c r="J27" s="453">
        <v>0</v>
      </c>
      <c r="K27" s="453">
        <v>0</v>
      </c>
      <c r="L27" s="453">
        <v>0</v>
      </c>
      <c r="M27" s="56">
        <v>10174</v>
      </c>
      <c r="N27" s="56">
        <v>10375</v>
      </c>
      <c r="O27" s="56">
        <v>10329</v>
      </c>
      <c r="Q27" s="451" t="s">
        <v>6250</v>
      </c>
    </row>
    <row r="28" spans="1:17">
      <c r="A28" s="451" t="s">
        <v>5420</v>
      </c>
      <c r="B28" s="451" t="s">
        <v>5904</v>
      </c>
      <c r="C28" s="133" t="s">
        <v>13691</v>
      </c>
      <c r="D28" s="453">
        <v>0</v>
      </c>
      <c r="E28" s="453">
        <v>0</v>
      </c>
      <c r="F28" s="453">
        <v>0</v>
      </c>
      <c r="G28" s="453">
        <v>0</v>
      </c>
      <c r="H28" s="453">
        <v>0</v>
      </c>
      <c r="I28" s="453">
        <v>0</v>
      </c>
      <c r="J28" s="453">
        <v>0</v>
      </c>
      <c r="K28" s="453">
        <v>0</v>
      </c>
      <c r="L28" s="453">
        <v>0</v>
      </c>
      <c r="M28" s="56">
        <v>164</v>
      </c>
      <c r="N28" s="56">
        <v>156</v>
      </c>
      <c r="O28" s="56">
        <v>151</v>
      </c>
      <c r="Q28" s="451" t="s">
        <v>6248</v>
      </c>
    </row>
    <row r="29" spans="1:17" ht="15.75" thickBot="1">
      <c r="B29" s="451"/>
      <c r="C29" s="133" t="s">
        <v>13691</v>
      </c>
      <c r="D29" s="453">
        <v>0</v>
      </c>
      <c r="E29" s="453">
        <v>0</v>
      </c>
      <c r="F29" s="453">
        <v>0</v>
      </c>
      <c r="G29" s="453">
        <v>0</v>
      </c>
      <c r="H29" s="453">
        <v>0</v>
      </c>
      <c r="I29" s="453">
        <v>0</v>
      </c>
      <c r="J29" s="453">
        <v>0</v>
      </c>
      <c r="K29" s="453">
        <v>0</v>
      </c>
      <c r="L29" s="453">
        <v>0</v>
      </c>
      <c r="M29" s="56">
        <v>5541</v>
      </c>
      <c r="N29" s="56">
        <v>6939</v>
      </c>
      <c r="O29" s="56">
        <v>6934</v>
      </c>
      <c r="Q29" s="451" t="s">
        <v>6251</v>
      </c>
    </row>
    <row r="30" spans="1:17" ht="15.75" thickBot="1">
      <c r="A30" s="451"/>
      <c r="B30" s="451"/>
      <c r="C30" s="133" t="s">
        <v>13691</v>
      </c>
      <c r="D30" s="184">
        <f>D28+D29</f>
        <v>0</v>
      </c>
      <c r="E30" s="184">
        <f t="shared" ref="E30:M30" si="13">E28+E29</f>
        <v>0</v>
      </c>
      <c r="F30" s="184">
        <f t="shared" si="13"/>
        <v>0</v>
      </c>
      <c r="G30" s="184">
        <f t="shared" si="13"/>
        <v>0</v>
      </c>
      <c r="H30" s="184">
        <f t="shared" si="13"/>
        <v>0</v>
      </c>
      <c r="I30" s="184">
        <f t="shared" si="13"/>
        <v>0</v>
      </c>
      <c r="J30" s="184">
        <f t="shared" si="13"/>
        <v>0</v>
      </c>
      <c r="K30" s="184">
        <f t="shared" si="13"/>
        <v>0</v>
      </c>
      <c r="L30" s="184">
        <f t="shared" si="13"/>
        <v>0</v>
      </c>
      <c r="M30" s="184">
        <f t="shared" si="13"/>
        <v>5705</v>
      </c>
      <c r="N30" s="184">
        <f>N28+N29</f>
        <v>7095</v>
      </c>
      <c r="O30" s="184">
        <f>O28+O29</f>
        <v>7085</v>
      </c>
    </row>
    <row r="31" spans="1:17">
      <c r="A31" s="451" t="s">
        <v>5422</v>
      </c>
      <c r="B31" s="451" t="s">
        <v>12424</v>
      </c>
      <c r="C31" s="133" t="s">
        <v>13692</v>
      </c>
      <c r="D31" s="453">
        <v>66100</v>
      </c>
      <c r="E31" s="453">
        <v>69154</v>
      </c>
      <c r="F31" s="453">
        <v>72021</v>
      </c>
      <c r="G31" s="453">
        <v>71755</v>
      </c>
      <c r="H31" s="453">
        <v>70787</v>
      </c>
      <c r="I31" s="453">
        <v>61884</v>
      </c>
      <c r="J31" s="453">
        <v>65512</v>
      </c>
      <c r="K31" s="453">
        <v>66653</v>
      </c>
      <c r="L31" s="453">
        <v>74362</v>
      </c>
      <c r="M31" s="56">
        <v>12057</v>
      </c>
      <c r="N31" s="56">
        <v>12304</v>
      </c>
      <c r="O31" s="56">
        <v>12225</v>
      </c>
      <c r="Q31" s="451" t="s">
        <v>6251</v>
      </c>
    </row>
    <row r="32" spans="1:17">
      <c r="A32" s="451" t="s">
        <v>5424</v>
      </c>
      <c r="B32" s="451" t="s">
        <v>12425</v>
      </c>
      <c r="C32" s="133" t="s">
        <v>13693</v>
      </c>
      <c r="D32" s="453">
        <v>0</v>
      </c>
      <c r="E32" s="453">
        <v>0</v>
      </c>
      <c r="F32" s="453">
        <v>0</v>
      </c>
      <c r="G32" s="453">
        <v>0</v>
      </c>
      <c r="H32" s="453">
        <v>0</v>
      </c>
      <c r="I32" s="453">
        <v>0</v>
      </c>
      <c r="J32" s="453">
        <v>0</v>
      </c>
      <c r="K32" s="453">
        <v>0</v>
      </c>
      <c r="L32" s="453">
        <v>0</v>
      </c>
      <c r="M32" s="56">
        <v>7380</v>
      </c>
      <c r="N32" s="56">
        <v>7915</v>
      </c>
      <c r="O32" s="56">
        <v>7899</v>
      </c>
      <c r="Q32" s="451" t="s">
        <v>6251</v>
      </c>
    </row>
    <row r="33" spans="1:17">
      <c r="A33" s="451" t="s">
        <v>5426</v>
      </c>
      <c r="B33" s="451" t="s">
        <v>2063</v>
      </c>
      <c r="C33" s="133" t="s">
        <v>13694</v>
      </c>
      <c r="D33" s="453">
        <v>57353</v>
      </c>
      <c r="E33" s="453">
        <v>59489</v>
      </c>
      <c r="F33" s="453">
        <v>61851</v>
      </c>
      <c r="G33" s="453">
        <v>60933</v>
      </c>
      <c r="H33" s="453">
        <v>59119</v>
      </c>
      <c r="I33" s="453">
        <v>55250</v>
      </c>
      <c r="J33" s="453">
        <v>57132</v>
      </c>
      <c r="K33" s="453">
        <v>59207</v>
      </c>
      <c r="L33" s="453">
        <v>63628</v>
      </c>
      <c r="M33" s="56">
        <v>10291</v>
      </c>
      <c r="N33" s="56">
        <v>10776</v>
      </c>
      <c r="O33" s="56">
        <v>10720</v>
      </c>
      <c r="Q33" s="451" t="s">
        <v>6248</v>
      </c>
    </row>
    <row r="34" spans="1:17">
      <c r="A34" s="451" t="s">
        <v>5428</v>
      </c>
      <c r="B34" s="451" t="s">
        <v>12423</v>
      </c>
      <c r="C34" s="133" t="s">
        <v>13695</v>
      </c>
      <c r="D34" s="453">
        <v>0</v>
      </c>
      <c r="E34" s="453">
        <v>0</v>
      </c>
      <c r="F34" s="453">
        <v>0</v>
      </c>
      <c r="G34" s="453">
        <v>0</v>
      </c>
      <c r="H34" s="453">
        <v>0</v>
      </c>
      <c r="I34" s="453">
        <v>0</v>
      </c>
      <c r="J34" s="453">
        <v>0</v>
      </c>
      <c r="K34" s="453">
        <v>0</v>
      </c>
      <c r="L34" s="453">
        <v>0</v>
      </c>
      <c r="M34" s="56">
        <v>7712</v>
      </c>
      <c r="N34" s="56">
        <v>11252</v>
      </c>
      <c r="O34" s="56">
        <v>11213</v>
      </c>
      <c r="Q34" s="451" t="s">
        <v>6248</v>
      </c>
    </row>
    <row r="35" spans="1:17" ht="15.75" thickBot="1">
      <c r="B35" s="451"/>
      <c r="C35" s="133" t="s">
        <v>13695</v>
      </c>
      <c r="D35" s="453">
        <v>0</v>
      </c>
      <c r="E35" s="453">
        <v>0</v>
      </c>
      <c r="F35" s="453">
        <v>0</v>
      </c>
      <c r="G35" s="453">
        <v>0</v>
      </c>
      <c r="H35" s="453">
        <v>0</v>
      </c>
      <c r="I35" s="453">
        <v>0</v>
      </c>
      <c r="J35" s="453">
        <v>0</v>
      </c>
      <c r="K35" s="453">
        <v>0</v>
      </c>
      <c r="L35" s="453">
        <v>0</v>
      </c>
      <c r="M35" s="56">
        <v>1961</v>
      </c>
      <c r="N35" s="56">
        <v>2135</v>
      </c>
      <c r="O35" s="56">
        <v>2089</v>
      </c>
      <c r="Q35" s="451" t="s">
        <v>6251</v>
      </c>
    </row>
    <row r="36" spans="1:17" ht="15.75" thickBot="1">
      <c r="B36" s="451"/>
      <c r="C36" s="133" t="s">
        <v>13695</v>
      </c>
      <c r="D36" s="184">
        <f>D34+D35</f>
        <v>0</v>
      </c>
      <c r="E36" s="184">
        <f t="shared" ref="E36:M36" si="14">E34+E35</f>
        <v>0</v>
      </c>
      <c r="F36" s="184">
        <f t="shared" si="14"/>
        <v>0</v>
      </c>
      <c r="G36" s="184">
        <f t="shared" si="14"/>
        <v>0</v>
      </c>
      <c r="H36" s="184">
        <f t="shared" si="14"/>
        <v>0</v>
      </c>
      <c r="I36" s="184">
        <f t="shared" si="14"/>
        <v>0</v>
      </c>
      <c r="J36" s="184">
        <f t="shared" si="14"/>
        <v>0</v>
      </c>
      <c r="K36" s="184">
        <f t="shared" si="14"/>
        <v>0</v>
      </c>
      <c r="L36" s="184">
        <f t="shared" si="14"/>
        <v>0</v>
      </c>
      <c r="M36" s="184">
        <f t="shared" si="14"/>
        <v>9673</v>
      </c>
      <c r="N36" s="184">
        <f>N34+N35</f>
        <v>13387</v>
      </c>
      <c r="O36" s="184">
        <f>O34+O35</f>
        <v>13302</v>
      </c>
    </row>
    <row r="37" spans="1:17">
      <c r="A37" s="451" t="s">
        <v>5429</v>
      </c>
      <c r="B37" s="451" t="s">
        <v>5662</v>
      </c>
      <c r="C37" s="133" t="s">
        <v>13696</v>
      </c>
      <c r="D37" s="453">
        <v>0</v>
      </c>
      <c r="E37" s="453">
        <v>0</v>
      </c>
      <c r="F37" s="453">
        <v>0</v>
      </c>
      <c r="G37" s="453">
        <v>0</v>
      </c>
      <c r="H37" s="453">
        <v>0</v>
      </c>
      <c r="I37" s="453">
        <v>0</v>
      </c>
      <c r="J37" s="453">
        <v>0</v>
      </c>
      <c r="K37" s="453">
        <v>0</v>
      </c>
      <c r="L37" s="453">
        <v>0</v>
      </c>
      <c r="M37" s="58">
        <v>6127</v>
      </c>
      <c r="N37" s="58">
        <v>6552</v>
      </c>
      <c r="O37" s="58">
        <v>6526</v>
      </c>
      <c r="Q37" s="451" t="s">
        <v>6251</v>
      </c>
    </row>
    <row r="38" spans="1:17">
      <c r="A38" s="451" t="s">
        <v>5431</v>
      </c>
      <c r="B38" s="451" t="s">
        <v>12426</v>
      </c>
      <c r="C38" s="133" t="s">
        <v>13697</v>
      </c>
      <c r="D38" s="453">
        <v>0</v>
      </c>
      <c r="E38" s="453">
        <v>0</v>
      </c>
      <c r="F38" s="453">
        <v>0</v>
      </c>
      <c r="G38" s="453">
        <v>0</v>
      </c>
      <c r="H38" s="453">
        <v>0</v>
      </c>
      <c r="I38" s="453">
        <v>0</v>
      </c>
      <c r="J38" s="453">
        <v>0</v>
      </c>
      <c r="K38" s="453">
        <v>0</v>
      </c>
      <c r="L38" s="453">
        <v>0</v>
      </c>
      <c r="M38" s="58">
        <v>10881</v>
      </c>
      <c r="N38" s="58">
        <v>16066</v>
      </c>
      <c r="O38" s="58">
        <v>16041</v>
      </c>
      <c r="Q38" s="451" t="s">
        <v>6251</v>
      </c>
    </row>
    <row r="39" spans="1:17">
      <c r="A39" s="451" t="s">
        <v>5433</v>
      </c>
      <c r="B39" s="451" t="s">
        <v>5663</v>
      </c>
      <c r="C39" s="133" t="s">
        <v>13698</v>
      </c>
      <c r="D39" s="453">
        <v>0</v>
      </c>
      <c r="E39" s="453">
        <v>0</v>
      </c>
      <c r="F39" s="453">
        <v>0</v>
      </c>
      <c r="G39" s="453">
        <v>0</v>
      </c>
      <c r="H39" s="453">
        <v>0</v>
      </c>
      <c r="I39" s="453">
        <v>0</v>
      </c>
      <c r="J39" s="453">
        <v>0</v>
      </c>
      <c r="K39" s="453">
        <v>0</v>
      </c>
      <c r="L39" s="453">
        <v>0</v>
      </c>
      <c r="M39" s="56">
        <v>10259</v>
      </c>
      <c r="N39" s="56">
        <v>10851</v>
      </c>
      <c r="O39" s="56">
        <v>10767</v>
      </c>
      <c r="Q39" s="451" t="s">
        <v>6248</v>
      </c>
    </row>
    <row r="40" spans="1:17">
      <c r="A40" s="451" t="s">
        <v>5435</v>
      </c>
      <c r="B40" s="451" t="s">
        <v>12427</v>
      </c>
      <c r="C40" s="133" t="s">
        <v>13699</v>
      </c>
      <c r="D40" s="453">
        <v>0</v>
      </c>
      <c r="E40" s="453">
        <v>0</v>
      </c>
      <c r="F40" s="453">
        <v>0</v>
      </c>
      <c r="G40" s="453">
        <v>0</v>
      </c>
      <c r="H40" s="453">
        <v>0</v>
      </c>
      <c r="I40" s="453">
        <v>0</v>
      </c>
      <c r="J40" s="453">
        <v>0</v>
      </c>
      <c r="K40" s="453">
        <v>0</v>
      </c>
      <c r="L40" s="453">
        <v>0</v>
      </c>
      <c r="M40" s="58">
        <v>6156</v>
      </c>
      <c r="N40" s="58">
        <v>6503</v>
      </c>
      <c r="O40" s="58">
        <v>6485</v>
      </c>
      <c r="Q40" s="451" t="s">
        <v>6251</v>
      </c>
    </row>
    <row r="41" spans="1:17">
      <c r="A41" s="461">
        <v>17</v>
      </c>
      <c r="B41" s="451" t="s">
        <v>6296</v>
      </c>
      <c r="C41" s="133" t="s">
        <v>13700</v>
      </c>
      <c r="D41" s="453">
        <v>0</v>
      </c>
      <c r="E41" s="453">
        <v>0</v>
      </c>
      <c r="F41" s="453">
        <v>0</v>
      </c>
      <c r="G41" s="453">
        <v>0</v>
      </c>
      <c r="H41" s="453">
        <v>0</v>
      </c>
      <c r="I41" s="453">
        <v>0</v>
      </c>
      <c r="J41" s="453">
        <v>0</v>
      </c>
      <c r="K41" s="453">
        <v>0</v>
      </c>
      <c r="L41" s="453">
        <v>0</v>
      </c>
      <c r="M41" s="56">
        <v>6555</v>
      </c>
      <c r="N41" s="56">
        <v>10338</v>
      </c>
      <c r="O41" s="56">
        <v>10332</v>
      </c>
      <c r="Q41" s="451" t="s">
        <v>6251</v>
      </c>
    </row>
    <row r="42" spans="1:17">
      <c r="A42" s="461">
        <v>18</v>
      </c>
      <c r="B42" s="451" t="s">
        <v>13702</v>
      </c>
      <c r="C42" s="133" t="s">
        <v>13701</v>
      </c>
      <c r="D42" s="453">
        <v>0</v>
      </c>
      <c r="E42" s="453">
        <v>0</v>
      </c>
      <c r="F42" s="453">
        <v>0</v>
      </c>
      <c r="G42" s="453">
        <v>0</v>
      </c>
      <c r="H42" s="453">
        <v>0</v>
      </c>
      <c r="I42" s="453">
        <v>0</v>
      </c>
      <c r="J42" s="453">
        <v>0</v>
      </c>
      <c r="K42" s="453">
        <v>0</v>
      </c>
      <c r="L42" s="453">
        <v>0</v>
      </c>
      <c r="M42" s="58">
        <v>10338</v>
      </c>
      <c r="N42" s="56">
        <v>12323</v>
      </c>
      <c r="O42" s="56">
        <v>12264</v>
      </c>
      <c r="Q42" s="451" t="s">
        <v>6248</v>
      </c>
    </row>
    <row r="43" spans="1:17">
      <c r="A43" s="451" t="s">
        <v>5439</v>
      </c>
      <c r="B43" s="451" t="s">
        <v>75</v>
      </c>
      <c r="C43" s="133" t="s">
        <v>13703</v>
      </c>
      <c r="D43" s="453">
        <v>0</v>
      </c>
      <c r="E43" s="453">
        <v>0</v>
      </c>
      <c r="F43" s="453">
        <v>0</v>
      </c>
      <c r="G43" s="453">
        <v>0</v>
      </c>
      <c r="H43" s="453">
        <v>0</v>
      </c>
      <c r="I43" s="453">
        <v>0</v>
      </c>
      <c r="J43" s="453">
        <v>0</v>
      </c>
      <c r="K43" s="453">
        <v>0</v>
      </c>
      <c r="L43" s="453">
        <v>0</v>
      </c>
      <c r="M43" s="56">
        <v>10656</v>
      </c>
      <c r="N43" s="56">
        <v>11141</v>
      </c>
      <c r="O43" s="56">
        <v>11074</v>
      </c>
      <c r="Q43" s="451" t="s">
        <v>6248</v>
      </c>
    </row>
    <row r="44" spans="1:17">
      <c r="A44" s="451" t="s">
        <v>5441</v>
      </c>
      <c r="B44" s="451" t="s">
        <v>3514</v>
      </c>
      <c r="C44" s="133" t="s">
        <v>13704</v>
      </c>
      <c r="D44" s="453">
        <v>0</v>
      </c>
      <c r="E44" s="453">
        <v>0</v>
      </c>
      <c r="F44" s="453">
        <v>0</v>
      </c>
      <c r="G44" s="453">
        <v>0</v>
      </c>
      <c r="H44" s="453">
        <v>0</v>
      </c>
      <c r="I44" s="453">
        <v>0</v>
      </c>
      <c r="J44" s="453">
        <v>0</v>
      </c>
      <c r="K44" s="453">
        <v>0</v>
      </c>
      <c r="L44" s="453">
        <v>0</v>
      </c>
      <c r="M44" s="58">
        <v>10925</v>
      </c>
      <c r="N44" s="58">
        <v>11176</v>
      </c>
      <c r="O44" s="58">
        <v>11153</v>
      </c>
      <c r="Q44" s="451" t="s">
        <v>6251</v>
      </c>
    </row>
    <row r="45" spans="1:17">
      <c r="D45" s="455"/>
      <c r="E45" s="455"/>
      <c r="F45" s="455"/>
      <c r="G45" s="455"/>
      <c r="H45" s="455"/>
      <c r="I45" s="462"/>
      <c r="J45" s="462"/>
      <c r="K45" s="462"/>
      <c r="L45" s="462"/>
    </row>
    <row r="46" spans="1:17">
      <c r="A46" s="451" t="s">
        <v>13683</v>
      </c>
      <c r="B46" s="451"/>
      <c r="C46" s="451"/>
      <c r="D46" s="459"/>
      <c r="E46" s="459"/>
      <c r="F46" s="459"/>
      <c r="G46" s="459"/>
      <c r="H46" s="459"/>
      <c r="I46" s="459"/>
      <c r="J46" s="459"/>
      <c r="K46" s="459"/>
      <c r="L46" s="459"/>
    </row>
    <row r="47" spans="1:17">
      <c r="A47" s="451"/>
      <c r="B47" s="451"/>
      <c r="C47" s="451"/>
      <c r="D47" s="459"/>
      <c r="E47" s="459"/>
      <c r="F47" s="459"/>
      <c r="G47" s="459"/>
      <c r="H47" s="459"/>
      <c r="I47" s="459"/>
      <c r="J47" s="459"/>
      <c r="K47" s="459"/>
      <c r="L47" s="459"/>
      <c r="M47" s="11"/>
      <c r="N47" s="11"/>
      <c r="O47" s="11"/>
      <c r="P47" s="11"/>
      <c r="Q47" s="11"/>
    </row>
    <row r="48" spans="1:17">
      <c r="A48" s="451"/>
      <c r="B48" s="451"/>
      <c r="C48" s="451"/>
      <c r="D48" s="459"/>
      <c r="E48" s="459"/>
      <c r="F48" s="459"/>
      <c r="G48" s="459"/>
      <c r="H48" s="459"/>
      <c r="I48" s="459"/>
      <c r="J48" s="459"/>
      <c r="K48" s="459"/>
      <c r="L48" s="459"/>
      <c r="M48" s="11"/>
      <c r="N48" s="11"/>
      <c r="O48" s="11"/>
      <c r="P48" s="11"/>
      <c r="Q48" s="13"/>
    </row>
    <row r="49" spans="4:12">
      <c r="D49" s="350"/>
      <c r="E49" s="350"/>
      <c r="F49" s="350"/>
      <c r="G49" s="350"/>
      <c r="H49" s="350"/>
      <c r="I49" s="350"/>
      <c r="J49" s="350"/>
      <c r="K49" s="350"/>
      <c r="L49" s="350"/>
    </row>
    <row r="50" spans="4:12">
      <c r="D50" s="350"/>
      <c r="E50" s="350"/>
      <c r="F50" s="350"/>
      <c r="G50" s="350"/>
      <c r="H50" s="350"/>
      <c r="I50" s="350"/>
      <c r="J50" s="350"/>
      <c r="K50" s="350"/>
      <c r="L50" s="350"/>
    </row>
  </sheetData>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ignoredErrors>
    <ignoredError sqref="D4 E4 F4 G4 D5:D6 E5:E6 F5:F6 G5:G6 H4 H5:H6 I4:I6 J4:J6 K4:K6 L4:L6 D12:D17 E12:E17 F12:F17 G12:G17 H12:H17 I12:I17 J12:J17 K12:K17 L12:L17" unlocked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dimension ref="A1:Q301"/>
  <sheetViews>
    <sheetView showGridLines="0" zoomScale="90" zoomScaleNormal="90" workbookViewId="0">
      <selection activeCell="O267" sqref="O267"/>
    </sheetView>
  </sheetViews>
  <sheetFormatPr defaultColWidth="12.5703125" defaultRowHeight="15"/>
  <cols>
    <col min="1" max="1" width="4.85546875" style="133" customWidth="1"/>
    <col min="2" max="2" width="40.7109375" style="133" customWidth="1"/>
    <col min="3" max="3" width="11.5703125" style="133" customWidth="1"/>
    <col min="4" max="15" width="10" style="133" customWidth="1"/>
    <col min="16" max="16" width="2.28515625" style="133" customWidth="1"/>
    <col min="17" max="17" width="27" style="133" customWidth="1"/>
    <col min="18" max="16384" width="12.5703125" style="133"/>
  </cols>
  <sheetData>
    <row r="1" spans="1:17">
      <c r="A1" s="451" t="s">
        <v>6924</v>
      </c>
      <c r="D1" s="452">
        <v>2010</v>
      </c>
      <c r="E1" s="452">
        <v>2011</v>
      </c>
      <c r="F1" s="452">
        <v>2012</v>
      </c>
      <c r="G1" s="452">
        <v>2013</v>
      </c>
      <c r="H1" s="452">
        <v>2014</v>
      </c>
      <c r="I1" s="452">
        <v>2015</v>
      </c>
      <c r="J1" s="452">
        <v>2016</v>
      </c>
      <c r="K1" s="452">
        <v>2017</v>
      </c>
      <c r="L1" s="452">
        <v>2018</v>
      </c>
      <c r="M1" s="452">
        <v>2019</v>
      </c>
      <c r="N1" s="452">
        <v>2020</v>
      </c>
      <c r="O1" s="950" t="s">
        <v>14823</v>
      </c>
    </row>
    <row r="3" spans="1:17">
      <c r="A3" s="451" t="s">
        <v>3515</v>
      </c>
      <c r="D3" s="453">
        <f t="shared" ref="D3:I3" si="0">SUM(D5:D11)</f>
        <v>593204</v>
      </c>
      <c r="E3" s="453">
        <f t="shared" si="0"/>
        <v>595999</v>
      </c>
      <c r="F3" s="453">
        <f t="shared" si="0"/>
        <v>597395</v>
      </c>
      <c r="G3" s="453">
        <f t="shared" si="0"/>
        <v>599890</v>
      </c>
      <c r="H3" s="453">
        <f t="shared" si="0"/>
        <v>584697</v>
      </c>
      <c r="I3" s="453">
        <f t="shared" si="0"/>
        <v>583498</v>
      </c>
      <c r="J3" s="453">
        <f t="shared" ref="J3:O3" si="1">SUM(J5:J11)</f>
        <v>581650</v>
      </c>
      <c r="K3" s="453">
        <f t="shared" si="1"/>
        <v>594952</v>
      </c>
      <c r="L3" s="453">
        <f t="shared" si="1"/>
        <v>597320</v>
      </c>
      <c r="M3" s="453">
        <f t="shared" si="1"/>
        <v>596388</v>
      </c>
      <c r="N3" s="453">
        <f t="shared" si="1"/>
        <v>611195</v>
      </c>
      <c r="O3" s="453">
        <f t="shared" si="1"/>
        <v>610761</v>
      </c>
    </row>
    <row r="4" spans="1:17" ht="15.75" customHeight="1">
      <c r="A4" s="76"/>
      <c r="B4" s="76"/>
      <c r="C4" s="76"/>
      <c r="D4" s="199"/>
      <c r="E4" s="199"/>
      <c r="F4" s="199"/>
      <c r="G4" s="199"/>
      <c r="H4" s="199"/>
      <c r="I4" s="199"/>
      <c r="J4" s="199"/>
      <c r="K4" s="199"/>
      <c r="L4" s="199"/>
      <c r="M4" s="199"/>
      <c r="N4" s="199"/>
      <c r="O4" s="199"/>
      <c r="P4" s="76"/>
      <c r="Q4" s="76"/>
    </row>
    <row r="5" spans="1:17" ht="15" customHeight="1">
      <c r="A5" s="451" t="s">
        <v>3516</v>
      </c>
      <c r="C5" s="451"/>
      <c r="D5" s="453">
        <f t="shared" ref="D5:I5" si="2">D50</f>
        <v>90381</v>
      </c>
      <c r="E5" s="453">
        <f t="shared" si="2"/>
        <v>89647</v>
      </c>
      <c r="F5" s="453">
        <f t="shared" si="2"/>
        <v>90993</v>
      </c>
      <c r="G5" s="453">
        <f t="shared" si="2"/>
        <v>91360</v>
      </c>
      <c r="H5" s="453">
        <f t="shared" si="2"/>
        <v>86925</v>
      </c>
      <c r="I5" s="453">
        <f t="shared" si="2"/>
        <v>89567</v>
      </c>
      <c r="J5" s="453">
        <f t="shared" ref="J5:O5" si="3">J50</f>
        <v>90473</v>
      </c>
      <c r="K5" s="453">
        <f t="shared" si="3"/>
        <v>91469</v>
      </c>
      <c r="L5" s="453">
        <f t="shared" si="3"/>
        <v>92262</v>
      </c>
      <c r="M5" s="453">
        <f t="shared" si="3"/>
        <v>92878</v>
      </c>
      <c r="N5" s="453">
        <f t="shared" si="3"/>
        <v>94153</v>
      </c>
      <c r="O5" s="453">
        <f t="shared" si="3"/>
        <v>93930</v>
      </c>
      <c r="Q5" s="454"/>
    </row>
    <row r="6" spans="1:17">
      <c r="A6" s="451" t="s">
        <v>3517</v>
      </c>
      <c r="C6" s="451"/>
      <c r="D6" s="453">
        <f t="shared" ref="D6:I6" si="4">D83</f>
        <v>83556</v>
      </c>
      <c r="E6" s="453">
        <f t="shared" si="4"/>
        <v>85194</v>
      </c>
      <c r="F6" s="453">
        <f t="shared" si="4"/>
        <v>84495</v>
      </c>
      <c r="G6" s="453">
        <f t="shared" si="4"/>
        <v>85384</v>
      </c>
      <c r="H6" s="453">
        <f t="shared" si="4"/>
        <v>84812</v>
      </c>
      <c r="I6" s="453">
        <f t="shared" si="4"/>
        <v>82635</v>
      </c>
      <c r="J6" s="453">
        <f t="shared" ref="J6:O6" si="5">J83</f>
        <v>83683</v>
      </c>
      <c r="K6" s="453">
        <f t="shared" si="5"/>
        <v>84587</v>
      </c>
      <c r="L6" s="453">
        <f t="shared" si="5"/>
        <v>84201</v>
      </c>
      <c r="M6" s="453">
        <f t="shared" si="5"/>
        <v>84196</v>
      </c>
      <c r="N6" s="453">
        <f t="shared" si="5"/>
        <v>86966</v>
      </c>
      <c r="O6" s="453">
        <f t="shared" si="5"/>
        <v>86375</v>
      </c>
      <c r="Q6" s="454"/>
    </row>
    <row r="7" spans="1:17">
      <c r="A7" s="451" t="s">
        <v>3518</v>
      </c>
      <c r="C7" s="451"/>
      <c r="D7" s="453">
        <f t="shared" ref="D7:I7" si="6">D118</f>
        <v>82815</v>
      </c>
      <c r="E7" s="453">
        <f t="shared" si="6"/>
        <v>83413</v>
      </c>
      <c r="F7" s="453">
        <f t="shared" si="6"/>
        <v>83728</v>
      </c>
      <c r="G7" s="453">
        <f t="shared" si="6"/>
        <v>83060</v>
      </c>
      <c r="H7" s="453">
        <f t="shared" si="6"/>
        <v>79977</v>
      </c>
      <c r="I7" s="453">
        <f t="shared" si="6"/>
        <v>80645</v>
      </c>
      <c r="J7" s="453">
        <f t="shared" ref="J7:O7" si="7">J118</f>
        <v>80641</v>
      </c>
      <c r="K7" s="453">
        <f t="shared" si="7"/>
        <v>82766</v>
      </c>
      <c r="L7" s="453">
        <f t="shared" si="7"/>
        <v>82674</v>
      </c>
      <c r="M7" s="453">
        <f t="shared" si="7"/>
        <v>82732</v>
      </c>
      <c r="N7" s="453">
        <f t="shared" si="7"/>
        <v>84883</v>
      </c>
      <c r="O7" s="453">
        <f t="shared" si="7"/>
        <v>85502</v>
      </c>
      <c r="Q7" s="454"/>
    </row>
    <row r="8" spans="1:17">
      <c r="A8" s="451" t="s">
        <v>3519</v>
      </c>
      <c r="C8" s="451"/>
      <c r="D8" s="453">
        <f t="shared" ref="D8:I8" si="8">D150</f>
        <v>87612</v>
      </c>
      <c r="E8" s="453">
        <f t="shared" si="8"/>
        <v>87700</v>
      </c>
      <c r="F8" s="453">
        <f t="shared" si="8"/>
        <v>87412</v>
      </c>
      <c r="G8" s="453">
        <f t="shared" si="8"/>
        <v>88706</v>
      </c>
      <c r="H8" s="453">
        <f t="shared" si="8"/>
        <v>85183</v>
      </c>
      <c r="I8" s="453">
        <f t="shared" si="8"/>
        <v>85895</v>
      </c>
      <c r="J8" s="453">
        <f t="shared" ref="J8:O8" si="9">J150</f>
        <v>85825</v>
      </c>
      <c r="K8" s="453">
        <f t="shared" si="9"/>
        <v>88234</v>
      </c>
      <c r="L8" s="453">
        <f t="shared" si="9"/>
        <v>88369</v>
      </c>
      <c r="M8" s="453">
        <f t="shared" si="9"/>
        <v>87608</v>
      </c>
      <c r="N8" s="453">
        <f t="shared" si="9"/>
        <v>89657</v>
      </c>
      <c r="O8" s="453">
        <f t="shared" si="9"/>
        <v>88430</v>
      </c>
      <c r="Q8" s="454"/>
    </row>
    <row r="9" spans="1:17">
      <c r="A9" s="451" t="s">
        <v>3520</v>
      </c>
      <c r="C9" s="451"/>
      <c r="D9" s="453">
        <f t="shared" ref="D9:I9" si="10">D185</f>
        <v>80247</v>
      </c>
      <c r="E9" s="453">
        <f t="shared" si="10"/>
        <v>79849</v>
      </c>
      <c r="F9" s="453">
        <f t="shared" si="10"/>
        <v>79748</v>
      </c>
      <c r="G9" s="453">
        <f t="shared" si="10"/>
        <v>79714</v>
      </c>
      <c r="H9" s="453">
        <f t="shared" si="10"/>
        <v>75412</v>
      </c>
      <c r="I9" s="453">
        <f t="shared" si="10"/>
        <v>77022</v>
      </c>
      <c r="J9" s="453">
        <f t="shared" ref="J9:O9" si="11">J185</f>
        <v>74066</v>
      </c>
      <c r="K9" s="453">
        <f t="shared" si="11"/>
        <v>76353</v>
      </c>
      <c r="L9" s="453">
        <f t="shared" si="11"/>
        <v>76181</v>
      </c>
      <c r="M9" s="453">
        <f t="shared" si="11"/>
        <v>76202</v>
      </c>
      <c r="N9" s="453">
        <f t="shared" si="11"/>
        <v>76269</v>
      </c>
      <c r="O9" s="453">
        <f t="shared" si="11"/>
        <v>77409</v>
      </c>
      <c r="Q9" s="454"/>
    </row>
    <row r="10" spans="1:17" s="76" customFormat="1">
      <c r="A10" s="451" t="s">
        <v>3521</v>
      </c>
      <c r="C10" s="451"/>
      <c r="D10" s="453">
        <f t="shared" ref="D10:I10" si="12">D230</f>
        <v>84062</v>
      </c>
      <c r="E10" s="453">
        <f t="shared" si="12"/>
        <v>84788</v>
      </c>
      <c r="F10" s="453">
        <f t="shared" si="12"/>
        <v>85099</v>
      </c>
      <c r="G10" s="453">
        <f t="shared" si="12"/>
        <v>84985</v>
      </c>
      <c r="H10" s="453">
        <f t="shared" si="12"/>
        <v>85748</v>
      </c>
      <c r="I10" s="453">
        <f t="shared" si="12"/>
        <v>83432</v>
      </c>
      <c r="J10" s="453">
        <f t="shared" ref="J10:O10" si="13">J230</f>
        <v>82713</v>
      </c>
      <c r="K10" s="453">
        <f t="shared" si="13"/>
        <v>85751</v>
      </c>
      <c r="L10" s="453">
        <f t="shared" si="13"/>
        <v>87110</v>
      </c>
      <c r="M10" s="453">
        <f t="shared" si="13"/>
        <v>86963</v>
      </c>
      <c r="N10" s="453">
        <f t="shared" si="13"/>
        <v>89862</v>
      </c>
      <c r="O10" s="453">
        <f t="shared" si="13"/>
        <v>89026</v>
      </c>
      <c r="P10" s="133"/>
      <c r="Q10" s="454"/>
    </row>
    <row r="11" spans="1:17">
      <c r="A11" s="451" t="s">
        <v>3537</v>
      </c>
      <c r="C11" s="451"/>
      <c r="D11" s="453">
        <f t="shared" ref="D11:I11" si="14">D267</f>
        <v>84531</v>
      </c>
      <c r="E11" s="453">
        <f t="shared" si="14"/>
        <v>85408</v>
      </c>
      <c r="F11" s="453">
        <f t="shared" si="14"/>
        <v>85920</v>
      </c>
      <c r="G11" s="453">
        <f t="shared" si="14"/>
        <v>86681</v>
      </c>
      <c r="H11" s="453">
        <f t="shared" si="14"/>
        <v>86640</v>
      </c>
      <c r="I11" s="453">
        <f t="shared" si="14"/>
        <v>84302</v>
      </c>
      <c r="J11" s="453">
        <f t="shared" ref="J11:O11" si="15">J267</f>
        <v>84249</v>
      </c>
      <c r="K11" s="453">
        <f t="shared" si="15"/>
        <v>85792</v>
      </c>
      <c r="L11" s="453">
        <f t="shared" si="15"/>
        <v>86523</v>
      </c>
      <c r="M11" s="453">
        <f t="shared" si="15"/>
        <v>85809</v>
      </c>
      <c r="N11" s="453">
        <f t="shared" si="15"/>
        <v>89405</v>
      </c>
      <c r="O11" s="453">
        <f t="shared" si="15"/>
        <v>90089</v>
      </c>
      <c r="Q11" s="454"/>
    </row>
    <row r="12" spans="1:17">
      <c r="B12" s="451"/>
      <c r="C12" s="451"/>
      <c r="D12" s="453"/>
      <c r="E12" s="453"/>
      <c r="F12" s="453"/>
      <c r="G12" s="453"/>
      <c r="H12" s="453"/>
      <c r="I12" s="453"/>
      <c r="J12" s="453"/>
      <c r="K12" s="453"/>
      <c r="L12" s="453"/>
      <c r="M12" s="453"/>
      <c r="N12" s="453"/>
      <c r="O12" s="453"/>
      <c r="Q12" s="454"/>
    </row>
    <row r="13" spans="1:17">
      <c r="A13" s="451" t="s">
        <v>910</v>
      </c>
      <c r="D13" s="453">
        <f t="shared" ref="D13:I13" si="16">D3/8</f>
        <v>74150.5</v>
      </c>
      <c r="E13" s="453">
        <f t="shared" si="16"/>
        <v>74499.875</v>
      </c>
      <c r="F13" s="453">
        <f t="shared" si="16"/>
        <v>74674.375</v>
      </c>
      <c r="G13" s="453">
        <f t="shared" si="16"/>
        <v>74986.25</v>
      </c>
      <c r="H13" s="453">
        <f t="shared" si="16"/>
        <v>73087.125</v>
      </c>
      <c r="I13" s="453">
        <f t="shared" si="16"/>
        <v>72937.25</v>
      </c>
      <c r="J13" s="453">
        <f t="shared" ref="J13:O13" si="17">J3/8</f>
        <v>72706.25</v>
      </c>
      <c r="K13" s="453">
        <f t="shared" si="17"/>
        <v>74369</v>
      </c>
      <c r="L13" s="453">
        <f t="shared" si="17"/>
        <v>74665</v>
      </c>
      <c r="M13" s="453">
        <f t="shared" si="17"/>
        <v>74548.5</v>
      </c>
      <c r="N13" s="453">
        <f t="shared" si="17"/>
        <v>76399.375</v>
      </c>
      <c r="O13" s="453">
        <f t="shared" si="17"/>
        <v>76345.125</v>
      </c>
    </row>
    <row r="14" spans="1:17">
      <c r="D14" s="455"/>
      <c r="E14" s="455"/>
      <c r="F14" s="455"/>
      <c r="G14" s="455"/>
      <c r="H14" s="455"/>
      <c r="I14" s="455"/>
      <c r="J14" s="455"/>
      <c r="K14" s="455"/>
      <c r="L14" s="455"/>
      <c r="M14" s="455"/>
      <c r="N14" s="455"/>
      <c r="O14" s="455"/>
    </row>
    <row r="15" spans="1:17">
      <c r="A15" s="451" t="s">
        <v>2137</v>
      </c>
      <c r="D15" s="453">
        <f t="shared" ref="D15:I15" si="18">D75</f>
        <v>66317</v>
      </c>
      <c r="E15" s="453">
        <f t="shared" si="18"/>
        <v>65597</v>
      </c>
      <c r="F15" s="453">
        <f t="shared" si="18"/>
        <v>66467</v>
      </c>
      <c r="G15" s="453">
        <f t="shared" si="18"/>
        <v>66614</v>
      </c>
      <c r="H15" s="453">
        <f t="shared" si="18"/>
        <v>63448</v>
      </c>
      <c r="I15" s="453">
        <f t="shared" si="18"/>
        <v>65206</v>
      </c>
      <c r="J15" s="453">
        <f t="shared" ref="J15:O15" si="19">J75</f>
        <v>65548</v>
      </c>
      <c r="K15" s="453">
        <f t="shared" si="19"/>
        <v>66090</v>
      </c>
      <c r="L15" s="453">
        <f t="shared" si="19"/>
        <v>66268</v>
      </c>
      <c r="M15" s="453">
        <f t="shared" si="19"/>
        <v>66550</v>
      </c>
      <c r="N15" s="453">
        <f t="shared" si="19"/>
        <v>67281</v>
      </c>
      <c r="O15" s="453">
        <f t="shared" si="19"/>
        <v>67090</v>
      </c>
      <c r="Q15" s="451" t="s">
        <v>2138</v>
      </c>
    </row>
    <row r="16" spans="1:17" ht="15.75" thickBot="1">
      <c r="D16" s="456">
        <f t="shared" ref="D16:I16" si="20">D142</f>
        <v>11375</v>
      </c>
      <c r="E16" s="456">
        <f t="shared" si="20"/>
        <v>11452</v>
      </c>
      <c r="F16" s="456">
        <f t="shared" si="20"/>
        <v>11395</v>
      </c>
      <c r="G16" s="456">
        <f t="shared" si="20"/>
        <v>11404</v>
      </c>
      <c r="H16" s="456">
        <f t="shared" si="20"/>
        <v>10897</v>
      </c>
      <c r="I16" s="456">
        <f t="shared" si="20"/>
        <v>10997</v>
      </c>
      <c r="J16" s="456">
        <f t="shared" ref="J16:O16" si="21">J142</f>
        <v>10942</v>
      </c>
      <c r="K16" s="456">
        <f t="shared" si="21"/>
        <v>11200</v>
      </c>
      <c r="L16" s="456">
        <f t="shared" si="21"/>
        <v>11210</v>
      </c>
      <c r="M16" s="456">
        <f t="shared" si="21"/>
        <v>11188</v>
      </c>
      <c r="N16" s="456">
        <f t="shared" si="21"/>
        <v>11374</v>
      </c>
      <c r="O16" s="456">
        <f t="shared" si="21"/>
        <v>11418</v>
      </c>
      <c r="Q16" s="451" t="s">
        <v>2139</v>
      </c>
    </row>
    <row r="17" spans="1:17" ht="15.75" thickBot="1">
      <c r="D17" s="456">
        <f t="shared" ref="D17:I17" si="22">D15+D16</f>
        <v>77692</v>
      </c>
      <c r="E17" s="456">
        <f t="shared" si="22"/>
        <v>77049</v>
      </c>
      <c r="F17" s="456">
        <f t="shared" si="22"/>
        <v>77862</v>
      </c>
      <c r="G17" s="456">
        <f t="shared" si="22"/>
        <v>78018</v>
      </c>
      <c r="H17" s="456">
        <f t="shared" si="22"/>
        <v>74345</v>
      </c>
      <c r="I17" s="456">
        <f t="shared" si="22"/>
        <v>76203</v>
      </c>
      <c r="J17" s="456">
        <f t="shared" ref="J17:O17" si="23">J15+J16</f>
        <v>76490</v>
      </c>
      <c r="K17" s="456">
        <f t="shared" si="23"/>
        <v>77290</v>
      </c>
      <c r="L17" s="456">
        <f t="shared" si="23"/>
        <v>77478</v>
      </c>
      <c r="M17" s="456">
        <f t="shared" si="23"/>
        <v>77738</v>
      </c>
      <c r="N17" s="456">
        <f t="shared" si="23"/>
        <v>78655</v>
      </c>
      <c r="O17" s="456">
        <f t="shared" si="23"/>
        <v>78508</v>
      </c>
    </row>
    <row r="18" spans="1:17">
      <c r="D18" s="455"/>
      <c r="E18" s="455"/>
      <c r="F18" s="455"/>
      <c r="G18" s="455"/>
      <c r="H18" s="455"/>
      <c r="I18" s="455"/>
      <c r="J18" s="455"/>
      <c r="K18" s="455"/>
      <c r="L18" s="455"/>
      <c r="M18" s="455"/>
      <c r="N18" s="455"/>
      <c r="O18" s="455"/>
    </row>
    <row r="19" spans="1:17">
      <c r="A19" s="451" t="s">
        <v>2140</v>
      </c>
      <c r="D19" s="453">
        <f t="shared" ref="D19:I19" si="24">D110</f>
        <v>76741</v>
      </c>
      <c r="E19" s="453">
        <f t="shared" si="24"/>
        <v>78306</v>
      </c>
      <c r="F19" s="453">
        <f t="shared" si="24"/>
        <v>77724</v>
      </c>
      <c r="G19" s="453">
        <f t="shared" si="24"/>
        <v>78482</v>
      </c>
      <c r="H19" s="453">
        <f t="shared" si="24"/>
        <v>77996</v>
      </c>
      <c r="I19" s="453">
        <f t="shared" si="24"/>
        <v>75910</v>
      </c>
      <c r="J19" s="453">
        <f t="shared" ref="J19:O19" si="25">J110</f>
        <v>76764</v>
      </c>
      <c r="K19" s="453">
        <f t="shared" si="25"/>
        <v>77546</v>
      </c>
      <c r="L19" s="453">
        <f t="shared" si="25"/>
        <v>77184</v>
      </c>
      <c r="M19" s="453">
        <f t="shared" si="25"/>
        <v>77142</v>
      </c>
      <c r="N19" s="453">
        <f t="shared" si="25"/>
        <v>79707</v>
      </c>
      <c r="O19" s="453">
        <f t="shared" si="25"/>
        <v>79164</v>
      </c>
      <c r="Q19" s="451" t="s">
        <v>2141</v>
      </c>
    </row>
    <row r="20" spans="1:17">
      <c r="D20" s="455"/>
      <c r="E20" s="455"/>
      <c r="F20" s="455"/>
      <c r="G20" s="455"/>
      <c r="H20" s="455"/>
      <c r="I20" s="455"/>
      <c r="J20" s="455"/>
      <c r="K20" s="455"/>
      <c r="L20" s="455"/>
      <c r="M20" s="455"/>
      <c r="N20" s="455"/>
      <c r="O20" s="455"/>
    </row>
    <row r="21" spans="1:17">
      <c r="A21" s="451" t="s">
        <v>2142</v>
      </c>
      <c r="D21" s="453">
        <f t="shared" ref="D21:I21" si="26">D143</f>
        <v>71440</v>
      </c>
      <c r="E21" s="453">
        <f t="shared" si="26"/>
        <v>71961</v>
      </c>
      <c r="F21" s="453">
        <f t="shared" si="26"/>
        <v>72333</v>
      </c>
      <c r="G21" s="453">
        <f t="shared" si="26"/>
        <v>71656</v>
      </c>
      <c r="H21" s="453">
        <f t="shared" si="26"/>
        <v>69080</v>
      </c>
      <c r="I21" s="453">
        <f t="shared" si="26"/>
        <v>69648</v>
      </c>
      <c r="J21" s="453">
        <f t="shared" ref="J21:O21" si="27">J143</f>
        <v>69699</v>
      </c>
      <c r="K21" s="453">
        <f t="shared" si="27"/>
        <v>71566</v>
      </c>
      <c r="L21" s="453">
        <f t="shared" si="27"/>
        <v>71464</v>
      </c>
      <c r="M21" s="453">
        <f t="shared" si="27"/>
        <v>71544</v>
      </c>
      <c r="N21" s="453">
        <f t="shared" si="27"/>
        <v>73509</v>
      </c>
      <c r="O21" s="453">
        <f t="shared" si="27"/>
        <v>74084</v>
      </c>
      <c r="Q21" s="451" t="s">
        <v>2139</v>
      </c>
    </row>
    <row r="22" spans="1:17">
      <c r="D22" s="455"/>
      <c r="E22" s="455"/>
      <c r="F22" s="455"/>
      <c r="G22" s="455"/>
      <c r="H22" s="455"/>
      <c r="I22" s="455"/>
      <c r="J22" s="455"/>
      <c r="K22" s="455"/>
      <c r="L22" s="455"/>
      <c r="M22" s="455"/>
      <c r="N22" s="455"/>
      <c r="O22" s="455"/>
    </row>
    <row r="23" spans="1:17">
      <c r="A23" s="451" t="s">
        <v>2143</v>
      </c>
      <c r="D23" s="453">
        <f t="shared" ref="D23:I23" si="28">D177</f>
        <v>70989</v>
      </c>
      <c r="E23" s="453">
        <f t="shared" si="28"/>
        <v>70886</v>
      </c>
      <c r="F23" s="453">
        <f t="shared" si="28"/>
        <v>70420</v>
      </c>
      <c r="G23" s="453">
        <f t="shared" si="28"/>
        <v>71511</v>
      </c>
      <c r="H23" s="453">
        <f t="shared" si="28"/>
        <v>68307</v>
      </c>
      <c r="I23" s="453">
        <f t="shared" si="28"/>
        <v>68950</v>
      </c>
      <c r="J23" s="453">
        <f t="shared" ref="J23:O23" si="29">J177</f>
        <v>68900</v>
      </c>
      <c r="K23" s="453">
        <f t="shared" si="29"/>
        <v>70782</v>
      </c>
      <c r="L23" s="453">
        <f t="shared" si="29"/>
        <v>70818</v>
      </c>
      <c r="M23" s="453">
        <f t="shared" si="29"/>
        <v>70168</v>
      </c>
      <c r="N23" s="453">
        <f t="shared" si="29"/>
        <v>71839</v>
      </c>
      <c r="O23" s="453">
        <f t="shared" si="29"/>
        <v>70871</v>
      </c>
      <c r="Q23" s="451" t="s">
        <v>2144</v>
      </c>
    </row>
    <row r="24" spans="1:17">
      <c r="D24" s="455"/>
      <c r="E24" s="455"/>
      <c r="F24" s="455"/>
      <c r="G24" s="455"/>
      <c r="H24" s="455"/>
      <c r="I24" s="455"/>
      <c r="J24" s="455"/>
      <c r="K24" s="455"/>
      <c r="L24" s="455"/>
      <c r="M24" s="455"/>
      <c r="N24" s="455"/>
      <c r="O24" s="455"/>
    </row>
    <row r="25" spans="1:17">
      <c r="A25" s="451" t="s">
        <v>2145</v>
      </c>
      <c r="D25" s="453">
        <f t="shared" ref="D25:I25" si="30">D223</f>
        <v>80247</v>
      </c>
      <c r="E25" s="453">
        <f t="shared" si="30"/>
        <v>79849</v>
      </c>
      <c r="F25" s="453">
        <f t="shared" si="30"/>
        <v>79748</v>
      </c>
      <c r="G25" s="453">
        <f t="shared" si="30"/>
        <v>79714</v>
      </c>
      <c r="H25" s="453">
        <f t="shared" si="30"/>
        <v>75412</v>
      </c>
      <c r="I25" s="453">
        <f t="shared" si="30"/>
        <v>77022</v>
      </c>
      <c r="J25" s="453">
        <f t="shared" ref="J25:O25" si="31">J223</f>
        <v>74066</v>
      </c>
      <c r="K25" s="453">
        <f t="shared" si="31"/>
        <v>76353</v>
      </c>
      <c r="L25" s="453">
        <f t="shared" si="31"/>
        <v>76181</v>
      </c>
      <c r="M25" s="453">
        <f t="shared" si="31"/>
        <v>76202</v>
      </c>
      <c r="N25" s="453">
        <f t="shared" si="31"/>
        <v>76269</v>
      </c>
      <c r="O25" s="453">
        <f t="shared" si="31"/>
        <v>77409</v>
      </c>
      <c r="Q25" s="451" t="s">
        <v>4214</v>
      </c>
    </row>
    <row r="26" spans="1:17">
      <c r="D26" s="455"/>
      <c r="E26" s="455"/>
      <c r="F26" s="455"/>
      <c r="G26" s="455"/>
      <c r="H26" s="455"/>
      <c r="I26" s="455"/>
      <c r="J26" s="455"/>
      <c r="K26" s="455"/>
      <c r="L26" s="455"/>
      <c r="M26" s="455"/>
      <c r="N26" s="455"/>
      <c r="O26" s="455"/>
    </row>
    <row r="27" spans="1:17">
      <c r="A27" s="451" t="s">
        <v>2146</v>
      </c>
      <c r="D27" s="453">
        <f t="shared" ref="D27:I27" si="32">D111</f>
        <v>6815</v>
      </c>
      <c r="E27" s="453">
        <f t="shared" si="32"/>
        <v>6888</v>
      </c>
      <c r="F27" s="453">
        <f t="shared" si="32"/>
        <v>6771</v>
      </c>
      <c r="G27" s="453">
        <f t="shared" si="32"/>
        <v>6902</v>
      </c>
      <c r="H27" s="453">
        <f t="shared" si="32"/>
        <v>6816</v>
      </c>
      <c r="I27" s="453">
        <f t="shared" si="32"/>
        <v>6725</v>
      </c>
      <c r="J27" s="453">
        <f t="shared" ref="J27:O27" si="33">J111</f>
        <v>6919</v>
      </c>
      <c r="K27" s="453">
        <f t="shared" si="33"/>
        <v>7041</v>
      </c>
      <c r="L27" s="453">
        <f t="shared" si="33"/>
        <v>7017</v>
      </c>
      <c r="M27" s="453">
        <f t="shared" si="33"/>
        <v>7054</v>
      </c>
      <c r="N27" s="453">
        <f t="shared" si="33"/>
        <v>7259</v>
      </c>
      <c r="O27" s="453">
        <f t="shared" si="33"/>
        <v>7211</v>
      </c>
      <c r="Q27" s="451" t="s">
        <v>2141</v>
      </c>
    </row>
    <row r="28" spans="1:17">
      <c r="D28" s="457">
        <f t="shared" ref="D28:I28" si="34">D259</f>
        <v>53078</v>
      </c>
      <c r="E28" s="457">
        <f t="shared" si="34"/>
        <v>53541</v>
      </c>
      <c r="F28" s="457">
        <f t="shared" si="34"/>
        <v>53720</v>
      </c>
      <c r="G28" s="457">
        <f t="shared" si="34"/>
        <v>53802</v>
      </c>
      <c r="H28" s="457">
        <f t="shared" si="34"/>
        <v>54396</v>
      </c>
      <c r="I28" s="457">
        <f t="shared" si="34"/>
        <v>53076</v>
      </c>
      <c r="J28" s="457">
        <f t="shared" ref="J28:O28" si="35">J259</f>
        <v>52512</v>
      </c>
      <c r="K28" s="457">
        <f t="shared" si="35"/>
        <v>54201</v>
      </c>
      <c r="L28" s="457">
        <f t="shared" si="35"/>
        <v>54858</v>
      </c>
      <c r="M28" s="457">
        <f t="shared" si="35"/>
        <v>54511</v>
      </c>
      <c r="N28" s="457">
        <f t="shared" si="35"/>
        <v>56194</v>
      </c>
      <c r="O28" s="457">
        <f t="shared" si="35"/>
        <v>55666</v>
      </c>
      <c r="Q28" s="451" t="s">
        <v>2147</v>
      </c>
    </row>
    <row r="29" spans="1:17" ht="15.75" thickBot="1">
      <c r="D29" s="456">
        <f t="shared" ref="D29:I29" si="36">D298</f>
        <v>11757</v>
      </c>
      <c r="E29" s="456">
        <f t="shared" si="36"/>
        <v>11978</v>
      </c>
      <c r="F29" s="456">
        <f t="shared" si="36"/>
        <v>12135</v>
      </c>
      <c r="G29" s="456">
        <f t="shared" si="36"/>
        <v>12357</v>
      </c>
      <c r="H29" s="456">
        <f t="shared" si="36"/>
        <v>12443</v>
      </c>
      <c r="I29" s="456">
        <f t="shared" si="36"/>
        <v>12392</v>
      </c>
      <c r="J29" s="456">
        <f t="shared" ref="J29:O29" si="37">J298</f>
        <v>12352</v>
      </c>
      <c r="K29" s="456">
        <f t="shared" si="37"/>
        <v>12510</v>
      </c>
      <c r="L29" s="456">
        <f t="shared" si="37"/>
        <v>12572</v>
      </c>
      <c r="M29" s="456">
        <f t="shared" si="37"/>
        <v>12398</v>
      </c>
      <c r="N29" s="456">
        <f t="shared" si="37"/>
        <v>12736</v>
      </c>
      <c r="O29" s="456">
        <f t="shared" si="37"/>
        <v>12751</v>
      </c>
      <c r="Q29" s="451" t="s">
        <v>2148</v>
      </c>
    </row>
    <row r="30" spans="1:17" ht="15.75" thickBot="1">
      <c r="D30" s="456">
        <f t="shared" ref="D30:I30" si="38">SUM(D27:D29)</f>
        <v>71650</v>
      </c>
      <c r="E30" s="456">
        <f t="shared" si="38"/>
        <v>72407</v>
      </c>
      <c r="F30" s="456">
        <f t="shared" si="38"/>
        <v>72626</v>
      </c>
      <c r="G30" s="456">
        <f t="shared" si="38"/>
        <v>73061</v>
      </c>
      <c r="H30" s="456">
        <f t="shared" si="38"/>
        <v>73655</v>
      </c>
      <c r="I30" s="456">
        <f t="shared" si="38"/>
        <v>72193</v>
      </c>
      <c r="J30" s="456">
        <f t="shared" ref="J30:O30" si="39">SUM(J27:J29)</f>
        <v>71783</v>
      </c>
      <c r="K30" s="456">
        <f t="shared" si="39"/>
        <v>73752</v>
      </c>
      <c r="L30" s="456">
        <f t="shared" si="39"/>
        <v>74447</v>
      </c>
      <c r="M30" s="456">
        <f t="shared" si="39"/>
        <v>73963</v>
      </c>
      <c r="N30" s="456">
        <f t="shared" si="39"/>
        <v>76189</v>
      </c>
      <c r="O30" s="456">
        <f t="shared" si="39"/>
        <v>75628</v>
      </c>
    </row>
    <row r="31" spans="1:17">
      <c r="D31" s="455"/>
      <c r="E31" s="455"/>
      <c r="F31" s="455"/>
      <c r="G31" s="455"/>
      <c r="H31" s="455"/>
      <c r="I31" s="455"/>
      <c r="J31" s="455"/>
      <c r="K31" s="455"/>
      <c r="L31" s="455"/>
      <c r="M31" s="455"/>
      <c r="N31" s="455"/>
      <c r="O31" s="455"/>
    </row>
    <row r="32" spans="1:17">
      <c r="A32" s="451" t="s">
        <v>2149</v>
      </c>
      <c r="D32" s="453">
        <f t="shared" ref="D32:I32" si="40">D299</f>
        <v>72774</v>
      </c>
      <c r="E32" s="453">
        <f t="shared" si="40"/>
        <v>73430</v>
      </c>
      <c r="F32" s="453">
        <f t="shared" si="40"/>
        <v>73785</v>
      </c>
      <c r="G32" s="453">
        <f t="shared" si="40"/>
        <v>74324</v>
      </c>
      <c r="H32" s="453">
        <f t="shared" si="40"/>
        <v>74197</v>
      </c>
      <c r="I32" s="453">
        <f t="shared" si="40"/>
        <v>71910</v>
      </c>
      <c r="J32" s="453">
        <f t="shared" ref="J32:O32" si="41">J299</f>
        <v>71897</v>
      </c>
      <c r="K32" s="453">
        <f t="shared" si="41"/>
        <v>73282</v>
      </c>
      <c r="L32" s="453">
        <f t="shared" si="41"/>
        <v>73951</v>
      </c>
      <c r="M32" s="453">
        <f t="shared" si="41"/>
        <v>73411</v>
      </c>
      <c r="N32" s="453">
        <f t="shared" si="41"/>
        <v>76669</v>
      </c>
      <c r="O32" s="453">
        <f t="shared" si="41"/>
        <v>77338</v>
      </c>
      <c r="Q32" s="451" t="s">
        <v>2148</v>
      </c>
    </row>
    <row r="33" spans="1:17">
      <c r="D33" s="455"/>
      <c r="E33" s="455"/>
      <c r="F33" s="455"/>
      <c r="G33" s="455"/>
      <c r="H33" s="455"/>
      <c r="I33" s="455"/>
      <c r="J33" s="455"/>
      <c r="K33" s="455"/>
      <c r="L33" s="455"/>
      <c r="M33" s="455"/>
      <c r="N33" s="455"/>
      <c r="O33" s="455"/>
    </row>
    <row r="34" spans="1:17">
      <c r="A34" s="451" t="s">
        <v>2150</v>
      </c>
      <c r="D34" s="453">
        <f t="shared" ref="D34:I34" si="42">D76</f>
        <v>24064</v>
      </c>
      <c r="E34" s="453">
        <f t="shared" si="42"/>
        <v>24050</v>
      </c>
      <c r="F34" s="453">
        <f t="shared" si="42"/>
        <v>24526</v>
      </c>
      <c r="G34" s="453">
        <f t="shared" si="42"/>
        <v>24746</v>
      </c>
      <c r="H34" s="453">
        <f t="shared" si="42"/>
        <v>23477</v>
      </c>
      <c r="I34" s="453">
        <f t="shared" si="42"/>
        <v>24361</v>
      </c>
      <c r="J34" s="453">
        <f t="shared" ref="J34:O34" si="43">J76</f>
        <v>24925</v>
      </c>
      <c r="K34" s="453">
        <f t="shared" si="43"/>
        <v>25379</v>
      </c>
      <c r="L34" s="453">
        <f t="shared" si="43"/>
        <v>25994</v>
      </c>
      <c r="M34" s="453">
        <f t="shared" si="43"/>
        <v>26328</v>
      </c>
      <c r="N34" s="453">
        <f t="shared" si="43"/>
        <v>26872</v>
      </c>
      <c r="O34" s="453">
        <f t="shared" si="43"/>
        <v>26840</v>
      </c>
      <c r="Q34" s="451" t="s">
        <v>2138</v>
      </c>
    </row>
    <row r="35" spans="1:17">
      <c r="D35" s="453">
        <f t="shared" ref="D35:I35" si="44">D178</f>
        <v>16623</v>
      </c>
      <c r="E35" s="453">
        <f t="shared" si="44"/>
        <v>16814</v>
      </c>
      <c r="F35" s="453">
        <f t="shared" si="44"/>
        <v>16992</v>
      </c>
      <c r="G35" s="453">
        <f t="shared" si="44"/>
        <v>17195</v>
      </c>
      <c r="H35" s="453">
        <f t="shared" si="44"/>
        <v>16876</v>
      </c>
      <c r="I35" s="453">
        <f t="shared" si="44"/>
        <v>16945</v>
      </c>
      <c r="J35" s="453">
        <f t="shared" ref="J35:O35" si="45">J178</f>
        <v>16925</v>
      </c>
      <c r="K35" s="453">
        <f t="shared" si="45"/>
        <v>17452</v>
      </c>
      <c r="L35" s="453">
        <f t="shared" si="45"/>
        <v>17551</v>
      </c>
      <c r="M35" s="453">
        <f t="shared" si="45"/>
        <v>17440</v>
      </c>
      <c r="N35" s="453">
        <f t="shared" si="45"/>
        <v>17818</v>
      </c>
      <c r="O35" s="453">
        <f t="shared" si="45"/>
        <v>17559</v>
      </c>
      <c r="Q35" s="451" t="s">
        <v>2144</v>
      </c>
    </row>
    <row r="36" spans="1:17" ht="15.75" thickBot="1">
      <c r="D36" s="456">
        <f t="shared" ref="D36:I36" si="46">D260</f>
        <v>30984</v>
      </c>
      <c r="E36" s="456">
        <f t="shared" si="46"/>
        <v>31247</v>
      </c>
      <c r="F36" s="456">
        <f t="shared" si="46"/>
        <v>31379</v>
      </c>
      <c r="G36" s="456">
        <f t="shared" si="46"/>
        <v>31183</v>
      </c>
      <c r="H36" s="456">
        <f t="shared" si="46"/>
        <v>31352</v>
      </c>
      <c r="I36" s="456">
        <f t="shared" si="46"/>
        <v>30356</v>
      </c>
      <c r="J36" s="456">
        <f t="shared" ref="J36:O36" si="47">J260</f>
        <v>30201</v>
      </c>
      <c r="K36" s="456">
        <f t="shared" si="47"/>
        <v>31550</v>
      </c>
      <c r="L36" s="456">
        <f t="shared" si="47"/>
        <v>32252</v>
      </c>
      <c r="M36" s="456">
        <f t="shared" si="47"/>
        <v>32452</v>
      </c>
      <c r="N36" s="456">
        <f t="shared" si="47"/>
        <v>33668</v>
      </c>
      <c r="O36" s="456">
        <f t="shared" si="47"/>
        <v>33360</v>
      </c>
      <c r="Q36" s="451" t="s">
        <v>2147</v>
      </c>
    </row>
    <row r="37" spans="1:17" ht="15.75" thickBot="1">
      <c r="D37" s="456">
        <f t="shared" ref="D37:I37" si="48">SUM(D34:D36)</f>
        <v>71671</v>
      </c>
      <c r="E37" s="456">
        <f t="shared" si="48"/>
        <v>72111</v>
      </c>
      <c r="F37" s="456">
        <f t="shared" si="48"/>
        <v>72897</v>
      </c>
      <c r="G37" s="456">
        <f t="shared" si="48"/>
        <v>73124</v>
      </c>
      <c r="H37" s="456">
        <f t="shared" si="48"/>
        <v>71705</v>
      </c>
      <c r="I37" s="456">
        <f t="shared" si="48"/>
        <v>71662</v>
      </c>
      <c r="J37" s="456">
        <f t="shared" ref="J37:O37" si="49">SUM(J34:J36)</f>
        <v>72051</v>
      </c>
      <c r="K37" s="456">
        <f t="shared" si="49"/>
        <v>74381</v>
      </c>
      <c r="L37" s="456">
        <f t="shared" si="49"/>
        <v>75797</v>
      </c>
      <c r="M37" s="456">
        <f t="shared" si="49"/>
        <v>76220</v>
      </c>
      <c r="N37" s="456">
        <f t="shared" si="49"/>
        <v>78358</v>
      </c>
      <c r="O37" s="456">
        <f t="shared" si="49"/>
        <v>77759</v>
      </c>
    </row>
    <row r="38" spans="1:17">
      <c r="D38" s="455"/>
      <c r="E38" s="455"/>
      <c r="F38" s="455"/>
      <c r="G38" s="455"/>
      <c r="H38" s="455"/>
      <c r="I38" s="455"/>
      <c r="J38" s="455"/>
      <c r="K38" s="455"/>
      <c r="L38" s="455"/>
      <c r="M38" s="455"/>
      <c r="N38" s="455"/>
      <c r="O38" s="455"/>
    </row>
    <row r="39" spans="1:17">
      <c r="A39" s="451" t="s">
        <v>6796</v>
      </c>
      <c r="D39" s="453">
        <f t="shared" ref="D39:I39" si="50">D17+D19+D21+D23+D25+D30+D32+D37</f>
        <v>593204</v>
      </c>
      <c r="E39" s="453">
        <f t="shared" si="50"/>
        <v>595999</v>
      </c>
      <c r="F39" s="453">
        <f t="shared" si="50"/>
        <v>597395</v>
      </c>
      <c r="G39" s="453">
        <f t="shared" si="50"/>
        <v>599890</v>
      </c>
      <c r="H39" s="453">
        <f t="shared" si="50"/>
        <v>584697</v>
      </c>
      <c r="I39" s="453">
        <f t="shared" si="50"/>
        <v>583498</v>
      </c>
      <c r="J39" s="453">
        <f t="shared" ref="J39:O39" si="51">J17+J19+J21+J23+J25+J30+J32+J37</f>
        <v>581650</v>
      </c>
      <c r="K39" s="453">
        <f t="shared" si="51"/>
        <v>594952</v>
      </c>
      <c r="L39" s="453">
        <f t="shared" si="51"/>
        <v>597320</v>
      </c>
      <c r="M39" s="453">
        <f t="shared" si="51"/>
        <v>596388</v>
      </c>
      <c r="N39" s="453">
        <f t="shared" si="51"/>
        <v>611195</v>
      </c>
      <c r="O39" s="453">
        <f t="shared" si="51"/>
        <v>610761</v>
      </c>
    </row>
    <row r="40" spans="1:17">
      <c r="D40" s="455"/>
      <c r="E40" s="455"/>
      <c r="F40" s="455"/>
      <c r="G40" s="455"/>
      <c r="H40" s="455"/>
      <c r="I40" s="455"/>
      <c r="J40" s="455"/>
      <c r="K40" s="455"/>
      <c r="L40" s="455"/>
      <c r="M40" s="455"/>
      <c r="N40" s="455"/>
      <c r="O40" s="455"/>
    </row>
    <row r="41" spans="1:17">
      <c r="A41" s="451" t="s">
        <v>6797</v>
      </c>
      <c r="D41" s="453">
        <f t="shared" ref="D41:I41" si="52">MAX(D17,D19,D21,D23,D25,D30,D32,D37)-MIN(D17,D19,D21,D23,D25,D30,D32,D37)</f>
        <v>9258</v>
      </c>
      <c r="E41" s="453">
        <f t="shared" si="52"/>
        <v>8963</v>
      </c>
      <c r="F41" s="453">
        <f t="shared" si="52"/>
        <v>9328</v>
      </c>
      <c r="G41" s="453">
        <f t="shared" si="52"/>
        <v>8203</v>
      </c>
      <c r="H41" s="453">
        <f t="shared" si="52"/>
        <v>9689</v>
      </c>
      <c r="I41" s="453">
        <f t="shared" si="52"/>
        <v>8072</v>
      </c>
      <c r="J41" s="453">
        <f t="shared" ref="J41:O41" si="53">MAX(J17,J19,J21,J23,J25,J30,J32,J37)-MIN(J17,J19,J21,J23,J25,J30,J32,J37)</f>
        <v>7864</v>
      </c>
      <c r="K41" s="453">
        <f t="shared" si="53"/>
        <v>6764</v>
      </c>
      <c r="L41" s="453">
        <f t="shared" si="53"/>
        <v>6660</v>
      </c>
      <c r="M41" s="453">
        <f t="shared" si="53"/>
        <v>7570</v>
      </c>
      <c r="N41" s="453">
        <f t="shared" si="53"/>
        <v>7868</v>
      </c>
      <c r="O41" s="453">
        <f t="shared" si="53"/>
        <v>8293</v>
      </c>
    </row>
    <row r="42" spans="1:17">
      <c r="D42" s="455"/>
      <c r="E42" s="455"/>
      <c r="F42" s="455"/>
      <c r="G42" s="455"/>
      <c r="H42" s="455"/>
      <c r="I42" s="455"/>
      <c r="J42" s="455"/>
      <c r="K42" s="455"/>
      <c r="L42" s="455"/>
      <c r="M42" s="455"/>
      <c r="N42" s="455"/>
      <c r="O42" s="455"/>
    </row>
    <row r="43" spans="1:17">
      <c r="A43" s="451" t="s">
        <v>6800</v>
      </c>
      <c r="D43" s="453">
        <f t="shared" ref="D43:I43" si="54">STDEVP(D17,D19,D21,D23,D25,D30,D32,D37)</f>
        <v>3317.7042137598705</v>
      </c>
      <c r="E43" s="453">
        <f t="shared" si="54"/>
        <v>3168.8961973177666</v>
      </c>
      <c r="F43" s="453">
        <f t="shared" si="54"/>
        <v>3101.0173708599245</v>
      </c>
      <c r="G43" s="453">
        <f t="shared" si="54"/>
        <v>3052.5493751125468</v>
      </c>
      <c r="H43" s="453">
        <f t="shared" si="54"/>
        <v>3030.1725791405015</v>
      </c>
      <c r="I43" s="453">
        <f t="shared" si="54"/>
        <v>2875.332361223655</v>
      </c>
      <c r="J43" s="453">
        <f t="shared" ref="J43:O43" si="55">STDEVP(J17,J19,J21,J23,J25,J30,J32,J37)</f>
        <v>2694.8733620524731</v>
      </c>
      <c r="K43" s="453">
        <f t="shared" si="55"/>
        <v>2367.6889048183675</v>
      </c>
      <c r="L43" s="453">
        <f t="shared" si="55"/>
        <v>2330.266615647231</v>
      </c>
      <c r="M43" s="453">
        <f t="shared" si="55"/>
        <v>2556.3559024517695</v>
      </c>
      <c r="N43" s="453">
        <f t="shared" si="55"/>
        <v>2478.6508395445699</v>
      </c>
      <c r="O43" s="453">
        <f t="shared" si="55"/>
        <v>2557.6785586494248</v>
      </c>
    </row>
    <row r="44" spans="1:17">
      <c r="A44" s="451"/>
      <c r="D44" s="458"/>
      <c r="E44" s="458"/>
      <c r="F44" s="458"/>
      <c r="G44" s="458"/>
      <c r="H44" s="458"/>
      <c r="I44" s="458"/>
      <c r="J44" s="458"/>
      <c r="K44" s="458"/>
      <c r="L44" s="458"/>
      <c r="M44" s="458"/>
      <c r="N44" s="458"/>
      <c r="O44" s="458"/>
    </row>
    <row r="45" spans="1:17">
      <c r="A45" s="451" t="s">
        <v>2151</v>
      </c>
      <c r="D45" s="458"/>
      <c r="E45" s="458"/>
      <c r="F45" s="458"/>
      <c r="G45" s="458"/>
      <c r="H45" s="458"/>
      <c r="I45" s="458"/>
      <c r="J45" s="458"/>
      <c r="K45" s="458"/>
      <c r="L45" s="458"/>
      <c r="M45" s="458"/>
      <c r="N45" s="458"/>
      <c r="O45" s="458"/>
    </row>
    <row r="46" spans="1:17">
      <c r="A46" s="451"/>
      <c r="D46" s="458"/>
      <c r="E46" s="458"/>
      <c r="F46" s="458"/>
      <c r="G46" s="458"/>
      <c r="H46" s="458"/>
      <c r="I46" s="458"/>
      <c r="J46" s="458"/>
      <c r="K46" s="458"/>
      <c r="L46" s="458"/>
      <c r="M46" s="458"/>
      <c r="N46" s="458"/>
      <c r="O46" s="458"/>
    </row>
    <row r="48" spans="1:17">
      <c r="E48" s="51" t="s">
        <v>1526</v>
      </c>
      <c r="F48" s="51"/>
      <c r="G48" s="51"/>
      <c r="H48" s="51"/>
      <c r="I48" s="51"/>
      <c r="J48" s="51"/>
      <c r="K48" s="51"/>
      <c r="L48" s="51"/>
      <c r="M48" s="51"/>
      <c r="N48" s="51"/>
      <c r="O48" s="51"/>
      <c r="P48" s="11"/>
      <c r="Q48" s="11" t="s">
        <v>9479</v>
      </c>
    </row>
    <row r="49" spans="1:17">
      <c r="D49" s="133">
        <v>2010</v>
      </c>
      <c r="E49" s="133">
        <v>2011</v>
      </c>
      <c r="F49" s="133">
        <v>2012</v>
      </c>
      <c r="G49" s="133">
        <v>2013</v>
      </c>
      <c r="H49" s="133">
        <v>2014</v>
      </c>
      <c r="I49" s="133">
        <v>2015</v>
      </c>
      <c r="J49" s="133">
        <v>2016</v>
      </c>
      <c r="K49" s="133">
        <v>2017</v>
      </c>
      <c r="L49" s="133">
        <v>2018</v>
      </c>
      <c r="M49" s="133">
        <v>2019</v>
      </c>
      <c r="N49" s="133">
        <v>2020</v>
      </c>
      <c r="O49" s="950" t="s">
        <v>14823</v>
      </c>
      <c r="P49" s="11"/>
      <c r="Q49" s="13" t="s">
        <v>1527</v>
      </c>
    </row>
    <row r="50" spans="1:17">
      <c r="A50" s="451" t="s">
        <v>2152</v>
      </c>
      <c r="C50" s="451"/>
      <c r="D50" s="453">
        <f>SUM(D51:D73)</f>
        <v>90381</v>
      </c>
      <c r="E50" s="453">
        <f t="shared" ref="E50:J50" si="56">SUM(E51:E73)</f>
        <v>89647</v>
      </c>
      <c r="F50" s="453">
        <f t="shared" si="56"/>
        <v>90993</v>
      </c>
      <c r="G50" s="453">
        <f t="shared" si="56"/>
        <v>91360</v>
      </c>
      <c r="H50" s="453">
        <f t="shared" si="56"/>
        <v>86925</v>
      </c>
      <c r="I50" s="453">
        <f t="shared" si="56"/>
        <v>89567</v>
      </c>
      <c r="J50" s="453">
        <f t="shared" si="56"/>
        <v>90473</v>
      </c>
      <c r="K50" s="453">
        <f>SUM(K51:K73)</f>
        <v>91469</v>
      </c>
      <c r="L50" s="453">
        <f>SUM(L51:L73)</f>
        <v>92262</v>
      </c>
      <c r="M50" s="453">
        <f>SUM(M51:M73)</f>
        <v>92878</v>
      </c>
      <c r="N50" s="453">
        <f>SUM(N51:N73)</f>
        <v>94153</v>
      </c>
      <c r="O50" s="453">
        <f>SUM(O51:O73)</f>
        <v>93930</v>
      </c>
    </row>
    <row r="51" spans="1:17">
      <c r="A51" s="451" t="s">
        <v>5387</v>
      </c>
      <c r="B51" s="451" t="s">
        <v>10577</v>
      </c>
      <c r="C51" s="55" t="s">
        <v>10576</v>
      </c>
      <c r="D51" s="453">
        <v>66317</v>
      </c>
      <c r="E51" s="453">
        <v>65597</v>
      </c>
      <c r="F51" s="453">
        <v>66467</v>
      </c>
      <c r="G51" s="63">
        <v>66614</v>
      </c>
      <c r="H51" s="63">
        <v>63448</v>
      </c>
      <c r="I51" s="56">
        <v>65206</v>
      </c>
      <c r="J51" s="56">
        <v>2305</v>
      </c>
      <c r="K51" s="56">
        <v>2300</v>
      </c>
      <c r="L51" s="56">
        <v>2329</v>
      </c>
      <c r="M51" s="56">
        <v>2361</v>
      </c>
      <c r="N51" s="56">
        <v>2332</v>
      </c>
      <c r="O51" s="56">
        <v>2332</v>
      </c>
      <c r="Q51" s="451" t="s">
        <v>2137</v>
      </c>
    </row>
    <row r="52" spans="1:17">
      <c r="A52" s="451" t="s">
        <v>5389</v>
      </c>
      <c r="B52" s="451" t="s">
        <v>10578</v>
      </c>
      <c r="C52" s="55" t="s">
        <v>10592</v>
      </c>
      <c r="D52" s="453">
        <v>0</v>
      </c>
      <c r="E52" s="453">
        <v>0</v>
      </c>
      <c r="F52" s="453">
        <v>0</v>
      </c>
      <c r="G52" s="63">
        <v>0</v>
      </c>
      <c r="H52" s="63">
        <v>0</v>
      </c>
      <c r="I52" s="56">
        <v>0</v>
      </c>
      <c r="J52" s="56">
        <v>5673</v>
      </c>
      <c r="K52" s="56">
        <v>5795</v>
      </c>
      <c r="L52" s="56">
        <v>5883</v>
      </c>
      <c r="M52" s="56">
        <v>5840</v>
      </c>
      <c r="N52" s="56">
        <v>5869</v>
      </c>
      <c r="O52" s="56">
        <v>5848</v>
      </c>
      <c r="Q52" s="451" t="s">
        <v>2137</v>
      </c>
    </row>
    <row r="53" spans="1:17">
      <c r="A53" s="451" t="s">
        <v>5391</v>
      </c>
      <c r="B53" s="451" t="s">
        <v>10579</v>
      </c>
      <c r="C53" s="55" t="s">
        <v>10593</v>
      </c>
      <c r="D53" s="453">
        <v>0</v>
      </c>
      <c r="E53" s="453">
        <v>0</v>
      </c>
      <c r="F53" s="453">
        <v>0</v>
      </c>
      <c r="G53" s="63">
        <v>0</v>
      </c>
      <c r="H53" s="63">
        <v>0</v>
      </c>
      <c r="I53" s="56">
        <v>0</v>
      </c>
      <c r="J53" s="56">
        <v>2869</v>
      </c>
      <c r="K53" s="56">
        <v>2893</v>
      </c>
      <c r="L53" s="56">
        <v>2914</v>
      </c>
      <c r="M53" s="56">
        <v>2961</v>
      </c>
      <c r="N53" s="56">
        <v>2952</v>
      </c>
      <c r="O53" s="56">
        <v>2946</v>
      </c>
      <c r="Q53" s="451" t="s">
        <v>2137</v>
      </c>
    </row>
    <row r="54" spans="1:17">
      <c r="A54" s="451" t="s">
        <v>5393</v>
      </c>
      <c r="B54" s="451" t="s">
        <v>10580</v>
      </c>
      <c r="C54" s="55" t="s">
        <v>10594</v>
      </c>
      <c r="D54" s="453">
        <v>0</v>
      </c>
      <c r="E54" s="453">
        <v>0</v>
      </c>
      <c r="F54" s="453">
        <v>0</v>
      </c>
      <c r="G54" s="63">
        <v>0</v>
      </c>
      <c r="H54" s="63">
        <v>0</v>
      </c>
      <c r="I54" s="56">
        <v>0</v>
      </c>
      <c r="J54" s="56">
        <v>2761</v>
      </c>
      <c r="K54" s="56">
        <v>2764</v>
      </c>
      <c r="L54" s="56">
        <v>2705</v>
      </c>
      <c r="M54" s="56">
        <v>2700</v>
      </c>
      <c r="N54" s="56">
        <v>2710</v>
      </c>
      <c r="O54" s="56">
        <v>2706</v>
      </c>
      <c r="Q54" s="451" t="s">
        <v>2137</v>
      </c>
    </row>
    <row r="55" spans="1:17">
      <c r="A55" s="451" t="s">
        <v>5394</v>
      </c>
      <c r="B55" s="451" t="s">
        <v>10581</v>
      </c>
      <c r="C55" s="55" t="s">
        <v>10595</v>
      </c>
      <c r="D55" s="453">
        <v>0</v>
      </c>
      <c r="E55" s="453">
        <v>0</v>
      </c>
      <c r="F55" s="453">
        <v>0</v>
      </c>
      <c r="G55" s="63">
        <v>0</v>
      </c>
      <c r="H55" s="63">
        <v>0</v>
      </c>
      <c r="I55" s="56">
        <v>0</v>
      </c>
      <c r="J55" s="56">
        <v>4949</v>
      </c>
      <c r="K55" s="56">
        <v>5053</v>
      </c>
      <c r="L55" s="56">
        <v>5135</v>
      </c>
      <c r="M55" s="56">
        <v>5207</v>
      </c>
      <c r="N55" s="56">
        <v>5376</v>
      </c>
      <c r="O55" s="56">
        <v>5339</v>
      </c>
      <c r="Q55" s="451" t="s">
        <v>2137</v>
      </c>
    </row>
    <row r="56" spans="1:17">
      <c r="A56" s="451" t="s">
        <v>5416</v>
      </c>
      <c r="B56" s="451" t="s">
        <v>2153</v>
      </c>
      <c r="C56" s="55" t="s">
        <v>10596</v>
      </c>
      <c r="D56" s="453">
        <v>24064</v>
      </c>
      <c r="E56" s="453">
        <v>24050</v>
      </c>
      <c r="F56" s="453">
        <v>24526</v>
      </c>
      <c r="G56" s="63">
        <v>24746</v>
      </c>
      <c r="H56" s="63">
        <v>23477</v>
      </c>
      <c r="I56" s="56">
        <v>24361</v>
      </c>
      <c r="J56" s="58">
        <v>5183</v>
      </c>
      <c r="K56" s="58">
        <v>5322</v>
      </c>
      <c r="L56" s="58">
        <v>5409</v>
      </c>
      <c r="M56" s="58">
        <v>5487</v>
      </c>
      <c r="N56" s="58">
        <v>5641</v>
      </c>
      <c r="O56" s="58">
        <v>5631</v>
      </c>
      <c r="Q56" s="451" t="s">
        <v>2150</v>
      </c>
    </row>
    <row r="57" spans="1:17">
      <c r="A57" s="451" t="s">
        <v>5418</v>
      </c>
      <c r="B57" s="451" t="s">
        <v>2154</v>
      </c>
      <c r="C57" s="55" t="s">
        <v>10597</v>
      </c>
      <c r="D57" s="453">
        <v>0</v>
      </c>
      <c r="E57" s="453">
        <v>0</v>
      </c>
      <c r="F57" s="453">
        <v>0</v>
      </c>
      <c r="G57" s="63">
        <v>0</v>
      </c>
      <c r="H57" s="63">
        <v>0</v>
      </c>
      <c r="I57" s="56">
        <v>0</v>
      </c>
      <c r="J57" s="58">
        <v>7490</v>
      </c>
      <c r="K57" s="58">
        <v>7672</v>
      </c>
      <c r="L57" s="58">
        <v>7893</v>
      </c>
      <c r="M57" s="58">
        <v>7912</v>
      </c>
      <c r="N57" s="58">
        <v>8044</v>
      </c>
      <c r="O57" s="58">
        <v>8028</v>
      </c>
      <c r="Q57" s="451" t="s">
        <v>2150</v>
      </c>
    </row>
    <row r="58" spans="1:17">
      <c r="A58" s="451" t="s">
        <v>5420</v>
      </c>
      <c r="B58" s="451" t="s">
        <v>10582</v>
      </c>
      <c r="C58" s="55" t="s">
        <v>10598</v>
      </c>
      <c r="D58" s="453">
        <v>0</v>
      </c>
      <c r="E58" s="453">
        <v>0</v>
      </c>
      <c r="F58" s="453">
        <v>0</v>
      </c>
      <c r="G58" s="63">
        <v>0</v>
      </c>
      <c r="H58" s="63">
        <v>0</v>
      </c>
      <c r="I58" s="56">
        <v>0</v>
      </c>
      <c r="J58" s="58">
        <v>5321</v>
      </c>
      <c r="K58" s="58">
        <v>5443</v>
      </c>
      <c r="L58" s="58">
        <v>5538</v>
      </c>
      <c r="M58" s="58">
        <v>5542</v>
      </c>
      <c r="N58" s="58">
        <v>5579</v>
      </c>
      <c r="O58" s="58">
        <v>5577</v>
      </c>
      <c r="Q58" s="451" t="s">
        <v>2150</v>
      </c>
    </row>
    <row r="59" spans="1:17">
      <c r="A59" s="451" t="s">
        <v>5422</v>
      </c>
      <c r="B59" s="451" t="s">
        <v>2155</v>
      </c>
      <c r="C59" s="55" t="s">
        <v>10599</v>
      </c>
      <c r="D59" s="453">
        <v>0</v>
      </c>
      <c r="E59" s="453">
        <v>0</v>
      </c>
      <c r="F59" s="453">
        <v>0</v>
      </c>
      <c r="G59" s="63">
        <v>0</v>
      </c>
      <c r="H59" s="63">
        <v>0</v>
      </c>
      <c r="I59" s="56">
        <v>0</v>
      </c>
      <c r="J59" s="58">
        <v>6931</v>
      </c>
      <c r="K59" s="58">
        <v>6942</v>
      </c>
      <c r="L59" s="58">
        <v>7154</v>
      </c>
      <c r="M59" s="58">
        <v>7387</v>
      </c>
      <c r="N59" s="58">
        <v>7608</v>
      </c>
      <c r="O59" s="58">
        <v>7604</v>
      </c>
      <c r="Q59" s="451" t="s">
        <v>2150</v>
      </c>
    </row>
    <row r="60" spans="1:17">
      <c r="A60" s="451" t="s">
        <v>5424</v>
      </c>
      <c r="B60" s="451" t="s">
        <v>10583</v>
      </c>
      <c r="C60" s="55" t="s">
        <v>10600</v>
      </c>
      <c r="D60" s="453">
        <v>0</v>
      </c>
      <c r="E60" s="453">
        <v>0</v>
      </c>
      <c r="F60" s="453">
        <v>0</v>
      </c>
      <c r="G60" s="453">
        <v>0</v>
      </c>
      <c r="H60" s="453">
        <v>0</v>
      </c>
      <c r="I60" s="453">
        <v>0</v>
      </c>
      <c r="J60" s="56">
        <v>5513</v>
      </c>
      <c r="K60" s="56">
        <v>5557</v>
      </c>
      <c r="L60" s="56">
        <v>5569</v>
      </c>
      <c r="M60" s="56">
        <v>5605</v>
      </c>
      <c r="N60" s="56">
        <v>5596</v>
      </c>
      <c r="O60" s="56">
        <v>5579</v>
      </c>
      <c r="Q60" s="451" t="s">
        <v>2137</v>
      </c>
    </row>
    <row r="61" spans="1:17">
      <c r="A61" s="451" t="s">
        <v>5426</v>
      </c>
      <c r="B61" s="451" t="s">
        <v>3531</v>
      </c>
      <c r="C61" s="55" t="s">
        <v>10601</v>
      </c>
      <c r="D61" s="453">
        <v>0</v>
      </c>
      <c r="E61" s="453">
        <v>0</v>
      </c>
      <c r="F61" s="453">
        <v>0</v>
      </c>
      <c r="G61" s="453">
        <v>0</v>
      </c>
      <c r="H61" s="453">
        <v>0</v>
      </c>
      <c r="I61" s="453">
        <v>0</v>
      </c>
      <c r="J61" s="56">
        <v>2611</v>
      </c>
      <c r="K61" s="56">
        <v>2573</v>
      </c>
      <c r="L61" s="56">
        <v>2543</v>
      </c>
      <c r="M61" s="56">
        <v>2583</v>
      </c>
      <c r="N61" s="56">
        <v>2603</v>
      </c>
      <c r="O61" s="56">
        <v>2595</v>
      </c>
      <c r="Q61" s="451" t="s">
        <v>2137</v>
      </c>
    </row>
    <row r="62" spans="1:17">
      <c r="A62" s="451" t="s">
        <v>5428</v>
      </c>
      <c r="B62" s="451" t="s">
        <v>6692</v>
      </c>
      <c r="C62" s="55" t="s">
        <v>10602</v>
      </c>
      <c r="D62" s="453">
        <v>0</v>
      </c>
      <c r="E62" s="453">
        <v>0</v>
      </c>
      <c r="F62" s="453">
        <v>0</v>
      </c>
      <c r="G62" s="453">
        <v>0</v>
      </c>
      <c r="H62" s="453">
        <v>0</v>
      </c>
      <c r="I62" s="453">
        <v>0</v>
      </c>
      <c r="J62" s="56">
        <v>2391</v>
      </c>
      <c r="K62" s="56">
        <v>2359</v>
      </c>
      <c r="L62" s="56">
        <v>2395</v>
      </c>
      <c r="M62" s="56">
        <v>2396</v>
      </c>
      <c r="N62" s="56">
        <v>2431</v>
      </c>
      <c r="O62" s="56">
        <v>2434</v>
      </c>
      <c r="Q62" s="451" t="s">
        <v>2137</v>
      </c>
    </row>
    <row r="63" spans="1:17">
      <c r="A63" s="451" t="s">
        <v>5429</v>
      </c>
      <c r="B63" s="451" t="s">
        <v>10584</v>
      </c>
      <c r="C63" s="55" t="s">
        <v>10603</v>
      </c>
      <c r="D63" s="453">
        <v>0</v>
      </c>
      <c r="E63" s="453">
        <v>0</v>
      </c>
      <c r="F63" s="453">
        <v>0</v>
      </c>
      <c r="G63" s="453">
        <v>0</v>
      </c>
      <c r="H63" s="453">
        <v>0</v>
      </c>
      <c r="I63" s="453">
        <v>0</v>
      </c>
      <c r="J63" s="56">
        <v>2984</v>
      </c>
      <c r="K63" s="56">
        <v>3051</v>
      </c>
      <c r="L63" s="56">
        <v>3080</v>
      </c>
      <c r="M63" s="56">
        <v>3090</v>
      </c>
      <c r="N63" s="56">
        <v>3146</v>
      </c>
      <c r="O63" s="56">
        <v>3132</v>
      </c>
      <c r="Q63" s="451" t="s">
        <v>2137</v>
      </c>
    </row>
    <row r="64" spans="1:17">
      <c r="A64" s="451" t="s">
        <v>5431</v>
      </c>
      <c r="B64" s="451" t="s">
        <v>10585</v>
      </c>
      <c r="C64" s="55" t="s">
        <v>10604</v>
      </c>
      <c r="D64" s="453">
        <v>0</v>
      </c>
      <c r="E64" s="453">
        <v>0</v>
      </c>
      <c r="F64" s="453">
        <v>0</v>
      </c>
      <c r="G64" s="453">
        <v>0</v>
      </c>
      <c r="H64" s="453">
        <v>0</v>
      </c>
      <c r="I64" s="453">
        <v>0</v>
      </c>
      <c r="J64" s="56">
        <v>2619</v>
      </c>
      <c r="K64" s="56">
        <v>2680</v>
      </c>
      <c r="L64" s="56">
        <v>2777</v>
      </c>
      <c r="M64" s="56">
        <v>2899</v>
      </c>
      <c r="N64" s="56">
        <v>3006</v>
      </c>
      <c r="O64" s="56">
        <v>3001</v>
      </c>
      <c r="Q64" s="451" t="s">
        <v>2137</v>
      </c>
    </row>
    <row r="65" spans="1:17">
      <c r="A65" s="451" t="s">
        <v>5433</v>
      </c>
      <c r="B65" s="451" t="s">
        <v>10586</v>
      </c>
      <c r="C65" s="55" t="s">
        <v>10605</v>
      </c>
      <c r="D65" s="453">
        <v>0</v>
      </c>
      <c r="E65" s="453">
        <v>0</v>
      </c>
      <c r="F65" s="453">
        <v>0</v>
      </c>
      <c r="G65" s="453">
        <v>0</v>
      </c>
      <c r="H65" s="453">
        <v>0</v>
      </c>
      <c r="I65" s="453">
        <v>0</v>
      </c>
      <c r="J65" s="56">
        <v>2647</v>
      </c>
      <c r="K65" s="56">
        <v>2708</v>
      </c>
      <c r="L65" s="56">
        <v>2707</v>
      </c>
      <c r="M65" s="56">
        <v>2704</v>
      </c>
      <c r="N65" s="56">
        <v>2759</v>
      </c>
      <c r="O65" s="56">
        <v>2754</v>
      </c>
      <c r="Q65" s="451" t="s">
        <v>2137</v>
      </c>
    </row>
    <row r="66" spans="1:17">
      <c r="A66" s="451" t="s">
        <v>5435</v>
      </c>
      <c r="B66" s="451" t="s">
        <v>6912</v>
      </c>
      <c r="C66" s="55" t="s">
        <v>10606</v>
      </c>
      <c r="D66" s="453">
        <v>0</v>
      </c>
      <c r="E66" s="453">
        <v>0</v>
      </c>
      <c r="F66" s="453">
        <v>0</v>
      </c>
      <c r="G66" s="453">
        <v>0</v>
      </c>
      <c r="H66" s="453">
        <v>0</v>
      </c>
      <c r="I66" s="453">
        <v>0</v>
      </c>
      <c r="J66" s="56">
        <v>2814</v>
      </c>
      <c r="K66" s="56">
        <v>2848</v>
      </c>
      <c r="L66" s="56">
        <v>2839</v>
      </c>
      <c r="M66" s="56">
        <v>2858</v>
      </c>
      <c r="N66" s="56">
        <v>2852</v>
      </c>
      <c r="O66" s="56">
        <v>2836</v>
      </c>
      <c r="Q66" s="451" t="s">
        <v>2137</v>
      </c>
    </row>
    <row r="67" spans="1:17">
      <c r="A67" s="451" t="s">
        <v>5436</v>
      </c>
      <c r="B67" s="451" t="s">
        <v>3532</v>
      </c>
      <c r="C67" s="55" t="s">
        <v>10607</v>
      </c>
      <c r="D67" s="453">
        <v>0</v>
      </c>
      <c r="E67" s="453">
        <v>0</v>
      </c>
      <c r="F67" s="453">
        <v>0</v>
      </c>
      <c r="G67" s="453">
        <v>0</v>
      </c>
      <c r="H67" s="453">
        <v>0</v>
      </c>
      <c r="I67" s="453">
        <v>0</v>
      </c>
      <c r="J67" s="56">
        <v>5063</v>
      </c>
      <c r="K67" s="56">
        <v>5030</v>
      </c>
      <c r="L67" s="56">
        <v>5032</v>
      </c>
      <c r="M67" s="56">
        <v>5022</v>
      </c>
      <c r="N67" s="56">
        <v>5046</v>
      </c>
      <c r="O67" s="56">
        <v>5024</v>
      </c>
      <c r="Q67" s="451" t="s">
        <v>2137</v>
      </c>
    </row>
    <row r="68" spans="1:17">
      <c r="A68" s="451" t="s">
        <v>5437</v>
      </c>
      <c r="B68" s="451" t="s">
        <v>10587</v>
      </c>
      <c r="C68" s="55" t="s">
        <v>10608</v>
      </c>
      <c r="D68" s="453">
        <v>0</v>
      </c>
      <c r="E68" s="453">
        <v>0</v>
      </c>
      <c r="F68" s="453">
        <v>0</v>
      </c>
      <c r="G68" s="453">
        <v>0</v>
      </c>
      <c r="H68" s="453">
        <v>0</v>
      </c>
      <c r="I68" s="453">
        <v>0</v>
      </c>
      <c r="J68" s="56">
        <v>5261</v>
      </c>
      <c r="K68" s="56">
        <v>5244</v>
      </c>
      <c r="L68" s="56">
        <v>5173</v>
      </c>
      <c r="M68" s="56">
        <v>5142</v>
      </c>
      <c r="N68" s="56">
        <v>5240</v>
      </c>
      <c r="O68" s="56">
        <v>5217</v>
      </c>
      <c r="Q68" s="451" t="s">
        <v>2137</v>
      </c>
    </row>
    <row r="69" spans="1:17">
      <c r="A69" s="451" t="s">
        <v>5439</v>
      </c>
      <c r="B69" s="133" t="s">
        <v>10588</v>
      </c>
      <c r="C69" s="55" t="s">
        <v>10609</v>
      </c>
      <c r="D69" s="453">
        <v>0</v>
      </c>
      <c r="E69" s="453">
        <v>0</v>
      </c>
      <c r="F69" s="453">
        <v>0</v>
      </c>
      <c r="G69" s="453">
        <v>0</v>
      </c>
      <c r="H69" s="453">
        <v>0</v>
      </c>
      <c r="I69" s="453">
        <v>0</v>
      </c>
      <c r="J69" s="56">
        <v>2333</v>
      </c>
      <c r="K69" s="56">
        <v>2402</v>
      </c>
      <c r="L69" s="56">
        <v>2397</v>
      </c>
      <c r="M69" s="56">
        <v>2434</v>
      </c>
      <c r="N69" s="56">
        <v>2468</v>
      </c>
      <c r="O69" s="56">
        <v>2470</v>
      </c>
      <c r="Q69" s="451" t="s">
        <v>2137</v>
      </c>
    </row>
    <row r="70" spans="1:17">
      <c r="A70" s="451" t="s">
        <v>5441</v>
      </c>
      <c r="B70" s="133" t="s">
        <v>10589</v>
      </c>
      <c r="C70" s="55" t="s">
        <v>10610</v>
      </c>
      <c r="D70" s="453">
        <v>0</v>
      </c>
      <c r="E70" s="453">
        <v>0</v>
      </c>
      <c r="F70" s="453">
        <v>0</v>
      </c>
      <c r="G70" s="453">
        <v>0</v>
      </c>
      <c r="H70" s="453">
        <v>0</v>
      </c>
      <c r="I70" s="453">
        <v>0</v>
      </c>
      <c r="J70" s="58">
        <v>5061</v>
      </c>
      <c r="K70" s="58">
        <v>5098</v>
      </c>
      <c r="L70" s="58">
        <v>5044</v>
      </c>
      <c r="M70" s="58">
        <v>4975</v>
      </c>
      <c r="N70" s="58">
        <v>5080</v>
      </c>
      <c r="O70" s="58">
        <v>5073</v>
      </c>
      <c r="Q70" s="451" t="s">
        <v>2137</v>
      </c>
    </row>
    <row r="71" spans="1:17">
      <c r="A71" s="451" t="s">
        <v>5886</v>
      </c>
      <c r="B71" s="133" t="s">
        <v>10590</v>
      </c>
      <c r="C71" s="55" t="s">
        <v>10611</v>
      </c>
      <c r="D71" s="453">
        <v>0</v>
      </c>
      <c r="E71" s="453">
        <v>0</v>
      </c>
      <c r="F71" s="453">
        <v>0</v>
      </c>
      <c r="G71" s="453">
        <v>0</v>
      </c>
      <c r="H71" s="453">
        <v>0</v>
      </c>
      <c r="I71" s="453">
        <v>0</v>
      </c>
      <c r="J71" s="58">
        <v>2698</v>
      </c>
      <c r="K71" s="58">
        <v>2732</v>
      </c>
      <c r="L71" s="58">
        <v>2722</v>
      </c>
      <c r="M71" s="58">
        <v>2723</v>
      </c>
      <c r="N71" s="58">
        <v>2749</v>
      </c>
      <c r="O71" s="58">
        <v>2750</v>
      </c>
      <c r="Q71" s="451" t="s">
        <v>2137</v>
      </c>
    </row>
    <row r="72" spans="1:17">
      <c r="A72" s="451" t="s">
        <v>5888</v>
      </c>
      <c r="B72" s="133" t="s">
        <v>10591</v>
      </c>
      <c r="C72" s="55" t="s">
        <v>10612</v>
      </c>
      <c r="D72" s="453">
        <v>0</v>
      </c>
      <c r="E72" s="453">
        <v>0</v>
      </c>
      <c r="F72" s="453">
        <v>0</v>
      </c>
      <c r="G72" s="453">
        <v>0</v>
      </c>
      <c r="H72" s="453">
        <v>0</v>
      </c>
      <c r="I72" s="453">
        <v>0</v>
      </c>
      <c r="J72" s="58">
        <v>2381</v>
      </c>
      <c r="K72" s="58">
        <v>2383</v>
      </c>
      <c r="L72" s="58">
        <v>2356</v>
      </c>
      <c r="M72" s="58">
        <v>2360</v>
      </c>
      <c r="N72" s="58">
        <v>2373</v>
      </c>
      <c r="O72" s="58">
        <v>2364</v>
      </c>
      <c r="Q72" s="451" t="s">
        <v>2137</v>
      </c>
    </row>
    <row r="73" spans="1:17">
      <c r="A73" s="451" t="s">
        <v>5889</v>
      </c>
      <c r="B73" s="451" t="s">
        <v>3538</v>
      </c>
      <c r="C73" s="55" t="s">
        <v>10613</v>
      </c>
      <c r="D73" s="453">
        <v>0</v>
      </c>
      <c r="E73" s="453">
        <v>0</v>
      </c>
      <c r="F73" s="453">
        <v>0</v>
      </c>
      <c r="G73" s="453">
        <v>0</v>
      </c>
      <c r="H73" s="453">
        <v>0</v>
      </c>
      <c r="I73" s="453">
        <v>0</v>
      </c>
      <c r="J73" s="58">
        <v>2615</v>
      </c>
      <c r="K73" s="58">
        <v>2620</v>
      </c>
      <c r="L73" s="58">
        <v>2668</v>
      </c>
      <c r="M73" s="58">
        <v>2690</v>
      </c>
      <c r="N73" s="58">
        <v>2693</v>
      </c>
      <c r="O73" s="58">
        <v>2690</v>
      </c>
      <c r="Q73" s="451" t="s">
        <v>2137</v>
      </c>
    </row>
    <row r="74" spans="1:17">
      <c r="A74" s="451" t="s">
        <v>5744</v>
      </c>
      <c r="D74" s="455"/>
      <c r="E74" s="455"/>
      <c r="F74" s="455"/>
      <c r="G74" s="455"/>
      <c r="H74" s="455"/>
      <c r="I74" s="455"/>
      <c r="J74" s="455"/>
      <c r="K74" s="455"/>
      <c r="L74" s="455"/>
      <c r="M74" s="455"/>
      <c r="N74" s="455"/>
      <c r="O74" s="455"/>
    </row>
    <row r="75" spans="1:17">
      <c r="A75" s="451" t="s">
        <v>3539</v>
      </c>
      <c r="D75" s="453">
        <f>SUM(D51:D55)+SUM(D60:D73)</f>
        <v>66317</v>
      </c>
      <c r="E75" s="453">
        <f t="shared" ref="E75:J75" si="57">SUM(E51:E55)+SUM(E60:E73)</f>
        <v>65597</v>
      </c>
      <c r="F75" s="453">
        <f t="shared" si="57"/>
        <v>66467</v>
      </c>
      <c r="G75" s="453">
        <f t="shared" si="57"/>
        <v>66614</v>
      </c>
      <c r="H75" s="453">
        <f t="shared" si="57"/>
        <v>63448</v>
      </c>
      <c r="I75" s="453">
        <f t="shared" si="57"/>
        <v>65206</v>
      </c>
      <c r="J75" s="453">
        <f t="shared" si="57"/>
        <v>65548</v>
      </c>
      <c r="K75" s="453">
        <f>SUM(K51:K55)+SUM(K60:K73)</f>
        <v>66090</v>
      </c>
      <c r="L75" s="453">
        <f>SUM(L51:L55)+SUM(L60:L73)</f>
        <v>66268</v>
      </c>
      <c r="M75" s="453">
        <f>SUM(M51:M55)+SUM(M60:M73)</f>
        <v>66550</v>
      </c>
      <c r="N75" s="453">
        <f>SUM(N51:N55)+SUM(N60:N73)</f>
        <v>67281</v>
      </c>
      <c r="O75" s="453">
        <f>SUM(O51:O55)+SUM(O60:O73)</f>
        <v>67090</v>
      </c>
    </row>
    <row r="76" spans="1:17">
      <c r="A76" s="451" t="s">
        <v>3540</v>
      </c>
      <c r="D76" s="453">
        <f>SUM(D56:D59)</f>
        <v>24064</v>
      </c>
      <c r="E76" s="453">
        <f t="shared" ref="E76:J76" si="58">SUM(E56:E59)</f>
        <v>24050</v>
      </c>
      <c r="F76" s="453">
        <f t="shared" si="58"/>
        <v>24526</v>
      </c>
      <c r="G76" s="453">
        <f t="shared" si="58"/>
        <v>24746</v>
      </c>
      <c r="H76" s="453">
        <f t="shared" si="58"/>
        <v>23477</v>
      </c>
      <c r="I76" s="453">
        <f t="shared" si="58"/>
        <v>24361</v>
      </c>
      <c r="J76" s="453">
        <f t="shared" si="58"/>
        <v>24925</v>
      </c>
      <c r="K76" s="453">
        <f>SUM(K56:K59)</f>
        <v>25379</v>
      </c>
      <c r="L76" s="453">
        <f>SUM(L56:L59)</f>
        <v>25994</v>
      </c>
      <c r="M76" s="453">
        <f>SUM(M56:M59)</f>
        <v>26328</v>
      </c>
      <c r="N76" s="453">
        <f>SUM(N56:N59)</f>
        <v>26872</v>
      </c>
      <c r="O76" s="453">
        <f>SUM(O56:O59)</f>
        <v>26840</v>
      </c>
    </row>
    <row r="77" spans="1:17">
      <c r="A77" s="451"/>
      <c r="D77" s="453"/>
      <c r="E77" s="453"/>
      <c r="F77" s="453"/>
      <c r="G77" s="453"/>
      <c r="H77" s="453"/>
      <c r="I77" s="453"/>
      <c r="J77" s="453"/>
      <c r="K77" s="453"/>
      <c r="L77" s="453"/>
      <c r="M77" s="453"/>
      <c r="N77" s="453"/>
      <c r="O77" s="453"/>
    </row>
    <row r="78" spans="1:17">
      <c r="A78" s="451" t="s">
        <v>10614</v>
      </c>
      <c r="D78" s="453"/>
      <c r="E78" s="453"/>
      <c r="F78" s="453"/>
      <c r="G78" s="453"/>
      <c r="H78" s="453"/>
      <c r="I78" s="453"/>
      <c r="J78" s="453"/>
      <c r="K78" s="453"/>
      <c r="L78" s="453"/>
      <c r="M78" s="453"/>
      <c r="N78" s="453"/>
      <c r="O78" s="453"/>
    </row>
    <row r="79" spans="1:17">
      <c r="A79" s="451"/>
      <c r="B79" s="451"/>
      <c r="D79" s="459"/>
      <c r="E79" s="459"/>
      <c r="F79" s="459"/>
      <c r="G79" s="459"/>
      <c r="H79" s="459"/>
      <c r="I79" s="459"/>
      <c r="J79" s="459"/>
      <c r="K79" s="459"/>
      <c r="L79" s="459"/>
      <c r="M79" s="459"/>
      <c r="N79" s="459"/>
      <c r="O79" s="459"/>
    </row>
    <row r="80" spans="1:17">
      <c r="A80" s="451"/>
      <c r="B80" s="451"/>
      <c r="D80" s="459"/>
      <c r="E80" s="459"/>
      <c r="F80" s="459"/>
      <c r="G80" s="459"/>
      <c r="H80" s="459"/>
      <c r="I80" s="459"/>
      <c r="J80" s="459"/>
      <c r="K80" s="459"/>
      <c r="L80" s="459"/>
      <c r="M80" s="459"/>
      <c r="N80" s="459"/>
      <c r="O80" s="459"/>
    </row>
    <row r="81" spans="1:17">
      <c r="E81" s="51" t="s">
        <v>1526</v>
      </c>
      <c r="F81" s="51"/>
      <c r="G81" s="51"/>
      <c r="H81" s="51"/>
      <c r="I81" s="51"/>
      <c r="J81" s="51"/>
      <c r="K81" s="51"/>
      <c r="L81" s="51"/>
      <c r="M81" s="51"/>
      <c r="N81" s="51"/>
      <c r="O81" s="51"/>
      <c r="P81" s="11"/>
      <c r="Q81" s="11" t="s">
        <v>9479</v>
      </c>
    </row>
    <row r="82" spans="1:17">
      <c r="D82" s="133">
        <v>2010</v>
      </c>
      <c r="E82" s="133">
        <v>2011</v>
      </c>
      <c r="F82" s="133">
        <v>2012</v>
      </c>
      <c r="G82" s="133">
        <v>2013</v>
      </c>
      <c r="H82" s="133">
        <v>2014</v>
      </c>
      <c r="I82" s="133">
        <v>2015</v>
      </c>
      <c r="J82" s="133">
        <v>2016</v>
      </c>
      <c r="K82" s="133">
        <v>2017</v>
      </c>
      <c r="L82" s="133">
        <v>2018</v>
      </c>
      <c r="M82" s="133">
        <v>2019</v>
      </c>
      <c r="N82" s="133">
        <v>2020</v>
      </c>
      <c r="O82" s="950" t="s">
        <v>14823</v>
      </c>
      <c r="P82" s="11"/>
      <c r="Q82" s="13" t="s">
        <v>1527</v>
      </c>
    </row>
    <row r="83" spans="1:17">
      <c r="A83" s="451" t="s">
        <v>3541</v>
      </c>
      <c r="D83" s="453">
        <f t="shared" ref="D83:I83" si="59">SUM(D84:D100)+SUM(D101:D102)+SUM(D103:D108)</f>
        <v>83556</v>
      </c>
      <c r="E83" s="453">
        <f t="shared" si="59"/>
        <v>85194</v>
      </c>
      <c r="F83" s="453">
        <f t="shared" si="59"/>
        <v>84495</v>
      </c>
      <c r="G83" s="453">
        <f t="shared" si="59"/>
        <v>85384</v>
      </c>
      <c r="H83" s="453">
        <f t="shared" si="59"/>
        <v>84812</v>
      </c>
      <c r="I83" s="453">
        <f t="shared" si="59"/>
        <v>82635</v>
      </c>
      <c r="J83" s="453">
        <f t="shared" ref="J83:O83" si="60">SUM(J84:J100)+SUM(J101:J102)+SUM(J103:J108)</f>
        <v>83683</v>
      </c>
      <c r="K83" s="453">
        <f t="shared" si="60"/>
        <v>84587</v>
      </c>
      <c r="L83" s="453">
        <f t="shared" si="60"/>
        <v>84201</v>
      </c>
      <c r="M83" s="453">
        <f t="shared" si="60"/>
        <v>84196</v>
      </c>
      <c r="N83" s="453">
        <f t="shared" si="60"/>
        <v>86966</v>
      </c>
      <c r="O83" s="453">
        <f t="shared" si="60"/>
        <v>86375</v>
      </c>
    </row>
    <row r="84" spans="1:17">
      <c r="A84" s="451" t="s">
        <v>5387</v>
      </c>
      <c r="B84" s="451" t="s">
        <v>3542</v>
      </c>
      <c r="C84" s="55" t="s">
        <v>8539</v>
      </c>
      <c r="D84" s="453">
        <v>1846</v>
      </c>
      <c r="E84" s="453">
        <v>1848</v>
      </c>
      <c r="F84" s="453">
        <v>1860</v>
      </c>
      <c r="G84" s="56">
        <v>1852</v>
      </c>
      <c r="H84" s="56">
        <v>1911</v>
      </c>
      <c r="I84" s="56">
        <v>1852</v>
      </c>
      <c r="J84" s="56">
        <v>1863</v>
      </c>
      <c r="K84" s="56">
        <v>1890</v>
      </c>
      <c r="L84" s="56">
        <v>1877</v>
      </c>
      <c r="M84" s="56">
        <v>1874</v>
      </c>
      <c r="N84" s="56">
        <v>1941</v>
      </c>
      <c r="O84" s="56">
        <v>1923</v>
      </c>
      <c r="Q84" s="451" t="s">
        <v>2140</v>
      </c>
    </row>
    <row r="85" spans="1:17">
      <c r="A85" s="451" t="s">
        <v>5389</v>
      </c>
      <c r="B85" s="451" t="s">
        <v>3543</v>
      </c>
      <c r="C85" s="55" t="s">
        <v>8540</v>
      </c>
      <c r="D85" s="453">
        <v>1811</v>
      </c>
      <c r="E85" s="453">
        <v>1844</v>
      </c>
      <c r="F85" s="453">
        <v>1855</v>
      </c>
      <c r="G85" s="56">
        <v>1855</v>
      </c>
      <c r="H85" s="56">
        <v>1820</v>
      </c>
      <c r="I85" s="56">
        <v>1785</v>
      </c>
      <c r="J85" s="56">
        <v>1817</v>
      </c>
      <c r="K85" s="56">
        <v>1824</v>
      </c>
      <c r="L85" s="56">
        <v>1827</v>
      </c>
      <c r="M85" s="56">
        <v>1839</v>
      </c>
      <c r="N85" s="56">
        <v>1895</v>
      </c>
      <c r="O85" s="56">
        <v>1882</v>
      </c>
      <c r="Q85" s="451" t="s">
        <v>2140</v>
      </c>
    </row>
    <row r="86" spans="1:17">
      <c r="A86" s="451" t="s">
        <v>5391</v>
      </c>
      <c r="B86" s="451" t="s">
        <v>5903</v>
      </c>
      <c r="C86" s="55" t="s">
        <v>8541</v>
      </c>
      <c r="D86" s="453">
        <v>4631</v>
      </c>
      <c r="E86" s="453">
        <v>4625</v>
      </c>
      <c r="F86" s="453">
        <v>4547</v>
      </c>
      <c r="G86" s="56">
        <v>4531</v>
      </c>
      <c r="H86" s="56">
        <v>4530</v>
      </c>
      <c r="I86" s="56">
        <v>4382</v>
      </c>
      <c r="J86" s="56">
        <v>4437</v>
      </c>
      <c r="K86" s="56">
        <v>4423</v>
      </c>
      <c r="L86" s="56">
        <v>4364</v>
      </c>
      <c r="M86" s="56">
        <v>4332</v>
      </c>
      <c r="N86" s="56">
        <v>4404</v>
      </c>
      <c r="O86" s="56">
        <v>4365</v>
      </c>
      <c r="Q86" s="451" t="s">
        <v>2140</v>
      </c>
    </row>
    <row r="87" spans="1:17">
      <c r="A87" s="451" t="s">
        <v>5393</v>
      </c>
      <c r="B87" s="451" t="s">
        <v>3544</v>
      </c>
      <c r="C87" s="55" t="s">
        <v>8542</v>
      </c>
      <c r="D87" s="453">
        <v>1535</v>
      </c>
      <c r="E87" s="453">
        <v>1552</v>
      </c>
      <c r="F87" s="453">
        <v>1562</v>
      </c>
      <c r="G87" s="56">
        <v>1530</v>
      </c>
      <c r="H87" s="56">
        <v>1547</v>
      </c>
      <c r="I87" s="56">
        <v>1529</v>
      </c>
      <c r="J87" s="56">
        <v>1505</v>
      </c>
      <c r="K87" s="56">
        <v>1504</v>
      </c>
      <c r="L87" s="56">
        <v>1541</v>
      </c>
      <c r="M87" s="56">
        <v>1524</v>
      </c>
      <c r="N87" s="56">
        <v>1545</v>
      </c>
      <c r="O87" s="56">
        <v>1538</v>
      </c>
      <c r="Q87" s="451" t="s">
        <v>2140</v>
      </c>
    </row>
    <row r="88" spans="1:17">
      <c r="A88" s="451" t="s">
        <v>5394</v>
      </c>
      <c r="B88" s="451" t="s">
        <v>3545</v>
      </c>
      <c r="C88" s="55" t="s">
        <v>8543</v>
      </c>
      <c r="D88" s="453">
        <v>1831</v>
      </c>
      <c r="E88" s="453">
        <v>1864</v>
      </c>
      <c r="F88" s="453">
        <v>1830</v>
      </c>
      <c r="G88" s="58">
        <v>1874</v>
      </c>
      <c r="H88" s="58">
        <v>1895</v>
      </c>
      <c r="I88" s="58">
        <v>1900</v>
      </c>
      <c r="J88" s="58">
        <v>1929</v>
      </c>
      <c r="K88" s="58">
        <v>1966</v>
      </c>
      <c r="L88" s="58">
        <v>1969</v>
      </c>
      <c r="M88" s="58">
        <v>1972</v>
      </c>
      <c r="N88" s="58">
        <v>2029</v>
      </c>
      <c r="O88" s="58">
        <v>2020</v>
      </c>
      <c r="Q88" s="451" t="s">
        <v>2146</v>
      </c>
    </row>
    <row r="89" spans="1:17">
      <c r="A89" s="451" t="s">
        <v>5416</v>
      </c>
      <c r="B89" s="451" t="s">
        <v>3546</v>
      </c>
      <c r="C89" s="55" t="s">
        <v>8544</v>
      </c>
      <c r="D89" s="453">
        <v>5252</v>
      </c>
      <c r="E89" s="453">
        <v>5327</v>
      </c>
      <c r="F89" s="453">
        <v>5367</v>
      </c>
      <c r="G89" s="56">
        <v>5473</v>
      </c>
      <c r="H89" s="56">
        <v>5406</v>
      </c>
      <c r="I89" s="56">
        <v>5190</v>
      </c>
      <c r="J89" s="56">
        <v>5273</v>
      </c>
      <c r="K89" s="56">
        <v>5287</v>
      </c>
      <c r="L89" s="56">
        <v>5162</v>
      </c>
      <c r="M89" s="56">
        <v>5170</v>
      </c>
      <c r="N89" s="56">
        <v>5385</v>
      </c>
      <c r="O89" s="56">
        <v>5361</v>
      </c>
      <c r="Q89" s="451" t="s">
        <v>2140</v>
      </c>
    </row>
    <row r="90" spans="1:17">
      <c r="A90" s="451" t="s">
        <v>5418</v>
      </c>
      <c r="B90" s="451" t="s">
        <v>3547</v>
      </c>
      <c r="C90" s="55" t="s">
        <v>8545</v>
      </c>
      <c r="D90" s="453">
        <v>4846</v>
      </c>
      <c r="E90" s="453">
        <v>4872</v>
      </c>
      <c r="F90" s="453">
        <v>4861</v>
      </c>
      <c r="G90" s="56">
        <v>4928</v>
      </c>
      <c r="H90" s="56">
        <v>4951</v>
      </c>
      <c r="I90" s="56">
        <v>4809</v>
      </c>
      <c r="J90" s="56">
        <v>4887</v>
      </c>
      <c r="K90" s="56">
        <v>4967</v>
      </c>
      <c r="L90" s="56">
        <v>4920</v>
      </c>
      <c r="M90" s="56">
        <v>4893</v>
      </c>
      <c r="N90" s="56">
        <v>5067</v>
      </c>
      <c r="O90" s="56">
        <v>5043</v>
      </c>
      <c r="Q90" s="451" t="s">
        <v>2140</v>
      </c>
    </row>
    <row r="91" spans="1:17">
      <c r="A91" s="451" t="s">
        <v>5420</v>
      </c>
      <c r="B91" s="451" t="s">
        <v>3548</v>
      </c>
      <c r="C91" s="55" t="s">
        <v>8546</v>
      </c>
      <c r="D91" s="453">
        <v>3220</v>
      </c>
      <c r="E91" s="453">
        <v>3287</v>
      </c>
      <c r="F91" s="453">
        <v>3341</v>
      </c>
      <c r="G91" s="56">
        <v>3387</v>
      </c>
      <c r="H91" s="56">
        <v>3432</v>
      </c>
      <c r="I91" s="56">
        <v>3373</v>
      </c>
      <c r="J91" s="56">
        <v>3515</v>
      </c>
      <c r="K91" s="56">
        <v>3689</v>
      </c>
      <c r="L91" s="56">
        <v>3690</v>
      </c>
      <c r="M91" s="56">
        <v>3792</v>
      </c>
      <c r="N91" s="56">
        <v>3936</v>
      </c>
      <c r="O91" s="56">
        <v>3875</v>
      </c>
      <c r="Q91" s="451" t="s">
        <v>2140</v>
      </c>
    </row>
    <row r="92" spans="1:17">
      <c r="A92" s="451" t="s">
        <v>5422</v>
      </c>
      <c r="B92" s="451" t="s">
        <v>3549</v>
      </c>
      <c r="C92" s="55" t="s">
        <v>8547</v>
      </c>
      <c r="D92" s="453">
        <v>3541</v>
      </c>
      <c r="E92" s="453">
        <v>3553</v>
      </c>
      <c r="F92" s="453">
        <v>3426</v>
      </c>
      <c r="G92" s="56">
        <v>3495</v>
      </c>
      <c r="H92" s="56">
        <v>3475</v>
      </c>
      <c r="I92" s="56">
        <v>3352</v>
      </c>
      <c r="J92" s="56">
        <v>3483</v>
      </c>
      <c r="K92" s="56">
        <v>3618</v>
      </c>
      <c r="L92" s="56">
        <v>3654</v>
      </c>
      <c r="M92" s="56">
        <v>3654</v>
      </c>
      <c r="N92" s="56">
        <v>3796</v>
      </c>
      <c r="O92" s="56">
        <v>3789</v>
      </c>
      <c r="Q92" s="451" t="s">
        <v>2140</v>
      </c>
    </row>
    <row r="93" spans="1:17">
      <c r="A93" s="451" t="s">
        <v>5424</v>
      </c>
      <c r="B93" s="451" t="s">
        <v>5134</v>
      </c>
      <c r="C93" s="55" t="s">
        <v>8548</v>
      </c>
      <c r="D93" s="453">
        <v>1800</v>
      </c>
      <c r="E93" s="453">
        <v>1858</v>
      </c>
      <c r="F93" s="453">
        <v>1869</v>
      </c>
      <c r="G93" s="56">
        <v>1902</v>
      </c>
      <c r="H93" s="56">
        <v>1892</v>
      </c>
      <c r="I93" s="56">
        <v>1876</v>
      </c>
      <c r="J93" s="56">
        <v>1898</v>
      </c>
      <c r="K93" s="56">
        <v>1979</v>
      </c>
      <c r="L93" s="56">
        <v>2010</v>
      </c>
      <c r="M93" s="56">
        <v>1989</v>
      </c>
      <c r="N93" s="56">
        <v>2067</v>
      </c>
      <c r="O93" s="56">
        <v>2045</v>
      </c>
      <c r="Q93" s="451" t="s">
        <v>2140</v>
      </c>
    </row>
    <row r="94" spans="1:17">
      <c r="A94" s="451" t="s">
        <v>5426</v>
      </c>
      <c r="B94" s="451" t="s">
        <v>3550</v>
      </c>
      <c r="C94" s="55" t="s">
        <v>8549</v>
      </c>
      <c r="D94" s="453">
        <v>5704</v>
      </c>
      <c r="E94" s="453">
        <v>5841</v>
      </c>
      <c r="F94" s="453">
        <v>5739</v>
      </c>
      <c r="G94" s="56">
        <v>5880</v>
      </c>
      <c r="H94" s="56">
        <v>5831</v>
      </c>
      <c r="I94" s="56">
        <v>5736</v>
      </c>
      <c r="J94" s="56">
        <v>5726</v>
      </c>
      <c r="K94" s="56">
        <v>5760</v>
      </c>
      <c r="L94" s="56">
        <v>5757</v>
      </c>
      <c r="M94" s="56">
        <v>5960</v>
      </c>
      <c r="N94" s="56">
        <v>6253</v>
      </c>
      <c r="O94" s="56">
        <v>6209</v>
      </c>
      <c r="Q94" s="451" t="s">
        <v>2140</v>
      </c>
    </row>
    <row r="95" spans="1:17">
      <c r="A95" s="451" t="s">
        <v>5428</v>
      </c>
      <c r="B95" s="451" t="s">
        <v>3551</v>
      </c>
      <c r="C95" s="55" t="s">
        <v>8550</v>
      </c>
      <c r="D95" s="453">
        <v>1787</v>
      </c>
      <c r="E95" s="453">
        <v>1836</v>
      </c>
      <c r="F95" s="453">
        <v>1725</v>
      </c>
      <c r="G95" s="56">
        <v>1830</v>
      </c>
      <c r="H95" s="56">
        <v>1895</v>
      </c>
      <c r="I95" s="56">
        <v>1854</v>
      </c>
      <c r="J95" s="56">
        <v>1910</v>
      </c>
      <c r="K95" s="56">
        <v>1944</v>
      </c>
      <c r="L95" s="56">
        <v>1932</v>
      </c>
      <c r="M95" s="56">
        <v>1934</v>
      </c>
      <c r="N95" s="56">
        <v>1968</v>
      </c>
      <c r="O95" s="56">
        <v>1963</v>
      </c>
      <c r="Q95" s="451" t="s">
        <v>2140</v>
      </c>
    </row>
    <row r="96" spans="1:17">
      <c r="A96" s="451" t="s">
        <v>5429</v>
      </c>
      <c r="B96" s="451" t="s">
        <v>3234</v>
      </c>
      <c r="C96" s="55" t="s">
        <v>8551</v>
      </c>
      <c r="D96" s="453">
        <v>1941</v>
      </c>
      <c r="E96" s="453">
        <v>1943</v>
      </c>
      <c r="F96" s="453">
        <v>1940</v>
      </c>
      <c r="G96" s="56">
        <v>1964</v>
      </c>
      <c r="H96" s="56">
        <v>1967</v>
      </c>
      <c r="I96" s="56">
        <v>1957</v>
      </c>
      <c r="J96" s="56">
        <v>2008</v>
      </c>
      <c r="K96" s="56">
        <v>2027</v>
      </c>
      <c r="L96" s="56">
        <v>2049</v>
      </c>
      <c r="M96" s="56">
        <v>2001</v>
      </c>
      <c r="N96" s="56">
        <v>2050</v>
      </c>
      <c r="O96" s="56">
        <v>2035</v>
      </c>
      <c r="Q96" s="451" t="s">
        <v>2140</v>
      </c>
    </row>
    <row r="97" spans="1:17">
      <c r="A97" s="451" t="s">
        <v>5431</v>
      </c>
      <c r="B97" s="451" t="s">
        <v>5858</v>
      </c>
      <c r="C97" s="55" t="s">
        <v>8552</v>
      </c>
      <c r="D97" s="453">
        <v>1591</v>
      </c>
      <c r="E97" s="453">
        <v>1615</v>
      </c>
      <c r="F97" s="453">
        <v>1605</v>
      </c>
      <c r="G97" s="58">
        <v>1609</v>
      </c>
      <c r="H97" s="58">
        <v>1574</v>
      </c>
      <c r="I97" s="58">
        <v>1541</v>
      </c>
      <c r="J97" s="58">
        <v>1595</v>
      </c>
      <c r="K97" s="58">
        <v>1649</v>
      </c>
      <c r="L97" s="58">
        <v>1645</v>
      </c>
      <c r="M97" s="58">
        <v>1661</v>
      </c>
      <c r="N97" s="58">
        <v>1700</v>
      </c>
      <c r="O97" s="58">
        <v>1691</v>
      </c>
      <c r="Q97" s="451" t="s">
        <v>2146</v>
      </c>
    </row>
    <row r="98" spans="1:17">
      <c r="A98" s="451" t="s">
        <v>5433</v>
      </c>
      <c r="B98" s="451" t="s">
        <v>6576</v>
      </c>
      <c r="C98" s="55" t="s">
        <v>8553</v>
      </c>
      <c r="D98" s="453">
        <v>1852</v>
      </c>
      <c r="E98" s="453">
        <v>1845</v>
      </c>
      <c r="F98" s="453">
        <v>1894</v>
      </c>
      <c r="G98" s="56">
        <v>1883</v>
      </c>
      <c r="H98" s="56">
        <v>1893</v>
      </c>
      <c r="I98" s="56">
        <v>1854</v>
      </c>
      <c r="J98" s="56">
        <v>1846</v>
      </c>
      <c r="K98" s="56">
        <v>1860</v>
      </c>
      <c r="L98" s="56">
        <v>1853</v>
      </c>
      <c r="M98" s="56">
        <v>1815</v>
      </c>
      <c r="N98" s="56">
        <v>1915</v>
      </c>
      <c r="O98" s="56">
        <v>1900</v>
      </c>
      <c r="Q98" s="451" t="s">
        <v>2140</v>
      </c>
    </row>
    <row r="99" spans="1:17">
      <c r="A99" s="451" t="s">
        <v>5435</v>
      </c>
      <c r="B99" s="451" t="s">
        <v>6577</v>
      </c>
      <c r="C99" s="55" t="s">
        <v>8554</v>
      </c>
      <c r="D99" s="453">
        <v>1736</v>
      </c>
      <c r="E99" s="453">
        <v>1771</v>
      </c>
      <c r="F99" s="453">
        <v>1754</v>
      </c>
      <c r="G99" s="56">
        <v>1774</v>
      </c>
      <c r="H99" s="56">
        <v>1808</v>
      </c>
      <c r="I99" s="56">
        <v>1801</v>
      </c>
      <c r="J99" s="56">
        <v>1816</v>
      </c>
      <c r="K99" s="56">
        <v>1824</v>
      </c>
      <c r="L99" s="56">
        <v>1815</v>
      </c>
      <c r="M99" s="56">
        <v>1826</v>
      </c>
      <c r="N99" s="56">
        <v>1870</v>
      </c>
      <c r="O99" s="56">
        <v>1853</v>
      </c>
      <c r="Q99" s="451" t="s">
        <v>2140</v>
      </c>
    </row>
    <row r="100" spans="1:17">
      <c r="A100" s="451" t="s">
        <v>5436</v>
      </c>
      <c r="B100" s="451" t="s">
        <v>6890</v>
      </c>
      <c r="C100" s="55" t="s">
        <v>8555</v>
      </c>
      <c r="D100" s="453">
        <v>1598</v>
      </c>
      <c r="E100" s="453">
        <v>1678</v>
      </c>
      <c r="F100" s="453">
        <v>1633</v>
      </c>
      <c r="G100" s="56">
        <v>1646</v>
      </c>
      <c r="H100" s="56">
        <v>1656</v>
      </c>
      <c r="I100" s="56">
        <v>1638</v>
      </c>
      <c r="J100" s="56">
        <v>1656</v>
      </c>
      <c r="K100" s="56">
        <v>1686</v>
      </c>
      <c r="L100" s="56">
        <v>1689</v>
      </c>
      <c r="M100" s="56">
        <v>1636</v>
      </c>
      <c r="N100" s="56">
        <v>1673</v>
      </c>
      <c r="O100" s="56">
        <v>1675</v>
      </c>
      <c r="Q100" s="451" t="s">
        <v>2140</v>
      </c>
    </row>
    <row r="101" spans="1:17">
      <c r="A101" s="451" t="s">
        <v>5437</v>
      </c>
      <c r="B101" s="451" t="s">
        <v>6578</v>
      </c>
      <c r="C101" s="55" t="s">
        <v>8556</v>
      </c>
      <c r="D101" s="453">
        <v>3393</v>
      </c>
      <c r="E101" s="453">
        <v>3409</v>
      </c>
      <c r="F101" s="453">
        <v>3336</v>
      </c>
      <c r="G101" s="58">
        <v>3419</v>
      </c>
      <c r="H101" s="58">
        <v>3347</v>
      </c>
      <c r="I101" s="58">
        <v>3284</v>
      </c>
      <c r="J101" s="58">
        <v>3395</v>
      </c>
      <c r="K101" s="58">
        <v>3426</v>
      </c>
      <c r="L101" s="58">
        <v>3403</v>
      </c>
      <c r="M101" s="58">
        <v>3421</v>
      </c>
      <c r="N101" s="58">
        <v>3530</v>
      </c>
      <c r="O101" s="58">
        <v>3500</v>
      </c>
      <c r="Q101" s="451" t="s">
        <v>2146</v>
      </c>
    </row>
    <row r="102" spans="1:17">
      <c r="A102" s="451" t="s">
        <v>5439</v>
      </c>
      <c r="B102" s="451" t="s">
        <v>6579</v>
      </c>
      <c r="C102" s="55" t="s">
        <v>8557</v>
      </c>
      <c r="D102" s="453">
        <v>1601</v>
      </c>
      <c r="E102" s="453">
        <v>1588</v>
      </c>
      <c r="F102" s="453">
        <v>1555</v>
      </c>
      <c r="G102" s="58">
        <v>1548</v>
      </c>
      <c r="H102" s="58">
        <v>1538</v>
      </c>
      <c r="I102" s="58">
        <v>1511</v>
      </c>
      <c r="J102" s="58">
        <v>1533</v>
      </c>
      <c r="K102" s="58">
        <v>1580</v>
      </c>
      <c r="L102" s="58">
        <v>1552</v>
      </c>
      <c r="M102" s="58">
        <v>1515</v>
      </c>
      <c r="N102" s="58">
        <v>1530</v>
      </c>
      <c r="O102" s="58">
        <v>1502</v>
      </c>
      <c r="Q102" s="451" t="s">
        <v>2140</v>
      </c>
    </row>
    <row r="103" spans="1:17">
      <c r="A103" s="451" t="s">
        <v>5441</v>
      </c>
      <c r="B103" s="451" t="s">
        <v>6580</v>
      </c>
      <c r="C103" s="55" t="s">
        <v>8558</v>
      </c>
      <c r="D103" s="453">
        <v>4936</v>
      </c>
      <c r="E103" s="453">
        <v>4987</v>
      </c>
      <c r="F103" s="453">
        <v>4848</v>
      </c>
      <c r="G103" s="58">
        <v>4886</v>
      </c>
      <c r="H103" s="58">
        <v>4851</v>
      </c>
      <c r="I103" s="58">
        <v>4689</v>
      </c>
      <c r="J103" s="58">
        <v>4760</v>
      </c>
      <c r="K103" s="58">
        <v>4761</v>
      </c>
      <c r="L103" s="58">
        <v>4728</v>
      </c>
      <c r="M103" s="58">
        <v>4714</v>
      </c>
      <c r="N103" s="58">
        <v>4748</v>
      </c>
      <c r="O103" s="58">
        <v>4738</v>
      </c>
      <c r="Q103" s="451" t="s">
        <v>2140</v>
      </c>
    </row>
    <row r="104" spans="1:17">
      <c r="A104" s="451" t="s">
        <v>5886</v>
      </c>
      <c r="B104" s="451" t="s">
        <v>6581</v>
      </c>
      <c r="C104" s="55" t="s">
        <v>8559</v>
      </c>
      <c r="D104" s="453">
        <v>6355</v>
      </c>
      <c r="E104" s="453">
        <v>6534</v>
      </c>
      <c r="F104" s="453">
        <v>6636</v>
      </c>
      <c r="G104" s="58">
        <v>6705</v>
      </c>
      <c r="H104" s="58">
        <v>6682</v>
      </c>
      <c r="I104" s="58">
        <v>6542</v>
      </c>
      <c r="J104" s="58">
        <v>6476</v>
      </c>
      <c r="K104" s="58">
        <v>6555</v>
      </c>
      <c r="L104" s="58">
        <v>6554</v>
      </c>
      <c r="M104" s="58">
        <v>6546</v>
      </c>
      <c r="N104" s="58">
        <v>6907</v>
      </c>
      <c r="O104" s="58">
        <v>6876</v>
      </c>
      <c r="Q104" s="451" t="s">
        <v>2140</v>
      </c>
    </row>
    <row r="105" spans="1:17">
      <c r="A105" s="451" t="s">
        <v>5888</v>
      </c>
      <c r="B105" s="451" t="s">
        <v>6582</v>
      </c>
      <c r="C105" s="55" t="s">
        <v>8560</v>
      </c>
      <c r="D105" s="453">
        <v>4994</v>
      </c>
      <c r="E105" s="453">
        <v>5058</v>
      </c>
      <c r="F105" s="453">
        <v>5017</v>
      </c>
      <c r="G105" s="58">
        <v>4998</v>
      </c>
      <c r="H105" s="58">
        <v>4899</v>
      </c>
      <c r="I105" s="58">
        <v>4805</v>
      </c>
      <c r="J105" s="58">
        <v>4836</v>
      </c>
      <c r="K105" s="58">
        <v>4833</v>
      </c>
      <c r="L105" s="58">
        <v>4785</v>
      </c>
      <c r="M105" s="58">
        <v>4744</v>
      </c>
      <c r="N105" s="58">
        <v>4909</v>
      </c>
      <c r="O105" s="58">
        <v>4846</v>
      </c>
      <c r="Q105" s="451" t="s">
        <v>2140</v>
      </c>
    </row>
    <row r="106" spans="1:17">
      <c r="A106" s="451" t="s">
        <v>5889</v>
      </c>
      <c r="B106" s="451" t="s">
        <v>3493</v>
      </c>
      <c r="C106" s="55" t="s">
        <v>8561</v>
      </c>
      <c r="D106" s="453">
        <v>5268</v>
      </c>
      <c r="E106" s="453">
        <v>5564</v>
      </c>
      <c r="F106" s="453">
        <v>5551</v>
      </c>
      <c r="G106" s="58">
        <v>5567</v>
      </c>
      <c r="H106" s="58">
        <v>5416</v>
      </c>
      <c r="I106" s="58">
        <v>5226</v>
      </c>
      <c r="J106" s="58">
        <v>5300</v>
      </c>
      <c r="K106" s="58">
        <v>5301</v>
      </c>
      <c r="L106" s="58">
        <v>5249</v>
      </c>
      <c r="M106" s="58">
        <v>5275</v>
      </c>
      <c r="N106" s="58">
        <v>5512</v>
      </c>
      <c r="O106" s="58">
        <v>5496</v>
      </c>
      <c r="Q106" s="451" t="s">
        <v>2140</v>
      </c>
    </row>
    <row r="107" spans="1:17">
      <c r="A107" s="451" t="s">
        <v>4431</v>
      </c>
      <c r="B107" s="451" t="s">
        <v>5076</v>
      </c>
      <c r="C107" s="55" t="s">
        <v>8562</v>
      </c>
      <c r="D107" s="455">
        <v>5223</v>
      </c>
      <c r="E107" s="455">
        <v>5302</v>
      </c>
      <c r="F107" s="455">
        <v>5270</v>
      </c>
      <c r="G107" s="58">
        <v>5349</v>
      </c>
      <c r="H107" s="58">
        <v>5261</v>
      </c>
      <c r="I107" s="58">
        <v>5083</v>
      </c>
      <c r="J107" s="58">
        <v>5132</v>
      </c>
      <c r="K107" s="58">
        <v>5174</v>
      </c>
      <c r="L107" s="58">
        <v>5263</v>
      </c>
      <c r="M107" s="58">
        <v>5298</v>
      </c>
      <c r="N107" s="58">
        <v>5438</v>
      </c>
      <c r="O107" s="58">
        <v>5388</v>
      </c>
      <c r="Q107" s="451" t="s">
        <v>2140</v>
      </c>
    </row>
    <row r="108" spans="1:17">
      <c r="A108" s="451" t="s">
        <v>4432</v>
      </c>
      <c r="B108" s="451" t="s">
        <v>5077</v>
      </c>
      <c r="C108" s="55" t="s">
        <v>8563</v>
      </c>
      <c r="D108" s="453">
        <v>5264</v>
      </c>
      <c r="E108" s="453">
        <v>5593</v>
      </c>
      <c r="F108" s="453">
        <v>5474</v>
      </c>
      <c r="G108" s="58">
        <v>5499</v>
      </c>
      <c r="H108" s="58">
        <v>5335</v>
      </c>
      <c r="I108" s="58">
        <v>5066</v>
      </c>
      <c r="J108" s="58">
        <v>5087</v>
      </c>
      <c r="K108" s="58">
        <v>5060</v>
      </c>
      <c r="L108" s="58">
        <v>4913</v>
      </c>
      <c r="M108" s="58">
        <v>4811</v>
      </c>
      <c r="N108" s="58">
        <v>4898</v>
      </c>
      <c r="O108" s="58">
        <v>4862</v>
      </c>
      <c r="Q108" s="451" t="s">
        <v>2140</v>
      </c>
    </row>
    <row r="109" spans="1:17">
      <c r="D109" s="455"/>
      <c r="E109" s="455"/>
      <c r="F109" s="455"/>
      <c r="G109" s="455"/>
      <c r="H109" s="455"/>
      <c r="I109" s="455"/>
      <c r="J109" s="455"/>
      <c r="K109" s="455"/>
      <c r="L109" s="455"/>
      <c r="M109" s="455"/>
      <c r="N109" s="455"/>
      <c r="O109" s="455"/>
    </row>
    <row r="110" spans="1:17">
      <c r="A110" s="451" t="s">
        <v>2140</v>
      </c>
      <c r="D110" s="453">
        <f>SUM(D84:D87)+SUM(D89:D96)+SUM(D98:D100)+SUM(D102:D108)</f>
        <v>76741</v>
      </c>
      <c r="E110" s="453">
        <f>SUM(E84:E87)+SUM(E89:E96)+SUM(E98:E100)+SUM(E102:E108)</f>
        <v>78306</v>
      </c>
      <c r="F110" s="453">
        <f>SUM(F84:F87)+SUM(F89:F96)+SUM(F98:F100)+SUM(F102:F108)</f>
        <v>77724</v>
      </c>
      <c r="G110" s="453">
        <f>SUM(G84:G87)+SUM(G89:G96)+SUM(G98:G100)+SUM(G102:G108)</f>
        <v>78482</v>
      </c>
      <c r="H110" s="453">
        <f>SUM(H84:H87)+SUM(H89:H96)+SUM(H98:H100)+SUM(H102:H108)</f>
        <v>77996</v>
      </c>
      <c r="I110" s="453">
        <f t="shared" ref="I110:N110" si="61">SUM(I84:I87)+SUM(I89:I96)+SUM(I98:I100)+SUM(I102:I108)</f>
        <v>75910</v>
      </c>
      <c r="J110" s="453">
        <f t="shared" si="61"/>
        <v>76764</v>
      </c>
      <c r="K110" s="453">
        <f t="shared" si="61"/>
        <v>77546</v>
      </c>
      <c r="L110" s="453">
        <f t="shared" si="61"/>
        <v>77184</v>
      </c>
      <c r="M110" s="453">
        <f t="shared" si="61"/>
        <v>77142</v>
      </c>
      <c r="N110" s="453">
        <f t="shared" si="61"/>
        <v>79707</v>
      </c>
      <c r="O110" s="453">
        <f>SUM(O84:O87)+SUM(O89:O96)+SUM(O98:O100)+SUM(O102:O108)</f>
        <v>79164</v>
      </c>
    </row>
    <row r="111" spans="1:17">
      <c r="A111" s="451" t="s">
        <v>5078</v>
      </c>
      <c r="D111" s="453">
        <f t="shared" ref="D111:I111" si="62">D88+D97+D101</f>
        <v>6815</v>
      </c>
      <c r="E111" s="453">
        <f t="shared" si="62"/>
        <v>6888</v>
      </c>
      <c r="F111" s="453">
        <f t="shared" si="62"/>
        <v>6771</v>
      </c>
      <c r="G111" s="453">
        <f t="shared" si="62"/>
        <v>6902</v>
      </c>
      <c r="H111" s="453">
        <f t="shared" si="62"/>
        <v>6816</v>
      </c>
      <c r="I111" s="453">
        <f t="shared" si="62"/>
        <v>6725</v>
      </c>
      <c r="J111" s="453">
        <f t="shared" ref="J111:O111" si="63">J88+J97+J101</f>
        <v>6919</v>
      </c>
      <c r="K111" s="453">
        <f t="shared" si="63"/>
        <v>7041</v>
      </c>
      <c r="L111" s="453">
        <f t="shared" si="63"/>
        <v>7017</v>
      </c>
      <c r="M111" s="453">
        <f t="shared" si="63"/>
        <v>7054</v>
      </c>
      <c r="N111" s="453">
        <f t="shared" si="63"/>
        <v>7259</v>
      </c>
      <c r="O111" s="453">
        <f t="shared" si="63"/>
        <v>7211</v>
      </c>
    </row>
    <row r="112" spans="1:17">
      <c r="A112" s="451"/>
      <c r="D112" s="453"/>
      <c r="E112" s="453"/>
      <c r="F112" s="453"/>
      <c r="G112" s="453"/>
      <c r="H112" s="453"/>
      <c r="I112" s="453"/>
      <c r="J112" s="453"/>
      <c r="K112" s="453"/>
      <c r="L112" s="453"/>
      <c r="M112" s="453"/>
      <c r="N112" s="453"/>
      <c r="O112" s="453"/>
    </row>
    <row r="113" spans="1:17">
      <c r="A113" s="451" t="s">
        <v>5624</v>
      </c>
      <c r="D113" s="453"/>
      <c r="E113" s="453"/>
      <c r="F113" s="453"/>
      <c r="G113" s="453"/>
      <c r="H113" s="453"/>
      <c r="I113" s="453"/>
      <c r="J113" s="453"/>
      <c r="K113" s="453"/>
      <c r="L113" s="453"/>
      <c r="M113" s="453"/>
      <c r="N113" s="453"/>
      <c r="O113" s="453"/>
    </row>
    <row r="114" spans="1:17">
      <c r="A114" s="451"/>
      <c r="B114" s="451"/>
      <c r="D114" s="459"/>
      <c r="E114" s="459"/>
      <c r="F114" s="459"/>
      <c r="G114" s="459"/>
      <c r="H114" s="459"/>
      <c r="I114" s="459"/>
      <c r="J114" s="459"/>
      <c r="K114" s="459"/>
      <c r="L114" s="459"/>
      <c r="M114" s="459"/>
      <c r="N114" s="459"/>
      <c r="O114" s="459"/>
    </row>
    <row r="115" spans="1:17">
      <c r="A115" s="451"/>
      <c r="B115" s="451"/>
      <c r="D115" s="459"/>
      <c r="E115" s="459"/>
      <c r="F115" s="459"/>
      <c r="G115" s="459"/>
      <c r="H115" s="459"/>
      <c r="I115" s="459"/>
      <c r="J115" s="459"/>
      <c r="K115" s="459"/>
      <c r="L115" s="459"/>
      <c r="M115" s="459"/>
      <c r="N115" s="459"/>
      <c r="O115" s="459"/>
    </row>
    <row r="116" spans="1:17">
      <c r="E116" s="51" t="s">
        <v>1526</v>
      </c>
      <c r="F116" s="51"/>
      <c r="G116" s="51"/>
      <c r="H116" s="51"/>
      <c r="I116" s="51"/>
      <c r="J116" s="51"/>
      <c r="K116" s="51"/>
      <c r="L116" s="51"/>
      <c r="M116" s="51"/>
      <c r="N116" s="51"/>
      <c r="O116" s="51"/>
      <c r="P116" s="11"/>
      <c r="Q116" s="11" t="s">
        <v>9479</v>
      </c>
    </row>
    <row r="117" spans="1:17">
      <c r="D117" s="133">
        <v>2010</v>
      </c>
      <c r="E117" s="133">
        <v>2011</v>
      </c>
      <c r="F117" s="133">
        <v>2012</v>
      </c>
      <c r="G117" s="133">
        <v>2013</v>
      </c>
      <c r="H117" s="133">
        <v>2014</v>
      </c>
      <c r="I117" s="133">
        <v>2015</v>
      </c>
      <c r="J117" s="133">
        <v>2016</v>
      </c>
      <c r="K117" s="133">
        <v>2017</v>
      </c>
      <c r="L117" s="133">
        <v>2018</v>
      </c>
      <c r="M117" s="133">
        <v>2019</v>
      </c>
      <c r="N117" s="133">
        <v>2020</v>
      </c>
      <c r="O117" s="950" t="s">
        <v>14823</v>
      </c>
      <c r="P117" s="11"/>
      <c r="Q117" s="13" t="s">
        <v>1527</v>
      </c>
    </row>
    <row r="118" spans="1:17">
      <c r="A118" s="451" t="s">
        <v>5625</v>
      </c>
      <c r="D118" s="453">
        <f>SUM(D119:D132)+SUM(D134:D140)</f>
        <v>82815</v>
      </c>
      <c r="E118" s="453">
        <f t="shared" ref="E118:K118" si="64">SUM(E119:E132)+SUM(E134:E140)</f>
        <v>83413</v>
      </c>
      <c r="F118" s="453">
        <f t="shared" si="64"/>
        <v>83728</v>
      </c>
      <c r="G118" s="453">
        <f t="shared" si="64"/>
        <v>83060</v>
      </c>
      <c r="H118" s="453">
        <f t="shared" si="64"/>
        <v>79977</v>
      </c>
      <c r="I118" s="453">
        <f t="shared" si="64"/>
        <v>80645</v>
      </c>
      <c r="J118" s="453">
        <f t="shared" si="64"/>
        <v>80641</v>
      </c>
      <c r="K118" s="453">
        <f t="shared" si="64"/>
        <v>82766</v>
      </c>
      <c r="L118" s="453">
        <f>SUM(L119:L132)+SUM(L134:L140)</f>
        <v>82674</v>
      </c>
      <c r="M118" s="453">
        <f>SUM(M119:M132)+SUM(M134:M140)</f>
        <v>82732</v>
      </c>
      <c r="N118" s="453">
        <f>SUM(N119:N132)+SUM(N134:N140)</f>
        <v>84883</v>
      </c>
      <c r="O118" s="453">
        <f>SUM(O119:O132)+SUM(O134:O140)</f>
        <v>85502</v>
      </c>
    </row>
    <row r="119" spans="1:17">
      <c r="A119" s="451" t="s">
        <v>5387</v>
      </c>
      <c r="B119" s="451" t="s">
        <v>11028</v>
      </c>
      <c r="C119" s="55" t="s">
        <v>11027</v>
      </c>
      <c r="D119" s="453">
        <v>71440</v>
      </c>
      <c r="E119" s="453">
        <v>71961</v>
      </c>
      <c r="F119" s="453">
        <v>72333</v>
      </c>
      <c r="G119" s="453">
        <v>71656</v>
      </c>
      <c r="H119" s="63">
        <v>69080</v>
      </c>
      <c r="I119" s="63">
        <v>69648</v>
      </c>
      <c r="J119" s="63">
        <v>5538</v>
      </c>
      <c r="K119" s="63">
        <v>5636</v>
      </c>
      <c r="L119" s="63">
        <v>5644</v>
      </c>
      <c r="M119" s="63">
        <v>5657</v>
      </c>
      <c r="N119" s="63">
        <v>5699</v>
      </c>
      <c r="O119" s="63">
        <v>5711</v>
      </c>
      <c r="Q119" s="451" t="s">
        <v>2142</v>
      </c>
    </row>
    <row r="120" spans="1:17">
      <c r="A120" s="451" t="s">
        <v>5389</v>
      </c>
      <c r="B120" s="451" t="s">
        <v>11029</v>
      </c>
      <c r="C120" s="55" t="s">
        <v>11039</v>
      </c>
      <c r="D120" s="453">
        <v>0</v>
      </c>
      <c r="E120" s="453">
        <v>0</v>
      </c>
      <c r="F120" s="453">
        <v>0</v>
      </c>
      <c r="G120" s="453">
        <v>0</v>
      </c>
      <c r="H120" s="63">
        <v>0</v>
      </c>
      <c r="I120" s="63">
        <v>0</v>
      </c>
      <c r="J120" s="63">
        <v>4050</v>
      </c>
      <c r="K120" s="63">
        <v>4101</v>
      </c>
      <c r="L120" s="63">
        <v>4109</v>
      </c>
      <c r="M120" s="63">
        <v>4105</v>
      </c>
      <c r="N120" s="63">
        <v>4128</v>
      </c>
      <c r="O120" s="63">
        <v>4151</v>
      </c>
      <c r="Q120" s="451" t="s">
        <v>2142</v>
      </c>
    </row>
    <row r="121" spans="1:17">
      <c r="A121" s="451" t="s">
        <v>5391</v>
      </c>
      <c r="B121" s="451" t="s">
        <v>5626</v>
      </c>
      <c r="C121" s="55" t="s">
        <v>11040</v>
      </c>
      <c r="D121" s="453">
        <v>0</v>
      </c>
      <c r="E121" s="453">
        <v>0</v>
      </c>
      <c r="F121" s="453">
        <v>0</v>
      </c>
      <c r="G121" s="453">
        <v>0</v>
      </c>
      <c r="H121" s="63">
        <v>0</v>
      </c>
      <c r="I121" s="63">
        <v>0</v>
      </c>
      <c r="J121" s="63">
        <v>3431</v>
      </c>
      <c r="K121" s="63">
        <v>3653</v>
      </c>
      <c r="L121" s="63">
        <v>3676</v>
      </c>
      <c r="M121" s="63">
        <v>3671</v>
      </c>
      <c r="N121" s="63">
        <v>4137</v>
      </c>
      <c r="O121" s="63">
        <v>4271</v>
      </c>
      <c r="Q121" s="451" t="s">
        <v>2142</v>
      </c>
    </row>
    <row r="122" spans="1:17">
      <c r="A122" s="451" t="s">
        <v>5393</v>
      </c>
      <c r="B122" s="451" t="s">
        <v>5627</v>
      </c>
      <c r="C122" s="55" t="s">
        <v>11041</v>
      </c>
      <c r="D122" s="453">
        <v>0</v>
      </c>
      <c r="E122" s="453">
        <v>0</v>
      </c>
      <c r="F122" s="453">
        <v>0</v>
      </c>
      <c r="G122" s="453">
        <v>0</v>
      </c>
      <c r="H122" s="63">
        <v>0</v>
      </c>
      <c r="I122" s="63">
        <v>0</v>
      </c>
      <c r="J122" s="63">
        <v>3790</v>
      </c>
      <c r="K122" s="63">
        <v>3871</v>
      </c>
      <c r="L122" s="63">
        <v>3888</v>
      </c>
      <c r="M122" s="63">
        <v>3985</v>
      </c>
      <c r="N122" s="63">
        <v>4202</v>
      </c>
      <c r="O122" s="63">
        <v>4315</v>
      </c>
      <c r="Q122" s="451" t="s">
        <v>2142</v>
      </c>
    </row>
    <row r="123" spans="1:17">
      <c r="A123" s="451" t="s">
        <v>5394</v>
      </c>
      <c r="B123" s="451" t="s">
        <v>5628</v>
      </c>
      <c r="C123" s="55" t="s">
        <v>11042</v>
      </c>
      <c r="D123" s="453">
        <v>0</v>
      </c>
      <c r="E123" s="453">
        <v>0</v>
      </c>
      <c r="F123" s="453">
        <v>0</v>
      </c>
      <c r="G123" s="453">
        <v>0</v>
      </c>
      <c r="H123" s="63">
        <v>0</v>
      </c>
      <c r="I123" s="63">
        <v>0</v>
      </c>
      <c r="J123" s="63">
        <v>3432</v>
      </c>
      <c r="K123" s="63">
        <v>3473</v>
      </c>
      <c r="L123" s="63">
        <v>3439</v>
      </c>
      <c r="M123" s="63">
        <v>3376</v>
      </c>
      <c r="N123" s="63">
        <v>3519</v>
      </c>
      <c r="O123" s="63">
        <v>3538</v>
      </c>
      <c r="Q123" s="451" t="s">
        <v>2142</v>
      </c>
    </row>
    <row r="124" spans="1:17">
      <c r="A124" s="451" t="s">
        <v>5416</v>
      </c>
      <c r="B124" s="451" t="s">
        <v>5629</v>
      </c>
      <c r="C124" s="55" t="s">
        <v>11043</v>
      </c>
      <c r="D124" s="453">
        <v>0</v>
      </c>
      <c r="E124" s="453">
        <v>0</v>
      </c>
      <c r="F124" s="453">
        <v>0</v>
      </c>
      <c r="G124" s="453">
        <v>0</v>
      </c>
      <c r="H124" s="63">
        <v>0</v>
      </c>
      <c r="I124" s="63">
        <v>0</v>
      </c>
      <c r="J124" s="63">
        <v>3773</v>
      </c>
      <c r="K124" s="63">
        <v>3875</v>
      </c>
      <c r="L124" s="63">
        <v>3902</v>
      </c>
      <c r="M124" s="63">
        <v>3875</v>
      </c>
      <c r="N124" s="63">
        <v>4091</v>
      </c>
      <c r="O124" s="63">
        <v>4154</v>
      </c>
      <c r="Q124" s="451" t="s">
        <v>2142</v>
      </c>
    </row>
    <row r="125" spans="1:17">
      <c r="A125" s="451" t="s">
        <v>5418</v>
      </c>
      <c r="B125" s="451" t="s">
        <v>5630</v>
      </c>
      <c r="C125" s="55" t="s">
        <v>11044</v>
      </c>
      <c r="D125" s="453">
        <v>0</v>
      </c>
      <c r="E125" s="453">
        <v>0</v>
      </c>
      <c r="F125" s="453">
        <v>0</v>
      </c>
      <c r="G125" s="453">
        <v>0</v>
      </c>
      <c r="H125" s="63">
        <v>0</v>
      </c>
      <c r="I125" s="63">
        <v>0</v>
      </c>
      <c r="J125" s="63">
        <v>5671</v>
      </c>
      <c r="K125" s="63">
        <v>5741</v>
      </c>
      <c r="L125" s="63">
        <v>5713</v>
      </c>
      <c r="M125" s="63">
        <v>5703</v>
      </c>
      <c r="N125" s="63">
        <v>5801</v>
      </c>
      <c r="O125" s="63">
        <v>5838</v>
      </c>
      <c r="Q125" s="451" t="s">
        <v>2142</v>
      </c>
    </row>
    <row r="126" spans="1:17">
      <c r="A126" s="451" t="s">
        <v>5420</v>
      </c>
      <c r="B126" s="451" t="s">
        <v>5631</v>
      </c>
      <c r="C126" s="55" t="s">
        <v>11045</v>
      </c>
      <c r="D126" s="453">
        <v>11375</v>
      </c>
      <c r="E126" s="453">
        <v>11452</v>
      </c>
      <c r="F126" s="453">
        <v>11395</v>
      </c>
      <c r="G126" s="453">
        <v>11404</v>
      </c>
      <c r="H126" s="63">
        <v>10897</v>
      </c>
      <c r="I126" s="63">
        <v>10997</v>
      </c>
      <c r="J126" s="63">
        <v>1845</v>
      </c>
      <c r="K126" s="63">
        <v>1889</v>
      </c>
      <c r="L126" s="63">
        <v>1881</v>
      </c>
      <c r="M126" s="63">
        <v>1873</v>
      </c>
      <c r="N126" s="63">
        <v>1899</v>
      </c>
      <c r="O126" s="63">
        <v>1909</v>
      </c>
      <c r="Q126" s="451" t="s">
        <v>2137</v>
      </c>
    </row>
    <row r="127" spans="1:17">
      <c r="A127" s="451" t="s">
        <v>5422</v>
      </c>
      <c r="B127" s="451" t="s">
        <v>5632</v>
      </c>
      <c r="C127" s="55" t="s">
        <v>11046</v>
      </c>
      <c r="D127" s="453">
        <v>0</v>
      </c>
      <c r="E127" s="453">
        <v>0</v>
      </c>
      <c r="F127" s="453">
        <v>0</v>
      </c>
      <c r="G127" s="453">
        <v>0</v>
      </c>
      <c r="H127" s="63">
        <v>0</v>
      </c>
      <c r="I127" s="63">
        <v>0</v>
      </c>
      <c r="J127" s="63">
        <v>5468</v>
      </c>
      <c r="K127" s="63">
        <v>5660</v>
      </c>
      <c r="L127" s="63">
        <v>5648</v>
      </c>
      <c r="M127" s="63">
        <v>5637</v>
      </c>
      <c r="N127" s="63">
        <v>5767</v>
      </c>
      <c r="O127" s="63">
        <v>5783</v>
      </c>
      <c r="Q127" s="451" t="s">
        <v>2142</v>
      </c>
    </row>
    <row r="128" spans="1:17">
      <c r="A128" s="451" t="s">
        <v>5424</v>
      </c>
      <c r="B128" s="451" t="s">
        <v>11030</v>
      </c>
      <c r="C128" s="55" t="s">
        <v>11047</v>
      </c>
      <c r="D128" s="453">
        <v>0</v>
      </c>
      <c r="E128" s="453">
        <v>0</v>
      </c>
      <c r="F128" s="453">
        <v>0</v>
      </c>
      <c r="G128" s="453">
        <v>0</v>
      </c>
      <c r="H128" s="63">
        <v>0</v>
      </c>
      <c r="I128" s="63">
        <v>0</v>
      </c>
      <c r="J128" s="63">
        <v>1907</v>
      </c>
      <c r="K128" s="63">
        <v>1941</v>
      </c>
      <c r="L128" s="63">
        <v>1942</v>
      </c>
      <c r="M128" s="63">
        <v>1923</v>
      </c>
      <c r="N128" s="63">
        <v>1955</v>
      </c>
      <c r="O128" s="63">
        <v>1972</v>
      </c>
      <c r="Q128" s="451" t="s">
        <v>2137</v>
      </c>
    </row>
    <row r="129" spans="1:17">
      <c r="A129" s="451" t="s">
        <v>5426</v>
      </c>
      <c r="B129" s="451" t="s">
        <v>11031</v>
      </c>
      <c r="C129" s="55" t="s">
        <v>11048</v>
      </c>
      <c r="D129" s="453">
        <v>0</v>
      </c>
      <c r="E129" s="453">
        <v>0</v>
      </c>
      <c r="F129" s="453">
        <v>0</v>
      </c>
      <c r="G129" s="453">
        <v>0</v>
      </c>
      <c r="H129" s="63">
        <v>0</v>
      </c>
      <c r="I129" s="63">
        <v>0</v>
      </c>
      <c r="J129" s="63">
        <v>3857</v>
      </c>
      <c r="K129" s="63">
        <v>3919</v>
      </c>
      <c r="L129" s="63">
        <v>3874</v>
      </c>
      <c r="M129" s="63">
        <v>3869</v>
      </c>
      <c r="N129" s="63">
        <v>3947</v>
      </c>
      <c r="O129" s="63">
        <v>3967</v>
      </c>
      <c r="Q129" s="451" t="s">
        <v>2137</v>
      </c>
    </row>
    <row r="130" spans="1:17">
      <c r="A130" s="451" t="s">
        <v>5428</v>
      </c>
      <c r="B130" s="451" t="s">
        <v>11032</v>
      </c>
      <c r="C130" s="55" t="s">
        <v>11049</v>
      </c>
      <c r="D130" s="453">
        <v>0</v>
      </c>
      <c r="E130" s="453">
        <v>0</v>
      </c>
      <c r="F130" s="453">
        <v>0</v>
      </c>
      <c r="G130" s="453">
        <v>0</v>
      </c>
      <c r="H130" s="63">
        <v>0</v>
      </c>
      <c r="I130" s="63">
        <v>0</v>
      </c>
      <c r="J130" s="63">
        <v>3261</v>
      </c>
      <c r="K130" s="63">
        <v>3377</v>
      </c>
      <c r="L130" s="63">
        <v>3437</v>
      </c>
      <c r="M130" s="63">
        <v>3449</v>
      </c>
      <c r="N130" s="63">
        <v>3497</v>
      </c>
      <c r="O130" s="63">
        <v>3494</v>
      </c>
      <c r="Q130" s="451" t="s">
        <v>2137</v>
      </c>
    </row>
    <row r="131" spans="1:17">
      <c r="A131" s="451" t="s">
        <v>5429</v>
      </c>
      <c r="B131" s="451" t="s">
        <v>11033</v>
      </c>
      <c r="C131" s="55" t="s">
        <v>11050</v>
      </c>
      <c r="D131" s="453">
        <v>0</v>
      </c>
      <c r="E131" s="453">
        <v>0</v>
      </c>
      <c r="F131" s="453">
        <v>0</v>
      </c>
      <c r="G131" s="453">
        <v>0</v>
      </c>
      <c r="H131" s="63">
        <v>0</v>
      </c>
      <c r="I131" s="63">
        <v>0</v>
      </c>
      <c r="J131" s="63">
        <v>72</v>
      </c>
      <c r="K131" s="63">
        <v>74</v>
      </c>
      <c r="L131" s="63">
        <v>76</v>
      </c>
      <c r="M131" s="63">
        <v>74</v>
      </c>
      <c r="N131" s="63">
        <v>76</v>
      </c>
      <c r="O131" s="63">
        <v>76</v>
      </c>
      <c r="Q131" s="451" t="s">
        <v>2137</v>
      </c>
    </row>
    <row r="132" spans="1:17" ht="15.75" thickBot="1">
      <c r="A132" s="451"/>
      <c r="B132" s="451"/>
      <c r="C132" s="55" t="s">
        <v>11050</v>
      </c>
      <c r="D132" s="456">
        <v>0</v>
      </c>
      <c r="E132" s="456">
        <v>0</v>
      </c>
      <c r="F132" s="456">
        <v>0</v>
      </c>
      <c r="G132" s="456">
        <v>0</v>
      </c>
      <c r="H132" s="185">
        <v>0</v>
      </c>
      <c r="I132" s="185">
        <v>0</v>
      </c>
      <c r="J132" s="63">
        <v>5156</v>
      </c>
      <c r="K132" s="63">
        <v>5229</v>
      </c>
      <c r="L132" s="63">
        <v>5217</v>
      </c>
      <c r="M132" s="63">
        <v>5256</v>
      </c>
      <c r="N132" s="63">
        <v>5378</v>
      </c>
      <c r="O132" s="63">
        <v>5373</v>
      </c>
      <c r="Q132" s="451" t="s">
        <v>2142</v>
      </c>
    </row>
    <row r="133" spans="1:17" ht="15.75" thickBot="1">
      <c r="A133" s="451"/>
      <c r="B133" s="451"/>
      <c r="C133" s="55" t="s">
        <v>11050</v>
      </c>
      <c r="D133" s="460">
        <f>SUM(D131+D132)</f>
        <v>0</v>
      </c>
      <c r="E133" s="460">
        <f t="shared" ref="E133:L133" si="65">SUM(E131+E132)</f>
        <v>0</v>
      </c>
      <c r="F133" s="460">
        <f t="shared" si="65"/>
        <v>0</v>
      </c>
      <c r="G133" s="460">
        <f t="shared" si="65"/>
        <v>0</v>
      </c>
      <c r="H133" s="460">
        <f t="shared" si="65"/>
        <v>0</v>
      </c>
      <c r="I133" s="460">
        <f t="shared" si="65"/>
        <v>0</v>
      </c>
      <c r="J133" s="460">
        <f t="shared" si="65"/>
        <v>5228</v>
      </c>
      <c r="K133" s="460">
        <f t="shared" si="65"/>
        <v>5303</v>
      </c>
      <c r="L133" s="460">
        <f t="shared" si="65"/>
        <v>5293</v>
      </c>
      <c r="M133" s="460">
        <f>SUM(M131+M132)</f>
        <v>5330</v>
      </c>
      <c r="N133" s="460">
        <f>SUM(N131+N132)</f>
        <v>5454</v>
      </c>
      <c r="O133" s="460">
        <f>SUM(O131+O132)</f>
        <v>5449</v>
      </c>
      <c r="Q133" s="451"/>
    </row>
    <row r="134" spans="1:17">
      <c r="A134" s="451" t="s">
        <v>5431</v>
      </c>
      <c r="B134" s="451" t="s">
        <v>11034</v>
      </c>
      <c r="C134" s="55" t="s">
        <v>11051</v>
      </c>
      <c r="D134" s="453">
        <v>0</v>
      </c>
      <c r="E134" s="453">
        <v>0</v>
      </c>
      <c r="F134" s="453">
        <v>0</v>
      </c>
      <c r="G134" s="453">
        <v>0</v>
      </c>
      <c r="H134" s="453">
        <v>0</v>
      </c>
      <c r="I134" s="453">
        <v>0</v>
      </c>
      <c r="J134" s="63">
        <v>5030</v>
      </c>
      <c r="K134" s="63">
        <v>5127</v>
      </c>
      <c r="L134" s="63">
        <v>5101</v>
      </c>
      <c r="M134" s="63">
        <v>5131</v>
      </c>
      <c r="N134" s="63">
        <v>5246</v>
      </c>
      <c r="O134" s="63">
        <v>5299</v>
      </c>
      <c r="Q134" s="451" t="s">
        <v>2142</v>
      </c>
    </row>
    <row r="135" spans="1:17">
      <c r="A135" s="451" t="s">
        <v>5433</v>
      </c>
      <c r="B135" s="451" t="s">
        <v>11035</v>
      </c>
      <c r="C135" s="55" t="s">
        <v>11052</v>
      </c>
      <c r="D135" s="453">
        <v>0</v>
      </c>
      <c r="E135" s="453">
        <v>0</v>
      </c>
      <c r="F135" s="453">
        <v>0</v>
      </c>
      <c r="G135" s="453">
        <v>0</v>
      </c>
      <c r="H135" s="453">
        <v>0</v>
      </c>
      <c r="I135" s="453">
        <v>0</v>
      </c>
      <c r="J135" s="63">
        <v>3833</v>
      </c>
      <c r="K135" s="63">
        <v>3995</v>
      </c>
      <c r="L135" s="63">
        <v>3967</v>
      </c>
      <c r="M135" s="63">
        <v>3974</v>
      </c>
      <c r="N135" s="63">
        <v>4052</v>
      </c>
      <c r="O135" s="63">
        <v>4082</v>
      </c>
      <c r="Q135" s="451" t="s">
        <v>2142</v>
      </c>
    </row>
    <row r="136" spans="1:17">
      <c r="A136" s="451" t="s">
        <v>5435</v>
      </c>
      <c r="B136" s="451" t="s">
        <v>2206</v>
      </c>
      <c r="C136" s="55" t="s">
        <v>11053</v>
      </c>
      <c r="D136" s="453">
        <v>0</v>
      </c>
      <c r="E136" s="453">
        <v>0</v>
      </c>
      <c r="F136" s="453">
        <v>0</v>
      </c>
      <c r="G136" s="453">
        <v>0</v>
      </c>
      <c r="H136" s="453">
        <v>0</v>
      </c>
      <c r="I136" s="453">
        <v>0</v>
      </c>
      <c r="J136" s="63">
        <v>3282</v>
      </c>
      <c r="K136" s="63">
        <v>3451</v>
      </c>
      <c r="L136" s="63">
        <v>3409</v>
      </c>
      <c r="M136" s="63">
        <v>3514</v>
      </c>
      <c r="N136" s="63">
        <v>3559</v>
      </c>
      <c r="O136" s="63">
        <v>3557</v>
      </c>
      <c r="Q136" s="451" t="s">
        <v>2142</v>
      </c>
    </row>
    <row r="137" spans="1:17">
      <c r="A137" s="451" t="s">
        <v>5436</v>
      </c>
      <c r="B137" s="451" t="s">
        <v>2207</v>
      </c>
      <c r="C137" s="55" t="s">
        <v>11054</v>
      </c>
      <c r="D137" s="453">
        <v>0</v>
      </c>
      <c r="E137" s="453">
        <v>0</v>
      </c>
      <c r="F137" s="453">
        <v>0</v>
      </c>
      <c r="G137" s="453">
        <v>0</v>
      </c>
      <c r="H137" s="453">
        <v>0</v>
      </c>
      <c r="I137" s="453">
        <v>0</v>
      </c>
      <c r="J137" s="63">
        <v>3687</v>
      </c>
      <c r="K137" s="63">
        <v>3818</v>
      </c>
      <c r="L137" s="63">
        <v>3836</v>
      </c>
      <c r="M137" s="63">
        <v>3901</v>
      </c>
      <c r="N137" s="63">
        <v>3966</v>
      </c>
      <c r="O137" s="63">
        <v>3968</v>
      </c>
      <c r="Q137" s="451" t="s">
        <v>2142</v>
      </c>
    </row>
    <row r="138" spans="1:17">
      <c r="A138" s="451" t="s">
        <v>5437</v>
      </c>
      <c r="B138" s="451" t="s">
        <v>2208</v>
      </c>
      <c r="C138" s="55" t="s">
        <v>11055</v>
      </c>
      <c r="D138" s="453">
        <v>0</v>
      </c>
      <c r="E138" s="453">
        <v>0</v>
      </c>
      <c r="F138" s="453">
        <v>0</v>
      </c>
      <c r="G138" s="453">
        <v>0</v>
      </c>
      <c r="H138" s="453">
        <v>0</v>
      </c>
      <c r="I138" s="453">
        <v>0</v>
      </c>
      <c r="J138" s="63">
        <v>3827</v>
      </c>
      <c r="K138" s="63">
        <v>3952</v>
      </c>
      <c r="L138" s="63">
        <v>3992</v>
      </c>
      <c r="M138" s="63">
        <v>3910</v>
      </c>
      <c r="N138" s="63">
        <v>4002</v>
      </c>
      <c r="O138" s="63">
        <v>4035</v>
      </c>
      <c r="Q138" s="451" t="s">
        <v>2142</v>
      </c>
    </row>
    <row r="139" spans="1:17">
      <c r="A139" s="451" t="s">
        <v>5439</v>
      </c>
      <c r="B139" s="451" t="s">
        <v>11036</v>
      </c>
      <c r="C139" s="55" t="s">
        <v>11056</v>
      </c>
      <c r="D139" s="453">
        <v>0</v>
      </c>
      <c r="E139" s="453">
        <v>0</v>
      </c>
      <c r="F139" s="453">
        <v>0</v>
      </c>
      <c r="G139" s="453">
        <v>0</v>
      </c>
      <c r="H139" s="453">
        <v>0</v>
      </c>
      <c r="I139" s="453">
        <v>0</v>
      </c>
      <c r="J139" s="63">
        <v>6181</v>
      </c>
      <c r="K139" s="63">
        <v>6336</v>
      </c>
      <c r="L139" s="63">
        <v>6307</v>
      </c>
      <c r="M139" s="63">
        <v>6266</v>
      </c>
      <c r="N139" s="63">
        <v>6308</v>
      </c>
      <c r="O139" s="63">
        <v>6349</v>
      </c>
      <c r="Q139" s="451" t="s">
        <v>2142</v>
      </c>
    </row>
    <row r="140" spans="1:17">
      <c r="A140" s="451" t="s">
        <v>5441</v>
      </c>
      <c r="B140" s="451" t="s">
        <v>11037</v>
      </c>
      <c r="C140" s="55" t="s">
        <v>11057</v>
      </c>
      <c r="D140" s="453">
        <v>0</v>
      </c>
      <c r="E140" s="453">
        <v>0</v>
      </c>
      <c r="F140" s="453">
        <v>0</v>
      </c>
      <c r="G140" s="453">
        <v>0</v>
      </c>
      <c r="H140" s="453">
        <v>0</v>
      </c>
      <c r="I140" s="453">
        <v>0</v>
      </c>
      <c r="J140" s="63">
        <v>3550</v>
      </c>
      <c r="K140" s="63">
        <v>3648</v>
      </c>
      <c r="L140" s="63">
        <v>3616</v>
      </c>
      <c r="M140" s="63">
        <v>3583</v>
      </c>
      <c r="N140" s="63">
        <v>3654</v>
      </c>
      <c r="O140" s="63">
        <v>3660</v>
      </c>
      <c r="Q140" s="451" t="s">
        <v>2142</v>
      </c>
    </row>
    <row r="141" spans="1:17">
      <c r="D141" s="455"/>
      <c r="E141" s="455"/>
      <c r="F141" s="455"/>
      <c r="G141" s="455"/>
      <c r="H141" s="455"/>
      <c r="I141" s="455"/>
      <c r="J141" s="455"/>
      <c r="K141" s="455"/>
      <c r="L141" s="455"/>
      <c r="M141" s="455"/>
      <c r="N141" s="455"/>
      <c r="O141" s="455"/>
    </row>
    <row r="142" spans="1:17">
      <c r="A142" s="451" t="s">
        <v>3539</v>
      </c>
      <c r="D142" s="453">
        <f>D126+SUM(D128:D131)</f>
        <v>11375</v>
      </c>
      <c r="E142" s="453">
        <f t="shared" ref="E142:J142" si="66">E126+SUM(E128:E131)</f>
        <v>11452</v>
      </c>
      <c r="F142" s="453">
        <f t="shared" si="66"/>
        <v>11395</v>
      </c>
      <c r="G142" s="453">
        <f t="shared" si="66"/>
        <v>11404</v>
      </c>
      <c r="H142" s="453">
        <f t="shared" si="66"/>
        <v>10897</v>
      </c>
      <c r="I142" s="453">
        <f t="shared" si="66"/>
        <v>10997</v>
      </c>
      <c r="J142" s="453">
        <f t="shared" si="66"/>
        <v>10942</v>
      </c>
      <c r="K142" s="453">
        <f>K126+SUM(K128:K131)</f>
        <v>11200</v>
      </c>
      <c r="L142" s="453">
        <f>L126+SUM(L128:L131)</f>
        <v>11210</v>
      </c>
      <c r="M142" s="453">
        <f>M126+SUM(M128:M131)</f>
        <v>11188</v>
      </c>
      <c r="N142" s="453">
        <f>N126+SUM(N128:N131)</f>
        <v>11374</v>
      </c>
      <c r="O142" s="453">
        <f>O126+SUM(O128:O131)</f>
        <v>11418</v>
      </c>
    </row>
    <row r="143" spans="1:17">
      <c r="A143" s="451" t="s">
        <v>2209</v>
      </c>
      <c r="D143" s="453">
        <f>SUM(D119:D125)+D127+D132+SUM(D134:D140)</f>
        <v>71440</v>
      </c>
      <c r="E143" s="453">
        <f t="shared" ref="E143:J143" si="67">SUM(E119:E125)+E127+E132+SUM(E134:E140)</f>
        <v>71961</v>
      </c>
      <c r="F143" s="453">
        <f t="shared" si="67"/>
        <v>72333</v>
      </c>
      <c r="G143" s="453">
        <f t="shared" si="67"/>
        <v>71656</v>
      </c>
      <c r="H143" s="453">
        <f t="shared" si="67"/>
        <v>69080</v>
      </c>
      <c r="I143" s="453">
        <f t="shared" si="67"/>
        <v>69648</v>
      </c>
      <c r="J143" s="453">
        <f t="shared" si="67"/>
        <v>69699</v>
      </c>
      <c r="K143" s="453">
        <f>SUM(K119:K125)+K127+K132+SUM(K134:K140)</f>
        <v>71566</v>
      </c>
      <c r="L143" s="453">
        <f>SUM(L119:L125)+L127+L132+SUM(L134:L140)</f>
        <v>71464</v>
      </c>
      <c r="M143" s="453">
        <f>SUM(M119:M125)+M127+M132+SUM(M134:M140)</f>
        <v>71544</v>
      </c>
      <c r="N143" s="453">
        <f>SUM(N119:N125)+N127+N132+SUM(N134:N140)</f>
        <v>73509</v>
      </c>
      <c r="O143" s="453">
        <f>SUM(O119:O125)+O127+O132+SUM(O134:O140)</f>
        <v>74084</v>
      </c>
    </row>
    <row r="144" spans="1:17">
      <c r="A144" s="451"/>
      <c r="D144" s="453"/>
      <c r="E144" s="453"/>
      <c r="F144" s="453"/>
      <c r="G144" s="453"/>
      <c r="H144" s="453"/>
      <c r="I144" s="453"/>
      <c r="J144" s="453"/>
      <c r="K144" s="453"/>
      <c r="L144" s="453"/>
      <c r="M144" s="453"/>
      <c r="N144" s="453"/>
      <c r="O144" s="453"/>
    </row>
    <row r="145" spans="1:17">
      <c r="A145" s="451" t="s">
        <v>11038</v>
      </c>
      <c r="D145" s="453"/>
      <c r="E145" s="453"/>
      <c r="F145" s="453"/>
      <c r="G145" s="453"/>
      <c r="H145" s="453"/>
      <c r="I145" s="453"/>
      <c r="J145" s="453"/>
      <c r="K145" s="453"/>
      <c r="L145" s="453"/>
      <c r="M145" s="453"/>
      <c r="N145" s="453"/>
      <c r="O145" s="453"/>
    </row>
    <row r="146" spans="1:17" ht="15.75" customHeight="1">
      <c r="A146" s="451"/>
      <c r="B146" s="451"/>
      <c r="D146" s="459"/>
      <c r="E146" s="459"/>
      <c r="F146" s="459"/>
      <c r="G146" s="459"/>
      <c r="H146" s="459"/>
      <c r="I146" s="459"/>
      <c r="J146" s="459"/>
      <c r="K146" s="459"/>
      <c r="L146" s="459"/>
      <c r="M146" s="459"/>
      <c r="N146" s="459"/>
      <c r="O146" s="459"/>
    </row>
    <row r="147" spans="1:17">
      <c r="A147" s="451"/>
      <c r="B147" s="451"/>
      <c r="D147" s="459"/>
      <c r="E147" s="459"/>
      <c r="F147" s="459"/>
      <c r="G147" s="459"/>
      <c r="H147" s="459"/>
      <c r="I147" s="459"/>
      <c r="J147" s="459"/>
      <c r="K147" s="459"/>
      <c r="L147" s="459"/>
      <c r="M147" s="459"/>
      <c r="N147" s="459"/>
      <c r="O147" s="459"/>
    </row>
    <row r="148" spans="1:17">
      <c r="E148" s="51" t="s">
        <v>1526</v>
      </c>
      <c r="F148" s="51"/>
      <c r="G148" s="51"/>
      <c r="H148" s="51"/>
      <c r="I148" s="51"/>
      <c r="J148" s="51"/>
      <c r="K148" s="51"/>
      <c r="L148" s="51"/>
      <c r="M148" s="51"/>
      <c r="N148" s="51"/>
      <c r="O148" s="51"/>
      <c r="P148" s="11"/>
      <c r="Q148" s="11" t="s">
        <v>9479</v>
      </c>
    </row>
    <row r="149" spans="1:17">
      <c r="D149" s="133">
        <v>2010</v>
      </c>
      <c r="E149" s="133">
        <v>2011</v>
      </c>
      <c r="F149" s="133">
        <v>2012</v>
      </c>
      <c r="G149" s="133">
        <v>2013</v>
      </c>
      <c r="H149" s="133">
        <v>2014</v>
      </c>
      <c r="I149" s="133">
        <v>2015</v>
      </c>
      <c r="J149" s="133">
        <v>2016</v>
      </c>
      <c r="K149" s="133">
        <v>2017</v>
      </c>
      <c r="L149" s="133">
        <v>2018</v>
      </c>
      <c r="M149" s="133">
        <v>2019</v>
      </c>
      <c r="N149" s="133">
        <v>2020</v>
      </c>
      <c r="O149" s="950" t="s">
        <v>14823</v>
      </c>
      <c r="P149" s="11"/>
      <c r="Q149" s="13" t="s">
        <v>1527</v>
      </c>
    </row>
    <row r="150" spans="1:17">
      <c r="A150" s="451" t="s">
        <v>2210</v>
      </c>
      <c r="D150" s="453">
        <f t="shared" ref="D150:O150" si="68">D151+D152+SUM(D154:D168)+SUM(D170:D172)+D174+D175</f>
        <v>87612</v>
      </c>
      <c r="E150" s="453">
        <f t="shared" si="68"/>
        <v>87700</v>
      </c>
      <c r="F150" s="453">
        <f t="shared" si="68"/>
        <v>87412</v>
      </c>
      <c r="G150" s="453">
        <f t="shared" si="68"/>
        <v>88706</v>
      </c>
      <c r="H150" s="453">
        <f t="shared" si="68"/>
        <v>85183</v>
      </c>
      <c r="I150" s="453">
        <f t="shared" si="68"/>
        <v>85895</v>
      </c>
      <c r="J150" s="453">
        <f t="shared" si="68"/>
        <v>85825</v>
      </c>
      <c r="K150" s="453">
        <f t="shared" si="68"/>
        <v>88234</v>
      </c>
      <c r="L150" s="453">
        <f t="shared" si="68"/>
        <v>88369</v>
      </c>
      <c r="M150" s="453">
        <f t="shared" si="68"/>
        <v>87608</v>
      </c>
      <c r="N150" s="453">
        <f t="shared" si="68"/>
        <v>89657</v>
      </c>
      <c r="O150" s="453">
        <f t="shared" si="68"/>
        <v>88430</v>
      </c>
    </row>
    <row r="151" spans="1:17">
      <c r="A151" s="451" t="s">
        <v>5387</v>
      </c>
      <c r="B151" s="451" t="s">
        <v>9964</v>
      </c>
      <c r="C151" s="55" t="s">
        <v>9989</v>
      </c>
      <c r="D151" s="453">
        <v>0</v>
      </c>
      <c r="E151" s="453">
        <v>0</v>
      </c>
      <c r="F151" s="453">
        <v>0</v>
      </c>
      <c r="G151" s="453">
        <v>0</v>
      </c>
      <c r="H151" s="58">
        <v>0</v>
      </c>
      <c r="I151" s="56">
        <v>2338</v>
      </c>
      <c r="J151" s="56">
        <v>2306</v>
      </c>
      <c r="K151" s="56">
        <v>2399</v>
      </c>
      <c r="L151" s="56">
        <v>2390</v>
      </c>
      <c r="M151" s="56">
        <v>2396</v>
      </c>
      <c r="N151" s="56">
        <v>2434</v>
      </c>
      <c r="O151" s="56">
        <v>2394</v>
      </c>
      <c r="Q151" s="451" t="s">
        <v>2143</v>
      </c>
    </row>
    <row r="152" spans="1:17" ht="15.75" thickBot="1">
      <c r="A152" s="451"/>
      <c r="B152" s="451"/>
      <c r="C152" s="55" t="s">
        <v>9989</v>
      </c>
      <c r="D152" s="456">
        <v>0</v>
      </c>
      <c r="E152" s="456">
        <v>0</v>
      </c>
      <c r="F152" s="456">
        <v>0</v>
      </c>
      <c r="G152" s="456">
        <v>0</v>
      </c>
      <c r="H152" s="394">
        <v>0</v>
      </c>
      <c r="I152" s="58">
        <v>1571</v>
      </c>
      <c r="J152" s="58">
        <v>1546</v>
      </c>
      <c r="K152" s="58">
        <v>1586</v>
      </c>
      <c r="L152" s="58">
        <v>1593</v>
      </c>
      <c r="M152" s="58">
        <v>1586</v>
      </c>
      <c r="N152" s="58">
        <v>1605</v>
      </c>
      <c r="O152" s="58">
        <v>1573</v>
      </c>
      <c r="Q152" s="451" t="s">
        <v>2150</v>
      </c>
    </row>
    <row r="153" spans="1:17" ht="15.75" thickBot="1">
      <c r="A153" s="451"/>
      <c r="B153" s="451"/>
      <c r="C153" s="55" t="s">
        <v>9989</v>
      </c>
      <c r="D153" s="460">
        <f>D151+D152</f>
        <v>0</v>
      </c>
      <c r="E153" s="460">
        <f t="shared" ref="E153:L153" si="69">E151+E152</f>
        <v>0</v>
      </c>
      <c r="F153" s="460">
        <f t="shared" si="69"/>
        <v>0</v>
      </c>
      <c r="G153" s="460">
        <f t="shared" si="69"/>
        <v>0</v>
      </c>
      <c r="H153" s="460">
        <f t="shared" si="69"/>
        <v>0</v>
      </c>
      <c r="I153" s="460">
        <f t="shared" si="69"/>
        <v>3909</v>
      </c>
      <c r="J153" s="460">
        <f t="shared" si="69"/>
        <v>3852</v>
      </c>
      <c r="K153" s="460">
        <f t="shared" si="69"/>
        <v>3985</v>
      </c>
      <c r="L153" s="460">
        <f t="shared" si="69"/>
        <v>3983</v>
      </c>
      <c r="M153" s="460">
        <f>M151+M152</f>
        <v>3982</v>
      </c>
      <c r="N153" s="460">
        <f>N151+N152</f>
        <v>4039</v>
      </c>
      <c r="O153" s="460">
        <f>O151+O152</f>
        <v>3967</v>
      </c>
      <c r="Q153" s="451"/>
    </row>
    <row r="154" spans="1:17">
      <c r="A154" s="451" t="s">
        <v>5389</v>
      </c>
      <c r="B154" s="451" t="s">
        <v>2211</v>
      </c>
      <c r="C154" s="55" t="s">
        <v>9990</v>
      </c>
      <c r="D154" s="453">
        <v>16623</v>
      </c>
      <c r="E154" s="453">
        <v>16814</v>
      </c>
      <c r="F154" s="453">
        <v>16992</v>
      </c>
      <c r="G154" s="453">
        <v>17195</v>
      </c>
      <c r="H154" s="56">
        <v>16876</v>
      </c>
      <c r="I154" s="58">
        <v>5694</v>
      </c>
      <c r="J154" s="58">
        <v>5712</v>
      </c>
      <c r="K154" s="58">
        <v>5953</v>
      </c>
      <c r="L154" s="58">
        <v>5980</v>
      </c>
      <c r="M154" s="58">
        <v>5928</v>
      </c>
      <c r="N154" s="58">
        <v>6045</v>
      </c>
      <c r="O154" s="58">
        <v>5952</v>
      </c>
      <c r="Q154" s="451" t="s">
        <v>2150</v>
      </c>
    </row>
    <row r="155" spans="1:17">
      <c r="A155" s="451" t="s">
        <v>5391</v>
      </c>
      <c r="B155" s="451" t="s">
        <v>5903</v>
      </c>
      <c r="C155" s="55" t="s">
        <v>9991</v>
      </c>
      <c r="D155" s="453">
        <v>70989</v>
      </c>
      <c r="E155" s="453">
        <v>70886</v>
      </c>
      <c r="F155" s="453">
        <v>70420</v>
      </c>
      <c r="G155" s="453">
        <v>71511</v>
      </c>
      <c r="H155" s="56">
        <v>68307</v>
      </c>
      <c r="I155" s="56">
        <v>5619</v>
      </c>
      <c r="J155" s="56">
        <v>4072</v>
      </c>
      <c r="K155" s="56">
        <v>4164</v>
      </c>
      <c r="L155" s="56">
        <v>4184</v>
      </c>
      <c r="M155" s="56">
        <v>4127</v>
      </c>
      <c r="N155" s="56">
        <v>4265</v>
      </c>
      <c r="O155" s="56">
        <v>4218</v>
      </c>
      <c r="Q155" s="451" t="s">
        <v>2143</v>
      </c>
    </row>
    <row r="156" spans="1:17">
      <c r="A156" s="451" t="s">
        <v>5393</v>
      </c>
      <c r="B156" s="451" t="s">
        <v>2212</v>
      </c>
      <c r="C156" s="55" t="s">
        <v>9992</v>
      </c>
      <c r="D156" s="453">
        <v>0</v>
      </c>
      <c r="E156" s="453">
        <v>0</v>
      </c>
      <c r="F156" s="453">
        <v>0</v>
      </c>
      <c r="G156" s="453">
        <v>0</v>
      </c>
      <c r="H156" s="58">
        <v>0</v>
      </c>
      <c r="I156" s="56">
        <v>4420</v>
      </c>
      <c r="J156" s="56">
        <v>5934</v>
      </c>
      <c r="K156" s="56">
        <v>6146</v>
      </c>
      <c r="L156" s="56">
        <v>6167</v>
      </c>
      <c r="M156" s="56">
        <v>6112</v>
      </c>
      <c r="N156" s="56">
        <v>6299</v>
      </c>
      <c r="O156" s="56">
        <v>6198</v>
      </c>
      <c r="Q156" s="451" t="s">
        <v>2143</v>
      </c>
    </row>
    <row r="157" spans="1:17">
      <c r="A157" s="451" t="s">
        <v>5394</v>
      </c>
      <c r="B157" s="451" t="s">
        <v>6671</v>
      </c>
      <c r="C157" s="55" t="s">
        <v>9993</v>
      </c>
      <c r="D157" s="453">
        <v>0</v>
      </c>
      <c r="E157" s="453">
        <v>0</v>
      </c>
      <c r="F157" s="453">
        <v>0</v>
      </c>
      <c r="G157" s="453">
        <v>0</v>
      </c>
      <c r="H157" s="56">
        <v>0</v>
      </c>
      <c r="I157" s="56">
        <v>4125</v>
      </c>
      <c r="J157" s="56">
        <v>4082</v>
      </c>
      <c r="K157" s="56">
        <v>4194</v>
      </c>
      <c r="L157" s="56">
        <v>4230</v>
      </c>
      <c r="M157" s="56">
        <v>4161</v>
      </c>
      <c r="N157" s="56">
        <v>4254</v>
      </c>
      <c r="O157" s="56">
        <v>4198</v>
      </c>
      <c r="Q157" s="451" t="s">
        <v>2143</v>
      </c>
    </row>
    <row r="158" spans="1:17">
      <c r="A158" s="451" t="s">
        <v>5416</v>
      </c>
      <c r="B158" s="451" t="s">
        <v>9965</v>
      </c>
      <c r="C158" s="55" t="s">
        <v>9994</v>
      </c>
      <c r="D158" s="453">
        <v>0</v>
      </c>
      <c r="E158" s="453">
        <v>0</v>
      </c>
      <c r="F158" s="453">
        <v>0</v>
      </c>
      <c r="G158" s="453">
        <v>0</v>
      </c>
      <c r="H158" s="56">
        <v>0</v>
      </c>
      <c r="I158" s="56">
        <v>2038</v>
      </c>
      <c r="J158" s="56">
        <v>2015</v>
      </c>
      <c r="K158" s="56">
        <v>2047</v>
      </c>
      <c r="L158" s="56">
        <v>2037</v>
      </c>
      <c r="M158" s="56">
        <v>1985</v>
      </c>
      <c r="N158" s="56">
        <v>2046</v>
      </c>
      <c r="O158" s="56">
        <v>2003</v>
      </c>
      <c r="Q158" s="451" t="s">
        <v>2143</v>
      </c>
    </row>
    <row r="159" spans="1:17">
      <c r="A159" s="451" t="s">
        <v>5418</v>
      </c>
      <c r="B159" s="451" t="s">
        <v>9966</v>
      </c>
      <c r="C159" s="55" t="s">
        <v>9995</v>
      </c>
      <c r="D159" s="453">
        <v>0</v>
      </c>
      <c r="E159" s="453">
        <v>0</v>
      </c>
      <c r="F159" s="453">
        <v>0</v>
      </c>
      <c r="G159" s="453">
        <v>0</v>
      </c>
      <c r="H159" s="56">
        <v>0</v>
      </c>
      <c r="I159" s="56">
        <v>4489</v>
      </c>
      <c r="J159" s="56">
        <v>4501</v>
      </c>
      <c r="K159" s="56">
        <v>4618</v>
      </c>
      <c r="L159" s="56">
        <v>4619</v>
      </c>
      <c r="M159" s="56">
        <v>4554</v>
      </c>
      <c r="N159" s="56">
        <v>4606</v>
      </c>
      <c r="O159" s="56">
        <v>4550</v>
      </c>
      <c r="Q159" s="451" t="s">
        <v>2143</v>
      </c>
    </row>
    <row r="160" spans="1:17">
      <c r="A160" s="451" t="s">
        <v>5420</v>
      </c>
      <c r="B160" s="451" t="s">
        <v>2213</v>
      </c>
      <c r="C160" s="55" t="s">
        <v>9996</v>
      </c>
      <c r="D160" s="453">
        <v>0</v>
      </c>
      <c r="E160" s="453">
        <v>0</v>
      </c>
      <c r="F160" s="453">
        <v>0</v>
      </c>
      <c r="G160" s="453">
        <v>0</v>
      </c>
      <c r="H160" s="56">
        <v>0</v>
      </c>
      <c r="I160" s="56">
        <v>4114</v>
      </c>
      <c r="J160" s="56">
        <v>4173</v>
      </c>
      <c r="K160" s="56">
        <v>4275</v>
      </c>
      <c r="L160" s="56">
        <v>4278</v>
      </c>
      <c r="M160" s="56">
        <v>4257</v>
      </c>
      <c r="N160" s="56">
        <v>4384</v>
      </c>
      <c r="O160" s="56">
        <v>4328</v>
      </c>
      <c r="Q160" s="451" t="s">
        <v>2143</v>
      </c>
    </row>
    <row r="161" spans="1:17">
      <c r="A161" s="451" t="s">
        <v>5422</v>
      </c>
      <c r="B161" s="451" t="s">
        <v>9967</v>
      </c>
      <c r="C161" s="55" t="s">
        <v>9997</v>
      </c>
      <c r="D161" s="453">
        <v>0</v>
      </c>
      <c r="E161" s="453">
        <v>0</v>
      </c>
      <c r="F161" s="453">
        <v>0</v>
      </c>
      <c r="G161" s="453">
        <v>0</v>
      </c>
      <c r="H161" s="56">
        <v>0</v>
      </c>
      <c r="I161" s="58">
        <v>2302</v>
      </c>
      <c r="J161" s="58">
        <v>2294</v>
      </c>
      <c r="K161" s="58">
        <v>2338</v>
      </c>
      <c r="L161" s="58">
        <v>2326</v>
      </c>
      <c r="M161" s="58">
        <v>2294</v>
      </c>
      <c r="N161" s="58">
        <v>2348</v>
      </c>
      <c r="O161" s="58">
        <v>2313</v>
      </c>
      <c r="Q161" s="451" t="s">
        <v>2150</v>
      </c>
    </row>
    <row r="162" spans="1:17">
      <c r="A162" s="451" t="s">
        <v>5424</v>
      </c>
      <c r="B162" s="451" t="s">
        <v>9968</v>
      </c>
      <c r="C162" s="55" t="s">
        <v>9998</v>
      </c>
      <c r="D162" s="453">
        <v>0</v>
      </c>
      <c r="E162" s="453">
        <v>0</v>
      </c>
      <c r="F162" s="453">
        <v>0</v>
      </c>
      <c r="G162" s="453">
        <v>0</v>
      </c>
      <c r="H162" s="56">
        <v>0</v>
      </c>
      <c r="I162" s="56">
        <v>4600</v>
      </c>
      <c r="J162" s="56">
        <v>4526</v>
      </c>
      <c r="K162" s="56">
        <v>4628</v>
      </c>
      <c r="L162" s="56">
        <v>4606</v>
      </c>
      <c r="M162" s="56">
        <v>4541</v>
      </c>
      <c r="N162" s="56">
        <v>4624</v>
      </c>
      <c r="O162" s="56">
        <v>4558</v>
      </c>
      <c r="Q162" s="451" t="s">
        <v>2143</v>
      </c>
    </row>
    <row r="163" spans="1:17">
      <c r="A163" s="451" t="s">
        <v>5426</v>
      </c>
      <c r="B163" s="451" t="s">
        <v>4213</v>
      </c>
      <c r="C163" s="55" t="s">
        <v>9999</v>
      </c>
      <c r="D163" s="453">
        <v>0</v>
      </c>
      <c r="E163" s="453">
        <v>0</v>
      </c>
      <c r="F163" s="453">
        <v>0</v>
      </c>
      <c r="G163" s="453">
        <v>0</v>
      </c>
      <c r="H163" s="58">
        <v>0</v>
      </c>
      <c r="I163" s="56">
        <v>4439</v>
      </c>
      <c r="J163" s="56">
        <v>4415</v>
      </c>
      <c r="K163" s="56">
        <v>4495</v>
      </c>
      <c r="L163" s="56">
        <v>4489</v>
      </c>
      <c r="M163" s="56">
        <v>4546</v>
      </c>
      <c r="N163" s="56">
        <v>4724</v>
      </c>
      <c r="O163" s="56">
        <v>4655</v>
      </c>
      <c r="Q163" s="451" t="s">
        <v>2143</v>
      </c>
    </row>
    <row r="164" spans="1:17">
      <c r="A164" s="451" t="s">
        <v>5428</v>
      </c>
      <c r="B164" s="451" t="s">
        <v>9159</v>
      </c>
      <c r="C164" s="55" t="s">
        <v>10000</v>
      </c>
      <c r="D164" s="453">
        <v>0</v>
      </c>
      <c r="E164" s="453">
        <v>0</v>
      </c>
      <c r="F164" s="453">
        <v>0</v>
      </c>
      <c r="G164" s="453">
        <v>0</v>
      </c>
      <c r="H164" s="56">
        <v>0</v>
      </c>
      <c r="I164" s="56">
        <v>3928</v>
      </c>
      <c r="J164" s="56">
        <v>3867</v>
      </c>
      <c r="K164" s="56">
        <v>3974</v>
      </c>
      <c r="L164" s="56">
        <v>3961</v>
      </c>
      <c r="M164" s="56">
        <v>3915</v>
      </c>
      <c r="N164" s="56">
        <v>3967</v>
      </c>
      <c r="O164" s="56">
        <v>3912</v>
      </c>
      <c r="Q164" s="451" t="s">
        <v>2143</v>
      </c>
    </row>
    <row r="165" spans="1:17">
      <c r="A165" s="451" t="s">
        <v>5429</v>
      </c>
      <c r="B165" s="451" t="s">
        <v>9969</v>
      </c>
      <c r="C165" s="55" t="s">
        <v>10001</v>
      </c>
      <c r="D165" s="453">
        <v>0</v>
      </c>
      <c r="E165" s="453">
        <v>0</v>
      </c>
      <c r="F165" s="453">
        <v>0</v>
      </c>
      <c r="G165" s="453">
        <v>0</v>
      </c>
      <c r="H165" s="56">
        <v>0</v>
      </c>
      <c r="I165" s="58">
        <v>6423</v>
      </c>
      <c r="J165" s="58">
        <v>6362</v>
      </c>
      <c r="K165" s="58">
        <v>6534</v>
      </c>
      <c r="L165" s="58">
        <v>6581</v>
      </c>
      <c r="M165" s="58">
        <v>6583</v>
      </c>
      <c r="N165" s="58">
        <v>6762</v>
      </c>
      <c r="O165" s="58">
        <v>6683</v>
      </c>
      <c r="Q165" s="451" t="s">
        <v>2150</v>
      </c>
    </row>
    <row r="166" spans="1:17">
      <c r="A166" s="451" t="s">
        <v>5431</v>
      </c>
      <c r="B166" s="451" t="s">
        <v>6631</v>
      </c>
      <c r="C166" s="55" t="s">
        <v>10002</v>
      </c>
      <c r="D166" s="453">
        <v>0</v>
      </c>
      <c r="E166" s="453">
        <v>0</v>
      </c>
      <c r="F166" s="453">
        <v>0</v>
      </c>
      <c r="G166" s="453">
        <v>0</v>
      </c>
      <c r="H166" s="58">
        <v>0</v>
      </c>
      <c r="I166" s="56">
        <v>4142</v>
      </c>
      <c r="J166" s="56">
        <v>4131</v>
      </c>
      <c r="K166" s="56">
        <v>4195</v>
      </c>
      <c r="L166" s="56">
        <v>4170</v>
      </c>
      <c r="M166" s="56">
        <v>4104</v>
      </c>
      <c r="N166" s="56">
        <v>4177</v>
      </c>
      <c r="O166" s="56">
        <v>4110</v>
      </c>
      <c r="Q166" s="451" t="s">
        <v>2143</v>
      </c>
    </row>
    <row r="167" spans="1:17">
      <c r="A167" s="451" t="s">
        <v>5433</v>
      </c>
      <c r="B167" s="451" t="s">
        <v>9970</v>
      </c>
      <c r="C167" s="55" t="s">
        <v>10003</v>
      </c>
      <c r="D167" s="453">
        <v>0</v>
      </c>
      <c r="E167" s="453">
        <v>0</v>
      </c>
      <c r="F167" s="453">
        <v>0</v>
      </c>
      <c r="G167" s="453">
        <v>0</v>
      </c>
      <c r="H167" s="56">
        <v>0</v>
      </c>
      <c r="I167" s="56">
        <v>5487</v>
      </c>
      <c r="J167" s="56">
        <v>5479</v>
      </c>
      <c r="K167" s="56">
        <v>5604</v>
      </c>
      <c r="L167" s="56">
        <v>5672</v>
      </c>
      <c r="M167" s="56">
        <v>5724</v>
      </c>
      <c r="N167" s="56">
        <v>5830</v>
      </c>
      <c r="O167" s="56">
        <v>5742</v>
      </c>
      <c r="Q167" s="451" t="s">
        <v>2143</v>
      </c>
    </row>
    <row r="168" spans="1:17" ht="15.75" thickBot="1">
      <c r="A168" s="451"/>
      <c r="B168" s="451"/>
      <c r="C168" s="55" t="s">
        <v>10003</v>
      </c>
      <c r="D168" s="456">
        <v>0</v>
      </c>
      <c r="E168" s="456">
        <v>0</v>
      </c>
      <c r="F168" s="456">
        <v>0</v>
      </c>
      <c r="G168" s="456">
        <v>0</v>
      </c>
      <c r="H168" s="394">
        <v>0</v>
      </c>
      <c r="I168" s="58">
        <v>922</v>
      </c>
      <c r="J168" s="58">
        <v>975</v>
      </c>
      <c r="K168" s="58">
        <v>1000</v>
      </c>
      <c r="L168" s="58">
        <v>1034</v>
      </c>
      <c r="M168" s="58">
        <v>1013</v>
      </c>
      <c r="N168" s="58">
        <v>1025</v>
      </c>
      <c r="O168" s="58">
        <v>1007</v>
      </c>
      <c r="Q168" s="451" t="s">
        <v>2150</v>
      </c>
    </row>
    <row r="169" spans="1:17" ht="15.75" thickBot="1">
      <c r="A169" s="451"/>
      <c r="B169" s="451"/>
      <c r="C169" s="55" t="s">
        <v>10003</v>
      </c>
      <c r="D169" s="460">
        <f t="shared" ref="D169:O169" si="70">D167+D168</f>
        <v>0</v>
      </c>
      <c r="E169" s="460">
        <f t="shared" si="70"/>
        <v>0</v>
      </c>
      <c r="F169" s="460">
        <f t="shared" si="70"/>
        <v>0</v>
      </c>
      <c r="G169" s="460">
        <f t="shared" si="70"/>
        <v>0</v>
      </c>
      <c r="H169" s="460">
        <f t="shared" si="70"/>
        <v>0</v>
      </c>
      <c r="I169" s="460">
        <f t="shared" si="70"/>
        <v>6409</v>
      </c>
      <c r="J169" s="460">
        <f t="shared" si="70"/>
        <v>6454</v>
      </c>
      <c r="K169" s="460">
        <f t="shared" si="70"/>
        <v>6604</v>
      </c>
      <c r="L169" s="460">
        <f t="shared" si="70"/>
        <v>6706</v>
      </c>
      <c r="M169" s="460">
        <f t="shared" si="70"/>
        <v>6737</v>
      </c>
      <c r="N169" s="460">
        <f t="shared" si="70"/>
        <v>6855</v>
      </c>
      <c r="O169" s="460">
        <f t="shared" si="70"/>
        <v>6749</v>
      </c>
      <c r="Q169" s="451"/>
    </row>
    <row r="170" spans="1:17">
      <c r="A170" s="451" t="s">
        <v>5435</v>
      </c>
      <c r="B170" s="451" t="s">
        <v>6632</v>
      </c>
      <c r="C170" s="55" t="s">
        <v>10004</v>
      </c>
      <c r="D170" s="453">
        <v>0</v>
      </c>
      <c r="E170" s="453">
        <v>0</v>
      </c>
      <c r="F170" s="453">
        <v>0</v>
      </c>
      <c r="G170" s="453">
        <v>0</v>
      </c>
      <c r="H170" s="56">
        <v>0</v>
      </c>
      <c r="I170" s="56">
        <v>6124</v>
      </c>
      <c r="J170" s="56">
        <v>6225</v>
      </c>
      <c r="K170" s="56">
        <v>6456</v>
      </c>
      <c r="L170" s="56">
        <v>6406</v>
      </c>
      <c r="M170" s="56">
        <v>6311</v>
      </c>
      <c r="N170" s="56">
        <v>6503</v>
      </c>
      <c r="O170" s="56">
        <v>6435</v>
      </c>
      <c r="Q170" s="451" t="s">
        <v>2143</v>
      </c>
    </row>
    <row r="171" spans="1:17">
      <c r="A171" s="451" t="s">
        <v>5436</v>
      </c>
      <c r="B171" s="451" t="s">
        <v>4281</v>
      </c>
      <c r="C171" s="55" t="s">
        <v>10005</v>
      </c>
      <c r="D171" s="453">
        <v>0</v>
      </c>
      <c r="E171" s="453">
        <v>0</v>
      </c>
      <c r="F171" s="453">
        <v>0</v>
      </c>
      <c r="G171" s="453">
        <v>0</v>
      </c>
      <c r="H171" s="58">
        <v>0</v>
      </c>
      <c r="I171" s="56">
        <v>4498</v>
      </c>
      <c r="J171" s="56">
        <v>4659</v>
      </c>
      <c r="K171" s="56">
        <v>4830</v>
      </c>
      <c r="L171" s="56">
        <v>4871</v>
      </c>
      <c r="M171" s="56">
        <v>4857</v>
      </c>
      <c r="N171" s="56">
        <v>4883</v>
      </c>
      <c r="O171" s="56">
        <v>4827</v>
      </c>
      <c r="Q171" s="451" t="s">
        <v>2143</v>
      </c>
    </row>
    <row r="172" spans="1:17" ht="15.75" thickBot="1">
      <c r="A172" s="451"/>
      <c r="B172" s="451"/>
      <c r="C172" s="55" t="s">
        <v>10005</v>
      </c>
      <c r="D172" s="456">
        <v>0</v>
      </c>
      <c r="E172" s="456">
        <v>0</v>
      </c>
      <c r="F172" s="456">
        <v>0</v>
      </c>
      <c r="G172" s="456">
        <v>0</v>
      </c>
      <c r="H172" s="394">
        <v>0</v>
      </c>
      <c r="I172" s="58">
        <v>33</v>
      </c>
      <c r="J172" s="58">
        <v>36</v>
      </c>
      <c r="K172" s="58">
        <v>41</v>
      </c>
      <c r="L172" s="58">
        <v>37</v>
      </c>
      <c r="M172" s="58">
        <v>36</v>
      </c>
      <c r="N172" s="58">
        <v>33</v>
      </c>
      <c r="O172" s="58">
        <v>31</v>
      </c>
      <c r="Q172" s="451" t="s">
        <v>2150</v>
      </c>
    </row>
    <row r="173" spans="1:17" ht="15.75" thickBot="1">
      <c r="A173" s="451"/>
      <c r="B173" s="451"/>
      <c r="C173" s="55" t="s">
        <v>10005</v>
      </c>
      <c r="D173" s="460">
        <f t="shared" ref="D173:O173" si="71">D171+D172</f>
        <v>0</v>
      </c>
      <c r="E173" s="460">
        <f t="shared" si="71"/>
        <v>0</v>
      </c>
      <c r="F173" s="460">
        <f t="shared" si="71"/>
        <v>0</v>
      </c>
      <c r="G173" s="460">
        <f t="shared" si="71"/>
        <v>0</v>
      </c>
      <c r="H173" s="460">
        <f t="shared" si="71"/>
        <v>0</v>
      </c>
      <c r="I173" s="460">
        <f t="shared" si="71"/>
        <v>4531</v>
      </c>
      <c r="J173" s="460">
        <f t="shared" si="71"/>
        <v>4695</v>
      </c>
      <c r="K173" s="460">
        <f t="shared" si="71"/>
        <v>4871</v>
      </c>
      <c r="L173" s="460">
        <f t="shared" si="71"/>
        <v>4908</v>
      </c>
      <c r="M173" s="460">
        <f t="shared" si="71"/>
        <v>4893</v>
      </c>
      <c r="N173" s="460">
        <f t="shared" si="71"/>
        <v>4916</v>
      </c>
      <c r="O173" s="460">
        <f t="shared" si="71"/>
        <v>4858</v>
      </c>
      <c r="Q173" s="451"/>
    </row>
    <row r="174" spans="1:17">
      <c r="A174" s="451" t="s">
        <v>5437</v>
      </c>
      <c r="B174" s="451" t="s">
        <v>9971</v>
      </c>
      <c r="C174" s="55" t="s">
        <v>10006</v>
      </c>
      <c r="D174" s="453">
        <v>0</v>
      </c>
      <c r="E174" s="453">
        <v>0</v>
      </c>
      <c r="F174" s="453">
        <v>0</v>
      </c>
      <c r="G174" s="453">
        <v>0</v>
      </c>
      <c r="H174" s="56">
        <v>0</v>
      </c>
      <c r="I174" s="56">
        <v>4172</v>
      </c>
      <c r="J174" s="56">
        <v>4136</v>
      </c>
      <c r="K174" s="56">
        <v>4256</v>
      </c>
      <c r="L174" s="56">
        <v>4233</v>
      </c>
      <c r="M174" s="56">
        <v>4136</v>
      </c>
      <c r="N174" s="56">
        <v>4316</v>
      </c>
      <c r="O174" s="56">
        <v>4286</v>
      </c>
      <c r="Q174" s="451" t="s">
        <v>2143</v>
      </c>
    </row>
    <row r="175" spans="1:17">
      <c r="A175" s="451" t="s">
        <v>5439</v>
      </c>
      <c r="B175" s="451" t="s">
        <v>6633</v>
      </c>
      <c r="C175" s="55" t="s">
        <v>10007</v>
      </c>
      <c r="D175" s="453">
        <v>0</v>
      </c>
      <c r="E175" s="453">
        <v>0</v>
      </c>
      <c r="F175" s="453">
        <v>0</v>
      </c>
      <c r="G175" s="453">
        <v>0</v>
      </c>
      <c r="H175" s="56">
        <v>0</v>
      </c>
      <c r="I175" s="56">
        <v>4417</v>
      </c>
      <c r="J175" s="58">
        <v>4379</v>
      </c>
      <c r="K175" s="58">
        <v>4501</v>
      </c>
      <c r="L175" s="58">
        <v>4505</v>
      </c>
      <c r="M175" s="58">
        <v>4442</v>
      </c>
      <c r="N175" s="58">
        <v>4527</v>
      </c>
      <c r="O175" s="58">
        <v>4457</v>
      </c>
      <c r="Q175" s="451" t="s">
        <v>2143</v>
      </c>
    </row>
    <row r="176" spans="1:17">
      <c r="D176" s="455"/>
      <c r="E176" s="455"/>
      <c r="F176" s="455"/>
      <c r="G176" s="455"/>
      <c r="H176" s="455"/>
      <c r="I176" s="455"/>
      <c r="J176" s="455"/>
      <c r="K176" s="455"/>
      <c r="L176" s="455"/>
      <c r="M176" s="455"/>
      <c r="N176" s="455"/>
      <c r="O176" s="455"/>
    </row>
    <row r="177" spans="1:17">
      <c r="A177" s="451" t="s">
        <v>2143</v>
      </c>
      <c r="D177" s="453">
        <f>D151+SUM(D155:D160)+SUM(D162:D164)+D166+D167+D170+D171+D174+D175</f>
        <v>70989</v>
      </c>
      <c r="E177" s="453">
        <f>E151+SUM(E155:E160)+SUM(E162:E164)+E166+E167+E170+E171+E174+E175</f>
        <v>70886</v>
      </c>
      <c r="F177" s="453">
        <f>F151+SUM(F155:F160)+SUM(F162:F164)+F166+F167+F170+F171+F174+F175</f>
        <v>70420</v>
      </c>
      <c r="G177" s="453">
        <f>G151+SUM(G155:G160)+SUM(G162:G164)+G166+G167+G170+G171+G174+G175</f>
        <v>71511</v>
      </c>
      <c r="H177" s="453">
        <f>H151+SUM(H155:H160)+SUM(H162:H164)+H166+H167+H170+H171+H174+H175</f>
        <v>68307</v>
      </c>
      <c r="I177" s="453">
        <f t="shared" ref="I177:N177" si="72">I151+SUM(I155:I160)+SUM(I162:I164)+I166+I167+I170+I171+I174+I175</f>
        <v>68950</v>
      </c>
      <c r="J177" s="453">
        <f t="shared" si="72"/>
        <v>68900</v>
      </c>
      <c r="K177" s="453">
        <f t="shared" si="72"/>
        <v>70782</v>
      </c>
      <c r="L177" s="453">
        <f t="shared" si="72"/>
        <v>70818</v>
      </c>
      <c r="M177" s="453">
        <f t="shared" si="72"/>
        <v>70168</v>
      </c>
      <c r="N177" s="453">
        <f t="shared" si="72"/>
        <v>71839</v>
      </c>
      <c r="O177" s="453">
        <f>O151+SUM(O155:O160)+SUM(O162:O164)+O166+O167+O170+O171+O174+O175</f>
        <v>70871</v>
      </c>
    </row>
    <row r="178" spans="1:17">
      <c r="A178" s="451" t="s">
        <v>3540</v>
      </c>
      <c r="D178" s="453">
        <f>D152+D154+D161+D165+D168+D172</f>
        <v>16623</v>
      </c>
      <c r="E178" s="453">
        <f>E152+E154+E161+E165+E168+E172</f>
        <v>16814</v>
      </c>
      <c r="F178" s="453">
        <f>F152+F154+F161+F165+F168+F172</f>
        <v>16992</v>
      </c>
      <c r="G178" s="453">
        <f>G152+G154+G161+G165+G168+G172</f>
        <v>17195</v>
      </c>
      <c r="H178" s="453">
        <f>H152+H154+H161+H165+H168+H172</f>
        <v>16876</v>
      </c>
      <c r="I178" s="453">
        <f t="shared" ref="I178:N178" si="73">I152+I154+I161+I165+I168+I172</f>
        <v>16945</v>
      </c>
      <c r="J178" s="453">
        <f t="shared" si="73"/>
        <v>16925</v>
      </c>
      <c r="K178" s="453">
        <f t="shared" si="73"/>
        <v>17452</v>
      </c>
      <c r="L178" s="453">
        <f t="shared" si="73"/>
        <v>17551</v>
      </c>
      <c r="M178" s="453">
        <f t="shared" si="73"/>
        <v>17440</v>
      </c>
      <c r="N178" s="453">
        <f t="shared" si="73"/>
        <v>17818</v>
      </c>
      <c r="O178" s="453">
        <f>O152+O154+O161+O165+O168+O172</f>
        <v>17559</v>
      </c>
    </row>
    <row r="179" spans="1:17">
      <c r="A179" s="451"/>
      <c r="D179" s="453"/>
      <c r="E179" s="453"/>
      <c r="F179" s="453"/>
      <c r="G179" s="453"/>
      <c r="H179" s="453"/>
      <c r="I179" s="453"/>
      <c r="J179" s="453"/>
      <c r="K179" s="453"/>
      <c r="L179" s="453"/>
      <c r="M179" s="453"/>
      <c r="N179" s="453"/>
      <c r="O179" s="453"/>
    </row>
    <row r="180" spans="1:17">
      <c r="A180" s="451" t="s">
        <v>9972</v>
      </c>
      <c r="D180" s="453"/>
      <c r="E180" s="453"/>
      <c r="F180" s="453"/>
      <c r="G180" s="453"/>
      <c r="H180" s="453"/>
      <c r="I180" s="453"/>
      <c r="J180" s="453"/>
      <c r="K180" s="453"/>
      <c r="L180" s="453"/>
      <c r="M180" s="453"/>
      <c r="N180" s="453"/>
      <c r="O180" s="453"/>
    </row>
    <row r="181" spans="1:17">
      <c r="A181" s="451"/>
      <c r="B181" s="451"/>
      <c r="D181" s="459"/>
      <c r="E181" s="459"/>
      <c r="F181" s="459"/>
      <c r="G181" s="459"/>
      <c r="H181" s="459"/>
      <c r="I181" s="459"/>
      <c r="J181" s="459"/>
      <c r="K181" s="459"/>
      <c r="L181" s="459"/>
      <c r="M181" s="459"/>
      <c r="N181" s="459"/>
      <c r="O181" s="459"/>
    </row>
    <row r="182" spans="1:17">
      <c r="A182" s="451"/>
      <c r="B182" s="451"/>
      <c r="D182" s="459"/>
      <c r="E182" s="459"/>
      <c r="F182" s="459"/>
      <c r="G182" s="459"/>
      <c r="H182" s="459"/>
      <c r="I182" s="459"/>
      <c r="J182" s="459"/>
      <c r="K182" s="459"/>
      <c r="L182" s="459"/>
      <c r="M182" s="459"/>
      <c r="N182" s="459"/>
      <c r="O182" s="459"/>
    </row>
    <row r="183" spans="1:17">
      <c r="E183" s="51" t="s">
        <v>1526</v>
      </c>
      <c r="F183" s="51"/>
      <c r="G183" s="51"/>
      <c r="H183" s="51"/>
      <c r="I183" s="51"/>
      <c r="J183" s="51"/>
      <c r="K183" s="51"/>
      <c r="L183" s="51"/>
      <c r="M183" s="51"/>
      <c r="N183" s="51"/>
      <c r="O183" s="51"/>
      <c r="P183" s="11"/>
      <c r="Q183" s="11" t="s">
        <v>9479</v>
      </c>
    </row>
    <row r="184" spans="1:17">
      <c r="D184" s="133">
        <v>2010</v>
      </c>
      <c r="E184" s="133">
        <v>2011</v>
      </c>
      <c r="F184" s="133">
        <v>2012</v>
      </c>
      <c r="G184" s="133">
        <v>2013</v>
      </c>
      <c r="H184" s="133">
        <v>2014</v>
      </c>
      <c r="I184" s="133">
        <v>2015</v>
      </c>
      <c r="J184" s="133">
        <v>2016</v>
      </c>
      <c r="K184" s="133">
        <v>2017</v>
      </c>
      <c r="L184" s="133">
        <v>2018</v>
      </c>
      <c r="M184" s="133">
        <v>2019</v>
      </c>
      <c r="N184" s="133">
        <v>2020</v>
      </c>
      <c r="O184" s="950" t="s">
        <v>14823</v>
      </c>
      <c r="P184" s="11"/>
      <c r="Q184" s="13" t="s">
        <v>1527</v>
      </c>
    </row>
    <row r="185" spans="1:17">
      <c r="A185" s="451" t="s">
        <v>6634</v>
      </c>
      <c r="D185" s="453">
        <f>SUM(D186:D221)</f>
        <v>80247</v>
      </c>
      <c r="E185" s="453">
        <f>SUM(E186:E221)</f>
        <v>79849</v>
      </c>
      <c r="F185" s="453">
        <f t="shared" ref="F185:K185" si="74">SUM(F186:F221)</f>
        <v>79748</v>
      </c>
      <c r="G185" s="453">
        <f t="shared" si="74"/>
        <v>79714</v>
      </c>
      <c r="H185" s="453">
        <f t="shared" si="74"/>
        <v>75412</v>
      </c>
      <c r="I185" s="453">
        <f t="shared" si="74"/>
        <v>77022</v>
      </c>
      <c r="J185" s="453">
        <f t="shared" si="74"/>
        <v>74066</v>
      </c>
      <c r="K185" s="453">
        <f t="shared" si="74"/>
        <v>76353</v>
      </c>
      <c r="L185" s="453">
        <f>SUM(L186:L221)</f>
        <v>76181</v>
      </c>
      <c r="M185" s="453">
        <f>SUM(M186:M221)</f>
        <v>76202</v>
      </c>
      <c r="N185" s="453">
        <f>SUM(N186:N221)</f>
        <v>76269</v>
      </c>
      <c r="O185" s="453">
        <f>SUM(O186:O221)</f>
        <v>77409</v>
      </c>
    </row>
    <row r="186" spans="1:17">
      <c r="A186" s="451" t="s">
        <v>5387</v>
      </c>
      <c r="B186" s="451" t="s">
        <v>9130</v>
      </c>
      <c r="C186" s="55" t="s">
        <v>9131</v>
      </c>
      <c r="D186" s="453">
        <v>80247</v>
      </c>
      <c r="E186" s="453">
        <v>79849</v>
      </c>
      <c r="F186" s="453">
        <v>2217</v>
      </c>
      <c r="G186" s="63">
        <v>2204</v>
      </c>
      <c r="H186" s="63">
        <v>2087</v>
      </c>
      <c r="I186" s="63">
        <v>2128</v>
      </c>
      <c r="J186" s="63">
        <v>2043</v>
      </c>
      <c r="K186" s="63">
        <v>2085</v>
      </c>
      <c r="L186" s="63">
        <v>2079</v>
      </c>
      <c r="M186" s="63">
        <v>2045</v>
      </c>
      <c r="N186" s="63">
        <v>1997</v>
      </c>
      <c r="O186" s="63">
        <v>2043</v>
      </c>
      <c r="Q186" s="451" t="s">
        <v>2145</v>
      </c>
    </row>
    <row r="187" spans="1:17">
      <c r="A187" s="451" t="s">
        <v>5389</v>
      </c>
      <c r="B187" s="451" t="s">
        <v>6026</v>
      </c>
      <c r="C187" s="55" t="s">
        <v>9132</v>
      </c>
      <c r="D187" s="453">
        <v>0</v>
      </c>
      <c r="E187" s="453">
        <v>0</v>
      </c>
      <c r="F187" s="453">
        <v>2188</v>
      </c>
      <c r="G187" s="63">
        <v>2185</v>
      </c>
      <c r="H187" s="63">
        <v>2158</v>
      </c>
      <c r="I187" s="63">
        <v>2202</v>
      </c>
      <c r="J187" s="63">
        <v>2182</v>
      </c>
      <c r="K187" s="63">
        <v>2214</v>
      </c>
      <c r="L187" s="63">
        <v>2227</v>
      </c>
      <c r="M187" s="63">
        <v>2258</v>
      </c>
      <c r="N187" s="63">
        <v>2469</v>
      </c>
      <c r="O187" s="63">
        <v>2574</v>
      </c>
      <c r="Q187" s="451" t="s">
        <v>2145</v>
      </c>
    </row>
    <row r="188" spans="1:17">
      <c r="A188" s="451" t="s">
        <v>5391</v>
      </c>
      <c r="B188" s="451" t="s">
        <v>9133</v>
      </c>
      <c r="C188" s="55" t="s">
        <v>9134</v>
      </c>
      <c r="D188" s="453">
        <v>0</v>
      </c>
      <c r="E188" s="453">
        <v>0</v>
      </c>
      <c r="F188" s="453">
        <v>2348</v>
      </c>
      <c r="G188" s="63">
        <v>2368</v>
      </c>
      <c r="H188" s="63">
        <v>2155</v>
      </c>
      <c r="I188" s="63">
        <v>2221</v>
      </c>
      <c r="J188" s="63">
        <v>2166</v>
      </c>
      <c r="K188" s="63">
        <v>2230</v>
      </c>
      <c r="L188" s="63">
        <v>2209</v>
      </c>
      <c r="M188" s="63">
        <v>2208</v>
      </c>
      <c r="N188" s="63">
        <v>2186</v>
      </c>
      <c r="O188" s="63">
        <v>2228</v>
      </c>
      <c r="Q188" s="451" t="s">
        <v>2145</v>
      </c>
    </row>
    <row r="189" spans="1:17">
      <c r="A189" s="451" t="s">
        <v>5393</v>
      </c>
      <c r="B189" s="451" t="s">
        <v>6635</v>
      </c>
      <c r="C189" s="55" t="s">
        <v>9135</v>
      </c>
      <c r="D189" s="453">
        <v>0</v>
      </c>
      <c r="E189" s="453">
        <v>0</v>
      </c>
      <c r="F189" s="453">
        <v>2005</v>
      </c>
      <c r="G189" s="63">
        <v>1935</v>
      </c>
      <c r="H189" s="63">
        <v>1812</v>
      </c>
      <c r="I189" s="63">
        <v>1851</v>
      </c>
      <c r="J189" s="63">
        <v>1759</v>
      </c>
      <c r="K189" s="63">
        <v>1779</v>
      </c>
      <c r="L189" s="63">
        <v>1762</v>
      </c>
      <c r="M189" s="63">
        <v>1753</v>
      </c>
      <c r="N189" s="63">
        <v>1755</v>
      </c>
      <c r="O189" s="63">
        <v>1742</v>
      </c>
      <c r="Q189" s="451" t="s">
        <v>2145</v>
      </c>
    </row>
    <row r="190" spans="1:17">
      <c r="A190" s="451" t="s">
        <v>5394</v>
      </c>
      <c r="B190" s="451" t="s">
        <v>9136</v>
      </c>
      <c r="C190" s="55" t="s">
        <v>9137</v>
      </c>
      <c r="D190" s="453">
        <v>0</v>
      </c>
      <c r="E190" s="453">
        <v>0</v>
      </c>
      <c r="F190" s="453">
        <v>2424</v>
      </c>
      <c r="G190" s="63">
        <v>2432</v>
      </c>
      <c r="H190" s="63">
        <v>2290</v>
      </c>
      <c r="I190" s="63">
        <v>2312</v>
      </c>
      <c r="J190" s="63">
        <v>2219</v>
      </c>
      <c r="K190" s="63">
        <v>2308</v>
      </c>
      <c r="L190" s="63">
        <v>2309</v>
      </c>
      <c r="M190" s="63">
        <v>2380</v>
      </c>
      <c r="N190" s="63">
        <v>2378</v>
      </c>
      <c r="O190" s="63">
        <v>2458</v>
      </c>
      <c r="Q190" s="451" t="s">
        <v>2145</v>
      </c>
    </row>
    <row r="191" spans="1:17">
      <c r="A191" s="451" t="s">
        <v>5416</v>
      </c>
      <c r="B191" s="451" t="s">
        <v>9138</v>
      </c>
      <c r="C191" s="55" t="s">
        <v>9139</v>
      </c>
      <c r="D191" s="453">
        <v>0</v>
      </c>
      <c r="E191" s="453">
        <v>0</v>
      </c>
      <c r="F191" s="453">
        <v>2093</v>
      </c>
      <c r="G191" s="63">
        <v>2088</v>
      </c>
      <c r="H191" s="63">
        <v>1863</v>
      </c>
      <c r="I191" s="63">
        <v>1920</v>
      </c>
      <c r="J191" s="63">
        <v>1777</v>
      </c>
      <c r="K191" s="63">
        <v>1888</v>
      </c>
      <c r="L191" s="63">
        <v>1847</v>
      </c>
      <c r="M191" s="63">
        <v>1889</v>
      </c>
      <c r="N191" s="63">
        <v>1907</v>
      </c>
      <c r="O191" s="63">
        <v>1931</v>
      </c>
      <c r="Q191" s="451" t="s">
        <v>2145</v>
      </c>
    </row>
    <row r="192" spans="1:17">
      <c r="A192" s="451" t="s">
        <v>5418</v>
      </c>
      <c r="B192" s="451" t="s">
        <v>6636</v>
      </c>
      <c r="C192" s="55" t="s">
        <v>9140</v>
      </c>
      <c r="D192" s="453">
        <v>0</v>
      </c>
      <c r="E192" s="453">
        <v>0</v>
      </c>
      <c r="F192" s="453">
        <v>2240</v>
      </c>
      <c r="G192" s="63">
        <v>2247</v>
      </c>
      <c r="H192" s="63">
        <v>2102</v>
      </c>
      <c r="I192" s="63">
        <v>2165</v>
      </c>
      <c r="J192" s="63">
        <v>2117</v>
      </c>
      <c r="K192" s="63">
        <v>2148</v>
      </c>
      <c r="L192" s="63">
        <v>2137</v>
      </c>
      <c r="M192" s="63">
        <v>2126</v>
      </c>
      <c r="N192" s="63">
        <v>2114</v>
      </c>
      <c r="O192" s="63">
        <v>2125</v>
      </c>
      <c r="Q192" s="451" t="s">
        <v>2145</v>
      </c>
    </row>
    <row r="193" spans="1:17">
      <c r="A193" s="451" t="s">
        <v>5420</v>
      </c>
      <c r="B193" s="451" t="s">
        <v>6637</v>
      </c>
      <c r="C193" s="55" t="s">
        <v>9141</v>
      </c>
      <c r="D193" s="453">
        <v>0</v>
      </c>
      <c r="E193" s="453">
        <v>0</v>
      </c>
      <c r="F193" s="453">
        <v>2368</v>
      </c>
      <c r="G193" s="63">
        <v>2381</v>
      </c>
      <c r="H193" s="63">
        <v>2228</v>
      </c>
      <c r="I193" s="63">
        <v>2309</v>
      </c>
      <c r="J193" s="63">
        <v>2286</v>
      </c>
      <c r="K193" s="63">
        <v>2308</v>
      </c>
      <c r="L193" s="63">
        <v>2326</v>
      </c>
      <c r="M193" s="63">
        <v>2331</v>
      </c>
      <c r="N193" s="63">
        <v>2359</v>
      </c>
      <c r="O193" s="63">
        <v>2385</v>
      </c>
      <c r="Q193" s="451" t="s">
        <v>2145</v>
      </c>
    </row>
    <row r="194" spans="1:17">
      <c r="A194" s="451" t="s">
        <v>5422</v>
      </c>
      <c r="B194" s="451" t="s">
        <v>9142</v>
      </c>
      <c r="C194" s="55" t="s">
        <v>9143</v>
      </c>
      <c r="D194" s="453">
        <v>0</v>
      </c>
      <c r="E194" s="453">
        <v>0</v>
      </c>
      <c r="F194" s="453">
        <v>2443</v>
      </c>
      <c r="G194" s="63">
        <v>2383</v>
      </c>
      <c r="H194" s="63">
        <v>2381</v>
      </c>
      <c r="I194" s="63">
        <v>2399</v>
      </c>
      <c r="J194" s="63">
        <v>2344</v>
      </c>
      <c r="K194" s="63">
        <v>2411</v>
      </c>
      <c r="L194" s="63">
        <v>2449</v>
      </c>
      <c r="M194" s="63">
        <v>2442</v>
      </c>
      <c r="N194" s="63">
        <v>2430</v>
      </c>
      <c r="O194" s="63">
        <v>2458</v>
      </c>
      <c r="Q194" s="451" t="s">
        <v>2145</v>
      </c>
    </row>
    <row r="195" spans="1:17">
      <c r="A195" s="451" t="s">
        <v>5424</v>
      </c>
      <c r="B195" s="451" t="s">
        <v>9144</v>
      </c>
      <c r="C195" s="55" t="s">
        <v>9145</v>
      </c>
      <c r="D195" s="453">
        <v>0</v>
      </c>
      <c r="E195" s="453">
        <v>0</v>
      </c>
      <c r="F195" s="453">
        <v>2147</v>
      </c>
      <c r="G195" s="63">
        <v>2158</v>
      </c>
      <c r="H195" s="63">
        <v>2087</v>
      </c>
      <c r="I195" s="63">
        <v>2088</v>
      </c>
      <c r="J195" s="63">
        <v>2022</v>
      </c>
      <c r="K195" s="63">
        <v>2056</v>
      </c>
      <c r="L195" s="63">
        <v>2041</v>
      </c>
      <c r="M195" s="63">
        <v>2054</v>
      </c>
      <c r="N195" s="63">
        <v>2043</v>
      </c>
      <c r="O195" s="63">
        <v>2064</v>
      </c>
      <c r="Q195" s="451" t="s">
        <v>2145</v>
      </c>
    </row>
    <row r="196" spans="1:17">
      <c r="A196" s="451" t="s">
        <v>5426</v>
      </c>
      <c r="B196" s="451" t="s">
        <v>9146</v>
      </c>
      <c r="C196" s="55" t="s">
        <v>9147</v>
      </c>
      <c r="D196" s="453">
        <v>0</v>
      </c>
      <c r="E196" s="453">
        <v>0</v>
      </c>
      <c r="F196" s="453">
        <v>2188</v>
      </c>
      <c r="G196" s="63">
        <v>2213</v>
      </c>
      <c r="H196" s="63">
        <v>2058</v>
      </c>
      <c r="I196" s="63">
        <v>2125</v>
      </c>
      <c r="J196" s="63">
        <v>2015</v>
      </c>
      <c r="K196" s="63">
        <v>2093</v>
      </c>
      <c r="L196" s="63">
        <v>2050</v>
      </c>
      <c r="M196" s="63">
        <v>2062</v>
      </c>
      <c r="N196" s="63">
        <v>2074</v>
      </c>
      <c r="O196" s="63">
        <v>2148</v>
      </c>
      <c r="Q196" s="451" t="s">
        <v>2145</v>
      </c>
    </row>
    <row r="197" spans="1:17">
      <c r="A197" s="451" t="s">
        <v>5428</v>
      </c>
      <c r="B197" s="451" t="s">
        <v>6692</v>
      </c>
      <c r="C197" s="55" t="s">
        <v>9148</v>
      </c>
      <c r="D197" s="453">
        <v>0</v>
      </c>
      <c r="E197" s="453">
        <v>0</v>
      </c>
      <c r="F197" s="453">
        <v>2239</v>
      </c>
      <c r="G197" s="63">
        <v>2222</v>
      </c>
      <c r="H197" s="63">
        <v>2015</v>
      </c>
      <c r="I197" s="63">
        <v>2070</v>
      </c>
      <c r="J197" s="63">
        <v>2041</v>
      </c>
      <c r="K197" s="63">
        <v>2050</v>
      </c>
      <c r="L197" s="63">
        <v>2034</v>
      </c>
      <c r="M197" s="63">
        <v>2040</v>
      </c>
      <c r="N197" s="63">
        <v>2038</v>
      </c>
      <c r="O197" s="63">
        <v>2058</v>
      </c>
      <c r="Q197" s="451" t="s">
        <v>2145</v>
      </c>
    </row>
    <row r="198" spans="1:17">
      <c r="A198" s="451" t="s">
        <v>5429</v>
      </c>
      <c r="B198" s="451" t="s">
        <v>6638</v>
      </c>
      <c r="C198" s="55" t="s">
        <v>9149</v>
      </c>
      <c r="D198" s="453">
        <v>0</v>
      </c>
      <c r="E198" s="453">
        <v>0</v>
      </c>
      <c r="F198" s="453">
        <v>2301</v>
      </c>
      <c r="G198" s="63">
        <v>2255</v>
      </c>
      <c r="H198" s="63">
        <v>1967</v>
      </c>
      <c r="I198" s="63">
        <v>2086</v>
      </c>
      <c r="J198" s="63">
        <v>1951</v>
      </c>
      <c r="K198" s="63">
        <v>1975</v>
      </c>
      <c r="L198" s="63">
        <v>1934</v>
      </c>
      <c r="M198" s="63">
        <v>1935</v>
      </c>
      <c r="N198" s="63">
        <v>1874</v>
      </c>
      <c r="O198" s="63">
        <v>1938</v>
      </c>
      <c r="Q198" s="451" t="s">
        <v>2145</v>
      </c>
    </row>
    <row r="199" spans="1:17">
      <c r="A199" s="451" t="s">
        <v>5431</v>
      </c>
      <c r="B199" s="451" t="s">
        <v>6639</v>
      </c>
      <c r="C199" s="55" t="s">
        <v>9150</v>
      </c>
      <c r="D199" s="453">
        <v>0</v>
      </c>
      <c r="E199" s="453">
        <v>0</v>
      </c>
      <c r="F199" s="453">
        <v>2165</v>
      </c>
      <c r="G199" s="63">
        <v>2160</v>
      </c>
      <c r="H199" s="63">
        <v>2077</v>
      </c>
      <c r="I199" s="63">
        <v>2118</v>
      </c>
      <c r="J199" s="63">
        <v>2073</v>
      </c>
      <c r="K199" s="63">
        <v>2157</v>
      </c>
      <c r="L199" s="63">
        <v>2174</v>
      </c>
      <c r="M199" s="63">
        <v>2186</v>
      </c>
      <c r="N199" s="63">
        <v>2162</v>
      </c>
      <c r="O199" s="63">
        <v>2169</v>
      </c>
      <c r="Q199" s="451" t="s">
        <v>2145</v>
      </c>
    </row>
    <row r="200" spans="1:17">
      <c r="A200" s="451" t="s">
        <v>5433</v>
      </c>
      <c r="B200" s="451" t="s">
        <v>9151</v>
      </c>
      <c r="C200" s="55" t="s">
        <v>9152</v>
      </c>
      <c r="D200" s="453">
        <v>0</v>
      </c>
      <c r="E200" s="453">
        <v>0</v>
      </c>
      <c r="F200" s="453">
        <v>2221</v>
      </c>
      <c r="G200" s="63">
        <v>2208</v>
      </c>
      <c r="H200" s="63">
        <v>2175</v>
      </c>
      <c r="I200" s="63">
        <v>2200</v>
      </c>
      <c r="J200" s="63">
        <v>2113</v>
      </c>
      <c r="K200" s="63">
        <v>2170</v>
      </c>
      <c r="L200" s="63">
        <v>2149</v>
      </c>
      <c r="M200" s="63">
        <v>2137</v>
      </c>
      <c r="N200" s="63">
        <v>2131</v>
      </c>
      <c r="O200" s="63">
        <v>2151</v>
      </c>
      <c r="Q200" s="451" t="s">
        <v>2145</v>
      </c>
    </row>
    <row r="201" spans="1:17">
      <c r="A201" s="451" t="s">
        <v>5435</v>
      </c>
      <c r="B201" s="451" t="s">
        <v>5920</v>
      </c>
      <c r="C201" s="55" t="s">
        <v>9153</v>
      </c>
      <c r="D201" s="453">
        <v>0</v>
      </c>
      <c r="E201" s="453">
        <v>0</v>
      </c>
      <c r="F201" s="453">
        <v>2424</v>
      </c>
      <c r="G201" s="63">
        <v>2409</v>
      </c>
      <c r="H201" s="63">
        <v>2287</v>
      </c>
      <c r="I201" s="63">
        <v>2323</v>
      </c>
      <c r="J201" s="63">
        <v>2245</v>
      </c>
      <c r="K201" s="63">
        <v>2257</v>
      </c>
      <c r="L201" s="63">
        <v>2248</v>
      </c>
      <c r="M201" s="63">
        <v>2219</v>
      </c>
      <c r="N201" s="63">
        <v>2236</v>
      </c>
      <c r="O201" s="63">
        <v>2249</v>
      </c>
      <c r="Q201" s="451" t="s">
        <v>2145</v>
      </c>
    </row>
    <row r="202" spans="1:17">
      <c r="A202" s="451" t="s">
        <v>5436</v>
      </c>
      <c r="B202" s="451" t="s">
        <v>9154</v>
      </c>
      <c r="C202" s="55" t="s">
        <v>9155</v>
      </c>
      <c r="D202" s="453">
        <v>0</v>
      </c>
      <c r="E202" s="453">
        <v>0</v>
      </c>
      <c r="F202" s="453">
        <v>2411</v>
      </c>
      <c r="G202" s="63">
        <v>2429</v>
      </c>
      <c r="H202" s="63">
        <v>2287</v>
      </c>
      <c r="I202" s="63">
        <v>2380</v>
      </c>
      <c r="J202" s="63">
        <v>2258</v>
      </c>
      <c r="K202" s="63">
        <v>2363</v>
      </c>
      <c r="L202" s="63">
        <v>2352</v>
      </c>
      <c r="M202" s="63">
        <v>2392</v>
      </c>
      <c r="N202" s="63">
        <v>2340</v>
      </c>
      <c r="O202" s="63">
        <v>2358</v>
      </c>
      <c r="Q202" s="451" t="s">
        <v>2145</v>
      </c>
    </row>
    <row r="203" spans="1:17">
      <c r="A203" s="451" t="s">
        <v>5437</v>
      </c>
      <c r="B203" s="451" t="s">
        <v>9156</v>
      </c>
      <c r="C203" s="55" t="s">
        <v>9157</v>
      </c>
      <c r="D203" s="453">
        <v>0</v>
      </c>
      <c r="E203" s="453">
        <v>0</v>
      </c>
      <c r="F203" s="453">
        <v>2191</v>
      </c>
      <c r="G203" s="63">
        <v>2238</v>
      </c>
      <c r="H203" s="63">
        <v>2275</v>
      </c>
      <c r="I203" s="63">
        <v>2405</v>
      </c>
      <c r="J203" s="63">
        <v>2452</v>
      </c>
      <c r="K203" s="63">
        <v>2694</v>
      </c>
      <c r="L203" s="63">
        <v>2659</v>
      </c>
      <c r="M203" s="63">
        <v>2642</v>
      </c>
      <c r="N203" s="63">
        <v>2665</v>
      </c>
      <c r="O203" s="63">
        <v>2693</v>
      </c>
      <c r="Q203" s="451" t="s">
        <v>2145</v>
      </c>
    </row>
    <row r="204" spans="1:17">
      <c r="A204" s="461">
        <v>19</v>
      </c>
      <c r="B204" s="451" t="s">
        <v>6640</v>
      </c>
      <c r="C204" s="55" t="s">
        <v>9158</v>
      </c>
      <c r="D204" s="453">
        <v>0</v>
      </c>
      <c r="E204" s="453">
        <v>0</v>
      </c>
      <c r="F204" s="453">
        <v>2250</v>
      </c>
      <c r="G204" s="63">
        <v>2233</v>
      </c>
      <c r="H204" s="63">
        <v>2161</v>
      </c>
      <c r="I204" s="63">
        <v>2170</v>
      </c>
      <c r="J204" s="63">
        <v>2076</v>
      </c>
      <c r="K204" s="63">
        <v>2139</v>
      </c>
      <c r="L204" s="63">
        <v>2120</v>
      </c>
      <c r="M204" s="63">
        <v>2109</v>
      </c>
      <c r="N204" s="63">
        <v>2113</v>
      </c>
      <c r="O204" s="63">
        <v>2130</v>
      </c>
      <c r="Q204" s="451" t="s">
        <v>2145</v>
      </c>
    </row>
    <row r="205" spans="1:17">
      <c r="A205" s="451" t="s">
        <v>5441</v>
      </c>
      <c r="B205" s="451" t="s">
        <v>9159</v>
      </c>
      <c r="C205" s="55" t="s">
        <v>9160</v>
      </c>
      <c r="D205" s="453">
        <v>0</v>
      </c>
      <c r="E205" s="453">
        <v>0</v>
      </c>
      <c r="F205" s="453">
        <v>2321</v>
      </c>
      <c r="G205" s="63">
        <v>2328</v>
      </c>
      <c r="H205" s="63">
        <v>2177</v>
      </c>
      <c r="I205" s="63">
        <v>2218</v>
      </c>
      <c r="J205" s="63">
        <v>2089</v>
      </c>
      <c r="K205" s="63">
        <v>2130</v>
      </c>
      <c r="L205" s="63">
        <v>2144</v>
      </c>
      <c r="M205" s="63">
        <v>2129</v>
      </c>
      <c r="N205" s="63">
        <v>2094</v>
      </c>
      <c r="O205" s="63">
        <v>2120</v>
      </c>
      <c r="Q205" s="451" t="s">
        <v>2145</v>
      </c>
    </row>
    <row r="206" spans="1:17">
      <c r="A206" s="451" t="s">
        <v>5886</v>
      </c>
      <c r="B206" s="451" t="s">
        <v>9161</v>
      </c>
      <c r="C206" s="55" t="s">
        <v>9162</v>
      </c>
      <c r="D206" s="453">
        <v>0</v>
      </c>
      <c r="E206" s="453">
        <v>0</v>
      </c>
      <c r="F206" s="453">
        <v>2058</v>
      </c>
      <c r="G206" s="63">
        <v>2010</v>
      </c>
      <c r="H206" s="63">
        <v>1756</v>
      </c>
      <c r="I206" s="63">
        <v>1812</v>
      </c>
      <c r="J206" s="63">
        <v>1681</v>
      </c>
      <c r="K206" s="63">
        <v>1717</v>
      </c>
      <c r="L206" s="63">
        <v>1639</v>
      </c>
      <c r="M206" s="63">
        <v>1649</v>
      </c>
      <c r="N206" s="63">
        <v>1635</v>
      </c>
      <c r="O206" s="63">
        <v>1676</v>
      </c>
      <c r="Q206" s="451" t="s">
        <v>2145</v>
      </c>
    </row>
    <row r="207" spans="1:17">
      <c r="A207" s="451" t="s">
        <v>5888</v>
      </c>
      <c r="B207" s="451" t="s">
        <v>9163</v>
      </c>
      <c r="C207" s="55" t="s">
        <v>9164</v>
      </c>
      <c r="D207" s="453">
        <v>0</v>
      </c>
      <c r="E207" s="453">
        <v>0</v>
      </c>
      <c r="F207" s="453">
        <v>2520</v>
      </c>
      <c r="G207" s="63">
        <v>2477</v>
      </c>
      <c r="H207" s="63">
        <v>2337</v>
      </c>
      <c r="I207" s="63">
        <v>2455</v>
      </c>
      <c r="J207" s="63">
        <v>2369</v>
      </c>
      <c r="K207" s="63">
        <v>2462</v>
      </c>
      <c r="L207" s="63">
        <v>2488</v>
      </c>
      <c r="M207" s="63">
        <v>2464</v>
      </c>
      <c r="N207" s="63">
        <v>2456</v>
      </c>
      <c r="O207" s="63">
        <v>2469</v>
      </c>
      <c r="Q207" s="451" t="s">
        <v>2145</v>
      </c>
    </row>
    <row r="208" spans="1:17">
      <c r="A208" s="451" t="s">
        <v>5889</v>
      </c>
      <c r="B208" s="451" t="s">
        <v>6641</v>
      </c>
      <c r="C208" s="55" t="s">
        <v>9165</v>
      </c>
      <c r="D208" s="453">
        <v>0</v>
      </c>
      <c r="E208" s="453">
        <v>0</v>
      </c>
      <c r="F208" s="453">
        <v>2066</v>
      </c>
      <c r="G208" s="63">
        <v>2043</v>
      </c>
      <c r="H208" s="63">
        <v>1951</v>
      </c>
      <c r="I208" s="63">
        <v>1948</v>
      </c>
      <c r="J208" s="63">
        <v>1821</v>
      </c>
      <c r="K208" s="63">
        <v>1906</v>
      </c>
      <c r="L208" s="63">
        <v>1871</v>
      </c>
      <c r="M208" s="63">
        <v>1842</v>
      </c>
      <c r="N208" s="63">
        <v>1828</v>
      </c>
      <c r="O208" s="63">
        <v>1852</v>
      </c>
      <c r="Q208" s="451" t="s">
        <v>2145</v>
      </c>
    </row>
    <row r="209" spans="1:17">
      <c r="A209" s="451" t="s">
        <v>4431</v>
      </c>
      <c r="B209" s="451" t="s">
        <v>9166</v>
      </c>
      <c r="C209" s="55" t="s">
        <v>9167</v>
      </c>
      <c r="D209" s="453">
        <v>0</v>
      </c>
      <c r="E209" s="453">
        <v>0</v>
      </c>
      <c r="F209" s="453">
        <v>1923</v>
      </c>
      <c r="G209" s="63">
        <v>1924</v>
      </c>
      <c r="H209" s="63">
        <v>1842</v>
      </c>
      <c r="I209" s="63">
        <v>1872</v>
      </c>
      <c r="J209" s="63">
        <v>1836</v>
      </c>
      <c r="K209" s="63">
        <v>1889</v>
      </c>
      <c r="L209" s="63">
        <v>1911</v>
      </c>
      <c r="M209" s="63">
        <v>1917</v>
      </c>
      <c r="N209" s="63">
        <v>1910</v>
      </c>
      <c r="O209" s="63">
        <v>1970</v>
      </c>
      <c r="Q209" s="451" t="s">
        <v>2145</v>
      </c>
    </row>
    <row r="210" spans="1:17">
      <c r="A210" s="451" t="s">
        <v>4432</v>
      </c>
      <c r="B210" s="451" t="s">
        <v>9168</v>
      </c>
      <c r="C210" s="55" t="s">
        <v>9169</v>
      </c>
      <c r="D210" s="453">
        <v>0</v>
      </c>
      <c r="E210" s="453">
        <v>0</v>
      </c>
      <c r="F210" s="453">
        <v>2489</v>
      </c>
      <c r="G210" s="63">
        <v>2496</v>
      </c>
      <c r="H210" s="63">
        <v>2309</v>
      </c>
      <c r="I210" s="63">
        <v>2370</v>
      </c>
      <c r="J210" s="63">
        <v>2294</v>
      </c>
      <c r="K210" s="63">
        <v>2373</v>
      </c>
      <c r="L210" s="63">
        <v>2377</v>
      </c>
      <c r="M210" s="63">
        <v>2446</v>
      </c>
      <c r="N210" s="63">
        <v>2573</v>
      </c>
      <c r="O210" s="63">
        <v>2609</v>
      </c>
      <c r="Q210" s="451" t="s">
        <v>2145</v>
      </c>
    </row>
    <row r="211" spans="1:17">
      <c r="A211" s="451" t="s">
        <v>4434</v>
      </c>
      <c r="B211" s="451" t="s">
        <v>9170</v>
      </c>
      <c r="C211" s="55" t="s">
        <v>9171</v>
      </c>
      <c r="D211" s="453">
        <v>0</v>
      </c>
      <c r="E211" s="453">
        <v>0</v>
      </c>
      <c r="F211" s="453">
        <v>2408</v>
      </c>
      <c r="G211" s="63">
        <v>2398</v>
      </c>
      <c r="H211" s="63">
        <v>2255</v>
      </c>
      <c r="I211" s="63">
        <v>2281</v>
      </c>
      <c r="J211" s="63">
        <v>2219</v>
      </c>
      <c r="K211" s="63">
        <v>2268</v>
      </c>
      <c r="L211" s="63">
        <v>2239</v>
      </c>
      <c r="M211" s="63">
        <v>2239</v>
      </c>
      <c r="N211" s="63">
        <v>2228</v>
      </c>
      <c r="O211" s="63">
        <v>2259</v>
      </c>
      <c r="Q211" s="451" t="s">
        <v>2145</v>
      </c>
    </row>
    <row r="212" spans="1:17">
      <c r="A212" s="451" t="s">
        <v>4533</v>
      </c>
      <c r="B212" s="451" t="s">
        <v>9172</v>
      </c>
      <c r="C212" s="55" t="s">
        <v>9173</v>
      </c>
      <c r="D212" s="453">
        <v>0</v>
      </c>
      <c r="E212" s="453">
        <v>0</v>
      </c>
      <c r="F212" s="453">
        <v>2234</v>
      </c>
      <c r="G212" s="63">
        <v>2186</v>
      </c>
      <c r="H212" s="63">
        <v>2021</v>
      </c>
      <c r="I212" s="63">
        <v>2085</v>
      </c>
      <c r="J212" s="63">
        <v>2010</v>
      </c>
      <c r="K212" s="63">
        <v>2066</v>
      </c>
      <c r="L212" s="63">
        <v>2090</v>
      </c>
      <c r="M212" s="63">
        <v>2084</v>
      </c>
      <c r="N212" s="63">
        <v>2074</v>
      </c>
      <c r="O212" s="63">
        <v>2091</v>
      </c>
      <c r="Q212" s="451" t="s">
        <v>2145</v>
      </c>
    </row>
    <row r="213" spans="1:17">
      <c r="A213" s="451" t="s">
        <v>4535</v>
      </c>
      <c r="B213" s="451" t="s">
        <v>6642</v>
      </c>
      <c r="C213" s="55" t="s">
        <v>9174</v>
      </c>
      <c r="D213" s="453">
        <v>0</v>
      </c>
      <c r="E213" s="453">
        <v>0</v>
      </c>
      <c r="F213" s="453">
        <v>1549</v>
      </c>
      <c r="G213" s="63">
        <v>1551</v>
      </c>
      <c r="H213" s="63">
        <v>1502</v>
      </c>
      <c r="I213" s="63">
        <v>1483</v>
      </c>
      <c r="J213" s="63">
        <v>1302</v>
      </c>
      <c r="K213" s="63">
        <v>1376</v>
      </c>
      <c r="L213" s="63">
        <v>1400</v>
      </c>
      <c r="M213" s="63">
        <v>1377</v>
      </c>
      <c r="N213" s="63">
        <v>1416</v>
      </c>
      <c r="O213" s="63">
        <v>1441</v>
      </c>
      <c r="Q213" s="451" t="s">
        <v>2145</v>
      </c>
    </row>
    <row r="214" spans="1:17">
      <c r="A214" s="238" t="s">
        <v>4537</v>
      </c>
      <c r="B214" s="451" t="s">
        <v>9175</v>
      </c>
      <c r="C214" s="55" t="s">
        <v>9176</v>
      </c>
      <c r="D214" s="453">
        <v>0</v>
      </c>
      <c r="E214" s="453">
        <v>0</v>
      </c>
      <c r="F214" s="453">
        <v>2122</v>
      </c>
      <c r="G214" s="63">
        <v>2156</v>
      </c>
      <c r="H214" s="63">
        <v>2053</v>
      </c>
      <c r="I214" s="63">
        <v>2034</v>
      </c>
      <c r="J214" s="63">
        <v>1932</v>
      </c>
      <c r="K214" s="63">
        <v>2030</v>
      </c>
      <c r="L214" s="63">
        <v>1989</v>
      </c>
      <c r="M214" s="63">
        <v>1982</v>
      </c>
      <c r="N214" s="63">
        <v>1961</v>
      </c>
      <c r="O214" s="63">
        <v>1964</v>
      </c>
      <c r="Q214" s="451" t="s">
        <v>2145</v>
      </c>
    </row>
    <row r="215" spans="1:17">
      <c r="A215" s="238" t="s">
        <v>4539</v>
      </c>
      <c r="B215" s="451" t="s">
        <v>9177</v>
      </c>
      <c r="C215" s="55" t="s">
        <v>9178</v>
      </c>
      <c r="D215" s="453">
        <v>0</v>
      </c>
      <c r="E215" s="453">
        <v>0</v>
      </c>
      <c r="F215" s="453">
        <v>2161</v>
      </c>
      <c r="G215" s="63">
        <v>2189</v>
      </c>
      <c r="H215" s="63">
        <v>1978</v>
      </c>
      <c r="I215" s="63">
        <v>2064</v>
      </c>
      <c r="J215" s="63">
        <v>1989</v>
      </c>
      <c r="K215" s="63">
        <v>1959</v>
      </c>
      <c r="L215" s="63">
        <v>1977</v>
      </c>
      <c r="M215" s="63">
        <v>1947</v>
      </c>
      <c r="N215" s="63">
        <v>1942</v>
      </c>
      <c r="O215" s="63">
        <v>1973</v>
      </c>
      <c r="Q215" s="451" t="s">
        <v>2145</v>
      </c>
    </row>
    <row r="216" spans="1:17">
      <c r="A216" s="238" t="s">
        <v>6158</v>
      </c>
      <c r="B216" s="451" t="s">
        <v>9179</v>
      </c>
      <c r="C216" s="55" t="s">
        <v>9180</v>
      </c>
      <c r="D216" s="453">
        <v>0</v>
      </c>
      <c r="E216" s="453">
        <v>0</v>
      </c>
      <c r="F216" s="453">
        <v>2104</v>
      </c>
      <c r="G216" s="63">
        <v>2130</v>
      </c>
      <c r="H216" s="63">
        <v>2044</v>
      </c>
      <c r="I216" s="63">
        <v>2044</v>
      </c>
      <c r="J216" s="63">
        <v>1939</v>
      </c>
      <c r="K216" s="63">
        <v>1969</v>
      </c>
      <c r="L216" s="63">
        <v>1955</v>
      </c>
      <c r="M216" s="63">
        <v>1927</v>
      </c>
      <c r="N216" s="63">
        <v>1925</v>
      </c>
      <c r="O216" s="63">
        <v>1946</v>
      </c>
      <c r="Q216" s="451" t="s">
        <v>2145</v>
      </c>
    </row>
    <row r="217" spans="1:17">
      <c r="A217" s="238" t="s">
        <v>6159</v>
      </c>
      <c r="B217" s="451" t="s">
        <v>75</v>
      </c>
      <c r="C217" s="55" t="s">
        <v>9181</v>
      </c>
      <c r="D217" s="453">
        <v>0</v>
      </c>
      <c r="E217" s="453">
        <v>0</v>
      </c>
      <c r="F217" s="453">
        <v>1778</v>
      </c>
      <c r="G217" s="63">
        <v>1846</v>
      </c>
      <c r="H217" s="63">
        <v>1790</v>
      </c>
      <c r="I217" s="63">
        <v>1847</v>
      </c>
      <c r="J217" s="63">
        <v>1827</v>
      </c>
      <c r="K217" s="63">
        <v>1939</v>
      </c>
      <c r="L217" s="63">
        <v>1972</v>
      </c>
      <c r="M217" s="63">
        <v>1969</v>
      </c>
      <c r="N217" s="63">
        <v>1943</v>
      </c>
      <c r="O217" s="63">
        <v>1980</v>
      </c>
      <c r="Q217" s="451" t="s">
        <v>2145</v>
      </c>
    </row>
    <row r="218" spans="1:17">
      <c r="A218" s="238" t="s">
        <v>6160</v>
      </c>
      <c r="B218" s="451" t="s">
        <v>9182</v>
      </c>
      <c r="C218" s="55" t="s">
        <v>9183</v>
      </c>
      <c r="D218" s="453">
        <v>0</v>
      </c>
      <c r="E218" s="453">
        <v>0</v>
      </c>
      <c r="F218" s="453">
        <v>2403</v>
      </c>
      <c r="G218" s="63">
        <v>2446</v>
      </c>
      <c r="H218" s="63">
        <v>2453</v>
      </c>
      <c r="I218" s="63">
        <v>2511</v>
      </c>
      <c r="J218" s="63">
        <v>2470</v>
      </c>
      <c r="K218" s="63">
        <v>2618</v>
      </c>
      <c r="L218" s="63">
        <v>2691</v>
      </c>
      <c r="M218" s="63">
        <v>2731</v>
      </c>
      <c r="N218" s="63">
        <v>2712</v>
      </c>
      <c r="O218" s="63">
        <v>2754</v>
      </c>
      <c r="Q218" s="451" t="s">
        <v>2145</v>
      </c>
    </row>
    <row r="219" spans="1:17">
      <c r="A219" s="238" t="s">
        <v>6162</v>
      </c>
      <c r="B219" s="451" t="s">
        <v>5443</v>
      </c>
      <c r="C219" s="55" t="s">
        <v>9184</v>
      </c>
      <c r="D219" s="453">
        <v>0</v>
      </c>
      <c r="E219" s="453">
        <v>0</v>
      </c>
      <c r="F219" s="453">
        <v>2399</v>
      </c>
      <c r="G219" s="63">
        <v>2400</v>
      </c>
      <c r="H219" s="63">
        <v>2262</v>
      </c>
      <c r="I219" s="63">
        <v>2327</v>
      </c>
      <c r="J219" s="63">
        <v>2187</v>
      </c>
      <c r="K219" s="63">
        <v>2245</v>
      </c>
      <c r="L219" s="63">
        <v>2278</v>
      </c>
      <c r="M219" s="63">
        <v>2292</v>
      </c>
      <c r="N219" s="63">
        <v>2255</v>
      </c>
      <c r="O219" s="63">
        <v>2292</v>
      </c>
      <c r="Q219" s="451" t="s">
        <v>2145</v>
      </c>
    </row>
    <row r="220" spans="1:17">
      <c r="A220" s="238" t="s">
        <v>2157</v>
      </c>
      <c r="B220" s="451" t="s">
        <v>3671</v>
      </c>
      <c r="C220" s="55" t="s">
        <v>9185</v>
      </c>
      <c r="D220" s="453">
        <v>0</v>
      </c>
      <c r="E220" s="453">
        <v>0</v>
      </c>
      <c r="F220" s="453">
        <v>1783</v>
      </c>
      <c r="G220" s="63">
        <v>1815</v>
      </c>
      <c r="H220" s="63">
        <v>1665</v>
      </c>
      <c r="I220" s="63">
        <v>1676</v>
      </c>
      <c r="J220" s="63">
        <v>1565</v>
      </c>
      <c r="K220" s="63">
        <v>1580</v>
      </c>
      <c r="L220" s="63">
        <v>1607</v>
      </c>
      <c r="M220" s="63">
        <v>1609</v>
      </c>
      <c r="N220" s="63">
        <v>1645</v>
      </c>
      <c r="O220" s="63">
        <v>1675</v>
      </c>
      <c r="Q220" s="451" t="s">
        <v>2145</v>
      </c>
    </row>
    <row r="221" spans="1:17">
      <c r="A221" s="238" t="s">
        <v>2158</v>
      </c>
      <c r="B221" s="451" t="s">
        <v>9186</v>
      </c>
      <c r="C221" s="55" t="s">
        <v>9187</v>
      </c>
      <c r="D221" s="453">
        <v>0</v>
      </c>
      <c r="E221" s="453">
        <v>0</v>
      </c>
      <c r="F221" s="453">
        <v>2567</v>
      </c>
      <c r="G221" s="63">
        <v>2571</v>
      </c>
      <c r="H221" s="63">
        <v>2552</v>
      </c>
      <c r="I221" s="63">
        <v>2523</v>
      </c>
      <c r="J221" s="63">
        <v>2397</v>
      </c>
      <c r="K221" s="63">
        <v>2501</v>
      </c>
      <c r="L221" s="63">
        <v>2447</v>
      </c>
      <c r="M221" s="63">
        <v>2390</v>
      </c>
      <c r="N221" s="63">
        <v>2401</v>
      </c>
      <c r="O221" s="63">
        <v>2436</v>
      </c>
      <c r="Q221" s="451" t="s">
        <v>2145</v>
      </c>
    </row>
    <row r="222" spans="1:17">
      <c r="D222" s="455"/>
      <c r="E222" s="455"/>
      <c r="F222" s="455"/>
      <c r="G222" s="455"/>
      <c r="H222" s="455"/>
      <c r="I222" s="455"/>
      <c r="J222" s="455"/>
      <c r="K222" s="455"/>
      <c r="L222" s="455"/>
      <c r="M222" s="455"/>
      <c r="N222" s="455"/>
      <c r="O222" s="455"/>
    </row>
    <row r="223" spans="1:17">
      <c r="A223" s="451" t="s">
        <v>2145</v>
      </c>
      <c r="D223" s="453">
        <f>SUM(D186:D221)</f>
        <v>80247</v>
      </c>
      <c r="E223" s="453">
        <f>SUM(E186:E221)</f>
        <v>79849</v>
      </c>
      <c r="F223" s="453">
        <f t="shared" ref="F223:K223" si="75">SUM(F186:F221)</f>
        <v>79748</v>
      </c>
      <c r="G223" s="453">
        <f t="shared" si="75"/>
        <v>79714</v>
      </c>
      <c r="H223" s="453">
        <f t="shared" si="75"/>
        <v>75412</v>
      </c>
      <c r="I223" s="453">
        <f t="shared" si="75"/>
        <v>77022</v>
      </c>
      <c r="J223" s="453">
        <f t="shared" si="75"/>
        <v>74066</v>
      </c>
      <c r="K223" s="453">
        <f t="shared" si="75"/>
        <v>76353</v>
      </c>
      <c r="L223" s="453">
        <f>SUM(L186:L221)</f>
        <v>76181</v>
      </c>
      <c r="M223" s="453">
        <f>SUM(M186:M221)</f>
        <v>76202</v>
      </c>
      <c r="N223" s="453">
        <f>SUM(N186:N221)</f>
        <v>76269</v>
      </c>
      <c r="O223" s="453">
        <f>SUM(O186:O221)</f>
        <v>77409</v>
      </c>
    </row>
    <row r="224" spans="1:17">
      <c r="A224" s="451"/>
      <c r="D224" s="453"/>
      <c r="E224" s="453"/>
      <c r="F224" s="453"/>
      <c r="G224" s="453"/>
      <c r="H224" s="453"/>
      <c r="I224" s="453"/>
      <c r="J224" s="453"/>
      <c r="K224" s="453"/>
      <c r="L224" s="453"/>
      <c r="M224" s="453"/>
      <c r="N224" s="453"/>
      <c r="O224" s="453"/>
    </row>
    <row r="225" spans="1:17">
      <c r="A225" s="451" t="s">
        <v>9188</v>
      </c>
      <c r="D225" s="453"/>
      <c r="E225" s="453"/>
      <c r="F225" s="453"/>
      <c r="G225" s="453"/>
      <c r="H225" s="453"/>
      <c r="I225" s="453"/>
      <c r="J225" s="453"/>
      <c r="K225" s="453"/>
      <c r="L225" s="453"/>
      <c r="M225" s="453"/>
      <c r="N225" s="453"/>
      <c r="O225" s="453"/>
    </row>
    <row r="226" spans="1:17">
      <c r="A226" s="451"/>
      <c r="B226" s="451"/>
      <c r="D226" s="459"/>
      <c r="E226" s="459"/>
      <c r="F226" s="459"/>
      <c r="G226" s="459"/>
      <c r="H226" s="459"/>
      <c r="I226" s="459"/>
      <c r="J226" s="459"/>
      <c r="K226" s="459"/>
      <c r="L226" s="459"/>
      <c r="M226" s="459"/>
      <c r="N226" s="459"/>
      <c r="O226" s="459"/>
    </row>
    <row r="227" spans="1:17">
      <c r="A227" s="451"/>
      <c r="B227" s="451"/>
      <c r="D227" s="459"/>
      <c r="E227" s="459"/>
      <c r="F227" s="459"/>
      <c r="G227" s="459"/>
      <c r="H227" s="459"/>
      <c r="I227" s="459"/>
      <c r="J227" s="459"/>
      <c r="K227" s="459"/>
      <c r="L227" s="459"/>
      <c r="M227" s="459"/>
      <c r="N227" s="459"/>
      <c r="O227" s="459"/>
    </row>
    <row r="228" spans="1:17">
      <c r="E228" s="51" t="s">
        <v>1526</v>
      </c>
      <c r="F228" s="51"/>
      <c r="G228" s="51"/>
      <c r="H228" s="51"/>
      <c r="I228" s="51"/>
      <c r="J228" s="51"/>
      <c r="K228" s="51"/>
      <c r="L228" s="51"/>
      <c r="M228" s="51"/>
      <c r="N228" s="51"/>
      <c r="O228" s="51"/>
      <c r="P228" s="11"/>
      <c r="Q228" s="11" t="s">
        <v>9479</v>
      </c>
    </row>
    <row r="229" spans="1:17">
      <c r="D229" s="133">
        <v>2010</v>
      </c>
      <c r="E229" s="133">
        <v>2011</v>
      </c>
      <c r="F229" s="133">
        <v>2012</v>
      </c>
      <c r="G229" s="133">
        <v>2013</v>
      </c>
      <c r="H229" s="133">
        <v>2014</v>
      </c>
      <c r="I229" s="133">
        <v>2015</v>
      </c>
      <c r="J229" s="133">
        <v>2016</v>
      </c>
      <c r="K229" s="133">
        <v>2017</v>
      </c>
      <c r="L229" s="133">
        <v>2018</v>
      </c>
      <c r="M229" s="133">
        <v>2019</v>
      </c>
      <c r="N229" s="133">
        <v>2020</v>
      </c>
      <c r="O229" s="950" t="s">
        <v>14823</v>
      </c>
      <c r="P229" s="11"/>
      <c r="Q229" s="13" t="s">
        <v>1527</v>
      </c>
    </row>
    <row r="230" spans="1:17">
      <c r="A230" s="451" t="s">
        <v>3647</v>
      </c>
      <c r="D230" s="453">
        <f t="shared" ref="D230:O230" si="76">SUM(D231:D241)+SUM(D243:D250)+SUM(D252:D254)+D256+D257</f>
        <v>84062</v>
      </c>
      <c r="E230" s="453">
        <f t="shared" si="76"/>
        <v>84788</v>
      </c>
      <c r="F230" s="453">
        <f t="shared" si="76"/>
        <v>85099</v>
      </c>
      <c r="G230" s="453">
        <f t="shared" si="76"/>
        <v>84985</v>
      </c>
      <c r="H230" s="453">
        <f t="shared" si="76"/>
        <v>85748</v>
      </c>
      <c r="I230" s="453">
        <f t="shared" si="76"/>
        <v>83432</v>
      </c>
      <c r="J230" s="453">
        <f t="shared" si="76"/>
        <v>82713</v>
      </c>
      <c r="K230" s="453">
        <f t="shared" si="76"/>
        <v>85751</v>
      </c>
      <c r="L230" s="453">
        <f t="shared" si="76"/>
        <v>87110</v>
      </c>
      <c r="M230" s="453">
        <f t="shared" si="76"/>
        <v>86963</v>
      </c>
      <c r="N230" s="453">
        <f t="shared" si="76"/>
        <v>89862</v>
      </c>
      <c r="O230" s="453">
        <f t="shared" si="76"/>
        <v>89026</v>
      </c>
    </row>
    <row r="231" spans="1:17">
      <c r="A231" s="451" t="s">
        <v>5387</v>
      </c>
      <c r="B231" s="451" t="s">
        <v>10291</v>
      </c>
      <c r="C231" s="919" t="s">
        <v>14764</v>
      </c>
      <c r="D231" s="453">
        <v>53078</v>
      </c>
      <c r="E231" s="453">
        <v>53541</v>
      </c>
      <c r="F231" s="453">
        <v>53720</v>
      </c>
      <c r="G231" s="453">
        <v>53802</v>
      </c>
      <c r="H231" s="63">
        <v>54396</v>
      </c>
      <c r="I231" s="63">
        <v>5152</v>
      </c>
      <c r="J231" s="63">
        <v>5015</v>
      </c>
      <c r="K231" s="63">
        <v>5149</v>
      </c>
      <c r="L231" s="63">
        <v>5221</v>
      </c>
      <c r="M231" s="63">
        <v>5166</v>
      </c>
      <c r="N231" s="63">
        <v>5268</v>
      </c>
      <c r="O231" s="63">
        <v>5223</v>
      </c>
      <c r="Q231" s="451" t="s">
        <v>2146</v>
      </c>
    </row>
    <row r="232" spans="1:17">
      <c r="A232" s="451" t="s">
        <v>5389</v>
      </c>
      <c r="B232" s="451" t="s">
        <v>10292</v>
      </c>
      <c r="C232" s="55" t="s">
        <v>10296</v>
      </c>
      <c r="D232" s="453">
        <v>0</v>
      </c>
      <c r="E232" s="453">
        <v>0</v>
      </c>
      <c r="F232" s="453">
        <v>0</v>
      </c>
      <c r="G232" s="453">
        <v>0</v>
      </c>
      <c r="H232" s="63">
        <v>0</v>
      </c>
      <c r="I232" s="63">
        <v>3755</v>
      </c>
      <c r="J232" s="63">
        <v>3663</v>
      </c>
      <c r="K232" s="63">
        <v>3721</v>
      </c>
      <c r="L232" s="63">
        <v>3779</v>
      </c>
      <c r="M232" s="63">
        <v>3749</v>
      </c>
      <c r="N232" s="63">
        <v>3885</v>
      </c>
      <c r="O232" s="63">
        <v>3854</v>
      </c>
      <c r="Q232" s="451" t="s">
        <v>2146</v>
      </c>
    </row>
    <row r="233" spans="1:17">
      <c r="A233" s="451" t="s">
        <v>5391</v>
      </c>
      <c r="B233" s="451" t="s">
        <v>3648</v>
      </c>
      <c r="C233" s="919" t="s">
        <v>14765</v>
      </c>
      <c r="D233" s="453">
        <v>0</v>
      </c>
      <c r="E233" s="453">
        <v>0</v>
      </c>
      <c r="F233" s="453">
        <v>0</v>
      </c>
      <c r="G233" s="453">
        <v>0</v>
      </c>
      <c r="H233" s="63">
        <v>0</v>
      </c>
      <c r="I233" s="63">
        <v>5656</v>
      </c>
      <c r="J233" s="63">
        <v>5714</v>
      </c>
      <c r="K233" s="63">
        <v>5902</v>
      </c>
      <c r="L233" s="63">
        <v>6042</v>
      </c>
      <c r="M233" s="63">
        <v>6049</v>
      </c>
      <c r="N233" s="63">
        <v>6279</v>
      </c>
      <c r="O233" s="63">
        <v>6211</v>
      </c>
      <c r="Q233" s="451" t="s">
        <v>2146</v>
      </c>
    </row>
    <row r="234" spans="1:17">
      <c r="A234" s="451" t="s">
        <v>5393</v>
      </c>
      <c r="B234" s="451" t="s">
        <v>10293</v>
      </c>
      <c r="C234" s="55" t="s">
        <v>10297</v>
      </c>
      <c r="D234" s="453">
        <v>30984</v>
      </c>
      <c r="E234" s="453">
        <v>31247</v>
      </c>
      <c r="F234" s="453">
        <v>31379</v>
      </c>
      <c r="G234" s="453">
        <v>31183</v>
      </c>
      <c r="H234" s="63">
        <v>31352</v>
      </c>
      <c r="I234" s="63">
        <v>2185</v>
      </c>
      <c r="J234" s="63">
        <v>2322</v>
      </c>
      <c r="K234" s="63">
        <v>2474</v>
      </c>
      <c r="L234" s="63">
        <v>2589</v>
      </c>
      <c r="M234" s="63">
        <v>2586</v>
      </c>
      <c r="N234" s="63">
        <v>2648</v>
      </c>
      <c r="O234" s="63">
        <v>2621</v>
      </c>
      <c r="Q234" s="451" t="s">
        <v>2150</v>
      </c>
    </row>
    <row r="235" spans="1:17">
      <c r="A235" s="451" t="s">
        <v>5394</v>
      </c>
      <c r="B235" s="451" t="s">
        <v>6340</v>
      </c>
      <c r="C235" s="55" t="s">
        <v>10298</v>
      </c>
      <c r="D235" s="453">
        <v>0</v>
      </c>
      <c r="E235" s="453">
        <v>0</v>
      </c>
      <c r="F235" s="453">
        <v>0</v>
      </c>
      <c r="G235" s="453">
        <v>0</v>
      </c>
      <c r="H235" s="63">
        <v>0</v>
      </c>
      <c r="I235" s="63">
        <v>2287</v>
      </c>
      <c r="J235" s="63">
        <v>2259</v>
      </c>
      <c r="K235" s="63">
        <v>2307</v>
      </c>
      <c r="L235" s="63">
        <v>2339</v>
      </c>
      <c r="M235" s="63">
        <v>2303</v>
      </c>
      <c r="N235" s="63">
        <v>2353</v>
      </c>
      <c r="O235" s="63">
        <v>2331</v>
      </c>
      <c r="Q235" s="451" t="s">
        <v>2150</v>
      </c>
    </row>
    <row r="236" spans="1:17">
      <c r="A236" s="451" t="s">
        <v>5416</v>
      </c>
      <c r="B236" s="451" t="s">
        <v>1974</v>
      </c>
      <c r="C236" s="55" t="s">
        <v>10299</v>
      </c>
      <c r="D236" s="453">
        <v>0</v>
      </c>
      <c r="E236" s="453">
        <v>0</v>
      </c>
      <c r="F236" s="453">
        <v>0</v>
      </c>
      <c r="G236" s="453">
        <v>0</v>
      </c>
      <c r="H236" s="63">
        <v>0</v>
      </c>
      <c r="I236" s="63">
        <v>3923</v>
      </c>
      <c r="J236" s="63">
        <v>3953</v>
      </c>
      <c r="K236" s="63">
        <v>4128</v>
      </c>
      <c r="L236" s="63">
        <v>4195</v>
      </c>
      <c r="M236" s="63">
        <v>4128</v>
      </c>
      <c r="N236" s="63">
        <v>4239</v>
      </c>
      <c r="O236" s="63">
        <v>4208</v>
      </c>
      <c r="Q236" s="451" t="s">
        <v>2146</v>
      </c>
    </row>
    <row r="237" spans="1:17">
      <c r="A237" s="451" t="s">
        <v>5418</v>
      </c>
      <c r="B237" s="451" t="s">
        <v>5904</v>
      </c>
      <c r="C237" s="919" t="s">
        <v>14766</v>
      </c>
      <c r="D237" s="453">
        <v>0</v>
      </c>
      <c r="E237" s="453">
        <v>0</v>
      </c>
      <c r="F237" s="453">
        <v>0</v>
      </c>
      <c r="G237" s="453">
        <v>0</v>
      </c>
      <c r="H237" s="63">
        <v>0</v>
      </c>
      <c r="I237" s="63">
        <v>2164</v>
      </c>
      <c r="J237" s="63">
        <v>2115</v>
      </c>
      <c r="K237" s="63">
        <v>2219</v>
      </c>
      <c r="L237" s="63">
        <v>2298</v>
      </c>
      <c r="M237" s="63">
        <v>2307</v>
      </c>
      <c r="N237" s="63">
        <v>2462</v>
      </c>
      <c r="O237" s="63">
        <v>2429</v>
      </c>
      <c r="Q237" s="451" t="s">
        <v>2146</v>
      </c>
    </row>
    <row r="238" spans="1:17">
      <c r="A238" s="451" t="s">
        <v>5420</v>
      </c>
      <c r="B238" s="451" t="s">
        <v>10294</v>
      </c>
      <c r="C238" s="55" t="s">
        <v>10300</v>
      </c>
      <c r="D238" s="453">
        <v>0</v>
      </c>
      <c r="E238" s="453">
        <v>0</v>
      </c>
      <c r="F238" s="453">
        <v>0</v>
      </c>
      <c r="G238" s="453">
        <v>0</v>
      </c>
      <c r="H238" s="63">
        <v>0</v>
      </c>
      <c r="I238" s="63">
        <v>4322</v>
      </c>
      <c r="J238" s="63">
        <v>4262</v>
      </c>
      <c r="K238" s="63">
        <v>4454</v>
      </c>
      <c r="L238" s="63">
        <v>4502</v>
      </c>
      <c r="M238" s="63">
        <v>4537</v>
      </c>
      <c r="N238" s="63">
        <v>4698</v>
      </c>
      <c r="O238" s="63">
        <v>4662</v>
      </c>
      <c r="Q238" s="451" t="s">
        <v>2146</v>
      </c>
    </row>
    <row r="239" spans="1:17">
      <c r="A239" s="451" t="s">
        <v>5422</v>
      </c>
      <c r="B239" s="451" t="s">
        <v>4167</v>
      </c>
      <c r="C239" s="55" t="s">
        <v>10301</v>
      </c>
      <c r="D239" s="453">
        <v>0</v>
      </c>
      <c r="E239" s="453">
        <v>0</v>
      </c>
      <c r="F239" s="453">
        <v>0</v>
      </c>
      <c r="G239" s="453">
        <v>0</v>
      </c>
      <c r="H239" s="63">
        <v>0</v>
      </c>
      <c r="I239" s="63">
        <v>6210</v>
      </c>
      <c r="J239" s="63">
        <v>6061</v>
      </c>
      <c r="K239" s="63">
        <v>6231</v>
      </c>
      <c r="L239" s="63">
        <v>6228</v>
      </c>
      <c r="M239" s="63">
        <v>6130</v>
      </c>
      <c r="N239" s="63">
        <v>6163</v>
      </c>
      <c r="O239" s="63">
        <v>6120</v>
      </c>
      <c r="Q239" s="451" t="s">
        <v>2146</v>
      </c>
    </row>
    <row r="240" spans="1:17">
      <c r="A240" s="451" t="s">
        <v>5424</v>
      </c>
      <c r="B240" s="451" t="s">
        <v>10295</v>
      </c>
      <c r="C240" s="55" t="s">
        <v>10302</v>
      </c>
      <c r="D240" s="453">
        <v>0</v>
      </c>
      <c r="E240" s="453">
        <v>0</v>
      </c>
      <c r="F240" s="453">
        <v>0</v>
      </c>
      <c r="G240" s="453">
        <v>0</v>
      </c>
      <c r="H240" s="63">
        <v>0</v>
      </c>
      <c r="I240" s="63">
        <v>1883</v>
      </c>
      <c r="J240" s="63">
        <v>1890</v>
      </c>
      <c r="K240" s="63">
        <v>1958</v>
      </c>
      <c r="L240" s="63">
        <v>1965</v>
      </c>
      <c r="M240" s="63">
        <v>1986</v>
      </c>
      <c r="N240" s="63">
        <v>2012</v>
      </c>
      <c r="O240" s="63">
        <v>1991</v>
      </c>
      <c r="Q240" s="451" t="s">
        <v>2146</v>
      </c>
    </row>
    <row r="241" spans="1:17" ht="15.75" thickBot="1">
      <c r="A241" s="451"/>
      <c r="B241" s="451"/>
      <c r="C241" s="55" t="s">
        <v>10302</v>
      </c>
      <c r="D241" s="456">
        <v>0</v>
      </c>
      <c r="E241" s="456">
        <v>0</v>
      </c>
      <c r="F241" s="456">
        <v>0</v>
      </c>
      <c r="G241" s="456">
        <v>0</v>
      </c>
      <c r="H241" s="185">
        <v>0</v>
      </c>
      <c r="I241" s="63">
        <v>434</v>
      </c>
      <c r="J241" s="63">
        <v>467</v>
      </c>
      <c r="K241" s="63">
        <v>483</v>
      </c>
      <c r="L241" s="63">
        <v>483</v>
      </c>
      <c r="M241" s="63">
        <v>496</v>
      </c>
      <c r="N241" s="63">
        <v>507</v>
      </c>
      <c r="O241" s="63">
        <v>497</v>
      </c>
      <c r="Q241" s="451" t="s">
        <v>2150</v>
      </c>
    </row>
    <row r="242" spans="1:17" ht="15.75" thickBot="1">
      <c r="A242" s="451"/>
      <c r="B242" s="451"/>
      <c r="C242" s="55" t="s">
        <v>10302</v>
      </c>
      <c r="D242" s="460">
        <f>D240+D241</f>
        <v>0</v>
      </c>
      <c r="E242" s="460">
        <f t="shared" ref="E242:L242" si="77">E240+E241</f>
        <v>0</v>
      </c>
      <c r="F242" s="460">
        <f t="shared" si="77"/>
        <v>0</v>
      </c>
      <c r="G242" s="460">
        <f t="shared" si="77"/>
        <v>0</v>
      </c>
      <c r="H242" s="460">
        <f t="shared" si="77"/>
        <v>0</v>
      </c>
      <c r="I242" s="460">
        <f t="shared" si="77"/>
        <v>2317</v>
      </c>
      <c r="J242" s="460">
        <f t="shared" si="77"/>
        <v>2357</v>
      </c>
      <c r="K242" s="460">
        <f t="shared" si="77"/>
        <v>2441</v>
      </c>
      <c r="L242" s="460">
        <f t="shared" si="77"/>
        <v>2448</v>
      </c>
      <c r="M242" s="460">
        <f>M240+M241</f>
        <v>2482</v>
      </c>
      <c r="N242" s="460">
        <f>N240+N241</f>
        <v>2519</v>
      </c>
      <c r="O242" s="460">
        <f>O240+O241</f>
        <v>2488</v>
      </c>
      <c r="Q242" s="451"/>
    </row>
    <row r="243" spans="1:17">
      <c r="A243" s="451" t="s">
        <v>5426</v>
      </c>
      <c r="B243" s="451" t="s">
        <v>10303</v>
      </c>
      <c r="C243" s="55" t="s">
        <v>10307</v>
      </c>
      <c r="D243" s="453">
        <v>0</v>
      </c>
      <c r="E243" s="453">
        <v>0</v>
      </c>
      <c r="F243" s="453">
        <v>0</v>
      </c>
      <c r="G243" s="453">
        <v>0</v>
      </c>
      <c r="H243" s="63">
        <v>0</v>
      </c>
      <c r="I243" s="63">
        <v>7647</v>
      </c>
      <c r="J243" s="63">
        <v>7426</v>
      </c>
      <c r="K243" s="63">
        <v>7722</v>
      </c>
      <c r="L243" s="63">
        <v>7864</v>
      </c>
      <c r="M243" s="63">
        <v>7947</v>
      </c>
      <c r="N243" s="63">
        <v>8294</v>
      </c>
      <c r="O243" s="63">
        <v>8209</v>
      </c>
      <c r="Q243" s="451" t="s">
        <v>2150</v>
      </c>
    </row>
    <row r="244" spans="1:17">
      <c r="A244" s="451" t="s">
        <v>5428</v>
      </c>
      <c r="B244" s="451" t="s">
        <v>10304</v>
      </c>
      <c r="C244" s="919" t="s">
        <v>14767</v>
      </c>
      <c r="D244" s="453">
        <v>0</v>
      </c>
      <c r="E244" s="453">
        <v>0</v>
      </c>
      <c r="F244" s="453">
        <v>0</v>
      </c>
      <c r="G244" s="453">
        <v>0</v>
      </c>
      <c r="H244" s="63">
        <v>0</v>
      </c>
      <c r="I244" s="63">
        <v>4630</v>
      </c>
      <c r="J244" s="63">
        <v>4631</v>
      </c>
      <c r="K244" s="63">
        <v>4843</v>
      </c>
      <c r="L244" s="63">
        <v>4885</v>
      </c>
      <c r="M244" s="63">
        <v>4850</v>
      </c>
      <c r="N244" s="63">
        <v>5087</v>
      </c>
      <c r="O244" s="63">
        <v>5037</v>
      </c>
      <c r="Q244" s="451" t="s">
        <v>2146</v>
      </c>
    </row>
    <row r="245" spans="1:17">
      <c r="A245" s="451" t="s">
        <v>5429</v>
      </c>
      <c r="B245" s="451" t="s">
        <v>10305</v>
      </c>
      <c r="C245" s="55" t="s">
        <v>10308</v>
      </c>
      <c r="D245" s="453">
        <v>0</v>
      </c>
      <c r="E245" s="453">
        <v>0</v>
      </c>
      <c r="F245" s="453">
        <v>0</v>
      </c>
      <c r="G245" s="453">
        <v>0</v>
      </c>
      <c r="H245" s="63">
        <v>0</v>
      </c>
      <c r="I245" s="63">
        <v>2042</v>
      </c>
      <c r="J245" s="63">
        <v>2133</v>
      </c>
      <c r="K245" s="63">
        <v>2269</v>
      </c>
      <c r="L245" s="63">
        <v>2341</v>
      </c>
      <c r="M245" s="63">
        <v>2399</v>
      </c>
      <c r="N245" s="63">
        <v>2602</v>
      </c>
      <c r="O245" s="63">
        <v>2577</v>
      </c>
      <c r="Q245" s="451" t="s">
        <v>2150</v>
      </c>
    </row>
    <row r="246" spans="1:17">
      <c r="A246" s="451" t="s">
        <v>5431</v>
      </c>
      <c r="B246" s="451" t="s">
        <v>4168</v>
      </c>
      <c r="C246" s="55" t="s">
        <v>10309</v>
      </c>
      <c r="D246" s="453">
        <v>0</v>
      </c>
      <c r="E246" s="453">
        <v>0</v>
      </c>
      <c r="F246" s="453">
        <v>0</v>
      </c>
      <c r="G246" s="453">
        <v>0</v>
      </c>
      <c r="H246" s="63">
        <v>0</v>
      </c>
      <c r="I246" s="63">
        <v>2222</v>
      </c>
      <c r="J246" s="63">
        <v>2218</v>
      </c>
      <c r="K246" s="63">
        <v>2263</v>
      </c>
      <c r="L246" s="63">
        <v>2266</v>
      </c>
      <c r="M246" s="63">
        <v>2260</v>
      </c>
      <c r="N246" s="63">
        <v>2292</v>
      </c>
      <c r="O246" s="63">
        <v>2269</v>
      </c>
      <c r="Q246" s="451" t="s">
        <v>2146</v>
      </c>
    </row>
    <row r="247" spans="1:17">
      <c r="A247" s="451" t="s">
        <v>5433</v>
      </c>
      <c r="B247" s="451" t="s">
        <v>5113</v>
      </c>
      <c r="C247" s="55" t="s">
        <v>10310</v>
      </c>
      <c r="D247" s="453">
        <v>0</v>
      </c>
      <c r="E247" s="453">
        <v>0</v>
      </c>
      <c r="F247" s="453">
        <v>0</v>
      </c>
      <c r="G247" s="453">
        <v>0</v>
      </c>
      <c r="H247" s="63">
        <v>0</v>
      </c>
      <c r="I247" s="63">
        <v>2329</v>
      </c>
      <c r="J247" s="63">
        <v>2285</v>
      </c>
      <c r="K247" s="63">
        <v>2357</v>
      </c>
      <c r="L247" s="63">
        <v>2391</v>
      </c>
      <c r="M247" s="63">
        <v>2381</v>
      </c>
      <c r="N247" s="63">
        <v>2437</v>
      </c>
      <c r="O247" s="63">
        <v>2413</v>
      </c>
      <c r="Q247" s="451" t="s">
        <v>2146</v>
      </c>
    </row>
    <row r="248" spans="1:17">
      <c r="A248" s="451" t="s">
        <v>5435</v>
      </c>
      <c r="B248" s="451" t="s">
        <v>5114</v>
      </c>
      <c r="C248" s="55" t="s">
        <v>10311</v>
      </c>
      <c r="D248" s="453">
        <v>0</v>
      </c>
      <c r="E248" s="453">
        <v>0</v>
      </c>
      <c r="F248" s="453">
        <v>0</v>
      </c>
      <c r="G248" s="453">
        <v>0</v>
      </c>
      <c r="H248" s="63">
        <v>0</v>
      </c>
      <c r="I248" s="63">
        <v>6511</v>
      </c>
      <c r="J248" s="63">
        <v>6303</v>
      </c>
      <c r="K248" s="63">
        <v>6540</v>
      </c>
      <c r="L248" s="63">
        <v>6687</v>
      </c>
      <c r="M248" s="63">
        <v>6801</v>
      </c>
      <c r="N248" s="63">
        <v>7062</v>
      </c>
      <c r="O248" s="63">
        <v>7005</v>
      </c>
      <c r="Q248" s="451" t="s">
        <v>2150</v>
      </c>
    </row>
    <row r="249" spans="1:17">
      <c r="A249" s="451" t="s">
        <v>5436</v>
      </c>
      <c r="B249" s="451" t="s">
        <v>10306</v>
      </c>
      <c r="C249" s="55" t="s">
        <v>10312</v>
      </c>
      <c r="D249" s="453">
        <v>0</v>
      </c>
      <c r="E249" s="453">
        <v>0</v>
      </c>
      <c r="F249" s="453">
        <v>0</v>
      </c>
      <c r="G249" s="453">
        <v>0</v>
      </c>
      <c r="H249" s="63">
        <v>0</v>
      </c>
      <c r="I249" s="63">
        <v>411</v>
      </c>
      <c r="J249" s="63">
        <v>408</v>
      </c>
      <c r="K249" s="63">
        <v>407</v>
      </c>
      <c r="L249" s="63">
        <v>417</v>
      </c>
      <c r="M249" s="63">
        <v>415</v>
      </c>
      <c r="N249" s="63">
        <v>419</v>
      </c>
      <c r="O249" s="63">
        <v>416</v>
      </c>
      <c r="Q249" s="451" t="s">
        <v>2146</v>
      </c>
    </row>
    <row r="250" spans="1:17" ht="15.75" thickBot="1">
      <c r="B250" s="451"/>
      <c r="C250" s="55" t="s">
        <v>10312</v>
      </c>
      <c r="D250" s="456">
        <v>0</v>
      </c>
      <c r="E250" s="456">
        <v>0</v>
      </c>
      <c r="F250" s="456">
        <v>0</v>
      </c>
      <c r="G250" s="456">
        <v>0</v>
      </c>
      <c r="H250" s="185">
        <v>0</v>
      </c>
      <c r="I250" s="63">
        <v>4527</v>
      </c>
      <c r="J250" s="63">
        <v>4498</v>
      </c>
      <c r="K250" s="63">
        <v>4700</v>
      </c>
      <c r="L250" s="63">
        <v>4735</v>
      </c>
      <c r="M250" s="63">
        <v>4730</v>
      </c>
      <c r="N250" s="63">
        <v>4773</v>
      </c>
      <c r="O250" s="63">
        <v>4739</v>
      </c>
      <c r="Q250" s="451" t="s">
        <v>2150</v>
      </c>
    </row>
    <row r="251" spans="1:17" ht="15.75" thickBot="1">
      <c r="A251" s="451"/>
      <c r="B251" s="451"/>
      <c r="C251" s="55" t="s">
        <v>10312</v>
      </c>
      <c r="D251" s="460">
        <f t="shared" ref="D251:O251" si="78">D249+D250</f>
        <v>0</v>
      </c>
      <c r="E251" s="460">
        <f t="shared" si="78"/>
        <v>0</v>
      </c>
      <c r="F251" s="460">
        <f t="shared" si="78"/>
        <v>0</v>
      </c>
      <c r="G251" s="460">
        <f t="shared" si="78"/>
        <v>0</v>
      </c>
      <c r="H251" s="460">
        <f t="shared" si="78"/>
        <v>0</v>
      </c>
      <c r="I251" s="460">
        <f t="shared" si="78"/>
        <v>4938</v>
      </c>
      <c r="J251" s="460">
        <f t="shared" si="78"/>
        <v>4906</v>
      </c>
      <c r="K251" s="460">
        <f t="shared" si="78"/>
        <v>5107</v>
      </c>
      <c r="L251" s="460">
        <f t="shared" si="78"/>
        <v>5152</v>
      </c>
      <c r="M251" s="460">
        <f t="shared" si="78"/>
        <v>5145</v>
      </c>
      <c r="N251" s="460">
        <f t="shared" si="78"/>
        <v>5192</v>
      </c>
      <c r="O251" s="460">
        <f t="shared" si="78"/>
        <v>5155</v>
      </c>
      <c r="Q251" s="451"/>
    </row>
    <row r="252" spans="1:17">
      <c r="A252" s="451" t="s">
        <v>5437</v>
      </c>
      <c r="B252" s="451" t="s">
        <v>10314</v>
      </c>
      <c r="C252" s="55" t="s">
        <v>10313</v>
      </c>
      <c r="D252" s="453">
        <v>0</v>
      </c>
      <c r="E252" s="453">
        <v>0</v>
      </c>
      <c r="F252" s="453">
        <v>0</v>
      </c>
      <c r="G252" s="453">
        <v>0</v>
      </c>
      <c r="H252" s="63">
        <v>0</v>
      </c>
      <c r="I252" s="63">
        <v>3799</v>
      </c>
      <c r="J252" s="63">
        <v>3852</v>
      </c>
      <c r="K252" s="63">
        <v>4085</v>
      </c>
      <c r="L252" s="63">
        <v>4238</v>
      </c>
      <c r="M252" s="63">
        <v>4221</v>
      </c>
      <c r="N252" s="63">
        <v>4445</v>
      </c>
      <c r="O252" s="63">
        <v>4413</v>
      </c>
      <c r="Q252" s="451" t="s">
        <v>2150</v>
      </c>
    </row>
    <row r="253" spans="1:17">
      <c r="A253" s="451" t="s">
        <v>5439</v>
      </c>
      <c r="B253" s="451" t="s">
        <v>10315</v>
      </c>
      <c r="C253" s="55" t="s">
        <v>10316</v>
      </c>
      <c r="D253" s="453">
        <v>0</v>
      </c>
      <c r="E253" s="453">
        <v>0</v>
      </c>
      <c r="F253" s="453">
        <v>0</v>
      </c>
      <c r="G253" s="453">
        <v>0</v>
      </c>
      <c r="H253" s="63">
        <v>0</v>
      </c>
      <c r="I253" s="63">
        <v>5636</v>
      </c>
      <c r="J253" s="63">
        <v>5601</v>
      </c>
      <c r="K253" s="63">
        <v>5707</v>
      </c>
      <c r="L253" s="63">
        <v>5800</v>
      </c>
      <c r="M253" s="63">
        <v>5734</v>
      </c>
      <c r="N253" s="63">
        <v>6061</v>
      </c>
      <c r="O253" s="63">
        <v>5992</v>
      </c>
      <c r="Q253" s="451" t="s">
        <v>2146</v>
      </c>
    </row>
    <row r="254" spans="1:17" ht="15.75" thickBot="1">
      <c r="B254" s="451"/>
      <c r="C254" s="55" t="s">
        <v>10316</v>
      </c>
      <c r="D254" s="456">
        <v>0</v>
      </c>
      <c r="E254" s="456">
        <v>0</v>
      </c>
      <c r="F254" s="456">
        <v>0</v>
      </c>
      <c r="G254" s="456">
        <v>0</v>
      </c>
      <c r="H254" s="185">
        <v>0</v>
      </c>
      <c r="I254" s="63">
        <v>924</v>
      </c>
      <c r="J254" s="63">
        <v>941</v>
      </c>
      <c r="K254" s="63">
        <v>970</v>
      </c>
      <c r="L254" s="63">
        <v>976</v>
      </c>
      <c r="M254" s="63">
        <v>969</v>
      </c>
      <c r="N254" s="63">
        <v>984</v>
      </c>
      <c r="O254" s="63">
        <v>968</v>
      </c>
      <c r="Q254" s="451" t="s">
        <v>2150</v>
      </c>
    </row>
    <row r="255" spans="1:17" ht="15.75" thickBot="1">
      <c r="A255" s="451"/>
      <c r="B255" s="451"/>
      <c r="C255" s="55" t="s">
        <v>10316</v>
      </c>
      <c r="D255" s="460">
        <f t="shared" ref="D255:O255" si="79">D253+D254</f>
        <v>0</v>
      </c>
      <c r="E255" s="460">
        <f t="shared" si="79"/>
        <v>0</v>
      </c>
      <c r="F255" s="460">
        <f t="shared" si="79"/>
        <v>0</v>
      </c>
      <c r="G255" s="460">
        <f t="shared" si="79"/>
        <v>0</v>
      </c>
      <c r="H255" s="460">
        <f t="shared" si="79"/>
        <v>0</v>
      </c>
      <c r="I255" s="460">
        <f t="shared" si="79"/>
        <v>6560</v>
      </c>
      <c r="J255" s="460">
        <f t="shared" si="79"/>
        <v>6542</v>
      </c>
      <c r="K255" s="460">
        <f t="shared" si="79"/>
        <v>6677</v>
      </c>
      <c r="L255" s="460">
        <f t="shared" si="79"/>
        <v>6776</v>
      </c>
      <c r="M255" s="460">
        <f t="shared" si="79"/>
        <v>6703</v>
      </c>
      <c r="N255" s="460">
        <f t="shared" si="79"/>
        <v>7045</v>
      </c>
      <c r="O255" s="460">
        <f t="shared" si="79"/>
        <v>6960</v>
      </c>
      <c r="Q255" s="451"/>
    </row>
    <row r="256" spans="1:17">
      <c r="A256" s="451" t="s">
        <v>5441</v>
      </c>
      <c r="B256" s="451" t="s">
        <v>5115</v>
      </c>
      <c r="C256" s="55" t="s">
        <v>10317</v>
      </c>
      <c r="D256" s="453">
        <v>0</v>
      </c>
      <c r="E256" s="453">
        <v>0</v>
      </c>
      <c r="F256" s="453">
        <v>0</v>
      </c>
      <c r="G256" s="453">
        <v>0</v>
      </c>
      <c r="H256" s="63">
        <v>0</v>
      </c>
      <c r="I256" s="63">
        <v>2455</v>
      </c>
      <c r="J256" s="63">
        <v>2433</v>
      </c>
      <c r="K256" s="63">
        <v>2522</v>
      </c>
      <c r="L256" s="63">
        <v>2507</v>
      </c>
      <c r="M256" s="63">
        <v>2487</v>
      </c>
      <c r="N256" s="63">
        <v>2523</v>
      </c>
      <c r="O256" s="63">
        <v>2498</v>
      </c>
      <c r="Q256" s="451" t="s">
        <v>2146</v>
      </c>
    </row>
    <row r="257" spans="1:17">
      <c r="A257" s="451" t="s">
        <v>5886</v>
      </c>
      <c r="B257" s="451" t="s">
        <v>5116</v>
      </c>
      <c r="C257" s="55" t="s">
        <v>10318</v>
      </c>
      <c r="D257" s="453">
        <v>0</v>
      </c>
      <c r="E257" s="453">
        <v>0</v>
      </c>
      <c r="F257" s="453">
        <v>0</v>
      </c>
      <c r="G257" s="453">
        <v>0</v>
      </c>
      <c r="H257" s="63">
        <v>0</v>
      </c>
      <c r="I257" s="63">
        <v>2328</v>
      </c>
      <c r="J257" s="63">
        <v>2263</v>
      </c>
      <c r="K257" s="63">
        <v>2340</v>
      </c>
      <c r="L257" s="63">
        <v>2362</v>
      </c>
      <c r="M257" s="63">
        <v>2332</v>
      </c>
      <c r="N257" s="63">
        <v>2369</v>
      </c>
      <c r="O257" s="63">
        <v>2343</v>
      </c>
      <c r="Q257" s="451" t="s">
        <v>2146</v>
      </c>
    </row>
    <row r="258" spans="1:17">
      <c r="D258" s="455"/>
      <c r="E258" s="455"/>
      <c r="F258" s="455"/>
      <c r="G258" s="455"/>
      <c r="H258" s="455"/>
      <c r="I258" s="455"/>
      <c r="J258" s="455"/>
      <c r="K258" s="455"/>
      <c r="L258" s="455"/>
      <c r="M258" s="455"/>
      <c r="N258" s="455"/>
      <c r="O258" s="455"/>
      <c r="Q258" s="451"/>
    </row>
    <row r="259" spans="1:17">
      <c r="A259" s="451" t="s">
        <v>5078</v>
      </c>
      <c r="D259" s="453">
        <f t="shared" ref="D259:O259" si="80">SUM(D231:D233)+SUM(D236:D240)+D244+D246+D247+D249+D253+D256+D257</f>
        <v>53078</v>
      </c>
      <c r="E259" s="453">
        <f t="shared" si="80"/>
        <v>53541</v>
      </c>
      <c r="F259" s="453">
        <f t="shared" si="80"/>
        <v>53720</v>
      </c>
      <c r="G259" s="453">
        <f t="shared" si="80"/>
        <v>53802</v>
      </c>
      <c r="H259" s="453">
        <f t="shared" si="80"/>
        <v>54396</v>
      </c>
      <c r="I259" s="453">
        <f t="shared" si="80"/>
        <v>53076</v>
      </c>
      <c r="J259" s="453">
        <f t="shared" si="80"/>
        <v>52512</v>
      </c>
      <c r="K259" s="453">
        <f t="shared" si="80"/>
        <v>54201</v>
      </c>
      <c r="L259" s="453">
        <f t="shared" si="80"/>
        <v>54858</v>
      </c>
      <c r="M259" s="453">
        <f t="shared" si="80"/>
        <v>54511</v>
      </c>
      <c r="N259" s="453">
        <f t="shared" si="80"/>
        <v>56194</v>
      </c>
      <c r="O259" s="453">
        <f t="shared" si="80"/>
        <v>55666</v>
      </c>
    </row>
    <row r="260" spans="1:17">
      <c r="A260" s="451" t="s">
        <v>3540</v>
      </c>
      <c r="D260" s="453">
        <f t="shared" ref="D260:O260" si="81">D234+D235+D241+D243+D245+D248+D250+D252+D254</f>
        <v>30984</v>
      </c>
      <c r="E260" s="453">
        <f t="shared" si="81"/>
        <v>31247</v>
      </c>
      <c r="F260" s="453">
        <f t="shared" si="81"/>
        <v>31379</v>
      </c>
      <c r="G260" s="453">
        <f t="shared" si="81"/>
        <v>31183</v>
      </c>
      <c r="H260" s="453">
        <f t="shared" si="81"/>
        <v>31352</v>
      </c>
      <c r="I260" s="453">
        <f t="shared" si="81"/>
        <v>30356</v>
      </c>
      <c r="J260" s="453">
        <f t="shared" si="81"/>
        <v>30201</v>
      </c>
      <c r="K260" s="453">
        <f t="shared" si="81"/>
        <v>31550</v>
      </c>
      <c r="L260" s="453">
        <f t="shared" si="81"/>
        <v>32252</v>
      </c>
      <c r="M260" s="453">
        <f t="shared" si="81"/>
        <v>32452</v>
      </c>
      <c r="N260" s="453">
        <f t="shared" si="81"/>
        <v>33668</v>
      </c>
      <c r="O260" s="453">
        <f t="shared" si="81"/>
        <v>33360</v>
      </c>
    </row>
    <row r="261" spans="1:17">
      <c r="A261" s="451"/>
      <c r="D261" s="453"/>
      <c r="E261" s="453"/>
      <c r="F261" s="453"/>
      <c r="G261" s="453"/>
      <c r="H261" s="453"/>
      <c r="I261" s="453"/>
      <c r="J261" s="453"/>
      <c r="K261" s="453"/>
      <c r="L261" s="453"/>
      <c r="M261" s="453"/>
      <c r="N261" s="453"/>
      <c r="O261" s="453"/>
    </row>
    <row r="262" spans="1:17">
      <c r="A262" s="451" t="s">
        <v>5136</v>
      </c>
      <c r="D262" s="453"/>
      <c r="E262" s="453"/>
      <c r="F262" s="453"/>
      <c r="G262" s="453"/>
      <c r="H262" s="453"/>
      <c r="I262" s="453"/>
      <c r="J262" s="453"/>
      <c r="K262" s="453"/>
      <c r="L262" s="453"/>
      <c r="M262" s="453"/>
      <c r="N262" s="453"/>
      <c r="O262" s="453"/>
    </row>
    <row r="263" spans="1:17">
      <c r="A263" s="451" t="s">
        <v>14768</v>
      </c>
      <c r="B263" s="451"/>
      <c r="D263" s="459"/>
      <c r="E263" s="459"/>
      <c r="F263" s="459"/>
      <c r="G263" s="459"/>
      <c r="H263" s="459"/>
      <c r="I263" s="459"/>
      <c r="J263" s="459"/>
      <c r="K263" s="459"/>
      <c r="L263" s="459"/>
      <c r="M263" s="459"/>
      <c r="N263" s="459"/>
      <c r="O263" s="459"/>
    </row>
    <row r="264" spans="1:17">
      <c r="A264" s="451"/>
      <c r="B264" s="451"/>
      <c r="D264" s="459"/>
      <c r="E264" s="459"/>
      <c r="F264" s="459"/>
      <c r="G264" s="459"/>
      <c r="H264" s="459"/>
      <c r="I264" s="459"/>
      <c r="J264" s="459"/>
      <c r="K264" s="459"/>
      <c r="L264" s="459"/>
      <c r="M264" s="459"/>
      <c r="N264" s="459"/>
      <c r="O264" s="459"/>
    </row>
    <row r="265" spans="1:17">
      <c r="E265" s="51" t="s">
        <v>1526</v>
      </c>
      <c r="F265" s="51"/>
      <c r="G265" s="51"/>
      <c r="H265" s="51"/>
      <c r="I265" s="51"/>
      <c r="J265" s="51"/>
      <c r="K265" s="51"/>
      <c r="L265" s="51"/>
      <c r="M265" s="51"/>
      <c r="N265" s="51"/>
      <c r="O265" s="51"/>
      <c r="P265" s="11"/>
      <c r="Q265" s="11" t="s">
        <v>9479</v>
      </c>
    </row>
    <row r="266" spans="1:17">
      <c r="D266" s="133">
        <v>2010</v>
      </c>
      <c r="E266" s="133">
        <v>2011</v>
      </c>
      <c r="F266" s="133">
        <v>2012</v>
      </c>
      <c r="G266" s="133">
        <v>2013</v>
      </c>
      <c r="H266" s="133">
        <v>2014</v>
      </c>
      <c r="I266" s="133">
        <v>2015</v>
      </c>
      <c r="J266" s="133">
        <v>2016</v>
      </c>
      <c r="K266" s="133">
        <v>2017</v>
      </c>
      <c r="L266" s="133">
        <v>2018</v>
      </c>
      <c r="M266" s="133">
        <v>2019</v>
      </c>
      <c r="N266" s="133">
        <v>2020</v>
      </c>
      <c r="O266" s="950" t="s">
        <v>14823</v>
      </c>
      <c r="P266" s="11"/>
      <c r="Q266" s="13" t="s">
        <v>1527</v>
      </c>
    </row>
    <row r="267" spans="1:17">
      <c r="A267" s="451" t="s">
        <v>5137</v>
      </c>
      <c r="D267" s="453">
        <f t="shared" ref="D267:O267" si="82">SUM(D268:D277)+SUM(D279:D293)+D295+D296</f>
        <v>84531</v>
      </c>
      <c r="E267" s="453">
        <f t="shared" si="82"/>
        <v>85408</v>
      </c>
      <c r="F267" s="453">
        <f t="shared" si="82"/>
        <v>85920</v>
      </c>
      <c r="G267" s="453">
        <f t="shared" si="82"/>
        <v>86681</v>
      </c>
      <c r="H267" s="453">
        <f t="shared" si="82"/>
        <v>86640</v>
      </c>
      <c r="I267" s="453">
        <f t="shared" si="82"/>
        <v>84302</v>
      </c>
      <c r="J267" s="453">
        <f t="shared" si="82"/>
        <v>84249</v>
      </c>
      <c r="K267" s="453">
        <f t="shared" si="82"/>
        <v>85792</v>
      </c>
      <c r="L267" s="453">
        <f t="shared" si="82"/>
        <v>86523</v>
      </c>
      <c r="M267" s="453">
        <f t="shared" si="82"/>
        <v>85809</v>
      </c>
      <c r="N267" s="453">
        <f t="shared" si="82"/>
        <v>89405</v>
      </c>
      <c r="O267" s="453">
        <f t="shared" si="82"/>
        <v>90089</v>
      </c>
    </row>
    <row r="268" spans="1:17">
      <c r="A268" s="451" t="s">
        <v>5387</v>
      </c>
      <c r="B268" s="451" t="s">
        <v>6402</v>
      </c>
      <c r="C268" s="55" t="s">
        <v>10008</v>
      </c>
      <c r="D268" s="453">
        <v>72774</v>
      </c>
      <c r="E268" s="453">
        <v>73430</v>
      </c>
      <c r="F268" s="453">
        <v>73785</v>
      </c>
      <c r="G268" s="56">
        <v>74324</v>
      </c>
      <c r="H268" s="56">
        <v>74197</v>
      </c>
      <c r="I268" s="56">
        <v>4110</v>
      </c>
      <c r="J268" s="56">
        <v>4091</v>
      </c>
      <c r="K268" s="56">
        <v>4152</v>
      </c>
      <c r="L268" s="56">
        <v>4194</v>
      </c>
      <c r="M268" s="56">
        <v>4112</v>
      </c>
      <c r="N268" s="56">
        <v>4226</v>
      </c>
      <c r="O268" s="56">
        <v>4249</v>
      </c>
      <c r="Q268" s="451" t="s">
        <v>2149</v>
      </c>
    </row>
    <row r="269" spans="1:17">
      <c r="A269" s="451" t="s">
        <v>5389</v>
      </c>
      <c r="B269" s="451" t="s">
        <v>5138</v>
      </c>
      <c r="C269" s="55" t="s">
        <v>10009</v>
      </c>
      <c r="D269" s="453">
        <v>11757</v>
      </c>
      <c r="E269" s="453">
        <v>11978</v>
      </c>
      <c r="F269" s="453">
        <v>12135</v>
      </c>
      <c r="G269" s="56">
        <v>12357</v>
      </c>
      <c r="H269" s="56">
        <v>12443</v>
      </c>
      <c r="I269" s="56">
        <v>3817</v>
      </c>
      <c r="J269" s="56">
        <v>3841</v>
      </c>
      <c r="K269" s="56">
        <v>3847</v>
      </c>
      <c r="L269" s="56">
        <v>3869</v>
      </c>
      <c r="M269" s="56">
        <v>3816</v>
      </c>
      <c r="N269" s="56">
        <v>3865</v>
      </c>
      <c r="O269" s="56">
        <v>3855</v>
      </c>
      <c r="Q269" s="451" t="s">
        <v>2146</v>
      </c>
    </row>
    <row r="270" spans="1:17">
      <c r="A270" s="451" t="s">
        <v>5391</v>
      </c>
      <c r="B270" s="451" t="s">
        <v>5126</v>
      </c>
      <c r="C270" s="55" t="s">
        <v>10010</v>
      </c>
      <c r="D270" s="453">
        <v>0</v>
      </c>
      <c r="E270" s="453">
        <v>0</v>
      </c>
      <c r="F270" s="453">
        <v>0</v>
      </c>
      <c r="G270" s="56">
        <v>0</v>
      </c>
      <c r="H270" s="56">
        <v>0</v>
      </c>
      <c r="I270" s="56">
        <v>3539</v>
      </c>
      <c r="J270" s="56">
        <v>3523</v>
      </c>
      <c r="K270" s="56">
        <v>3588</v>
      </c>
      <c r="L270" s="56">
        <v>3564</v>
      </c>
      <c r="M270" s="56">
        <v>3492</v>
      </c>
      <c r="N270" s="56">
        <v>3612</v>
      </c>
      <c r="O270" s="56">
        <v>3628</v>
      </c>
      <c r="Q270" s="451" t="s">
        <v>2146</v>
      </c>
    </row>
    <row r="271" spans="1:17">
      <c r="A271" s="451" t="s">
        <v>5393</v>
      </c>
      <c r="B271" s="451" t="s">
        <v>9982</v>
      </c>
      <c r="C271" s="55" t="s">
        <v>10011</v>
      </c>
      <c r="D271" s="453">
        <v>0</v>
      </c>
      <c r="E271" s="453">
        <v>0</v>
      </c>
      <c r="F271" s="453">
        <v>0</v>
      </c>
      <c r="G271" s="56">
        <v>0</v>
      </c>
      <c r="H271" s="56">
        <v>0</v>
      </c>
      <c r="I271" s="56">
        <v>1945</v>
      </c>
      <c r="J271" s="56">
        <v>1935</v>
      </c>
      <c r="K271" s="56">
        <v>2005</v>
      </c>
      <c r="L271" s="56">
        <v>2029</v>
      </c>
      <c r="M271" s="56">
        <v>1951</v>
      </c>
      <c r="N271" s="56">
        <v>2002</v>
      </c>
      <c r="O271" s="56">
        <v>2002</v>
      </c>
      <c r="Q271" s="451" t="s">
        <v>2149</v>
      </c>
    </row>
    <row r="272" spans="1:17">
      <c r="A272" s="451" t="s">
        <v>5394</v>
      </c>
      <c r="B272" s="451" t="s">
        <v>5127</v>
      </c>
      <c r="C272" s="55" t="s">
        <v>10012</v>
      </c>
      <c r="D272" s="453">
        <v>0</v>
      </c>
      <c r="E272" s="453">
        <v>0</v>
      </c>
      <c r="F272" s="453">
        <v>0</v>
      </c>
      <c r="G272" s="56">
        <v>0</v>
      </c>
      <c r="H272" s="56">
        <v>0</v>
      </c>
      <c r="I272" s="56">
        <v>3943</v>
      </c>
      <c r="J272" s="56">
        <v>3844</v>
      </c>
      <c r="K272" s="56">
        <v>3942</v>
      </c>
      <c r="L272" s="56">
        <v>3949</v>
      </c>
      <c r="M272" s="56">
        <v>3883</v>
      </c>
      <c r="N272" s="56">
        <v>4119</v>
      </c>
      <c r="O272" s="56">
        <v>4175</v>
      </c>
      <c r="Q272" s="451" t="s">
        <v>2149</v>
      </c>
    </row>
    <row r="273" spans="1:17">
      <c r="A273" s="451" t="s">
        <v>5416</v>
      </c>
      <c r="B273" s="451" t="s">
        <v>5128</v>
      </c>
      <c r="C273" s="55" t="s">
        <v>10013</v>
      </c>
      <c r="D273" s="453">
        <v>0</v>
      </c>
      <c r="E273" s="453">
        <v>0</v>
      </c>
      <c r="F273" s="453">
        <v>0</v>
      </c>
      <c r="G273" s="56">
        <v>0</v>
      </c>
      <c r="H273" s="56">
        <v>0</v>
      </c>
      <c r="I273" s="56">
        <v>5405</v>
      </c>
      <c r="J273" s="56">
        <v>5397</v>
      </c>
      <c r="K273" s="56">
        <v>5612</v>
      </c>
      <c r="L273" s="56">
        <v>5769</v>
      </c>
      <c r="M273" s="56">
        <v>5950</v>
      </c>
      <c r="N273" s="56">
        <v>6172</v>
      </c>
      <c r="O273" s="56">
        <v>6207</v>
      </c>
      <c r="Q273" s="451" t="s">
        <v>2149</v>
      </c>
    </row>
    <row r="274" spans="1:17">
      <c r="A274" s="451" t="s">
        <v>5418</v>
      </c>
      <c r="B274" s="451" t="s">
        <v>5129</v>
      </c>
      <c r="C274" s="55" t="s">
        <v>10014</v>
      </c>
      <c r="D274" s="453">
        <v>0</v>
      </c>
      <c r="E274" s="453">
        <v>0</v>
      </c>
      <c r="F274" s="453">
        <v>0</v>
      </c>
      <c r="G274" s="56">
        <v>0</v>
      </c>
      <c r="H274" s="56">
        <v>0</v>
      </c>
      <c r="I274" s="56">
        <v>1835</v>
      </c>
      <c r="J274" s="56">
        <v>1845</v>
      </c>
      <c r="K274" s="56">
        <v>1883</v>
      </c>
      <c r="L274" s="56">
        <v>1904</v>
      </c>
      <c r="M274" s="56">
        <v>1908</v>
      </c>
      <c r="N274" s="56">
        <v>2009</v>
      </c>
      <c r="O274" s="56">
        <v>2006</v>
      </c>
      <c r="Q274" s="451" t="s">
        <v>2146</v>
      </c>
    </row>
    <row r="275" spans="1:17">
      <c r="A275" s="451" t="s">
        <v>5420</v>
      </c>
      <c r="B275" s="451" t="s">
        <v>9981</v>
      </c>
      <c r="C275" s="55" t="s">
        <v>10015</v>
      </c>
      <c r="D275" s="453">
        <v>0</v>
      </c>
      <c r="E275" s="453">
        <v>0</v>
      </c>
      <c r="F275" s="453">
        <v>0</v>
      </c>
      <c r="G275" s="56">
        <v>0</v>
      </c>
      <c r="H275" s="56">
        <v>0</v>
      </c>
      <c r="I275" s="56">
        <v>2061</v>
      </c>
      <c r="J275" s="56">
        <v>2048</v>
      </c>
      <c r="K275" s="56">
        <v>2089</v>
      </c>
      <c r="L275" s="56">
        <v>2073</v>
      </c>
      <c r="M275" s="56">
        <v>2031</v>
      </c>
      <c r="N275" s="56">
        <v>2055</v>
      </c>
      <c r="O275" s="56">
        <v>2055</v>
      </c>
      <c r="Q275" s="451" t="s">
        <v>2149</v>
      </c>
    </row>
    <row r="276" spans="1:17">
      <c r="A276" s="451" t="s">
        <v>5422</v>
      </c>
      <c r="B276" s="451" t="s">
        <v>9980</v>
      </c>
      <c r="C276" s="55" t="s">
        <v>10016</v>
      </c>
      <c r="D276" s="453">
        <v>0</v>
      </c>
      <c r="E276" s="453">
        <v>0</v>
      </c>
      <c r="F276" s="453">
        <v>0</v>
      </c>
      <c r="G276" s="56">
        <v>0</v>
      </c>
      <c r="H276" s="56">
        <v>0</v>
      </c>
      <c r="I276" s="56">
        <v>1510</v>
      </c>
      <c r="J276" s="56">
        <v>1480</v>
      </c>
      <c r="K276" s="56">
        <v>1489</v>
      </c>
      <c r="L276" s="56">
        <v>1507</v>
      </c>
      <c r="M276" s="56">
        <v>1473</v>
      </c>
      <c r="N276" s="56">
        <v>1492</v>
      </c>
      <c r="O276" s="56">
        <v>1505</v>
      </c>
      <c r="Q276" s="451" t="s">
        <v>2146</v>
      </c>
    </row>
    <row r="277" spans="1:17" ht="15.75" thickBot="1">
      <c r="A277" s="451"/>
      <c r="B277" s="451"/>
      <c r="C277" s="55" t="s">
        <v>10016</v>
      </c>
      <c r="D277" s="456">
        <v>0</v>
      </c>
      <c r="E277" s="456">
        <v>0</v>
      </c>
      <c r="F277" s="456">
        <v>0</v>
      </c>
      <c r="G277" s="274">
        <v>0</v>
      </c>
      <c r="H277" s="274">
        <v>0</v>
      </c>
      <c r="I277" s="56">
        <v>741</v>
      </c>
      <c r="J277" s="56">
        <v>775</v>
      </c>
      <c r="K277" s="56">
        <v>789</v>
      </c>
      <c r="L277" s="56">
        <v>804</v>
      </c>
      <c r="M277" s="56">
        <v>794</v>
      </c>
      <c r="N277" s="56">
        <v>796</v>
      </c>
      <c r="O277" s="56">
        <v>800</v>
      </c>
      <c r="Q277" s="451" t="s">
        <v>2149</v>
      </c>
    </row>
    <row r="278" spans="1:17" ht="15.75" thickBot="1">
      <c r="A278" s="451"/>
      <c r="B278" s="451"/>
      <c r="C278" s="55" t="s">
        <v>10016</v>
      </c>
      <c r="D278" s="460">
        <f>D276+D277</f>
        <v>0</v>
      </c>
      <c r="E278" s="460">
        <f t="shared" ref="E278:L278" si="83">E276+E277</f>
        <v>0</v>
      </c>
      <c r="F278" s="460">
        <f t="shared" si="83"/>
        <v>0</v>
      </c>
      <c r="G278" s="460">
        <f t="shared" si="83"/>
        <v>0</v>
      </c>
      <c r="H278" s="460">
        <f t="shared" si="83"/>
        <v>0</v>
      </c>
      <c r="I278" s="460">
        <f t="shared" si="83"/>
        <v>2251</v>
      </c>
      <c r="J278" s="460">
        <f t="shared" si="83"/>
        <v>2255</v>
      </c>
      <c r="K278" s="460">
        <f t="shared" si="83"/>
        <v>2278</v>
      </c>
      <c r="L278" s="460">
        <f t="shared" si="83"/>
        <v>2311</v>
      </c>
      <c r="M278" s="460">
        <f>M276+M277</f>
        <v>2267</v>
      </c>
      <c r="N278" s="460">
        <f>N276+N277</f>
        <v>2288</v>
      </c>
      <c r="O278" s="460">
        <f>O276+O277</f>
        <v>2305</v>
      </c>
      <c r="Q278" s="451"/>
    </row>
    <row r="279" spans="1:17">
      <c r="A279" s="451" t="s">
        <v>5424</v>
      </c>
      <c r="B279" s="451" t="s">
        <v>9979</v>
      </c>
      <c r="C279" s="55" t="s">
        <v>10017</v>
      </c>
      <c r="D279" s="453">
        <v>0</v>
      </c>
      <c r="E279" s="453">
        <v>0</v>
      </c>
      <c r="F279" s="453">
        <v>0</v>
      </c>
      <c r="G279" s="58">
        <v>0</v>
      </c>
      <c r="H279" s="58">
        <v>0</v>
      </c>
      <c r="I279" s="56">
        <v>3005</v>
      </c>
      <c r="J279" s="56">
        <v>2973</v>
      </c>
      <c r="K279" s="56">
        <v>3011</v>
      </c>
      <c r="L279" s="56">
        <v>3038</v>
      </c>
      <c r="M279" s="56">
        <v>3165</v>
      </c>
      <c r="N279" s="56">
        <v>3633</v>
      </c>
      <c r="O279" s="56">
        <v>3690</v>
      </c>
      <c r="Q279" s="451" t="s">
        <v>2149</v>
      </c>
    </row>
    <row r="280" spans="1:17">
      <c r="A280" s="451" t="s">
        <v>5426</v>
      </c>
      <c r="B280" s="451" t="s">
        <v>9977</v>
      </c>
      <c r="C280" s="55" t="s">
        <v>10018</v>
      </c>
      <c r="D280" s="453">
        <v>0</v>
      </c>
      <c r="E280" s="453">
        <v>0</v>
      </c>
      <c r="F280" s="453">
        <v>0</v>
      </c>
      <c r="G280" s="58">
        <v>0</v>
      </c>
      <c r="H280" s="58">
        <v>0</v>
      </c>
      <c r="I280" s="56">
        <v>1862</v>
      </c>
      <c r="J280" s="56">
        <v>1871</v>
      </c>
      <c r="K280" s="56">
        <v>1880</v>
      </c>
      <c r="L280" s="56">
        <v>1888</v>
      </c>
      <c r="M280" s="56">
        <v>1843</v>
      </c>
      <c r="N280" s="56">
        <v>1920</v>
      </c>
      <c r="O280" s="56">
        <v>1937</v>
      </c>
      <c r="Q280" s="451" t="s">
        <v>2149</v>
      </c>
    </row>
    <row r="281" spans="1:17">
      <c r="A281" s="451" t="s">
        <v>5428</v>
      </c>
      <c r="B281" s="451" t="s">
        <v>9978</v>
      </c>
      <c r="C281" s="55" t="s">
        <v>10019</v>
      </c>
      <c r="D281" s="453">
        <v>0</v>
      </c>
      <c r="E281" s="453">
        <v>0</v>
      </c>
      <c r="F281" s="453">
        <v>0</v>
      </c>
      <c r="G281" s="56">
        <v>0</v>
      </c>
      <c r="H281" s="56">
        <v>0</v>
      </c>
      <c r="I281" s="56">
        <v>1849</v>
      </c>
      <c r="J281" s="56">
        <v>1859</v>
      </c>
      <c r="K281" s="56">
        <v>1907</v>
      </c>
      <c r="L281" s="56">
        <v>1888</v>
      </c>
      <c r="M281" s="56">
        <v>1899</v>
      </c>
      <c r="N281" s="56">
        <v>1939</v>
      </c>
      <c r="O281" s="56">
        <v>1956</v>
      </c>
      <c r="Q281" s="451" t="s">
        <v>2149</v>
      </c>
    </row>
    <row r="282" spans="1:17">
      <c r="A282" s="451" t="s">
        <v>5429</v>
      </c>
      <c r="B282" s="451" t="s">
        <v>5130</v>
      </c>
      <c r="C282" s="55" t="s">
        <v>10020</v>
      </c>
      <c r="D282" s="453">
        <v>0</v>
      </c>
      <c r="E282" s="453">
        <v>0</v>
      </c>
      <c r="F282" s="453">
        <v>0</v>
      </c>
      <c r="G282" s="56">
        <v>0</v>
      </c>
      <c r="H282" s="56">
        <v>0</v>
      </c>
      <c r="I282" s="56">
        <v>2010</v>
      </c>
      <c r="J282" s="56">
        <v>1996</v>
      </c>
      <c r="K282" s="56">
        <v>2027</v>
      </c>
      <c r="L282" s="56">
        <v>2010</v>
      </c>
      <c r="M282" s="56">
        <v>1986</v>
      </c>
      <c r="N282" s="56">
        <v>2024</v>
      </c>
      <c r="O282" s="56">
        <v>2027</v>
      </c>
      <c r="Q282" s="451" t="s">
        <v>2149</v>
      </c>
    </row>
    <row r="283" spans="1:17">
      <c r="A283" s="451" t="s">
        <v>5431</v>
      </c>
      <c r="B283" s="451" t="s">
        <v>9976</v>
      </c>
      <c r="C283" s="55" t="s">
        <v>10021</v>
      </c>
      <c r="D283" s="453">
        <v>0</v>
      </c>
      <c r="E283" s="453">
        <v>0</v>
      </c>
      <c r="F283" s="453">
        <v>0</v>
      </c>
      <c r="G283" s="56">
        <v>0</v>
      </c>
      <c r="H283" s="56">
        <v>0</v>
      </c>
      <c r="I283" s="58">
        <v>6517</v>
      </c>
      <c r="J283" s="58">
        <v>6509</v>
      </c>
      <c r="K283" s="58">
        <v>6527</v>
      </c>
      <c r="L283" s="58">
        <v>6565</v>
      </c>
      <c r="M283" s="58">
        <v>6468</v>
      </c>
      <c r="N283" s="58">
        <v>6529</v>
      </c>
      <c r="O283" s="58">
        <v>6539</v>
      </c>
      <c r="Q283" s="451" t="s">
        <v>2149</v>
      </c>
    </row>
    <row r="284" spans="1:17">
      <c r="A284" s="451" t="s">
        <v>5433</v>
      </c>
      <c r="B284" s="451" t="s">
        <v>5131</v>
      </c>
      <c r="C284" s="55" t="s">
        <v>10022</v>
      </c>
      <c r="D284" s="453">
        <v>0</v>
      </c>
      <c r="E284" s="453">
        <v>0</v>
      </c>
      <c r="F284" s="453">
        <v>0</v>
      </c>
      <c r="G284" s="56">
        <v>0</v>
      </c>
      <c r="H284" s="56">
        <v>0</v>
      </c>
      <c r="I284" s="58">
        <v>3685</v>
      </c>
      <c r="J284" s="58">
        <v>3712</v>
      </c>
      <c r="K284" s="58">
        <v>3780</v>
      </c>
      <c r="L284" s="58">
        <v>3797</v>
      </c>
      <c r="M284" s="58">
        <v>3678</v>
      </c>
      <c r="N284" s="58">
        <v>3913</v>
      </c>
      <c r="O284" s="58">
        <v>3964</v>
      </c>
      <c r="Q284" s="451" t="s">
        <v>2149</v>
      </c>
    </row>
    <row r="285" spans="1:17">
      <c r="A285" s="451" t="s">
        <v>5435</v>
      </c>
      <c r="B285" s="451" t="s">
        <v>2258</v>
      </c>
      <c r="C285" s="55" t="s">
        <v>10023</v>
      </c>
      <c r="D285" s="453">
        <v>0</v>
      </c>
      <c r="E285" s="453">
        <v>0</v>
      </c>
      <c r="F285" s="453">
        <v>0</v>
      </c>
      <c r="G285" s="58">
        <v>0</v>
      </c>
      <c r="H285" s="58">
        <v>0</v>
      </c>
      <c r="I285" s="58">
        <v>5619</v>
      </c>
      <c r="J285" s="58">
        <v>5704</v>
      </c>
      <c r="K285" s="58">
        <v>5960</v>
      </c>
      <c r="L285" s="58">
        <v>6211</v>
      </c>
      <c r="M285" s="58">
        <v>6404</v>
      </c>
      <c r="N285" s="58">
        <v>6820</v>
      </c>
      <c r="O285" s="58">
        <v>6884</v>
      </c>
      <c r="Q285" s="451" t="s">
        <v>2149</v>
      </c>
    </row>
    <row r="286" spans="1:17">
      <c r="A286" s="451" t="s">
        <v>5436</v>
      </c>
      <c r="B286" s="451" t="s">
        <v>2259</v>
      </c>
      <c r="C286" s="55" t="s">
        <v>10024</v>
      </c>
      <c r="D286" s="453">
        <v>0</v>
      </c>
      <c r="E286" s="453">
        <v>0</v>
      </c>
      <c r="F286" s="453">
        <v>0</v>
      </c>
      <c r="G286" s="58">
        <v>0</v>
      </c>
      <c r="H286" s="58">
        <v>0</v>
      </c>
      <c r="I286" s="58">
        <v>3824</v>
      </c>
      <c r="J286" s="58">
        <v>3862</v>
      </c>
      <c r="K286" s="58">
        <v>4017</v>
      </c>
      <c r="L286" s="58">
        <v>4004</v>
      </c>
      <c r="M286" s="58">
        <v>3918</v>
      </c>
      <c r="N286" s="58">
        <v>4171</v>
      </c>
      <c r="O286" s="58">
        <v>4247</v>
      </c>
      <c r="Q286" s="451" t="s">
        <v>2149</v>
      </c>
    </row>
    <row r="287" spans="1:17">
      <c r="A287" s="451" t="s">
        <v>5437</v>
      </c>
      <c r="B287" s="451" t="s">
        <v>3651</v>
      </c>
      <c r="C287" s="55" t="s">
        <v>10025</v>
      </c>
      <c r="D287" s="453">
        <v>0</v>
      </c>
      <c r="E287" s="453">
        <v>0</v>
      </c>
      <c r="F287" s="453">
        <v>0</v>
      </c>
      <c r="G287" s="58">
        <v>0</v>
      </c>
      <c r="H287" s="58">
        <v>0</v>
      </c>
      <c r="I287" s="58">
        <v>3489</v>
      </c>
      <c r="J287" s="58">
        <v>3400</v>
      </c>
      <c r="K287" s="58">
        <v>3444</v>
      </c>
      <c r="L287" s="58">
        <v>3450</v>
      </c>
      <c r="M287" s="58">
        <v>3432</v>
      </c>
      <c r="N287" s="58">
        <v>3495</v>
      </c>
      <c r="O287" s="58">
        <v>3504</v>
      </c>
      <c r="Q287" s="451" t="s">
        <v>2149</v>
      </c>
    </row>
    <row r="288" spans="1:17">
      <c r="A288" s="451" t="s">
        <v>5439</v>
      </c>
      <c r="B288" s="451" t="s">
        <v>9975</v>
      </c>
      <c r="C288" s="55" t="s">
        <v>10026</v>
      </c>
      <c r="D288" s="453">
        <v>0</v>
      </c>
      <c r="E288" s="453">
        <v>0</v>
      </c>
      <c r="F288" s="453">
        <v>0</v>
      </c>
      <c r="G288" s="56">
        <v>0</v>
      </c>
      <c r="H288" s="56">
        <v>0</v>
      </c>
      <c r="I288" s="58">
        <v>2202</v>
      </c>
      <c r="J288" s="58">
        <v>2186</v>
      </c>
      <c r="K288" s="58">
        <v>2269</v>
      </c>
      <c r="L288" s="58">
        <v>2328</v>
      </c>
      <c r="M288" s="58">
        <v>2240</v>
      </c>
      <c r="N288" s="58">
        <v>2274</v>
      </c>
      <c r="O288" s="58">
        <v>2286</v>
      </c>
      <c r="Q288" s="451" t="s">
        <v>2149</v>
      </c>
    </row>
    <row r="289" spans="1:17">
      <c r="A289" s="451" t="s">
        <v>5441</v>
      </c>
      <c r="B289" s="451" t="s">
        <v>9974</v>
      </c>
      <c r="C289" s="55" t="s">
        <v>10027</v>
      </c>
      <c r="D289" s="453">
        <v>0</v>
      </c>
      <c r="E289" s="453">
        <v>0</v>
      </c>
      <c r="F289" s="453">
        <v>0</v>
      </c>
      <c r="G289" s="58">
        <v>0</v>
      </c>
      <c r="H289" s="58">
        <v>0</v>
      </c>
      <c r="I289" s="58">
        <v>6497</v>
      </c>
      <c r="J289" s="58">
        <v>6464</v>
      </c>
      <c r="K289" s="58">
        <v>6488</v>
      </c>
      <c r="L289" s="58">
        <v>6437</v>
      </c>
      <c r="M289" s="58">
        <v>6327</v>
      </c>
      <c r="N289" s="58">
        <v>6522</v>
      </c>
      <c r="O289" s="58">
        <v>6499</v>
      </c>
      <c r="Q289" s="451" t="s">
        <v>2149</v>
      </c>
    </row>
    <row r="290" spans="1:17">
      <c r="A290" s="451" t="s">
        <v>5886</v>
      </c>
      <c r="B290" s="451" t="s">
        <v>3652</v>
      </c>
      <c r="C290" s="55" t="s">
        <v>10028</v>
      </c>
      <c r="D290" s="453">
        <v>0</v>
      </c>
      <c r="E290" s="453">
        <v>0</v>
      </c>
      <c r="F290" s="453">
        <v>0</v>
      </c>
      <c r="G290" s="58">
        <v>0</v>
      </c>
      <c r="H290" s="58">
        <v>0</v>
      </c>
      <c r="I290" s="58">
        <v>5567</v>
      </c>
      <c r="J290" s="58">
        <v>5540</v>
      </c>
      <c r="K290" s="58">
        <v>5740</v>
      </c>
      <c r="L290" s="58">
        <v>5777</v>
      </c>
      <c r="M290" s="58">
        <v>5677</v>
      </c>
      <c r="N290" s="58">
        <v>5843</v>
      </c>
      <c r="O290" s="58">
        <v>5873</v>
      </c>
      <c r="Q290" s="451" t="s">
        <v>2149</v>
      </c>
    </row>
    <row r="291" spans="1:17">
      <c r="A291" s="451" t="s">
        <v>5888</v>
      </c>
      <c r="B291" s="451" t="s">
        <v>9973</v>
      </c>
      <c r="C291" s="55" t="s">
        <v>10029</v>
      </c>
      <c r="D291" s="453">
        <v>0</v>
      </c>
      <c r="E291" s="453">
        <v>0</v>
      </c>
      <c r="F291" s="453">
        <v>0</v>
      </c>
      <c r="G291" s="58">
        <v>0</v>
      </c>
      <c r="H291" s="58">
        <v>0</v>
      </c>
      <c r="I291" s="58">
        <v>1290</v>
      </c>
      <c r="J291" s="58">
        <v>1474</v>
      </c>
      <c r="K291" s="58">
        <v>1244</v>
      </c>
      <c r="L291" s="58">
        <v>1322</v>
      </c>
      <c r="M291" s="58">
        <v>1343</v>
      </c>
      <c r="N291" s="58">
        <v>1444</v>
      </c>
      <c r="O291" s="58">
        <v>1498</v>
      </c>
      <c r="Q291" s="451" t="s">
        <v>2149</v>
      </c>
    </row>
    <row r="292" spans="1:17">
      <c r="A292" s="451" t="s">
        <v>5889</v>
      </c>
      <c r="B292" s="451" t="s">
        <v>3653</v>
      </c>
      <c r="C292" s="55" t="s">
        <v>10030</v>
      </c>
      <c r="D292" s="453">
        <v>0</v>
      </c>
      <c r="E292" s="453">
        <v>0</v>
      </c>
      <c r="F292" s="453">
        <v>0</v>
      </c>
      <c r="G292" s="56">
        <v>0</v>
      </c>
      <c r="H292" s="56">
        <v>0</v>
      </c>
      <c r="I292" s="56">
        <v>1691</v>
      </c>
      <c r="J292" s="56">
        <v>1663</v>
      </c>
      <c r="K292" s="56">
        <v>1703</v>
      </c>
      <c r="L292" s="56">
        <v>1728</v>
      </c>
      <c r="M292" s="56">
        <v>1709</v>
      </c>
      <c r="N292" s="56">
        <v>1758</v>
      </c>
      <c r="O292" s="56">
        <v>1757</v>
      </c>
      <c r="Q292" s="451" t="s">
        <v>2146</v>
      </c>
    </row>
    <row r="293" spans="1:17" ht="15.75" thickBot="1">
      <c r="A293" s="451"/>
      <c r="B293" s="451"/>
      <c r="C293" s="55" t="s">
        <v>10030</v>
      </c>
      <c r="D293" s="456">
        <v>0</v>
      </c>
      <c r="E293" s="456">
        <v>0</v>
      </c>
      <c r="F293" s="456">
        <v>0</v>
      </c>
      <c r="G293" s="274">
        <v>0</v>
      </c>
      <c r="H293" s="274">
        <v>0</v>
      </c>
      <c r="I293" s="58">
        <v>352</v>
      </c>
      <c r="J293" s="58">
        <v>356</v>
      </c>
      <c r="K293" s="58">
        <v>356</v>
      </c>
      <c r="L293" s="58">
        <v>355</v>
      </c>
      <c r="M293" s="58">
        <v>348</v>
      </c>
      <c r="N293" s="58">
        <v>367</v>
      </c>
      <c r="O293" s="58">
        <v>367</v>
      </c>
      <c r="Q293" s="451" t="s">
        <v>2149</v>
      </c>
    </row>
    <row r="294" spans="1:17" ht="15.75" thickBot="1">
      <c r="A294" s="451"/>
      <c r="B294" s="451"/>
      <c r="C294" s="55" t="s">
        <v>10030</v>
      </c>
      <c r="D294" s="460">
        <f t="shared" ref="D294:O294" si="84">D292+D293</f>
        <v>0</v>
      </c>
      <c r="E294" s="460">
        <f t="shared" si="84"/>
        <v>0</v>
      </c>
      <c r="F294" s="460">
        <f t="shared" si="84"/>
        <v>0</v>
      </c>
      <c r="G294" s="460">
        <f t="shared" si="84"/>
        <v>0</v>
      </c>
      <c r="H294" s="460">
        <f t="shared" si="84"/>
        <v>0</v>
      </c>
      <c r="I294" s="460">
        <f t="shared" si="84"/>
        <v>2043</v>
      </c>
      <c r="J294" s="460">
        <f t="shared" si="84"/>
        <v>2019</v>
      </c>
      <c r="K294" s="460">
        <f t="shared" si="84"/>
        <v>2059</v>
      </c>
      <c r="L294" s="460">
        <f t="shared" si="84"/>
        <v>2083</v>
      </c>
      <c r="M294" s="460">
        <f t="shared" si="84"/>
        <v>2057</v>
      </c>
      <c r="N294" s="460">
        <f t="shared" si="84"/>
        <v>2125</v>
      </c>
      <c r="O294" s="460">
        <f t="shared" si="84"/>
        <v>2124</v>
      </c>
      <c r="Q294" s="451"/>
    </row>
    <row r="295" spans="1:17">
      <c r="A295" s="451" t="s">
        <v>4431</v>
      </c>
      <c r="B295" s="451" t="s">
        <v>4008</v>
      </c>
      <c r="C295" s="55" t="s">
        <v>10031</v>
      </c>
      <c r="D295" s="453">
        <v>0</v>
      </c>
      <c r="E295" s="453">
        <v>0</v>
      </c>
      <c r="F295" s="453">
        <v>0</v>
      </c>
      <c r="G295" s="58">
        <v>0</v>
      </c>
      <c r="H295" s="58">
        <v>0</v>
      </c>
      <c r="I295" s="58">
        <v>1960</v>
      </c>
      <c r="J295" s="58">
        <v>1963</v>
      </c>
      <c r="K295" s="58">
        <v>2021</v>
      </c>
      <c r="L295" s="58">
        <v>2009</v>
      </c>
      <c r="M295" s="58">
        <v>2026</v>
      </c>
      <c r="N295" s="58">
        <v>2048</v>
      </c>
      <c r="O295" s="58">
        <v>2031</v>
      </c>
      <c r="Q295" s="451" t="s">
        <v>2149</v>
      </c>
    </row>
    <row r="296" spans="1:17">
      <c r="A296" s="451" t="s">
        <v>4432</v>
      </c>
      <c r="B296" s="451" t="s">
        <v>3654</v>
      </c>
      <c r="C296" s="55" t="s">
        <v>10032</v>
      </c>
      <c r="D296" s="453">
        <v>0</v>
      </c>
      <c r="E296" s="453">
        <v>0</v>
      </c>
      <c r="F296" s="453">
        <v>0</v>
      </c>
      <c r="G296" s="58">
        <v>0</v>
      </c>
      <c r="H296" s="58">
        <v>0</v>
      </c>
      <c r="I296" s="58">
        <v>3977</v>
      </c>
      <c r="J296" s="58">
        <v>3938</v>
      </c>
      <c r="K296" s="58">
        <v>4022</v>
      </c>
      <c r="L296" s="58">
        <v>4054</v>
      </c>
      <c r="M296" s="58">
        <v>3936</v>
      </c>
      <c r="N296" s="58">
        <v>4357</v>
      </c>
      <c r="O296" s="58">
        <v>4548</v>
      </c>
      <c r="Q296" s="451" t="s">
        <v>2149</v>
      </c>
    </row>
    <row r="297" spans="1:17" ht="15" customHeight="1">
      <c r="D297" s="455"/>
      <c r="E297" s="455"/>
      <c r="F297" s="455"/>
      <c r="G297" s="455"/>
      <c r="H297" s="455"/>
      <c r="I297" s="455"/>
      <c r="J297" s="455"/>
      <c r="K297" s="455"/>
      <c r="L297" s="455"/>
      <c r="M297" s="455"/>
      <c r="N297" s="455"/>
      <c r="O297" s="455"/>
    </row>
    <row r="298" spans="1:17">
      <c r="A298" s="133" t="s">
        <v>5078</v>
      </c>
      <c r="D298" s="455">
        <f>D269+D270+D274+D276+D292</f>
        <v>11757</v>
      </c>
      <c r="E298" s="455">
        <f>E269+E270+E274+E276+E292</f>
        <v>11978</v>
      </c>
      <c r="F298" s="455">
        <f>F269+F270+F274+F276+F292</f>
        <v>12135</v>
      </c>
      <c r="G298" s="455">
        <f>G269+G270+G274+G276+G292</f>
        <v>12357</v>
      </c>
      <c r="H298" s="455">
        <f>H269+H270+H274+H276+H292</f>
        <v>12443</v>
      </c>
      <c r="I298" s="455">
        <f t="shared" ref="I298:N298" si="85">I269+I270+I274+I276+I292</f>
        <v>12392</v>
      </c>
      <c r="J298" s="455">
        <f t="shared" si="85"/>
        <v>12352</v>
      </c>
      <c r="K298" s="455">
        <f t="shared" si="85"/>
        <v>12510</v>
      </c>
      <c r="L298" s="455">
        <f t="shared" si="85"/>
        <v>12572</v>
      </c>
      <c r="M298" s="455">
        <f t="shared" si="85"/>
        <v>12398</v>
      </c>
      <c r="N298" s="455">
        <f t="shared" si="85"/>
        <v>12736</v>
      </c>
      <c r="O298" s="455">
        <f>O269+O270+O274+O276+O292</f>
        <v>12751</v>
      </c>
    </row>
    <row r="299" spans="1:17" ht="15" customHeight="1">
      <c r="A299" s="451" t="s">
        <v>2149</v>
      </c>
      <c r="D299" s="453">
        <f>D268+SUM(D271:D273)+D275+D277+SUM(D279:D291)+D293+D295+D296</f>
        <v>72774</v>
      </c>
      <c r="E299" s="453">
        <f>E268+SUM(E271:E273)+E275+E277+SUM(E279:E291)+E293+E295+E296</f>
        <v>73430</v>
      </c>
      <c r="F299" s="453">
        <f>F268+SUM(F271:F273)+F275+F277+SUM(F279:F291)+F293+F295+F296</f>
        <v>73785</v>
      </c>
      <c r="G299" s="453">
        <f>G268+SUM(G271:G273)+G275+G277+SUM(G279:G291)+G293+G295+G296</f>
        <v>74324</v>
      </c>
      <c r="H299" s="453">
        <f>H268+SUM(H271:H273)+H275+H277+SUM(H279:H291)+H293+H295+H296</f>
        <v>74197</v>
      </c>
      <c r="I299" s="453">
        <f t="shared" ref="I299:N299" si="86">I268+SUM(I271:I273)+I275+I277+SUM(I279:I291)+I293+I295+I296</f>
        <v>71910</v>
      </c>
      <c r="J299" s="453">
        <f t="shared" si="86"/>
        <v>71897</v>
      </c>
      <c r="K299" s="453">
        <f t="shared" si="86"/>
        <v>73282</v>
      </c>
      <c r="L299" s="453">
        <f t="shared" si="86"/>
        <v>73951</v>
      </c>
      <c r="M299" s="453">
        <f t="shared" si="86"/>
        <v>73411</v>
      </c>
      <c r="N299" s="453">
        <f t="shared" si="86"/>
        <v>76669</v>
      </c>
      <c r="O299" s="453">
        <f>O268+SUM(O271:O273)+O275+O277+SUM(O279:O291)+O293+O295+O296</f>
        <v>77338</v>
      </c>
      <c r="P299" s="453"/>
    </row>
    <row r="301" spans="1:17" ht="15" customHeight="1">
      <c r="A301" s="133" t="s">
        <v>10033</v>
      </c>
    </row>
  </sheetData>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&amp;C&amp;"Times New Roman,Regular"&amp;8&amp;P of &amp;N</oddFooter>
  </headerFooter>
  <rowBreaks count="7" manualBreakCount="7">
    <brk id="47" max="16383" man="1"/>
    <brk id="80" max="16383" man="1"/>
    <brk id="115" max="16383" man="1"/>
    <brk id="147" max="16383" man="1"/>
    <brk id="182" max="16383" man="1"/>
    <brk id="227" max="16383" man="1"/>
    <brk id="264" max="16383" man="1"/>
  </rowBreaks>
  <ignoredErrors>
    <ignoredError sqref="D110:D111 D83:K83 D3:D12 E110:E111 E3:E12 F110:F111 F3:F12 D223:K223 D185:K185 G110:G111 G3:G12 D13:D43 E13:E43 F13:F43 G13:G43 H110:H111 H3:H12 H13:H43 D153:K153 D169:K169 D173:H173 D150:K150 D177:H178 I173:I178 D278:K278 D294:K294 D267:K267 D299:H299 I298:I299 I110:I111 D242:K242 D230:K230 D251:J251 D255:I255 F261 D260:H260 D259:H259 I259:I260 I3:I43 D50:K50 D75:I75 D133:K133 D142:I143 D118:K118 J75 J110:J111 J299 J142:J143 J173:J178 J255:J260 J3:J43 K110:K111 K142:K143 K298:K299 K75 K173 K177:K178 K251:K255 K259:K260 K3:K43 L3:L299" unlockedFormula="1"/>
    <ignoredError sqref="D76:K76" formulaRange="1"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dimension ref="A1:Q217"/>
  <sheetViews>
    <sheetView showGridLines="0" topLeftCell="A70" zoomScale="90" zoomScaleNormal="90" workbookViewId="0">
      <selection activeCell="A109" sqref="A109:A110"/>
    </sheetView>
  </sheetViews>
  <sheetFormatPr defaultColWidth="12.5703125" defaultRowHeight="15"/>
  <cols>
    <col min="1" max="1" width="4.85546875" style="132" customWidth="1"/>
    <col min="2" max="2" width="40.7109375" style="132" customWidth="1"/>
    <col min="3" max="3" width="11.5703125" style="132" customWidth="1"/>
    <col min="4" max="15" width="10" style="132" customWidth="1"/>
    <col min="16" max="16" width="2.28515625" style="132" customWidth="1"/>
    <col min="17" max="17" width="30.85546875" style="132" customWidth="1"/>
    <col min="18" max="16384" width="12.5703125" style="132"/>
  </cols>
  <sheetData>
    <row r="1" spans="1:17">
      <c r="A1" s="441" t="s">
        <v>6924</v>
      </c>
      <c r="D1" s="442">
        <v>2010</v>
      </c>
      <c r="E1" s="442">
        <v>2011</v>
      </c>
      <c r="F1" s="442">
        <v>2012</v>
      </c>
      <c r="G1" s="442">
        <v>2013</v>
      </c>
      <c r="H1" s="442">
        <v>2014</v>
      </c>
      <c r="I1" s="442">
        <v>2015</v>
      </c>
      <c r="J1" s="442">
        <v>2016</v>
      </c>
      <c r="K1" s="442">
        <v>2017</v>
      </c>
      <c r="L1" s="442">
        <v>2018</v>
      </c>
      <c r="M1" s="442">
        <v>2019</v>
      </c>
      <c r="N1" s="442">
        <v>2020</v>
      </c>
      <c r="O1" s="949" t="s">
        <v>14823</v>
      </c>
    </row>
    <row r="3" spans="1:17">
      <c r="A3" s="441" t="s">
        <v>5296</v>
      </c>
      <c r="D3" s="443">
        <f t="shared" ref="D3:I3" si="0">SUM(D5:D9)</f>
        <v>472328</v>
      </c>
      <c r="E3" s="443">
        <f t="shared" si="0"/>
        <v>475364</v>
      </c>
      <c r="F3" s="443">
        <f t="shared" si="0"/>
        <v>480083</v>
      </c>
      <c r="G3" s="443">
        <f t="shared" si="0"/>
        <v>481059</v>
      </c>
      <c r="H3" s="443">
        <f t="shared" si="0"/>
        <v>481250</v>
      </c>
      <c r="I3" s="443">
        <f t="shared" si="0"/>
        <v>471416</v>
      </c>
      <c r="J3" s="443">
        <f t="shared" ref="J3:O3" si="1">SUM(J5:J9)</f>
        <v>461334</v>
      </c>
      <c r="K3" s="443">
        <f t="shared" si="1"/>
        <v>476218</v>
      </c>
      <c r="L3" s="443">
        <f t="shared" si="1"/>
        <v>471537</v>
      </c>
      <c r="M3" s="443">
        <f t="shared" si="1"/>
        <v>470854</v>
      </c>
      <c r="N3" s="443">
        <f t="shared" si="1"/>
        <v>484583</v>
      </c>
      <c r="O3" s="443">
        <f t="shared" si="1"/>
        <v>499731</v>
      </c>
    </row>
    <row r="4" spans="1:17">
      <c r="D4" s="444"/>
      <c r="E4" s="444"/>
      <c r="F4" s="444"/>
      <c r="G4" s="444"/>
      <c r="H4" s="444"/>
      <c r="I4" s="444"/>
      <c r="J4" s="444"/>
      <c r="K4" s="444"/>
      <c r="L4" s="444"/>
      <c r="M4" s="444"/>
      <c r="N4" s="444"/>
      <c r="O4" s="444"/>
    </row>
    <row r="5" spans="1:17">
      <c r="A5" s="441" t="s">
        <v>3655</v>
      </c>
      <c r="C5" s="441"/>
      <c r="D5" s="443">
        <f t="shared" ref="D5:I5" si="2">D41</f>
        <v>102067</v>
      </c>
      <c r="E5" s="443">
        <f t="shared" si="2"/>
        <v>101966</v>
      </c>
      <c r="F5" s="443">
        <f t="shared" si="2"/>
        <v>103835</v>
      </c>
      <c r="G5" s="443">
        <f t="shared" si="2"/>
        <v>105087</v>
      </c>
      <c r="H5" s="443">
        <f t="shared" si="2"/>
        <v>104811</v>
      </c>
      <c r="I5" s="443">
        <f t="shared" si="2"/>
        <v>102971</v>
      </c>
      <c r="J5" s="443">
        <f t="shared" ref="J5:O5" si="3">J41</f>
        <v>103843</v>
      </c>
      <c r="K5" s="443">
        <f t="shared" si="3"/>
        <v>108410</v>
      </c>
      <c r="L5" s="443">
        <f t="shared" si="3"/>
        <v>103953</v>
      </c>
      <c r="M5" s="443">
        <f t="shared" si="3"/>
        <v>104405</v>
      </c>
      <c r="N5" s="443">
        <f t="shared" si="3"/>
        <v>106860</v>
      </c>
      <c r="O5" s="443">
        <f t="shared" si="3"/>
        <v>108876</v>
      </c>
      <c r="Q5" s="445"/>
    </row>
    <row r="6" spans="1:17">
      <c r="A6" s="441" t="s">
        <v>3656</v>
      </c>
      <c r="C6" s="441"/>
      <c r="D6" s="443">
        <f t="shared" ref="D6:I6" si="4">D73</f>
        <v>101565</v>
      </c>
      <c r="E6" s="443">
        <f t="shared" si="4"/>
        <v>103108</v>
      </c>
      <c r="F6" s="443">
        <f t="shared" si="4"/>
        <v>103309</v>
      </c>
      <c r="G6" s="443">
        <f t="shared" si="4"/>
        <v>102153</v>
      </c>
      <c r="H6" s="443">
        <f t="shared" si="4"/>
        <v>101952</v>
      </c>
      <c r="I6" s="443">
        <f t="shared" si="4"/>
        <v>91551</v>
      </c>
      <c r="J6" s="443">
        <f t="shared" ref="J6:O6" si="5">J73</f>
        <v>88712</v>
      </c>
      <c r="K6" s="443">
        <f t="shared" si="5"/>
        <v>92121</v>
      </c>
      <c r="L6" s="443">
        <f t="shared" si="5"/>
        <v>91367</v>
      </c>
      <c r="M6" s="443">
        <f t="shared" si="5"/>
        <v>89703</v>
      </c>
      <c r="N6" s="443">
        <f t="shared" si="5"/>
        <v>89636</v>
      </c>
      <c r="O6" s="443">
        <f t="shared" si="5"/>
        <v>99773</v>
      </c>
      <c r="Q6" s="445"/>
    </row>
    <row r="7" spans="1:17">
      <c r="A7" s="441" t="s">
        <v>3657</v>
      </c>
      <c r="C7" s="441"/>
      <c r="D7" s="443">
        <f t="shared" ref="D7:I7" si="6">D115</f>
        <v>99930</v>
      </c>
      <c r="E7" s="443">
        <f t="shared" si="6"/>
        <v>100482</v>
      </c>
      <c r="F7" s="443">
        <f t="shared" si="6"/>
        <v>100930</v>
      </c>
      <c r="G7" s="443">
        <f t="shared" si="6"/>
        <v>101709</v>
      </c>
      <c r="H7" s="443">
        <f t="shared" si="6"/>
        <v>102398</v>
      </c>
      <c r="I7" s="443">
        <f t="shared" si="6"/>
        <v>104680</v>
      </c>
      <c r="J7" s="443">
        <f t="shared" ref="J7:O7" si="7">J115</f>
        <v>99880</v>
      </c>
      <c r="K7" s="443">
        <f t="shared" si="7"/>
        <v>102113</v>
      </c>
      <c r="L7" s="443">
        <f t="shared" si="7"/>
        <v>101906</v>
      </c>
      <c r="M7" s="443">
        <f t="shared" si="7"/>
        <v>102603</v>
      </c>
      <c r="N7" s="443">
        <f t="shared" si="7"/>
        <v>106011</v>
      </c>
      <c r="O7" s="443">
        <f t="shared" si="7"/>
        <v>107465</v>
      </c>
      <c r="Q7" s="445"/>
    </row>
    <row r="8" spans="1:17">
      <c r="A8" s="441" t="s">
        <v>3658</v>
      </c>
      <c r="C8" s="441"/>
      <c r="D8" s="443">
        <f t="shared" ref="D8:I8" si="8">D149</f>
        <v>90625</v>
      </c>
      <c r="E8" s="443">
        <f t="shared" si="8"/>
        <v>91588</v>
      </c>
      <c r="F8" s="443">
        <f t="shared" si="8"/>
        <v>92688</v>
      </c>
      <c r="G8" s="443">
        <f t="shared" si="8"/>
        <v>92457</v>
      </c>
      <c r="H8" s="443">
        <f t="shared" si="8"/>
        <v>93022</v>
      </c>
      <c r="I8" s="443">
        <f t="shared" si="8"/>
        <v>95117</v>
      </c>
      <c r="J8" s="443">
        <f t="shared" ref="J8:O8" si="9">J149</f>
        <v>90444</v>
      </c>
      <c r="K8" s="443">
        <f t="shared" si="9"/>
        <v>92706</v>
      </c>
      <c r="L8" s="443">
        <f t="shared" si="9"/>
        <v>93405</v>
      </c>
      <c r="M8" s="443">
        <f t="shared" si="9"/>
        <v>94499</v>
      </c>
      <c r="N8" s="443">
        <f t="shared" si="9"/>
        <v>98566</v>
      </c>
      <c r="O8" s="443">
        <f t="shared" si="9"/>
        <v>100004</v>
      </c>
      <c r="Q8" s="445"/>
    </row>
    <row r="9" spans="1:17">
      <c r="A9" s="441" t="s">
        <v>3643</v>
      </c>
      <c r="C9" s="441"/>
      <c r="D9" s="443">
        <f t="shared" ref="D9:I9" si="10">D185</f>
        <v>78141</v>
      </c>
      <c r="E9" s="443">
        <f t="shared" si="10"/>
        <v>78220</v>
      </c>
      <c r="F9" s="443">
        <f t="shared" si="10"/>
        <v>79321</v>
      </c>
      <c r="G9" s="443">
        <f t="shared" si="10"/>
        <v>79653</v>
      </c>
      <c r="H9" s="443">
        <f t="shared" si="10"/>
        <v>79067</v>
      </c>
      <c r="I9" s="443">
        <f t="shared" si="10"/>
        <v>77097</v>
      </c>
      <c r="J9" s="443">
        <f t="shared" ref="J9:O9" si="11">J185</f>
        <v>78455</v>
      </c>
      <c r="K9" s="443">
        <f t="shared" si="11"/>
        <v>80868</v>
      </c>
      <c r="L9" s="443">
        <f t="shared" si="11"/>
        <v>80906</v>
      </c>
      <c r="M9" s="443">
        <f t="shared" si="11"/>
        <v>79644</v>
      </c>
      <c r="N9" s="443">
        <f t="shared" si="11"/>
        <v>83510</v>
      </c>
      <c r="O9" s="443">
        <f t="shared" si="11"/>
        <v>83613</v>
      </c>
      <c r="Q9" s="445"/>
    </row>
    <row r="11" spans="1:17">
      <c r="A11" s="441" t="s">
        <v>639</v>
      </c>
      <c r="D11" s="443">
        <f t="shared" ref="D11:I11" si="12">D3/6</f>
        <v>78721.333333333328</v>
      </c>
      <c r="E11" s="443">
        <f t="shared" si="12"/>
        <v>79227.333333333328</v>
      </c>
      <c r="F11" s="443">
        <f t="shared" si="12"/>
        <v>80013.833333333328</v>
      </c>
      <c r="G11" s="443">
        <f t="shared" si="12"/>
        <v>80176.5</v>
      </c>
      <c r="H11" s="443">
        <f t="shared" si="12"/>
        <v>80208.333333333328</v>
      </c>
      <c r="I11" s="443">
        <f t="shared" si="12"/>
        <v>78569.333333333328</v>
      </c>
      <c r="J11" s="443">
        <f t="shared" ref="J11:O11" si="13">J3/6</f>
        <v>76889</v>
      </c>
      <c r="K11" s="443">
        <f t="shared" si="13"/>
        <v>79369.666666666672</v>
      </c>
      <c r="L11" s="443">
        <f t="shared" si="13"/>
        <v>78589.5</v>
      </c>
      <c r="M11" s="443">
        <f t="shared" si="13"/>
        <v>78475.666666666672</v>
      </c>
      <c r="N11" s="443">
        <f t="shared" si="13"/>
        <v>80763.833333333328</v>
      </c>
      <c r="O11" s="443">
        <f t="shared" si="13"/>
        <v>83288.5</v>
      </c>
    </row>
    <row r="12" spans="1:17">
      <c r="D12" s="444"/>
      <c r="E12" s="444"/>
      <c r="F12" s="444"/>
      <c r="G12" s="444"/>
      <c r="H12" s="444"/>
      <c r="I12" s="444"/>
      <c r="J12" s="444"/>
      <c r="K12" s="444"/>
      <c r="L12" s="444"/>
      <c r="M12" s="444"/>
      <c r="N12" s="444"/>
      <c r="O12" s="444"/>
    </row>
    <row r="13" spans="1:17">
      <c r="A13" s="441" t="s">
        <v>3644</v>
      </c>
      <c r="D13" s="443">
        <f t="shared" ref="D13:I13" si="14">D63</f>
        <v>83933</v>
      </c>
      <c r="E13" s="443">
        <f t="shared" si="14"/>
        <v>84063</v>
      </c>
      <c r="F13" s="443">
        <f t="shared" si="14"/>
        <v>85313</v>
      </c>
      <c r="G13" s="443">
        <f t="shared" si="14"/>
        <v>86261</v>
      </c>
      <c r="H13" s="443">
        <f t="shared" si="14"/>
        <v>86032</v>
      </c>
      <c r="I13" s="443">
        <f t="shared" si="14"/>
        <v>84437</v>
      </c>
      <c r="J13" s="443">
        <f t="shared" ref="J13:O13" si="15">J63</f>
        <v>85398</v>
      </c>
      <c r="K13" s="443">
        <f t="shared" si="15"/>
        <v>89363</v>
      </c>
      <c r="L13" s="443">
        <f t="shared" si="15"/>
        <v>85795</v>
      </c>
      <c r="M13" s="443">
        <f t="shared" si="15"/>
        <v>86431</v>
      </c>
      <c r="N13" s="443">
        <f t="shared" si="15"/>
        <v>88782</v>
      </c>
      <c r="O13" s="443">
        <f t="shared" si="15"/>
        <v>90580</v>
      </c>
      <c r="Q13" s="441" t="s">
        <v>3649</v>
      </c>
    </row>
    <row r="14" spans="1:17">
      <c r="D14" s="444"/>
      <c r="E14" s="444"/>
      <c r="F14" s="444"/>
      <c r="G14" s="444"/>
      <c r="H14" s="444"/>
      <c r="I14" s="444"/>
      <c r="J14" s="444"/>
      <c r="K14" s="444"/>
      <c r="L14" s="444"/>
      <c r="M14" s="444"/>
      <c r="N14" s="444"/>
      <c r="O14" s="444"/>
    </row>
    <row r="15" spans="1:17">
      <c r="A15" s="441" t="s">
        <v>3650</v>
      </c>
      <c r="D15" s="444">
        <f t="shared" ref="D15:I15" si="16">D64</f>
        <v>4198</v>
      </c>
      <c r="E15" s="444">
        <f t="shared" si="16"/>
        <v>4181</v>
      </c>
      <c r="F15" s="444">
        <f t="shared" si="16"/>
        <v>4358</v>
      </c>
      <c r="G15" s="444">
        <f t="shared" si="16"/>
        <v>4336</v>
      </c>
      <c r="H15" s="444">
        <f t="shared" si="16"/>
        <v>4341</v>
      </c>
      <c r="I15" s="444">
        <f t="shared" si="16"/>
        <v>4324</v>
      </c>
      <c r="J15" s="444">
        <f t="shared" ref="J15:O15" si="17">J64</f>
        <v>4313</v>
      </c>
      <c r="K15" s="444">
        <f t="shared" si="17"/>
        <v>4463</v>
      </c>
      <c r="L15" s="444">
        <f t="shared" si="17"/>
        <v>4287</v>
      </c>
      <c r="M15" s="444">
        <f t="shared" si="17"/>
        <v>4269</v>
      </c>
      <c r="N15" s="444">
        <f t="shared" si="17"/>
        <v>4335</v>
      </c>
      <c r="O15" s="444">
        <f t="shared" si="17"/>
        <v>4376</v>
      </c>
      <c r="Q15" s="441" t="s">
        <v>3649</v>
      </c>
    </row>
    <row r="16" spans="1:17" ht="15.75" thickBot="1">
      <c r="A16" s="441"/>
      <c r="D16" s="446">
        <f t="shared" ref="D16:I16" si="18">D141</f>
        <v>69340</v>
      </c>
      <c r="E16" s="446">
        <f t="shared" si="18"/>
        <v>69670</v>
      </c>
      <c r="F16" s="446">
        <f t="shared" si="18"/>
        <v>69901</v>
      </c>
      <c r="G16" s="446">
        <f t="shared" si="18"/>
        <v>70292</v>
      </c>
      <c r="H16" s="446">
        <f t="shared" si="18"/>
        <v>70642</v>
      </c>
      <c r="I16" s="446">
        <f t="shared" si="18"/>
        <v>72052</v>
      </c>
      <c r="J16" s="446">
        <f t="shared" ref="J16:O16" si="19">J141</f>
        <v>68369</v>
      </c>
      <c r="K16" s="446">
        <f t="shared" si="19"/>
        <v>69543</v>
      </c>
      <c r="L16" s="446">
        <f t="shared" si="19"/>
        <v>69222</v>
      </c>
      <c r="M16" s="446">
        <f t="shared" si="19"/>
        <v>69753</v>
      </c>
      <c r="N16" s="446">
        <f t="shared" si="19"/>
        <v>71963</v>
      </c>
      <c r="O16" s="446">
        <f t="shared" si="19"/>
        <v>72837</v>
      </c>
      <c r="Q16" s="441" t="s">
        <v>6528</v>
      </c>
    </row>
    <row r="17" spans="1:17" ht="15.75" thickBot="1">
      <c r="A17" s="441"/>
      <c r="D17" s="446">
        <f t="shared" ref="D17:I17" si="20">D15+D16</f>
        <v>73538</v>
      </c>
      <c r="E17" s="446">
        <f t="shared" si="20"/>
        <v>73851</v>
      </c>
      <c r="F17" s="446">
        <f t="shared" si="20"/>
        <v>74259</v>
      </c>
      <c r="G17" s="446">
        <f t="shared" si="20"/>
        <v>74628</v>
      </c>
      <c r="H17" s="446">
        <f t="shared" si="20"/>
        <v>74983</v>
      </c>
      <c r="I17" s="446">
        <f t="shared" si="20"/>
        <v>76376</v>
      </c>
      <c r="J17" s="446">
        <f t="shared" ref="J17:O17" si="21">J15+J16</f>
        <v>72682</v>
      </c>
      <c r="K17" s="446">
        <f t="shared" si="21"/>
        <v>74006</v>
      </c>
      <c r="L17" s="446">
        <f t="shared" si="21"/>
        <v>73509</v>
      </c>
      <c r="M17" s="446">
        <f t="shared" si="21"/>
        <v>74022</v>
      </c>
      <c r="N17" s="446">
        <f t="shared" si="21"/>
        <v>76298</v>
      </c>
      <c r="O17" s="446">
        <f t="shared" si="21"/>
        <v>77213</v>
      </c>
      <c r="Q17" s="441"/>
    </row>
    <row r="18" spans="1:17">
      <c r="D18" s="444"/>
      <c r="E18" s="444"/>
      <c r="F18" s="444"/>
      <c r="G18" s="444"/>
      <c r="H18" s="444"/>
      <c r="I18" s="444"/>
      <c r="J18" s="444"/>
      <c r="K18" s="444"/>
      <c r="L18" s="444"/>
      <c r="M18" s="444"/>
      <c r="N18" s="444"/>
      <c r="O18" s="444"/>
    </row>
    <row r="19" spans="1:17">
      <c r="A19" s="441" t="s">
        <v>6529</v>
      </c>
      <c r="D19" s="443">
        <f t="shared" ref="D19:M19" si="22">D103</f>
        <v>80113</v>
      </c>
      <c r="E19" s="443">
        <f t="shared" si="22"/>
        <v>81644</v>
      </c>
      <c r="F19" s="443">
        <f t="shared" si="22"/>
        <v>81848</v>
      </c>
      <c r="G19" s="443">
        <f t="shared" si="22"/>
        <v>80909</v>
      </c>
      <c r="H19" s="443">
        <f t="shared" si="22"/>
        <v>80818</v>
      </c>
      <c r="I19" s="443">
        <f t="shared" si="22"/>
        <v>72738</v>
      </c>
      <c r="J19" s="443">
        <f t="shared" si="22"/>
        <v>70293</v>
      </c>
      <c r="K19" s="443">
        <f t="shared" si="22"/>
        <v>73139</v>
      </c>
      <c r="L19" s="443">
        <f t="shared" si="22"/>
        <v>72492</v>
      </c>
      <c r="M19" s="443">
        <f t="shared" si="22"/>
        <v>71040</v>
      </c>
      <c r="N19" s="443">
        <f>N103</f>
        <v>71304</v>
      </c>
      <c r="O19" s="443">
        <f>O103</f>
        <v>79145</v>
      </c>
      <c r="Q19" s="441" t="s">
        <v>6675</v>
      </c>
    </row>
    <row r="20" spans="1:17">
      <c r="D20" s="444"/>
      <c r="E20" s="444"/>
      <c r="F20" s="444"/>
      <c r="G20" s="444"/>
      <c r="H20" s="444"/>
      <c r="I20" s="444"/>
      <c r="J20" s="444"/>
      <c r="K20" s="444"/>
      <c r="L20" s="444"/>
      <c r="M20" s="444"/>
      <c r="N20" s="444"/>
      <c r="O20" s="444"/>
    </row>
    <row r="21" spans="1:17">
      <c r="A21" s="441" t="s">
        <v>6676</v>
      </c>
      <c r="D21" s="443">
        <f t="shared" ref="D21:I21" si="23">D65</f>
        <v>13936</v>
      </c>
      <c r="E21" s="443">
        <f t="shared" si="23"/>
        <v>13722</v>
      </c>
      <c r="F21" s="443">
        <f t="shared" si="23"/>
        <v>14164</v>
      </c>
      <c r="G21" s="443">
        <f t="shared" si="23"/>
        <v>14490</v>
      </c>
      <c r="H21" s="443">
        <f t="shared" si="23"/>
        <v>14438</v>
      </c>
      <c r="I21" s="443">
        <f t="shared" si="23"/>
        <v>14210</v>
      </c>
      <c r="J21" s="443">
        <f t="shared" ref="J21:O21" si="24">J65</f>
        <v>14132</v>
      </c>
      <c r="K21" s="443">
        <f t="shared" si="24"/>
        <v>14584</v>
      </c>
      <c r="L21" s="443">
        <f t="shared" si="24"/>
        <v>13871</v>
      </c>
      <c r="M21" s="443">
        <f t="shared" si="24"/>
        <v>13705</v>
      </c>
      <c r="N21" s="443">
        <f t="shared" si="24"/>
        <v>13743</v>
      </c>
      <c r="O21" s="443">
        <f t="shared" si="24"/>
        <v>13920</v>
      </c>
      <c r="Q21" s="441" t="s">
        <v>3649</v>
      </c>
    </row>
    <row r="22" spans="1:17">
      <c r="D22" s="443">
        <f t="shared" ref="D22:M22" si="25">D104</f>
        <v>21452</v>
      </c>
      <c r="E22" s="443">
        <f t="shared" si="25"/>
        <v>21464</v>
      </c>
      <c r="F22" s="443">
        <f t="shared" si="25"/>
        <v>21461</v>
      </c>
      <c r="G22" s="443">
        <f t="shared" si="25"/>
        <v>21244</v>
      </c>
      <c r="H22" s="443">
        <f t="shared" si="25"/>
        <v>21134</v>
      </c>
      <c r="I22" s="443">
        <f t="shared" si="25"/>
        <v>18813</v>
      </c>
      <c r="J22" s="443">
        <f t="shared" si="25"/>
        <v>18419</v>
      </c>
      <c r="K22" s="443">
        <f t="shared" si="25"/>
        <v>18982</v>
      </c>
      <c r="L22" s="443">
        <f t="shared" si="25"/>
        <v>18875</v>
      </c>
      <c r="M22" s="443">
        <f t="shared" si="25"/>
        <v>18663</v>
      </c>
      <c r="N22" s="443">
        <f>N104</f>
        <v>18332</v>
      </c>
      <c r="O22" s="443">
        <f>O104</f>
        <v>20628</v>
      </c>
      <c r="Q22" s="441" t="s">
        <v>6675</v>
      </c>
    </row>
    <row r="23" spans="1:17" ht="15.75" thickBot="1">
      <c r="D23" s="446">
        <f t="shared" ref="D23:I23" si="26">D177</f>
        <v>42438</v>
      </c>
      <c r="E23" s="446">
        <f t="shared" si="26"/>
        <v>42625</v>
      </c>
      <c r="F23" s="446">
        <f t="shared" si="26"/>
        <v>43024</v>
      </c>
      <c r="G23" s="446">
        <f t="shared" si="26"/>
        <v>42786</v>
      </c>
      <c r="H23" s="446">
        <f t="shared" si="26"/>
        <v>42832</v>
      </c>
      <c r="I23" s="446">
        <f t="shared" si="26"/>
        <v>43654</v>
      </c>
      <c r="J23" s="446">
        <f t="shared" ref="J23:O23" si="27">J177</f>
        <v>41096</v>
      </c>
      <c r="K23" s="446">
        <f t="shared" si="27"/>
        <v>41640</v>
      </c>
      <c r="L23" s="446">
        <f t="shared" si="27"/>
        <v>41502</v>
      </c>
      <c r="M23" s="446">
        <f t="shared" si="27"/>
        <v>41106</v>
      </c>
      <c r="N23" s="446">
        <f t="shared" si="27"/>
        <v>42278</v>
      </c>
      <c r="O23" s="446">
        <f t="shared" si="27"/>
        <v>42873</v>
      </c>
      <c r="Q23" s="441" t="s">
        <v>6677</v>
      </c>
    </row>
    <row r="24" spans="1:17" ht="15.75" thickBot="1">
      <c r="D24" s="446">
        <f t="shared" ref="D24:I24" si="28">SUM(D21:D23)</f>
        <v>77826</v>
      </c>
      <c r="E24" s="446">
        <f t="shared" si="28"/>
        <v>77811</v>
      </c>
      <c r="F24" s="446">
        <f t="shared" si="28"/>
        <v>78649</v>
      </c>
      <c r="G24" s="446">
        <f t="shared" si="28"/>
        <v>78520</v>
      </c>
      <c r="H24" s="446">
        <f t="shared" si="28"/>
        <v>78404</v>
      </c>
      <c r="I24" s="446">
        <f t="shared" si="28"/>
        <v>76677</v>
      </c>
      <c r="J24" s="446">
        <f t="shared" ref="J24:O24" si="29">SUM(J21:J23)</f>
        <v>73647</v>
      </c>
      <c r="K24" s="446">
        <f t="shared" si="29"/>
        <v>75206</v>
      </c>
      <c r="L24" s="446">
        <f t="shared" si="29"/>
        <v>74248</v>
      </c>
      <c r="M24" s="446">
        <f t="shared" si="29"/>
        <v>73474</v>
      </c>
      <c r="N24" s="446">
        <f t="shared" si="29"/>
        <v>74353</v>
      </c>
      <c r="O24" s="446">
        <f t="shared" si="29"/>
        <v>77421</v>
      </c>
    </row>
    <row r="25" spans="1:17">
      <c r="D25" s="444"/>
      <c r="E25" s="444"/>
      <c r="F25" s="444"/>
      <c r="G25" s="444"/>
      <c r="H25" s="444"/>
      <c r="I25" s="444"/>
      <c r="J25" s="444"/>
      <c r="K25" s="444"/>
      <c r="L25" s="444"/>
      <c r="M25" s="444"/>
      <c r="N25" s="444"/>
      <c r="O25" s="444"/>
    </row>
    <row r="26" spans="1:17">
      <c r="A26" s="441" t="s">
        <v>6678</v>
      </c>
      <c r="D26" s="443">
        <f t="shared" ref="D26:I26" si="30">D142</f>
        <v>30590</v>
      </c>
      <c r="E26" s="443">
        <f t="shared" si="30"/>
        <v>30812</v>
      </c>
      <c r="F26" s="443">
        <f t="shared" si="30"/>
        <v>31029</v>
      </c>
      <c r="G26" s="443">
        <f t="shared" si="30"/>
        <v>31417</v>
      </c>
      <c r="H26" s="443">
        <f t="shared" si="30"/>
        <v>31756</v>
      </c>
      <c r="I26" s="443">
        <f t="shared" si="30"/>
        <v>32628</v>
      </c>
      <c r="J26" s="443">
        <f t="shared" ref="J26:O26" si="31">J142</f>
        <v>31511</v>
      </c>
      <c r="K26" s="443">
        <f t="shared" si="31"/>
        <v>32570</v>
      </c>
      <c r="L26" s="443">
        <f t="shared" si="31"/>
        <v>32684</v>
      </c>
      <c r="M26" s="443">
        <f t="shared" si="31"/>
        <v>32850</v>
      </c>
      <c r="N26" s="443">
        <f t="shared" si="31"/>
        <v>34048</v>
      </c>
      <c r="O26" s="443">
        <f t="shared" si="31"/>
        <v>34628</v>
      </c>
      <c r="Q26" s="441" t="s">
        <v>6528</v>
      </c>
    </row>
    <row r="27" spans="1:17" ht="15.75" thickBot="1">
      <c r="D27" s="446">
        <f t="shared" ref="D27:I27" si="32">D178</f>
        <v>48187</v>
      </c>
      <c r="E27" s="446">
        <f t="shared" si="32"/>
        <v>48963</v>
      </c>
      <c r="F27" s="446">
        <f t="shared" si="32"/>
        <v>49664</v>
      </c>
      <c r="G27" s="446">
        <f t="shared" si="32"/>
        <v>49671</v>
      </c>
      <c r="H27" s="446">
        <f t="shared" si="32"/>
        <v>50190</v>
      </c>
      <c r="I27" s="446">
        <f t="shared" si="32"/>
        <v>51463</v>
      </c>
      <c r="J27" s="446">
        <f t="shared" ref="J27:O27" si="33">J178</f>
        <v>49348</v>
      </c>
      <c r="K27" s="446">
        <f t="shared" si="33"/>
        <v>51066</v>
      </c>
      <c r="L27" s="446">
        <f t="shared" si="33"/>
        <v>51903</v>
      </c>
      <c r="M27" s="446">
        <f t="shared" si="33"/>
        <v>53393</v>
      </c>
      <c r="N27" s="446">
        <f t="shared" si="33"/>
        <v>56288</v>
      </c>
      <c r="O27" s="446">
        <f t="shared" si="33"/>
        <v>57131</v>
      </c>
      <c r="Q27" s="441" t="s">
        <v>6677</v>
      </c>
    </row>
    <row r="28" spans="1:17" ht="15.75" thickBot="1">
      <c r="D28" s="446">
        <f t="shared" ref="D28:I28" si="34">D26+D27</f>
        <v>78777</v>
      </c>
      <c r="E28" s="446">
        <f t="shared" si="34"/>
        <v>79775</v>
      </c>
      <c r="F28" s="446">
        <f t="shared" si="34"/>
        <v>80693</v>
      </c>
      <c r="G28" s="446">
        <f t="shared" si="34"/>
        <v>81088</v>
      </c>
      <c r="H28" s="446">
        <f t="shared" si="34"/>
        <v>81946</v>
      </c>
      <c r="I28" s="446">
        <f t="shared" si="34"/>
        <v>84091</v>
      </c>
      <c r="J28" s="446">
        <f t="shared" ref="J28:O28" si="35">J26+J27</f>
        <v>80859</v>
      </c>
      <c r="K28" s="446">
        <f t="shared" si="35"/>
        <v>83636</v>
      </c>
      <c r="L28" s="446">
        <f t="shared" si="35"/>
        <v>84587</v>
      </c>
      <c r="M28" s="446">
        <f t="shared" si="35"/>
        <v>86243</v>
      </c>
      <c r="N28" s="446">
        <f t="shared" si="35"/>
        <v>90336</v>
      </c>
      <c r="O28" s="446">
        <f t="shared" si="35"/>
        <v>91759</v>
      </c>
    </row>
    <row r="29" spans="1:17">
      <c r="D29" s="444"/>
      <c r="E29" s="444"/>
      <c r="F29" s="444"/>
      <c r="G29" s="444"/>
      <c r="H29" s="444"/>
      <c r="I29" s="444"/>
      <c r="J29" s="444"/>
      <c r="K29" s="444"/>
      <c r="L29" s="444"/>
      <c r="M29" s="444"/>
      <c r="N29" s="444"/>
      <c r="O29" s="444"/>
    </row>
    <row r="30" spans="1:17">
      <c r="A30" s="441" t="s">
        <v>6679</v>
      </c>
      <c r="D30" s="447">
        <f t="shared" ref="D30:I30" si="36">D214</f>
        <v>78141</v>
      </c>
      <c r="E30" s="447">
        <f t="shared" si="36"/>
        <v>78220</v>
      </c>
      <c r="F30" s="447">
        <f t="shared" si="36"/>
        <v>79321</v>
      </c>
      <c r="G30" s="447">
        <f t="shared" si="36"/>
        <v>79653</v>
      </c>
      <c r="H30" s="447">
        <f t="shared" si="36"/>
        <v>79067</v>
      </c>
      <c r="I30" s="447">
        <f t="shared" si="36"/>
        <v>77097</v>
      </c>
      <c r="J30" s="447">
        <f t="shared" ref="J30:O30" si="37">J214</f>
        <v>78455</v>
      </c>
      <c r="K30" s="447">
        <f t="shared" si="37"/>
        <v>80868</v>
      </c>
      <c r="L30" s="447">
        <f t="shared" si="37"/>
        <v>80906</v>
      </c>
      <c r="M30" s="447">
        <f t="shared" si="37"/>
        <v>79644</v>
      </c>
      <c r="N30" s="447">
        <f t="shared" si="37"/>
        <v>83510</v>
      </c>
      <c r="O30" s="447">
        <f t="shared" si="37"/>
        <v>83613</v>
      </c>
      <c r="Q30" s="441" t="s">
        <v>3812</v>
      </c>
    </row>
    <row r="31" spans="1:17">
      <c r="D31" s="444"/>
      <c r="E31" s="444"/>
      <c r="F31" s="444"/>
      <c r="G31" s="444"/>
      <c r="H31" s="444"/>
      <c r="I31" s="444"/>
      <c r="J31" s="444"/>
      <c r="K31" s="444"/>
      <c r="L31" s="444"/>
      <c r="M31" s="444"/>
      <c r="N31" s="444"/>
      <c r="O31" s="444"/>
    </row>
    <row r="32" spans="1:17">
      <c r="A32" s="441" t="s">
        <v>6796</v>
      </c>
      <c r="D32" s="443">
        <f t="shared" ref="D32:I32" si="38">D13+D17+D19+D24+D28+D30</f>
        <v>472328</v>
      </c>
      <c r="E32" s="443">
        <f t="shared" si="38"/>
        <v>475364</v>
      </c>
      <c r="F32" s="443">
        <f t="shared" si="38"/>
        <v>480083</v>
      </c>
      <c r="G32" s="443">
        <f t="shared" si="38"/>
        <v>481059</v>
      </c>
      <c r="H32" s="443">
        <f t="shared" si="38"/>
        <v>481250</v>
      </c>
      <c r="I32" s="443">
        <f t="shared" si="38"/>
        <v>471416</v>
      </c>
      <c r="J32" s="443">
        <f t="shared" ref="J32:O32" si="39">J13+J17+J19+J24+J28+J30</f>
        <v>461334</v>
      </c>
      <c r="K32" s="443">
        <f t="shared" si="39"/>
        <v>476218</v>
      </c>
      <c r="L32" s="443">
        <f t="shared" si="39"/>
        <v>471537</v>
      </c>
      <c r="M32" s="443">
        <f t="shared" si="39"/>
        <v>470854</v>
      </c>
      <c r="N32" s="443">
        <f t="shared" si="39"/>
        <v>484583</v>
      </c>
      <c r="O32" s="443">
        <f t="shared" si="39"/>
        <v>499731</v>
      </c>
    </row>
    <row r="33" spans="1:17">
      <c r="D33" s="444"/>
      <c r="E33" s="444"/>
      <c r="F33" s="444"/>
      <c r="G33" s="444"/>
      <c r="H33" s="444"/>
      <c r="I33" s="444"/>
      <c r="J33" s="444"/>
      <c r="K33" s="444"/>
      <c r="L33" s="444"/>
      <c r="M33" s="444"/>
      <c r="N33" s="444"/>
      <c r="O33" s="444"/>
    </row>
    <row r="34" spans="1:17">
      <c r="A34" s="441" t="s">
        <v>6797</v>
      </c>
      <c r="D34" s="443">
        <f t="shared" ref="D34:I34" si="40">MAX(D13,D17,D19,D24,D28,D30)-MIN(D13,D17,D24,D28,D30)</f>
        <v>10395</v>
      </c>
      <c r="E34" s="443">
        <f t="shared" si="40"/>
        <v>10212</v>
      </c>
      <c r="F34" s="443">
        <f t="shared" si="40"/>
        <v>11054</v>
      </c>
      <c r="G34" s="443">
        <f t="shared" si="40"/>
        <v>11633</v>
      </c>
      <c r="H34" s="443">
        <f t="shared" si="40"/>
        <v>11049</v>
      </c>
      <c r="I34" s="443">
        <f t="shared" si="40"/>
        <v>8061</v>
      </c>
      <c r="J34" s="443">
        <f t="shared" ref="J34:O34" si="41">MAX(J13,J17,J19,J24,J28,J30)-MIN(J13,J17,J24,J28,J30)</f>
        <v>12716</v>
      </c>
      <c r="K34" s="443">
        <f t="shared" si="41"/>
        <v>15357</v>
      </c>
      <c r="L34" s="443">
        <f t="shared" si="41"/>
        <v>12286</v>
      </c>
      <c r="M34" s="443">
        <f t="shared" si="41"/>
        <v>12957</v>
      </c>
      <c r="N34" s="443">
        <f t="shared" si="41"/>
        <v>15983</v>
      </c>
      <c r="O34" s="443">
        <f t="shared" si="41"/>
        <v>14546</v>
      </c>
    </row>
    <row r="35" spans="1:17">
      <c r="D35" s="444"/>
      <c r="E35" s="444"/>
      <c r="F35" s="444"/>
      <c r="G35" s="444"/>
      <c r="H35" s="444"/>
      <c r="I35" s="444"/>
      <c r="J35" s="444"/>
      <c r="K35" s="444"/>
      <c r="L35" s="444"/>
      <c r="M35" s="444"/>
      <c r="N35" s="444"/>
      <c r="O35" s="444"/>
    </row>
    <row r="36" spans="1:17">
      <c r="A36" s="441" t="s">
        <v>6800</v>
      </c>
      <c r="D36" s="443">
        <f t="shared" ref="D36:I36" si="42">STDEVP(D13,D17,D19,D24,D28,D30)</f>
        <v>3085.0893378024275</v>
      </c>
      <c r="E36" s="443">
        <f t="shared" si="42"/>
        <v>3200.249191686311</v>
      </c>
      <c r="F36" s="443">
        <f t="shared" si="42"/>
        <v>3350.8082814283612</v>
      </c>
      <c r="G36" s="443">
        <f t="shared" si="42"/>
        <v>3468.7275644920092</v>
      </c>
      <c r="H36" s="443">
        <f t="shared" si="42"/>
        <v>3395.3065971851333</v>
      </c>
      <c r="I36" s="443">
        <f t="shared" si="42"/>
        <v>4271.6539601839895</v>
      </c>
      <c r="J36" s="443">
        <f t="shared" ref="J36:O36" si="43">STDEVP(J13,J17,J19,J24,J28,J30)</f>
        <v>5201.489626379479</v>
      </c>
      <c r="K36" s="443">
        <f t="shared" si="43"/>
        <v>5848.640316821984</v>
      </c>
      <c r="L36" s="443">
        <f t="shared" si="43"/>
        <v>5402.0832015683236</v>
      </c>
      <c r="M36" s="443">
        <f t="shared" si="43"/>
        <v>6125.4217995352956</v>
      </c>
      <c r="N36" s="443">
        <f t="shared" si="43"/>
        <v>7234.0594969598887</v>
      </c>
      <c r="O36" s="443">
        <f t="shared" si="43"/>
        <v>5965.5747348153027</v>
      </c>
    </row>
    <row r="37" spans="1:17">
      <c r="A37" s="441"/>
      <c r="D37" s="448"/>
      <c r="E37" s="448"/>
      <c r="F37" s="448"/>
      <c r="G37" s="448"/>
      <c r="H37" s="448"/>
      <c r="I37" s="448"/>
      <c r="J37" s="448"/>
      <c r="K37" s="448"/>
      <c r="L37" s="448"/>
      <c r="M37" s="448"/>
      <c r="N37" s="448"/>
      <c r="O37" s="448"/>
    </row>
    <row r="38" spans="1:17">
      <c r="A38" s="441"/>
      <c r="D38" s="448"/>
      <c r="E38" s="448"/>
      <c r="F38" s="448"/>
      <c r="G38" s="448"/>
      <c r="H38" s="448"/>
      <c r="I38" s="448"/>
      <c r="J38" s="448"/>
      <c r="K38" s="448"/>
      <c r="L38" s="448"/>
      <c r="M38" s="448"/>
      <c r="N38" s="448"/>
      <c r="O38" s="448"/>
    </row>
    <row r="39" spans="1:17">
      <c r="E39" s="51" t="s">
        <v>1526</v>
      </c>
      <c r="F39" s="51"/>
      <c r="G39" s="51"/>
      <c r="H39" s="51"/>
      <c r="I39" s="51"/>
      <c r="J39" s="51"/>
      <c r="K39" s="51"/>
      <c r="L39" s="51"/>
      <c r="M39" s="51"/>
      <c r="N39" s="51"/>
      <c r="O39" s="51"/>
      <c r="P39" s="11"/>
      <c r="Q39" s="11" t="s">
        <v>9479</v>
      </c>
    </row>
    <row r="40" spans="1:17">
      <c r="D40" s="350">
        <v>2010</v>
      </c>
      <c r="E40" s="350">
        <v>2011</v>
      </c>
      <c r="F40" s="350">
        <v>2012</v>
      </c>
      <c r="G40" s="350">
        <v>2013</v>
      </c>
      <c r="H40" s="350">
        <v>2014</v>
      </c>
      <c r="I40" s="350">
        <v>2015</v>
      </c>
      <c r="J40" s="350">
        <v>2016</v>
      </c>
      <c r="K40" s="350">
        <v>2017</v>
      </c>
      <c r="L40" s="350">
        <v>2018</v>
      </c>
      <c r="M40" s="350">
        <v>2019</v>
      </c>
      <c r="N40" s="350">
        <v>2020</v>
      </c>
      <c r="O40" s="949" t="s">
        <v>14823</v>
      </c>
      <c r="P40" s="11"/>
      <c r="Q40" s="13" t="s">
        <v>1527</v>
      </c>
    </row>
    <row r="41" spans="1:17">
      <c r="A41" s="441" t="s">
        <v>6680</v>
      </c>
      <c r="C41" s="441"/>
      <c r="D41" s="443">
        <f>SUM(D42:D55)+SUM(D57:D60)</f>
        <v>102067</v>
      </c>
      <c r="E41" s="443">
        <f t="shared" ref="E41:K41" si="44">SUM(E42:E55)+SUM(E57:E60)</f>
        <v>101966</v>
      </c>
      <c r="F41" s="443">
        <f t="shared" si="44"/>
        <v>103835</v>
      </c>
      <c r="G41" s="443">
        <f t="shared" si="44"/>
        <v>105087</v>
      </c>
      <c r="H41" s="443">
        <f t="shared" si="44"/>
        <v>104811</v>
      </c>
      <c r="I41" s="443">
        <f t="shared" si="44"/>
        <v>102971</v>
      </c>
      <c r="J41" s="443">
        <f t="shared" si="44"/>
        <v>103843</v>
      </c>
      <c r="K41" s="443">
        <f t="shared" si="44"/>
        <v>108410</v>
      </c>
      <c r="L41" s="443">
        <f>SUM(L42:L55)+SUM(L57:L60)</f>
        <v>103953</v>
      </c>
      <c r="M41" s="443">
        <f>SUM(M42:M55)+SUM(M57:M60)</f>
        <v>104405</v>
      </c>
      <c r="N41" s="443">
        <f>SUM(N42:N55)+SUM(N57:N60)</f>
        <v>106860</v>
      </c>
      <c r="O41" s="443">
        <f>SUM(O42:O55)+SUM(O57:O60)</f>
        <v>108876</v>
      </c>
    </row>
    <row r="42" spans="1:17">
      <c r="A42" s="441" t="s">
        <v>5387</v>
      </c>
      <c r="B42" s="441" t="s">
        <v>11652</v>
      </c>
      <c r="C42" s="132" t="s">
        <v>12066</v>
      </c>
      <c r="D42" s="443">
        <v>83933</v>
      </c>
      <c r="E42" s="443">
        <v>84063</v>
      </c>
      <c r="F42" s="443">
        <v>85313</v>
      </c>
      <c r="G42" s="56">
        <v>86261</v>
      </c>
      <c r="H42" s="56">
        <v>86032</v>
      </c>
      <c r="I42" s="56">
        <v>84437</v>
      </c>
      <c r="J42" s="56">
        <v>85398</v>
      </c>
      <c r="K42" s="56">
        <v>89363</v>
      </c>
      <c r="L42" s="56">
        <v>85795</v>
      </c>
      <c r="M42" s="56">
        <v>86431</v>
      </c>
      <c r="N42" s="56">
        <v>7309</v>
      </c>
      <c r="O42" s="56">
        <v>7412</v>
      </c>
      <c r="Q42" s="441" t="s">
        <v>3644</v>
      </c>
    </row>
    <row r="43" spans="1:17">
      <c r="A43" s="441" t="s">
        <v>5389</v>
      </c>
      <c r="B43" s="441" t="s">
        <v>11653</v>
      </c>
      <c r="C43" s="132" t="s">
        <v>12067</v>
      </c>
      <c r="D43" s="443">
        <v>0</v>
      </c>
      <c r="E43" s="443">
        <v>0</v>
      </c>
      <c r="F43" s="443">
        <v>0</v>
      </c>
      <c r="G43" s="56">
        <v>0</v>
      </c>
      <c r="H43" s="56">
        <v>0</v>
      </c>
      <c r="I43" s="56">
        <v>0</v>
      </c>
      <c r="J43" s="56">
        <v>0</v>
      </c>
      <c r="K43" s="56">
        <v>0</v>
      </c>
      <c r="L43" s="56">
        <v>0</v>
      </c>
      <c r="M43" s="56">
        <v>0</v>
      </c>
      <c r="N43" s="56">
        <v>7793</v>
      </c>
      <c r="O43" s="56">
        <v>7942</v>
      </c>
      <c r="Q43" s="441" t="s">
        <v>3644</v>
      </c>
    </row>
    <row r="44" spans="1:17">
      <c r="A44" s="441" t="s">
        <v>5391</v>
      </c>
      <c r="B44" s="441" t="s">
        <v>11654</v>
      </c>
      <c r="C44" s="132" t="s">
        <v>11640</v>
      </c>
      <c r="D44" s="443">
        <v>0</v>
      </c>
      <c r="E44" s="443">
        <v>0</v>
      </c>
      <c r="F44" s="443">
        <v>0</v>
      </c>
      <c r="G44" s="56">
        <v>0</v>
      </c>
      <c r="H44" s="56">
        <v>0</v>
      </c>
      <c r="I44" s="56">
        <v>0</v>
      </c>
      <c r="J44" s="56">
        <v>0</v>
      </c>
      <c r="K44" s="56">
        <v>0</v>
      </c>
      <c r="L44" s="56">
        <v>0</v>
      </c>
      <c r="M44" s="56">
        <v>0</v>
      </c>
      <c r="N44" s="56">
        <v>6394</v>
      </c>
      <c r="O44" s="56">
        <v>6576</v>
      </c>
      <c r="Q44" s="441" t="s">
        <v>3644</v>
      </c>
    </row>
    <row r="45" spans="1:17">
      <c r="A45" s="441" t="s">
        <v>5393</v>
      </c>
      <c r="B45" s="441" t="s">
        <v>11655</v>
      </c>
      <c r="C45" s="132" t="s">
        <v>11641</v>
      </c>
      <c r="D45" s="443">
        <v>0</v>
      </c>
      <c r="E45" s="443">
        <v>0</v>
      </c>
      <c r="F45" s="443">
        <v>0</v>
      </c>
      <c r="G45" s="56">
        <v>0</v>
      </c>
      <c r="H45" s="56">
        <v>0</v>
      </c>
      <c r="I45" s="56">
        <v>0</v>
      </c>
      <c r="J45" s="56">
        <v>0</v>
      </c>
      <c r="K45" s="56">
        <v>0</v>
      </c>
      <c r="L45" s="56">
        <v>0</v>
      </c>
      <c r="M45" s="56">
        <v>0</v>
      </c>
      <c r="N45" s="56">
        <v>6118</v>
      </c>
      <c r="O45" s="56">
        <v>6255</v>
      </c>
      <c r="Q45" s="441" t="s">
        <v>3644</v>
      </c>
    </row>
    <row r="46" spans="1:17">
      <c r="A46" s="441" t="s">
        <v>5394</v>
      </c>
      <c r="B46" s="441" t="s">
        <v>6299</v>
      </c>
      <c r="C46" s="132" t="s">
        <v>11642</v>
      </c>
      <c r="D46" s="443">
        <v>0</v>
      </c>
      <c r="E46" s="443">
        <v>0</v>
      </c>
      <c r="F46" s="443">
        <v>0</v>
      </c>
      <c r="G46" s="56">
        <v>0</v>
      </c>
      <c r="H46" s="56">
        <v>0</v>
      </c>
      <c r="I46" s="56">
        <v>0</v>
      </c>
      <c r="J46" s="56">
        <v>0</v>
      </c>
      <c r="K46" s="56">
        <v>0</v>
      </c>
      <c r="L46" s="56">
        <v>0</v>
      </c>
      <c r="M46" s="56">
        <v>0</v>
      </c>
      <c r="N46" s="56">
        <v>6250</v>
      </c>
      <c r="O46" s="56">
        <v>6431</v>
      </c>
      <c r="Q46" s="441" t="s">
        <v>3644</v>
      </c>
    </row>
    <row r="47" spans="1:17">
      <c r="A47" s="441" t="s">
        <v>5416</v>
      </c>
      <c r="B47" s="441" t="s">
        <v>6300</v>
      </c>
      <c r="C47" s="132" t="s">
        <v>11643</v>
      </c>
      <c r="D47" s="443">
        <v>0</v>
      </c>
      <c r="E47" s="443">
        <v>0</v>
      </c>
      <c r="F47" s="443">
        <v>0</v>
      </c>
      <c r="G47" s="56">
        <v>0</v>
      </c>
      <c r="H47" s="56">
        <v>0</v>
      </c>
      <c r="I47" s="56">
        <v>0</v>
      </c>
      <c r="J47" s="56">
        <v>0</v>
      </c>
      <c r="K47" s="56">
        <v>0</v>
      </c>
      <c r="L47" s="56">
        <v>0</v>
      </c>
      <c r="M47" s="56">
        <v>0</v>
      </c>
      <c r="N47" s="56">
        <v>6191</v>
      </c>
      <c r="O47" s="56">
        <v>6328</v>
      </c>
      <c r="Q47" s="441" t="s">
        <v>3644</v>
      </c>
    </row>
    <row r="48" spans="1:17">
      <c r="A48" s="441" t="s">
        <v>5418</v>
      </c>
      <c r="B48" s="441" t="s">
        <v>6301</v>
      </c>
      <c r="C48" s="132" t="s">
        <v>11644</v>
      </c>
      <c r="D48" s="443">
        <v>0</v>
      </c>
      <c r="E48" s="443">
        <v>0</v>
      </c>
      <c r="F48" s="443">
        <v>0</v>
      </c>
      <c r="G48" s="56">
        <v>0</v>
      </c>
      <c r="H48" s="56">
        <v>0</v>
      </c>
      <c r="I48" s="56">
        <v>0</v>
      </c>
      <c r="J48" s="56">
        <v>0</v>
      </c>
      <c r="K48" s="56">
        <v>0</v>
      </c>
      <c r="L48" s="56">
        <v>0</v>
      </c>
      <c r="M48" s="56">
        <v>0</v>
      </c>
      <c r="N48" s="56">
        <v>5934</v>
      </c>
      <c r="O48" s="56">
        <v>6039</v>
      </c>
      <c r="Q48" s="441" t="s">
        <v>3644</v>
      </c>
    </row>
    <row r="49" spans="1:17">
      <c r="A49" s="441" t="s">
        <v>5420</v>
      </c>
      <c r="B49" s="441" t="s">
        <v>11656</v>
      </c>
      <c r="C49" s="132" t="s">
        <v>11645</v>
      </c>
      <c r="D49" s="443">
        <v>0</v>
      </c>
      <c r="E49" s="443">
        <v>0</v>
      </c>
      <c r="F49" s="443">
        <v>0</v>
      </c>
      <c r="G49" s="56">
        <v>0</v>
      </c>
      <c r="H49" s="56">
        <v>0</v>
      </c>
      <c r="I49" s="56">
        <v>0</v>
      </c>
      <c r="J49" s="56">
        <v>0</v>
      </c>
      <c r="K49" s="56">
        <v>0</v>
      </c>
      <c r="L49" s="56">
        <v>0</v>
      </c>
      <c r="M49" s="56">
        <v>0</v>
      </c>
      <c r="N49" s="56">
        <v>6015</v>
      </c>
      <c r="O49" s="56">
        <v>6134</v>
      </c>
      <c r="Q49" s="441" t="s">
        <v>3644</v>
      </c>
    </row>
    <row r="50" spans="1:17">
      <c r="A50" s="441" t="s">
        <v>5422</v>
      </c>
      <c r="B50" s="441" t="s">
        <v>11657</v>
      </c>
      <c r="C50" s="132" t="s">
        <v>12729</v>
      </c>
      <c r="D50" s="443">
        <v>0</v>
      </c>
      <c r="E50" s="443">
        <v>0</v>
      </c>
      <c r="F50" s="443">
        <v>0</v>
      </c>
      <c r="G50" s="56">
        <v>0</v>
      </c>
      <c r="H50" s="56">
        <v>0</v>
      </c>
      <c r="I50" s="56">
        <v>0</v>
      </c>
      <c r="J50" s="56">
        <v>0</v>
      </c>
      <c r="K50" s="56">
        <v>0</v>
      </c>
      <c r="L50" s="56">
        <v>0</v>
      </c>
      <c r="M50" s="56">
        <v>0</v>
      </c>
      <c r="N50" s="56">
        <v>7750</v>
      </c>
      <c r="O50" s="56">
        <v>7996</v>
      </c>
      <c r="Q50" s="441" t="s">
        <v>3644</v>
      </c>
    </row>
    <row r="51" spans="1:17">
      <c r="A51" s="441" t="s">
        <v>5424</v>
      </c>
      <c r="B51" s="441" t="s">
        <v>6302</v>
      </c>
      <c r="C51" s="132" t="s">
        <v>11646</v>
      </c>
      <c r="D51" s="443">
        <v>0</v>
      </c>
      <c r="E51" s="443">
        <v>0</v>
      </c>
      <c r="F51" s="443">
        <v>0</v>
      </c>
      <c r="G51" s="56">
        <v>0</v>
      </c>
      <c r="H51" s="56">
        <v>0</v>
      </c>
      <c r="I51" s="56">
        <v>0</v>
      </c>
      <c r="J51" s="56">
        <v>0</v>
      </c>
      <c r="K51" s="56">
        <v>0</v>
      </c>
      <c r="L51" s="56">
        <v>0</v>
      </c>
      <c r="M51" s="56">
        <v>0</v>
      </c>
      <c r="N51" s="56">
        <v>6406</v>
      </c>
      <c r="O51" s="56">
        <v>6499</v>
      </c>
      <c r="Q51" s="441" t="s">
        <v>3644</v>
      </c>
    </row>
    <row r="52" spans="1:17">
      <c r="A52" s="441" t="s">
        <v>5426</v>
      </c>
      <c r="B52" s="441" t="s">
        <v>11658</v>
      </c>
      <c r="C52" s="132" t="s">
        <v>11647</v>
      </c>
      <c r="D52" s="443">
        <v>0</v>
      </c>
      <c r="E52" s="443">
        <v>0</v>
      </c>
      <c r="F52" s="443">
        <v>0</v>
      </c>
      <c r="G52" s="56">
        <v>0</v>
      </c>
      <c r="H52" s="56">
        <v>0</v>
      </c>
      <c r="I52" s="56">
        <v>0</v>
      </c>
      <c r="J52" s="56">
        <v>0</v>
      </c>
      <c r="K52" s="56">
        <v>0</v>
      </c>
      <c r="L52" s="56">
        <v>0</v>
      </c>
      <c r="M52" s="56">
        <v>0</v>
      </c>
      <c r="N52" s="56">
        <v>6633</v>
      </c>
      <c r="O52" s="56">
        <v>6722</v>
      </c>
      <c r="Q52" s="441" t="s">
        <v>3644</v>
      </c>
    </row>
    <row r="53" spans="1:17">
      <c r="A53" s="441" t="s">
        <v>5428</v>
      </c>
      <c r="B53" s="441" t="s">
        <v>6303</v>
      </c>
      <c r="C53" s="132" t="s">
        <v>11648</v>
      </c>
      <c r="D53" s="443">
        <v>0</v>
      </c>
      <c r="E53" s="443">
        <v>0</v>
      </c>
      <c r="F53" s="443">
        <v>0</v>
      </c>
      <c r="G53" s="56">
        <v>0</v>
      </c>
      <c r="H53" s="56">
        <v>0</v>
      </c>
      <c r="I53" s="56">
        <v>0</v>
      </c>
      <c r="J53" s="56">
        <v>0</v>
      </c>
      <c r="K53" s="56">
        <v>0</v>
      </c>
      <c r="L53" s="56">
        <v>0</v>
      </c>
      <c r="M53" s="56">
        <v>0</v>
      </c>
      <c r="N53" s="56">
        <v>7504</v>
      </c>
      <c r="O53" s="56">
        <v>7600</v>
      </c>
      <c r="Q53" s="441" t="s">
        <v>3644</v>
      </c>
    </row>
    <row r="54" spans="1:17">
      <c r="A54" s="441" t="s">
        <v>5429</v>
      </c>
      <c r="B54" s="441" t="s">
        <v>11659</v>
      </c>
      <c r="C54" s="132" t="s">
        <v>12730</v>
      </c>
      <c r="D54" s="443">
        <v>0</v>
      </c>
      <c r="E54" s="443">
        <v>0</v>
      </c>
      <c r="F54" s="443">
        <v>0</v>
      </c>
      <c r="G54" s="56">
        <v>0</v>
      </c>
      <c r="H54" s="56">
        <v>0</v>
      </c>
      <c r="I54" s="56">
        <v>0</v>
      </c>
      <c r="J54" s="56">
        <v>0</v>
      </c>
      <c r="K54" s="56">
        <v>0</v>
      </c>
      <c r="L54" s="56">
        <v>0</v>
      </c>
      <c r="M54" s="56">
        <v>0</v>
      </c>
      <c r="N54" s="56">
        <v>5836</v>
      </c>
      <c r="O54" s="56">
        <v>5933</v>
      </c>
      <c r="Q54" s="441" t="s">
        <v>3644</v>
      </c>
    </row>
    <row r="55" spans="1:17" ht="15.75" thickBot="1">
      <c r="A55" s="441"/>
      <c r="B55" s="441"/>
      <c r="C55" s="132" t="s">
        <v>12730</v>
      </c>
      <c r="D55" s="446">
        <v>0</v>
      </c>
      <c r="E55" s="446">
        <v>0</v>
      </c>
      <c r="F55" s="446">
        <v>0</v>
      </c>
      <c r="G55" s="274">
        <v>0</v>
      </c>
      <c r="H55" s="274">
        <v>0</v>
      </c>
      <c r="I55" s="274">
        <v>0</v>
      </c>
      <c r="J55" s="274">
        <v>0</v>
      </c>
      <c r="K55" s="274">
        <v>0</v>
      </c>
      <c r="L55" s="274">
        <v>0</v>
      </c>
      <c r="M55" s="274">
        <v>0</v>
      </c>
      <c r="N55" s="56">
        <v>770</v>
      </c>
      <c r="O55" s="56">
        <v>789</v>
      </c>
      <c r="Q55" s="441" t="s">
        <v>3650</v>
      </c>
    </row>
    <row r="56" spans="1:17" ht="15.75" thickBot="1">
      <c r="A56" s="441"/>
      <c r="B56" s="441"/>
      <c r="C56" s="132" t="s">
        <v>12730</v>
      </c>
      <c r="D56" s="449">
        <f>D54+D55</f>
        <v>0</v>
      </c>
      <c r="E56" s="449">
        <f t="shared" ref="E56:L56" si="45">E54+E55</f>
        <v>0</v>
      </c>
      <c r="F56" s="449">
        <f t="shared" si="45"/>
        <v>0</v>
      </c>
      <c r="G56" s="449">
        <f t="shared" si="45"/>
        <v>0</v>
      </c>
      <c r="H56" s="449">
        <f t="shared" si="45"/>
        <v>0</v>
      </c>
      <c r="I56" s="449">
        <f t="shared" si="45"/>
        <v>0</v>
      </c>
      <c r="J56" s="449">
        <f t="shared" si="45"/>
        <v>0</v>
      </c>
      <c r="K56" s="449">
        <f t="shared" si="45"/>
        <v>0</v>
      </c>
      <c r="L56" s="449">
        <f t="shared" si="45"/>
        <v>0</v>
      </c>
      <c r="M56" s="449">
        <f>M54+M55</f>
        <v>0</v>
      </c>
      <c r="N56" s="449">
        <f>N54+N55</f>
        <v>6606</v>
      </c>
      <c r="O56" s="449">
        <f>O54+O55</f>
        <v>6722</v>
      </c>
      <c r="Q56" s="441"/>
    </row>
    <row r="57" spans="1:17">
      <c r="A57" s="441" t="s">
        <v>5431</v>
      </c>
      <c r="B57" s="441" t="s">
        <v>11660</v>
      </c>
      <c r="C57" s="132" t="s">
        <v>11649</v>
      </c>
      <c r="D57" s="443">
        <v>13936</v>
      </c>
      <c r="E57" s="443">
        <v>13722</v>
      </c>
      <c r="F57" s="443">
        <v>14164</v>
      </c>
      <c r="G57" s="56">
        <v>14490</v>
      </c>
      <c r="H57" s="56">
        <v>14438</v>
      </c>
      <c r="I57" s="56">
        <v>14210</v>
      </c>
      <c r="J57" s="56">
        <v>14132</v>
      </c>
      <c r="K57" s="58">
        <v>14584</v>
      </c>
      <c r="L57" s="58">
        <v>13871</v>
      </c>
      <c r="M57" s="58">
        <v>13705</v>
      </c>
      <c r="N57" s="58">
        <v>6923</v>
      </c>
      <c r="O57" s="58">
        <v>7019</v>
      </c>
      <c r="Q57" s="441" t="s">
        <v>6676</v>
      </c>
    </row>
    <row r="58" spans="1:17">
      <c r="A58" s="441" t="s">
        <v>5433</v>
      </c>
      <c r="B58" s="441" t="s">
        <v>11661</v>
      </c>
      <c r="C58" s="132" t="s">
        <v>11650</v>
      </c>
      <c r="D58" s="443">
        <v>0</v>
      </c>
      <c r="E58" s="443">
        <v>0</v>
      </c>
      <c r="F58" s="443">
        <v>0</v>
      </c>
      <c r="G58" s="56">
        <v>0</v>
      </c>
      <c r="H58" s="56">
        <v>0</v>
      </c>
      <c r="I58" s="56">
        <v>0</v>
      </c>
      <c r="J58" s="56">
        <v>0</v>
      </c>
      <c r="K58" s="56">
        <v>0</v>
      </c>
      <c r="L58" s="56">
        <v>0</v>
      </c>
      <c r="M58" s="56">
        <v>0</v>
      </c>
      <c r="N58" s="58">
        <v>6820</v>
      </c>
      <c r="O58" s="58">
        <v>6901</v>
      </c>
      <c r="Q58" s="441" t="s">
        <v>6676</v>
      </c>
    </row>
    <row r="59" spans="1:17">
      <c r="A59" s="441" t="s">
        <v>5435</v>
      </c>
      <c r="B59" s="441" t="s">
        <v>11662</v>
      </c>
      <c r="C59" s="132" t="s">
        <v>11651</v>
      </c>
      <c r="D59" s="443">
        <v>0</v>
      </c>
      <c r="E59" s="443">
        <v>0</v>
      </c>
      <c r="F59" s="443">
        <v>0</v>
      </c>
      <c r="G59" s="58">
        <v>0</v>
      </c>
      <c r="H59" s="58">
        <v>0</v>
      </c>
      <c r="I59" s="58">
        <v>0</v>
      </c>
      <c r="J59" s="58">
        <v>0</v>
      </c>
      <c r="K59" s="58">
        <v>0</v>
      </c>
      <c r="L59" s="58">
        <v>0</v>
      </c>
      <c r="M59" s="58">
        <v>0</v>
      </c>
      <c r="N59" s="56">
        <v>2649</v>
      </c>
      <c r="O59" s="56">
        <v>2713</v>
      </c>
      <c r="Q59" s="441" t="s">
        <v>3644</v>
      </c>
    </row>
    <row r="60" spans="1:17" ht="15.75" thickBot="1">
      <c r="A60" s="441"/>
      <c r="B60" s="441"/>
      <c r="C60" s="132" t="s">
        <v>11651</v>
      </c>
      <c r="D60" s="446">
        <v>4198</v>
      </c>
      <c r="E60" s="446">
        <v>4181</v>
      </c>
      <c r="F60" s="446">
        <v>4358</v>
      </c>
      <c r="G60" s="274">
        <v>4336</v>
      </c>
      <c r="H60" s="274">
        <v>4341</v>
      </c>
      <c r="I60" s="274">
        <v>4324</v>
      </c>
      <c r="J60" s="274">
        <v>4313</v>
      </c>
      <c r="K60" s="58">
        <v>4463</v>
      </c>
      <c r="L60" s="58">
        <v>4287</v>
      </c>
      <c r="M60" s="58">
        <v>4269</v>
      </c>
      <c r="N60" s="58">
        <v>3565</v>
      </c>
      <c r="O60" s="58">
        <v>3587</v>
      </c>
      <c r="Q60" s="441" t="s">
        <v>3650</v>
      </c>
    </row>
    <row r="61" spans="1:17" ht="15.75" thickBot="1">
      <c r="A61" s="441"/>
      <c r="B61" s="441"/>
      <c r="C61" s="132" t="s">
        <v>11651</v>
      </c>
      <c r="D61" s="449">
        <f t="shared" ref="D61:O61" si="46">D59+D60</f>
        <v>4198</v>
      </c>
      <c r="E61" s="449">
        <f t="shared" si="46"/>
        <v>4181</v>
      </c>
      <c r="F61" s="449">
        <f t="shared" si="46"/>
        <v>4358</v>
      </c>
      <c r="G61" s="449">
        <f t="shared" si="46"/>
        <v>4336</v>
      </c>
      <c r="H61" s="449">
        <f t="shared" si="46"/>
        <v>4341</v>
      </c>
      <c r="I61" s="449">
        <f t="shared" si="46"/>
        <v>4324</v>
      </c>
      <c r="J61" s="449">
        <f t="shared" si="46"/>
        <v>4313</v>
      </c>
      <c r="K61" s="449">
        <f t="shared" si="46"/>
        <v>4463</v>
      </c>
      <c r="L61" s="449">
        <f t="shared" si="46"/>
        <v>4287</v>
      </c>
      <c r="M61" s="449">
        <f t="shared" si="46"/>
        <v>4269</v>
      </c>
      <c r="N61" s="449">
        <f t="shared" si="46"/>
        <v>6214</v>
      </c>
      <c r="O61" s="449">
        <f t="shared" si="46"/>
        <v>6300</v>
      </c>
      <c r="Q61" s="441"/>
    </row>
    <row r="62" spans="1:17">
      <c r="A62" s="441"/>
      <c r="B62" s="441"/>
      <c r="C62" s="55"/>
      <c r="D62" s="443"/>
      <c r="E62" s="443"/>
      <c r="F62" s="443"/>
      <c r="G62" s="58"/>
      <c r="H62" s="58"/>
      <c r="I62" s="58"/>
      <c r="J62" s="58"/>
      <c r="K62" s="58"/>
      <c r="L62" s="58"/>
      <c r="M62" s="58"/>
      <c r="N62" s="58"/>
      <c r="O62" s="58"/>
      <c r="Q62" s="441"/>
    </row>
    <row r="63" spans="1:17">
      <c r="A63" s="441" t="s">
        <v>3644</v>
      </c>
      <c r="D63" s="443">
        <f>SUM(D42:D54)+D59</f>
        <v>83933</v>
      </c>
      <c r="E63" s="443">
        <f t="shared" ref="E63:K63" si="47">SUM(E42:E54)+E59</f>
        <v>84063</v>
      </c>
      <c r="F63" s="443">
        <f t="shared" si="47"/>
        <v>85313</v>
      </c>
      <c r="G63" s="443">
        <f t="shared" si="47"/>
        <v>86261</v>
      </c>
      <c r="H63" s="443">
        <f t="shared" si="47"/>
        <v>86032</v>
      </c>
      <c r="I63" s="443">
        <f t="shared" si="47"/>
        <v>84437</v>
      </c>
      <c r="J63" s="443">
        <f t="shared" si="47"/>
        <v>85398</v>
      </c>
      <c r="K63" s="443">
        <f t="shared" si="47"/>
        <v>89363</v>
      </c>
      <c r="L63" s="443">
        <f>SUM(L42:L54)+L59</f>
        <v>85795</v>
      </c>
      <c r="M63" s="443">
        <f>SUM(M42:M54)+M59</f>
        <v>86431</v>
      </c>
      <c r="N63" s="443">
        <f>SUM(N42:N54)+N59</f>
        <v>88782</v>
      </c>
      <c r="O63" s="443">
        <f>SUM(O42:O54)+O59</f>
        <v>90580</v>
      </c>
    </row>
    <row r="64" spans="1:17">
      <c r="A64" s="441" t="s">
        <v>4932</v>
      </c>
      <c r="D64" s="443">
        <f>D55+D60</f>
        <v>4198</v>
      </c>
      <c r="E64" s="443">
        <f t="shared" ref="E64:K64" si="48">E55+E60</f>
        <v>4181</v>
      </c>
      <c r="F64" s="443">
        <f t="shared" si="48"/>
        <v>4358</v>
      </c>
      <c r="G64" s="443">
        <f t="shared" si="48"/>
        <v>4336</v>
      </c>
      <c r="H64" s="443">
        <f t="shared" si="48"/>
        <v>4341</v>
      </c>
      <c r="I64" s="443">
        <f t="shared" si="48"/>
        <v>4324</v>
      </c>
      <c r="J64" s="443">
        <f t="shared" si="48"/>
        <v>4313</v>
      </c>
      <c r="K64" s="443">
        <f t="shared" si="48"/>
        <v>4463</v>
      </c>
      <c r="L64" s="443">
        <f>L55+L60</f>
        <v>4287</v>
      </c>
      <c r="M64" s="443">
        <f>M55+M60</f>
        <v>4269</v>
      </c>
      <c r="N64" s="443">
        <f>N55+N60</f>
        <v>4335</v>
      </c>
      <c r="O64" s="443">
        <f>O55+O60</f>
        <v>4376</v>
      </c>
    </row>
    <row r="65" spans="1:17">
      <c r="A65" s="441" t="s">
        <v>4933</v>
      </c>
      <c r="D65" s="443">
        <f>D57+D58</f>
        <v>13936</v>
      </c>
      <c r="E65" s="443">
        <f t="shared" ref="E65:K65" si="49">E57+E58</f>
        <v>13722</v>
      </c>
      <c r="F65" s="443">
        <f t="shared" si="49"/>
        <v>14164</v>
      </c>
      <c r="G65" s="443">
        <f t="shared" si="49"/>
        <v>14490</v>
      </c>
      <c r="H65" s="443">
        <f t="shared" si="49"/>
        <v>14438</v>
      </c>
      <c r="I65" s="443">
        <f t="shared" si="49"/>
        <v>14210</v>
      </c>
      <c r="J65" s="443">
        <f t="shared" si="49"/>
        <v>14132</v>
      </c>
      <c r="K65" s="443">
        <f t="shared" si="49"/>
        <v>14584</v>
      </c>
      <c r="L65" s="443">
        <f>L57+L58</f>
        <v>13871</v>
      </c>
      <c r="M65" s="443">
        <f>M57+M58</f>
        <v>13705</v>
      </c>
      <c r="N65" s="443">
        <f>N57+N58</f>
        <v>13743</v>
      </c>
      <c r="O65" s="443">
        <f>O57+O58</f>
        <v>13920</v>
      </c>
    </row>
    <row r="66" spans="1:17">
      <c r="A66" s="441"/>
    </row>
    <row r="67" spans="1:17">
      <c r="A67" s="441" t="s">
        <v>12068</v>
      </c>
      <c r="D67" s="443"/>
      <c r="E67" s="443"/>
      <c r="F67" s="443"/>
      <c r="G67" s="443"/>
      <c r="H67" s="443"/>
      <c r="I67" s="443"/>
      <c r="J67" s="443"/>
      <c r="K67" s="443"/>
      <c r="L67" s="443"/>
      <c r="M67" s="443"/>
      <c r="N67" s="443"/>
      <c r="O67" s="443"/>
    </row>
    <row r="68" spans="1:17">
      <c r="A68" s="441" t="s">
        <v>12731</v>
      </c>
      <c r="B68" s="441"/>
      <c r="D68" s="443"/>
      <c r="E68" s="443"/>
      <c r="F68" s="443"/>
      <c r="G68" s="443"/>
      <c r="H68" s="443"/>
      <c r="I68" s="443"/>
      <c r="J68" s="443"/>
      <c r="K68" s="443"/>
      <c r="L68" s="443"/>
      <c r="M68" s="443"/>
      <c r="N68" s="450"/>
      <c r="O68" s="450"/>
    </row>
    <row r="69" spans="1:17">
      <c r="A69" s="441"/>
      <c r="B69" s="441"/>
      <c r="D69" s="443"/>
      <c r="E69" s="443"/>
      <c r="F69" s="443"/>
      <c r="G69" s="443"/>
      <c r="H69" s="443"/>
      <c r="I69" s="443"/>
      <c r="J69" s="443"/>
      <c r="K69" s="443"/>
      <c r="L69" s="443"/>
      <c r="M69" s="443"/>
      <c r="N69" s="450"/>
      <c r="O69" s="450"/>
    </row>
    <row r="70" spans="1:17">
      <c r="A70" s="441"/>
      <c r="B70" s="441"/>
      <c r="D70" s="450"/>
      <c r="E70" s="450"/>
      <c r="F70" s="450"/>
      <c r="G70" s="450"/>
      <c r="H70" s="450"/>
      <c r="I70" s="450"/>
      <c r="J70" s="450"/>
      <c r="K70" s="450"/>
      <c r="L70" s="450"/>
      <c r="M70" s="450"/>
      <c r="N70" s="450"/>
      <c r="O70" s="450"/>
    </row>
    <row r="71" spans="1:17">
      <c r="E71" s="51" t="s">
        <v>1526</v>
      </c>
      <c r="F71" s="51"/>
      <c r="G71" s="51"/>
      <c r="H71" s="51"/>
      <c r="I71" s="51"/>
      <c r="J71" s="51"/>
      <c r="K71" s="51"/>
      <c r="L71" s="51"/>
      <c r="M71" s="51"/>
      <c r="N71" s="51"/>
      <c r="O71" s="51"/>
      <c r="P71" s="11"/>
      <c r="Q71" s="11" t="s">
        <v>9479</v>
      </c>
    </row>
    <row r="72" spans="1:17">
      <c r="D72" s="350">
        <v>2010</v>
      </c>
      <c r="E72" s="350">
        <v>2011</v>
      </c>
      <c r="F72" s="350">
        <v>2012</v>
      </c>
      <c r="G72" s="350">
        <v>2013</v>
      </c>
      <c r="H72" s="350">
        <v>2014</v>
      </c>
      <c r="I72" s="350">
        <v>2015</v>
      </c>
      <c r="J72" s="350">
        <v>2016</v>
      </c>
      <c r="K72" s="350">
        <v>2017</v>
      </c>
      <c r="L72" s="350">
        <v>2018</v>
      </c>
      <c r="M72" s="350">
        <v>2019</v>
      </c>
      <c r="N72" s="350">
        <v>2020</v>
      </c>
      <c r="O72" s="949" t="s">
        <v>14823</v>
      </c>
      <c r="P72" s="11"/>
      <c r="Q72" s="13" t="s">
        <v>1527</v>
      </c>
    </row>
    <row r="73" spans="1:17">
      <c r="A73" s="441" t="s">
        <v>4934</v>
      </c>
      <c r="D73" s="443">
        <f t="shared" ref="D73:N73" si="50">SUM(D74:D77,D79:D92,D94:D101)</f>
        <v>101565</v>
      </c>
      <c r="E73" s="443">
        <f t="shared" si="50"/>
        <v>103108</v>
      </c>
      <c r="F73" s="443">
        <f t="shared" si="50"/>
        <v>103309</v>
      </c>
      <c r="G73" s="443">
        <f t="shared" si="50"/>
        <v>102153</v>
      </c>
      <c r="H73" s="443">
        <f t="shared" si="50"/>
        <v>101952</v>
      </c>
      <c r="I73" s="443">
        <f t="shared" si="50"/>
        <v>91551</v>
      </c>
      <c r="J73" s="443">
        <f t="shared" si="50"/>
        <v>88712</v>
      </c>
      <c r="K73" s="443">
        <f t="shared" si="50"/>
        <v>92121</v>
      </c>
      <c r="L73" s="443">
        <f t="shared" si="50"/>
        <v>91367</v>
      </c>
      <c r="M73" s="443">
        <f t="shared" si="50"/>
        <v>89703</v>
      </c>
      <c r="N73" s="443">
        <f t="shared" si="50"/>
        <v>89636</v>
      </c>
      <c r="O73" s="443">
        <f>SUM(O74:O77,O79:O92,O94:O101)</f>
        <v>99773</v>
      </c>
    </row>
    <row r="74" spans="1:17">
      <c r="A74" s="441" t="s">
        <v>5387</v>
      </c>
      <c r="B74" s="132" t="s">
        <v>14898</v>
      </c>
      <c r="C74" s="132" t="s">
        <v>14897</v>
      </c>
      <c r="D74" s="443">
        <v>80113</v>
      </c>
      <c r="E74" s="443">
        <v>81644</v>
      </c>
      <c r="F74" s="443">
        <v>81848</v>
      </c>
      <c r="G74" s="443">
        <v>80909</v>
      </c>
      <c r="H74" s="443">
        <v>80818</v>
      </c>
      <c r="I74" s="443">
        <v>72738</v>
      </c>
      <c r="J74" s="443">
        <v>70293</v>
      </c>
      <c r="K74" s="443">
        <v>73139</v>
      </c>
      <c r="L74" s="443">
        <v>72492</v>
      </c>
      <c r="M74" s="443">
        <v>71040</v>
      </c>
      <c r="N74" s="443">
        <v>71304</v>
      </c>
      <c r="O74" s="56">
        <v>3866</v>
      </c>
      <c r="Q74" s="441" t="s">
        <v>6529</v>
      </c>
    </row>
    <row r="75" spans="1:17">
      <c r="A75" s="441" t="s">
        <v>5389</v>
      </c>
      <c r="B75" s="132" t="s">
        <v>4935</v>
      </c>
      <c r="C75" s="132" t="s">
        <v>14899</v>
      </c>
      <c r="D75" s="443">
        <v>0</v>
      </c>
      <c r="E75" s="443">
        <v>0</v>
      </c>
      <c r="F75" s="443">
        <v>0</v>
      </c>
      <c r="G75" s="443">
        <v>0</v>
      </c>
      <c r="H75" s="443">
        <v>0</v>
      </c>
      <c r="I75" s="443">
        <v>0</v>
      </c>
      <c r="J75" s="443">
        <v>0</v>
      </c>
      <c r="K75" s="443">
        <v>0</v>
      </c>
      <c r="L75" s="443">
        <v>0</v>
      </c>
      <c r="M75" s="443">
        <v>0</v>
      </c>
      <c r="N75" s="443">
        <v>0</v>
      </c>
      <c r="O75" s="56">
        <v>3887</v>
      </c>
      <c r="Q75" s="441" t="s">
        <v>6529</v>
      </c>
    </row>
    <row r="76" spans="1:17">
      <c r="A76" s="441" t="s">
        <v>5391</v>
      </c>
      <c r="B76" s="132" t="s">
        <v>14901</v>
      </c>
      <c r="C76" s="132" t="s">
        <v>14900</v>
      </c>
      <c r="D76" s="443">
        <v>0</v>
      </c>
      <c r="E76" s="443">
        <v>0</v>
      </c>
      <c r="F76" s="443">
        <v>0</v>
      </c>
      <c r="G76" s="443">
        <v>0</v>
      </c>
      <c r="H76" s="443">
        <v>0</v>
      </c>
      <c r="I76" s="443">
        <v>0</v>
      </c>
      <c r="J76" s="443">
        <v>0</v>
      </c>
      <c r="K76" s="443">
        <v>0</v>
      </c>
      <c r="L76" s="443">
        <v>0</v>
      </c>
      <c r="M76" s="443">
        <v>0</v>
      </c>
      <c r="N76" s="443">
        <v>0</v>
      </c>
      <c r="O76" s="56">
        <v>2063</v>
      </c>
      <c r="Q76" s="441" t="s">
        <v>6529</v>
      </c>
    </row>
    <row r="77" spans="1:17" ht="15.75" thickBot="1">
      <c r="A77" s="441"/>
      <c r="C77" s="132" t="s">
        <v>14900</v>
      </c>
      <c r="D77" s="443">
        <v>0</v>
      </c>
      <c r="E77" s="443">
        <v>0</v>
      </c>
      <c r="F77" s="443">
        <v>0</v>
      </c>
      <c r="G77" s="443">
        <v>0</v>
      </c>
      <c r="H77" s="443">
        <v>0</v>
      </c>
      <c r="I77" s="443">
        <v>0</v>
      </c>
      <c r="J77" s="443">
        <v>0</v>
      </c>
      <c r="K77" s="443">
        <v>0</v>
      </c>
      <c r="L77" s="443">
        <v>0</v>
      </c>
      <c r="M77" s="443">
        <v>0</v>
      </c>
      <c r="N77" s="443">
        <v>0</v>
      </c>
      <c r="O77" s="56">
        <v>1965</v>
      </c>
      <c r="Q77" s="441" t="s">
        <v>6676</v>
      </c>
    </row>
    <row r="78" spans="1:17" ht="15.75" thickBot="1">
      <c r="A78" s="441"/>
      <c r="C78" s="132" t="s">
        <v>14900</v>
      </c>
      <c r="D78" s="449">
        <f>D76+D77</f>
        <v>0</v>
      </c>
      <c r="E78" s="449">
        <f t="shared" ref="E78:J78" si="51">E76+E77</f>
        <v>0</v>
      </c>
      <c r="F78" s="449">
        <f t="shared" si="51"/>
        <v>0</v>
      </c>
      <c r="G78" s="449">
        <f t="shared" si="51"/>
        <v>0</v>
      </c>
      <c r="H78" s="449">
        <f t="shared" si="51"/>
        <v>0</v>
      </c>
      <c r="I78" s="449">
        <f t="shared" si="51"/>
        <v>0</v>
      </c>
      <c r="J78" s="449">
        <f t="shared" si="51"/>
        <v>0</v>
      </c>
      <c r="K78" s="449">
        <f>K76+K77</f>
        <v>0</v>
      </c>
      <c r="L78" s="449">
        <f>L76+L77</f>
        <v>0</v>
      </c>
      <c r="M78" s="449">
        <f>M76+M77</f>
        <v>0</v>
      </c>
      <c r="N78" s="449">
        <f>N76+N77</f>
        <v>0</v>
      </c>
      <c r="O78" s="449">
        <f>O76+O77</f>
        <v>4028</v>
      </c>
      <c r="Q78" s="441"/>
    </row>
    <row r="79" spans="1:17">
      <c r="A79" s="441" t="s">
        <v>5393</v>
      </c>
      <c r="B79" s="132" t="s">
        <v>1988</v>
      </c>
      <c r="C79" s="132" t="s">
        <v>14902</v>
      </c>
      <c r="D79" s="443">
        <v>0</v>
      </c>
      <c r="E79" s="443">
        <v>0</v>
      </c>
      <c r="F79" s="443">
        <v>0</v>
      </c>
      <c r="G79" s="443">
        <v>0</v>
      </c>
      <c r="H79" s="443">
        <v>0</v>
      </c>
      <c r="I79" s="443">
        <v>0</v>
      </c>
      <c r="J79" s="443">
        <v>0</v>
      </c>
      <c r="K79" s="443">
        <v>0</v>
      </c>
      <c r="L79" s="443">
        <v>0</v>
      </c>
      <c r="M79" s="443">
        <v>0</v>
      </c>
      <c r="N79" s="443">
        <v>0</v>
      </c>
      <c r="O79" s="56">
        <v>4370</v>
      </c>
      <c r="Q79" s="441" t="s">
        <v>6529</v>
      </c>
    </row>
    <row r="80" spans="1:17">
      <c r="A80" s="441" t="s">
        <v>5394</v>
      </c>
      <c r="B80" s="132" t="s">
        <v>4936</v>
      </c>
      <c r="C80" s="132" t="s">
        <v>14903</v>
      </c>
      <c r="D80" s="443">
        <v>0</v>
      </c>
      <c r="E80" s="443">
        <v>0</v>
      </c>
      <c r="F80" s="443">
        <v>0</v>
      </c>
      <c r="G80" s="443">
        <v>0</v>
      </c>
      <c r="H80" s="443">
        <v>0</v>
      </c>
      <c r="I80" s="443">
        <v>0</v>
      </c>
      <c r="J80" s="443">
        <v>0</v>
      </c>
      <c r="K80" s="443">
        <v>0</v>
      </c>
      <c r="L80" s="443">
        <v>0</v>
      </c>
      <c r="M80" s="443">
        <v>0</v>
      </c>
      <c r="N80" s="443">
        <v>0</v>
      </c>
      <c r="O80" s="56">
        <v>4428</v>
      </c>
      <c r="Q80" s="441" t="s">
        <v>6529</v>
      </c>
    </row>
    <row r="81" spans="1:17">
      <c r="A81" s="441" t="s">
        <v>5416</v>
      </c>
      <c r="B81" s="132" t="s">
        <v>14905</v>
      </c>
      <c r="C81" s="132" t="s">
        <v>14904</v>
      </c>
      <c r="D81" s="443">
        <v>21452</v>
      </c>
      <c r="E81" s="443">
        <v>21464</v>
      </c>
      <c r="F81" s="443">
        <v>21461</v>
      </c>
      <c r="G81" s="443">
        <v>21244</v>
      </c>
      <c r="H81" s="443">
        <v>21134</v>
      </c>
      <c r="I81" s="443">
        <v>18813</v>
      </c>
      <c r="J81" s="443">
        <v>18419</v>
      </c>
      <c r="K81" s="443">
        <v>18982</v>
      </c>
      <c r="L81" s="443">
        <v>18875</v>
      </c>
      <c r="M81" s="443">
        <v>18663</v>
      </c>
      <c r="N81" s="443">
        <v>18332</v>
      </c>
      <c r="O81" s="56">
        <v>4721</v>
      </c>
      <c r="Q81" s="441" t="s">
        <v>6676</v>
      </c>
    </row>
    <row r="82" spans="1:17">
      <c r="A82" s="441" t="s">
        <v>5418</v>
      </c>
      <c r="B82" s="132" t="s">
        <v>6285</v>
      </c>
      <c r="C82" s="132" t="s">
        <v>14906</v>
      </c>
      <c r="D82" s="443">
        <v>0</v>
      </c>
      <c r="E82" s="443">
        <v>0</v>
      </c>
      <c r="F82" s="443">
        <v>0</v>
      </c>
      <c r="G82" s="443">
        <v>0</v>
      </c>
      <c r="H82" s="443">
        <v>0</v>
      </c>
      <c r="I82" s="443">
        <v>0</v>
      </c>
      <c r="J82" s="443">
        <v>0</v>
      </c>
      <c r="K82" s="443">
        <v>0</v>
      </c>
      <c r="L82" s="443">
        <v>0</v>
      </c>
      <c r="M82" s="443">
        <v>0</v>
      </c>
      <c r="N82" s="443">
        <v>0</v>
      </c>
      <c r="O82" s="56">
        <v>4424</v>
      </c>
      <c r="Q82" s="441" t="s">
        <v>6529</v>
      </c>
    </row>
    <row r="83" spans="1:17">
      <c r="A83" s="441" t="s">
        <v>5420</v>
      </c>
      <c r="B83" s="132" t="s">
        <v>4937</v>
      </c>
      <c r="C83" s="132" t="s">
        <v>14907</v>
      </c>
      <c r="D83" s="443">
        <v>0</v>
      </c>
      <c r="E83" s="443">
        <v>0</v>
      </c>
      <c r="F83" s="443">
        <v>0</v>
      </c>
      <c r="G83" s="443">
        <v>0</v>
      </c>
      <c r="H83" s="443">
        <v>0</v>
      </c>
      <c r="I83" s="443">
        <v>0</v>
      </c>
      <c r="J83" s="443">
        <v>0</v>
      </c>
      <c r="K83" s="443">
        <v>0</v>
      </c>
      <c r="L83" s="443">
        <v>0</v>
      </c>
      <c r="M83" s="443">
        <v>0</v>
      </c>
      <c r="N83" s="443">
        <v>0</v>
      </c>
      <c r="O83" s="56">
        <v>4741</v>
      </c>
      <c r="Q83" s="441" t="s">
        <v>6529</v>
      </c>
    </row>
    <row r="84" spans="1:17">
      <c r="A84" s="441" t="s">
        <v>5422</v>
      </c>
      <c r="B84" s="132" t="s">
        <v>14909</v>
      </c>
      <c r="C84" s="132" t="s">
        <v>14908</v>
      </c>
      <c r="D84" s="443">
        <v>0</v>
      </c>
      <c r="E84" s="443">
        <v>0</v>
      </c>
      <c r="F84" s="443">
        <v>0</v>
      </c>
      <c r="G84" s="443">
        <v>0</v>
      </c>
      <c r="H84" s="443">
        <v>0</v>
      </c>
      <c r="I84" s="443">
        <v>0</v>
      </c>
      <c r="J84" s="443">
        <v>0</v>
      </c>
      <c r="K84" s="443">
        <v>0</v>
      </c>
      <c r="L84" s="443">
        <v>0</v>
      </c>
      <c r="M84" s="443">
        <v>0</v>
      </c>
      <c r="N84" s="443">
        <v>0</v>
      </c>
      <c r="O84" s="56">
        <v>3905</v>
      </c>
      <c r="Q84" s="441" t="s">
        <v>6529</v>
      </c>
    </row>
    <row r="85" spans="1:17">
      <c r="A85" s="441" t="s">
        <v>5424</v>
      </c>
      <c r="B85" s="132" t="s">
        <v>4938</v>
      </c>
      <c r="C85" s="132" t="s">
        <v>14910</v>
      </c>
      <c r="D85" s="443">
        <v>0</v>
      </c>
      <c r="E85" s="443">
        <v>0</v>
      </c>
      <c r="F85" s="443">
        <v>0</v>
      </c>
      <c r="G85" s="443">
        <v>0</v>
      </c>
      <c r="H85" s="443">
        <v>0</v>
      </c>
      <c r="I85" s="443">
        <v>0</v>
      </c>
      <c r="J85" s="443">
        <v>0</v>
      </c>
      <c r="K85" s="443">
        <v>0</v>
      </c>
      <c r="L85" s="443">
        <v>0</v>
      </c>
      <c r="M85" s="443">
        <v>0</v>
      </c>
      <c r="N85" s="443">
        <v>0</v>
      </c>
      <c r="O85" s="56">
        <v>3964</v>
      </c>
      <c r="Q85" s="441" t="s">
        <v>6529</v>
      </c>
    </row>
    <row r="86" spans="1:17">
      <c r="A86" s="441" t="s">
        <v>5426</v>
      </c>
      <c r="B86" s="132" t="s">
        <v>4771</v>
      </c>
      <c r="C86" s="132" t="s">
        <v>14911</v>
      </c>
      <c r="D86" s="443">
        <v>0</v>
      </c>
      <c r="E86" s="443">
        <v>0</v>
      </c>
      <c r="F86" s="443">
        <v>0</v>
      </c>
      <c r="G86" s="443">
        <v>0</v>
      </c>
      <c r="H86" s="443">
        <v>0</v>
      </c>
      <c r="I86" s="443">
        <v>0</v>
      </c>
      <c r="J86" s="443">
        <v>0</v>
      </c>
      <c r="K86" s="443">
        <v>0</v>
      </c>
      <c r="L86" s="443">
        <v>0</v>
      </c>
      <c r="M86" s="443">
        <v>0</v>
      </c>
      <c r="N86" s="443">
        <v>0</v>
      </c>
      <c r="O86" s="56">
        <v>3447</v>
      </c>
      <c r="Q86" s="441" t="s">
        <v>6529</v>
      </c>
    </row>
    <row r="87" spans="1:17">
      <c r="A87" s="441" t="s">
        <v>5428</v>
      </c>
      <c r="B87" s="132" t="s">
        <v>4939</v>
      </c>
      <c r="C87" s="132" t="s">
        <v>14912</v>
      </c>
      <c r="D87" s="443">
        <v>0</v>
      </c>
      <c r="E87" s="443">
        <v>0</v>
      </c>
      <c r="F87" s="443">
        <v>0</v>
      </c>
      <c r="G87" s="443">
        <v>0</v>
      </c>
      <c r="H87" s="443">
        <v>0</v>
      </c>
      <c r="I87" s="443">
        <v>0</v>
      </c>
      <c r="J87" s="443">
        <v>0</v>
      </c>
      <c r="K87" s="443">
        <v>0</v>
      </c>
      <c r="L87" s="443">
        <v>0</v>
      </c>
      <c r="M87" s="443">
        <v>0</v>
      </c>
      <c r="N87" s="443">
        <v>0</v>
      </c>
      <c r="O87" s="58">
        <v>3691</v>
      </c>
      <c r="Q87" s="441" t="s">
        <v>6529</v>
      </c>
    </row>
    <row r="88" spans="1:17">
      <c r="A88" s="441" t="s">
        <v>5429</v>
      </c>
      <c r="B88" s="132" t="s">
        <v>4940</v>
      </c>
      <c r="C88" s="132" t="s">
        <v>14913</v>
      </c>
      <c r="D88" s="443">
        <v>0</v>
      </c>
      <c r="E88" s="443">
        <v>0</v>
      </c>
      <c r="F88" s="443">
        <v>0</v>
      </c>
      <c r="G88" s="443">
        <v>0</v>
      </c>
      <c r="H88" s="443">
        <v>0</v>
      </c>
      <c r="I88" s="443">
        <v>0</v>
      </c>
      <c r="J88" s="443">
        <v>0</v>
      </c>
      <c r="K88" s="443">
        <v>0</v>
      </c>
      <c r="L88" s="443">
        <v>0</v>
      </c>
      <c r="M88" s="443">
        <v>0</v>
      </c>
      <c r="N88" s="443">
        <v>0</v>
      </c>
      <c r="O88" s="56">
        <v>3836</v>
      </c>
      <c r="Q88" s="441" t="s">
        <v>6529</v>
      </c>
    </row>
    <row r="89" spans="1:17">
      <c r="A89" s="441" t="s">
        <v>5431</v>
      </c>
      <c r="B89" s="132" t="s">
        <v>2913</v>
      </c>
      <c r="C89" s="132" t="s">
        <v>14914</v>
      </c>
      <c r="D89" s="443">
        <v>0</v>
      </c>
      <c r="E89" s="443">
        <v>0</v>
      </c>
      <c r="F89" s="443">
        <v>0</v>
      </c>
      <c r="G89" s="443">
        <v>0</v>
      </c>
      <c r="H89" s="443">
        <v>0</v>
      </c>
      <c r="I89" s="443">
        <v>0</v>
      </c>
      <c r="J89" s="443">
        <v>0</v>
      </c>
      <c r="K89" s="443">
        <v>0</v>
      </c>
      <c r="L89" s="443">
        <v>0</v>
      </c>
      <c r="M89" s="443">
        <v>0</v>
      </c>
      <c r="N89" s="443">
        <v>0</v>
      </c>
      <c r="O89" s="56">
        <v>4432</v>
      </c>
      <c r="Q89" s="441" t="s">
        <v>6529</v>
      </c>
    </row>
    <row r="90" spans="1:17">
      <c r="A90" s="441" t="s">
        <v>5433</v>
      </c>
      <c r="B90" s="132" t="s">
        <v>4941</v>
      </c>
      <c r="C90" s="132" t="s">
        <v>14915</v>
      </c>
      <c r="D90" s="443">
        <v>0</v>
      </c>
      <c r="E90" s="443">
        <v>0</v>
      </c>
      <c r="F90" s="443">
        <v>0</v>
      </c>
      <c r="G90" s="443">
        <v>0</v>
      </c>
      <c r="H90" s="443">
        <v>0</v>
      </c>
      <c r="I90" s="443">
        <v>0</v>
      </c>
      <c r="J90" s="443">
        <v>0</v>
      </c>
      <c r="K90" s="443">
        <v>0</v>
      </c>
      <c r="L90" s="443">
        <v>0</v>
      </c>
      <c r="M90" s="443">
        <v>0</v>
      </c>
      <c r="N90" s="443">
        <v>0</v>
      </c>
      <c r="O90" s="56">
        <v>4084</v>
      </c>
      <c r="Q90" s="441" t="s">
        <v>6529</v>
      </c>
    </row>
    <row r="91" spans="1:17">
      <c r="A91" s="441" t="s">
        <v>5435</v>
      </c>
      <c r="B91" s="132" t="s">
        <v>14917</v>
      </c>
      <c r="C91" s="132" t="s">
        <v>14916</v>
      </c>
      <c r="D91" s="443">
        <v>0</v>
      </c>
      <c r="E91" s="443">
        <v>0</v>
      </c>
      <c r="F91" s="443">
        <v>0</v>
      </c>
      <c r="G91" s="443">
        <v>0</v>
      </c>
      <c r="H91" s="443">
        <v>0</v>
      </c>
      <c r="I91" s="443">
        <v>0</v>
      </c>
      <c r="J91" s="443">
        <v>0</v>
      </c>
      <c r="K91" s="443">
        <v>0</v>
      </c>
      <c r="L91" s="443">
        <v>0</v>
      </c>
      <c r="M91" s="443">
        <v>0</v>
      </c>
      <c r="N91" s="443">
        <v>0</v>
      </c>
      <c r="O91" s="58">
        <v>1264</v>
      </c>
      <c r="Q91" s="441" t="s">
        <v>6529</v>
      </c>
    </row>
    <row r="92" spans="1:17" ht="15.75" thickBot="1">
      <c r="A92" s="441"/>
      <c r="C92" s="132" t="s">
        <v>14916</v>
      </c>
      <c r="D92" s="443">
        <v>0</v>
      </c>
      <c r="E92" s="443">
        <v>0</v>
      </c>
      <c r="F92" s="443">
        <v>0</v>
      </c>
      <c r="G92" s="443">
        <v>0</v>
      </c>
      <c r="H92" s="443">
        <v>0</v>
      </c>
      <c r="I92" s="443">
        <v>0</v>
      </c>
      <c r="J92" s="443">
        <v>0</v>
      </c>
      <c r="K92" s="443">
        <v>0</v>
      </c>
      <c r="L92" s="443">
        <v>0</v>
      </c>
      <c r="M92" s="443">
        <v>0</v>
      </c>
      <c r="N92" s="443">
        <v>0</v>
      </c>
      <c r="O92" s="58">
        <v>2519</v>
      </c>
      <c r="Q92" s="441" t="s">
        <v>6676</v>
      </c>
    </row>
    <row r="93" spans="1:17" ht="15.75" thickBot="1">
      <c r="A93" s="441"/>
      <c r="C93" s="132" t="s">
        <v>14916</v>
      </c>
      <c r="D93" s="449">
        <f>D91+D92</f>
        <v>0</v>
      </c>
      <c r="E93" s="449">
        <f t="shared" ref="E93:J93" si="52">E91+E92</f>
        <v>0</v>
      </c>
      <c r="F93" s="449">
        <f t="shared" si="52"/>
        <v>0</v>
      </c>
      <c r="G93" s="449">
        <f t="shared" si="52"/>
        <v>0</v>
      </c>
      <c r="H93" s="449">
        <f t="shared" si="52"/>
        <v>0</v>
      </c>
      <c r="I93" s="449">
        <f t="shared" si="52"/>
        <v>0</v>
      </c>
      <c r="J93" s="449">
        <f t="shared" si="52"/>
        <v>0</v>
      </c>
      <c r="K93" s="449">
        <f>K91+K92</f>
        <v>0</v>
      </c>
      <c r="L93" s="449">
        <f>L91+L92</f>
        <v>0</v>
      </c>
      <c r="M93" s="449">
        <f>M91+M92</f>
        <v>0</v>
      </c>
      <c r="N93" s="449">
        <f>N91+N92</f>
        <v>0</v>
      </c>
      <c r="O93" s="449">
        <f>O91+O92</f>
        <v>3783</v>
      </c>
      <c r="Q93" s="441"/>
    </row>
    <row r="94" spans="1:17">
      <c r="A94" s="441" t="s">
        <v>5436</v>
      </c>
      <c r="B94" s="132" t="s">
        <v>14919</v>
      </c>
      <c r="C94" s="132" t="s">
        <v>14918</v>
      </c>
      <c r="D94" s="443">
        <v>0</v>
      </c>
      <c r="E94" s="443">
        <v>0</v>
      </c>
      <c r="F94" s="443">
        <v>0</v>
      </c>
      <c r="G94" s="443">
        <v>0</v>
      </c>
      <c r="H94" s="443">
        <v>0</v>
      </c>
      <c r="I94" s="443">
        <v>0</v>
      </c>
      <c r="J94" s="443">
        <v>0</v>
      </c>
      <c r="K94" s="443">
        <v>0</v>
      </c>
      <c r="L94" s="443">
        <v>0</v>
      </c>
      <c r="M94" s="443">
        <v>0</v>
      </c>
      <c r="N94" s="443">
        <v>0</v>
      </c>
      <c r="O94" s="56">
        <v>4859</v>
      </c>
      <c r="Q94" s="441" t="s">
        <v>6529</v>
      </c>
    </row>
    <row r="95" spans="1:17">
      <c r="A95" s="441" t="s">
        <v>5437</v>
      </c>
      <c r="B95" s="132" t="s">
        <v>14921</v>
      </c>
      <c r="C95" s="132" t="s">
        <v>14920</v>
      </c>
      <c r="D95" s="443">
        <v>0</v>
      </c>
      <c r="E95" s="443">
        <v>0</v>
      </c>
      <c r="F95" s="443">
        <v>0</v>
      </c>
      <c r="G95" s="443">
        <v>0</v>
      </c>
      <c r="H95" s="443">
        <v>0</v>
      </c>
      <c r="I95" s="443">
        <v>0</v>
      </c>
      <c r="J95" s="443">
        <v>0</v>
      </c>
      <c r="K95" s="443">
        <v>0</v>
      </c>
      <c r="L95" s="443">
        <v>0</v>
      </c>
      <c r="M95" s="443">
        <v>0</v>
      </c>
      <c r="N95" s="443">
        <v>0</v>
      </c>
      <c r="O95" s="58">
        <v>4375</v>
      </c>
      <c r="Q95" s="441" t="s">
        <v>6529</v>
      </c>
    </row>
    <row r="96" spans="1:17">
      <c r="A96" s="441" t="s">
        <v>5439</v>
      </c>
      <c r="B96" s="132" t="s">
        <v>927</v>
      </c>
      <c r="C96" s="132" t="s">
        <v>14922</v>
      </c>
      <c r="D96" s="443">
        <v>0</v>
      </c>
      <c r="E96" s="443">
        <v>0</v>
      </c>
      <c r="F96" s="443">
        <v>0</v>
      </c>
      <c r="G96" s="443">
        <v>0</v>
      </c>
      <c r="H96" s="443">
        <v>0</v>
      </c>
      <c r="I96" s="443">
        <v>0</v>
      </c>
      <c r="J96" s="443">
        <v>0</v>
      </c>
      <c r="K96" s="443">
        <v>0</v>
      </c>
      <c r="L96" s="443">
        <v>0</v>
      </c>
      <c r="M96" s="443">
        <v>0</v>
      </c>
      <c r="N96" s="443">
        <v>0</v>
      </c>
      <c r="O96" s="58">
        <v>4498</v>
      </c>
      <c r="Q96" s="441" t="s">
        <v>6529</v>
      </c>
    </row>
    <row r="97" spans="1:17">
      <c r="A97" s="441" t="s">
        <v>5441</v>
      </c>
      <c r="B97" s="132" t="s">
        <v>6912</v>
      </c>
      <c r="C97" s="132" t="s">
        <v>14923</v>
      </c>
      <c r="D97" s="443">
        <v>0</v>
      </c>
      <c r="E97" s="443">
        <v>0</v>
      </c>
      <c r="F97" s="443">
        <v>0</v>
      </c>
      <c r="G97" s="443">
        <v>0</v>
      </c>
      <c r="H97" s="443">
        <v>0</v>
      </c>
      <c r="I97" s="443">
        <v>0</v>
      </c>
      <c r="J97" s="443">
        <v>0</v>
      </c>
      <c r="K97" s="443">
        <v>0</v>
      </c>
      <c r="L97" s="443">
        <v>0</v>
      </c>
      <c r="M97" s="443">
        <v>0</v>
      </c>
      <c r="N97" s="443">
        <v>0</v>
      </c>
      <c r="O97" s="58">
        <v>4870</v>
      </c>
      <c r="Q97" s="441" t="s">
        <v>6529</v>
      </c>
    </row>
    <row r="98" spans="1:17">
      <c r="A98" s="441" t="s">
        <v>5886</v>
      </c>
      <c r="B98" s="132" t="s">
        <v>6371</v>
      </c>
      <c r="C98" s="132" t="s">
        <v>14924</v>
      </c>
      <c r="D98" s="443">
        <v>0</v>
      </c>
      <c r="E98" s="443">
        <v>0</v>
      </c>
      <c r="F98" s="443">
        <v>0</v>
      </c>
      <c r="G98" s="443">
        <v>0</v>
      </c>
      <c r="H98" s="443">
        <v>0</v>
      </c>
      <c r="I98" s="443">
        <v>0</v>
      </c>
      <c r="J98" s="443">
        <v>0</v>
      </c>
      <c r="K98" s="443">
        <v>0</v>
      </c>
      <c r="L98" s="443">
        <v>0</v>
      </c>
      <c r="M98" s="443">
        <v>0</v>
      </c>
      <c r="N98" s="443">
        <v>0</v>
      </c>
      <c r="O98" s="58">
        <v>4130</v>
      </c>
      <c r="Q98" s="441" t="s">
        <v>6676</v>
      </c>
    </row>
    <row r="99" spans="1:17">
      <c r="A99" s="441" t="s">
        <v>5888</v>
      </c>
      <c r="B99" s="132" t="s">
        <v>14926</v>
      </c>
      <c r="C99" s="132" t="s">
        <v>14925</v>
      </c>
      <c r="D99" s="443">
        <v>0</v>
      </c>
      <c r="E99" s="443">
        <v>0</v>
      </c>
      <c r="F99" s="443">
        <v>0</v>
      </c>
      <c r="G99" s="443">
        <v>0</v>
      </c>
      <c r="H99" s="443">
        <v>0</v>
      </c>
      <c r="I99" s="443">
        <v>0</v>
      </c>
      <c r="J99" s="443">
        <v>0</v>
      </c>
      <c r="K99" s="443">
        <v>0</v>
      </c>
      <c r="L99" s="443">
        <v>0</v>
      </c>
      <c r="M99" s="443">
        <v>0</v>
      </c>
      <c r="N99" s="443">
        <v>0</v>
      </c>
      <c r="O99" s="58">
        <v>4141</v>
      </c>
      <c r="Q99" s="441" t="s">
        <v>6529</v>
      </c>
    </row>
    <row r="100" spans="1:17">
      <c r="A100" s="441" t="s">
        <v>5889</v>
      </c>
      <c r="B100" s="132" t="s">
        <v>14928</v>
      </c>
      <c r="C100" s="132" t="s">
        <v>14927</v>
      </c>
      <c r="D100" s="443">
        <v>0</v>
      </c>
      <c r="E100" s="443">
        <v>0</v>
      </c>
      <c r="F100" s="443">
        <v>0</v>
      </c>
      <c r="G100" s="443">
        <v>0</v>
      </c>
      <c r="H100" s="443">
        <v>0</v>
      </c>
      <c r="I100" s="443">
        <v>0</v>
      </c>
      <c r="J100" s="443">
        <v>0</v>
      </c>
      <c r="K100" s="443">
        <v>0</v>
      </c>
      <c r="L100" s="443">
        <v>0</v>
      </c>
      <c r="M100" s="443">
        <v>0</v>
      </c>
      <c r="N100" s="443">
        <v>0</v>
      </c>
      <c r="O100" s="58">
        <v>3803</v>
      </c>
      <c r="Q100" s="441" t="s">
        <v>6676</v>
      </c>
    </row>
    <row r="101" spans="1:17">
      <c r="A101" s="441" t="s">
        <v>4431</v>
      </c>
      <c r="B101" s="132" t="s">
        <v>6372</v>
      </c>
      <c r="C101" s="132" t="s">
        <v>14929</v>
      </c>
      <c r="D101" s="443">
        <v>0</v>
      </c>
      <c r="E101" s="443">
        <v>0</v>
      </c>
      <c r="F101" s="443">
        <v>0</v>
      </c>
      <c r="G101" s="443">
        <v>0</v>
      </c>
      <c r="H101" s="443">
        <v>0</v>
      </c>
      <c r="I101" s="443">
        <v>0</v>
      </c>
      <c r="J101" s="443">
        <v>0</v>
      </c>
      <c r="K101" s="443">
        <v>0</v>
      </c>
      <c r="L101" s="443">
        <v>0</v>
      </c>
      <c r="M101" s="443">
        <v>0</v>
      </c>
      <c r="N101" s="443">
        <v>0</v>
      </c>
      <c r="O101" s="58">
        <v>3490</v>
      </c>
      <c r="Q101" s="441" t="s">
        <v>6676</v>
      </c>
    </row>
    <row r="102" spans="1:17">
      <c r="A102" s="441"/>
      <c r="D102" s="444"/>
      <c r="E102" s="444"/>
      <c r="F102" s="444"/>
      <c r="G102" s="444"/>
      <c r="H102" s="444"/>
      <c r="I102" s="444"/>
      <c r="J102" s="444"/>
      <c r="K102" s="444"/>
      <c r="L102" s="444"/>
      <c r="M102" s="444"/>
      <c r="N102" s="444"/>
      <c r="O102" s="444"/>
      <c r="Q102" s="441"/>
    </row>
    <row r="103" spans="1:17">
      <c r="A103" s="441" t="s">
        <v>6529</v>
      </c>
      <c r="D103" s="443">
        <f t="shared" ref="D103:N103" si="53">SUM(D74:D76,D79:D80,D82:D91,D94:D97,D99)</f>
        <v>80113</v>
      </c>
      <c r="E103" s="443">
        <f t="shared" si="53"/>
        <v>81644</v>
      </c>
      <c r="F103" s="443">
        <f t="shared" si="53"/>
        <v>81848</v>
      </c>
      <c r="G103" s="443">
        <f t="shared" si="53"/>
        <v>80909</v>
      </c>
      <c r="H103" s="443">
        <f t="shared" si="53"/>
        <v>80818</v>
      </c>
      <c r="I103" s="443">
        <f t="shared" si="53"/>
        <v>72738</v>
      </c>
      <c r="J103" s="443">
        <f t="shared" si="53"/>
        <v>70293</v>
      </c>
      <c r="K103" s="443">
        <f t="shared" si="53"/>
        <v>73139</v>
      </c>
      <c r="L103" s="443">
        <f t="shared" si="53"/>
        <v>72492</v>
      </c>
      <c r="M103" s="443">
        <f t="shared" si="53"/>
        <v>71040</v>
      </c>
      <c r="N103" s="443">
        <f t="shared" si="53"/>
        <v>71304</v>
      </c>
      <c r="O103" s="443">
        <f>SUM(O74:O76,O79:O80,O82:O91,O94:O97,O99)</f>
        <v>79145</v>
      </c>
      <c r="Q103" s="441"/>
    </row>
    <row r="104" spans="1:17">
      <c r="A104" s="441" t="s">
        <v>4933</v>
      </c>
      <c r="D104" s="443">
        <f t="shared" ref="D104:N104" si="54">SUM(D77,D81,D92,D98,D100:D101)</f>
        <v>21452</v>
      </c>
      <c r="E104" s="443">
        <f t="shared" si="54"/>
        <v>21464</v>
      </c>
      <c r="F104" s="443">
        <f t="shared" si="54"/>
        <v>21461</v>
      </c>
      <c r="G104" s="443">
        <f t="shared" si="54"/>
        <v>21244</v>
      </c>
      <c r="H104" s="443">
        <f t="shared" si="54"/>
        <v>21134</v>
      </c>
      <c r="I104" s="443">
        <f t="shared" si="54"/>
        <v>18813</v>
      </c>
      <c r="J104" s="443">
        <f t="shared" si="54"/>
        <v>18419</v>
      </c>
      <c r="K104" s="443">
        <f t="shared" si="54"/>
        <v>18982</v>
      </c>
      <c r="L104" s="443">
        <f t="shared" si="54"/>
        <v>18875</v>
      </c>
      <c r="M104" s="443">
        <f t="shared" si="54"/>
        <v>18663</v>
      </c>
      <c r="N104" s="443">
        <f t="shared" si="54"/>
        <v>18332</v>
      </c>
      <c r="O104" s="443">
        <f>SUM(O77,O81,O92,O98,O100:O101)</f>
        <v>20628</v>
      </c>
      <c r="Q104" s="441"/>
    </row>
    <row r="105" spans="1:17">
      <c r="A105" s="441"/>
      <c r="D105" s="443"/>
      <c r="E105" s="443"/>
      <c r="F105" s="443"/>
      <c r="G105" s="443"/>
      <c r="H105" s="443"/>
      <c r="I105" s="443"/>
      <c r="J105" s="443"/>
      <c r="K105" s="443"/>
      <c r="L105" s="443"/>
      <c r="M105" s="443"/>
      <c r="N105" s="58"/>
      <c r="O105" s="58"/>
      <c r="Q105" s="441"/>
    </row>
    <row r="106" spans="1:17">
      <c r="A106" s="441" t="s">
        <v>14347</v>
      </c>
      <c r="D106" s="443"/>
      <c r="E106" s="443"/>
      <c r="F106" s="443"/>
      <c r="G106" s="443"/>
      <c r="H106" s="443"/>
      <c r="I106" s="443"/>
      <c r="J106" s="443"/>
      <c r="K106" s="443"/>
      <c r="L106" s="443"/>
      <c r="M106" s="443"/>
      <c r="N106" s="444"/>
      <c r="O106" s="444"/>
    </row>
    <row r="107" spans="1:17">
      <c r="A107" s="441" t="s">
        <v>14930</v>
      </c>
      <c r="B107" s="441"/>
      <c r="D107" s="450"/>
      <c r="E107" s="450"/>
      <c r="F107" s="450"/>
      <c r="G107" s="450"/>
      <c r="H107" s="450"/>
      <c r="I107" s="450"/>
      <c r="J107" s="450"/>
      <c r="K107" s="450"/>
      <c r="L107" s="450"/>
      <c r="M107" s="450"/>
      <c r="N107" s="450"/>
      <c r="O107" s="450"/>
    </row>
    <row r="108" spans="1:17">
      <c r="A108" s="441"/>
      <c r="B108" s="441"/>
      <c r="D108" s="450"/>
      <c r="E108" s="450"/>
      <c r="F108" s="450"/>
      <c r="G108" s="450"/>
      <c r="H108" s="450"/>
      <c r="I108" s="450"/>
      <c r="J108" s="450"/>
      <c r="K108" s="450"/>
      <c r="L108" s="450"/>
      <c r="M108" s="450"/>
      <c r="N108" s="450"/>
      <c r="O108" s="450"/>
    </row>
    <row r="109" spans="1:17">
      <c r="A109" s="1008" t="s">
        <v>16023</v>
      </c>
      <c r="B109" s="441"/>
      <c r="D109" s="450"/>
      <c r="E109" s="450"/>
      <c r="F109" s="450"/>
      <c r="G109" s="450"/>
      <c r="H109" s="450"/>
      <c r="I109" s="450"/>
      <c r="J109" s="450"/>
      <c r="K109" s="450"/>
      <c r="L109" s="450"/>
      <c r="M109" s="450"/>
      <c r="N109" s="450"/>
      <c r="O109" s="450"/>
    </row>
    <row r="110" spans="1:17">
      <c r="A110" s="167" t="s">
        <v>16099</v>
      </c>
      <c r="F110" s="51"/>
      <c r="G110" s="51"/>
      <c r="H110" s="51"/>
      <c r="I110" s="51"/>
      <c r="J110" s="51"/>
      <c r="K110" s="51"/>
      <c r="L110" s="51"/>
      <c r="M110" s="51"/>
      <c r="N110" s="51"/>
      <c r="O110" s="51"/>
      <c r="P110" s="11"/>
    </row>
    <row r="111" spans="1:17">
      <c r="A111" s="167"/>
      <c r="F111" s="51"/>
      <c r="G111" s="51"/>
      <c r="H111" s="51"/>
      <c r="I111" s="51"/>
      <c r="J111" s="51"/>
      <c r="K111" s="51"/>
      <c r="L111" s="51"/>
      <c r="M111" s="51"/>
      <c r="N111" s="51"/>
      <c r="O111" s="51"/>
      <c r="P111" s="11"/>
    </row>
    <row r="112" spans="1:17">
      <c r="A112" s="167"/>
      <c r="E112" s="51"/>
      <c r="F112" s="51"/>
      <c r="G112" s="51"/>
      <c r="H112" s="51"/>
      <c r="I112" s="51"/>
      <c r="J112" s="51"/>
      <c r="K112" s="51"/>
      <c r="L112" s="51"/>
      <c r="M112" s="51"/>
      <c r="N112" s="51"/>
      <c r="O112" s="51"/>
      <c r="P112" s="11"/>
      <c r="Q112" s="11"/>
    </row>
    <row r="113" spans="1:17">
      <c r="A113" s="167"/>
      <c r="E113" s="51" t="s">
        <v>1526</v>
      </c>
      <c r="F113" s="51"/>
      <c r="G113" s="51"/>
      <c r="H113" s="51"/>
      <c r="I113" s="51"/>
      <c r="J113" s="51"/>
      <c r="K113" s="51"/>
      <c r="L113" s="51"/>
      <c r="M113" s="51"/>
      <c r="N113" s="51"/>
      <c r="O113" s="51"/>
      <c r="P113" s="11"/>
      <c r="Q113" s="11" t="s">
        <v>9479</v>
      </c>
    </row>
    <row r="114" spans="1:17">
      <c r="D114" s="350">
        <v>2010</v>
      </c>
      <c r="E114" s="350">
        <v>2011</v>
      </c>
      <c r="F114" s="350">
        <v>2012</v>
      </c>
      <c r="G114" s="350">
        <v>2013</v>
      </c>
      <c r="H114" s="350">
        <v>2014</v>
      </c>
      <c r="I114" s="350">
        <v>2015</v>
      </c>
      <c r="J114" s="350">
        <v>2016</v>
      </c>
      <c r="K114" s="350">
        <v>2017</v>
      </c>
      <c r="L114" s="350">
        <v>2018</v>
      </c>
      <c r="M114" s="350">
        <v>2019</v>
      </c>
      <c r="N114" s="350">
        <v>2020</v>
      </c>
      <c r="O114" s="949" t="s">
        <v>14823</v>
      </c>
      <c r="P114" s="11"/>
      <c r="Q114" s="13" t="s">
        <v>1527</v>
      </c>
    </row>
    <row r="115" spans="1:17">
      <c r="A115" s="441" t="s">
        <v>6373</v>
      </c>
      <c r="D115" s="443">
        <f t="shared" ref="D115:N115" si="55">SUM(D116:D131)+SUM(D133:D138)</f>
        <v>99930</v>
      </c>
      <c r="E115" s="443">
        <f t="shared" si="55"/>
        <v>100482</v>
      </c>
      <c r="F115" s="443">
        <f t="shared" si="55"/>
        <v>100930</v>
      </c>
      <c r="G115" s="443">
        <f t="shared" si="55"/>
        <v>101709</v>
      </c>
      <c r="H115" s="443">
        <f t="shared" si="55"/>
        <v>102398</v>
      </c>
      <c r="I115" s="443">
        <f t="shared" si="55"/>
        <v>104680</v>
      </c>
      <c r="J115" s="443">
        <f t="shared" si="55"/>
        <v>99880</v>
      </c>
      <c r="K115" s="443">
        <f t="shared" si="55"/>
        <v>102113</v>
      </c>
      <c r="L115" s="443">
        <f t="shared" si="55"/>
        <v>101906</v>
      </c>
      <c r="M115" s="443">
        <f t="shared" si="55"/>
        <v>102603</v>
      </c>
      <c r="N115" s="443">
        <f t="shared" si="55"/>
        <v>106011</v>
      </c>
      <c r="O115" s="443">
        <f>SUM(O116:O131)+SUM(O133:O138)</f>
        <v>107465</v>
      </c>
    </row>
    <row r="116" spans="1:17">
      <c r="A116" s="441" t="s">
        <v>5387</v>
      </c>
      <c r="B116" s="441" t="s">
        <v>11058</v>
      </c>
      <c r="C116" s="55" t="s">
        <v>11059</v>
      </c>
      <c r="D116" s="443">
        <v>69340</v>
      </c>
      <c r="E116" s="443">
        <v>69670</v>
      </c>
      <c r="F116" s="443">
        <v>69901</v>
      </c>
      <c r="G116" s="63">
        <v>70292</v>
      </c>
      <c r="H116" s="63">
        <v>70642</v>
      </c>
      <c r="I116" s="56">
        <v>72052</v>
      </c>
      <c r="J116" s="56">
        <v>5716</v>
      </c>
      <c r="K116" s="56">
        <v>5858</v>
      </c>
      <c r="L116" s="56">
        <v>5787</v>
      </c>
      <c r="M116" s="56">
        <v>5780</v>
      </c>
      <c r="N116" s="56">
        <v>5993</v>
      </c>
      <c r="O116" s="56">
        <v>6082</v>
      </c>
      <c r="Q116" s="441" t="s">
        <v>3650</v>
      </c>
    </row>
    <row r="117" spans="1:17">
      <c r="A117" s="441" t="s">
        <v>5389</v>
      </c>
      <c r="B117" s="441" t="s">
        <v>5175</v>
      </c>
      <c r="C117" s="55" t="s">
        <v>11074</v>
      </c>
      <c r="D117" s="443">
        <v>0</v>
      </c>
      <c r="E117" s="443">
        <v>0</v>
      </c>
      <c r="F117" s="443">
        <v>0</v>
      </c>
      <c r="G117" s="63">
        <v>0</v>
      </c>
      <c r="H117" s="63">
        <v>0</v>
      </c>
      <c r="I117" s="56">
        <v>0</v>
      </c>
      <c r="J117" s="56">
        <v>2846</v>
      </c>
      <c r="K117" s="56">
        <v>2833</v>
      </c>
      <c r="L117" s="56">
        <v>2833</v>
      </c>
      <c r="M117" s="56">
        <v>2848</v>
      </c>
      <c r="N117" s="56">
        <v>2909</v>
      </c>
      <c r="O117" s="56">
        <v>2938</v>
      </c>
      <c r="Q117" s="441" t="s">
        <v>3650</v>
      </c>
    </row>
    <row r="118" spans="1:17">
      <c r="A118" s="441" t="s">
        <v>5391</v>
      </c>
      <c r="B118" s="441" t="s">
        <v>5176</v>
      </c>
      <c r="C118" s="55" t="s">
        <v>11075</v>
      </c>
      <c r="D118" s="443">
        <v>0</v>
      </c>
      <c r="E118" s="443">
        <v>0</v>
      </c>
      <c r="F118" s="443">
        <v>0</v>
      </c>
      <c r="G118" s="63">
        <v>0</v>
      </c>
      <c r="H118" s="63">
        <v>0</v>
      </c>
      <c r="I118" s="56">
        <v>0</v>
      </c>
      <c r="J118" s="56">
        <v>2643</v>
      </c>
      <c r="K118" s="56">
        <v>2689</v>
      </c>
      <c r="L118" s="56">
        <v>2654</v>
      </c>
      <c r="M118" s="56">
        <v>2640</v>
      </c>
      <c r="N118" s="56">
        <v>2698</v>
      </c>
      <c r="O118" s="56">
        <v>2724</v>
      </c>
      <c r="Q118" s="441" t="s">
        <v>3650</v>
      </c>
    </row>
    <row r="119" spans="1:17">
      <c r="A119" s="441" t="s">
        <v>5393</v>
      </c>
      <c r="B119" s="441" t="s">
        <v>5177</v>
      </c>
      <c r="C119" s="55" t="s">
        <v>11076</v>
      </c>
      <c r="D119" s="443">
        <v>0</v>
      </c>
      <c r="E119" s="443">
        <v>0</v>
      </c>
      <c r="F119" s="443">
        <v>0</v>
      </c>
      <c r="G119" s="63">
        <v>0</v>
      </c>
      <c r="H119" s="63">
        <v>0</v>
      </c>
      <c r="I119" s="58">
        <v>0</v>
      </c>
      <c r="J119" s="58">
        <v>6118</v>
      </c>
      <c r="K119" s="56">
        <v>6195</v>
      </c>
      <c r="L119" s="56">
        <v>6258</v>
      </c>
      <c r="M119" s="56">
        <v>6431</v>
      </c>
      <c r="N119" s="56">
        <v>6801</v>
      </c>
      <c r="O119" s="56">
        <v>6915</v>
      </c>
      <c r="Q119" s="441" t="s">
        <v>3650</v>
      </c>
    </row>
    <row r="120" spans="1:17">
      <c r="A120" s="441" t="s">
        <v>5394</v>
      </c>
      <c r="B120" s="441" t="s">
        <v>11060</v>
      </c>
      <c r="C120" s="919" t="s">
        <v>14769</v>
      </c>
      <c r="D120" s="443">
        <v>30590</v>
      </c>
      <c r="E120" s="443">
        <v>30812</v>
      </c>
      <c r="F120" s="443">
        <v>31029</v>
      </c>
      <c r="G120" s="63">
        <v>31417</v>
      </c>
      <c r="H120" s="63">
        <v>31756</v>
      </c>
      <c r="I120" s="58">
        <v>32628</v>
      </c>
      <c r="J120" s="56">
        <v>6597</v>
      </c>
      <c r="K120" s="58">
        <v>6722</v>
      </c>
      <c r="L120" s="58">
        <v>6625</v>
      </c>
      <c r="M120" s="58">
        <v>6607</v>
      </c>
      <c r="N120" s="58">
        <v>6829</v>
      </c>
      <c r="O120" s="58">
        <v>6887</v>
      </c>
      <c r="Q120" s="441" t="s">
        <v>6678</v>
      </c>
    </row>
    <row r="121" spans="1:17">
      <c r="A121" s="441" t="s">
        <v>5416</v>
      </c>
      <c r="B121" s="441" t="s">
        <v>11061</v>
      </c>
      <c r="C121" s="919" t="s">
        <v>14770</v>
      </c>
      <c r="D121" s="443">
        <v>0</v>
      </c>
      <c r="E121" s="443">
        <v>0</v>
      </c>
      <c r="F121" s="443">
        <v>0</v>
      </c>
      <c r="G121" s="63">
        <v>0</v>
      </c>
      <c r="H121" s="63">
        <v>0</v>
      </c>
      <c r="I121" s="56">
        <v>0</v>
      </c>
      <c r="J121" s="58">
        <v>6805</v>
      </c>
      <c r="K121" s="58">
        <v>6751</v>
      </c>
      <c r="L121" s="58">
        <v>6725</v>
      </c>
      <c r="M121" s="58">
        <v>6678</v>
      </c>
      <c r="N121" s="58">
        <v>6807</v>
      </c>
      <c r="O121" s="58">
        <v>6905</v>
      </c>
      <c r="Q121" s="441" t="s">
        <v>6678</v>
      </c>
    </row>
    <row r="122" spans="1:17">
      <c r="A122" s="441" t="s">
        <v>5418</v>
      </c>
      <c r="B122" s="441" t="s">
        <v>11062</v>
      </c>
      <c r="C122" s="919" t="s">
        <v>14771</v>
      </c>
      <c r="D122" s="443">
        <v>0</v>
      </c>
      <c r="E122" s="443">
        <v>0</v>
      </c>
      <c r="F122" s="443">
        <v>0</v>
      </c>
      <c r="G122" s="63">
        <v>0</v>
      </c>
      <c r="H122" s="63">
        <v>0</v>
      </c>
      <c r="I122" s="56">
        <v>0</v>
      </c>
      <c r="J122" s="58">
        <v>7104</v>
      </c>
      <c r="K122" s="58">
        <v>7309</v>
      </c>
      <c r="L122" s="58">
        <v>7406</v>
      </c>
      <c r="M122" s="58">
        <v>7741</v>
      </c>
      <c r="N122" s="58">
        <v>8271</v>
      </c>
      <c r="O122" s="58">
        <v>8467</v>
      </c>
      <c r="Q122" s="441" t="s">
        <v>6678</v>
      </c>
    </row>
    <row r="123" spans="1:17">
      <c r="A123" s="441" t="s">
        <v>5420</v>
      </c>
      <c r="B123" s="441" t="s">
        <v>11063</v>
      </c>
      <c r="C123" s="55" t="s">
        <v>11077</v>
      </c>
      <c r="D123" s="443">
        <v>0</v>
      </c>
      <c r="E123" s="443">
        <v>0</v>
      </c>
      <c r="F123" s="443">
        <v>0</v>
      </c>
      <c r="G123" s="63">
        <v>0</v>
      </c>
      <c r="H123" s="63">
        <v>0</v>
      </c>
      <c r="I123" s="56">
        <v>0</v>
      </c>
      <c r="J123" s="58">
        <v>4663</v>
      </c>
      <c r="K123" s="58">
        <v>5207</v>
      </c>
      <c r="L123" s="58">
        <v>5340</v>
      </c>
      <c r="M123" s="58">
        <v>5290</v>
      </c>
      <c r="N123" s="58">
        <v>5351</v>
      </c>
      <c r="O123" s="58">
        <v>5474</v>
      </c>
      <c r="Q123" s="441" t="s">
        <v>6678</v>
      </c>
    </row>
    <row r="124" spans="1:17">
      <c r="A124" s="441" t="s">
        <v>5422</v>
      </c>
      <c r="B124" s="441" t="s">
        <v>11064</v>
      </c>
      <c r="C124" s="919" t="s">
        <v>14772</v>
      </c>
      <c r="D124" s="443">
        <v>0</v>
      </c>
      <c r="E124" s="443">
        <v>0</v>
      </c>
      <c r="F124" s="443">
        <v>0</v>
      </c>
      <c r="G124" s="63">
        <v>0</v>
      </c>
      <c r="H124" s="63">
        <v>0</v>
      </c>
      <c r="I124" s="56">
        <v>0</v>
      </c>
      <c r="J124" s="56">
        <v>2688</v>
      </c>
      <c r="K124" s="56">
        <v>2728</v>
      </c>
      <c r="L124" s="56">
        <v>2725</v>
      </c>
      <c r="M124" s="56">
        <v>2788</v>
      </c>
      <c r="N124" s="56">
        <v>2703</v>
      </c>
      <c r="O124" s="56">
        <v>2747</v>
      </c>
      <c r="Q124" s="441" t="s">
        <v>3650</v>
      </c>
    </row>
    <row r="125" spans="1:17">
      <c r="A125" s="441" t="s">
        <v>5424</v>
      </c>
      <c r="B125" s="441" t="s">
        <v>11065</v>
      </c>
      <c r="C125" s="55" t="s">
        <v>11078</v>
      </c>
      <c r="D125" s="443">
        <v>0</v>
      </c>
      <c r="E125" s="443">
        <v>0</v>
      </c>
      <c r="F125" s="443">
        <v>0</v>
      </c>
      <c r="G125" s="63">
        <v>0</v>
      </c>
      <c r="H125" s="63">
        <v>0</v>
      </c>
      <c r="I125" s="56">
        <v>0</v>
      </c>
      <c r="J125" s="56">
        <v>2752</v>
      </c>
      <c r="K125" s="56">
        <v>2796</v>
      </c>
      <c r="L125" s="56">
        <v>2784</v>
      </c>
      <c r="M125" s="56">
        <v>2792</v>
      </c>
      <c r="N125" s="56">
        <v>2823</v>
      </c>
      <c r="O125" s="56">
        <v>2829</v>
      </c>
      <c r="Q125" s="441" t="s">
        <v>3650</v>
      </c>
    </row>
    <row r="126" spans="1:17">
      <c r="A126" s="441" t="s">
        <v>5426</v>
      </c>
      <c r="B126" s="441" t="s">
        <v>2307</v>
      </c>
      <c r="C126" s="55" t="s">
        <v>11079</v>
      </c>
      <c r="D126" s="443">
        <v>0</v>
      </c>
      <c r="E126" s="443">
        <v>0</v>
      </c>
      <c r="F126" s="443">
        <v>0</v>
      </c>
      <c r="G126" s="63">
        <v>0</v>
      </c>
      <c r="H126" s="63">
        <v>0</v>
      </c>
      <c r="I126" s="56">
        <v>0</v>
      </c>
      <c r="J126" s="56">
        <v>2991</v>
      </c>
      <c r="K126" s="56">
        <v>3045</v>
      </c>
      <c r="L126" s="56">
        <v>2981</v>
      </c>
      <c r="M126" s="56">
        <v>3025</v>
      </c>
      <c r="N126" s="56">
        <v>3106</v>
      </c>
      <c r="O126" s="56">
        <v>3163</v>
      </c>
      <c r="Q126" s="441" t="s">
        <v>3650</v>
      </c>
    </row>
    <row r="127" spans="1:17">
      <c r="A127" s="441" t="s">
        <v>5428</v>
      </c>
      <c r="B127" s="441" t="s">
        <v>11066</v>
      </c>
      <c r="C127" s="919" t="s">
        <v>14773</v>
      </c>
      <c r="D127" s="443">
        <v>0</v>
      </c>
      <c r="E127" s="443">
        <v>0</v>
      </c>
      <c r="F127" s="443">
        <v>0</v>
      </c>
      <c r="G127" s="63">
        <v>0</v>
      </c>
      <c r="H127" s="63">
        <v>0</v>
      </c>
      <c r="I127" s="56">
        <v>0</v>
      </c>
      <c r="J127" s="56">
        <v>3062</v>
      </c>
      <c r="K127" s="56">
        <v>3110</v>
      </c>
      <c r="L127" s="56">
        <v>3071</v>
      </c>
      <c r="M127" s="56">
        <v>3026</v>
      </c>
      <c r="N127" s="56">
        <v>3134</v>
      </c>
      <c r="O127" s="56">
        <v>3176</v>
      </c>
      <c r="Q127" s="441" t="s">
        <v>3650</v>
      </c>
    </row>
    <row r="128" spans="1:17">
      <c r="A128" s="441" t="s">
        <v>5429</v>
      </c>
      <c r="B128" s="441" t="s">
        <v>11067</v>
      </c>
      <c r="C128" s="919" t="s">
        <v>14779</v>
      </c>
      <c r="D128" s="443">
        <v>0</v>
      </c>
      <c r="E128" s="443">
        <v>0</v>
      </c>
      <c r="F128" s="443">
        <v>0</v>
      </c>
      <c r="G128" s="63">
        <v>0</v>
      </c>
      <c r="H128" s="63">
        <v>0</v>
      </c>
      <c r="I128" s="56">
        <v>0</v>
      </c>
      <c r="J128" s="56">
        <v>8318</v>
      </c>
      <c r="K128" s="56">
        <v>8465</v>
      </c>
      <c r="L128" s="56">
        <v>8373</v>
      </c>
      <c r="M128" s="56">
        <v>8480</v>
      </c>
      <c r="N128" s="56">
        <v>8779</v>
      </c>
      <c r="O128" s="56">
        <v>8904</v>
      </c>
      <c r="Q128" s="441" t="s">
        <v>3650</v>
      </c>
    </row>
    <row r="129" spans="1:17">
      <c r="A129" s="441" t="s">
        <v>5431</v>
      </c>
      <c r="B129" s="441" t="s">
        <v>11068</v>
      </c>
      <c r="C129" s="919" t="s">
        <v>14774</v>
      </c>
      <c r="D129" s="443">
        <v>0</v>
      </c>
      <c r="E129" s="443">
        <v>0</v>
      </c>
      <c r="F129" s="443">
        <v>0</v>
      </c>
      <c r="G129" s="63">
        <v>0</v>
      </c>
      <c r="H129" s="63">
        <v>0</v>
      </c>
      <c r="I129" s="56">
        <v>0</v>
      </c>
      <c r="J129" s="56">
        <v>2789</v>
      </c>
      <c r="K129" s="56">
        <v>2808</v>
      </c>
      <c r="L129" s="56">
        <v>2797</v>
      </c>
      <c r="M129" s="56">
        <v>2822</v>
      </c>
      <c r="N129" s="56">
        <v>2848</v>
      </c>
      <c r="O129" s="56">
        <v>2889</v>
      </c>
      <c r="Q129" s="441" t="s">
        <v>3650</v>
      </c>
    </row>
    <row r="130" spans="1:17">
      <c r="A130" s="441" t="s">
        <v>5433</v>
      </c>
      <c r="B130" s="441" t="s">
        <v>11069</v>
      </c>
      <c r="C130" s="919" t="s">
        <v>14775</v>
      </c>
      <c r="D130" s="443">
        <v>0</v>
      </c>
      <c r="E130" s="443">
        <v>0</v>
      </c>
      <c r="F130" s="443">
        <v>0</v>
      </c>
      <c r="G130" s="63">
        <v>0</v>
      </c>
      <c r="H130" s="63">
        <v>0</v>
      </c>
      <c r="I130" s="56">
        <v>0</v>
      </c>
      <c r="J130" s="56">
        <v>2163</v>
      </c>
      <c r="K130" s="56">
        <v>2185</v>
      </c>
      <c r="L130" s="56">
        <v>2149</v>
      </c>
      <c r="M130" s="56">
        <v>2130</v>
      </c>
      <c r="N130" s="56">
        <v>2195</v>
      </c>
      <c r="O130" s="56">
        <v>2211</v>
      </c>
      <c r="Q130" s="441" t="s">
        <v>3650</v>
      </c>
    </row>
    <row r="131" spans="1:17" ht="15.75" thickBot="1">
      <c r="A131" s="441"/>
      <c r="B131" s="441"/>
      <c r="C131" s="919" t="s">
        <v>14775</v>
      </c>
      <c r="D131" s="446">
        <v>0</v>
      </c>
      <c r="E131" s="446">
        <v>0</v>
      </c>
      <c r="F131" s="446">
        <v>0</v>
      </c>
      <c r="G131" s="185">
        <v>0</v>
      </c>
      <c r="H131" s="185">
        <v>0</v>
      </c>
      <c r="I131" s="274">
        <v>0</v>
      </c>
      <c r="J131" s="58">
        <v>717</v>
      </c>
      <c r="K131" s="58">
        <v>743</v>
      </c>
      <c r="L131" s="58">
        <v>739</v>
      </c>
      <c r="M131" s="58">
        <v>725</v>
      </c>
      <c r="N131" s="58">
        <v>739</v>
      </c>
      <c r="O131" s="58">
        <v>744</v>
      </c>
      <c r="Q131" s="441" t="s">
        <v>6678</v>
      </c>
    </row>
    <row r="132" spans="1:17" ht="15.75" thickBot="1">
      <c r="A132" s="441"/>
      <c r="B132" s="441"/>
      <c r="C132" s="919" t="s">
        <v>14775</v>
      </c>
      <c r="D132" s="449">
        <f>D130+D131</f>
        <v>0</v>
      </c>
      <c r="E132" s="449">
        <f t="shared" ref="E132:L132" si="56">E130+E131</f>
        <v>0</v>
      </c>
      <c r="F132" s="449">
        <f t="shared" si="56"/>
        <v>0</v>
      </c>
      <c r="G132" s="449">
        <f t="shared" si="56"/>
        <v>0</v>
      </c>
      <c r="H132" s="449">
        <f t="shared" si="56"/>
        <v>0</v>
      </c>
      <c r="I132" s="449">
        <f t="shared" si="56"/>
        <v>0</v>
      </c>
      <c r="J132" s="449">
        <f t="shared" si="56"/>
        <v>2880</v>
      </c>
      <c r="K132" s="449">
        <f t="shared" si="56"/>
        <v>2928</v>
      </c>
      <c r="L132" s="449">
        <f t="shared" si="56"/>
        <v>2888</v>
      </c>
      <c r="M132" s="449">
        <f>M130+M131</f>
        <v>2855</v>
      </c>
      <c r="N132" s="449">
        <f>N130+N131</f>
        <v>2934</v>
      </c>
      <c r="O132" s="449">
        <f>O130+O131</f>
        <v>2955</v>
      </c>
      <c r="Q132" s="441"/>
    </row>
    <row r="133" spans="1:17">
      <c r="A133" s="441" t="s">
        <v>5435</v>
      </c>
      <c r="B133" s="441" t="s">
        <v>3689</v>
      </c>
      <c r="C133" s="919" t="s">
        <v>14780</v>
      </c>
      <c r="D133" s="443">
        <v>0</v>
      </c>
      <c r="E133" s="443">
        <v>0</v>
      </c>
      <c r="F133" s="443">
        <v>0</v>
      </c>
      <c r="G133" s="63">
        <v>0</v>
      </c>
      <c r="H133" s="63">
        <v>0</v>
      </c>
      <c r="I133" s="56">
        <v>0</v>
      </c>
      <c r="J133" s="56">
        <v>5214</v>
      </c>
      <c r="K133" s="56">
        <v>5402</v>
      </c>
      <c r="L133" s="56">
        <v>5324</v>
      </c>
      <c r="M133" s="56">
        <v>5347</v>
      </c>
      <c r="N133" s="56">
        <v>5531</v>
      </c>
      <c r="O133" s="56">
        <v>5571</v>
      </c>
      <c r="Q133" s="441" t="s">
        <v>3650</v>
      </c>
    </row>
    <row r="134" spans="1:17">
      <c r="A134" s="441" t="s">
        <v>5436</v>
      </c>
      <c r="B134" s="441" t="s">
        <v>11070</v>
      </c>
      <c r="C134" s="55" t="s">
        <v>11080</v>
      </c>
      <c r="D134" s="443">
        <v>0</v>
      </c>
      <c r="E134" s="443">
        <v>0</v>
      </c>
      <c r="F134" s="443">
        <v>0</v>
      </c>
      <c r="G134" s="63">
        <v>0</v>
      </c>
      <c r="H134" s="63">
        <v>0</v>
      </c>
      <c r="I134" s="56">
        <v>0</v>
      </c>
      <c r="J134" s="56">
        <v>8847</v>
      </c>
      <c r="K134" s="56">
        <v>9017</v>
      </c>
      <c r="L134" s="56">
        <v>9172</v>
      </c>
      <c r="M134" s="56">
        <v>9375</v>
      </c>
      <c r="N134" s="56">
        <v>9695</v>
      </c>
      <c r="O134" s="56">
        <v>9824</v>
      </c>
      <c r="Q134" s="441" t="s">
        <v>3650</v>
      </c>
    </row>
    <row r="135" spans="1:17">
      <c r="A135" s="441" t="s">
        <v>5437</v>
      </c>
      <c r="B135" s="441" t="s">
        <v>11071</v>
      </c>
      <c r="C135" s="919" t="s">
        <v>14776</v>
      </c>
      <c r="D135" s="443">
        <v>0</v>
      </c>
      <c r="E135" s="443">
        <v>0</v>
      </c>
      <c r="F135" s="443">
        <v>0</v>
      </c>
      <c r="G135" s="63">
        <v>0</v>
      </c>
      <c r="H135" s="63">
        <v>0</v>
      </c>
      <c r="I135" s="56">
        <v>0</v>
      </c>
      <c r="J135" s="58">
        <v>5625</v>
      </c>
      <c r="K135" s="58">
        <v>5838</v>
      </c>
      <c r="L135" s="58">
        <v>5849</v>
      </c>
      <c r="M135" s="58">
        <v>5809</v>
      </c>
      <c r="N135" s="58">
        <v>6051</v>
      </c>
      <c r="O135" s="58">
        <v>6151</v>
      </c>
      <c r="Q135" s="441" t="s">
        <v>6678</v>
      </c>
    </row>
    <row r="136" spans="1:17">
      <c r="A136" s="441" t="s">
        <v>5439</v>
      </c>
      <c r="B136" s="441" t="s">
        <v>1840</v>
      </c>
      <c r="C136" s="55" t="s">
        <v>11081</v>
      </c>
      <c r="D136" s="443">
        <v>0</v>
      </c>
      <c r="E136" s="443">
        <v>0</v>
      </c>
      <c r="F136" s="443">
        <v>0</v>
      </c>
      <c r="G136" s="63">
        <v>0</v>
      </c>
      <c r="H136" s="63">
        <v>0</v>
      </c>
      <c r="I136" s="56">
        <v>0</v>
      </c>
      <c r="J136" s="56">
        <v>2955</v>
      </c>
      <c r="K136" s="56">
        <v>2994</v>
      </c>
      <c r="L136" s="56">
        <v>2940</v>
      </c>
      <c r="M136" s="56">
        <v>2973</v>
      </c>
      <c r="N136" s="56">
        <v>3038</v>
      </c>
      <c r="O136" s="56">
        <v>3072</v>
      </c>
      <c r="Q136" s="441" t="s">
        <v>3650</v>
      </c>
    </row>
    <row r="137" spans="1:17">
      <c r="A137" s="441" t="s">
        <v>5441</v>
      </c>
      <c r="B137" s="441" t="s">
        <v>2982</v>
      </c>
      <c r="C137" s="919" t="s">
        <v>14777</v>
      </c>
      <c r="D137" s="443">
        <v>0</v>
      </c>
      <c r="E137" s="443">
        <v>0</v>
      </c>
      <c r="F137" s="443">
        <v>0</v>
      </c>
      <c r="G137" s="63">
        <v>0</v>
      </c>
      <c r="H137" s="63">
        <v>0</v>
      </c>
      <c r="I137" s="56">
        <v>0</v>
      </c>
      <c r="J137" s="56">
        <v>3023</v>
      </c>
      <c r="K137" s="56">
        <v>3031</v>
      </c>
      <c r="L137" s="56">
        <v>2985</v>
      </c>
      <c r="M137" s="56">
        <v>2936</v>
      </c>
      <c r="N137" s="56">
        <v>3218</v>
      </c>
      <c r="O137" s="56">
        <v>3250</v>
      </c>
      <c r="Q137" s="441" t="s">
        <v>3650</v>
      </c>
    </row>
    <row r="138" spans="1:17">
      <c r="A138" s="441" t="s">
        <v>5886</v>
      </c>
      <c r="B138" s="441" t="s">
        <v>11072</v>
      </c>
      <c r="C138" s="919" t="s">
        <v>14778</v>
      </c>
      <c r="D138" s="443">
        <v>0</v>
      </c>
      <c r="E138" s="443">
        <v>0</v>
      </c>
      <c r="F138" s="443">
        <v>0</v>
      </c>
      <c r="G138" s="63">
        <v>0</v>
      </c>
      <c r="H138" s="63">
        <v>0</v>
      </c>
      <c r="I138" s="56">
        <v>0</v>
      </c>
      <c r="J138" s="58">
        <v>6244</v>
      </c>
      <c r="K138" s="58">
        <v>6387</v>
      </c>
      <c r="L138" s="58">
        <v>6389</v>
      </c>
      <c r="M138" s="58">
        <v>6360</v>
      </c>
      <c r="N138" s="58">
        <v>6492</v>
      </c>
      <c r="O138" s="58">
        <v>6542</v>
      </c>
      <c r="Q138" s="441" t="s">
        <v>3650</v>
      </c>
    </row>
    <row r="139" spans="1:17">
      <c r="A139" s="441"/>
      <c r="B139" s="441"/>
      <c r="C139" s="55"/>
      <c r="D139" s="443"/>
      <c r="E139" s="443"/>
      <c r="F139" s="443"/>
      <c r="G139" s="63"/>
      <c r="H139" s="63"/>
      <c r="I139" s="56"/>
      <c r="J139" s="56"/>
      <c r="K139" s="56"/>
      <c r="L139" s="56"/>
      <c r="M139" s="56"/>
      <c r="N139" s="56"/>
      <c r="O139" s="56"/>
      <c r="Q139" s="441"/>
    </row>
    <row r="140" spans="1:17">
      <c r="D140" s="444"/>
      <c r="E140" s="444"/>
      <c r="F140" s="444"/>
      <c r="G140" s="444"/>
      <c r="H140" s="444"/>
      <c r="I140" s="444"/>
      <c r="J140" s="444"/>
      <c r="K140" s="444"/>
      <c r="L140" s="444"/>
      <c r="M140" s="444"/>
      <c r="N140" s="444"/>
      <c r="O140" s="444"/>
    </row>
    <row r="141" spans="1:17">
      <c r="A141" s="441" t="s">
        <v>4932</v>
      </c>
      <c r="D141" s="443">
        <f t="shared" ref="D141:N141" si="57">SUM(D116:D119)+SUM(D124:D130)+D133+D134+SUM(D136:D138)</f>
        <v>69340</v>
      </c>
      <c r="E141" s="443">
        <f t="shared" si="57"/>
        <v>69670</v>
      </c>
      <c r="F141" s="443">
        <f t="shared" si="57"/>
        <v>69901</v>
      </c>
      <c r="G141" s="443">
        <f t="shared" si="57"/>
        <v>70292</v>
      </c>
      <c r="H141" s="443">
        <f t="shared" si="57"/>
        <v>70642</v>
      </c>
      <c r="I141" s="443">
        <f>SUM(I116:I119)+SUM(I124:I130)+I133+I134+SUM(I136:I138)</f>
        <v>72052</v>
      </c>
      <c r="J141" s="443">
        <f t="shared" si="57"/>
        <v>68369</v>
      </c>
      <c r="K141" s="443">
        <f t="shared" si="57"/>
        <v>69543</v>
      </c>
      <c r="L141" s="443">
        <f t="shared" si="57"/>
        <v>69222</v>
      </c>
      <c r="M141" s="443">
        <f t="shared" si="57"/>
        <v>69753</v>
      </c>
      <c r="N141" s="443">
        <f t="shared" si="57"/>
        <v>71963</v>
      </c>
      <c r="O141" s="443">
        <f>SUM(O116:O119)+SUM(O124:O130)+O133+O134+SUM(O136:O138)</f>
        <v>72837</v>
      </c>
    </row>
    <row r="142" spans="1:17">
      <c r="A142" s="441" t="s">
        <v>2288</v>
      </c>
      <c r="D142" s="443">
        <f t="shared" ref="D142:I142" si="58">SUM(D120:D123)+D131+D135</f>
        <v>30590</v>
      </c>
      <c r="E142" s="443">
        <f t="shared" si="58"/>
        <v>30812</v>
      </c>
      <c r="F142" s="443">
        <f t="shared" si="58"/>
        <v>31029</v>
      </c>
      <c r="G142" s="443">
        <f t="shared" si="58"/>
        <v>31417</v>
      </c>
      <c r="H142" s="443">
        <f t="shared" si="58"/>
        <v>31756</v>
      </c>
      <c r="I142" s="443">
        <f t="shared" si="58"/>
        <v>32628</v>
      </c>
      <c r="J142" s="443">
        <f t="shared" ref="J142:O142" si="59">SUM(J120:J123)+J131+J135</f>
        <v>31511</v>
      </c>
      <c r="K142" s="443">
        <f t="shared" si="59"/>
        <v>32570</v>
      </c>
      <c r="L142" s="443">
        <f t="shared" si="59"/>
        <v>32684</v>
      </c>
      <c r="M142" s="443">
        <f t="shared" si="59"/>
        <v>32850</v>
      </c>
      <c r="N142" s="443">
        <f t="shared" si="59"/>
        <v>34048</v>
      </c>
      <c r="O142" s="443">
        <f t="shared" si="59"/>
        <v>34628</v>
      </c>
    </row>
    <row r="143" spans="1:17">
      <c r="A143" s="441"/>
      <c r="D143" s="443"/>
      <c r="E143" s="443"/>
      <c r="F143" s="443"/>
      <c r="G143" s="443"/>
      <c r="H143" s="443"/>
      <c r="I143" s="443"/>
      <c r="J143" s="443"/>
      <c r="K143" s="443"/>
      <c r="L143" s="443"/>
      <c r="M143" s="443"/>
      <c r="N143" s="443"/>
      <c r="O143" s="443"/>
    </row>
    <row r="144" spans="1:17">
      <c r="A144" s="441" t="s">
        <v>11073</v>
      </c>
      <c r="D144" s="443"/>
      <c r="E144" s="443"/>
      <c r="F144" s="443"/>
      <c r="G144" s="443"/>
      <c r="H144" s="443"/>
      <c r="I144" s="443"/>
      <c r="J144" s="443"/>
      <c r="K144" s="443"/>
      <c r="L144" s="443"/>
      <c r="M144" s="443"/>
      <c r="N144" s="443"/>
      <c r="O144" s="443"/>
    </row>
    <row r="145" spans="1:17">
      <c r="A145" s="441" t="s">
        <v>14781</v>
      </c>
      <c r="B145" s="441"/>
      <c r="D145" s="450"/>
      <c r="E145" s="450"/>
      <c r="F145" s="450"/>
      <c r="G145" s="450"/>
      <c r="H145" s="450"/>
      <c r="I145" s="450"/>
      <c r="J145" s="450"/>
      <c r="K145" s="450"/>
      <c r="L145" s="450"/>
      <c r="M145" s="450"/>
      <c r="N145" s="450"/>
      <c r="O145" s="450"/>
    </row>
    <row r="146" spans="1:17">
      <c r="A146" s="441"/>
      <c r="B146" s="441"/>
      <c r="D146" s="450"/>
      <c r="E146" s="450"/>
      <c r="F146" s="450"/>
      <c r="G146" s="450"/>
      <c r="H146" s="450"/>
      <c r="I146" s="450"/>
      <c r="J146" s="450"/>
      <c r="K146" s="450"/>
      <c r="L146" s="450"/>
      <c r="M146" s="450"/>
      <c r="N146" s="450"/>
      <c r="O146" s="450"/>
    </row>
    <row r="147" spans="1:17">
      <c r="E147" s="51" t="s">
        <v>1526</v>
      </c>
      <c r="F147" s="51"/>
      <c r="G147" s="51"/>
      <c r="H147" s="51"/>
      <c r="I147" s="51"/>
      <c r="J147" s="51"/>
      <c r="K147" s="51"/>
      <c r="L147" s="51"/>
      <c r="M147" s="51"/>
      <c r="N147" s="51"/>
      <c r="O147" s="51"/>
      <c r="P147" s="11"/>
      <c r="Q147" s="11" t="s">
        <v>9479</v>
      </c>
    </row>
    <row r="148" spans="1:17">
      <c r="D148" s="350">
        <v>2010</v>
      </c>
      <c r="E148" s="350">
        <v>2011</v>
      </c>
      <c r="F148" s="350">
        <v>2012</v>
      </c>
      <c r="G148" s="350">
        <v>2013</v>
      </c>
      <c r="H148" s="350">
        <v>2014</v>
      </c>
      <c r="I148" s="350">
        <v>2015</v>
      </c>
      <c r="J148" s="350">
        <v>2016</v>
      </c>
      <c r="K148" s="350">
        <v>2017</v>
      </c>
      <c r="L148" s="350">
        <v>2018</v>
      </c>
      <c r="M148" s="350">
        <v>2019</v>
      </c>
      <c r="N148" s="350">
        <v>2020</v>
      </c>
      <c r="O148" s="949" t="s">
        <v>14823</v>
      </c>
      <c r="P148" s="11"/>
      <c r="Q148" s="13" t="s">
        <v>1527</v>
      </c>
    </row>
    <row r="149" spans="1:17">
      <c r="A149" s="441" t="s">
        <v>2289</v>
      </c>
      <c r="D149" s="443">
        <f t="shared" ref="D149:L149" si="60">SUM(D150:D170)+SUM(D172:D175)</f>
        <v>90625</v>
      </c>
      <c r="E149" s="443">
        <f t="shared" si="60"/>
        <v>91588</v>
      </c>
      <c r="F149" s="443">
        <f t="shared" si="60"/>
        <v>92688</v>
      </c>
      <c r="G149" s="443">
        <f t="shared" si="60"/>
        <v>92457</v>
      </c>
      <c r="H149" s="443">
        <f t="shared" si="60"/>
        <v>93022</v>
      </c>
      <c r="I149" s="443">
        <f t="shared" si="60"/>
        <v>95117</v>
      </c>
      <c r="J149" s="443">
        <f t="shared" si="60"/>
        <v>90444</v>
      </c>
      <c r="K149" s="443">
        <f t="shared" si="60"/>
        <v>92706</v>
      </c>
      <c r="L149" s="443">
        <f t="shared" si="60"/>
        <v>93405</v>
      </c>
      <c r="M149" s="443">
        <f>SUM(M150:M170)+SUM(M172:M175)</f>
        <v>94499</v>
      </c>
      <c r="N149" s="443">
        <f>SUM(N150:N170)+SUM(N172:N175)</f>
        <v>98566</v>
      </c>
      <c r="O149" s="443">
        <f>SUM(O150:O170)+SUM(O172:O175)</f>
        <v>100004</v>
      </c>
    </row>
    <row r="150" spans="1:17">
      <c r="A150" s="441" t="s">
        <v>5387</v>
      </c>
      <c r="B150" s="441" t="s">
        <v>11083</v>
      </c>
      <c r="C150" s="55" t="s">
        <v>11082</v>
      </c>
      <c r="D150" s="443">
        <v>42438</v>
      </c>
      <c r="E150" s="443">
        <v>42625</v>
      </c>
      <c r="F150" s="443">
        <v>43024</v>
      </c>
      <c r="G150" s="63">
        <v>42786</v>
      </c>
      <c r="H150" s="63">
        <v>42832</v>
      </c>
      <c r="I150" s="56">
        <v>43654</v>
      </c>
      <c r="J150" s="56">
        <v>4333</v>
      </c>
      <c r="K150" s="56">
        <v>4456</v>
      </c>
      <c r="L150" s="56">
        <v>4369</v>
      </c>
      <c r="M150" s="56">
        <v>4358</v>
      </c>
      <c r="N150" s="56">
        <v>4499</v>
      </c>
      <c r="O150" s="56">
        <v>4589</v>
      </c>
      <c r="Q150" s="441" t="s">
        <v>6676</v>
      </c>
    </row>
    <row r="151" spans="1:17">
      <c r="A151" s="441" t="s">
        <v>5389</v>
      </c>
      <c r="B151" s="441" t="s">
        <v>2290</v>
      </c>
      <c r="C151" s="55" t="s">
        <v>11093</v>
      </c>
      <c r="D151" s="443">
        <v>0</v>
      </c>
      <c r="E151" s="443">
        <v>0</v>
      </c>
      <c r="F151" s="443">
        <v>0</v>
      </c>
      <c r="G151" s="63">
        <v>0</v>
      </c>
      <c r="H151" s="63">
        <v>0</v>
      </c>
      <c r="I151" s="56">
        <v>0</v>
      </c>
      <c r="J151" s="56">
        <v>5083</v>
      </c>
      <c r="K151" s="56">
        <v>5171</v>
      </c>
      <c r="L151" s="56">
        <v>5224</v>
      </c>
      <c r="M151" s="56">
        <v>5209</v>
      </c>
      <c r="N151" s="56">
        <v>5410</v>
      </c>
      <c r="O151" s="56">
        <v>5503</v>
      </c>
      <c r="Q151" s="441" t="s">
        <v>6676</v>
      </c>
    </row>
    <row r="152" spans="1:17">
      <c r="A152" s="441" t="s">
        <v>5391</v>
      </c>
      <c r="B152" s="441" t="s">
        <v>4395</v>
      </c>
      <c r="C152" s="132" t="s">
        <v>14789</v>
      </c>
      <c r="D152" s="443">
        <v>0</v>
      </c>
      <c r="E152" s="443">
        <v>0</v>
      </c>
      <c r="F152" s="443">
        <v>0</v>
      </c>
      <c r="G152" s="63">
        <v>0</v>
      </c>
      <c r="H152" s="63">
        <v>0</v>
      </c>
      <c r="I152" s="56">
        <v>0</v>
      </c>
      <c r="J152" s="56">
        <v>4545</v>
      </c>
      <c r="K152" s="56">
        <v>4607</v>
      </c>
      <c r="L152" s="56">
        <v>4581</v>
      </c>
      <c r="M152" s="56">
        <v>4488</v>
      </c>
      <c r="N152" s="56">
        <v>4520</v>
      </c>
      <c r="O152" s="56">
        <v>4557</v>
      </c>
      <c r="Q152" s="441" t="s">
        <v>6676</v>
      </c>
    </row>
    <row r="153" spans="1:17">
      <c r="A153" s="441" t="s">
        <v>5393</v>
      </c>
      <c r="B153" s="441" t="s">
        <v>4396</v>
      </c>
      <c r="C153" s="55" t="s">
        <v>11094</v>
      </c>
      <c r="D153" s="443">
        <v>0</v>
      </c>
      <c r="E153" s="443">
        <v>0</v>
      </c>
      <c r="F153" s="443">
        <v>0</v>
      </c>
      <c r="G153" s="63">
        <v>0</v>
      </c>
      <c r="H153" s="63">
        <v>0</v>
      </c>
      <c r="I153" s="56">
        <v>0</v>
      </c>
      <c r="J153" s="56">
        <v>4616</v>
      </c>
      <c r="K153" s="56">
        <v>4605</v>
      </c>
      <c r="L153" s="56">
        <v>4585</v>
      </c>
      <c r="M153" s="56">
        <v>4549</v>
      </c>
      <c r="N153" s="56">
        <v>4577</v>
      </c>
      <c r="O153" s="56">
        <v>4632</v>
      </c>
      <c r="Q153" s="441" t="s">
        <v>6676</v>
      </c>
    </row>
    <row r="154" spans="1:17">
      <c r="A154" s="441" t="s">
        <v>5394</v>
      </c>
      <c r="B154" s="441" t="s">
        <v>5926</v>
      </c>
      <c r="C154" s="132" t="s">
        <v>14790</v>
      </c>
      <c r="D154" s="443">
        <v>0</v>
      </c>
      <c r="E154" s="443">
        <v>0</v>
      </c>
      <c r="F154" s="443">
        <v>0</v>
      </c>
      <c r="G154" s="63">
        <v>0</v>
      </c>
      <c r="H154" s="63">
        <v>0</v>
      </c>
      <c r="I154" s="56">
        <v>0</v>
      </c>
      <c r="J154" s="56">
        <v>5178</v>
      </c>
      <c r="K154" s="56">
        <v>5209</v>
      </c>
      <c r="L154" s="56">
        <v>5121</v>
      </c>
      <c r="M154" s="56">
        <v>5018</v>
      </c>
      <c r="N154" s="56">
        <v>5069</v>
      </c>
      <c r="O154" s="56">
        <v>5123</v>
      </c>
      <c r="Q154" s="441" t="s">
        <v>6676</v>
      </c>
    </row>
    <row r="155" spans="1:17">
      <c r="A155" s="441" t="s">
        <v>5416</v>
      </c>
      <c r="B155" s="441" t="s">
        <v>11085</v>
      </c>
      <c r="C155" s="132" t="s">
        <v>14783</v>
      </c>
      <c r="D155" s="443">
        <v>48187</v>
      </c>
      <c r="E155" s="443">
        <v>48963</v>
      </c>
      <c r="F155" s="443">
        <v>49664</v>
      </c>
      <c r="G155" s="63">
        <v>49671</v>
      </c>
      <c r="H155" s="63">
        <v>50190</v>
      </c>
      <c r="I155" s="56">
        <v>51463</v>
      </c>
      <c r="J155" s="56">
        <v>4583</v>
      </c>
      <c r="K155" s="56">
        <v>4910</v>
      </c>
      <c r="L155" s="56">
        <v>5278</v>
      </c>
      <c r="M155" s="56">
        <v>5670</v>
      </c>
      <c r="N155" s="56">
        <v>6166</v>
      </c>
      <c r="O155" s="56">
        <v>6276</v>
      </c>
      <c r="Q155" s="441" t="s">
        <v>6678</v>
      </c>
    </row>
    <row r="156" spans="1:17">
      <c r="A156" s="441" t="s">
        <v>5418</v>
      </c>
      <c r="B156" s="441" t="s">
        <v>11086</v>
      </c>
      <c r="C156" s="132" t="s">
        <v>14791</v>
      </c>
      <c r="D156" s="443">
        <v>0</v>
      </c>
      <c r="E156" s="443">
        <v>0</v>
      </c>
      <c r="F156" s="443">
        <v>0</v>
      </c>
      <c r="G156" s="63">
        <v>0</v>
      </c>
      <c r="H156" s="63">
        <v>0</v>
      </c>
      <c r="I156" s="56">
        <v>0</v>
      </c>
      <c r="J156" s="56">
        <v>4240</v>
      </c>
      <c r="K156" s="56">
        <v>4371</v>
      </c>
      <c r="L156" s="56">
        <v>4428</v>
      </c>
      <c r="M156" s="56">
        <v>4441</v>
      </c>
      <c r="N156" s="56">
        <v>4871</v>
      </c>
      <c r="O156" s="56">
        <v>4939</v>
      </c>
      <c r="Q156" s="441" t="s">
        <v>6676</v>
      </c>
    </row>
    <row r="157" spans="1:17">
      <c r="A157" s="441" t="s">
        <v>5420</v>
      </c>
      <c r="B157" s="441" t="s">
        <v>11087</v>
      </c>
      <c r="C157" s="132" t="s">
        <v>14784</v>
      </c>
      <c r="D157" s="443">
        <v>0</v>
      </c>
      <c r="E157" s="443">
        <v>0</v>
      </c>
      <c r="F157" s="443">
        <v>0</v>
      </c>
      <c r="G157" s="63">
        <v>0</v>
      </c>
      <c r="H157" s="63">
        <v>0</v>
      </c>
      <c r="I157" s="56">
        <v>0</v>
      </c>
      <c r="J157" s="56">
        <v>4645</v>
      </c>
      <c r="K157" s="56">
        <v>4813</v>
      </c>
      <c r="L157" s="56">
        <v>4756</v>
      </c>
      <c r="M157" s="56">
        <v>4723</v>
      </c>
      <c r="N157" s="56">
        <v>4839</v>
      </c>
      <c r="O157" s="56">
        <v>4938</v>
      </c>
      <c r="Q157" s="441" t="s">
        <v>6676</v>
      </c>
    </row>
    <row r="158" spans="1:17">
      <c r="A158" s="441" t="s">
        <v>5422</v>
      </c>
      <c r="B158" s="441" t="s">
        <v>1932</v>
      </c>
      <c r="C158" s="132" t="s">
        <v>14785</v>
      </c>
      <c r="D158" s="443">
        <v>0</v>
      </c>
      <c r="E158" s="443">
        <v>0</v>
      </c>
      <c r="F158" s="443">
        <v>0</v>
      </c>
      <c r="G158" s="63">
        <v>0</v>
      </c>
      <c r="H158" s="63">
        <v>0</v>
      </c>
      <c r="I158" s="56">
        <v>0</v>
      </c>
      <c r="J158" s="56">
        <v>2274</v>
      </c>
      <c r="K158" s="56">
        <v>2350</v>
      </c>
      <c r="L158" s="56">
        <v>2375</v>
      </c>
      <c r="M158" s="56">
        <v>2454</v>
      </c>
      <c r="N158" s="56">
        <v>2703</v>
      </c>
      <c r="O158" s="56">
        <v>2767</v>
      </c>
      <c r="Q158" s="441" t="s">
        <v>6678</v>
      </c>
    </row>
    <row r="159" spans="1:17">
      <c r="A159" s="441" t="s">
        <v>5424</v>
      </c>
      <c r="B159" s="441" t="s">
        <v>11088</v>
      </c>
      <c r="C159" s="132" t="s">
        <v>14792</v>
      </c>
      <c r="D159" s="443">
        <v>0</v>
      </c>
      <c r="E159" s="443">
        <v>0</v>
      </c>
      <c r="F159" s="443">
        <v>0</v>
      </c>
      <c r="G159" s="63">
        <v>0</v>
      </c>
      <c r="H159" s="63">
        <v>0</v>
      </c>
      <c r="I159" s="56">
        <v>0</v>
      </c>
      <c r="J159" s="56">
        <v>5362</v>
      </c>
      <c r="K159" s="56">
        <v>5541</v>
      </c>
      <c r="L159" s="56">
        <v>5502</v>
      </c>
      <c r="M159" s="56">
        <v>5621</v>
      </c>
      <c r="N159" s="56">
        <v>6013</v>
      </c>
      <c r="O159" s="56">
        <v>6075</v>
      </c>
      <c r="Q159" s="441" t="s">
        <v>6678</v>
      </c>
    </row>
    <row r="160" spans="1:17">
      <c r="A160" s="441" t="s">
        <v>5426</v>
      </c>
      <c r="B160" s="441" t="s">
        <v>11089</v>
      </c>
      <c r="C160" s="132" t="s">
        <v>14793</v>
      </c>
      <c r="D160" s="443">
        <v>0</v>
      </c>
      <c r="E160" s="443">
        <v>0</v>
      </c>
      <c r="F160" s="443">
        <v>0</v>
      </c>
      <c r="G160" s="63">
        <v>0</v>
      </c>
      <c r="H160" s="63">
        <v>0</v>
      </c>
      <c r="I160" s="56">
        <v>0</v>
      </c>
      <c r="J160" s="56">
        <v>3998</v>
      </c>
      <c r="K160" s="56">
        <v>4111</v>
      </c>
      <c r="L160" s="56">
        <v>4164</v>
      </c>
      <c r="M160" s="56">
        <v>4321</v>
      </c>
      <c r="N160" s="56">
        <v>4088</v>
      </c>
      <c r="O160" s="56">
        <v>4188</v>
      </c>
      <c r="Q160" s="441" t="s">
        <v>6678</v>
      </c>
    </row>
    <row r="161" spans="1:17">
      <c r="A161" s="441" t="s">
        <v>5428</v>
      </c>
      <c r="B161" s="441" t="s">
        <v>5927</v>
      </c>
      <c r="C161" s="132" t="s">
        <v>14794</v>
      </c>
      <c r="D161" s="443">
        <v>0</v>
      </c>
      <c r="E161" s="443">
        <v>0</v>
      </c>
      <c r="F161" s="443">
        <v>0</v>
      </c>
      <c r="G161" s="63">
        <v>0</v>
      </c>
      <c r="H161" s="63">
        <v>0</v>
      </c>
      <c r="I161" s="56">
        <v>0</v>
      </c>
      <c r="J161" s="56">
        <v>2151</v>
      </c>
      <c r="K161" s="56">
        <v>2172</v>
      </c>
      <c r="L161" s="56">
        <v>2189</v>
      </c>
      <c r="M161" s="56">
        <v>2224</v>
      </c>
      <c r="N161" s="56">
        <v>2314</v>
      </c>
      <c r="O161" s="56">
        <v>2348</v>
      </c>
      <c r="Q161" s="441" t="s">
        <v>6678</v>
      </c>
    </row>
    <row r="162" spans="1:17">
      <c r="A162" s="441" t="s">
        <v>5429</v>
      </c>
      <c r="B162" s="441" t="s">
        <v>11090</v>
      </c>
      <c r="C162" s="132" t="s">
        <v>14795</v>
      </c>
      <c r="D162" s="443">
        <v>0</v>
      </c>
      <c r="E162" s="443">
        <v>0</v>
      </c>
      <c r="F162" s="443">
        <v>0</v>
      </c>
      <c r="G162" s="63">
        <v>0</v>
      </c>
      <c r="H162" s="63">
        <v>0</v>
      </c>
      <c r="I162" s="56">
        <v>0</v>
      </c>
      <c r="J162" s="56">
        <v>5081</v>
      </c>
      <c r="K162" s="56">
        <v>4971</v>
      </c>
      <c r="L162" s="56">
        <v>4967</v>
      </c>
      <c r="M162" s="56">
        <v>4907</v>
      </c>
      <c r="N162" s="56">
        <v>4999</v>
      </c>
      <c r="O162" s="56">
        <v>5051</v>
      </c>
      <c r="Q162" s="441" t="s">
        <v>6676</v>
      </c>
    </row>
    <row r="163" spans="1:17">
      <c r="A163" s="441" t="s">
        <v>5431</v>
      </c>
      <c r="B163" s="441" t="s">
        <v>11091</v>
      </c>
      <c r="C163" s="132" t="s">
        <v>14800</v>
      </c>
      <c r="D163" s="443">
        <v>0</v>
      </c>
      <c r="E163" s="443">
        <v>0</v>
      </c>
      <c r="F163" s="443">
        <v>0</v>
      </c>
      <c r="G163" s="63">
        <v>0</v>
      </c>
      <c r="H163" s="63">
        <v>0</v>
      </c>
      <c r="I163" s="56">
        <v>0</v>
      </c>
      <c r="J163" s="58">
        <v>2555</v>
      </c>
      <c r="K163" s="58">
        <v>2685</v>
      </c>
      <c r="L163" s="58">
        <v>2833</v>
      </c>
      <c r="M163" s="58">
        <v>2997</v>
      </c>
      <c r="N163" s="58">
        <v>3264</v>
      </c>
      <c r="O163" s="58">
        <v>3324</v>
      </c>
      <c r="Q163" s="441" t="s">
        <v>6678</v>
      </c>
    </row>
    <row r="164" spans="1:17">
      <c r="A164" s="441" t="s">
        <v>5433</v>
      </c>
      <c r="B164" s="441" t="s">
        <v>11092</v>
      </c>
      <c r="C164" s="132" t="s">
        <v>14796</v>
      </c>
      <c r="D164" s="443">
        <v>0</v>
      </c>
      <c r="E164" s="443">
        <v>0</v>
      </c>
      <c r="F164" s="443">
        <v>0</v>
      </c>
      <c r="G164" s="63">
        <v>0</v>
      </c>
      <c r="H164" s="63">
        <v>0</v>
      </c>
      <c r="I164" s="56">
        <v>0</v>
      </c>
      <c r="J164" s="58">
        <v>2158</v>
      </c>
      <c r="K164" s="58">
        <v>2302</v>
      </c>
      <c r="L164" s="58">
        <v>2382</v>
      </c>
      <c r="M164" s="58">
        <v>2398</v>
      </c>
      <c r="N164" s="58">
        <v>2522</v>
      </c>
      <c r="O164" s="58">
        <v>2566</v>
      </c>
      <c r="Q164" s="441" t="s">
        <v>6678</v>
      </c>
    </row>
    <row r="165" spans="1:17">
      <c r="A165" s="441" t="s">
        <v>5435</v>
      </c>
      <c r="B165" s="441" t="s">
        <v>6584</v>
      </c>
      <c r="C165" s="55" t="s">
        <v>11095</v>
      </c>
      <c r="D165" s="443">
        <v>0</v>
      </c>
      <c r="E165" s="443">
        <v>0</v>
      </c>
      <c r="F165" s="443">
        <v>0</v>
      </c>
      <c r="G165" s="63">
        <v>0</v>
      </c>
      <c r="H165" s="63">
        <v>0</v>
      </c>
      <c r="I165" s="56">
        <v>0</v>
      </c>
      <c r="J165" s="58">
        <v>2355</v>
      </c>
      <c r="K165" s="58">
        <v>2418</v>
      </c>
      <c r="L165" s="58">
        <v>2446</v>
      </c>
      <c r="M165" s="58">
        <v>2461</v>
      </c>
      <c r="N165" s="58">
        <v>2467</v>
      </c>
      <c r="O165" s="58">
        <v>2487</v>
      </c>
      <c r="Q165" s="441" t="s">
        <v>6678</v>
      </c>
    </row>
    <row r="166" spans="1:17">
      <c r="A166" s="441" t="s">
        <v>5436</v>
      </c>
      <c r="B166" s="441" t="s">
        <v>1260</v>
      </c>
      <c r="C166" s="55" t="s">
        <v>11096</v>
      </c>
      <c r="D166" s="443">
        <v>0</v>
      </c>
      <c r="E166" s="443">
        <v>0</v>
      </c>
      <c r="F166" s="443">
        <v>0</v>
      </c>
      <c r="G166" s="63">
        <v>0</v>
      </c>
      <c r="H166" s="63">
        <v>0</v>
      </c>
      <c r="I166" s="58">
        <v>0</v>
      </c>
      <c r="J166" s="58">
        <v>2654</v>
      </c>
      <c r="K166" s="58">
        <v>2754</v>
      </c>
      <c r="L166" s="58">
        <v>2773</v>
      </c>
      <c r="M166" s="58">
        <v>2809</v>
      </c>
      <c r="N166" s="58">
        <v>2868</v>
      </c>
      <c r="O166" s="58">
        <v>2896</v>
      </c>
      <c r="Q166" s="441" t="s">
        <v>6678</v>
      </c>
    </row>
    <row r="167" spans="1:17">
      <c r="A167" s="441" t="s">
        <v>5437</v>
      </c>
      <c r="B167" s="441" t="s">
        <v>11097</v>
      </c>
      <c r="C167" s="55" t="s">
        <v>11099</v>
      </c>
      <c r="D167" s="443">
        <v>0</v>
      </c>
      <c r="E167" s="443">
        <v>0</v>
      </c>
      <c r="F167" s="443">
        <v>0</v>
      </c>
      <c r="G167" s="63">
        <v>0</v>
      </c>
      <c r="H167" s="63">
        <v>0</v>
      </c>
      <c r="I167" s="56">
        <v>0</v>
      </c>
      <c r="J167" s="58">
        <v>2444</v>
      </c>
      <c r="K167" s="58">
        <v>2623</v>
      </c>
      <c r="L167" s="58">
        <v>2748</v>
      </c>
      <c r="M167" s="58">
        <v>2965</v>
      </c>
      <c r="N167" s="58">
        <v>3063</v>
      </c>
      <c r="O167" s="58">
        <v>3108</v>
      </c>
      <c r="Q167" s="441" t="s">
        <v>6678</v>
      </c>
    </row>
    <row r="168" spans="1:17">
      <c r="A168" s="441" t="s">
        <v>5439</v>
      </c>
      <c r="B168" s="441" t="s">
        <v>11098</v>
      </c>
      <c r="C168" s="132" t="s">
        <v>14786</v>
      </c>
      <c r="D168" s="443">
        <v>0</v>
      </c>
      <c r="E168" s="443">
        <v>0</v>
      </c>
      <c r="F168" s="443">
        <v>0</v>
      </c>
      <c r="G168" s="63">
        <v>0</v>
      </c>
      <c r="H168" s="63">
        <v>0</v>
      </c>
      <c r="I168" s="58">
        <v>0</v>
      </c>
      <c r="J168" s="58">
        <v>2086</v>
      </c>
      <c r="K168" s="58">
        <v>2158</v>
      </c>
      <c r="L168" s="58">
        <v>2263</v>
      </c>
      <c r="M168" s="58">
        <v>2292</v>
      </c>
      <c r="N168" s="58">
        <v>2403</v>
      </c>
      <c r="O168" s="58">
        <v>2446</v>
      </c>
      <c r="Q168" s="441" t="s">
        <v>6678</v>
      </c>
    </row>
    <row r="169" spans="1:17">
      <c r="A169" s="441" t="s">
        <v>5441</v>
      </c>
      <c r="B169" s="441" t="s">
        <v>6415</v>
      </c>
      <c r="C169" s="132" t="s">
        <v>14787</v>
      </c>
      <c r="D169" s="443">
        <v>0</v>
      </c>
      <c r="E169" s="443">
        <v>0</v>
      </c>
      <c r="F169" s="443">
        <v>0</v>
      </c>
      <c r="G169" s="63">
        <v>0</v>
      </c>
      <c r="H169" s="63">
        <v>0</v>
      </c>
      <c r="I169" s="58">
        <v>0</v>
      </c>
      <c r="J169" s="56">
        <v>795</v>
      </c>
      <c r="K169" s="56">
        <v>802</v>
      </c>
      <c r="L169" s="56">
        <v>823</v>
      </c>
      <c r="M169" s="56">
        <v>816</v>
      </c>
      <c r="N169" s="56">
        <v>824</v>
      </c>
      <c r="O169" s="56">
        <v>837</v>
      </c>
      <c r="Q169" s="441" t="s">
        <v>6676</v>
      </c>
    </row>
    <row r="170" spans="1:17" ht="15.75" thickBot="1">
      <c r="A170" s="441"/>
      <c r="B170" s="441"/>
      <c r="C170" s="132" t="s">
        <v>14787</v>
      </c>
      <c r="D170" s="443">
        <v>0</v>
      </c>
      <c r="E170" s="443">
        <v>0</v>
      </c>
      <c r="F170" s="443">
        <v>0</v>
      </c>
      <c r="G170" s="63">
        <v>0</v>
      </c>
      <c r="H170" s="63">
        <v>0</v>
      </c>
      <c r="I170" s="58">
        <v>0</v>
      </c>
      <c r="J170" s="58">
        <v>1739</v>
      </c>
      <c r="K170" s="58">
        <v>1773</v>
      </c>
      <c r="L170" s="58">
        <v>1749</v>
      </c>
      <c r="M170" s="58">
        <v>1744</v>
      </c>
      <c r="N170" s="58">
        <v>1843</v>
      </c>
      <c r="O170" s="58">
        <v>1866</v>
      </c>
      <c r="Q170" s="441" t="s">
        <v>6678</v>
      </c>
    </row>
    <row r="171" spans="1:17" ht="15.75" thickBot="1">
      <c r="A171" s="441"/>
      <c r="B171" s="441"/>
      <c r="C171" s="132" t="s">
        <v>14787</v>
      </c>
      <c r="D171" s="449">
        <f>D169+D170</f>
        <v>0</v>
      </c>
      <c r="E171" s="449">
        <f t="shared" ref="E171:M171" si="61">E169+E170</f>
        <v>0</v>
      </c>
      <c r="F171" s="449">
        <f t="shared" si="61"/>
        <v>0</v>
      </c>
      <c r="G171" s="449">
        <f t="shared" si="61"/>
        <v>0</v>
      </c>
      <c r="H171" s="449">
        <f t="shared" si="61"/>
        <v>0</v>
      </c>
      <c r="I171" s="449">
        <f t="shared" si="61"/>
        <v>0</v>
      </c>
      <c r="J171" s="449">
        <f t="shared" si="61"/>
        <v>2534</v>
      </c>
      <c r="K171" s="449">
        <f t="shared" si="61"/>
        <v>2575</v>
      </c>
      <c r="L171" s="449">
        <f t="shared" si="61"/>
        <v>2572</v>
      </c>
      <c r="M171" s="449">
        <f t="shared" si="61"/>
        <v>2560</v>
      </c>
      <c r="N171" s="449">
        <f>N169+N170</f>
        <v>2667</v>
      </c>
      <c r="O171" s="449">
        <f>O169+O170</f>
        <v>2703</v>
      </c>
      <c r="Q171" s="441"/>
    </row>
    <row r="172" spans="1:17">
      <c r="A172" s="441" t="s">
        <v>5886</v>
      </c>
      <c r="B172" s="441" t="s">
        <v>11100</v>
      </c>
      <c r="C172" s="132" t="s">
        <v>14797</v>
      </c>
      <c r="D172" s="443">
        <v>0</v>
      </c>
      <c r="E172" s="443">
        <v>0</v>
      </c>
      <c r="F172" s="443">
        <v>0</v>
      </c>
      <c r="G172" s="443">
        <v>0</v>
      </c>
      <c r="H172" s="443">
        <v>0</v>
      </c>
      <c r="I172" s="443">
        <v>0</v>
      </c>
      <c r="J172" s="58">
        <v>5138</v>
      </c>
      <c r="K172" s="58">
        <v>5190</v>
      </c>
      <c r="L172" s="58">
        <v>5130</v>
      </c>
      <c r="M172" s="58">
        <v>5148</v>
      </c>
      <c r="N172" s="58">
        <v>5723</v>
      </c>
      <c r="O172" s="58">
        <v>5787</v>
      </c>
      <c r="Q172" s="441" t="s">
        <v>6678</v>
      </c>
    </row>
    <row r="173" spans="1:17">
      <c r="A173" s="441" t="s">
        <v>5888</v>
      </c>
      <c r="B173" s="441" t="s">
        <v>5925</v>
      </c>
      <c r="C173" s="132" t="s">
        <v>14798</v>
      </c>
      <c r="D173" s="443">
        <v>0</v>
      </c>
      <c r="E173" s="443">
        <v>0</v>
      </c>
      <c r="F173" s="443">
        <v>0</v>
      </c>
      <c r="G173" s="443">
        <v>0</v>
      </c>
      <c r="H173" s="443">
        <v>0</v>
      </c>
      <c r="I173" s="443">
        <v>0</v>
      </c>
      <c r="J173" s="58">
        <v>4764</v>
      </c>
      <c r="K173" s="58">
        <v>4937</v>
      </c>
      <c r="L173" s="58">
        <v>4924</v>
      </c>
      <c r="M173" s="58">
        <v>4995</v>
      </c>
      <c r="N173" s="58">
        <v>5163</v>
      </c>
      <c r="O173" s="58">
        <v>5214</v>
      </c>
      <c r="Q173" s="441" t="s">
        <v>6678</v>
      </c>
    </row>
    <row r="174" spans="1:17">
      <c r="A174" s="441" t="s">
        <v>5889</v>
      </c>
      <c r="B174" s="441" t="s">
        <v>11101</v>
      </c>
      <c r="C174" s="132" t="s">
        <v>14799</v>
      </c>
      <c r="D174" s="443">
        <v>0</v>
      </c>
      <c r="E174" s="443">
        <v>0</v>
      </c>
      <c r="F174" s="443">
        <v>0</v>
      </c>
      <c r="G174" s="443">
        <v>0</v>
      </c>
      <c r="H174" s="443">
        <v>0</v>
      </c>
      <c r="I174" s="443">
        <v>0</v>
      </c>
      <c r="J174" s="58">
        <v>5087</v>
      </c>
      <c r="K174" s="58">
        <v>5142</v>
      </c>
      <c r="L174" s="58">
        <v>5147</v>
      </c>
      <c r="M174" s="58">
        <v>5294</v>
      </c>
      <c r="N174" s="58">
        <v>5688</v>
      </c>
      <c r="O174" s="58">
        <v>5783</v>
      </c>
      <c r="Q174" s="441" t="s">
        <v>6678</v>
      </c>
    </row>
    <row r="175" spans="1:17">
      <c r="A175" s="441" t="s">
        <v>4431</v>
      </c>
      <c r="B175" s="441" t="s">
        <v>4435</v>
      </c>
      <c r="C175" s="132" t="s">
        <v>14788</v>
      </c>
      <c r="D175" s="443">
        <v>0</v>
      </c>
      <c r="E175" s="443">
        <v>0</v>
      </c>
      <c r="F175" s="443">
        <v>0</v>
      </c>
      <c r="G175" s="443">
        <v>0</v>
      </c>
      <c r="H175" s="443">
        <v>0</v>
      </c>
      <c r="I175" s="443">
        <v>0</v>
      </c>
      <c r="J175" s="56">
        <v>2580</v>
      </c>
      <c r="K175" s="56">
        <v>2635</v>
      </c>
      <c r="L175" s="56">
        <v>2648</v>
      </c>
      <c r="M175" s="56">
        <v>2597</v>
      </c>
      <c r="N175" s="56">
        <v>2670</v>
      </c>
      <c r="O175" s="56">
        <v>2704</v>
      </c>
      <c r="Q175" s="441" t="s">
        <v>6676</v>
      </c>
    </row>
    <row r="176" spans="1:17">
      <c r="D176" s="444"/>
      <c r="E176" s="444"/>
      <c r="F176" s="444"/>
      <c r="G176" s="444"/>
      <c r="H176" s="444"/>
      <c r="I176" s="444"/>
      <c r="J176" s="444"/>
      <c r="K176" s="444"/>
      <c r="L176" s="444"/>
      <c r="M176" s="444"/>
      <c r="N176" s="444"/>
      <c r="O176" s="444"/>
    </row>
    <row r="177" spans="1:17">
      <c r="A177" s="441" t="s">
        <v>4933</v>
      </c>
      <c r="D177" s="443">
        <f t="shared" ref="D177:L177" si="62">SUM(D150:D154)+D156+D157+D162+D169+D175</f>
        <v>42438</v>
      </c>
      <c r="E177" s="443">
        <f t="shared" si="62"/>
        <v>42625</v>
      </c>
      <c r="F177" s="443">
        <f t="shared" si="62"/>
        <v>43024</v>
      </c>
      <c r="G177" s="443">
        <f t="shared" si="62"/>
        <v>42786</v>
      </c>
      <c r="H177" s="443">
        <f t="shared" si="62"/>
        <v>42832</v>
      </c>
      <c r="I177" s="443">
        <f t="shared" si="62"/>
        <v>43654</v>
      </c>
      <c r="J177" s="443">
        <f t="shared" si="62"/>
        <v>41096</v>
      </c>
      <c r="K177" s="443">
        <f t="shared" si="62"/>
        <v>41640</v>
      </c>
      <c r="L177" s="443">
        <f t="shared" si="62"/>
        <v>41502</v>
      </c>
      <c r="M177" s="443">
        <f>SUM(M150:M154)+M156+M157+M162+M169+M175</f>
        <v>41106</v>
      </c>
      <c r="N177" s="443">
        <f>SUM(N150:N154)+N156+N157+N162+N169+N175</f>
        <v>42278</v>
      </c>
      <c r="O177" s="443">
        <f>SUM(O150:O154)+O156+O157+O162+O169+O175</f>
        <v>42873</v>
      </c>
    </row>
    <row r="178" spans="1:17">
      <c r="A178" s="441" t="s">
        <v>2288</v>
      </c>
      <c r="D178" s="443">
        <f t="shared" ref="D178:L178" si="63">D155+SUM(D158:D161)+SUM(D163:D168)+D170+SUM(D172:D174)</f>
        <v>48187</v>
      </c>
      <c r="E178" s="443">
        <f t="shared" si="63"/>
        <v>48963</v>
      </c>
      <c r="F178" s="443">
        <f t="shared" si="63"/>
        <v>49664</v>
      </c>
      <c r="G178" s="443">
        <f t="shared" si="63"/>
        <v>49671</v>
      </c>
      <c r="H178" s="443">
        <f t="shared" si="63"/>
        <v>50190</v>
      </c>
      <c r="I178" s="443">
        <f t="shared" si="63"/>
        <v>51463</v>
      </c>
      <c r="J178" s="443">
        <f t="shared" si="63"/>
        <v>49348</v>
      </c>
      <c r="K178" s="443">
        <f t="shared" si="63"/>
        <v>51066</v>
      </c>
      <c r="L178" s="443">
        <f t="shared" si="63"/>
        <v>51903</v>
      </c>
      <c r="M178" s="443">
        <f>M155+SUM(M158:M161)+SUM(M163:M168)+M170+SUM(M172:M174)</f>
        <v>53393</v>
      </c>
      <c r="N178" s="443">
        <f>N155+SUM(N158:N161)+SUM(N163:N168)+N170+SUM(N172:N174)</f>
        <v>56288</v>
      </c>
      <c r="O178" s="443">
        <f>O155+SUM(O158:O161)+SUM(O163:O168)+O170+SUM(O172:O174)</f>
        <v>57131</v>
      </c>
    </row>
    <row r="179" spans="1:17">
      <c r="A179" s="441"/>
      <c r="D179" s="443"/>
      <c r="E179" s="443"/>
      <c r="F179" s="443"/>
      <c r="G179" s="443"/>
      <c r="H179" s="443"/>
      <c r="I179" s="443"/>
      <c r="J179" s="443"/>
      <c r="K179" s="443"/>
      <c r="L179" s="443"/>
      <c r="M179" s="443"/>
      <c r="N179" s="443"/>
      <c r="O179" s="443"/>
    </row>
    <row r="180" spans="1:17">
      <c r="A180" s="441" t="s">
        <v>11084</v>
      </c>
      <c r="D180" s="443"/>
      <c r="E180" s="443"/>
      <c r="F180" s="443"/>
      <c r="G180" s="443"/>
      <c r="H180" s="443"/>
      <c r="I180" s="443"/>
      <c r="J180" s="443"/>
      <c r="K180" s="443"/>
      <c r="L180" s="443"/>
      <c r="M180" s="443"/>
      <c r="N180" s="443"/>
      <c r="O180" s="443"/>
    </row>
    <row r="181" spans="1:17">
      <c r="A181" s="441" t="s">
        <v>14782</v>
      </c>
      <c r="B181" s="441"/>
      <c r="D181" s="443"/>
      <c r="E181" s="443"/>
      <c r="F181" s="443"/>
      <c r="G181" s="443"/>
      <c r="H181" s="443"/>
      <c r="I181" s="443"/>
      <c r="J181" s="443"/>
      <c r="K181" s="443"/>
      <c r="L181" s="443"/>
      <c r="M181" s="443"/>
      <c r="N181" s="450"/>
      <c r="O181" s="450"/>
    </row>
    <row r="182" spans="1:17">
      <c r="A182" s="441"/>
      <c r="B182" s="441"/>
      <c r="D182" s="450"/>
      <c r="E182" s="450"/>
      <c r="F182" s="450"/>
      <c r="G182" s="450"/>
      <c r="H182" s="450"/>
      <c r="I182" s="450"/>
      <c r="J182" s="450"/>
      <c r="K182" s="450"/>
      <c r="L182" s="450"/>
      <c r="M182" s="450"/>
      <c r="N182" s="450"/>
      <c r="O182" s="450"/>
    </row>
    <row r="183" spans="1:17">
      <c r="E183" s="51" t="s">
        <v>1526</v>
      </c>
      <c r="F183" s="51"/>
      <c r="G183" s="51"/>
      <c r="H183" s="51"/>
      <c r="I183" s="51"/>
      <c r="J183" s="51"/>
      <c r="K183" s="51"/>
      <c r="L183" s="51"/>
      <c r="M183" s="51"/>
      <c r="N183" s="51"/>
      <c r="O183" s="51"/>
      <c r="P183" s="11"/>
      <c r="Q183" s="11" t="s">
        <v>9479</v>
      </c>
    </row>
    <row r="184" spans="1:17">
      <c r="D184" s="350">
        <v>2010</v>
      </c>
      <c r="E184" s="350">
        <v>2011</v>
      </c>
      <c r="F184" s="350">
        <v>2012</v>
      </c>
      <c r="G184" s="350">
        <v>2013</v>
      </c>
      <c r="H184" s="350">
        <v>2014</v>
      </c>
      <c r="I184" s="350">
        <v>2015</v>
      </c>
      <c r="J184" s="350">
        <v>2016</v>
      </c>
      <c r="K184" s="350">
        <v>2017</v>
      </c>
      <c r="L184" s="350">
        <v>2018</v>
      </c>
      <c r="M184" s="350">
        <v>2019</v>
      </c>
      <c r="N184" s="350">
        <v>2020</v>
      </c>
      <c r="O184" s="949" t="s">
        <v>14823</v>
      </c>
      <c r="P184" s="11"/>
      <c r="Q184" s="13" t="s">
        <v>1527</v>
      </c>
    </row>
    <row r="185" spans="1:17">
      <c r="A185" s="441" t="s">
        <v>4424</v>
      </c>
      <c r="D185" s="443">
        <f t="shared" ref="D185:I185" si="64">SUM(D186:D212)</f>
        <v>78141</v>
      </c>
      <c r="E185" s="443">
        <f t="shared" si="64"/>
        <v>78220</v>
      </c>
      <c r="F185" s="443">
        <f t="shared" si="64"/>
        <v>79321</v>
      </c>
      <c r="G185" s="443">
        <f t="shared" si="64"/>
        <v>79653</v>
      </c>
      <c r="H185" s="443">
        <f t="shared" si="64"/>
        <v>79067</v>
      </c>
      <c r="I185" s="443">
        <f t="shared" si="64"/>
        <v>77097</v>
      </c>
      <c r="J185" s="443">
        <f t="shared" ref="J185:O185" si="65">SUM(J186:J212)</f>
        <v>78455</v>
      </c>
      <c r="K185" s="443">
        <f t="shared" si="65"/>
        <v>80868</v>
      </c>
      <c r="L185" s="443">
        <f t="shared" si="65"/>
        <v>80906</v>
      </c>
      <c r="M185" s="443">
        <f t="shared" si="65"/>
        <v>79644</v>
      </c>
      <c r="N185" s="443">
        <f t="shared" si="65"/>
        <v>83510</v>
      </c>
      <c r="O185" s="443">
        <f t="shared" si="65"/>
        <v>83613</v>
      </c>
    </row>
    <row r="186" spans="1:17">
      <c r="A186" s="441" t="s">
        <v>5387</v>
      </c>
      <c r="B186" s="441" t="s">
        <v>4425</v>
      </c>
      <c r="C186" s="55" t="s">
        <v>8262</v>
      </c>
      <c r="D186" s="443">
        <v>1426</v>
      </c>
      <c r="E186" s="443">
        <v>1453</v>
      </c>
      <c r="F186" s="443">
        <v>1448</v>
      </c>
      <c r="G186" s="56">
        <v>1448</v>
      </c>
      <c r="H186" s="56">
        <v>1445</v>
      </c>
      <c r="I186" s="56">
        <v>1361</v>
      </c>
      <c r="J186" s="56">
        <v>1367</v>
      </c>
      <c r="K186" s="56">
        <v>1433</v>
      </c>
      <c r="L186" s="56">
        <v>1410</v>
      </c>
      <c r="M186" s="56">
        <v>1406</v>
      </c>
      <c r="N186" s="56">
        <v>1427</v>
      </c>
      <c r="O186" s="56">
        <v>1431</v>
      </c>
      <c r="Q186" s="441" t="s">
        <v>6679</v>
      </c>
    </row>
    <row r="187" spans="1:17">
      <c r="A187" s="441" t="s">
        <v>5389</v>
      </c>
      <c r="B187" s="441" t="s">
        <v>4426</v>
      </c>
      <c r="C187" s="55" t="s">
        <v>8263</v>
      </c>
      <c r="D187" s="443">
        <v>1621</v>
      </c>
      <c r="E187" s="443">
        <v>1617</v>
      </c>
      <c r="F187" s="443">
        <v>1684</v>
      </c>
      <c r="G187" s="56">
        <v>1712</v>
      </c>
      <c r="H187" s="56">
        <v>1739</v>
      </c>
      <c r="I187" s="56">
        <v>1735</v>
      </c>
      <c r="J187" s="56">
        <v>1713</v>
      </c>
      <c r="K187" s="56">
        <v>1732</v>
      </c>
      <c r="L187" s="56">
        <v>1723</v>
      </c>
      <c r="M187" s="56">
        <v>1642</v>
      </c>
      <c r="N187" s="56">
        <v>1677</v>
      </c>
      <c r="O187" s="56">
        <v>1677</v>
      </c>
      <c r="Q187" s="441" t="s">
        <v>6679</v>
      </c>
    </row>
    <row r="188" spans="1:17">
      <c r="A188" s="441" t="s">
        <v>5391</v>
      </c>
      <c r="B188" s="441" t="s">
        <v>4419</v>
      </c>
      <c r="C188" s="55" t="s">
        <v>8264</v>
      </c>
      <c r="D188" s="443">
        <v>2926</v>
      </c>
      <c r="E188" s="443">
        <v>2904</v>
      </c>
      <c r="F188" s="443">
        <v>2910</v>
      </c>
      <c r="G188" s="56">
        <v>2900</v>
      </c>
      <c r="H188" s="56">
        <v>2913</v>
      </c>
      <c r="I188" s="56">
        <v>2858</v>
      </c>
      <c r="J188" s="56">
        <v>2877</v>
      </c>
      <c r="K188" s="56">
        <v>2918</v>
      </c>
      <c r="L188" s="56">
        <v>3008</v>
      </c>
      <c r="M188" s="56">
        <v>3036</v>
      </c>
      <c r="N188" s="56">
        <v>3191</v>
      </c>
      <c r="O188" s="56">
        <v>3198</v>
      </c>
      <c r="Q188" s="441" t="s">
        <v>6679</v>
      </c>
    </row>
    <row r="189" spans="1:17">
      <c r="A189" s="441" t="s">
        <v>5393</v>
      </c>
      <c r="B189" s="441" t="s">
        <v>4420</v>
      </c>
      <c r="C189" s="62" t="s">
        <v>9549</v>
      </c>
      <c r="D189" s="443">
        <v>1516</v>
      </c>
      <c r="E189" s="443">
        <v>1543</v>
      </c>
      <c r="F189" s="443">
        <v>1579</v>
      </c>
      <c r="G189" s="56">
        <v>1594</v>
      </c>
      <c r="H189" s="56">
        <v>1586</v>
      </c>
      <c r="I189" s="56">
        <v>1563</v>
      </c>
      <c r="J189" s="56">
        <v>1549</v>
      </c>
      <c r="K189" s="56">
        <v>1559</v>
      </c>
      <c r="L189" s="56">
        <v>1552</v>
      </c>
      <c r="M189" s="56">
        <v>1501</v>
      </c>
      <c r="N189" s="56">
        <v>1637</v>
      </c>
      <c r="O189" s="56">
        <v>1642</v>
      </c>
      <c r="Q189" s="441" t="s">
        <v>6679</v>
      </c>
    </row>
    <row r="190" spans="1:17">
      <c r="A190" s="441" t="s">
        <v>5394</v>
      </c>
      <c r="B190" s="441" t="s">
        <v>4421</v>
      </c>
      <c r="C190" s="62" t="s">
        <v>9548</v>
      </c>
      <c r="D190" s="443">
        <v>1421</v>
      </c>
      <c r="E190" s="443">
        <v>1414</v>
      </c>
      <c r="F190" s="443">
        <v>1462</v>
      </c>
      <c r="G190" s="56">
        <v>1452</v>
      </c>
      <c r="H190" s="56">
        <v>1465</v>
      </c>
      <c r="I190" s="56">
        <v>1433</v>
      </c>
      <c r="J190" s="56">
        <v>1467</v>
      </c>
      <c r="K190" s="56">
        <v>1491</v>
      </c>
      <c r="L190" s="56">
        <v>1514</v>
      </c>
      <c r="M190" s="56">
        <v>1468</v>
      </c>
      <c r="N190" s="56">
        <v>1570</v>
      </c>
      <c r="O190" s="56">
        <v>1572</v>
      </c>
      <c r="Q190" s="441" t="s">
        <v>6679</v>
      </c>
    </row>
    <row r="191" spans="1:17">
      <c r="A191" s="441" t="s">
        <v>5416</v>
      </c>
      <c r="B191" s="441" t="s">
        <v>4422</v>
      </c>
      <c r="C191" s="55" t="s">
        <v>8265</v>
      </c>
      <c r="D191" s="443">
        <v>3712</v>
      </c>
      <c r="E191" s="443">
        <v>3668</v>
      </c>
      <c r="F191" s="443">
        <v>3631</v>
      </c>
      <c r="G191" s="56">
        <v>3616</v>
      </c>
      <c r="H191" s="56">
        <v>3782</v>
      </c>
      <c r="I191" s="56">
        <v>3641</v>
      </c>
      <c r="J191" s="56">
        <v>3806</v>
      </c>
      <c r="K191" s="56">
        <v>3933</v>
      </c>
      <c r="L191" s="56">
        <v>3922</v>
      </c>
      <c r="M191" s="56">
        <v>3740</v>
      </c>
      <c r="N191" s="56">
        <v>3902</v>
      </c>
      <c r="O191" s="56">
        <v>3924</v>
      </c>
      <c r="Q191" s="441" t="s">
        <v>6679</v>
      </c>
    </row>
    <row r="192" spans="1:17">
      <c r="A192" s="441" t="s">
        <v>5418</v>
      </c>
      <c r="B192" s="441" t="s">
        <v>4423</v>
      </c>
      <c r="C192" s="62" t="s">
        <v>9550</v>
      </c>
      <c r="D192" s="443">
        <v>3041</v>
      </c>
      <c r="E192" s="443">
        <v>3127</v>
      </c>
      <c r="F192" s="443">
        <v>3481</v>
      </c>
      <c r="G192" s="56">
        <v>3472</v>
      </c>
      <c r="H192" s="56">
        <v>3215</v>
      </c>
      <c r="I192" s="56">
        <v>3039</v>
      </c>
      <c r="J192" s="56">
        <v>3260</v>
      </c>
      <c r="K192" s="56">
        <v>3553</v>
      </c>
      <c r="L192" s="56">
        <v>3705</v>
      </c>
      <c r="M192" s="56">
        <v>3617</v>
      </c>
      <c r="N192" s="56">
        <v>3831</v>
      </c>
      <c r="O192" s="56">
        <v>3832</v>
      </c>
      <c r="Q192" s="441" t="s">
        <v>6679</v>
      </c>
    </row>
    <row r="193" spans="1:17">
      <c r="A193" s="441" t="s">
        <v>5420</v>
      </c>
      <c r="B193" s="441" t="s">
        <v>2957</v>
      </c>
      <c r="C193" s="55" t="s">
        <v>8266</v>
      </c>
      <c r="D193" s="443">
        <v>3064</v>
      </c>
      <c r="E193" s="443">
        <v>3171</v>
      </c>
      <c r="F193" s="443">
        <v>3095</v>
      </c>
      <c r="G193" s="56">
        <v>3025</v>
      </c>
      <c r="H193" s="56">
        <v>2993</v>
      </c>
      <c r="I193" s="56">
        <v>2912</v>
      </c>
      <c r="J193" s="56">
        <v>3295</v>
      </c>
      <c r="K193" s="56">
        <v>3481</v>
      </c>
      <c r="L193" s="56">
        <v>3527</v>
      </c>
      <c r="M193" s="56">
        <v>3471</v>
      </c>
      <c r="N193" s="56">
        <v>3608</v>
      </c>
      <c r="O193" s="56">
        <v>3609</v>
      </c>
      <c r="Q193" s="441" t="s">
        <v>6679</v>
      </c>
    </row>
    <row r="194" spans="1:17">
      <c r="A194" s="441" t="s">
        <v>5422</v>
      </c>
      <c r="B194" s="441" t="s">
        <v>4441</v>
      </c>
      <c r="C194" s="55" t="s">
        <v>11481</v>
      </c>
      <c r="D194" s="443">
        <v>1559</v>
      </c>
      <c r="E194" s="443">
        <v>1581</v>
      </c>
      <c r="F194" s="443">
        <v>1574</v>
      </c>
      <c r="G194" s="56">
        <v>1567</v>
      </c>
      <c r="H194" s="56">
        <v>1531</v>
      </c>
      <c r="I194" s="56">
        <v>1510</v>
      </c>
      <c r="J194" s="56">
        <v>1533</v>
      </c>
      <c r="K194" s="56">
        <v>1577</v>
      </c>
      <c r="L194" s="56">
        <v>1570</v>
      </c>
      <c r="M194" s="56">
        <v>1519</v>
      </c>
      <c r="N194" s="56">
        <v>1603</v>
      </c>
      <c r="O194" s="56">
        <v>1603</v>
      </c>
      <c r="Q194" s="441" t="s">
        <v>6679</v>
      </c>
    </row>
    <row r="195" spans="1:17">
      <c r="A195" s="441" t="s">
        <v>5424</v>
      </c>
      <c r="B195" s="441" t="s">
        <v>4442</v>
      </c>
      <c r="C195" s="55" t="s">
        <v>11482</v>
      </c>
      <c r="D195" s="443">
        <v>3004</v>
      </c>
      <c r="E195" s="443">
        <v>2966</v>
      </c>
      <c r="F195" s="443">
        <v>3005</v>
      </c>
      <c r="G195" s="56">
        <v>3032</v>
      </c>
      <c r="H195" s="56">
        <v>3041</v>
      </c>
      <c r="I195" s="56">
        <v>2981</v>
      </c>
      <c r="J195" s="56">
        <v>2955</v>
      </c>
      <c r="K195" s="56">
        <v>3015</v>
      </c>
      <c r="L195" s="56">
        <v>3000</v>
      </c>
      <c r="M195" s="56">
        <v>2929</v>
      </c>
      <c r="N195" s="56">
        <v>3052</v>
      </c>
      <c r="O195" s="56">
        <v>3054</v>
      </c>
      <c r="Q195" s="441" t="s">
        <v>6679</v>
      </c>
    </row>
    <row r="196" spans="1:17">
      <c r="A196" s="441" t="s">
        <v>5426</v>
      </c>
      <c r="B196" s="441" t="s">
        <v>4443</v>
      </c>
      <c r="C196" s="55" t="s">
        <v>8267</v>
      </c>
      <c r="D196" s="443">
        <v>4834</v>
      </c>
      <c r="E196" s="443">
        <v>4617</v>
      </c>
      <c r="F196" s="443">
        <v>4591</v>
      </c>
      <c r="G196" s="56">
        <v>4622</v>
      </c>
      <c r="H196" s="56">
        <v>4547</v>
      </c>
      <c r="I196" s="56">
        <v>4405</v>
      </c>
      <c r="J196" s="56">
        <v>4640</v>
      </c>
      <c r="K196" s="56">
        <v>4805</v>
      </c>
      <c r="L196" s="56">
        <v>4887</v>
      </c>
      <c r="M196" s="56">
        <v>4922</v>
      </c>
      <c r="N196" s="56">
        <v>5209</v>
      </c>
      <c r="O196" s="56">
        <v>5215</v>
      </c>
      <c r="Q196" s="441" t="s">
        <v>6679</v>
      </c>
    </row>
    <row r="197" spans="1:17">
      <c r="A197" s="441" t="s">
        <v>5428</v>
      </c>
      <c r="B197" s="441" t="s">
        <v>6623</v>
      </c>
      <c r="C197" s="55" t="s">
        <v>8268</v>
      </c>
      <c r="D197" s="443">
        <v>1646</v>
      </c>
      <c r="E197" s="443">
        <v>1675</v>
      </c>
      <c r="F197" s="443">
        <v>1698</v>
      </c>
      <c r="G197" s="56">
        <v>1677</v>
      </c>
      <c r="H197" s="56">
        <v>1681</v>
      </c>
      <c r="I197" s="56">
        <v>1664</v>
      </c>
      <c r="J197" s="56">
        <v>1667</v>
      </c>
      <c r="K197" s="56">
        <v>1726</v>
      </c>
      <c r="L197" s="56">
        <v>1710</v>
      </c>
      <c r="M197" s="56">
        <v>1678</v>
      </c>
      <c r="N197" s="56">
        <v>1773</v>
      </c>
      <c r="O197" s="56">
        <v>1776</v>
      </c>
      <c r="Q197" s="441" t="s">
        <v>6679</v>
      </c>
    </row>
    <row r="198" spans="1:17">
      <c r="A198" s="441" t="s">
        <v>5429</v>
      </c>
      <c r="B198" s="441" t="s">
        <v>6624</v>
      </c>
      <c r="C198" s="55" t="s">
        <v>8269</v>
      </c>
      <c r="D198" s="443">
        <v>4558</v>
      </c>
      <c r="E198" s="443">
        <v>4553</v>
      </c>
      <c r="F198" s="443">
        <v>4668</v>
      </c>
      <c r="G198" s="56">
        <v>4743</v>
      </c>
      <c r="H198" s="56">
        <v>4808</v>
      </c>
      <c r="I198" s="56">
        <v>4775</v>
      </c>
      <c r="J198" s="56">
        <v>4706</v>
      </c>
      <c r="K198" s="56">
        <v>4767</v>
      </c>
      <c r="L198" s="56">
        <v>4700</v>
      </c>
      <c r="M198" s="56">
        <v>4620</v>
      </c>
      <c r="N198" s="56">
        <v>4796</v>
      </c>
      <c r="O198" s="56">
        <v>4797</v>
      </c>
      <c r="Q198" s="441" t="s">
        <v>6679</v>
      </c>
    </row>
    <row r="199" spans="1:17">
      <c r="A199" s="441" t="s">
        <v>5431</v>
      </c>
      <c r="B199" s="441" t="s">
        <v>6625</v>
      </c>
      <c r="C199" s="55" t="s">
        <v>8270</v>
      </c>
      <c r="D199" s="443">
        <v>3367</v>
      </c>
      <c r="E199" s="443">
        <v>3308</v>
      </c>
      <c r="F199" s="443">
        <v>3362</v>
      </c>
      <c r="G199" s="56">
        <v>3376</v>
      </c>
      <c r="H199" s="56">
        <v>3348</v>
      </c>
      <c r="I199" s="56">
        <v>3357</v>
      </c>
      <c r="J199" s="56">
        <v>3378</v>
      </c>
      <c r="K199" s="56">
        <v>3436</v>
      </c>
      <c r="L199" s="56">
        <v>3401</v>
      </c>
      <c r="M199" s="56">
        <v>3372</v>
      </c>
      <c r="N199" s="56">
        <v>3671</v>
      </c>
      <c r="O199" s="56">
        <v>3672</v>
      </c>
      <c r="Q199" s="441" t="s">
        <v>6679</v>
      </c>
    </row>
    <row r="200" spans="1:17">
      <c r="A200" s="441" t="s">
        <v>5433</v>
      </c>
      <c r="B200" s="441" t="s">
        <v>5916</v>
      </c>
      <c r="C200" s="55" t="s">
        <v>11483</v>
      </c>
      <c r="D200" s="443">
        <v>3141</v>
      </c>
      <c r="E200" s="443">
        <v>3089</v>
      </c>
      <c r="F200" s="443">
        <v>3126</v>
      </c>
      <c r="G200" s="56">
        <v>3119</v>
      </c>
      <c r="H200" s="56">
        <v>3107</v>
      </c>
      <c r="I200" s="56">
        <v>3008</v>
      </c>
      <c r="J200" s="56">
        <v>3107</v>
      </c>
      <c r="K200" s="56">
        <v>3209</v>
      </c>
      <c r="L200" s="56">
        <v>3236</v>
      </c>
      <c r="M200" s="56">
        <v>3169</v>
      </c>
      <c r="N200" s="56">
        <v>3267</v>
      </c>
      <c r="O200" s="56">
        <v>3267</v>
      </c>
      <c r="Q200" s="441" t="s">
        <v>6679</v>
      </c>
    </row>
    <row r="201" spans="1:17">
      <c r="A201" s="441" t="s">
        <v>5435</v>
      </c>
      <c r="B201" s="441" t="s">
        <v>5917</v>
      </c>
      <c r="C201" s="55" t="s">
        <v>8271</v>
      </c>
      <c r="D201" s="443">
        <v>3185</v>
      </c>
      <c r="E201" s="443">
        <v>3130</v>
      </c>
      <c r="F201" s="443">
        <v>3208</v>
      </c>
      <c r="G201" s="58">
        <v>3267</v>
      </c>
      <c r="H201" s="58">
        <v>3235</v>
      </c>
      <c r="I201" s="58">
        <v>3153</v>
      </c>
      <c r="J201" s="58">
        <v>3115</v>
      </c>
      <c r="K201" s="58">
        <v>3215</v>
      </c>
      <c r="L201" s="58">
        <v>3189</v>
      </c>
      <c r="M201" s="58">
        <v>3134</v>
      </c>
      <c r="N201" s="58">
        <v>3238</v>
      </c>
      <c r="O201" s="58">
        <v>3242</v>
      </c>
      <c r="Q201" s="441" t="s">
        <v>6679</v>
      </c>
    </row>
    <row r="202" spans="1:17">
      <c r="A202" s="441" t="s">
        <v>5436</v>
      </c>
      <c r="B202" s="441" t="s">
        <v>2196</v>
      </c>
      <c r="C202" s="55" t="s">
        <v>8272</v>
      </c>
      <c r="D202" s="443">
        <v>1618</v>
      </c>
      <c r="E202" s="443">
        <v>1627</v>
      </c>
      <c r="F202" s="443">
        <v>1626</v>
      </c>
      <c r="G202" s="58">
        <v>1685</v>
      </c>
      <c r="H202" s="58">
        <v>1657</v>
      </c>
      <c r="I202" s="58">
        <v>1646</v>
      </c>
      <c r="J202" s="58">
        <v>1645</v>
      </c>
      <c r="K202" s="58">
        <v>1710</v>
      </c>
      <c r="L202" s="58">
        <v>1717</v>
      </c>
      <c r="M202" s="58">
        <v>1693</v>
      </c>
      <c r="N202" s="58">
        <v>1744</v>
      </c>
      <c r="O202" s="58">
        <v>1747</v>
      </c>
      <c r="Q202" s="441" t="s">
        <v>6679</v>
      </c>
    </row>
    <row r="203" spans="1:17">
      <c r="A203" s="441" t="s">
        <v>5437</v>
      </c>
      <c r="B203" s="441" t="s">
        <v>2197</v>
      </c>
      <c r="C203" s="55" t="s">
        <v>8273</v>
      </c>
      <c r="D203" s="443">
        <v>1566</v>
      </c>
      <c r="E203" s="443">
        <v>1489</v>
      </c>
      <c r="F203" s="443">
        <v>1585</v>
      </c>
      <c r="G203" s="58">
        <v>1595</v>
      </c>
      <c r="H203" s="58">
        <v>1553</v>
      </c>
      <c r="I203" s="58">
        <v>1466</v>
      </c>
      <c r="J203" s="58">
        <v>1506</v>
      </c>
      <c r="K203" s="58">
        <v>1564</v>
      </c>
      <c r="L203" s="58">
        <v>1541</v>
      </c>
      <c r="M203" s="58">
        <v>1524</v>
      </c>
      <c r="N203" s="58">
        <v>1604</v>
      </c>
      <c r="O203" s="58">
        <v>1609</v>
      </c>
      <c r="Q203" s="441" t="s">
        <v>6679</v>
      </c>
    </row>
    <row r="204" spans="1:17">
      <c r="A204" s="441" t="s">
        <v>5439</v>
      </c>
      <c r="B204" s="441" t="s">
        <v>2198</v>
      </c>
      <c r="C204" s="55" t="s">
        <v>8274</v>
      </c>
      <c r="D204" s="443">
        <v>3254</v>
      </c>
      <c r="E204" s="443">
        <v>3243</v>
      </c>
      <c r="F204" s="443">
        <v>3256</v>
      </c>
      <c r="G204" s="58">
        <v>3272</v>
      </c>
      <c r="H204" s="58">
        <v>3310</v>
      </c>
      <c r="I204" s="58">
        <v>3289</v>
      </c>
      <c r="J204" s="58">
        <v>3280</v>
      </c>
      <c r="K204" s="58">
        <v>3356</v>
      </c>
      <c r="L204" s="58">
        <v>3343</v>
      </c>
      <c r="M204" s="58">
        <v>3315</v>
      </c>
      <c r="N204" s="58">
        <v>3452</v>
      </c>
      <c r="O204" s="58">
        <v>3457</v>
      </c>
      <c r="Q204" s="441" t="s">
        <v>6679</v>
      </c>
    </row>
    <row r="205" spans="1:17">
      <c r="A205" s="441" t="s">
        <v>5441</v>
      </c>
      <c r="B205" s="441" t="s">
        <v>2199</v>
      </c>
      <c r="C205" s="55" t="s">
        <v>8275</v>
      </c>
      <c r="D205" s="443">
        <v>3213</v>
      </c>
      <c r="E205" s="443">
        <v>3158</v>
      </c>
      <c r="F205" s="443">
        <v>3168</v>
      </c>
      <c r="G205" s="58">
        <v>3226</v>
      </c>
      <c r="H205" s="58">
        <v>3123</v>
      </c>
      <c r="I205" s="58">
        <v>3077</v>
      </c>
      <c r="J205" s="58">
        <v>3111</v>
      </c>
      <c r="K205" s="58">
        <v>3189</v>
      </c>
      <c r="L205" s="58">
        <v>3204</v>
      </c>
      <c r="M205" s="58">
        <v>3192</v>
      </c>
      <c r="N205" s="58">
        <v>3378</v>
      </c>
      <c r="O205" s="58">
        <v>3384</v>
      </c>
      <c r="Q205" s="441" t="s">
        <v>6679</v>
      </c>
    </row>
    <row r="206" spans="1:17">
      <c r="A206" s="441" t="s">
        <v>5886</v>
      </c>
      <c r="B206" s="441" t="s">
        <v>2200</v>
      </c>
      <c r="C206" s="55" t="s">
        <v>8276</v>
      </c>
      <c r="D206" s="443">
        <v>1566</v>
      </c>
      <c r="E206" s="443">
        <v>1564</v>
      </c>
      <c r="F206" s="443">
        <v>1553</v>
      </c>
      <c r="G206" s="58">
        <v>1568</v>
      </c>
      <c r="H206" s="58">
        <v>1579</v>
      </c>
      <c r="I206" s="58">
        <v>1569</v>
      </c>
      <c r="J206" s="58">
        <v>1556</v>
      </c>
      <c r="K206" s="58">
        <v>1579</v>
      </c>
      <c r="L206" s="58">
        <v>1568</v>
      </c>
      <c r="M206" s="58">
        <v>1538</v>
      </c>
      <c r="N206" s="58">
        <v>1563</v>
      </c>
      <c r="O206" s="58">
        <v>1563</v>
      </c>
      <c r="Q206" s="441" t="s">
        <v>6679</v>
      </c>
    </row>
    <row r="207" spans="1:17">
      <c r="A207" s="441" t="s">
        <v>5888</v>
      </c>
      <c r="B207" s="441" t="s">
        <v>2201</v>
      </c>
      <c r="C207" s="55" t="s">
        <v>8277</v>
      </c>
      <c r="D207" s="443">
        <v>3597</v>
      </c>
      <c r="E207" s="443">
        <v>3820</v>
      </c>
      <c r="F207" s="443">
        <v>3897</v>
      </c>
      <c r="G207" s="58">
        <v>3936</v>
      </c>
      <c r="H207" s="58">
        <v>3760</v>
      </c>
      <c r="I207" s="58">
        <v>3575</v>
      </c>
      <c r="J207" s="58">
        <v>3654</v>
      </c>
      <c r="K207" s="58">
        <v>3717</v>
      </c>
      <c r="L207" s="58">
        <v>3653</v>
      </c>
      <c r="M207" s="58">
        <v>3616</v>
      </c>
      <c r="N207" s="58">
        <v>3840</v>
      </c>
      <c r="O207" s="58">
        <v>3841</v>
      </c>
      <c r="Q207" s="441" t="s">
        <v>6679</v>
      </c>
    </row>
    <row r="208" spans="1:17">
      <c r="A208" s="441" t="s">
        <v>5889</v>
      </c>
      <c r="B208" s="441" t="s">
        <v>2202</v>
      </c>
      <c r="C208" s="55" t="s">
        <v>8278</v>
      </c>
      <c r="D208" s="443">
        <v>5563</v>
      </c>
      <c r="E208" s="443">
        <v>5647</v>
      </c>
      <c r="F208" s="443">
        <v>5684</v>
      </c>
      <c r="G208" s="58">
        <v>5720</v>
      </c>
      <c r="H208" s="58">
        <v>5628</v>
      </c>
      <c r="I208" s="58">
        <v>5435</v>
      </c>
      <c r="J208" s="58">
        <v>5541</v>
      </c>
      <c r="K208" s="58">
        <v>5756</v>
      </c>
      <c r="L208" s="58">
        <v>5671</v>
      </c>
      <c r="M208" s="58">
        <v>5531</v>
      </c>
      <c r="N208" s="58">
        <v>5664</v>
      </c>
      <c r="O208" s="58">
        <v>5668</v>
      </c>
      <c r="Q208" s="441" t="s">
        <v>6679</v>
      </c>
    </row>
    <row r="209" spans="1:17">
      <c r="A209" s="441" t="s">
        <v>4431</v>
      </c>
      <c r="B209" s="441" t="s">
        <v>2203</v>
      </c>
      <c r="C209" s="55" t="s">
        <v>8279</v>
      </c>
      <c r="D209" s="443">
        <v>3115</v>
      </c>
      <c r="E209" s="443">
        <v>3110</v>
      </c>
      <c r="F209" s="443">
        <v>3155</v>
      </c>
      <c r="G209" s="58">
        <v>3154</v>
      </c>
      <c r="H209" s="58">
        <v>3132</v>
      </c>
      <c r="I209" s="58">
        <v>3117</v>
      </c>
      <c r="J209" s="58">
        <v>3114</v>
      </c>
      <c r="K209" s="58">
        <v>3137</v>
      </c>
      <c r="L209" s="58">
        <v>3087</v>
      </c>
      <c r="M209" s="58">
        <v>3055</v>
      </c>
      <c r="N209" s="58">
        <v>3079</v>
      </c>
      <c r="O209" s="58">
        <v>3081</v>
      </c>
      <c r="Q209" s="441" t="s">
        <v>6679</v>
      </c>
    </row>
    <row r="210" spans="1:17">
      <c r="A210" s="441" t="s">
        <v>4432</v>
      </c>
      <c r="B210" s="441" t="s">
        <v>2204</v>
      </c>
      <c r="C210" s="55" t="s">
        <v>8280</v>
      </c>
      <c r="D210" s="443">
        <v>4496</v>
      </c>
      <c r="E210" s="443">
        <v>4585</v>
      </c>
      <c r="F210" s="443">
        <v>4600</v>
      </c>
      <c r="G210" s="58">
        <v>4513</v>
      </c>
      <c r="H210" s="58">
        <v>4546</v>
      </c>
      <c r="I210" s="58">
        <v>4350</v>
      </c>
      <c r="J210" s="58">
        <v>4522</v>
      </c>
      <c r="K210" s="58">
        <v>4707</v>
      </c>
      <c r="L210" s="58">
        <v>4636</v>
      </c>
      <c r="M210" s="58">
        <v>4519</v>
      </c>
      <c r="N210" s="58">
        <v>4721</v>
      </c>
      <c r="O210" s="58">
        <v>4720</v>
      </c>
      <c r="Q210" s="441" t="s">
        <v>6679</v>
      </c>
    </row>
    <row r="211" spans="1:17">
      <c r="A211" s="441" t="s">
        <v>4434</v>
      </c>
      <c r="B211" s="441" t="s">
        <v>2205</v>
      </c>
      <c r="C211" s="55" t="s">
        <v>8281</v>
      </c>
      <c r="D211" s="443">
        <v>3127</v>
      </c>
      <c r="E211" s="443">
        <v>3121</v>
      </c>
      <c r="F211" s="443">
        <v>3135</v>
      </c>
      <c r="G211" s="58">
        <v>3189</v>
      </c>
      <c r="H211" s="58">
        <v>3122</v>
      </c>
      <c r="I211" s="58">
        <v>3040</v>
      </c>
      <c r="J211" s="58">
        <v>2994</v>
      </c>
      <c r="K211" s="58">
        <v>3151</v>
      </c>
      <c r="L211" s="58">
        <v>3252</v>
      </c>
      <c r="M211" s="58">
        <v>3258</v>
      </c>
      <c r="N211" s="58">
        <v>3699</v>
      </c>
      <c r="O211" s="58">
        <v>3715</v>
      </c>
      <c r="Q211" s="441" t="s">
        <v>6679</v>
      </c>
    </row>
    <row r="212" spans="1:17">
      <c r="A212" s="441" t="s">
        <v>4533</v>
      </c>
      <c r="B212" s="441" t="s">
        <v>3597</v>
      </c>
      <c r="C212" s="55" t="s">
        <v>8282</v>
      </c>
      <c r="D212" s="443">
        <v>3005</v>
      </c>
      <c r="E212" s="443">
        <v>3040</v>
      </c>
      <c r="F212" s="443">
        <v>3140</v>
      </c>
      <c r="G212" s="58">
        <v>3173</v>
      </c>
      <c r="H212" s="58">
        <v>3221</v>
      </c>
      <c r="I212" s="58">
        <v>3138</v>
      </c>
      <c r="J212" s="58">
        <v>3097</v>
      </c>
      <c r="K212" s="58">
        <v>3152</v>
      </c>
      <c r="L212" s="58">
        <v>3180</v>
      </c>
      <c r="M212" s="58">
        <v>3179</v>
      </c>
      <c r="N212" s="58">
        <v>3314</v>
      </c>
      <c r="O212" s="58">
        <v>3317</v>
      </c>
      <c r="Q212" s="441" t="s">
        <v>6679</v>
      </c>
    </row>
    <row r="213" spans="1:17">
      <c r="D213" s="444"/>
      <c r="E213" s="444"/>
      <c r="F213" s="444"/>
      <c r="G213" s="444"/>
      <c r="H213" s="444"/>
      <c r="I213" s="444"/>
      <c r="J213" s="444"/>
      <c r="K213" s="444"/>
      <c r="L213" s="444"/>
      <c r="M213" s="444"/>
      <c r="N213" s="444"/>
      <c r="O213" s="444"/>
    </row>
    <row r="214" spans="1:17">
      <c r="A214" s="441" t="s">
        <v>6679</v>
      </c>
      <c r="D214" s="443">
        <f t="shared" ref="D214:L214" si="66">SUM(D186:D212)</f>
        <v>78141</v>
      </c>
      <c r="E214" s="443">
        <f t="shared" si="66"/>
        <v>78220</v>
      </c>
      <c r="F214" s="443">
        <f t="shared" si="66"/>
        <v>79321</v>
      </c>
      <c r="G214" s="443">
        <f t="shared" si="66"/>
        <v>79653</v>
      </c>
      <c r="H214" s="443">
        <f t="shared" si="66"/>
        <v>79067</v>
      </c>
      <c r="I214" s="443">
        <f t="shared" si="66"/>
        <v>77097</v>
      </c>
      <c r="J214" s="443">
        <f t="shared" si="66"/>
        <v>78455</v>
      </c>
      <c r="K214" s="443">
        <f t="shared" si="66"/>
        <v>80868</v>
      </c>
      <c r="L214" s="443">
        <f t="shared" si="66"/>
        <v>80906</v>
      </c>
      <c r="M214" s="443">
        <f>SUM(M186:M212)</f>
        <v>79644</v>
      </c>
      <c r="N214" s="443">
        <f>SUM(N186:N212)</f>
        <v>83510</v>
      </c>
      <c r="O214" s="443">
        <f>SUM(O186:O212)</f>
        <v>83613</v>
      </c>
    </row>
    <row r="216" spans="1:17">
      <c r="A216" s="132" t="s">
        <v>9487</v>
      </c>
    </row>
    <row r="217" spans="1:17">
      <c r="A217" s="132" t="s">
        <v>9518</v>
      </c>
    </row>
  </sheetData>
  <phoneticPr fontId="6" type="noConversion"/>
  <printOptions gridLinesSet="0"/>
  <pageMargins left="0.78740157480314965" right="0" top="0.51181102362204722" bottom="0.51181102362204722" header="0.51181102362204722" footer="0.51181102362204722"/>
  <pageSetup paperSize="9" scale="57" orientation="portrait" horizontalDpi="300" verticalDpi="300" r:id="rId1"/>
  <headerFooter alignWithMargins="0">
    <oddFooter>&amp;C&amp;8&amp;P of &amp;N</oddFooter>
  </headerFooter>
  <ignoredErrors>
    <ignoredError sqref="D214:K214 D185:E185 F70 F143:F146 F182:F185 F148 G185:K185 D132:K132 D115:K115 D61:K61 D41:K41 D142:K142 F66 D64:K65 D3:L18 L176 L182:L214 D56:L56 L61:L66 L70 F114 L114:L148 D141:H141 J141:K141 D20:L21 D23:H36 I23:I40 J23:K36 L23:L41 L109:L110 F109:F110"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dimension ref="A1:Q34"/>
  <sheetViews>
    <sheetView showGridLines="0" zoomScale="90" zoomScaleNormal="90" workbookViewId="0">
      <selection activeCell="J3" sqref="J3"/>
    </sheetView>
  </sheetViews>
  <sheetFormatPr defaultColWidth="12.5703125" defaultRowHeight="15"/>
  <cols>
    <col min="1" max="1" width="5" style="65" customWidth="1"/>
    <col min="2" max="2" width="40.7109375" style="65" customWidth="1"/>
    <col min="3" max="3" width="11.5703125" style="65" customWidth="1"/>
    <col min="4" max="15" width="10" style="65" customWidth="1"/>
    <col min="16" max="16" width="2.28515625" style="65" customWidth="1"/>
    <col min="17" max="17" width="31.5703125" style="65" customWidth="1"/>
    <col min="18" max="16384" width="12.5703125" style="65"/>
  </cols>
  <sheetData>
    <row r="1" spans="1:17" s="39" customFormat="1">
      <c r="A1" s="38" t="s">
        <v>6924</v>
      </c>
      <c r="D1" s="105">
        <v>2010</v>
      </c>
      <c r="E1" s="105">
        <v>2011</v>
      </c>
      <c r="F1" s="105">
        <v>2012</v>
      </c>
      <c r="G1" s="105">
        <v>2013</v>
      </c>
      <c r="H1" s="105">
        <v>2014</v>
      </c>
      <c r="I1" s="105">
        <v>2015</v>
      </c>
      <c r="J1" s="105">
        <v>2016</v>
      </c>
      <c r="K1" s="105">
        <v>2017</v>
      </c>
      <c r="L1" s="105">
        <v>2018</v>
      </c>
      <c r="M1" s="105">
        <v>2019</v>
      </c>
      <c r="N1" s="105">
        <v>2020</v>
      </c>
      <c r="O1" s="948" t="s">
        <v>14823</v>
      </c>
    </row>
    <row r="2" spans="1:17" s="39" customFormat="1"/>
    <row r="3" spans="1:17" s="39" customFormat="1">
      <c r="A3" s="41" t="s">
        <v>3598</v>
      </c>
      <c r="D3" s="42">
        <f t="shared" ref="D3:I3" si="0">SUM(D17:D30)</f>
        <v>139920</v>
      </c>
      <c r="E3" s="42">
        <f t="shared" si="0"/>
        <v>143745</v>
      </c>
      <c r="F3" s="42">
        <f t="shared" si="0"/>
        <v>144921</v>
      </c>
      <c r="G3" s="42">
        <f t="shared" si="0"/>
        <v>143647</v>
      </c>
      <c r="H3" s="42">
        <f t="shared" si="0"/>
        <v>142892</v>
      </c>
      <c r="I3" s="42">
        <f t="shared" si="0"/>
        <v>141701</v>
      </c>
      <c r="J3" s="42">
        <f t="shared" ref="J3:O3" si="1">SUM(J17:J30)</f>
        <v>134892</v>
      </c>
      <c r="K3" s="42">
        <f t="shared" si="1"/>
        <v>139620</v>
      </c>
      <c r="L3" s="42">
        <f t="shared" si="1"/>
        <v>142014</v>
      </c>
      <c r="M3" s="42">
        <f t="shared" si="1"/>
        <v>137804</v>
      </c>
      <c r="N3" s="42">
        <f t="shared" si="1"/>
        <v>140311</v>
      </c>
      <c r="O3" s="42">
        <f t="shared" si="1"/>
        <v>146097</v>
      </c>
    </row>
    <row r="4" spans="1:17" s="39" customFormat="1">
      <c r="B4" s="41"/>
      <c r="C4" s="41"/>
      <c r="D4" s="42"/>
      <c r="E4" s="42"/>
      <c r="F4" s="42"/>
      <c r="G4" s="42"/>
      <c r="H4" s="42"/>
      <c r="I4" s="42"/>
      <c r="J4" s="42"/>
      <c r="K4" s="42"/>
      <c r="L4" s="42"/>
      <c r="M4" s="42"/>
      <c r="N4" s="42"/>
      <c r="O4" s="42"/>
      <c r="Q4" s="45"/>
    </row>
    <row r="5" spans="1:17" s="39" customFormat="1">
      <c r="A5" s="41" t="s">
        <v>2476</v>
      </c>
      <c r="D5" s="42">
        <f t="shared" ref="D5:I5" si="2">D3/2</f>
        <v>69960</v>
      </c>
      <c r="E5" s="42">
        <f t="shared" si="2"/>
        <v>71872.5</v>
      </c>
      <c r="F5" s="42">
        <f t="shared" si="2"/>
        <v>72460.5</v>
      </c>
      <c r="G5" s="42">
        <f t="shared" si="2"/>
        <v>71823.5</v>
      </c>
      <c r="H5" s="42">
        <f t="shared" si="2"/>
        <v>71446</v>
      </c>
      <c r="I5" s="42">
        <f t="shared" si="2"/>
        <v>70850.5</v>
      </c>
      <c r="J5" s="42">
        <f t="shared" ref="J5:O5" si="3">J3/2</f>
        <v>67446</v>
      </c>
      <c r="K5" s="42">
        <f t="shared" si="3"/>
        <v>69810</v>
      </c>
      <c r="L5" s="42">
        <f t="shared" si="3"/>
        <v>71007</v>
      </c>
      <c r="M5" s="42">
        <f t="shared" si="3"/>
        <v>68902</v>
      </c>
      <c r="N5" s="42">
        <f t="shared" si="3"/>
        <v>70155.5</v>
      </c>
      <c r="O5" s="42">
        <f t="shared" si="3"/>
        <v>73048.5</v>
      </c>
    </row>
    <row r="6" spans="1:17" s="39" customFormat="1">
      <c r="D6" s="44"/>
      <c r="E6" s="44"/>
      <c r="F6" s="44"/>
      <c r="G6" s="44"/>
      <c r="H6" s="44"/>
      <c r="I6" s="44"/>
      <c r="J6" s="44"/>
      <c r="K6" s="44"/>
      <c r="L6" s="44"/>
      <c r="M6" s="44"/>
      <c r="N6" s="44"/>
      <c r="O6" s="44"/>
    </row>
    <row r="7" spans="1:17" s="39" customFormat="1">
      <c r="A7" s="41" t="s">
        <v>3599</v>
      </c>
      <c r="D7" s="42">
        <f t="shared" ref="D7:I7" si="4">D17+D20+D21+D22+D25+D27+D28</f>
        <v>70464</v>
      </c>
      <c r="E7" s="42">
        <f t="shared" si="4"/>
        <v>71798</v>
      </c>
      <c r="F7" s="42">
        <f t="shared" si="4"/>
        <v>72474</v>
      </c>
      <c r="G7" s="42">
        <f t="shared" si="4"/>
        <v>72724</v>
      </c>
      <c r="H7" s="42">
        <f t="shared" si="4"/>
        <v>72330</v>
      </c>
      <c r="I7" s="42">
        <f t="shared" si="4"/>
        <v>72909</v>
      </c>
      <c r="J7" s="42">
        <f t="shared" ref="J7:O7" si="5">J17+J20+J21+J22+J25+J27+J28</f>
        <v>70315</v>
      </c>
      <c r="K7" s="42">
        <f t="shared" si="5"/>
        <v>70879</v>
      </c>
      <c r="L7" s="42">
        <f t="shared" si="5"/>
        <v>70748</v>
      </c>
      <c r="M7" s="42">
        <f t="shared" si="5"/>
        <v>70108</v>
      </c>
      <c r="N7" s="42">
        <f t="shared" si="5"/>
        <v>70213</v>
      </c>
      <c r="O7" s="42">
        <f t="shared" si="5"/>
        <v>71844</v>
      </c>
      <c r="Q7" s="41" t="s">
        <v>3600</v>
      </c>
    </row>
    <row r="8" spans="1:17" s="39" customFormat="1">
      <c r="D8" s="44"/>
      <c r="E8" s="44"/>
      <c r="F8" s="44"/>
      <c r="G8" s="44"/>
      <c r="H8" s="44"/>
      <c r="I8" s="44"/>
      <c r="J8" s="44"/>
      <c r="K8" s="44"/>
      <c r="L8" s="44"/>
      <c r="M8" s="44"/>
      <c r="N8" s="44"/>
      <c r="O8" s="44"/>
    </row>
    <row r="9" spans="1:17" s="39" customFormat="1">
      <c r="A9" s="41" t="s">
        <v>3601</v>
      </c>
      <c r="D9" s="42">
        <f t="shared" ref="D9:I9" si="6">D18+D19+D23+D24+D26+D29+D30</f>
        <v>69456</v>
      </c>
      <c r="E9" s="42">
        <f t="shared" si="6"/>
        <v>71947</v>
      </c>
      <c r="F9" s="42">
        <f t="shared" si="6"/>
        <v>72447</v>
      </c>
      <c r="G9" s="42">
        <f t="shared" si="6"/>
        <v>70923</v>
      </c>
      <c r="H9" s="42">
        <f t="shared" si="6"/>
        <v>70562</v>
      </c>
      <c r="I9" s="42">
        <f t="shared" si="6"/>
        <v>68792</v>
      </c>
      <c r="J9" s="42">
        <f t="shared" ref="J9:O9" si="7">J18+J19+J23+J24+J26+J29+J30</f>
        <v>64577</v>
      </c>
      <c r="K9" s="42">
        <f t="shared" si="7"/>
        <v>68741</v>
      </c>
      <c r="L9" s="42">
        <f t="shared" si="7"/>
        <v>71266</v>
      </c>
      <c r="M9" s="42">
        <f t="shared" si="7"/>
        <v>67696</v>
      </c>
      <c r="N9" s="42">
        <f t="shared" si="7"/>
        <v>70098</v>
      </c>
      <c r="O9" s="42">
        <f t="shared" si="7"/>
        <v>74253</v>
      </c>
      <c r="Q9" s="41" t="s">
        <v>3600</v>
      </c>
    </row>
    <row r="10" spans="1:17" s="39" customFormat="1">
      <c r="D10" s="44"/>
      <c r="E10" s="44"/>
      <c r="F10" s="44"/>
      <c r="G10" s="44"/>
      <c r="H10" s="44"/>
      <c r="I10" s="44"/>
      <c r="J10" s="44"/>
      <c r="K10" s="44"/>
      <c r="L10" s="44"/>
      <c r="M10" s="44"/>
      <c r="N10" s="44"/>
      <c r="O10" s="44"/>
    </row>
    <row r="11" spans="1:17" s="39" customFormat="1">
      <c r="A11" s="41" t="s">
        <v>6796</v>
      </c>
      <c r="D11" s="42">
        <f t="shared" ref="D11:I11" si="8">D7+D9</f>
        <v>139920</v>
      </c>
      <c r="E11" s="42">
        <f t="shared" si="8"/>
        <v>143745</v>
      </c>
      <c r="F11" s="42">
        <f t="shared" si="8"/>
        <v>144921</v>
      </c>
      <c r="G11" s="42">
        <f t="shared" si="8"/>
        <v>143647</v>
      </c>
      <c r="H11" s="42">
        <f t="shared" si="8"/>
        <v>142892</v>
      </c>
      <c r="I11" s="42">
        <f t="shared" si="8"/>
        <v>141701</v>
      </c>
      <c r="J11" s="42">
        <f t="shared" ref="J11:O11" si="9">J7+J9</f>
        <v>134892</v>
      </c>
      <c r="K11" s="42">
        <f t="shared" si="9"/>
        <v>139620</v>
      </c>
      <c r="L11" s="42">
        <f t="shared" si="9"/>
        <v>142014</v>
      </c>
      <c r="M11" s="42">
        <f t="shared" si="9"/>
        <v>137804</v>
      </c>
      <c r="N11" s="42">
        <f t="shared" si="9"/>
        <v>140311</v>
      </c>
      <c r="O11" s="42">
        <f t="shared" si="9"/>
        <v>146097</v>
      </c>
    </row>
    <row r="12" spans="1:17" s="39" customFormat="1">
      <c r="D12" s="44"/>
      <c r="E12" s="44"/>
      <c r="F12" s="44"/>
      <c r="G12" s="44"/>
      <c r="H12" s="44"/>
      <c r="I12" s="44"/>
      <c r="J12" s="44"/>
      <c r="K12" s="44"/>
      <c r="L12" s="44"/>
      <c r="M12" s="44"/>
      <c r="N12" s="44"/>
      <c r="O12" s="44"/>
    </row>
    <row r="13" spans="1:17" s="39" customFormat="1">
      <c r="A13" s="41" t="s">
        <v>6797</v>
      </c>
      <c r="D13" s="42">
        <f t="shared" ref="D13:I13" si="10">MAX(D7,D9)-MINA(D7,D9)</f>
        <v>1008</v>
      </c>
      <c r="E13" s="42">
        <f t="shared" si="10"/>
        <v>149</v>
      </c>
      <c r="F13" s="42">
        <f t="shared" si="10"/>
        <v>27</v>
      </c>
      <c r="G13" s="42">
        <f t="shared" si="10"/>
        <v>1801</v>
      </c>
      <c r="H13" s="42">
        <f t="shared" si="10"/>
        <v>1768</v>
      </c>
      <c r="I13" s="42">
        <f t="shared" si="10"/>
        <v>4117</v>
      </c>
      <c r="J13" s="42">
        <f t="shared" ref="J13:O13" si="11">MAX(J7,J9)-MINA(J7,J9)</f>
        <v>5738</v>
      </c>
      <c r="K13" s="42">
        <f t="shared" si="11"/>
        <v>2138</v>
      </c>
      <c r="L13" s="42">
        <f t="shared" si="11"/>
        <v>518</v>
      </c>
      <c r="M13" s="42">
        <f t="shared" si="11"/>
        <v>2412</v>
      </c>
      <c r="N13" s="42">
        <f t="shared" si="11"/>
        <v>115</v>
      </c>
      <c r="O13" s="42">
        <f t="shared" si="11"/>
        <v>2409</v>
      </c>
    </row>
    <row r="14" spans="1:17" s="39" customFormat="1">
      <c r="D14" s="44"/>
      <c r="E14" s="44"/>
      <c r="F14" s="44"/>
      <c r="G14" s="44"/>
      <c r="H14" s="44"/>
      <c r="I14" s="44"/>
      <c r="J14" s="44"/>
      <c r="K14" s="44"/>
      <c r="L14" s="44"/>
      <c r="M14" s="44"/>
      <c r="N14" s="44"/>
      <c r="O14" s="44"/>
    </row>
    <row r="15" spans="1:17" s="39" customFormat="1">
      <c r="A15" s="41" t="s">
        <v>6800</v>
      </c>
      <c r="D15" s="42">
        <f t="shared" ref="D15:I15" si="12">STDEVP(D7,D9)</f>
        <v>504</v>
      </c>
      <c r="E15" s="42">
        <f t="shared" si="12"/>
        <v>74.5</v>
      </c>
      <c r="F15" s="42">
        <f t="shared" si="12"/>
        <v>13.5</v>
      </c>
      <c r="G15" s="42">
        <f t="shared" si="12"/>
        <v>900.5</v>
      </c>
      <c r="H15" s="42">
        <f t="shared" si="12"/>
        <v>884</v>
      </c>
      <c r="I15" s="42">
        <f t="shared" si="12"/>
        <v>2058.5</v>
      </c>
      <c r="J15" s="42">
        <f t="shared" ref="J15:O15" si="13">STDEVP(J7,J9)</f>
        <v>2869</v>
      </c>
      <c r="K15" s="42">
        <f t="shared" si="13"/>
        <v>1069</v>
      </c>
      <c r="L15" s="42">
        <f t="shared" si="13"/>
        <v>259</v>
      </c>
      <c r="M15" s="42">
        <f t="shared" si="13"/>
        <v>1206</v>
      </c>
      <c r="N15" s="42">
        <f t="shared" si="13"/>
        <v>57.5</v>
      </c>
      <c r="O15" s="42">
        <f t="shared" si="13"/>
        <v>1204.5</v>
      </c>
    </row>
    <row r="16" spans="1:17" s="39" customFormat="1"/>
    <row r="17" spans="1:17" s="39" customFormat="1">
      <c r="A17" s="41" t="s">
        <v>5387</v>
      </c>
      <c r="B17" s="41" t="s">
        <v>3602</v>
      </c>
      <c r="C17" s="55" t="s">
        <v>7742</v>
      </c>
      <c r="D17" s="44">
        <v>10875</v>
      </c>
      <c r="E17" s="44">
        <v>11117</v>
      </c>
      <c r="F17" s="44">
        <v>11255</v>
      </c>
      <c r="G17" s="56">
        <v>11322</v>
      </c>
      <c r="H17" s="56">
        <v>11194</v>
      </c>
      <c r="I17" s="56">
        <v>11223</v>
      </c>
      <c r="J17" s="56">
        <v>10812</v>
      </c>
      <c r="K17" s="56">
        <v>10859</v>
      </c>
      <c r="L17" s="56">
        <v>10880</v>
      </c>
      <c r="M17" s="56">
        <v>10829</v>
      </c>
      <c r="N17" s="56">
        <v>10872</v>
      </c>
      <c r="O17" s="56">
        <v>11094</v>
      </c>
      <c r="Q17" s="41" t="s">
        <v>3599</v>
      </c>
    </row>
    <row r="18" spans="1:17" s="39" customFormat="1">
      <c r="A18" s="41" t="s">
        <v>5389</v>
      </c>
      <c r="B18" s="41" t="s">
        <v>3603</v>
      </c>
      <c r="C18" s="55" t="s">
        <v>7743</v>
      </c>
      <c r="D18" s="44">
        <v>10700</v>
      </c>
      <c r="E18" s="44">
        <v>10823</v>
      </c>
      <c r="F18" s="44">
        <v>11731</v>
      </c>
      <c r="G18" s="56">
        <v>11665</v>
      </c>
      <c r="H18" s="56">
        <v>10720</v>
      </c>
      <c r="I18" s="56">
        <v>10661</v>
      </c>
      <c r="J18" s="56">
        <v>9429</v>
      </c>
      <c r="K18" s="56">
        <v>10427</v>
      </c>
      <c r="L18" s="56">
        <v>11186</v>
      </c>
      <c r="M18" s="56">
        <v>10228</v>
      </c>
      <c r="N18" s="56">
        <v>10744</v>
      </c>
      <c r="O18" s="56">
        <v>11731</v>
      </c>
      <c r="Q18" s="41" t="s">
        <v>3601</v>
      </c>
    </row>
    <row r="19" spans="1:17" s="39" customFormat="1">
      <c r="A19" s="41" t="s">
        <v>5391</v>
      </c>
      <c r="B19" s="41" t="s">
        <v>6626</v>
      </c>
      <c r="C19" s="55" t="s">
        <v>7744</v>
      </c>
      <c r="D19" s="106">
        <v>11321</v>
      </c>
      <c r="E19" s="106">
        <v>11754</v>
      </c>
      <c r="F19" s="106">
        <v>11316</v>
      </c>
      <c r="G19" s="56">
        <v>10658</v>
      </c>
      <c r="H19" s="56">
        <v>11751</v>
      </c>
      <c r="I19" s="56">
        <v>10681</v>
      </c>
      <c r="J19" s="56">
        <v>10213</v>
      </c>
      <c r="K19" s="56">
        <v>11422</v>
      </c>
      <c r="L19" s="56">
        <v>11983</v>
      </c>
      <c r="M19" s="56">
        <v>11013</v>
      </c>
      <c r="N19" s="56">
        <v>12367</v>
      </c>
      <c r="O19" s="56">
        <v>13368</v>
      </c>
      <c r="Q19" s="41" t="s">
        <v>3601</v>
      </c>
    </row>
    <row r="20" spans="1:17" s="39" customFormat="1">
      <c r="A20" s="41" t="s">
        <v>5393</v>
      </c>
      <c r="B20" s="41" t="s">
        <v>6627</v>
      </c>
      <c r="C20" s="55" t="s">
        <v>7745</v>
      </c>
      <c r="D20" s="44">
        <v>9943</v>
      </c>
      <c r="E20" s="44">
        <v>10098</v>
      </c>
      <c r="F20" s="44">
        <v>10054</v>
      </c>
      <c r="G20" s="56">
        <v>10067</v>
      </c>
      <c r="H20" s="56">
        <v>9973</v>
      </c>
      <c r="I20" s="56">
        <v>10026</v>
      </c>
      <c r="J20" s="56">
        <v>9693</v>
      </c>
      <c r="K20" s="56">
        <v>9770</v>
      </c>
      <c r="L20" s="56">
        <v>9687</v>
      </c>
      <c r="M20" s="56">
        <v>9554</v>
      </c>
      <c r="N20" s="56">
        <v>9573</v>
      </c>
      <c r="O20" s="56">
        <v>9793</v>
      </c>
      <c r="Q20" s="41" t="s">
        <v>3599</v>
      </c>
    </row>
    <row r="21" spans="1:17" s="39" customFormat="1">
      <c r="A21" s="41" t="s">
        <v>5394</v>
      </c>
      <c r="B21" s="41" t="s">
        <v>6628</v>
      </c>
      <c r="C21" s="55" t="s">
        <v>7746</v>
      </c>
      <c r="D21" s="44">
        <v>9848</v>
      </c>
      <c r="E21" s="44">
        <v>10002</v>
      </c>
      <c r="F21" s="44">
        <v>10203</v>
      </c>
      <c r="G21" s="56">
        <v>10258</v>
      </c>
      <c r="H21" s="56">
        <v>10315</v>
      </c>
      <c r="I21" s="56">
        <v>10479</v>
      </c>
      <c r="J21" s="56">
        <v>10171</v>
      </c>
      <c r="K21" s="56">
        <v>10146</v>
      </c>
      <c r="L21" s="56">
        <v>10160</v>
      </c>
      <c r="M21" s="56">
        <v>9996</v>
      </c>
      <c r="N21" s="56">
        <v>10002</v>
      </c>
      <c r="O21" s="56">
        <v>10217</v>
      </c>
      <c r="Q21" s="41" t="s">
        <v>3599</v>
      </c>
    </row>
    <row r="22" spans="1:17" s="39" customFormat="1">
      <c r="A22" s="41" t="s">
        <v>5416</v>
      </c>
      <c r="B22" s="41" t="s">
        <v>6629</v>
      </c>
      <c r="C22" s="55" t="s">
        <v>7747</v>
      </c>
      <c r="D22" s="44">
        <v>10184</v>
      </c>
      <c r="E22" s="44">
        <v>10267</v>
      </c>
      <c r="F22" s="44">
        <v>10280</v>
      </c>
      <c r="G22" s="56">
        <v>10327</v>
      </c>
      <c r="H22" s="56">
        <v>10282</v>
      </c>
      <c r="I22" s="56">
        <v>10302</v>
      </c>
      <c r="J22" s="56">
        <v>10064</v>
      </c>
      <c r="K22" s="56">
        <v>10309</v>
      </c>
      <c r="L22" s="56">
        <v>10401</v>
      </c>
      <c r="M22" s="56">
        <v>10302</v>
      </c>
      <c r="N22" s="56">
        <v>10317</v>
      </c>
      <c r="O22" s="56">
        <v>10510</v>
      </c>
      <c r="Q22" s="41" t="s">
        <v>3599</v>
      </c>
    </row>
    <row r="23" spans="1:17" s="39" customFormat="1">
      <c r="A23" s="41" t="s">
        <v>5418</v>
      </c>
      <c r="B23" s="41" t="s">
        <v>6630</v>
      </c>
      <c r="C23" s="55" t="s">
        <v>7748</v>
      </c>
      <c r="D23" s="44">
        <v>8981</v>
      </c>
      <c r="E23" s="44">
        <v>9440</v>
      </c>
      <c r="F23" s="44">
        <v>9374</v>
      </c>
      <c r="G23" s="56">
        <v>9488</v>
      </c>
      <c r="H23" s="56">
        <v>9369</v>
      </c>
      <c r="I23" s="56">
        <v>9370</v>
      </c>
      <c r="J23" s="56">
        <v>8914</v>
      </c>
      <c r="K23" s="56">
        <v>9000</v>
      </c>
      <c r="L23" s="56">
        <v>9195</v>
      </c>
      <c r="M23" s="56">
        <v>9067</v>
      </c>
      <c r="N23" s="56">
        <v>8998</v>
      </c>
      <c r="O23" s="56">
        <v>9373</v>
      </c>
      <c r="Q23" s="41" t="s">
        <v>3601</v>
      </c>
    </row>
    <row r="24" spans="1:17" s="39" customFormat="1">
      <c r="A24" s="41" t="s">
        <v>5420</v>
      </c>
      <c r="B24" s="41" t="s">
        <v>6530</v>
      </c>
      <c r="C24" s="55" t="s">
        <v>7749</v>
      </c>
      <c r="D24" s="44">
        <v>10002</v>
      </c>
      <c r="E24" s="44">
        <v>10384</v>
      </c>
      <c r="F24" s="44">
        <v>10472</v>
      </c>
      <c r="G24" s="56">
        <v>10396</v>
      </c>
      <c r="H24" s="56">
        <v>10059</v>
      </c>
      <c r="I24" s="56">
        <v>10111</v>
      </c>
      <c r="J24" s="56">
        <v>9477</v>
      </c>
      <c r="K24" s="56">
        <v>9541</v>
      </c>
      <c r="L24" s="56">
        <v>9683</v>
      </c>
      <c r="M24" s="56">
        <v>9319</v>
      </c>
      <c r="N24" s="56">
        <v>9470</v>
      </c>
      <c r="O24" s="56">
        <v>9795</v>
      </c>
      <c r="Q24" s="41" t="s">
        <v>3601</v>
      </c>
    </row>
    <row r="25" spans="1:17" s="39" customFormat="1">
      <c r="A25" s="41" t="s">
        <v>5422</v>
      </c>
      <c r="B25" s="41" t="s">
        <v>6531</v>
      </c>
      <c r="C25" s="55" t="s">
        <v>7750</v>
      </c>
      <c r="D25" s="44">
        <v>9963</v>
      </c>
      <c r="E25" s="44">
        <v>10227</v>
      </c>
      <c r="F25" s="44">
        <v>10322</v>
      </c>
      <c r="G25" s="56">
        <v>10419</v>
      </c>
      <c r="H25" s="56">
        <v>10351</v>
      </c>
      <c r="I25" s="56">
        <v>10403</v>
      </c>
      <c r="J25" s="56">
        <v>9951</v>
      </c>
      <c r="K25" s="56">
        <v>10098</v>
      </c>
      <c r="L25" s="56">
        <v>10080</v>
      </c>
      <c r="M25" s="56">
        <v>9929</v>
      </c>
      <c r="N25" s="56">
        <v>9998</v>
      </c>
      <c r="O25" s="56">
        <v>10265</v>
      </c>
      <c r="Q25" s="41" t="s">
        <v>3599</v>
      </c>
    </row>
    <row r="26" spans="1:17" s="39" customFormat="1">
      <c r="A26" s="41" t="s">
        <v>5424</v>
      </c>
      <c r="B26" s="41" t="s">
        <v>6154</v>
      </c>
      <c r="C26" s="55" t="s">
        <v>7751</v>
      </c>
      <c r="D26" s="44">
        <v>10037</v>
      </c>
      <c r="E26" s="44">
        <v>10183</v>
      </c>
      <c r="F26" s="44">
        <v>10137</v>
      </c>
      <c r="G26" s="56">
        <v>10144</v>
      </c>
      <c r="H26" s="56">
        <v>10518</v>
      </c>
      <c r="I26" s="56">
        <v>10226</v>
      </c>
      <c r="J26" s="56">
        <v>9792</v>
      </c>
      <c r="K26" s="56">
        <v>10162</v>
      </c>
      <c r="L26" s="56">
        <v>10442</v>
      </c>
      <c r="M26" s="56">
        <v>10017</v>
      </c>
      <c r="N26" s="56">
        <v>10091</v>
      </c>
      <c r="O26" s="56">
        <v>10339</v>
      </c>
      <c r="Q26" s="41" t="s">
        <v>3601</v>
      </c>
    </row>
    <row r="27" spans="1:17" s="39" customFormat="1">
      <c r="A27" s="41" t="s">
        <v>5426</v>
      </c>
      <c r="B27" s="41" t="s">
        <v>4632</v>
      </c>
      <c r="C27" s="55" t="s">
        <v>7752</v>
      </c>
      <c r="D27" s="44">
        <v>9888</v>
      </c>
      <c r="E27" s="44">
        <v>10095</v>
      </c>
      <c r="F27" s="44">
        <v>10310</v>
      </c>
      <c r="G27" s="56">
        <v>10275</v>
      </c>
      <c r="H27" s="56">
        <v>10035</v>
      </c>
      <c r="I27" s="56">
        <v>10090</v>
      </c>
      <c r="J27" s="56">
        <v>9676</v>
      </c>
      <c r="K27" s="56">
        <v>9667</v>
      </c>
      <c r="L27" s="56">
        <v>9578</v>
      </c>
      <c r="M27" s="56">
        <v>9594</v>
      </c>
      <c r="N27" s="56">
        <v>9520</v>
      </c>
      <c r="O27" s="56">
        <v>9826</v>
      </c>
      <c r="Q27" s="41" t="s">
        <v>3599</v>
      </c>
    </row>
    <row r="28" spans="1:17" s="39" customFormat="1">
      <c r="A28" s="41" t="s">
        <v>5428</v>
      </c>
      <c r="B28" s="41" t="s">
        <v>6532</v>
      </c>
      <c r="C28" s="55" t="s">
        <v>7753</v>
      </c>
      <c r="D28" s="44">
        <v>9763</v>
      </c>
      <c r="E28" s="44">
        <v>9992</v>
      </c>
      <c r="F28" s="44">
        <v>10050</v>
      </c>
      <c r="G28" s="56">
        <v>10056</v>
      </c>
      <c r="H28" s="56">
        <v>10180</v>
      </c>
      <c r="I28" s="56">
        <v>10386</v>
      </c>
      <c r="J28" s="56">
        <v>9948</v>
      </c>
      <c r="K28" s="56">
        <v>10030</v>
      </c>
      <c r="L28" s="56">
        <v>9962</v>
      </c>
      <c r="M28" s="56">
        <v>9904</v>
      </c>
      <c r="N28" s="56">
        <v>9931</v>
      </c>
      <c r="O28" s="56">
        <v>10139</v>
      </c>
      <c r="Q28" s="41" t="s">
        <v>3599</v>
      </c>
    </row>
    <row r="29" spans="1:17" s="39" customFormat="1">
      <c r="A29" s="41" t="s">
        <v>5429</v>
      </c>
      <c r="B29" s="41" t="s">
        <v>6533</v>
      </c>
      <c r="C29" s="55" t="s">
        <v>7754</v>
      </c>
      <c r="D29" s="44">
        <v>8182</v>
      </c>
      <c r="E29" s="44">
        <v>8631</v>
      </c>
      <c r="F29" s="44">
        <v>8865</v>
      </c>
      <c r="G29" s="56">
        <v>8739</v>
      </c>
      <c r="H29" s="56">
        <v>8492</v>
      </c>
      <c r="I29" s="56">
        <v>8566</v>
      </c>
      <c r="J29" s="56">
        <v>8042</v>
      </c>
      <c r="K29" s="56">
        <v>8352</v>
      </c>
      <c r="L29" s="56">
        <v>8553</v>
      </c>
      <c r="M29" s="56">
        <v>8321</v>
      </c>
      <c r="N29" s="56">
        <v>8332</v>
      </c>
      <c r="O29" s="56">
        <v>8873</v>
      </c>
      <c r="Q29" s="41" t="s">
        <v>3601</v>
      </c>
    </row>
    <row r="30" spans="1:17" s="39" customFormat="1">
      <c r="A30" s="59">
        <v>14</v>
      </c>
      <c r="B30" s="41" t="s">
        <v>2993</v>
      </c>
      <c r="C30" s="55" t="s">
        <v>7755</v>
      </c>
      <c r="D30" s="44">
        <v>10233</v>
      </c>
      <c r="E30" s="44">
        <v>10732</v>
      </c>
      <c r="F30" s="44">
        <v>10552</v>
      </c>
      <c r="G30" s="56">
        <v>9833</v>
      </c>
      <c r="H30" s="56">
        <v>9653</v>
      </c>
      <c r="I30" s="56">
        <v>9177</v>
      </c>
      <c r="J30" s="56">
        <v>8710</v>
      </c>
      <c r="K30" s="56">
        <v>9837</v>
      </c>
      <c r="L30" s="56">
        <v>10224</v>
      </c>
      <c r="M30" s="56">
        <v>9731</v>
      </c>
      <c r="N30" s="56">
        <v>10096</v>
      </c>
      <c r="O30" s="56">
        <v>10774</v>
      </c>
      <c r="Q30" s="41" t="s">
        <v>3601</v>
      </c>
    </row>
    <row r="31" spans="1:17" s="39" customFormat="1">
      <c r="D31" s="44"/>
      <c r="E31" s="44"/>
      <c r="F31" s="44"/>
      <c r="G31" s="44"/>
      <c r="H31" s="44"/>
      <c r="I31" s="44"/>
      <c r="J31" s="44"/>
      <c r="K31" s="44"/>
      <c r="L31" s="44"/>
    </row>
    <row r="32" spans="1:17" s="39" customFormat="1">
      <c r="A32" s="41" t="s">
        <v>6534</v>
      </c>
    </row>
    <row r="33" spans="1:1" s="39" customFormat="1">
      <c r="A33" s="41"/>
    </row>
    <row r="34" spans="1:1" s="39" customFormat="1">
      <c r="A34" s="41"/>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3:D4 E3:E4 F3:F4 G3:G4 D5:D15 E5:E15 F5:F15 G5:G15 H3:H4 H5:H15 I3:I15 J3:J15 K3:K15 L3:L15" unlockedFormula="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dimension ref="A1:Q68"/>
  <sheetViews>
    <sheetView showGridLines="0" topLeftCell="A25" zoomScale="90" zoomScaleNormal="90" workbookViewId="0">
      <selection activeCell="O3" sqref="O3"/>
    </sheetView>
  </sheetViews>
  <sheetFormatPr defaultColWidth="12.5703125" defaultRowHeight="15"/>
  <cols>
    <col min="1" max="1" width="4.85546875" style="131" customWidth="1"/>
    <col min="2" max="2" width="40.7109375" style="131" customWidth="1"/>
    <col min="3" max="3" width="11.5703125" style="131" customWidth="1"/>
    <col min="4" max="15" width="10" style="131" customWidth="1"/>
    <col min="16" max="16" width="2.28515625" style="131" customWidth="1"/>
    <col min="17" max="17" width="34.42578125" style="131" customWidth="1"/>
    <col min="18" max="16384" width="12.5703125" style="131"/>
  </cols>
  <sheetData>
    <row r="1" spans="1:17">
      <c r="A1" s="432" t="s">
        <v>5719</v>
      </c>
      <c r="D1" s="433">
        <v>2010</v>
      </c>
      <c r="E1" s="433">
        <v>2011</v>
      </c>
      <c r="F1" s="433">
        <v>2012</v>
      </c>
      <c r="G1" s="433">
        <v>2013</v>
      </c>
      <c r="H1" s="433">
        <v>2014</v>
      </c>
      <c r="I1" s="433">
        <v>2015</v>
      </c>
      <c r="J1" s="433">
        <v>2016</v>
      </c>
      <c r="K1" s="433">
        <v>2017</v>
      </c>
      <c r="L1" s="433">
        <v>2018</v>
      </c>
      <c r="M1" s="433">
        <v>2019</v>
      </c>
      <c r="N1" s="433">
        <v>2020</v>
      </c>
      <c r="O1" s="947" t="s">
        <v>14823</v>
      </c>
    </row>
    <row r="3" spans="1:17">
      <c r="A3" s="432" t="s">
        <v>6535</v>
      </c>
      <c r="D3" s="434">
        <f t="shared" ref="D3:L3" si="0">SUM(D27:D32,D34:D49,D51:D53,D55)</f>
        <v>190563</v>
      </c>
      <c r="E3" s="434">
        <f t="shared" si="0"/>
        <v>192926</v>
      </c>
      <c r="F3" s="434">
        <f t="shared" si="0"/>
        <v>196397</v>
      </c>
      <c r="G3" s="434">
        <f t="shared" si="0"/>
        <v>195759</v>
      </c>
      <c r="H3" s="434">
        <f t="shared" si="0"/>
        <v>198615</v>
      </c>
      <c r="I3" s="434">
        <f t="shared" si="0"/>
        <v>194814</v>
      </c>
      <c r="J3" s="434">
        <f t="shared" si="0"/>
        <v>178020</v>
      </c>
      <c r="K3" s="434">
        <f t="shared" si="0"/>
        <v>187423</v>
      </c>
      <c r="L3" s="434">
        <f t="shared" si="0"/>
        <v>194621</v>
      </c>
      <c r="M3" s="434">
        <f>SUM(M27:M32,M34:M49,M51:M53,M55)</f>
        <v>182818</v>
      </c>
      <c r="N3" s="434">
        <f>SUM(N27:N32,N34:N49,N51:N53,N55)</f>
        <v>188872</v>
      </c>
      <c r="O3" s="434">
        <f>SUM(O27:O32,O34:O49,O51:O53,O55)</f>
        <v>191723</v>
      </c>
    </row>
    <row r="5" spans="1:17">
      <c r="A5" s="432" t="s">
        <v>5382</v>
      </c>
      <c r="D5" s="434">
        <f t="shared" ref="D5:K5" si="1">D3/3</f>
        <v>63521</v>
      </c>
      <c r="E5" s="434">
        <f t="shared" si="1"/>
        <v>64308.666666666664</v>
      </c>
      <c r="F5" s="434">
        <f t="shared" si="1"/>
        <v>65465.666666666664</v>
      </c>
      <c r="G5" s="434">
        <f t="shared" si="1"/>
        <v>65253</v>
      </c>
      <c r="H5" s="434">
        <f t="shared" si="1"/>
        <v>66205</v>
      </c>
      <c r="I5" s="434">
        <f t="shared" si="1"/>
        <v>64938</v>
      </c>
      <c r="J5" s="434">
        <f t="shared" si="1"/>
        <v>59340</v>
      </c>
      <c r="K5" s="434">
        <f t="shared" si="1"/>
        <v>62474.333333333336</v>
      </c>
      <c r="L5" s="434">
        <f>L3/3</f>
        <v>64873.666666666664</v>
      </c>
      <c r="M5" s="434">
        <f>M3/3</f>
        <v>60939.333333333336</v>
      </c>
      <c r="N5" s="434">
        <f>N3/3</f>
        <v>62957.333333333336</v>
      </c>
      <c r="O5" s="434">
        <f>O3/3</f>
        <v>63907.666666666664</v>
      </c>
    </row>
    <row r="6" spans="1:17">
      <c r="D6" s="435"/>
      <c r="E6" s="435"/>
      <c r="F6" s="435"/>
      <c r="G6" s="435"/>
      <c r="H6" s="435"/>
      <c r="I6" s="435"/>
      <c r="J6" s="435"/>
      <c r="K6" s="435"/>
      <c r="L6" s="435"/>
      <c r="M6" s="435"/>
      <c r="N6" s="435"/>
      <c r="O6" s="435"/>
    </row>
    <row r="7" spans="1:17">
      <c r="A7" s="432" t="s">
        <v>6536</v>
      </c>
      <c r="D7" s="434">
        <f t="shared" ref="D7:L7" si="2">SUM(D31,D44,D47)</f>
        <v>16493</v>
      </c>
      <c r="E7" s="434">
        <f t="shared" si="2"/>
        <v>16475</v>
      </c>
      <c r="F7" s="434">
        <f t="shared" si="2"/>
        <v>16792</v>
      </c>
      <c r="G7" s="434">
        <f t="shared" si="2"/>
        <v>16786</v>
      </c>
      <c r="H7" s="434">
        <f t="shared" si="2"/>
        <v>16983</v>
      </c>
      <c r="I7" s="434">
        <f t="shared" si="2"/>
        <v>16566</v>
      </c>
      <c r="J7" s="434">
        <f t="shared" si="2"/>
        <v>15580</v>
      </c>
      <c r="K7" s="434">
        <f t="shared" si="2"/>
        <v>16174</v>
      </c>
      <c r="L7" s="434">
        <f t="shared" si="2"/>
        <v>16860</v>
      </c>
      <c r="M7" s="434">
        <f>SUM(M31,M44,M47)</f>
        <v>15686</v>
      </c>
      <c r="N7" s="434">
        <f>SUM(N31,N44,N47)</f>
        <v>16250</v>
      </c>
      <c r="O7" s="434">
        <f>SUM(O31,O44,O47)</f>
        <v>16485</v>
      </c>
      <c r="Q7" s="432" t="s">
        <v>6537</v>
      </c>
    </row>
    <row r="8" spans="1:17" ht="15.75" thickBot="1">
      <c r="D8" s="436">
        <f>'WALTHAM FOREST'!D8</f>
        <v>48311</v>
      </c>
      <c r="E8" s="436">
        <f>'WALTHAM FOREST'!E8</f>
        <v>48295</v>
      </c>
      <c r="F8" s="436">
        <f>'WALTHAM FOREST'!F8</f>
        <v>48641</v>
      </c>
      <c r="G8" s="436">
        <f>'WALTHAM FOREST'!G8</f>
        <v>48699</v>
      </c>
      <c r="H8" s="436">
        <f>'WALTHAM FOREST'!H8</f>
        <v>49063</v>
      </c>
      <c r="I8" s="436">
        <f>'WALTHAM FOREST'!I8</f>
        <v>48518</v>
      </c>
      <c r="J8" s="436">
        <f>'WALTHAM FOREST'!J8</f>
        <v>47671</v>
      </c>
      <c r="K8" s="436">
        <f>'WALTHAM FOREST'!K8</f>
        <v>47917</v>
      </c>
      <c r="L8" s="436">
        <f>'WALTHAM FOREST'!L8</f>
        <v>48448</v>
      </c>
      <c r="M8" s="436">
        <f>'WALTHAM FOREST'!M8</f>
        <v>47849</v>
      </c>
      <c r="N8" s="436">
        <f>'WALTHAM FOREST'!N8</f>
        <v>47953</v>
      </c>
      <c r="O8" s="436">
        <f>'WALTHAM FOREST'!O8</f>
        <v>49246</v>
      </c>
      <c r="Q8" s="432" t="s">
        <v>6538</v>
      </c>
    </row>
    <row r="9" spans="1:17" ht="15.75" thickBot="1">
      <c r="D9" s="436">
        <f t="shared" ref="D9:K9" si="3">D7+D8</f>
        <v>64804</v>
      </c>
      <c r="E9" s="436">
        <f t="shared" si="3"/>
        <v>64770</v>
      </c>
      <c r="F9" s="436">
        <f t="shared" si="3"/>
        <v>65433</v>
      </c>
      <c r="G9" s="436">
        <f t="shared" si="3"/>
        <v>65485</v>
      </c>
      <c r="H9" s="436">
        <f t="shared" si="3"/>
        <v>66046</v>
      </c>
      <c r="I9" s="436">
        <f t="shared" si="3"/>
        <v>65084</v>
      </c>
      <c r="J9" s="436">
        <f t="shared" si="3"/>
        <v>63251</v>
      </c>
      <c r="K9" s="436">
        <f t="shared" si="3"/>
        <v>64091</v>
      </c>
      <c r="L9" s="436">
        <f>L7+L8</f>
        <v>65308</v>
      </c>
      <c r="M9" s="436">
        <f>M7+M8</f>
        <v>63535</v>
      </c>
      <c r="N9" s="436">
        <f>N7+N8</f>
        <v>64203</v>
      </c>
      <c r="O9" s="436">
        <f>O7+O8</f>
        <v>65731</v>
      </c>
    </row>
    <row r="10" spans="1:17">
      <c r="D10" s="199"/>
      <c r="E10" s="199"/>
      <c r="F10" s="199"/>
      <c r="G10" s="199"/>
      <c r="H10" s="199"/>
      <c r="I10" s="199"/>
      <c r="J10" s="199"/>
      <c r="K10" s="199"/>
      <c r="L10" s="199"/>
      <c r="M10" s="199"/>
      <c r="N10" s="199"/>
      <c r="O10" s="199"/>
      <c r="P10" s="76"/>
      <c r="Q10" s="76"/>
    </row>
    <row r="11" spans="1:17">
      <c r="A11" s="432" t="s">
        <v>6539</v>
      </c>
      <c r="D11" s="434">
        <f t="shared" ref="D11:L11" si="4">SUM(D27:D29,D32,D34,D37:D38,D40,D48)</f>
        <v>72281</v>
      </c>
      <c r="E11" s="434">
        <f t="shared" si="4"/>
        <v>72702</v>
      </c>
      <c r="F11" s="434">
        <f t="shared" si="4"/>
        <v>73513</v>
      </c>
      <c r="G11" s="434">
        <f t="shared" si="4"/>
        <v>73360</v>
      </c>
      <c r="H11" s="434">
        <f t="shared" si="4"/>
        <v>74271</v>
      </c>
      <c r="I11" s="434">
        <f t="shared" si="4"/>
        <v>72947</v>
      </c>
      <c r="J11" s="434">
        <f t="shared" si="4"/>
        <v>67980</v>
      </c>
      <c r="K11" s="434">
        <f t="shared" si="4"/>
        <v>71090</v>
      </c>
      <c r="L11" s="434">
        <f t="shared" si="4"/>
        <v>73538</v>
      </c>
      <c r="M11" s="434">
        <f>SUM(M27:M29,M32,M34,M37:M38,M40,M48)</f>
        <v>70159</v>
      </c>
      <c r="N11" s="434">
        <f>SUM(N27:N29,N32,N34,N37:N38,N40,N48)</f>
        <v>72027</v>
      </c>
      <c r="O11" s="434">
        <f>SUM(O27:O29,O32,O34,O37:O38,O40,O48)</f>
        <v>73037</v>
      </c>
      <c r="Q11" s="432" t="s">
        <v>6537</v>
      </c>
    </row>
    <row r="12" spans="1:17">
      <c r="D12" s="435"/>
      <c r="E12" s="435"/>
      <c r="F12" s="435"/>
      <c r="G12" s="435"/>
      <c r="H12" s="435"/>
      <c r="I12" s="435"/>
      <c r="J12" s="435"/>
      <c r="K12" s="435"/>
      <c r="L12" s="435"/>
      <c r="M12" s="435"/>
      <c r="N12" s="435"/>
      <c r="O12" s="435"/>
    </row>
    <row r="13" spans="1:17">
      <c r="A13" s="432" t="s">
        <v>6540</v>
      </c>
      <c r="D13" s="434">
        <f t="shared" ref="D13:L13" si="5">SUM(D30,D35:D36,D39,D41:D43,D45:D46,D51:D52)</f>
        <v>84599</v>
      </c>
      <c r="E13" s="434">
        <f t="shared" si="5"/>
        <v>86401</v>
      </c>
      <c r="F13" s="434">
        <f t="shared" si="5"/>
        <v>88563</v>
      </c>
      <c r="G13" s="434">
        <f t="shared" si="5"/>
        <v>88125</v>
      </c>
      <c r="H13" s="434">
        <f t="shared" si="5"/>
        <v>89668</v>
      </c>
      <c r="I13" s="434">
        <f t="shared" si="5"/>
        <v>88135</v>
      </c>
      <c r="J13" s="434">
        <f t="shared" si="5"/>
        <v>78212</v>
      </c>
      <c r="K13" s="434">
        <f t="shared" si="5"/>
        <v>82975</v>
      </c>
      <c r="L13" s="434">
        <f t="shared" si="5"/>
        <v>86396</v>
      </c>
      <c r="M13" s="434">
        <f>SUM(M30,M35:M36,M39,M41:M43,M45:M46,M51:M52)</f>
        <v>80492</v>
      </c>
      <c r="N13" s="434">
        <f>SUM(N30,N35:N36,N39,N41:N43,N45:N46,N51:N52)</f>
        <v>83398</v>
      </c>
      <c r="O13" s="434">
        <f>SUM(O30,O35:O36,O39,O41:O43,O45:O46,O51:O52)</f>
        <v>84797</v>
      </c>
      <c r="Q13" s="432" t="s">
        <v>6537</v>
      </c>
    </row>
    <row r="14" spans="1:17">
      <c r="D14" s="435"/>
      <c r="E14" s="435"/>
      <c r="F14" s="435"/>
      <c r="G14" s="435"/>
      <c r="H14" s="435"/>
      <c r="I14" s="435"/>
      <c r="J14" s="435"/>
      <c r="K14" s="435"/>
      <c r="L14" s="435"/>
      <c r="M14" s="435"/>
      <c r="N14" s="435"/>
      <c r="O14" s="435"/>
    </row>
    <row r="15" spans="1:17">
      <c r="A15" s="432" t="s">
        <v>6541</v>
      </c>
      <c r="D15" s="434">
        <f t="shared" ref="D15:L15" si="6">SUM(D49,D53,D55)</f>
        <v>17190</v>
      </c>
      <c r="E15" s="434">
        <f t="shared" si="6"/>
        <v>17348</v>
      </c>
      <c r="F15" s="434">
        <f t="shared" si="6"/>
        <v>17529</v>
      </c>
      <c r="G15" s="434">
        <f t="shared" si="6"/>
        <v>17488</v>
      </c>
      <c r="H15" s="434">
        <f t="shared" si="6"/>
        <v>17693</v>
      </c>
      <c r="I15" s="434">
        <f t="shared" si="6"/>
        <v>17166</v>
      </c>
      <c r="J15" s="434">
        <f t="shared" si="6"/>
        <v>16248</v>
      </c>
      <c r="K15" s="434">
        <f t="shared" si="6"/>
        <v>17184</v>
      </c>
      <c r="L15" s="434">
        <f t="shared" si="6"/>
        <v>17827</v>
      </c>
      <c r="M15" s="434">
        <f>SUM(M49,M53,M55)</f>
        <v>16481</v>
      </c>
      <c r="N15" s="434">
        <f>SUM(N49,N53,N55)</f>
        <v>17197</v>
      </c>
      <c r="O15" s="434">
        <f>SUM(O49,O53,O55)</f>
        <v>17404</v>
      </c>
      <c r="Q15" s="432" t="s">
        <v>6537</v>
      </c>
    </row>
    <row r="16" spans="1:17" ht="15.75" thickBot="1">
      <c r="D16" s="436">
        <f>'WALTHAM FOREST'!D12</f>
        <v>44912</v>
      </c>
      <c r="E16" s="436">
        <f>'WALTHAM FOREST'!E12</f>
        <v>45673</v>
      </c>
      <c r="F16" s="436">
        <f>'WALTHAM FOREST'!F12</f>
        <v>45901</v>
      </c>
      <c r="G16" s="436">
        <f>'WALTHAM FOREST'!G12</f>
        <v>45866</v>
      </c>
      <c r="H16" s="436">
        <f>'WALTHAM FOREST'!H12</f>
        <v>45783</v>
      </c>
      <c r="I16" s="436">
        <f>'WALTHAM FOREST'!I12</f>
        <v>43969</v>
      </c>
      <c r="J16" s="436">
        <f>'WALTHAM FOREST'!J12</f>
        <v>43902</v>
      </c>
      <c r="K16" s="436">
        <f>'WALTHAM FOREST'!K12</f>
        <v>45012</v>
      </c>
      <c r="L16" s="436">
        <f>'WALTHAM FOREST'!L12</f>
        <v>45875</v>
      </c>
      <c r="M16" s="436">
        <f>'WALTHAM FOREST'!M12</f>
        <v>44894</v>
      </c>
      <c r="N16" s="436">
        <f>'WALTHAM FOREST'!N12</f>
        <v>45428</v>
      </c>
      <c r="O16" s="436">
        <f>'WALTHAM FOREST'!O12</f>
        <v>47678</v>
      </c>
      <c r="Q16" s="432" t="s">
        <v>6538</v>
      </c>
    </row>
    <row r="17" spans="1:17" ht="15.75" thickBot="1">
      <c r="D17" s="436">
        <f t="shared" ref="D17:K17" si="7">D15+D16</f>
        <v>62102</v>
      </c>
      <c r="E17" s="436">
        <f t="shared" si="7"/>
        <v>63021</v>
      </c>
      <c r="F17" s="436">
        <f t="shared" si="7"/>
        <v>63430</v>
      </c>
      <c r="G17" s="436">
        <f t="shared" si="7"/>
        <v>63354</v>
      </c>
      <c r="H17" s="436">
        <f t="shared" si="7"/>
        <v>63476</v>
      </c>
      <c r="I17" s="436">
        <f t="shared" si="7"/>
        <v>61135</v>
      </c>
      <c r="J17" s="436">
        <f t="shared" si="7"/>
        <v>60150</v>
      </c>
      <c r="K17" s="436">
        <f t="shared" si="7"/>
        <v>62196</v>
      </c>
      <c r="L17" s="436">
        <f>L15+L16</f>
        <v>63702</v>
      </c>
      <c r="M17" s="436">
        <f>M15+M16</f>
        <v>61375</v>
      </c>
      <c r="N17" s="436">
        <f>N15+N16</f>
        <v>62625</v>
      </c>
      <c r="O17" s="436">
        <f>O15+O16</f>
        <v>65082</v>
      </c>
    </row>
    <row r="18" spans="1:17">
      <c r="D18" s="435"/>
      <c r="E18" s="435"/>
      <c r="F18" s="435"/>
      <c r="G18" s="435"/>
      <c r="H18" s="435"/>
      <c r="I18" s="435"/>
      <c r="J18" s="435"/>
      <c r="K18" s="435"/>
      <c r="L18" s="435"/>
      <c r="M18" s="435"/>
      <c r="N18" s="435"/>
      <c r="O18" s="435"/>
    </row>
    <row r="19" spans="1:17">
      <c r="A19" s="432" t="s">
        <v>6542</v>
      </c>
      <c r="D19" s="434">
        <f>'WALTHAM FOREST'!D15</f>
        <v>64293</v>
      </c>
      <c r="E19" s="434">
        <f>'WALTHAM FOREST'!E15</f>
        <v>64482</v>
      </c>
      <c r="F19" s="434">
        <f>'WALTHAM FOREST'!F15</f>
        <v>65096</v>
      </c>
      <c r="G19" s="434">
        <f>'WALTHAM FOREST'!G15</f>
        <v>65195</v>
      </c>
      <c r="H19" s="434">
        <f>'WALTHAM FOREST'!H15</f>
        <v>65724</v>
      </c>
      <c r="I19" s="434">
        <f>'WALTHAM FOREST'!I15</f>
        <v>64403</v>
      </c>
      <c r="J19" s="434">
        <f>'WALTHAM FOREST'!J15</f>
        <v>63959</v>
      </c>
      <c r="K19" s="434">
        <f>'WALTHAM FOREST'!K15</f>
        <v>65095</v>
      </c>
      <c r="L19" s="434">
        <f>'WALTHAM FOREST'!L15</f>
        <v>66553</v>
      </c>
      <c r="M19" s="434">
        <f>'WALTHAM FOREST'!M15</f>
        <v>65935</v>
      </c>
      <c r="N19" s="434">
        <f>'WALTHAM FOREST'!N15</f>
        <v>67450</v>
      </c>
      <c r="O19" s="434">
        <f>'WALTHAM FOREST'!O15</f>
        <v>70867</v>
      </c>
      <c r="Q19" s="432" t="s">
        <v>6538</v>
      </c>
    </row>
    <row r="20" spans="1:17" s="76" customFormat="1">
      <c r="D20" s="199"/>
      <c r="E20" s="199"/>
      <c r="F20" s="199"/>
      <c r="G20" s="199"/>
      <c r="H20" s="199"/>
      <c r="I20" s="199"/>
      <c r="J20" s="199"/>
      <c r="K20" s="199"/>
      <c r="L20" s="199"/>
      <c r="M20" s="199"/>
      <c r="N20" s="199"/>
      <c r="O20" s="199"/>
    </row>
    <row r="21" spans="1:17">
      <c r="A21" s="432" t="s">
        <v>6796</v>
      </c>
      <c r="D21" s="434">
        <f t="shared" ref="D21:K21" si="8">D7+D11+D13+D15</f>
        <v>190563</v>
      </c>
      <c r="E21" s="434">
        <f t="shared" si="8"/>
        <v>192926</v>
      </c>
      <c r="F21" s="434">
        <f t="shared" si="8"/>
        <v>196397</v>
      </c>
      <c r="G21" s="434">
        <f t="shared" si="8"/>
        <v>195759</v>
      </c>
      <c r="H21" s="434">
        <f t="shared" si="8"/>
        <v>198615</v>
      </c>
      <c r="I21" s="434">
        <f t="shared" si="8"/>
        <v>194814</v>
      </c>
      <c r="J21" s="434">
        <f t="shared" si="8"/>
        <v>178020</v>
      </c>
      <c r="K21" s="434">
        <f t="shared" si="8"/>
        <v>187423</v>
      </c>
      <c r="L21" s="434">
        <f>L7+L11+L13+L15</f>
        <v>194621</v>
      </c>
      <c r="M21" s="434">
        <f>M7+M11+M13+M15</f>
        <v>182818</v>
      </c>
      <c r="N21" s="434">
        <f>N7+N11+N13+N15</f>
        <v>188872</v>
      </c>
      <c r="O21" s="434">
        <f>O7+O11+O13+O15</f>
        <v>191723</v>
      </c>
    </row>
    <row r="22" spans="1:17">
      <c r="D22" s="435"/>
      <c r="E22" s="435"/>
      <c r="F22" s="435"/>
      <c r="G22" s="435"/>
      <c r="H22" s="435"/>
      <c r="I22" s="435"/>
      <c r="J22" s="435"/>
      <c r="K22" s="435"/>
      <c r="L22" s="435"/>
      <c r="M22" s="435"/>
      <c r="N22" s="435"/>
      <c r="O22" s="435"/>
    </row>
    <row r="23" spans="1:17">
      <c r="A23" s="432" t="s">
        <v>6797</v>
      </c>
      <c r="D23" s="434">
        <f t="shared" ref="D23:K23" si="9">MAXA(D9,D11,D13,D17,D19)-MINA(D9,D11,D13,D17,D19)</f>
        <v>22497</v>
      </c>
      <c r="E23" s="434">
        <f t="shared" si="9"/>
        <v>23380</v>
      </c>
      <c r="F23" s="434">
        <f t="shared" si="9"/>
        <v>25133</v>
      </c>
      <c r="G23" s="434">
        <f t="shared" si="9"/>
        <v>24771</v>
      </c>
      <c r="H23" s="434">
        <f t="shared" si="9"/>
        <v>26192</v>
      </c>
      <c r="I23" s="434">
        <f t="shared" si="9"/>
        <v>27000</v>
      </c>
      <c r="J23" s="434">
        <f t="shared" si="9"/>
        <v>18062</v>
      </c>
      <c r="K23" s="434">
        <f t="shared" si="9"/>
        <v>20779</v>
      </c>
      <c r="L23" s="434">
        <f>MAXA(L9,L11,L13,L17,L19)-MINA(L9,L11,L13,L17,L19)</f>
        <v>22694</v>
      </c>
      <c r="M23" s="434">
        <f>MAXA(M9,M11,M13,M17,M19)-MINA(M9,M11,M13,M17,M19)</f>
        <v>19117</v>
      </c>
      <c r="N23" s="434">
        <f>MAXA(N9,N11,N13,N17,N19)-MINA(N9,N11,N13,N17,N19)</f>
        <v>20773</v>
      </c>
      <c r="O23" s="434">
        <f>MAXA(O9,O11,O13,O17,O19)-MINA(O9,O11,O13,O17,O19)</f>
        <v>19715</v>
      </c>
    </row>
    <row r="24" spans="1:17">
      <c r="D24" s="435"/>
      <c r="E24" s="435"/>
      <c r="F24" s="435"/>
      <c r="G24" s="435"/>
      <c r="H24" s="435"/>
      <c r="I24" s="435"/>
      <c r="J24" s="435"/>
      <c r="K24" s="435"/>
      <c r="L24" s="435"/>
      <c r="M24" s="435"/>
      <c r="N24" s="435"/>
      <c r="O24" s="435"/>
    </row>
    <row r="25" spans="1:17">
      <c r="A25" s="432" t="s">
        <v>6800</v>
      </c>
      <c r="D25" s="434">
        <f t="shared" ref="D25:K25" si="10">STDEVP(D9,D11,D13,D17,D19)</f>
        <v>8240.6599590081369</v>
      </c>
      <c r="E25" s="434">
        <f t="shared" si="10"/>
        <v>8745.5428053380419</v>
      </c>
      <c r="F25" s="434">
        <f t="shared" si="10"/>
        <v>9356.4255781788797</v>
      </c>
      <c r="G25" s="434">
        <f t="shared" si="10"/>
        <v>9179.9337557522722</v>
      </c>
      <c r="H25" s="434">
        <f t="shared" si="10"/>
        <v>9640.328708088744</v>
      </c>
      <c r="I25" s="434">
        <f t="shared" si="10"/>
        <v>9706.327841155995</v>
      </c>
      <c r="J25" s="434">
        <f t="shared" si="10"/>
        <v>6268.5753596810173</v>
      </c>
      <c r="K25" s="434">
        <f t="shared" si="10"/>
        <v>7553.4162496184463</v>
      </c>
      <c r="L25" s="434">
        <f>STDEVP(L9,L11,L13,L17,L19)</f>
        <v>8353.0154459332825</v>
      </c>
      <c r="M25" s="434">
        <f>STDEVP(M9,M11,M13,M17,M19)</f>
        <v>6758.0295471387217</v>
      </c>
      <c r="N25" s="434">
        <f>STDEVP(N9,N11,N13,N17,N19)</f>
        <v>7457.8257582220303</v>
      </c>
      <c r="O25" s="434">
        <f>STDEVP(O9,O11,O13,O17,O19)</f>
        <v>7116.6581033516004</v>
      </c>
    </row>
    <row r="26" spans="1:17">
      <c r="D26" s="435"/>
      <c r="E26" s="435"/>
      <c r="F26" s="435"/>
      <c r="G26" s="435"/>
      <c r="H26" s="435"/>
      <c r="I26" s="435"/>
      <c r="J26" s="435"/>
      <c r="K26" s="435"/>
      <c r="L26" s="435"/>
      <c r="M26" s="435"/>
      <c r="N26" s="435"/>
      <c r="O26" s="435"/>
    </row>
    <row r="27" spans="1:17">
      <c r="A27" s="432" t="s">
        <v>5387</v>
      </c>
      <c r="B27" s="55" t="s">
        <v>6543</v>
      </c>
      <c r="C27" s="131" t="s">
        <v>14659</v>
      </c>
      <c r="D27" s="437">
        <v>72281</v>
      </c>
      <c r="E27" s="437">
        <v>72702</v>
      </c>
      <c r="F27" s="437">
        <v>73513</v>
      </c>
      <c r="G27" s="437">
        <v>73360</v>
      </c>
      <c r="H27" s="437">
        <v>74271</v>
      </c>
      <c r="I27" s="437">
        <v>72947</v>
      </c>
      <c r="J27" s="437">
        <v>67980</v>
      </c>
      <c r="K27" s="437">
        <v>71090</v>
      </c>
      <c r="L27" s="437">
        <v>73538</v>
      </c>
      <c r="M27" s="63">
        <v>8780</v>
      </c>
      <c r="N27" s="63">
        <v>9029</v>
      </c>
      <c r="O27" s="63">
        <v>9204</v>
      </c>
      <c r="Q27" s="432" t="s">
        <v>6539</v>
      </c>
    </row>
    <row r="28" spans="1:17">
      <c r="A28" s="432" t="s">
        <v>5389</v>
      </c>
      <c r="B28" s="55" t="s">
        <v>6544</v>
      </c>
      <c r="C28" s="131" t="s">
        <v>14660</v>
      </c>
      <c r="D28" s="437">
        <v>0</v>
      </c>
      <c r="E28" s="437">
        <v>0</v>
      </c>
      <c r="F28" s="437">
        <v>0</v>
      </c>
      <c r="G28" s="437">
        <v>0</v>
      </c>
      <c r="H28" s="437">
        <v>0</v>
      </c>
      <c r="I28" s="437">
        <v>0</v>
      </c>
      <c r="J28" s="437">
        <v>0</v>
      </c>
      <c r="K28" s="437">
        <v>0</v>
      </c>
      <c r="L28" s="437">
        <v>0</v>
      </c>
      <c r="M28" s="63">
        <v>9341</v>
      </c>
      <c r="N28" s="63">
        <v>9604</v>
      </c>
      <c r="O28" s="63">
        <v>9747</v>
      </c>
      <c r="Q28" s="432" t="s">
        <v>6539</v>
      </c>
    </row>
    <row r="29" spans="1:17">
      <c r="A29" s="432" t="s">
        <v>5391</v>
      </c>
      <c r="B29" s="55" t="s">
        <v>1974</v>
      </c>
      <c r="C29" s="131" t="s">
        <v>14661</v>
      </c>
      <c r="D29" s="437">
        <v>0</v>
      </c>
      <c r="E29" s="437">
        <v>0</v>
      </c>
      <c r="F29" s="437">
        <v>0</v>
      </c>
      <c r="G29" s="437">
        <v>0</v>
      </c>
      <c r="H29" s="437">
        <v>0</v>
      </c>
      <c r="I29" s="437">
        <v>0</v>
      </c>
      <c r="J29" s="437">
        <v>0</v>
      </c>
      <c r="K29" s="437">
        <v>0</v>
      </c>
      <c r="L29" s="437">
        <v>0</v>
      </c>
      <c r="M29" s="63">
        <v>8706</v>
      </c>
      <c r="N29" s="63">
        <v>8930</v>
      </c>
      <c r="O29" s="63">
        <v>9002</v>
      </c>
      <c r="Q29" s="432" t="s">
        <v>6539</v>
      </c>
    </row>
    <row r="30" spans="1:17">
      <c r="A30" s="432" t="s">
        <v>5393</v>
      </c>
      <c r="B30" s="55" t="s">
        <v>6545</v>
      </c>
      <c r="C30" s="131" t="s">
        <v>14662</v>
      </c>
      <c r="D30" s="437">
        <v>84599</v>
      </c>
      <c r="E30" s="437">
        <v>86401</v>
      </c>
      <c r="F30" s="437">
        <v>88563</v>
      </c>
      <c r="G30" s="437">
        <v>88125</v>
      </c>
      <c r="H30" s="437">
        <v>89668</v>
      </c>
      <c r="I30" s="437">
        <v>88135</v>
      </c>
      <c r="J30" s="437">
        <v>78212</v>
      </c>
      <c r="K30" s="437">
        <v>82975</v>
      </c>
      <c r="L30" s="437">
        <v>86396</v>
      </c>
      <c r="M30" s="63">
        <v>9585</v>
      </c>
      <c r="N30" s="63">
        <v>9879</v>
      </c>
      <c r="O30" s="63">
        <v>10093</v>
      </c>
      <c r="Q30" s="432" t="s">
        <v>6540</v>
      </c>
    </row>
    <row r="31" spans="1:17">
      <c r="A31" s="432" t="s">
        <v>5394</v>
      </c>
      <c r="B31" s="55" t="s">
        <v>12433</v>
      </c>
      <c r="C31" s="131" t="s">
        <v>14663</v>
      </c>
      <c r="D31" s="437">
        <v>0</v>
      </c>
      <c r="E31" s="437">
        <v>0</v>
      </c>
      <c r="F31" s="437">
        <v>0</v>
      </c>
      <c r="G31" s="437">
        <v>0</v>
      </c>
      <c r="H31" s="437">
        <v>0</v>
      </c>
      <c r="I31" s="437">
        <v>0</v>
      </c>
      <c r="J31" s="437">
        <v>0</v>
      </c>
      <c r="K31" s="437">
        <v>0</v>
      </c>
      <c r="L31" s="437">
        <v>0</v>
      </c>
      <c r="M31" s="63">
        <v>6652</v>
      </c>
      <c r="N31" s="63">
        <v>6962</v>
      </c>
      <c r="O31" s="63">
        <v>7039</v>
      </c>
      <c r="Q31" s="432" t="s">
        <v>6546</v>
      </c>
    </row>
    <row r="32" spans="1:17" ht="15.75" thickBot="1">
      <c r="B32" s="55"/>
      <c r="C32" s="131" t="s">
        <v>14663</v>
      </c>
      <c r="D32" s="437">
        <v>0</v>
      </c>
      <c r="E32" s="437">
        <v>0</v>
      </c>
      <c r="F32" s="437">
        <v>0</v>
      </c>
      <c r="G32" s="437">
        <v>0</v>
      </c>
      <c r="H32" s="437">
        <v>0</v>
      </c>
      <c r="I32" s="437">
        <v>0</v>
      </c>
      <c r="J32" s="437">
        <v>0</v>
      </c>
      <c r="K32" s="437">
        <v>0</v>
      </c>
      <c r="L32" s="437">
        <v>0</v>
      </c>
      <c r="M32" s="63">
        <v>3145</v>
      </c>
      <c r="N32" s="63">
        <v>3254</v>
      </c>
      <c r="O32" s="63">
        <v>3304</v>
      </c>
      <c r="Q32" s="432" t="s">
        <v>6539</v>
      </c>
    </row>
    <row r="33" spans="1:17" ht="15.75" thickBot="1">
      <c r="C33" s="131" t="s">
        <v>14663</v>
      </c>
      <c r="D33" s="438">
        <f t="shared" ref="D33:M33" si="11">D31+D32</f>
        <v>0</v>
      </c>
      <c r="E33" s="438">
        <f t="shared" si="11"/>
        <v>0</v>
      </c>
      <c r="F33" s="438">
        <f t="shared" si="11"/>
        <v>0</v>
      </c>
      <c r="G33" s="438">
        <f t="shared" si="11"/>
        <v>0</v>
      </c>
      <c r="H33" s="438">
        <f t="shared" si="11"/>
        <v>0</v>
      </c>
      <c r="I33" s="438">
        <f t="shared" si="11"/>
        <v>0</v>
      </c>
      <c r="J33" s="438">
        <f t="shared" si="11"/>
        <v>0</v>
      </c>
      <c r="K33" s="438">
        <f t="shared" si="11"/>
        <v>0</v>
      </c>
      <c r="L33" s="438">
        <f t="shared" si="11"/>
        <v>0</v>
      </c>
      <c r="M33" s="438">
        <f t="shared" si="11"/>
        <v>9797</v>
      </c>
      <c r="N33" s="438">
        <f>N31+N32</f>
        <v>10216</v>
      </c>
      <c r="O33" s="438">
        <f>O31+O32</f>
        <v>10343</v>
      </c>
    </row>
    <row r="34" spans="1:17">
      <c r="A34" s="432" t="s">
        <v>5416</v>
      </c>
      <c r="B34" s="55" t="s">
        <v>6547</v>
      </c>
      <c r="C34" s="131" t="s">
        <v>14664</v>
      </c>
      <c r="D34" s="437">
        <v>0</v>
      </c>
      <c r="E34" s="437">
        <v>0</v>
      </c>
      <c r="F34" s="437">
        <v>0</v>
      </c>
      <c r="G34" s="437">
        <v>0</v>
      </c>
      <c r="H34" s="437">
        <v>0</v>
      </c>
      <c r="I34" s="437">
        <v>0</v>
      </c>
      <c r="J34" s="437">
        <v>0</v>
      </c>
      <c r="K34" s="437">
        <v>0</v>
      </c>
      <c r="L34" s="437">
        <v>0</v>
      </c>
      <c r="M34" s="63">
        <v>9291</v>
      </c>
      <c r="N34" s="63">
        <v>9530</v>
      </c>
      <c r="O34" s="63">
        <v>9578</v>
      </c>
      <c r="Q34" s="432" t="s">
        <v>6539</v>
      </c>
    </row>
    <row r="35" spans="1:17">
      <c r="A35" s="432" t="s">
        <v>5418</v>
      </c>
      <c r="B35" s="55" t="s">
        <v>6548</v>
      </c>
      <c r="C35" s="131" t="s">
        <v>14665</v>
      </c>
      <c r="D35" s="437">
        <v>0</v>
      </c>
      <c r="E35" s="437">
        <v>0</v>
      </c>
      <c r="F35" s="437">
        <v>0</v>
      </c>
      <c r="G35" s="437">
        <v>0</v>
      </c>
      <c r="H35" s="437">
        <v>0</v>
      </c>
      <c r="I35" s="437">
        <v>0</v>
      </c>
      <c r="J35" s="437">
        <v>0</v>
      </c>
      <c r="K35" s="437">
        <v>0</v>
      </c>
      <c r="L35" s="437">
        <v>0</v>
      </c>
      <c r="M35" s="63">
        <v>7621</v>
      </c>
      <c r="N35" s="63">
        <v>7856</v>
      </c>
      <c r="O35" s="63">
        <v>7913</v>
      </c>
      <c r="Q35" s="432" t="s">
        <v>6540</v>
      </c>
    </row>
    <row r="36" spans="1:17">
      <c r="A36" s="432" t="s">
        <v>5420</v>
      </c>
      <c r="B36" s="55" t="s">
        <v>6549</v>
      </c>
      <c r="C36" s="131" t="s">
        <v>14666</v>
      </c>
      <c r="D36" s="437">
        <v>0</v>
      </c>
      <c r="E36" s="437">
        <v>0</v>
      </c>
      <c r="F36" s="437">
        <v>0</v>
      </c>
      <c r="G36" s="437">
        <v>0</v>
      </c>
      <c r="H36" s="437">
        <v>0</v>
      </c>
      <c r="I36" s="437">
        <v>0</v>
      </c>
      <c r="J36" s="437">
        <v>0</v>
      </c>
      <c r="K36" s="437">
        <v>0</v>
      </c>
      <c r="L36" s="437">
        <v>0</v>
      </c>
      <c r="M36" s="63">
        <v>8333</v>
      </c>
      <c r="N36" s="63">
        <v>8620</v>
      </c>
      <c r="O36" s="63">
        <v>8686</v>
      </c>
      <c r="Q36" s="432" t="s">
        <v>6540</v>
      </c>
    </row>
    <row r="37" spans="1:17">
      <c r="A37" s="432" t="s">
        <v>5422</v>
      </c>
      <c r="B37" s="55" t="s">
        <v>6550</v>
      </c>
      <c r="C37" s="131" t="s">
        <v>14667</v>
      </c>
      <c r="D37" s="437">
        <v>0</v>
      </c>
      <c r="E37" s="437">
        <v>0</v>
      </c>
      <c r="F37" s="437">
        <v>0</v>
      </c>
      <c r="G37" s="437">
        <v>0</v>
      </c>
      <c r="H37" s="437">
        <v>0</v>
      </c>
      <c r="I37" s="437">
        <v>0</v>
      </c>
      <c r="J37" s="437">
        <v>0</v>
      </c>
      <c r="K37" s="437">
        <v>0</v>
      </c>
      <c r="L37" s="437">
        <v>0</v>
      </c>
      <c r="M37" s="63">
        <v>8548</v>
      </c>
      <c r="N37" s="63">
        <v>8679</v>
      </c>
      <c r="O37" s="63">
        <v>8833</v>
      </c>
      <c r="Q37" s="432" t="s">
        <v>6539</v>
      </c>
    </row>
    <row r="38" spans="1:17">
      <c r="A38" s="432" t="s">
        <v>5424</v>
      </c>
      <c r="B38" s="55" t="s">
        <v>6551</v>
      </c>
      <c r="C38" s="131" t="s">
        <v>14668</v>
      </c>
      <c r="D38" s="437">
        <v>0</v>
      </c>
      <c r="E38" s="437">
        <v>0</v>
      </c>
      <c r="F38" s="437">
        <v>0</v>
      </c>
      <c r="G38" s="437">
        <v>0</v>
      </c>
      <c r="H38" s="437">
        <v>0</v>
      </c>
      <c r="I38" s="437">
        <v>0</v>
      </c>
      <c r="J38" s="437">
        <v>0</v>
      </c>
      <c r="K38" s="437">
        <v>0</v>
      </c>
      <c r="L38" s="437">
        <v>0</v>
      </c>
      <c r="M38" s="63">
        <v>10061</v>
      </c>
      <c r="N38" s="63">
        <v>10338</v>
      </c>
      <c r="O38" s="63">
        <v>10506</v>
      </c>
      <c r="Q38" s="432" t="s">
        <v>6539</v>
      </c>
    </row>
    <row r="39" spans="1:17">
      <c r="A39" s="432" t="s">
        <v>5426</v>
      </c>
      <c r="B39" s="55" t="s">
        <v>5079</v>
      </c>
      <c r="C39" s="131" t="s">
        <v>14669</v>
      </c>
      <c r="D39" s="437">
        <v>0</v>
      </c>
      <c r="E39" s="437">
        <v>0</v>
      </c>
      <c r="F39" s="437">
        <v>0</v>
      </c>
      <c r="G39" s="437">
        <v>0</v>
      </c>
      <c r="H39" s="437">
        <v>0</v>
      </c>
      <c r="I39" s="437">
        <v>0</v>
      </c>
      <c r="J39" s="437">
        <v>0</v>
      </c>
      <c r="K39" s="437">
        <v>0</v>
      </c>
      <c r="L39" s="437">
        <v>0</v>
      </c>
      <c r="M39" s="63">
        <v>8409</v>
      </c>
      <c r="N39" s="63">
        <v>8585</v>
      </c>
      <c r="O39" s="63">
        <v>8739</v>
      </c>
      <c r="Q39" s="432" t="s">
        <v>6540</v>
      </c>
    </row>
    <row r="40" spans="1:17">
      <c r="A40" s="432" t="s">
        <v>5428</v>
      </c>
      <c r="B40" s="55" t="s">
        <v>5080</v>
      </c>
      <c r="C40" s="131" t="s">
        <v>14670</v>
      </c>
      <c r="D40" s="437">
        <v>0</v>
      </c>
      <c r="E40" s="437">
        <v>0</v>
      </c>
      <c r="F40" s="437">
        <v>0</v>
      </c>
      <c r="G40" s="437">
        <v>0</v>
      </c>
      <c r="H40" s="437">
        <v>0</v>
      </c>
      <c r="I40" s="437">
        <v>0</v>
      </c>
      <c r="J40" s="437">
        <v>0</v>
      </c>
      <c r="K40" s="437">
        <v>0</v>
      </c>
      <c r="L40" s="437">
        <v>0</v>
      </c>
      <c r="M40" s="63">
        <v>8672</v>
      </c>
      <c r="N40" s="63">
        <v>9028</v>
      </c>
      <c r="O40" s="63">
        <v>9181</v>
      </c>
      <c r="Q40" s="432" t="s">
        <v>6539</v>
      </c>
    </row>
    <row r="41" spans="1:17">
      <c r="A41" s="432" t="s">
        <v>5429</v>
      </c>
      <c r="B41" s="55" t="s">
        <v>12435</v>
      </c>
      <c r="C41" s="131" t="s">
        <v>14671</v>
      </c>
      <c r="D41" s="437">
        <v>0</v>
      </c>
      <c r="E41" s="437">
        <v>0</v>
      </c>
      <c r="F41" s="437">
        <v>0</v>
      </c>
      <c r="G41" s="437">
        <v>0</v>
      </c>
      <c r="H41" s="437">
        <v>0</v>
      </c>
      <c r="I41" s="437">
        <v>0</v>
      </c>
      <c r="J41" s="437">
        <v>0</v>
      </c>
      <c r="K41" s="437">
        <v>0</v>
      </c>
      <c r="L41" s="437">
        <v>0</v>
      </c>
      <c r="M41" s="63">
        <v>4792</v>
      </c>
      <c r="N41" s="63">
        <v>5358</v>
      </c>
      <c r="O41" s="63">
        <v>5565</v>
      </c>
      <c r="Q41" s="432" t="s">
        <v>6540</v>
      </c>
    </row>
    <row r="42" spans="1:17">
      <c r="A42" s="432" t="s">
        <v>5431</v>
      </c>
      <c r="B42" s="55" t="s">
        <v>5081</v>
      </c>
      <c r="C42" s="131" t="s">
        <v>14672</v>
      </c>
      <c r="D42" s="437">
        <v>0</v>
      </c>
      <c r="E42" s="437">
        <v>0</v>
      </c>
      <c r="F42" s="437">
        <v>0</v>
      </c>
      <c r="G42" s="437">
        <v>0</v>
      </c>
      <c r="H42" s="437">
        <v>0</v>
      </c>
      <c r="I42" s="437">
        <v>0</v>
      </c>
      <c r="J42" s="437">
        <v>0</v>
      </c>
      <c r="K42" s="437">
        <v>0</v>
      </c>
      <c r="L42" s="437">
        <v>0</v>
      </c>
      <c r="M42" s="63">
        <v>7363</v>
      </c>
      <c r="N42" s="63">
        <v>7739</v>
      </c>
      <c r="O42" s="63">
        <v>7867</v>
      </c>
      <c r="Q42" s="432" t="s">
        <v>6540</v>
      </c>
    </row>
    <row r="43" spans="1:17">
      <c r="A43" s="432" t="s">
        <v>5433</v>
      </c>
      <c r="B43" s="55" t="s">
        <v>5234</v>
      </c>
      <c r="C43" s="131" t="s">
        <v>14673</v>
      </c>
      <c r="D43" s="437">
        <v>0</v>
      </c>
      <c r="E43" s="437">
        <v>0</v>
      </c>
      <c r="F43" s="437">
        <v>0</v>
      </c>
      <c r="G43" s="437">
        <v>0</v>
      </c>
      <c r="H43" s="437">
        <v>0</v>
      </c>
      <c r="I43" s="437">
        <v>0</v>
      </c>
      <c r="J43" s="437">
        <v>0</v>
      </c>
      <c r="K43" s="437">
        <v>0</v>
      </c>
      <c r="L43" s="437">
        <v>0</v>
      </c>
      <c r="M43" s="63">
        <v>9099</v>
      </c>
      <c r="N43" s="63">
        <v>9216</v>
      </c>
      <c r="O43" s="63">
        <v>9412</v>
      </c>
      <c r="Q43" s="432" t="s">
        <v>6540</v>
      </c>
    </row>
    <row r="44" spans="1:17">
      <c r="A44" s="432" t="s">
        <v>5435</v>
      </c>
      <c r="B44" s="55" t="s">
        <v>5082</v>
      </c>
      <c r="C44" s="131" t="s">
        <v>14674</v>
      </c>
      <c r="D44" s="437">
        <v>16493</v>
      </c>
      <c r="E44" s="437">
        <v>16475</v>
      </c>
      <c r="F44" s="437">
        <v>16792</v>
      </c>
      <c r="G44" s="437">
        <v>16786</v>
      </c>
      <c r="H44" s="437">
        <v>16983</v>
      </c>
      <c r="I44" s="437">
        <v>16566</v>
      </c>
      <c r="J44" s="437">
        <v>15580</v>
      </c>
      <c r="K44" s="437">
        <v>16174</v>
      </c>
      <c r="L44" s="437">
        <v>16860</v>
      </c>
      <c r="M44" s="63">
        <v>6832</v>
      </c>
      <c r="N44" s="63">
        <v>6993</v>
      </c>
      <c r="O44" s="63">
        <v>7086</v>
      </c>
      <c r="Q44" s="432" t="s">
        <v>6546</v>
      </c>
    </row>
    <row r="45" spans="1:17">
      <c r="A45" s="432" t="s">
        <v>5436</v>
      </c>
      <c r="B45" s="55" t="s">
        <v>5083</v>
      </c>
      <c r="C45" s="131" t="s">
        <v>14675</v>
      </c>
      <c r="D45" s="437">
        <v>0</v>
      </c>
      <c r="E45" s="437">
        <v>0</v>
      </c>
      <c r="F45" s="437">
        <v>0</v>
      </c>
      <c r="G45" s="437">
        <v>0</v>
      </c>
      <c r="H45" s="437">
        <v>0</v>
      </c>
      <c r="I45" s="437">
        <v>0</v>
      </c>
      <c r="J45" s="437">
        <v>0</v>
      </c>
      <c r="K45" s="437">
        <v>0</v>
      </c>
      <c r="L45" s="437">
        <v>0</v>
      </c>
      <c r="M45" s="63">
        <v>8304</v>
      </c>
      <c r="N45" s="63">
        <v>8512</v>
      </c>
      <c r="O45" s="63">
        <v>8651</v>
      </c>
      <c r="Q45" s="432" t="s">
        <v>6540</v>
      </c>
    </row>
    <row r="46" spans="1:17">
      <c r="A46" s="432" t="s">
        <v>5437</v>
      </c>
      <c r="B46" s="55" t="s">
        <v>5084</v>
      </c>
      <c r="C46" s="131" t="s">
        <v>14676</v>
      </c>
      <c r="D46" s="437">
        <v>0</v>
      </c>
      <c r="E46" s="437">
        <v>0</v>
      </c>
      <c r="F46" s="437">
        <v>0</v>
      </c>
      <c r="G46" s="437">
        <v>0</v>
      </c>
      <c r="H46" s="437">
        <v>0</v>
      </c>
      <c r="I46" s="437">
        <v>0</v>
      </c>
      <c r="J46" s="437">
        <v>0</v>
      </c>
      <c r="K46" s="437">
        <v>0</v>
      </c>
      <c r="L46" s="437">
        <v>0</v>
      </c>
      <c r="M46" s="63">
        <v>8357</v>
      </c>
      <c r="N46" s="63">
        <v>8661</v>
      </c>
      <c r="O46" s="63">
        <v>8716</v>
      </c>
      <c r="Q46" s="432" t="s">
        <v>6540</v>
      </c>
    </row>
    <row r="47" spans="1:17">
      <c r="A47" s="432" t="s">
        <v>5439</v>
      </c>
      <c r="B47" s="55" t="s">
        <v>12434</v>
      </c>
      <c r="C47" s="131" t="s">
        <v>14677</v>
      </c>
      <c r="D47" s="437">
        <v>0</v>
      </c>
      <c r="E47" s="437">
        <v>0</v>
      </c>
      <c r="F47" s="437">
        <v>0</v>
      </c>
      <c r="G47" s="437">
        <v>0</v>
      </c>
      <c r="H47" s="437">
        <v>0</v>
      </c>
      <c r="I47" s="437">
        <v>0</v>
      </c>
      <c r="J47" s="437">
        <v>0</v>
      </c>
      <c r="K47" s="437">
        <v>0</v>
      </c>
      <c r="L47" s="437">
        <v>0</v>
      </c>
      <c r="M47" s="63">
        <v>2202</v>
      </c>
      <c r="N47" s="63">
        <v>2295</v>
      </c>
      <c r="O47" s="63">
        <v>2360</v>
      </c>
      <c r="Q47" s="432" t="s">
        <v>6546</v>
      </c>
    </row>
    <row r="48" spans="1:17">
      <c r="B48" s="55"/>
      <c r="C48" s="131" t="s">
        <v>14677</v>
      </c>
      <c r="D48" s="437">
        <v>0</v>
      </c>
      <c r="E48" s="437">
        <v>0</v>
      </c>
      <c r="F48" s="437">
        <v>0</v>
      </c>
      <c r="G48" s="437">
        <v>0</v>
      </c>
      <c r="H48" s="437">
        <v>0</v>
      </c>
      <c r="I48" s="437">
        <v>0</v>
      </c>
      <c r="J48" s="437">
        <v>0</v>
      </c>
      <c r="K48" s="437">
        <v>0</v>
      </c>
      <c r="L48" s="437">
        <v>0</v>
      </c>
      <c r="M48" s="63">
        <v>3615</v>
      </c>
      <c r="N48" s="63">
        <v>3635</v>
      </c>
      <c r="O48" s="63">
        <v>3682</v>
      </c>
      <c r="Q48" s="432" t="s">
        <v>6539</v>
      </c>
    </row>
    <row r="49" spans="1:17" ht="15.75" thickBot="1">
      <c r="B49" s="55"/>
      <c r="C49" s="131" t="s">
        <v>14677</v>
      </c>
      <c r="D49" s="437">
        <v>0</v>
      </c>
      <c r="E49" s="437">
        <v>0</v>
      </c>
      <c r="F49" s="437">
        <v>0</v>
      </c>
      <c r="G49" s="437">
        <v>0</v>
      </c>
      <c r="H49" s="437">
        <v>0</v>
      </c>
      <c r="I49" s="437">
        <v>0</v>
      </c>
      <c r="J49" s="437">
        <v>0</v>
      </c>
      <c r="K49" s="437">
        <v>0</v>
      </c>
      <c r="L49" s="437">
        <v>0</v>
      </c>
      <c r="M49" s="63">
        <v>2321</v>
      </c>
      <c r="N49" s="63">
        <v>2502</v>
      </c>
      <c r="O49" s="63">
        <v>2538</v>
      </c>
      <c r="Q49" s="432" t="s">
        <v>4595</v>
      </c>
    </row>
    <row r="50" spans="1:17" ht="15.75" thickBot="1">
      <c r="C50" s="131" t="s">
        <v>14677</v>
      </c>
      <c r="D50" s="438">
        <f t="shared" ref="D50:L50" si="12">SUM(D47:D49)</f>
        <v>0</v>
      </c>
      <c r="E50" s="438">
        <f t="shared" si="12"/>
        <v>0</v>
      </c>
      <c r="F50" s="438">
        <f t="shared" si="12"/>
        <v>0</v>
      </c>
      <c r="G50" s="438">
        <f t="shared" si="12"/>
        <v>0</v>
      </c>
      <c r="H50" s="438">
        <f t="shared" si="12"/>
        <v>0</v>
      </c>
      <c r="I50" s="438">
        <f t="shared" si="12"/>
        <v>0</v>
      </c>
      <c r="J50" s="438">
        <f t="shared" si="12"/>
        <v>0</v>
      </c>
      <c r="K50" s="438">
        <f t="shared" si="12"/>
        <v>0</v>
      </c>
      <c r="L50" s="438">
        <f t="shared" si="12"/>
        <v>0</v>
      </c>
      <c r="M50" s="438">
        <f>SUM(M47:M49)</f>
        <v>8138</v>
      </c>
      <c r="N50" s="438">
        <f>SUM(N47:N49)</f>
        <v>8432</v>
      </c>
      <c r="O50" s="438">
        <f>SUM(O47:O49)</f>
        <v>8580</v>
      </c>
    </row>
    <row r="51" spans="1:17">
      <c r="A51" s="432" t="s">
        <v>5441</v>
      </c>
      <c r="B51" s="55" t="s">
        <v>4596</v>
      </c>
      <c r="C51" s="131" t="s">
        <v>14678</v>
      </c>
      <c r="D51" s="437">
        <v>0</v>
      </c>
      <c r="E51" s="437">
        <v>0</v>
      </c>
      <c r="F51" s="437">
        <v>0</v>
      </c>
      <c r="G51" s="437">
        <v>0</v>
      </c>
      <c r="H51" s="437">
        <v>0</v>
      </c>
      <c r="I51" s="437">
        <v>0</v>
      </c>
      <c r="J51" s="437">
        <v>0</v>
      </c>
      <c r="K51" s="437">
        <v>0</v>
      </c>
      <c r="L51" s="437">
        <v>0</v>
      </c>
      <c r="M51" s="63">
        <v>8435</v>
      </c>
      <c r="N51" s="63">
        <v>8766</v>
      </c>
      <c r="O51" s="63">
        <v>8949</v>
      </c>
      <c r="Q51" s="432" t="s">
        <v>6540</v>
      </c>
    </row>
    <row r="52" spans="1:17">
      <c r="A52" s="432" t="s">
        <v>5886</v>
      </c>
      <c r="B52" s="55" t="s">
        <v>12436</v>
      </c>
      <c r="C52" s="131" t="s">
        <v>14679</v>
      </c>
      <c r="D52" s="437">
        <v>0</v>
      </c>
      <c r="E52" s="437">
        <v>0</v>
      </c>
      <c r="F52" s="437">
        <v>0</v>
      </c>
      <c r="G52" s="437">
        <v>0</v>
      </c>
      <c r="H52" s="437">
        <v>0</v>
      </c>
      <c r="I52" s="437">
        <v>0</v>
      </c>
      <c r="J52" s="437">
        <v>0</v>
      </c>
      <c r="K52" s="437">
        <v>0</v>
      </c>
      <c r="L52" s="437">
        <v>0</v>
      </c>
      <c r="M52" s="63">
        <v>194</v>
      </c>
      <c r="N52" s="63">
        <v>206</v>
      </c>
      <c r="O52" s="63">
        <v>206</v>
      </c>
      <c r="Q52" s="432" t="s">
        <v>6540</v>
      </c>
    </row>
    <row r="53" spans="1:17" ht="15.75" thickBot="1">
      <c r="B53" s="55"/>
      <c r="C53" s="131" t="s">
        <v>14679</v>
      </c>
      <c r="D53" s="437">
        <v>0</v>
      </c>
      <c r="E53" s="437">
        <v>0</v>
      </c>
      <c r="F53" s="437">
        <v>0</v>
      </c>
      <c r="G53" s="437">
        <v>0</v>
      </c>
      <c r="H53" s="437">
        <v>0</v>
      </c>
      <c r="I53" s="437">
        <v>0</v>
      </c>
      <c r="J53" s="437">
        <v>0</v>
      </c>
      <c r="K53" s="437">
        <v>0</v>
      </c>
      <c r="L53" s="437">
        <v>0</v>
      </c>
      <c r="M53" s="63">
        <v>5416</v>
      </c>
      <c r="N53" s="63">
        <v>5563</v>
      </c>
      <c r="O53" s="63">
        <v>5593</v>
      </c>
      <c r="Q53" s="432" t="s">
        <v>4595</v>
      </c>
    </row>
    <row r="54" spans="1:17" ht="15.75" thickBot="1">
      <c r="C54" s="131" t="s">
        <v>14679</v>
      </c>
      <c r="D54" s="438">
        <f t="shared" ref="D54:M54" si="13">D52+D53</f>
        <v>0</v>
      </c>
      <c r="E54" s="438">
        <f t="shared" si="13"/>
        <v>0</v>
      </c>
      <c r="F54" s="438">
        <f t="shared" si="13"/>
        <v>0</v>
      </c>
      <c r="G54" s="438">
        <f t="shared" si="13"/>
        <v>0</v>
      </c>
      <c r="H54" s="438">
        <f t="shared" si="13"/>
        <v>0</v>
      </c>
      <c r="I54" s="438">
        <f t="shared" si="13"/>
        <v>0</v>
      </c>
      <c r="J54" s="438">
        <f t="shared" si="13"/>
        <v>0</v>
      </c>
      <c r="K54" s="438">
        <f t="shared" si="13"/>
        <v>0</v>
      </c>
      <c r="L54" s="438">
        <f t="shared" si="13"/>
        <v>0</v>
      </c>
      <c r="M54" s="438">
        <f t="shared" si="13"/>
        <v>5610</v>
      </c>
      <c r="N54" s="438">
        <f>N52+N53</f>
        <v>5769</v>
      </c>
      <c r="O54" s="438">
        <f>O52+O53</f>
        <v>5799</v>
      </c>
    </row>
    <row r="55" spans="1:17">
      <c r="A55" s="439" t="s">
        <v>5888</v>
      </c>
      <c r="B55" s="55" t="s">
        <v>12437</v>
      </c>
      <c r="C55" s="131" t="s">
        <v>14680</v>
      </c>
      <c r="D55" s="437">
        <v>17190</v>
      </c>
      <c r="E55" s="437">
        <v>17348</v>
      </c>
      <c r="F55" s="437">
        <v>17529</v>
      </c>
      <c r="G55" s="437">
        <v>17488</v>
      </c>
      <c r="H55" s="437">
        <v>17693</v>
      </c>
      <c r="I55" s="437">
        <v>17166</v>
      </c>
      <c r="J55" s="437">
        <v>16248</v>
      </c>
      <c r="K55" s="437">
        <v>17184</v>
      </c>
      <c r="L55" s="437">
        <v>17827</v>
      </c>
      <c r="M55" s="63">
        <v>8744</v>
      </c>
      <c r="N55" s="63">
        <v>9132</v>
      </c>
      <c r="O55" s="63">
        <v>9273</v>
      </c>
      <c r="Q55" s="432" t="s">
        <v>4595</v>
      </c>
    </row>
    <row r="56" spans="1:17">
      <c r="A56" s="432"/>
      <c r="B56" s="432"/>
      <c r="C56" s="55"/>
      <c r="Q56" s="432"/>
    </row>
    <row r="57" spans="1:17">
      <c r="A57" s="432" t="s">
        <v>12197</v>
      </c>
      <c r="B57" s="432"/>
      <c r="C57" s="55"/>
      <c r="Q57" s="432"/>
    </row>
    <row r="58" spans="1:17">
      <c r="A58" s="432" t="s">
        <v>12438</v>
      </c>
      <c r="B58" s="432"/>
      <c r="C58" s="55"/>
      <c r="Q58" s="432"/>
    </row>
    <row r="59" spans="1:17">
      <c r="A59" s="432" t="s">
        <v>5984</v>
      </c>
      <c r="B59" s="432"/>
      <c r="C59" s="55"/>
      <c r="Q59" s="432"/>
    </row>
    <row r="60" spans="1:17">
      <c r="A60" s="432"/>
      <c r="B60" s="432"/>
      <c r="C60" s="55"/>
      <c r="Q60" s="432"/>
    </row>
    <row r="61" spans="1:17">
      <c r="A61" s="432"/>
      <c r="B61" s="432"/>
      <c r="C61" s="55"/>
      <c r="Q61" s="432"/>
    </row>
    <row r="62" spans="1:17">
      <c r="A62" s="432"/>
      <c r="B62" s="432"/>
      <c r="C62" s="55"/>
      <c r="Q62" s="432"/>
    </row>
    <row r="63" spans="1:17">
      <c r="A63" s="432"/>
      <c r="B63" s="432"/>
      <c r="C63" s="55"/>
      <c r="Q63" s="432"/>
    </row>
    <row r="64" spans="1:17">
      <c r="A64" s="432"/>
      <c r="B64" s="432"/>
      <c r="C64" s="55"/>
      <c r="Q64" s="432"/>
    </row>
    <row r="65" spans="1:17">
      <c r="A65" s="432"/>
      <c r="B65" s="432"/>
      <c r="C65" s="55"/>
      <c r="Q65" s="432"/>
    </row>
    <row r="66" spans="1:17">
      <c r="A66" s="440"/>
      <c r="B66" s="432"/>
      <c r="C66" s="55"/>
      <c r="Q66" s="432"/>
    </row>
    <row r="67" spans="1:17">
      <c r="A67" s="440"/>
      <c r="B67" s="432"/>
      <c r="C67" s="55"/>
      <c r="Q67" s="432"/>
    </row>
    <row r="68" spans="1:17">
      <c r="A68" s="440"/>
      <c r="B68" s="432"/>
      <c r="C68" s="55"/>
      <c r="Q68" s="432"/>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4:L6 D8:L10 D12:L12 D14:L14 D16:L25" unlocked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ransitionEvaluation="1"/>
  <dimension ref="A1:Q45"/>
  <sheetViews>
    <sheetView showGridLines="0" topLeftCell="A19" zoomScale="90" zoomScaleNormal="90" workbookViewId="0">
      <selection activeCell="A44" sqref="A44:A45"/>
    </sheetView>
  </sheetViews>
  <sheetFormatPr defaultColWidth="12.5703125" defaultRowHeight="15"/>
  <cols>
    <col min="1" max="1" width="4.85546875" style="130" customWidth="1"/>
    <col min="2" max="2" width="46.140625" style="130" customWidth="1"/>
    <col min="3" max="3" width="11.5703125" style="130" customWidth="1"/>
    <col min="4" max="15" width="10" style="130" customWidth="1"/>
    <col min="16" max="16" width="2.28515625" style="130" customWidth="1"/>
    <col min="17" max="17" width="29.28515625" style="130" customWidth="1"/>
    <col min="18" max="16384" width="12.5703125" style="130"/>
  </cols>
  <sheetData>
    <row r="1" spans="1:17">
      <c r="A1" s="425" t="s">
        <v>5719</v>
      </c>
      <c r="D1" s="426">
        <v>2010</v>
      </c>
      <c r="E1" s="426">
        <v>2011</v>
      </c>
      <c r="F1" s="426">
        <v>2012</v>
      </c>
      <c r="G1" s="426">
        <v>2013</v>
      </c>
      <c r="H1" s="426">
        <v>2014</v>
      </c>
      <c r="I1" s="426">
        <v>2015</v>
      </c>
      <c r="J1" s="426">
        <v>2016</v>
      </c>
      <c r="K1" s="426">
        <v>2017</v>
      </c>
      <c r="L1" s="426">
        <v>2018</v>
      </c>
      <c r="M1" s="426">
        <v>2019</v>
      </c>
      <c r="N1" s="426">
        <v>2020</v>
      </c>
      <c r="O1" s="946" t="s">
        <v>14823</v>
      </c>
    </row>
    <row r="3" spans="1:17">
      <c r="A3" s="425" t="s">
        <v>1121</v>
      </c>
      <c r="D3" s="427">
        <f t="shared" ref="D3:I3" si="0">SUM(D21:D38)</f>
        <v>127288</v>
      </c>
      <c r="E3" s="427">
        <f t="shared" si="0"/>
        <v>128846</v>
      </c>
      <c r="F3" s="427">
        <f t="shared" si="0"/>
        <v>129227</v>
      </c>
      <c r="G3" s="427">
        <f t="shared" si="0"/>
        <v>129425</v>
      </c>
      <c r="H3" s="427">
        <f t="shared" si="0"/>
        <v>129237</v>
      </c>
      <c r="I3" s="427">
        <f t="shared" si="0"/>
        <v>125317</v>
      </c>
      <c r="J3" s="427">
        <f t="shared" ref="J3:O3" si="1">SUM(J21:J38)</f>
        <v>126524</v>
      </c>
      <c r="K3" s="427">
        <f t="shared" si="1"/>
        <v>131056</v>
      </c>
      <c r="L3" s="427">
        <f t="shared" si="1"/>
        <v>132173</v>
      </c>
      <c r="M3" s="427">
        <f t="shared" si="1"/>
        <v>130449</v>
      </c>
      <c r="N3" s="427">
        <f t="shared" si="1"/>
        <v>134518</v>
      </c>
      <c r="O3" s="427">
        <f t="shared" si="1"/>
        <v>136491</v>
      </c>
    </row>
    <row r="5" spans="1:17">
      <c r="A5" s="425" t="s">
        <v>5720</v>
      </c>
      <c r="D5" s="427">
        <f t="shared" ref="D5:I5" si="2">D3/2</f>
        <v>63644</v>
      </c>
      <c r="E5" s="427">
        <f t="shared" si="2"/>
        <v>64423</v>
      </c>
      <c r="F5" s="427">
        <f t="shared" si="2"/>
        <v>64613.5</v>
      </c>
      <c r="G5" s="427">
        <f t="shared" si="2"/>
        <v>64712.5</v>
      </c>
      <c r="H5" s="427">
        <f t="shared" si="2"/>
        <v>64618.5</v>
      </c>
      <c r="I5" s="427">
        <f t="shared" si="2"/>
        <v>62658.5</v>
      </c>
      <c r="J5" s="427">
        <f t="shared" ref="J5:O5" si="3">J3/2</f>
        <v>63262</v>
      </c>
      <c r="K5" s="427">
        <f t="shared" si="3"/>
        <v>65528</v>
      </c>
      <c r="L5" s="427">
        <f t="shared" si="3"/>
        <v>66086.5</v>
      </c>
      <c r="M5" s="427">
        <f t="shared" si="3"/>
        <v>65224.5</v>
      </c>
      <c r="N5" s="427">
        <f t="shared" si="3"/>
        <v>67259</v>
      </c>
      <c r="O5" s="427">
        <f t="shared" si="3"/>
        <v>68245.5</v>
      </c>
    </row>
    <row r="6" spans="1:17">
      <c r="D6" s="428"/>
      <c r="E6" s="428"/>
      <c r="F6" s="428"/>
      <c r="G6" s="428"/>
      <c r="H6" s="428"/>
      <c r="I6" s="428"/>
      <c r="J6" s="428"/>
      <c r="K6" s="428"/>
      <c r="L6" s="428"/>
      <c r="M6" s="428"/>
      <c r="N6" s="428"/>
      <c r="O6" s="428"/>
    </row>
    <row r="7" spans="1:17">
      <c r="A7" s="425" t="s">
        <v>1107</v>
      </c>
      <c r="D7" s="427">
        <f>KINGSTON!D9</f>
        <v>26874</v>
      </c>
      <c r="E7" s="427">
        <f>KINGSTON!E9</f>
        <v>26976</v>
      </c>
      <c r="F7" s="427">
        <f>KINGSTON!F9</f>
        <v>27491</v>
      </c>
      <c r="G7" s="427">
        <f>KINGSTON!G9</f>
        <v>27487</v>
      </c>
      <c r="H7" s="427">
        <f>KINGSTON!H9</f>
        <v>27474</v>
      </c>
      <c r="I7" s="427">
        <f>KINGSTON!I9</f>
        <v>26389</v>
      </c>
      <c r="J7" s="427">
        <f>KINGSTON!J9</f>
        <v>26463</v>
      </c>
      <c r="K7" s="427">
        <f>KINGSTON!K9</f>
        <v>27567</v>
      </c>
      <c r="L7" s="427">
        <f>KINGSTON!L9</f>
        <v>27354</v>
      </c>
      <c r="M7" s="427">
        <f>KINGSTON!M9</f>
        <v>26973</v>
      </c>
      <c r="N7" s="427">
        <f>KINGSTON!N9</f>
        <v>27611</v>
      </c>
      <c r="O7" s="427">
        <f>KINGSTON!O9</f>
        <v>28516</v>
      </c>
      <c r="Q7" s="425" t="s">
        <v>1106</v>
      </c>
    </row>
    <row r="8" spans="1:17" ht="15.75" thickBot="1">
      <c r="D8" s="429">
        <f t="shared" ref="D8:I8" si="4">D21+D22+D24+SUM(D29:D31)+D33</f>
        <v>48621</v>
      </c>
      <c r="E8" s="429">
        <f t="shared" si="4"/>
        <v>49674</v>
      </c>
      <c r="F8" s="429">
        <f t="shared" si="4"/>
        <v>49287</v>
      </c>
      <c r="G8" s="429">
        <f t="shared" si="4"/>
        <v>49375</v>
      </c>
      <c r="H8" s="429">
        <f t="shared" si="4"/>
        <v>48919</v>
      </c>
      <c r="I8" s="429">
        <f t="shared" si="4"/>
        <v>47668</v>
      </c>
      <c r="J8" s="429">
        <f t="shared" ref="J8:O8" si="5">J21+J22+J24+SUM(J29:J31)+J33</f>
        <v>48277</v>
      </c>
      <c r="K8" s="429">
        <f t="shared" si="5"/>
        <v>50367</v>
      </c>
      <c r="L8" s="429">
        <f t="shared" si="5"/>
        <v>50753</v>
      </c>
      <c r="M8" s="429">
        <f t="shared" si="5"/>
        <v>50234</v>
      </c>
      <c r="N8" s="429">
        <f t="shared" si="5"/>
        <v>52180</v>
      </c>
      <c r="O8" s="429">
        <f t="shared" si="5"/>
        <v>53227</v>
      </c>
      <c r="P8" s="430"/>
      <c r="Q8" s="425" t="s">
        <v>1108</v>
      </c>
    </row>
    <row r="9" spans="1:17" ht="15.75" thickBot="1">
      <c r="D9" s="429">
        <f t="shared" ref="D9:I9" si="6">D7+D8</f>
        <v>75495</v>
      </c>
      <c r="E9" s="429">
        <f t="shared" si="6"/>
        <v>76650</v>
      </c>
      <c r="F9" s="429">
        <f t="shared" si="6"/>
        <v>76778</v>
      </c>
      <c r="G9" s="429">
        <f t="shared" si="6"/>
        <v>76862</v>
      </c>
      <c r="H9" s="429">
        <f t="shared" si="6"/>
        <v>76393</v>
      </c>
      <c r="I9" s="429">
        <f t="shared" si="6"/>
        <v>74057</v>
      </c>
      <c r="J9" s="429">
        <f t="shared" ref="J9:O9" si="7">J7+J8</f>
        <v>74740</v>
      </c>
      <c r="K9" s="429">
        <f t="shared" si="7"/>
        <v>77934</v>
      </c>
      <c r="L9" s="429">
        <f t="shared" si="7"/>
        <v>78107</v>
      </c>
      <c r="M9" s="429">
        <f t="shared" si="7"/>
        <v>77207</v>
      </c>
      <c r="N9" s="429">
        <f t="shared" si="7"/>
        <v>79791</v>
      </c>
      <c r="O9" s="429">
        <f t="shared" si="7"/>
        <v>81743</v>
      </c>
    </row>
    <row r="10" spans="1:17">
      <c r="D10" s="428"/>
      <c r="E10" s="428"/>
      <c r="F10" s="428"/>
      <c r="G10" s="428"/>
      <c r="H10" s="428"/>
      <c r="I10" s="428"/>
      <c r="J10" s="428"/>
      <c r="K10" s="428"/>
      <c r="L10" s="428"/>
      <c r="M10" s="428"/>
      <c r="N10" s="428"/>
      <c r="O10" s="428"/>
    </row>
    <row r="11" spans="1:17">
      <c r="A11" s="425" t="s">
        <v>1109</v>
      </c>
      <c r="D11" s="427">
        <f t="shared" ref="D11:I11" si="8">D23+SUM(D25:D28)+D32+SUM(D34:D38)</f>
        <v>78667</v>
      </c>
      <c r="E11" s="427">
        <f t="shared" si="8"/>
        <v>79172</v>
      </c>
      <c r="F11" s="427">
        <f t="shared" si="8"/>
        <v>79940</v>
      </c>
      <c r="G11" s="427">
        <f t="shared" si="8"/>
        <v>80050</v>
      </c>
      <c r="H11" s="427">
        <f t="shared" si="8"/>
        <v>80318</v>
      </c>
      <c r="I11" s="427">
        <f t="shared" si="8"/>
        <v>77649</v>
      </c>
      <c r="J11" s="427">
        <f t="shared" ref="J11:O11" si="9">J23+SUM(J25:J28)+J32+SUM(J34:J38)</f>
        <v>78247</v>
      </c>
      <c r="K11" s="427">
        <f t="shared" si="9"/>
        <v>80689</v>
      </c>
      <c r="L11" s="427">
        <f t="shared" si="9"/>
        <v>81420</v>
      </c>
      <c r="M11" s="427">
        <f t="shared" si="9"/>
        <v>80215</v>
      </c>
      <c r="N11" s="427">
        <f t="shared" si="9"/>
        <v>82338</v>
      </c>
      <c r="O11" s="427">
        <f t="shared" si="9"/>
        <v>83264</v>
      </c>
      <c r="Q11" s="425" t="s">
        <v>1108</v>
      </c>
    </row>
    <row r="12" spans="1:17">
      <c r="D12" s="428"/>
      <c r="E12" s="428"/>
      <c r="F12" s="428"/>
      <c r="G12" s="428"/>
      <c r="H12" s="428"/>
      <c r="I12" s="428"/>
      <c r="J12" s="428"/>
      <c r="K12" s="428"/>
      <c r="L12" s="428"/>
      <c r="M12" s="428"/>
      <c r="N12" s="428"/>
      <c r="O12" s="428"/>
    </row>
    <row r="13" spans="1:17">
      <c r="A13" s="425" t="s">
        <v>1105</v>
      </c>
      <c r="D13" s="427">
        <f>KINGSTON!D7</f>
        <v>80229</v>
      </c>
      <c r="E13" s="427">
        <f>KINGSTON!E7</f>
        <v>80639</v>
      </c>
      <c r="F13" s="427">
        <f>KINGSTON!F7</f>
        <v>81735</v>
      </c>
      <c r="G13" s="427">
        <f>KINGSTON!G7</f>
        <v>81293</v>
      </c>
      <c r="H13" s="427">
        <f>KINGSTON!H7</f>
        <v>81792</v>
      </c>
      <c r="I13" s="427">
        <f>KINGSTON!I7</f>
        <v>77932</v>
      </c>
      <c r="J13" s="427">
        <f>KINGSTON!J7</f>
        <v>77995</v>
      </c>
      <c r="K13" s="427">
        <f>KINGSTON!K7</f>
        <v>80379</v>
      </c>
      <c r="L13" s="427">
        <f>KINGSTON!L7</f>
        <v>79885</v>
      </c>
      <c r="M13" s="427">
        <f>KINGSTON!M7</f>
        <v>78097</v>
      </c>
      <c r="N13" s="427">
        <f>KINGSTON!N7</f>
        <v>79290</v>
      </c>
      <c r="O13" s="427">
        <f>KINGSTON!O7</f>
        <v>82037</v>
      </c>
      <c r="Q13" s="425" t="s">
        <v>1106</v>
      </c>
    </row>
    <row r="14" spans="1:17">
      <c r="D14" s="428"/>
      <c r="E14" s="428"/>
      <c r="F14" s="428"/>
      <c r="G14" s="428"/>
      <c r="H14" s="428"/>
      <c r="I14" s="428"/>
      <c r="J14" s="428"/>
      <c r="K14" s="428"/>
      <c r="L14" s="428"/>
      <c r="M14" s="428"/>
      <c r="N14" s="428"/>
      <c r="O14" s="428"/>
    </row>
    <row r="15" spans="1:17">
      <c r="A15" s="425" t="s">
        <v>6796</v>
      </c>
      <c r="D15" s="427">
        <f t="shared" ref="D15:I15" si="10">D8+D11</f>
        <v>127288</v>
      </c>
      <c r="E15" s="427">
        <f t="shared" si="10"/>
        <v>128846</v>
      </c>
      <c r="F15" s="427">
        <f t="shared" si="10"/>
        <v>129227</v>
      </c>
      <c r="G15" s="427">
        <f t="shared" si="10"/>
        <v>129425</v>
      </c>
      <c r="H15" s="427">
        <f t="shared" si="10"/>
        <v>129237</v>
      </c>
      <c r="I15" s="427">
        <f t="shared" si="10"/>
        <v>125317</v>
      </c>
      <c r="J15" s="427">
        <f t="shared" ref="J15:O15" si="11">J8+J11</f>
        <v>126524</v>
      </c>
      <c r="K15" s="427">
        <f t="shared" si="11"/>
        <v>131056</v>
      </c>
      <c r="L15" s="427">
        <f t="shared" si="11"/>
        <v>132173</v>
      </c>
      <c r="M15" s="427">
        <f t="shared" si="11"/>
        <v>130449</v>
      </c>
      <c r="N15" s="427">
        <f t="shared" si="11"/>
        <v>134518</v>
      </c>
      <c r="O15" s="427">
        <f t="shared" si="11"/>
        <v>136491</v>
      </c>
    </row>
    <row r="16" spans="1:17">
      <c r="D16" s="428"/>
      <c r="E16" s="428"/>
      <c r="F16" s="428"/>
      <c r="G16" s="428"/>
      <c r="H16" s="428"/>
      <c r="I16" s="428"/>
      <c r="J16" s="428"/>
      <c r="K16" s="428"/>
      <c r="L16" s="428"/>
      <c r="M16" s="428"/>
      <c r="N16" s="428"/>
      <c r="O16" s="428"/>
    </row>
    <row r="17" spans="1:17">
      <c r="A17" s="425" t="s">
        <v>6797</v>
      </c>
      <c r="D17" s="427">
        <f t="shared" ref="D17:I17" si="12">MAX(D9,D11,D13)-MIN(D9,D11,D13)</f>
        <v>4734</v>
      </c>
      <c r="E17" s="427">
        <f t="shared" si="12"/>
        <v>3989</v>
      </c>
      <c r="F17" s="427">
        <f t="shared" si="12"/>
        <v>4957</v>
      </c>
      <c r="G17" s="427">
        <f t="shared" si="12"/>
        <v>4431</v>
      </c>
      <c r="H17" s="427">
        <f t="shared" si="12"/>
        <v>5399</v>
      </c>
      <c r="I17" s="427">
        <f t="shared" si="12"/>
        <v>3875</v>
      </c>
      <c r="J17" s="427">
        <f t="shared" ref="J17:O17" si="13">MAX(J9,J11,J13)-MIN(J9,J11,J13)</f>
        <v>3507</v>
      </c>
      <c r="K17" s="427">
        <f t="shared" si="13"/>
        <v>2755</v>
      </c>
      <c r="L17" s="427">
        <f t="shared" si="13"/>
        <v>3313</v>
      </c>
      <c r="M17" s="427">
        <f t="shared" si="13"/>
        <v>3008</v>
      </c>
      <c r="N17" s="427">
        <f t="shared" si="13"/>
        <v>3048</v>
      </c>
      <c r="O17" s="427">
        <f t="shared" si="13"/>
        <v>1521</v>
      </c>
    </row>
    <row r="18" spans="1:17">
      <c r="D18" s="428"/>
      <c r="E18" s="428"/>
      <c r="F18" s="428"/>
      <c r="G18" s="428"/>
      <c r="H18" s="428"/>
      <c r="I18" s="428"/>
      <c r="J18" s="428"/>
      <c r="K18" s="428"/>
      <c r="L18" s="428"/>
      <c r="M18" s="428"/>
      <c r="N18" s="428"/>
      <c r="O18" s="428"/>
    </row>
    <row r="19" spans="1:17">
      <c r="A19" s="425" t="s">
        <v>6800</v>
      </c>
      <c r="D19" s="427">
        <f t="shared" ref="D19:I19" si="14">STDEVP(D9,D11,D13)</f>
        <v>1969.5511050885571</v>
      </c>
      <c r="E19" s="427">
        <f t="shared" si="14"/>
        <v>1647.3781863582171</v>
      </c>
      <c r="F19" s="427">
        <f t="shared" si="14"/>
        <v>2049.1764741530251</v>
      </c>
      <c r="G19" s="427">
        <f t="shared" si="14"/>
        <v>1866.1354601302542</v>
      </c>
      <c r="H19" s="427">
        <f t="shared" si="14"/>
        <v>2278.5839169683145</v>
      </c>
      <c r="I19" s="427">
        <f t="shared" si="14"/>
        <v>1763.7768188369714</v>
      </c>
      <c r="J19" s="427">
        <f t="shared" ref="J19:O19" si="15">STDEVP(J9,J11,J13)</f>
        <v>1597.1355609340117</v>
      </c>
      <c r="K19" s="427">
        <f t="shared" si="15"/>
        <v>1232.1683687259988</v>
      </c>
      <c r="L19" s="427">
        <f t="shared" si="15"/>
        <v>1353.7387734222089</v>
      </c>
      <c r="M19" s="427">
        <f t="shared" si="15"/>
        <v>1261.6606340674798</v>
      </c>
      <c r="N19" s="427">
        <f t="shared" si="15"/>
        <v>1334.5208878095539</v>
      </c>
      <c r="O19" s="427">
        <f t="shared" si="15"/>
        <v>658.7366696943476</v>
      </c>
    </row>
    <row r="20" spans="1:17">
      <c r="D20" s="428"/>
      <c r="E20" s="428"/>
      <c r="F20" s="428"/>
      <c r="G20" s="428"/>
      <c r="H20" s="428"/>
      <c r="I20" s="428"/>
      <c r="J20" s="428"/>
      <c r="K20" s="428"/>
      <c r="L20" s="428"/>
      <c r="M20" s="428"/>
      <c r="N20" s="428"/>
      <c r="O20" s="428"/>
    </row>
    <row r="21" spans="1:17">
      <c r="A21" s="425" t="s">
        <v>5387</v>
      </c>
      <c r="B21" s="130" t="s">
        <v>1122</v>
      </c>
      <c r="C21" s="130" t="s">
        <v>15969</v>
      </c>
      <c r="D21" s="431">
        <v>48621</v>
      </c>
      <c r="E21" s="431">
        <v>49674</v>
      </c>
      <c r="F21" s="431">
        <v>49287</v>
      </c>
      <c r="G21" s="431">
        <v>49375</v>
      </c>
      <c r="H21" s="431">
        <v>48919</v>
      </c>
      <c r="I21" s="431">
        <v>47668</v>
      </c>
      <c r="J21" s="431">
        <v>48277</v>
      </c>
      <c r="K21" s="431">
        <v>50367</v>
      </c>
      <c r="L21" s="431">
        <v>50753</v>
      </c>
      <c r="M21" s="431">
        <v>50234</v>
      </c>
      <c r="N21" s="431">
        <v>52180</v>
      </c>
      <c r="O21" s="56">
        <v>7454</v>
      </c>
      <c r="Q21" s="425" t="s">
        <v>1107</v>
      </c>
    </row>
    <row r="22" spans="1:17">
      <c r="A22" s="425" t="s">
        <v>5389</v>
      </c>
      <c r="B22" s="130" t="s">
        <v>550</v>
      </c>
      <c r="C22" s="130" t="s">
        <v>15970</v>
      </c>
      <c r="D22" s="431">
        <v>0</v>
      </c>
      <c r="E22" s="431">
        <v>0</v>
      </c>
      <c r="F22" s="431">
        <v>0</v>
      </c>
      <c r="G22" s="431">
        <v>0</v>
      </c>
      <c r="H22" s="431">
        <v>0</v>
      </c>
      <c r="I22" s="431">
        <v>0</v>
      </c>
      <c r="J22" s="431">
        <v>0</v>
      </c>
      <c r="K22" s="431">
        <v>0</v>
      </c>
      <c r="L22" s="431">
        <v>0</v>
      </c>
      <c r="M22" s="431">
        <v>0</v>
      </c>
      <c r="N22" s="431">
        <v>0</v>
      </c>
      <c r="O22" s="56">
        <v>7314</v>
      </c>
      <c r="Q22" s="425" t="s">
        <v>1107</v>
      </c>
    </row>
    <row r="23" spans="1:17">
      <c r="A23" s="425" t="s">
        <v>5391</v>
      </c>
      <c r="B23" s="130" t="s">
        <v>15972</v>
      </c>
      <c r="C23" s="130" t="s">
        <v>15971</v>
      </c>
      <c r="D23" s="431">
        <v>78667</v>
      </c>
      <c r="E23" s="431">
        <v>79172</v>
      </c>
      <c r="F23" s="431">
        <v>79940</v>
      </c>
      <c r="G23" s="431">
        <v>80050</v>
      </c>
      <c r="H23" s="431">
        <v>80318</v>
      </c>
      <c r="I23" s="431">
        <v>77649</v>
      </c>
      <c r="J23" s="431">
        <v>78247</v>
      </c>
      <c r="K23" s="431">
        <v>80689</v>
      </c>
      <c r="L23" s="431">
        <v>81420</v>
      </c>
      <c r="M23" s="431">
        <v>80215</v>
      </c>
      <c r="N23" s="431">
        <v>82338</v>
      </c>
      <c r="O23" s="56">
        <v>7780</v>
      </c>
      <c r="Q23" s="425" t="s">
        <v>1109</v>
      </c>
    </row>
    <row r="24" spans="1:17">
      <c r="A24" s="425" t="s">
        <v>5393</v>
      </c>
      <c r="B24" s="130" t="s">
        <v>15974</v>
      </c>
      <c r="C24" s="130" t="s">
        <v>15973</v>
      </c>
      <c r="D24" s="431">
        <v>0</v>
      </c>
      <c r="E24" s="431">
        <v>0</v>
      </c>
      <c r="F24" s="431">
        <v>0</v>
      </c>
      <c r="G24" s="431">
        <v>0</v>
      </c>
      <c r="H24" s="431">
        <v>0</v>
      </c>
      <c r="I24" s="431">
        <v>0</v>
      </c>
      <c r="J24" s="431">
        <v>0</v>
      </c>
      <c r="K24" s="431">
        <v>0</v>
      </c>
      <c r="L24" s="431">
        <v>0</v>
      </c>
      <c r="M24" s="431">
        <v>0</v>
      </c>
      <c r="N24" s="431">
        <v>0</v>
      </c>
      <c r="O24" s="56">
        <v>6903</v>
      </c>
      <c r="Q24" s="425" t="s">
        <v>1107</v>
      </c>
    </row>
    <row r="25" spans="1:17">
      <c r="A25" s="425" t="s">
        <v>5394</v>
      </c>
      <c r="B25" s="130" t="s">
        <v>1663</v>
      </c>
      <c r="C25" s="130" t="s">
        <v>15975</v>
      </c>
      <c r="D25" s="431">
        <v>0</v>
      </c>
      <c r="E25" s="431">
        <v>0</v>
      </c>
      <c r="F25" s="431">
        <v>0</v>
      </c>
      <c r="G25" s="431">
        <v>0</v>
      </c>
      <c r="H25" s="431">
        <v>0</v>
      </c>
      <c r="I25" s="431">
        <v>0</v>
      </c>
      <c r="J25" s="431">
        <v>0</v>
      </c>
      <c r="K25" s="431">
        <v>0</v>
      </c>
      <c r="L25" s="431">
        <v>0</v>
      </c>
      <c r="M25" s="431">
        <v>0</v>
      </c>
      <c r="N25" s="431">
        <v>0</v>
      </c>
      <c r="O25" s="56">
        <v>7445</v>
      </c>
      <c r="Q25" s="425" t="s">
        <v>1109</v>
      </c>
    </row>
    <row r="26" spans="1:17">
      <c r="A26" s="425" t="s">
        <v>5416</v>
      </c>
      <c r="B26" s="130" t="s">
        <v>1195</v>
      </c>
      <c r="C26" s="130" t="s">
        <v>15976</v>
      </c>
      <c r="D26" s="431">
        <v>0</v>
      </c>
      <c r="E26" s="431">
        <v>0</v>
      </c>
      <c r="F26" s="431">
        <v>0</v>
      </c>
      <c r="G26" s="431">
        <v>0</v>
      </c>
      <c r="H26" s="431">
        <v>0</v>
      </c>
      <c r="I26" s="431">
        <v>0</v>
      </c>
      <c r="J26" s="431">
        <v>0</v>
      </c>
      <c r="K26" s="431">
        <v>0</v>
      </c>
      <c r="L26" s="431">
        <v>0</v>
      </c>
      <c r="M26" s="431">
        <v>0</v>
      </c>
      <c r="N26" s="431">
        <v>0</v>
      </c>
      <c r="O26" s="56">
        <v>7131</v>
      </c>
      <c r="Q26" s="425" t="s">
        <v>1109</v>
      </c>
    </row>
    <row r="27" spans="1:17">
      <c r="A27" s="425" t="s">
        <v>5418</v>
      </c>
      <c r="B27" s="130" t="s">
        <v>15978</v>
      </c>
      <c r="C27" s="130" t="s">
        <v>15977</v>
      </c>
      <c r="D27" s="431">
        <v>0</v>
      </c>
      <c r="E27" s="431">
        <v>0</v>
      </c>
      <c r="F27" s="431">
        <v>0</v>
      </c>
      <c r="G27" s="431">
        <v>0</v>
      </c>
      <c r="H27" s="431">
        <v>0</v>
      </c>
      <c r="I27" s="431">
        <v>0</v>
      </c>
      <c r="J27" s="431">
        <v>0</v>
      </c>
      <c r="K27" s="431">
        <v>0</v>
      </c>
      <c r="L27" s="431">
        <v>0</v>
      </c>
      <c r="M27" s="431">
        <v>0</v>
      </c>
      <c r="N27" s="431">
        <v>0</v>
      </c>
      <c r="O27" s="56">
        <v>7953</v>
      </c>
      <c r="Q27" s="425" t="s">
        <v>1109</v>
      </c>
    </row>
    <row r="28" spans="1:17">
      <c r="A28" s="425" t="s">
        <v>5420</v>
      </c>
      <c r="B28" s="130" t="s">
        <v>6394</v>
      </c>
      <c r="C28" s="130" t="s">
        <v>15979</v>
      </c>
      <c r="D28" s="431">
        <v>0</v>
      </c>
      <c r="E28" s="431">
        <v>0</v>
      </c>
      <c r="F28" s="431">
        <v>0</v>
      </c>
      <c r="G28" s="431">
        <v>0</v>
      </c>
      <c r="H28" s="431">
        <v>0</v>
      </c>
      <c r="I28" s="431">
        <v>0</v>
      </c>
      <c r="J28" s="431">
        <v>0</v>
      </c>
      <c r="K28" s="431">
        <v>0</v>
      </c>
      <c r="L28" s="431">
        <v>0</v>
      </c>
      <c r="M28" s="431">
        <v>0</v>
      </c>
      <c r="N28" s="431">
        <v>0</v>
      </c>
      <c r="O28" s="56">
        <v>6933</v>
      </c>
      <c r="Q28" s="425" t="s">
        <v>1109</v>
      </c>
    </row>
    <row r="29" spans="1:17">
      <c r="A29" s="425" t="s">
        <v>5422</v>
      </c>
      <c r="B29" s="130" t="s">
        <v>1196</v>
      </c>
      <c r="C29" s="130" t="s">
        <v>15980</v>
      </c>
      <c r="D29" s="431">
        <v>0</v>
      </c>
      <c r="E29" s="431">
        <v>0</v>
      </c>
      <c r="F29" s="431">
        <v>0</v>
      </c>
      <c r="G29" s="431">
        <v>0</v>
      </c>
      <c r="H29" s="431">
        <v>0</v>
      </c>
      <c r="I29" s="431">
        <v>0</v>
      </c>
      <c r="J29" s="431">
        <v>0</v>
      </c>
      <c r="K29" s="431">
        <v>0</v>
      </c>
      <c r="L29" s="431">
        <v>0</v>
      </c>
      <c r="M29" s="431">
        <v>0</v>
      </c>
      <c r="N29" s="431">
        <v>0</v>
      </c>
      <c r="O29" s="56">
        <v>8346</v>
      </c>
      <c r="Q29" s="425" t="s">
        <v>1107</v>
      </c>
    </row>
    <row r="30" spans="1:17">
      <c r="A30" s="425" t="s">
        <v>5424</v>
      </c>
      <c r="B30" s="130" t="s">
        <v>15982</v>
      </c>
      <c r="C30" s="130" t="s">
        <v>15981</v>
      </c>
      <c r="D30" s="431">
        <v>0</v>
      </c>
      <c r="E30" s="431">
        <v>0</v>
      </c>
      <c r="F30" s="431">
        <v>0</v>
      </c>
      <c r="G30" s="431">
        <v>0</v>
      </c>
      <c r="H30" s="431">
        <v>0</v>
      </c>
      <c r="I30" s="431">
        <v>0</v>
      </c>
      <c r="J30" s="431">
        <v>0</v>
      </c>
      <c r="K30" s="431">
        <v>0</v>
      </c>
      <c r="L30" s="431">
        <v>0</v>
      </c>
      <c r="M30" s="431">
        <v>0</v>
      </c>
      <c r="N30" s="431">
        <v>0</v>
      </c>
      <c r="O30" s="56">
        <v>8156</v>
      </c>
      <c r="Q30" s="425" t="s">
        <v>1107</v>
      </c>
    </row>
    <row r="31" spans="1:17">
      <c r="A31" s="425" t="s">
        <v>5426</v>
      </c>
      <c r="B31" s="130" t="s">
        <v>1197</v>
      </c>
      <c r="C31" s="130" t="s">
        <v>15983</v>
      </c>
      <c r="D31" s="431">
        <v>0</v>
      </c>
      <c r="E31" s="431">
        <v>0</v>
      </c>
      <c r="F31" s="431">
        <v>0</v>
      </c>
      <c r="G31" s="431">
        <v>0</v>
      </c>
      <c r="H31" s="431">
        <v>0</v>
      </c>
      <c r="I31" s="431">
        <v>0</v>
      </c>
      <c r="J31" s="431">
        <v>0</v>
      </c>
      <c r="K31" s="431">
        <v>0</v>
      </c>
      <c r="L31" s="431">
        <v>0</v>
      </c>
      <c r="M31" s="431">
        <v>0</v>
      </c>
      <c r="N31" s="431">
        <v>0</v>
      </c>
      <c r="O31" s="56">
        <v>7375</v>
      </c>
      <c r="Q31" s="425" t="s">
        <v>1107</v>
      </c>
    </row>
    <row r="32" spans="1:17">
      <c r="A32" s="425" t="s">
        <v>5428</v>
      </c>
      <c r="B32" s="130" t="s">
        <v>15985</v>
      </c>
      <c r="C32" s="130" t="s">
        <v>15984</v>
      </c>
      <c r="D32" s="431">
        <v>0</v>
      </c>
      <c r="E32" s="431">
        <v>0</v>
      </c>
      <c r="F32" s="431">
        <v>0</v>
      </c>
      <c r="G32" s="431">
        <v>0</v>
      </c>
      <c r="H32" s="431">
        <v>0</v>
      </c>
      <c r="I32" s="431">
        <v>0</v>
      </c>
      <c r="J32" s="431">
        <v>0</v>
      </c>
      <c r="K32" s="431">
        <v>0</v>
      </c>
      <c r="L32" s="431">
        <v>0</v>
      </c>
      <c r="M32" s="431">
        <v>0</v>
      </c>
      <c r="N32" s="431">
        <v>0</v>
      </c>
      <c r="O32" s="56">
        <v>8106</v>
      </c>
      <c r="Q32" s="425" t="s">
        <v>1109</v>
      </c>
    </row>
    <row r="33" spans="1:17">
      <c r="A33" s="425" t="s">
        <v>5429</v>
      </c>
      <c r="B33" s="130" t="s">
        <v>1198</v>
      </c>
      <c r="C33" s="130" t="s">
        <v>15986</v>
      </c>
      <c r="D33" s="431">
        <v>0</v>
      </c>
      <c r="E33" s="431">
        <v>0</v>
      </c>
      <c r="F33" s="431">
        <v>0</v>
      </c>
      <c r="G33" s="431">
        <v>0</v>
      </c>
      <c r="H33" s="431">
        <v>0</v>
      </c>
      <c r="I33" s="431">
        <v>0</v>
      </c>
      <c r="J33" s="431">
        <v>0</v>
      </c>
      <c r="K33" s="431">
        <v>0</v>
      </c>
      <c r="L33" s="431">
        <v>0</v>
      </c>
      <c r="M33" s="431">
        <v>0</v>
      </c>
      <c r="N33" s="431">
        <v>0</v>
      </c>
      <c r="O33" s="56">
        <v>7679</v>
      </c>
      <c r="Q33" s="425" t="s">
        <v>1107</v>
      </c>
    </row>
    <row r="34" spans="1:17">
      <c r="A34" s="425" t="s">
        <v>5431</v>
      </c>
      <c r="B34" s="130" t="s">
        <v>1199</v>
      </c>
      <c r="C34" s="130" t="s">
        <v>15987</v>
      </c>
      <c r="D34" s="431">
        <v>0</v>
      </c>
      <c r="E34" s="431">
        <v>0</v>
      </c>
      <c r="F34" s="431">
        <v>0</v>
      </c>
      <c r="G34" s="431">
        <v>0</v>
      </c>
      <c r="H34" s="431">
        <v>0</v>
      </c>
      <c r="I34" s="431">
        <v>0</v>
      </c>
      <c r="J34" s="431">
        <v>0</v>
      </c>
      <c r="K34" s="431">
        <v>0</v>
      </c>
      <c r="L34" s="431">
        <v>0</v>
      </c>
      <c r="M34" s="431">
        <v>0</v>
      </c>
      <c r="N34" s="431">
        <v>0</v>
      </c>
      <c r="O34" s="56">
        <v>7574</v>
      </c>
      <c r="Q34" s="425" t="s">
        <v>1109</v>
      </c>
    </row>
    <row r="35" spans="1:17">
      <c r="A35" s="425" t="s">
        <v>5433</v>
      </c>
      <c r="B35" s="130" t="s">
        <v>1200</v>
      </c>
      <c r="C35" s="130" t="s">
        <v>15988</v>
      </c>
      <c r="D35" s="431">
        <v>0</v>
      </c>
      <c r="E35" s="431">
        <v>0</v>
      </c>
      <c r="F35" s="431">
        <v>0</v>
      </c>
      <c r="G35" s="431">
        <v>0</v>
      </c>
      <c r="H35" s="431">
        <v>0</v>
      </c>
      <c r="I35" s="431">
        <v>0</v>
      </c>
      <c r="J35" s="431">
        <v>0</v>
      </c>
      <c r="K35" s="431">
        <v>0</v>
      </c>
      <c r="L35" s="431">
        <v>0</v>
      </c>
      <c r="M35" s="431">
        <v>0</v>
      </c>
      <c r="N35" s="431">
        <v>0</v>
      </c>
      <c r="O35" s="56">
        <v>7848</v>
      </c>
      <c r="Q35" s="425" t="s">
        <v>1109</v>
      </c>
    </row>
    <row r="36" spans="1:17">
      <c r="A36" s="425" t="s">
        <v>5435</v>
      </c>
      <c r="B36" s="130" t="s">
        <v>1201</v>
      </c>
      <c r="C36" s="130" t="s">
        <v>15989</v>
      </c>
      <c r="D36" s="431">
        <v>0</v>
      </c>
      <c r="E36" s="431">
        <v>0</v>
      </c>
      <c r="F36" s="431">
        <v>0</v>
      </c>
      <c r="G36" s="431">
        <v>0</v>
      </c>
      <c r="H36" s="431">
        <v>0</v>
      </c>
      <c r="I36" s="431">
        <v>0</v>
      </c>
      <c r="J36" s="431">
        <v>0</v>
      </c>
      <c r="K36" s="431">
        <v>0</v>
      </c>
      <c r="L36" s="431">
        <v>0</v>
      </c>
      <c r="M36" s="431">
        <v>0</v>
      </c>
      <c r="N36" s="431">
        <v>0</v>
      </c>
      <c r="O36" s="58">
        <v>7547</v>
      </c>
      <c r="Q36" s="425" t="s">
        <v>1109</v>
      </c>
    </row>
    <row r="37" spans="1:17">
      <c r="A37" s="425" t="s">
        <v>5436</v>
      </c>
      <c r="B37" s="130" t="s">
        <v>1202</v>
      </c>
      <c r="C37" s="130" t="s">
        <v>15990</v>
      </c>
      <c r="D37" s="431">
        <v>0</v>
      </c>
      <c r="E37" s="431">
        <v>0</v>
      </c>
      <c r="F37" s="431">
        <v>0</v>
      </c>
      <c r="G37" s="431">
        <v>0</v>
      </c>
      <c r="H37" s="431">
        <v>0</v>
      </c>
      <c r="I37" s="431">
        <v>0</v>
      </c>
      <c r="J37" s="431">
        <v>0</v>
      </c>
      <c r="K37" s="431">
        <v>0</v>
      </c>
      <c r="L37" s="431">
        <v>0</v>
      </c>
      <c r="M37" s="431">
        <v>0</v>
      </c>
      <c r="N37" s="431">
        <v>0</v>
      </c>
      <c r="O37" s="58">
        <v>7572</v>
      </c>
      <c r="Q37" s="425" t="s">
        <v>1109</v>
      </c>
    </row>
    <row r="38" spans="1:17">
      <c r="A38" s="425" t="s">
        <v>5437</v>
      </c>
      <c r="B38" s="130" t="s">
        <v>1203</v>
      </c>
      <c r="C38" s="130" t="s">
        <v>15991</v>
      </c>
      <c r="D38" s="431">
        <v>0</v>
      </c>
      <c r="E38" s="431">
        <v>0</v>
      </c>
      <c r="F38" s="431">
        <v>0</v>
      </c>
      <c r="G38" s="431">
        <v>0</v>
      </c>
      <c r="H38" s="431">
        <v>0</v>
      </c>
      <c r="I38" s="431">
        <v>0</v>
      </c>
      <c r="J38" s="431">
        <v>0</v>
      </c>
      <c r="K38" s="431">
        <v>0</v>
      </c>
      <c r="L38" s="431">
        <v>0</v>
      </c>
      <c r="M38" s="431">
        <v>0</v>
      </c>
      <c r="N38" s="431">
        <v>0</v>
      </c>
      <c r="O38" s="58">
        <v>7375</v>
      </c>
      <c r="Q38" s="425" t="s">
        <v>1109</v>
      </c>
    </row>
    <row r="39" spans="1:17">
      <c r="J39" s="63"/>
      <c r="K39" s="63"/>
      <c r="L39" s="63"/>
    </row>
    <row r="40" spans="1:17">
      <c r="A40" s="425" t="s">
        <v>1289</v>
      </c>
      <c r="J40" s="63"/>
      <c r="K40" s="63"/>
      <c r="L40" s="63"/>
    </row>
    <row r="41" spans="1:17">
      <c r="A41" s="425" t="s">
        <v>15992</v>
      </c>
      <c r="J41" s="63"/>
      <c r="K41" s="63"/>
      <c r="L41" s="63"/>
    </row>
    <row r="42" spans="1:17">
      <c r="A42" s="130" t="s">
        <v>1290</v>
      </c>
    </row>
    <row r="44" spans="1:17">
      <c r="A44" s="1008" t="s">
        <v>16023</v>
      </c>
    </row>
    <row r="45" spans="1:17">
      <c r="A45" s="167" t="s">
        <v>16099</v>
      </c>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ignoredErrors>
    <ignoredError sqref="D3:D4 E3:E4 F3:F4 G3:G4 D5:D19 E5:E19 F5:F19 G5:G19 H3:H4 H5:H19 I3:I19 J3:J19 K3:K19 L3:L1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Q238"/>
  <sheetViews>
    <sheetView showGridLines="0" topLeftCell="A226" zoomScale="90" zoomScaleNormal="90" workbookViewId="0">
      <selection activeCell="A172" sqref="A172"/>
    </sheetView>
  </sheetViews>
  <sheetFormatPr defaultColWidth="12.5703125" defaultRowHeight="15"/>
  <cols>
    <col min="1" max="1" width="4.85546875" style="172" customWidth="1"/>
    <col min="2" max="2" width="45.7109375" style="172" customWidth="1"/>
    <col min="3" max="3" width="11.5703125" style="172" customWidth="1"/>
    <col min="4" max="15" width="10" style="172" customWidth="1"/>
    <col min="16" max="16" width="2.28515625" style="172" customWidth="1"/>
    <col min="17" max="17" width="29.85546875" style="172" customWidth="1"/>
    <col min="18" max="16384" width="12.5703125" style="172"/>
  </cols>
  <sheetData>
    <row r="1" spans="1:15">
      <c r="A1" s="882" t="s">
        <v>6924</v>
      </c>
      <c r="D1" s="883">
        <v>2010</v>
      </c>
      <c r="E1" s="883">
        <v>2011</v>
      </c>
      <c r="F1" s="883">
        <v>2012</v>
      </c>
      <c r="G1" s="883">
        <v>2013</v>
      </c>
      <c r="H1" s="883">
        <v>2014</v>
      </c>
      <c r="I1" s="883">
        <v>2015</v>
      </c>
      <c r="J1" s="883">
        <v>2016</v>
      </c>
      <c r="K1" s="883">
        <v>2017</v>
      </c>
      <c r="L1" s="883">
        <v>2018</v>
      </c>
      <c r="M1" s="883">
        <v>2019</v>
      </c>
      <c r="N1" s="883">
        <v>2020</v>
      </c>
      <c r="O1" s="991" t="s">
        <v>14823</v>
      </c>
    </row>
    <row r="3" spans="1:15">
      <c r="A3" s="882" t="s">
        <v>2980</v>
      </c>
      <c r="C3" s="882"/>
      <c r="D3" s="884">
        <f t="shared" ref="D3:I3" si="0">D59</f>
        <v>81831</v>
      </c>
      <c r="E3" s="884">
        <f t="shared" si="0"/>
        <v>82764</v>
      </c>
      <c r="F3" s="884">
        <f t="shared" si="0"/>
        <v>82926</v>
      </c>
      <c r="G3" s="884">
        <f t="shared" si="0"/>
        <v>83644</v>
      </c>
      <c r="H3" s="884">
        <f t="shared" si="0"/>
        <v>84240</v>
      </c>
      <c r="I3" s="884">
        <f t="shared" si="0"/>
        <v>81494</v>
      </c>
      <c r="J3" s="884">
        <f t="shared" ref="J3:O3" si="1">J59</f>
        <v>82150</v>
      </c>
      <c r="K3" s="884">
        <f t="shared" si="1"/>
        <v>84176</v>
      </c>
      <c r="L3" s="884">
        <f t="shared" si="1"/>
        <v>85182</v>
      </c>
      <c r="M3" s="884">
        <f t="shared" si="1"/>
        <v>84605</v>
      </c>
      <c r="N3" s="884">
        <f t="shared" si="1"/>
        <v>84181</v>
      </c>
      <c r="O3" s="884">
        <f t="shared" si="1"/>
        <v>86365</v>
      </c>
    </row>
    <row r="4" spans="1:15">
      <c r="A4" s="882" t="s">
        <v>2981</v>
      </c>
      <c r="C4" s="882"/>
      <c r="D4" s="884">
        <f t="shared" ref="D4:I4" si="2">D87</f>
        <v>104169</v>
      </c>
      <c r="E4" s="884">
        <f t="shared" si="2"/>
        <v>109451</v>
      </c>
      <c r="F4" s="884">
        <f t="shared" si="2"/>
        <v>111680</v>
      </c>
      <c r="G4" s="884">
        <f t="shared" si="2"/>
        <v>109811</v>
      </c>
      <c r="H4" s="884">
        <f t="shared" si="2"/>
        <v>110047</v>
      </c>
      <c r="I4" s="884">
        <f t="shared" si="2"/>
        <v>99868</v>
      </c>
      <c r="J4" s="884">
        <f t="shared" ref="J4:O4" si="3">J87</f>
        <v>95878</v>
      </c>
      <c r="K4" s="884">
        <f t="shared" si="3"/>
        <v>101011</v>
      </c>
      <c r="L4" s="884">
        <f t="shared" si="3"/>
        <v>102641</v>
      </c>
      <c r="M4" s="884">
        <f t="shared" si="3"/>
        <v>100396</v>
      </c>
      <c r="N4" s="884">
        <f t="shared" si="3"/>
        <v>108488</v>
      </c>
      <c r="O4" s="884">
        <f t="shared" si="3"/>
        <v>107541</v>
      </c>
    </row>
    <row r="5" spans="1:15">
      <c r="A5" s="882" t="s">
        <v>4444</v>
      </c>
      <c r="C5" s="882"/>
      <c r="D5" s="884">
        <f t="shared" ref="D5:I5" si="4">D113</f>
        <v>82005</v>
      </c>
      <c r="E5" s="884">
        <f t="shared" si="4"/>
        <v>84908</v>
      </c>
      <c r="F5" s="884">
        <f t="shared" si="4"/>
        <v>85694</v>
      </c>
      <c r="G5" s="884">
        <f t="shared" si="4"/>
        <v>87024</v>
      </c>
      <c r="H5" s="884">
        <f t="shared" si="4"/>
        <v>88433</v>
      </c>
      <c r="I5" s="884">
        <f t="shared" si="4"/>
        <v>87772</v>
      </c>
      <c r="J5" s="884">
        <f t="shared" ref="J5:O5" si="5">J113</f>
        <v>80072</v>
      </c>
      <c r="K5" s="884">
        <f t="shared" si="5"/>
        <v>84478</v>
      </c>
      <c r="L5" s="884">
        <f t="shared" si="5"/>
        <v>84311</v>
      </c>
      <c r="M5" s="884">
        <f t="shared" si="5"/>
        <v>85577</v>
      </c>
      <c r="N5" s="884">
        <f t="shared" si="5"/>
        <v>86758</v>
      </c>
      <c r="O5" s="884">
        <f t="shared" si="5"/>
        <v>87846</v>
      </c>
    </row>
    <row r="6" spans="1:15">
      <c r="A6" s="882" t="s">
        <v>4445</v>
      </c>
      <c r="C6" s="882"/>
      <c r="D6" s="884">
        <f t="shared" ref="D6:I6" si="6">D138</f>
        <v>113835</v>
      </c>
      <c r="E6" s="884">
        <f t="shared" si="6"/>
        <v>113065</v>
      </c>
      <c r="F6" s="884">
        <f t="shared" si="6"/>
        <v>111375</v>
      </c>
      <c r="G6" s="884">
        <f t="shared" si="6"/>
        <v>114661</v>
      </c>
      <c r="H6" s="884">
        <f t="shared" si="6"/>
        <v>113985</v>
      </c>
      <c r="I6" s="884">
        <f t="shared" si="6"/>
        <v>112436</v>
      </c>
      <c r="J6" s="884">
        <f t="shared" ref="J6:O6" si="7">J138</f>
        <v>114469</v>
      </c>
      <c r="K6" s="884">
        <f t="shared" si="7"/>
        <v>118152</v>
      </c>
      <c r="L6" s="884">
        <f t="shared" si="7"/>
        <v>118317</v>
      </c>
      <c r="M6" s="884">
        <f t="shared" si="7"/>
        <v>117789</v>
      </c>
      <c r="N6" s="884">
        <f t="shared" si="7"/>
        <v>120776</v>
      </c>
      <c r="O6" s="884">
        <f t="shared" si="7"/>
        <v>120432</v>
      </c>
    </row>
    <row r="7" spans="1:15">
      <c r="A7" s="882" t="s">
        <v>4446</v>
      </c>
      <c r="C7" s="882"/>
      <c r="D7" s="884">
        <f t="shared" ref="D7:I7" si="8">D177</f>
        <v>97888</v>
      </c>
      <c r="E7" s="884">
        <f t="shared" si="8"/>
        <v>100820</v>
      </c>
      <c r="F7" s="884">
        <f t="shared" si="8"/>
        <v>102251</v>
      </c>
      <c r="G7" s="884">
        <f t="shared" si="8"/>
        <v>102413</v>
      </c>
      <c r="H7" s="884">
        <f t="shared" si="8"/>
        <v>101745</v>
      </c>
      <c r="I7" s="884">
        <f t="shared" si="8"/>
        <v>99418</v>
      </c>
      <c r="J7" s="884">
        <f t="shared" ref="J7:O7" si="9">J177</f>
        <v>97048</v>
      </c>
      <c r="K7" s="884">
        <f t="shared" si="9"/>
        <v>102100</v>
      </c>
      <c r="L7" s="884">
        <f t="shared" si="9"/>
        <v>103106</v>
      </c>
      <c r="M7" s="884">
        <f t="shared" si="9"/>
        <v>102055</v>
      </c>
      <c r="N7" s="884">
        <f t="shared" si="9"/>
        <v>107183</v>
      </c>
      <c r="O7" s="884">
        <f t="shared" si="9"/>
        <v>107695</v>
      </c>
    </row>
    <row r="8" spans="1:15" ht="15.75" thickBot="1">
      <c r="A8" s="882" t="s">
        <v>4447</v>
      </c>
      <c r="C8" s="882"/>
      <c r="D8" s="885">
        <f t="shared" ref="D8:I8" si="10">D206</f>
        <v>118450</v>
      </c>
      <c r="E8" s="885">
        <f t="shared" si="10"/>
        <v>117640</v>
      </c>
      <c r="F8" s="885">
        <f t="shared" si="10"/>
        <v>118427</v>
      </c>
      <c r="G8" s="885">
        <f t="shared" si="10"/>
        <v>118694</v>
      </c>
      <c r="H8" s="885">
        <f t="shared" si="10"/>
        <v>119191</v>
      </c>
      <c r="I8" s="885">
        <f t="shared" si="10"/>
        <v>117037</v>
      </c>
      <c r="J8" s="885">
        <f t="shared" ref="J8:O8" si="11">J206</f>
        <v>118059</v>
      </c>
      <c r="K8" s="885">
        <f t="shared" si="11"/>
        <v>121681</v>
      </c>
      <c r="L8" s="885">
        <f t="shared" si="11"/>
        <v>120451</v>
      </c>
      <c r="M8" s="885">
        <f t="shared" si="11"/>
        <v>119715</v>
      </c>
      <c r="N8" s="885">
        <f t="shared" si="11"/>
        <v>128118</v>
      </c>
      <c r="O8" s="885">
        <f t="shared" si="11"/>
        <v>125258</v>
      </c>
    </row>
    <row r="9" spans="1:15" ht="15.75" thickBot="1">
      <c r="A9" s="882"/>
      <c r="D9" s="885">
        <f t="shared" ref="D9:I9" si="12">SUM(D3:D8)</f>
        <v>598178</v>
      </c>
      <c r="E9" s="885">
        <f t="shared" si="12"/>
        <v>608648</v>
      </c>
      <c r="F9" s="885">
        <f t="shared" si="12"/>
        <v>612353</v>
      </c>
      <c r="G9" s="885">
        <f t="shared" si="12"/>
        <v>616247</v>
      </c>
      <c r="H9" s="885">
        <f t="shared" si="12"/>
        <v>617641</v>
      </c>
      <c r="I9" s="885">
        <f t="shared" si="12"/>
        <v>598025</v>
      </c>
      <c r="J9" s="885">
        <f t="shared" ref="J9:O9" si="13">SUM(J3:J8)</f>
        <v>587676</v>
      </c>
      <c r="K9" s="885">
        <f t="shared" si="13"/>
        <v>611598</v>
      </c>
      <c r="L9" s="885">
        <f t="shared" si="13"/>
        <v>614008</v>
      </c>
      <c r="M9" s="885">
        <f t="shared" si="13"/>
        <v>610137</v>
      </c>
      <c r="N9" s="885">
        <f t="shared" si="13"/>
        <v>635504</v>
      </c>
      <c r="O9" s="885">
        <f t="shared" si="13"/>
        <v>635137</v>
      </c>
    </row>
    <row r="10" spans="1:15" s="76" customFormat="1"/>
    <row r="11" spans="1:15">
      <c r="A11" s="882" t="s">
        <v>6663</v>
      </c>
      <c r="D11" s="884">
        <f t="shared" ref="D11:I11" si="14">D3/1</f>
        <v>81831</v>
      </c>
      <c r="E11" s="884">
        <f t="shared" si="14"/>
        <v>82764</v>
      </c>
      <c r="F11" s="884">
        <f t="shared" si="14"/>
        <v>82926</v>
      </c>
      <c r="G11" s="884">
        <f t="shared" si="14"/>
        <v>83644</v>
      </c>
      <c r="H11" s="884">
        <f t="shared" si="14"/>
        <v>84240</v>
      </c>
      <c r="I11" s="884">
        <f t="shared" si="14"/>
        <v>81494</v>
      </c>
      <c r="J11" s="884">
        <f t="shared" ref="J11:O12" si="15">J3/1</f>
        <v>82150</v>
      </c>
      <c r="K11" s="884">
        <f t="shared" si="15"/>
        <v>84176</v>
      </c>
      <c r="L11" s="884">
        <f t="shared" si="15"/>
        <v>85182</v>
      </c>
      <c r="M11" s="884">
        <f t="shared" si="15"/>
        <v>84605</v>
      </c>
      <c r="N11" s="884">
        <f t="shared" si="15"/>
        <v>84181</v>
      </c>
      <c r="O11" s="884">
        <f t="shared" si="15"/>
        <v>86365</v>
      </c>
    </row>
    <row r="12" spans="1:15">
      <c r="A12" s="882" t="s">
        <v>6664</v>
      </c>
      <c r="D12" s="884">
        <f t="shared" ref="D12:I12" si="16">D4/1</f>
        <v>104169</v>
      </c>
      <c r="E12" s="884">
        <f t="shared" si="16"/>
        <v>109451</v>
      </c>
      <c r="F12" s="884">
        <f t="shared" si="16"/>
        <v>111680</v>
      </c>
      <c r="G12" s="884">
        <f t="shared" si="16"/>
        <v>109811</v>
      </c>
      <c r="H12" s="884">
        <f t="shared" si="16"/>
        <v>110047</v>
      </c>
      <c r="I12" s="884">
        <f t="shared" si="16"/>
        <v>99868</v>
      </c>
      <c r="J12" s="884">
        <f t="shared" si="15"/>
        <v>95878</v>
      </c>
      <c r="K12" s="884">
        <f t="shared" si="15"/>
        <v>101011</v>
      </c>
      <c r="L12" s="884">
        <f t="shared" si="15"/>
        <v>102641</v>
      </c>
      <c r="M12" s="884">
        <f t="shared" si="15"/>
        <v>100396</v>
      </c>
      <c r="N12" s="884">
        <f t="shared" si="15"/>
        <v>108488</v>
      </c>
      <c r="O12" s="884">
        <f t="shared" si="15"/>
        <v>107541</v>
      </c>
    </row>
    <row r="13" spans="1:15">
      <c r="A13" s="882" t="s">
        <v>6665</v>
      </c>
      <c r="D13" s="884">
        <f>D5/1</f>
        <v>82005</v>
      </c>
      <c r="E13" s="884">
        <f t="shared" ref="E13:J13" si="17">E5/1</f>
        <v>84908</v>
      </c>
      <c r="F13" s="884">
        <f t="shared" si="17"/>
        <v>85694</v>
      </c>
      <c r="G13" s="884">
        <f t="shared" si="17"/>
        <v>87024</v>
      </c>
      <c r="H13" s="884">
        <f t="shared" si="17"/>
        <v>88433</v>
      </c>
      <c r="I13" s="884">
        <f t="shared" si="17"/>
        <v>87772</v>
      </c>
      <c r="J13" s="884">
        <f t="shared" si="17"/>
        <v>80072</v>
      </c>
      <c r="K13" s="884">
        <f>K5/1</f>
        <v>84478</v>
      </c>
      <c r="L13" s="884">
        <f>L5/1</f>
        <v>84311</v>
      </c>
      <c r="M13" s="884">
        <f>M5/1</f>
        <v>85577</v>
      </c>
      <c r="N13" s="884">
        <f>N5/1</f>
        <v>86758</v>
      </c>
      <c r="O13" s="884">
        <f>O5/1</f>
        <v>87846</v>
      </c>
    </row>
    <row r="14" spans="1:15">
      <c r="A14" s="882" t="s">
        <v>6666</v>
      </c>
      <c r="D14" s="884">
        <f t="shared" ref="D14:J14" si="18">D6/2</f>
        <v>56917.5</v>
      </c>
      <c r="E14" s="884">
        <f t="shared" si="18"/>
        <v>56532.5</v>
      </c>
      <c r="F14" s="884">
        <f t="shared" si="18"/>
        <v>55687.5</v>
      </c>
      <c r="G14" s="884">
        <f t="shared" si="18"/>
        <v>57330.5</v>
      </c>
      <c r="H14" s="884">
        <f t="shared" si="18"/>
        <v>56992.5</v>
      </c>
      <c r="I14" s="884">
        <f t="shared" si="18"/>
        <v>56218</v>
      </c>
      <c r="J14" s="884">
        <f t="shared" si="18"/>
        <v>57234.5</v>
      </c>
      <c r="K14" s="884">
        <f>K6/2</f>
        <v>59076</v>
      </c>
      <c r="L14" s="884">
        <f>L6/2</f>
        <v>59158.5</v>
      </c>
      <c r="M14" s="884">
        <f>M6/2</f>
        <v>58894.5</v>
      </c>
      <c r="N14" s="884">
        <f>N6/2</f>
        <v>60388</v>
      </c>
      <c r="O14" s="884">
        <f>O6/2</f>
        <v>60216</v>
      </c>
    </row>
    <row r="15" spans="1:15">
      <c r="A15" s="882" t="s">
        <v>6667</v>
      </c>
      <c r="D15" s="884">
        <f t="shared" ref="D15:J15" si="19">D7/1</f>
        <v>97888</v>
      </c>
      <c r="E15" s="884">
        <f t="shared" si="19"/>
        <v>100820</v>
      </c>
      <c r="F15" s="884">
        <f t="shared" si="19"/>
        <v>102251</v>
      </c>
      <c r="G15" s="884">
        <f t="shared" si="19"/>
        <v>102413</v>
      </c>
      <c r="H15" s="884">
        <f t="shared" si="19"/>
        <v>101745</v>
      </c>
      <c r="I15" s="884">
        <f t="shared" si="19"/>
        <v>99418</v>
      </c>
      <c r="J15" s="884">
        <f t="shared" si="19"/>
        <v>97048</v>
      </c>
      <c r="K15" s="884">
        <f>K7/1</f>
        <v>102100</v>
      </c>
      <c r="L15" s="884">
        <f>L7/1</f>
        <v>103106</v>
      </c>
      <c r="M15" s="884">
        <f>M7/1</f>
        <v>102055</v>
      </c>
      <c r="N15" s="884">
        <f>N7/1</f>
        <v>107183</v>
      </c>
      <c r="O15" s="884">
        <f>O7/1</f>
        <v>107695</v>
      </c>
    </row>
    <row r="16" spans="1:15">
      <c r="A16" s="882" t="s">
        <v>5994</v>
      </c>
      <c r="D16" s="884">
        <f t="shared" ref="D16:J16" si="20">D8/2</f>
        <v>59225</v>
      </c>
      <c r="E16" s="884">
        <f t="shared" si="20"/>
        <v>58820</v>
      </c>
      <c r="F16" s="884">
        <f t="shared" si="20"/>
        <v>59213.5</v>
      </c>
      <c r="G16" s="884">
        <f t="shared" si="20"/>
        <v>59347</v>
      </c>
      <c r="H16" s="884">
        <f t="shared" si="20"/>
        <v>59595.5</v>
      </c>
      <c r="I16" s="884">
        <f t="shared" si="20"/>
        <v>58518.5</v>
      </c>
      <c r="J16" s="884">
        <f t="shared" si="20"/>
        <v>59029.5</v>
      </c>
      <c r="K16" s="884">
        <f>K8/2</f>
        <v>60840.5</v>
      </c>
      <c r="L16" s="884">
        <f>L8/2</f>
        <v>60225.5</v>
      </c>
      <c r="M16" s="884">
        <f>M8/2</f>
        <v>59857.5</v>
      </c>
      <c r="N16" s="884">
        <f>N8/2</f>
        <v>64059</v>
      </c>
      <c r="O16" s="884">
        <f>O8/2</f>
        <v>62629</v>
      </c>
    </row>
    <row r="17" spans="1:17">
      <c r="A17" s="882" t="s">
        <v>5995</v>
      </c>
      <c r="D17" s="884">
        <f t="shared" ref="D17:J17" si="21">D9/8</f>
        <v>74772.25</v>
      </c>
      <c r="E17" s="884">
        <f t="shared" si="21"/>
        <v>76081</v>
      </c>
      <c r="F17" s="884">
        <f t="shared" si="21"/>
        <v>76544.125</v>
      </c>
      <c r="G17" s="884">
        <f t="shared" si="21"/>
        <v>77030.875</v>
      </c>
      <c r="H17" s="884">
        <f t="shared" si="21"/>
        <v>77205.125</v>
      </c>
      <c r="I17" s="884">
        <f t="shared" si="21"/>
        <v>74753.125</v>
      </c>
      <c r="J17" s="884">
        <f t="shared" si="21"/>
        <v>73459.5</v>
      </c>
      <c r="K17" s="884">
        <f>K9/8</f>
        <v>76449.75</v>
      </c>
      <c r="L17" s="884">
        <f>L9/8</f>
        <v>76751</v>
      </c>
      <c r="M17" s="884">
        <f>M9/8</f>
        <v>76267.125</v>
      </c>
      <c r="N17" s="884">
        <f>N9/8</f>
        <v>79438</v>
      </c>
      <c r="O17" s="884">
        <f>O9/8</f>
        <v>79392.125</v>
      </c>
    </row>
    <row r="18" spans="1:17">
      <c r="A18" s="882"/>
      <c r="D18" s="886"/>
      <c r="E18" s="886"/>
      <c r="F18" s="886"/>
      <c r="G18" s="886"/>
      <c r="H18" s="886"/>
      <c r="I18" s="886"/>
      <c r="J18" s="886"/>
      <c r="K18" s="886"/>
      <c r="L18" s="886"/>
      <c r="M18" s="886"/>
      <c r="N18" s="886"/>
      <c r="O18" s="886"/>
    </row>
    <row r="19" spans="1:17">
      <c r="A19" s="882" t="s">
        <v>5996</v>
      </c>
      <c r="D19" s="884">
        <f t="shared" ref="D19:I19" si="22">D79</f>
        <v>62098</v>
      </c>
      <c r="E19" s="884">
        <f t="shared" si="22"/>
        <v>62766</v>
      </c>
      <c r="F19" s="884">
        <f t="shared" si="22"/>
        <v>62710</v>
      </c>
      <c r="G19" s="884">
        <f t="shared" si="22"/>
        <v>63187</v>
      </c>
      <c r="H19" s="884">
        <f t="shared" si="22"/>
        <v>63718</v>
      </c>
      <c r="I19" s="884">
        <f t="shared" si="22"/>
        <v>61594</v>
      </c>
      <c r="J19" s="884">
        <f t="shared" ref="J19:O19" si="23">J79</f>
        <v>62101</v>
      </c>
      <c r="K19" s="884">
        <f t="shared" si="23"/>
        <v>63456</v>
      </c>
      <c r="L19" s="884">
        <f t="shared" si="23"/>
        <v>63967</v>
      </c>
      <c r="M19" s="884">
        <f t="shared" si="23"/>
        <v>63376</v>
      </c>
      <c r="N19" s="884">
        <f t="shared" si="23"/>
        <v>62778</v>
      </c>
      <c r="O19" s="884">
        <f t="shared" si="23"/>
        <v>64324</v>
      </c>
      <c r="Q19" s="882" t="s">
        <v>5997</v>
      </c>
    </row>
    <row r="20" spans="1:17" ht="15.75" thickBot="1">
      <c r="D20" s="885">
        <f t="shared" ref="D20:I20" si="24">D233</f>
        <v>14849</v>
      </c>
      <c r="E20" s="885">
        <f t="shared" si="24"/>
        <v>14724</v>
      </c>
      <c r="F20" s="885">
        <f t="shared" si="24"/>
        <v>14735</v>
      </c>
      <c r="G20" s="885">
        <f t="shared" si="24"/>
        <v>14791</v>
      </c>
      <c r="H20" s="885">
        <f t="shared" si="24"/>
        <v>14867</v>
      </c>
      <c r="I20" s="885">
        <f t="shared" si="24"/>
        <v>14693</v>
      </c>
      <c r="J20" s="885">
        <f t="shared" ref="J20:O20" si="25">J233</f>
        <v>14816</v>
      </c>
      <c r="K20" s="885">
        <f t="shared" si="25"/>
        <v>15041</v>
      </c>
      <c r="L20" s="885">
        <f t="shared" si="25"/>
        <v>14742</v>
      </c>
      <c r="M20" s="885">
        <f t="shared" si="25"/>
        <v>14621</v>
      </c>
      <c r="N20" s="885">
        <f t="shared" si="25"/>
        <v>15380</v>
      </c>
      <c r="O20" s="885">
        <f t="shared" si="25"/>
        <v>15020</v>
      </c>
      <c r="Q20" s="882" t="s">
        <v>5998</v>
      </c>
    </row>
    <row r="21" spans="1:17" ht="15.75" thickBot="1">
      <c r="D21" s="885">
        <f t="shared" ref="D21:I21" si="26">SUM(D19:D20)</f>
        <v>76947</v>
      </c>
      <c r="E21" s="885">
        <f t="shared" si="26"/>
        <v>77490</v>
      </c>
      <c r="F21" s="885">
        <f t="shared" si="26"/>
        <v>77445</v>
      </c>
      <c r="G21" s="885">
        <f t="shared" si="26"/>
        <v>77978</v>
      </c>
      <c r="H21" s="885">
        <f t="shared" si="26"/>
        <v>78585</v>
      </c>
      <c r="I21" s="885">
        <f t="shared" si="26"/>
        <v>76287</v>
      </c>
      <c r="J21" s="885">
        <f t="shared" ref="J21:O21" si="27">SUM(J19:J20)</f>
        <v>76917</v>
      </c>
      <c r="K21" s="885">
        <f t="shared" si="27"/>
        <v>78497</v>
      </c>
      <c r="L21" s="885">
        <f t="shared" si="27"/>
        <v>78709</v>
      </c>
      <c r="M21" s="885">
        <f t="shared" si="27"/>
        <v>77997</v>
      </c>
      <c r="N21" s="885">
        <f t="shared" si="27"/>
        <v>78158</v>
      </c>
      <c r="O21" s="885">
        <f t="shared" si="27"/>
        <v>79344</v>
      </c>
    </row>
    <row r="22" spans="1:17">
      <c r="D22" s="887"/>
      <c r="E22" s="887"/>
      <c r="F22" s="887"/>
      <c r="G22" s="887"/>
      <c r="H22" s="887"/>
      <c r="I22" s="887"/>
      <c r="J22" s="887"/>
      <c r="K22" s="887"/>
      <c r="L22" s="887"/>
      <c r="M22" s="887"/>
      <c r="N22" s="887"/>
      <c r="O22" s="887"/>
    </row>
    <row r="23" spans="1:17">
      <c r="A23" s="882" t="s">
        <v>5999</v>
      </c>
      <c r="D23" s="884">
        <f t="shared" ref="D23:I23" si="28">D198</f>
        <v>52248</v>
      </c>
      <c r="E23" s="884">
        <f t="shared" si="28"/>
        <v>53766</v>
      </c>
      <c r="F23" s="884">
        <f t="shared" si="28"/>
        <v>54579</v>
      </c>
      <c r="G23" s="884">
        <f t="shared" si="28"/>
        <v>54805</v>
      </c>
      <c r="H23" s="884">
        <f t="shared" si="28"/>
        <v>54041</v>
      </c>
      <c r="I23" s="884">
        <f t="shared" si="28"/>
        <v>53095</v>
      </c>
      <c r="J23" s="884">
        <f t="shared" ref="J23:O23" si="29">J198</f>
        <v>51667</v>
      </c>
      <c r="K23" s="884">
        <f t="shared" si="29"/>
        <v>54275</v>
      </c>
      <c r="L23" s="884">
        <f t="shared" si="29"/>
        <v>54817</v>
      </c>
      <c r="M23" s="884">
        <f t="shared" si="29"/>
        <v>54155</v>
      </c>
      <c r="N23" s="884">
        <f t="shared" si="29"/>
        <v>57051</v>
      </c>
      <c r="O23" s="884">
        <f t="shared" si="29"/>
        <v>57345</v>
      </c>
      <c r="Q23" s="882" t="s">
        <v>6000</v>
      </c>
    </row>
    <row r="24" spans="1:17" ht="15.75" thickBot="1">
      <c r="D24" s="885">
        <f t="shared" ref="D24:I24" si="30">D234</f>
        <v>20320</v>
      </c>
      <c r="E24" s="885">
        <f t="shared" si="30"/>
        <v>20262</v>
      </c>
      <c r="F24" s="885">
        <f t="shared" si="30"/>
        <v>20297</v>
      </c>
      <c r="G24" s="885">
        <f t="shared" si="30"/>
        <v>20394</v>
      </c>
      <c r="H24" s="885">
        <f t="shared" si="30"/>
        <v>20273</v>
      </c>
      <c r="I24" s="885">
        <f t="shared" si="30"/>
        <v>20014</v>
      </c>
      <c r="J24" s="885">
        <f t="shared" ref="J24:O24" si="31">J234</f>
        <v>20167</v>
      </c>
      <c r="K24" s="885">
        <f t="shared" si="31"/>
        <v>20568</v>
      </c>
      <c r="L24" s="885">
        <f t="shared" si="31"/>
        <v>20134</v>
      </c>
      <c r="M24" s="885">
        <f t="shared" si="31"/>
        <v>19629</v>
      </c>
      <c r="N24" s="885">
        <f t="shared" si="31"/>
        <v>20692</v>
      </c>
      <c r="O24" s="885">
        <f t="shared" si="31"/>
        <v>20208</v>
      </c>
      <c r="Q24" s="882" t="s">
        <v>5998</v>
      </c>
    </row>
    <row r="25" spans="1:17" ht="15.75" thickBot="1">
      <c r="D25" s="885">
        <f t="shared" ref="D25:I25" si="32">D23+D24</f>
        <v>72568</v>
      </c>
      <c r="E25" s="885">
        <f t="shared" si="32"/>
        <v>74028</v>
      </c>
      <c r="F25" s="885">
        <f t="shared" si="32"/>
        <v>74876</v>
      </c>
      <c r="G25" s="885">
        <f t="shared" si="32"/>
        <v>75199</v>
      </c>
      <c r="H25" s="885">
        <f t="shared" si="32"/>
        <v>74314</v>
      </c>
      <c r="I25" s="885">
        <f t="shared" si="32"/>
        <v>73109</v>
      </c>
      <c r="J25" s="885">
        <f t="shared" ref="J25:O25" si="33">J23+J24</f>
        <v>71834</v>
      </c>
      <c r="K25" s="885">
        <f t="shared" si="33"/>
        <v>74843</v>
      </c>
      <c r="L25" s="885">
        <f t="shared" si="33"/>
        <v>74951</v>
      </c>
      <c r="M25" s="885">
        <f t="shared" si="33"/>
        <v>73784</v>
      </c>
      <c r="N25" s="885">
        <f t="shared" si="33"/>
        <v>77743</v>
      </c>
      <c r="O25" s="885">
        <f t="shared" si="33"/>
        <v>77553</v>
      </c>
    </row>
    <row r="26" spans="1:17">
      <c r="D26" s="887"/>
      <c r="E26" s="887"/>
      <c r="F26" s="887"/>
      <c r="G26" s="887"/>
      <c r="H26" s="887"/>
      <c r="I26" s="887"/>
      <c r="J26" s="887"/>
      <c r="K26" s="887"/>
      <c r="L26" s="887"/>
      <c r="M26" s="887"/>
      <c r="N26" s="887"/>
      <c r="O26" s="887"/>
    </row>
    <row r="27" spans="1:17">
      <c r="A27" s="882" t="s">
        <v>6001</v>
      </c>
      <c r="D27" s="884">
        <f t="shared" ref="D27:I27" si="34">D168</f>
        <v>78468</v>
      </c>
      <c r="E27" s="884">
        <f t="shared" si="34"/>
        <v>77898</v>
      </c>
      <c r="F27" s="884">
        <f t="shared" si="34"/>
        <v>77293</v>
      </c>
      <c r="G27" s="884">
        <f t="shared" si="34"/>
        <v>79351</v>
      </c>
      <c r="H27" s="884">
        <f t="shared" si="34"/>
        <v>78760</v>
      </c>
      <c r="I27" s="884">
        <f t="shared" si="34"/>
        <v>77463</v>
      </c>
      <c r="J27" s="884">
        <f t="shared" ref="J27:O27" si="35">J168</f>
        <v>78963</v>
      </c>
      <c r="K27" s="884">
        <f t="shared" si="35"/>
        <v>81818</v>
      </c>
      <c r="L27" s="884">
        <f t="shared" si="35"/>
        <v>82034</v>
      </c>
      <c r="M27" s="884">
        <f t="shared" si="35"/>
        <v>81728</v>
      </c>
      <c r="N27" s="884">
        <f t="shared" si="35"/>
        <v>83878</v>
      </c>
      <c r="O27" s="884">
        <f t="shared" si="35"/>
        <v>83638</v>
      </c>
      <c r="Q27" s="882" t="s">
        <v>6002</v>
      </c>
    </row>
    <row r="28" spans="1:17">
      <c r="D28" s="887"/>
      <c r="E28" s="887"/>
      <c r="F28" s="887"/>
      <c r="G28" s="887"/>
      <c r="H28" s="887"/>
      <c r="I28" s="887"/>
      <c r="J28" s="887"/>
      <c r="K28" s="887"/>
      <c r="L28" s="887"/>
      <c r="M28" s="887"/>
      <c r="N28" s="887"/>
      <c r="O28" s="887"/>
    </row>
    <row r="29" spans="1:17">
      <c r="A29" s="882" t="s">
        <v>6003</v>
      </c>
      <c r="D29" s="884">
        <f t="shared" ref="D29:I29" si="36">D105</f>
        <v>57166</v>
      </c>
      <c r="E29" s="884">
        <f t="shared" si="36"/>
        <v>60611</v>
      </c>
      <c r="F29" s="884">
        <f t="shared" si="36"/>
        <v>61952</v>
      </c>
      <c r="G29" s="884">
        <f t="shared" si="36"/>
        <v>60516</v>
      </c>
      <c r="H29" s="884">
        <f t="shared" si="36"/>
        <v>60652</v>
      </c>
      <c r="I29" s="884">
        <f t="shared" si="36"/>
        <v>53295</v>
      </c>
      <c r="J29" s="884">
        <f t="shared" ref="J29:O29" si="37">J105</f>
        <v>50599</v>
      </c>
      <c r="K29" s="884">
        <f t="shared" si="37"/>
        <v>53696</v>
      </c>
      <c r="L29" s="884">
        <f t="shared" si="37"/>
        <v>54617</v>
      </c>
      <c r="M29" s="884">
        <f t="shared" si="37"/>
        <v>52850</v>
      </c>
      <c r="N29" s="884">
        <f t="shared" si="37"/>
        <v>58800</v>
      </c>
      <c r="O29" s="884">
        <f t="shared" si="37"/>
        <v>58100</v>
      </c>
      <c r="Q29" s="882" t="s">
        <v>6004</v>
      </c>
    </row>
    <row r="30" spans="1:17" ht="15.75" thickBot="1">
      <c r="D30" s="885">
        <f t="shared" ref="D30:I30" si="38">D235</f>
        <v>17689</v>
      </c>
      <c r="E30" s="885">
        <f t="shared" si="38"/>
        <v>17559</v>
      </c>
      <c r="F30" s="885">
        <f t="shared" si="38"/>
        <v>17688</v>
      </c>
      <c r="G30" s="885">
        <f t="shared" si="38"/>
        <v>17206</v>
      </c>
      <c r="H30" s="885">
        <f t="shared" si="38"/>
        <v>17314</v>
      </c>
      <c r="I30" s="885">
        <f t="shared" si="38"/>
        <v>17066</v>
      </c>
      <c r="J30" s="885">
        <f t="shared" ref="J30:O30" si="39">J235</f>
        <v>17247</v>
      </c>
      <c r="K30" s="885">
        <f t="shared" si="39"/>
        <v>17904</v>
      </c>
      <c r="L30" s="885">
        <f t="shared" si="39"/>
        <v>18030</v>
      </c>
      <c r="M30" s="885">
        <f t="shared" si="39"/>
        <v>17967</v>
      </c>
      <c r="N30" s="885">
        <f t="shared" si="39"/>
        <v>18941</v>
      </c>
      <c r="O30" s="885">
        <f t="shared" si="39"/>
        <v>18555</v>
      </c>
      <c r="Q30" s="882" t="s">
        <v>5998</v>
      </c>
    </row>
    <row r="31" spans="1:17" ht="15.75" thickBot="1">
      <c r="D31" s="885">
        <f t="shared" ref="D31:I31" si="40">D29+D30</f>
        <v>74855</v>
      </c>
      <c r="E31" s="885">
        <f t="shared" si="40"/>
        <v>78170</v>
      </c>
      <c r="F31" s="885">
        <f t="shared" si="40"/>
        <v>79640</v>
      </c>
      <c r="G31" s="885">
        <f t="shared" si="40"/>
        <v>77722</v>
      </c>
      <c r="H31" s="885">
        <f t="shared" si="40"/>
        <v>77966</v>
      </c>
      <c r="I31" s="885">
        <f t="shared" si="40"/>
        <v>70361</v>
      </c>
      <c r="J31" s="885">
        <f t="shared" ref="J31:O31" si="41">J29+J30</f>
        <v>67846</v>
      </c>
      <c r="K31" s="885">
        <f t="shared" si="41"/>
        <v>71600</v>
      </c>
      <c r="L31" s="885">
        <f t="shared" si="41"/>
        <v>72647</v>
      </c>
      <c r="M31" s="885">
        <f t="shared" si="41"/>
        <v>70817</v>
      </c>
      <c r="N31" s="885">
        <f t="shared" si="41"/>
        <v>77741</v>
      </c>
      <c r="O31" s="885">
        <f t="shared" si="41"/>
        <v>76655</v>
      </c>
    </row>
    <row r="32" spans="1:17">
      <c r="D32" s="887"/>
      <c r="E32" s="887"/>
      <c r="F32" s="887"/>
      <c r="G32" s="887"/>
      <c r="H32" s="887"/>
      <c r="I32" s="887"/>
      <c r="J32" s="887"/>
      <c r="K32" s="887"/>
      <c r="L32" s="887"/>
      <c r="M32" s="887"/>
      <c r="N32" s="887"/>
      <c r="O32" s="887"/>
    </row>
    <row r="33" spans="1:17">
      <c r="A33" s="882" t="s">
        <v>6005</v>
      </c>
      <c r="D33" s="888">
        <f t="shared" ref="D33:I33" si="42">D106</f>
        <v>47003</v>
      </c>
      <c r="E33" s="888">
        <f t="shared" si="42"/>
        <v>48840</v>
      </c>
      <c r="F33" s="888">
        <f t="shared" si="42"/>
        <v>49728</v>
      </c>
      <c r="G33" s="888">
        <f t="shared" si="42"/>
        <v>49295</v>
      </c>
      <c r="H33" s="888">
        <f t="shared" si="42"/>
        <v>49395</v>
      </c>
      <c r="I33" s="888">
        <f t="shared" si="42"/>
        <v>46573</v>
      </c>
      <c r="J33" s="888">
        <f t="shared" ref="J33:O33" si="43">J106</f>
        <v>45279</v>
      </c>
      <c r="K33" s="888">
        <f t="shared" si="43"/>
        <v>47315</v>
      </c>
      <c r="L33" s="888">
        <f t="shared" si="43"/>
        <v>48024</v>
      </c>
      <c r="M33" s="888">
        <f t="shared" si="43"/>
        <v>47546</v>
      </c>
      <c r="N33" s="888">
        <f t="shared" si="43"/>
        <v>49688</v>
      </c>
      <c r="O33" s="888">
        <f t="shared" si="43"/>
        <v>49441</v>
      </c>
      <c r="Q33" s="882" t="s">
        <v>6004</v>
      </c>
    </row>
    <row r="34" spans="1:17" ht="15.75" thickBot="1">
      <c r="D34" s="885">
        <f t="shared" ref="D34:I34" si="44">D169</f>
        <v>24581</v>
      </c>
      <c r="E34" s="885">
        <f t="shared" si="44"/>
        <v>24376</v>
      </c>
      <c r="F34" s="885">
        <f t="shared" si="44"/>
        <v>23420</v>
      </c>
      <c r="G34" s="885">
        <f t="shared" si="44"/>
        <v>24342</v>
      </c>
      <c r="H34" s="885">
        <f t="shared" si="44"/>
        <v>24325</v>
      </c>
      <c r="I34" s="885">
        <f t="shared" si="44"/>
        <v>24108</v>
      </c>
      <c r="J34" s="885">
        <f t="shared" ref="J34:O34" si="45">J169</f>
        <v>24430</v>
      </c>
      <c r="K34" s="885">
        <f t="shared" si="45"/>
        <v>24957</v>
      </c>
      <c r="L34" s="885">
        <f t="shared" si="45"/>
        <v>24982</v>
      </c>
      <c r="M34" s="885">
        <f t="shared" si="45"/>
        <v>24912</v>
      </c>
      <c r="N34" s="885">
        <f t="shared" si="45"/>
        <v>25452</v>
      </c>
      <c r="O34" s="885">
        <f t="shared" si="45"/>
        <v>25397</v>
      </c>
      <c r="Q34" s="882" t="s">
        <v>6002</v>
      </c>
    </row>
    <row r="35" spans="1:17" ht="15.75" thickBot="1">
      <c r="D35" s="885">
        <f t="shared" ref="D35:I35" si="46">D33+D34</f>
        <v>71584</v>
      </c>
      <c r="E35" s="885">
        <f t="shared" si="46"/>
        <v>73216</v>
      </c>
      <c r="F35" s="885">
        <f t="shared" si="46"/>
        <v>73148</v>
      </c>
      <c r="G35" s="885">
        <f t="shared" si="46"/>
        <v>73637</v>
      </c>
      <c r="H35" s="885">
        <f t="shared" si="46"/>
        <v>73720</v>
      </c>
      <c r="I35" s="885">
        <f t="shared" si="46"/>
        <v>70681</v>
      </c>
      <c r="J35" s="885">
        <f t="shared" ref="J35:O35" si="47">J33+J34</f>
        <v>69709</v>
      </c>
      <c r="K35" s="885">
        <f t="shared" si="47"/>
        <v>72272</v>
      </c>
      <c r="L35" s="885">
        <f t="shared" si="47"/>
        <v>73006</v>
      </c>
      <c r="M35" s="885">
        <f t="shared" si="47"/>
        <v>72458</v>
      </c>
      <c r="N35" s="885">
        <f t="shared" si="47"/>
        <v>75140</v>
      </c>
      <c r="O35" s="885">
        <f t="shared" si="47"/>
        <v>74838</v>
      </c>
    </row>
    <row r="36" spans="1:17">
      <c r="D36" s="887"/>
      <c r="E36" s="887"/>
      <c r="F36" s="887"/>
      <c r="G36" s="887"/>
      <c r="H36" s="887"/>
      <c r="I36" s="887"/>
      <c r="J36" s="887"/>
      <c r="K36" s="887"/>
      <c r="L36" s="887"/>
      <c r="M36" s="887"/>
      <c r="N36" s="887"/>
      <c r="O36" s="887"/>
    </row>
    <row r="37" spans="1:17">
      <c r="A37" s="882" t="s">
        <v>6006</v>
      </c>
      <c r="D37" s="884">
        <f t="shared" ref="D37:I37" si="48">D130</f>
        <v>78477</v>
      </c>
      <c r="E37" s="884">
        <f t="shared" si="48"/>
        <v>81327</v>
      </c>
      <c r="F37" s="884">
        <f t="shared" si="48"/>
        <v>81937</v>
      </c>
      <c r="G37" s="884">
        <f t="shared" si="48"/>
        <v>83197</v>
      </c>
      <c r="H37" s="884">
        <f t="shared" si="48"/>
        <v>84564</v>
      </c>
      <c r="I37" s="884">
        <f t="shared" si="48"/>
        <v>83990</v>
      </c>
      <c r="J37" s="884">
        <f t="shared" ref="J37:O37" si="49">J130</f>
        <v>76668</v>
      </c>
      <c r="K37" s="884">
        <f t="shared" si="49"/>
        <v>80827</v>
      </c>
      <c r="L37" s="884">
        <f t="shared" si="49"/>
        <v>80679</v>
      </c>
      <c r="M37" s="884">
        <f t="shared" si="49"/>
        <v>81950</v>
      </c>
      <c r="N37" s="884">
        <f t="shared" si="49"/>
        <v>83162</v>
      </c>
      <c r="O37" s="884">
        <f t="shared" si="49"/>
        <v>84222</v>
      </c>
      <c r="Q37" s="882" t="s">
        <v>6007</v>
      </c>
    </row>
    <row r="38" spans="1:17">
      <c r="D38" s="887"/>
      <c r="E38" s="887"/>
      <c r="F38" s="887"/>
      <c r="G38" s="887"/>
      <c r="H38" s="887"/>
      <c r="I38" s="887"/>
      <c r="J38" s="887"/>
      <c r="K38" s="887"/>
      <c r="L38" s="887"/>
      <c r="M38" s="887"/>
      <c r="N38" s="887"/>
      <c r="O38" s="887"/>
    </row>
    <row r="39" spans="1:17">
      <c r="A39" s="882" t="s">
        <v>6012</v>
      </c>
      <c r="D39" s="884">
        <f t="shared" ref="D39:I39" si="50">D80</f>
        <v>19733</v>
      </c>
      <c r="E39" s="884">
        <f t="shared" si="50"/>
        <v>19998</v>
      </c>
      <c r="F39" s="884">
        <f t="shared" si="50"/>
        <v>20216</v>
      </c>
      <c r="G39" s="884">
        <f t="shared" si="50"/>
        <v>20457</v>
      </c>
      <c r="H39" s="884">
        <f t="shared" si="50"/>
        <v>20522</v>
      </c>
      <c r="I39" s="884">
        <f t="shared" si="50"/>
        <v>19900</v>
      </c>
      <c r="J39" s="884">
        <f t="shared" ref="J39:O39" si="51">J80</f>
        <v>20049</v>
      </c>
      <c r="K39" s="884">
        <f t="shared" si="51"/>
        <v>20720</v>
      </c>
      <c r="L39" s="884">
        <f t="shared" si="51"/>
        <v>21215</v>
      </c>
      <c r="M39" s="884">
        <f t="shared" si="51"/>
        <v>21229</v>
      </c>
      <c r="N39" s="884">
        <f t="shared" si="51"/>
        <v>21403</v>
      </c>
      <c r="O39" s="884">
        <f t="shared" si="51"/>
        <v>22041</v>
      </c>
      <c r="Q39" s="882" t="s">
        <v>5997</v>
      </c>
    </row>
    <row r="40" spans="1:17">
      <c r="D40" s="884">
        <f t="shared" ref="D40:I40" si="52">D131</f>
        <v>3528</v>
      </c>
      <c r="E40" s="884">
        <f t="shared" si="52"/>
        <v>3581</v>
      </c>
      <c r="F40" s="884">
        <f t="shared" si="52"/>
        <v>3757</v>
      </c>
      <c r="G40" s="884">
        <f t="shared" si="52"/>
        <v>3827</v>
      </c>
      <c r="H40" s="884">
        <f t="shared" si="52"/>
        <v>3869</v>
      </c>
      <c r="I40" s="884">
        <f t="shared" si="52"/>
        <v>3782</v>
      </c>
      <c r="J40" s="884">
        <f t="shared" ref="J40:O40" si="53">J131</f>
        <v>3404</v>
      </c>
      <c r="K40" s="884">
        <f t="shared" si="53"/>
        <v>3651</v>
      </c>
      <c r="L40" s="884">
        <f t="shared" si="53"/>
        <v>3632</v>
      </c>
      <c r="M40" s="884">
        <f t="shared" si="53"/>
        <v>3627</v>
      </c>
      <c r="N40" s="884">
        <f t="shared" si="53"/>
        <v>3596</v>
      </c>
      <c r="O40" s="884">
        <f t="shared" si="53"/>
        <v>3624</v>
      </c>
      <c r="Q40" s="882" t="s">
        <v>6007</v>
      </c>
    </row>
    <row r="41" spans="1:17" ht="15.75" thickBot="1">
      <c r="D41" s="885">
        <f t="shared" ref="D41:I41" si="54">D199</f>
        <v>45640</v>
      </c>
      <c r="E41" s="885">
        <f t="shared" si="54"/>
        <v>47054</v>
      </c>
      <c r="F41" s="885">
        <f t="shared" si="54"/>
        <v>47672</v>
      </c>
      <c r="G41" s="885">
        <f t="shared" si="54"/>
        <v>47608</v>
      </c>
      <c r="H41" s="885">
        <f t="shared" si="54"/>
        <v>47704</v>
      </c>
      <c r="I41" s="885">
        <f t="shared" si="54"/>
        <v>46323</v>
      </c>
      <c r="J41" s="885">
        <f t="shared" ref="J41:O41" si="55">J199</f>
        <v>45381</v>
      </c>
      <c r="K41" s="885">
        <f t="shared" si="55"/>
        <v>47825</v>
      </c>
      <c r="L41" s="885">
        <f t="shared" si="55"/>
        <v>48289</v>
      </c>
      <c r="M41" s="885">
        <f t="shared" si="55"/>
        <v>47900</v>
      </c>
      <c r="N41" s="885">
        <f t="shared" si="55"/>
        <v>50132</v>
      </c>
      <c r="O41" s="885">
        <f t="shared" si="55"/>
        <v>50350</v>
      </c>
      <c r="Q41" s="882" t="s">
        <v>6000</v>
      </c>
    </row>
    <row r="42" spans="1:17" ht="15.75" thickBot="1">
      <c r="D42" s="885">
        <f t="shared" ref="D42:I42" si="56">SUM(D39:D41)</f>
        <v>68901</v>
      </c>
      <c r="E42" s="885">
        <f t="shared" si="56"/>
        <v>70633</v>
      </c>
      <c r="F42" s="885">
        <f t="shared" si="56"/>
        <v>71645</v>
      </c>
      <c r="G42" s="885">
        <f t="shared" si="56"/>
        <v>71892</v>
      </c>
      <c r="H42" s="885">
        <f t="shared" si="56"/>
        <v>72095</v>
      </c>
      <c r="I42" s="885">
        <f t="shared" si="56"/>
        <v>70005</v>
      </c>
      <c r="J42" s="885">
        <f t="shared" ref="J42:O42" si="57">SUM(J39:J41)</f>
        <v>68834</v>
      </c>
      <c r="K42" s="885">
        <f t="shared" si="57"/>
        <v>72196</v>
      </c>
      <c r="L42" s="885">
        <f t="shared" si="57"/>
        <v>73136</v>
      </c>
      <c r="M42" s="885">
        <f t="shared" si="57"/>
        <v>72756</v>
      </c>
      <c r="N42" s="885">
        <f t="shared" si="57"/>
        <v>75131</v>
      </c>
      <c r="O42" s="885">
        <f t="shared" si="57"/>
        <v>76015</v>
      </c>
    </row>
    <row r="43" spans="1:17">
      <c r="D43" s="887"/>
      <c r="E43" s="887"/>
      <c r="F43" s="887"/>
      <c r="G43" s="887"/>
      <c r="H43" s="887"/>
      <c r="I43" s="887"/>
      <c r="J43" s="887"/>
      <c r="K43" s="887"/>
      <c r="L43" s="887"/>
      <c r="M43" s="887"/>
      <c r="N43" s="887"/>
      <c r="O43" s="887"/>
    </row>
    <row r="44" spans="1:17">
      <c r="A44" s="882" t="s">
        <v>6013</v>
      </c>
      <c r="D44" s="884">
        <f t="shared" ref="D44:I44" si="58">D170</f>
        <v>10786</v>
      </c>
      <c r="E44" s="884">
        <f t="shared" si="58"/>
        <v>10791</v>
      </c>
      <c r="F44" s="884">
        <f t="shared" si="58"/>
        <v>10662</v>
      </c>
      <c r="G44" s="884">
        <f t="shared" si="58"/>
        <v>10968</v>
      </c>
      <c r="H44" s="884">
        <f t="shared" si="58"/>
        <v>10900</v>
      </c>
      <c r="I44" s="884">
        <f t="shared" si="58"/>
        <v>10865</v>
      </c>
      <c r="J44" s="884">
        <f t="shared" ref="J44:O44" si="59">J170</f>
        <v>11076</v>
      </c>
      <c r="K44" s="884">
        <f t="shared" si="59"/>
        <v>11377</v>
      </c>
      <c r="L44" s="884">
        <f t="shared" si="59"/>
        <v>11301</v>
      </c>
      <c r="M44" s="884">
        <f t="shared" si="59"/>
        <v>11149</v>
      </c>
      <c r="N44" s="884">
        <f t="shared" si="59"/>
        <v>11446</v>
      </c>
      <c r="O44" s="884">
        <f t="shared" si="59"/>
        <v>11397</v>
      </c>
      <c r="Q44" s="882" t="s">
        <v>6002</v>
      </c>
    </row>
    <row r="45" spans="1:17" ht="15.75" thickBot="1">
      <c r="D45" s="885">
        <f t="shared" ref="D45:I45" si="60">D236</f>
        <v>65592</v>
      </c>
      <c r="E45" s="885">
        <f t="shared" si="60"/>
        <v>65095</v>
      </c>
      <c r="F45" s="885">
        <f t="shared" si="60"/>
        <v>65707</v>
      </c>
      <c r="G45" s="885">
        <f t="shared" si="60"/>
        <v>66303</v>
      </c>
      <c r="H45" s="885">
        <f t="shared" si="60"/>
        <v>66737</v>
      </c>
      <c r="I45" s="885">
        <f t="shared" si="60"/>
        <v>65264</v>
      </c>
      <c r="J45" s="885">
        <f t="shared" ref="J45:O45" si="61">J236</f>
        <v>65829</v>
      </c>
      <c r="K45" s="885">
        <f t="shared" si="61"/>
        <v>68168</v>
      </c>
      <c r="L45" s="885">
        <f t="shared" si="61"/>
        <v>67545</v>
      </c>
      <c r="M45" s="885">
        <f t="shared" si="61"/>
        <v>67498</v>
      </c>
      <c r="N45" s="885">
        <f t="shared" si="61"/>
        <v>73105</v>
      </c>
      <c r="O45" s="885">
        <f t="shared" si="61"/>
        <v>71475</v>
      </c>
      <c r="Q45" s="882" t="s">
        <v>5998</v>
      </c>
    </row>
    <row r="46" spans="1:17" ht="15.75" thickBot="1">
      <c r="D46" s="885">
        <f t="shared" ref="D46:I46" si="62">D44+D45</f>
        <v>76378</v>
      </c>
      <c r="E46" s="885">
        <f t="shared" si="62"/>
        <v>75886</v>
      </c>
      <c r="F46" s="885">
        <f t="shared" si="62"/>
        <v>76369</v>
      </c>
      <c r="G46" s="885">
        <f t="shared" si="62"/>
        <v>77271</v>
      </c>
      <c r="H46" s="885">
        <f t="shared" si="62"/>
        <v>77637</v>
      </c>
      <c r="I46" s="885">
        <f t="shared" si="62"/>
        <v>76129</v>
      </c>
      <c r="J46" s="885">
        <f t="shared" ref="J46:O46" si="63">J44+J45</f>
        <v>76905</v>
      </c>
      <c r="K46" s="885">
        <f t="shared" si="63"/>
        <v>79545</v>
      </c>
      <c r="L46" s="885">
        <f t="shared" si="63"/>
        <v>78846</v>
      </c>
      <c r="M46" s="885">
        <f t="shared" si="63"/>
        <v>78647</v>
      </c>
      <c r="N46" s="885">
        <f t="shared" si="63"/>
        <v>84551</v>
      </c>
      <c r="O46" s="885">
        <f t="shared" si="63"/>
        <v>82872</v>
      </c>
    </row>
    <row r="47" spans="1:17">
      <c r="D47" s="887"/>
      <c r="E47" s="887"/>
      <c r="F47" s="887"/>
      <c r="G47" s="887"/>
      <c r="H47" s="887"/>
      <c r="I47" s="887"/>
      <c r="J47" s="887"/>
      <c r="K47" s="887"/>
      <c r="L47" s="887"/>
      <c r="M47" s="887"/>
      <c r="N47" s="887"/>
      <c r="O47" s="887"/>
    </row>
    <row r="48" spans="1:17">
      <c r="A48" s="882" t="s">
        <v>6796</v>
      </c>
      <c r="D48" s="884">
        <f t="shared" ref="D48:I48" si="64">D21+D25+D27+D31+D35+D37+D42+D46</f>
        <v>598178</v>
      </c>
      <c r="E48" s="884">
        <f t="shared" si="64"/>
        <v>608648</v>
      </c>
      <c r="F48" s="884">
        <f t="shared" si="64"/>
        <v>612353</v>
      </c>
      <c r="G48" s="884">
        <f t="shared" si="64"/>
        <v>616247</v>
      </c>
      <c r="H48" s="884">
        <f t="shared" si="64"/>
        <v>617641</v>
      </c>
      <c r="I48" s="884">
        <f t="shared" si="64"/>
        <v>598025</v>
      </c>
      <c r="J48" s="884">
        <f t="shared" ref="J48:O48" si="65">J21+J25+J27+J31+J35+J37+J42+J46</f>
        <v>587676</v>
      </c>
      <c r="K48" s="884">
        <f t="shared" si="65"/>
        <v>611598</v>
      </c>
      <c r="L48" s="884">
        <f t="shared" si="65"/>
        <v>614008</v>
      </c>
      <c r="M48" s="884">
        <f t="shared" si="65"/>
        <v>610137</v>
      </c>
      <c r="N48" s="884">
        <f t="shared" si="65"/>
        <v>635504</v>
      </c>
      <c r="O48" s="884">
        <f t="shared" si="65"/>
        <v>635137</v>
      </c>
    </row>
    <row r="49" spans="1:17">
      <c r="D49" s="887"/>
      <c r="E49" s="887"/>
      <c r="F49" s="887"/>
      <c r="G49" s="887"/>
      <c r="H49" s="887"/>
      <c r="I49" s="887"/>
      <c r="J49" s="887"/>
      <c r="K49" s="887"/>
      <c r="L49" s="887"/>
      <c r="M49" s="887"/>
      <c r="N49" s="887"/>
      <c r="O49" s="887"/>
    </row>
    <row r="50" spans="1:17">
      <c r="A50" s="882" t="s">
        <v>6797</v>
      </c>
      <c r="D50" s="884">
        <f t="shared" ref="D50:I50" si="66">MAX(D21,D25,D27,D31,D35,D37,D42,D46)-MIN(D21,D25,D27,D31,D35,D37,D42,D46)</f>
        <v>9576</v>
      </c>
      <c r="E50" s="884">
        <f t="shared" si="66"/>
        <v>10694</v>
      </c>
      <c r="F50" s="884">
        <f t="shared" si="66"/>
        <v>10292</v>
      </c>
      <c r="G50" s="884">
        <f t="shared" si="66"/>
        <v>11305</v>
      </c>
      <c r="H50" s="884">
        <f t="shared" si="66"/>
        <v>12469</v>
      </c>
      <c r="I50" s="884">
        <f t="shared" si="66"/>
        <v>13985</v>
      </c>
      <c r="J50" s="884">
        <f t="shared" ref="J50:O50" si="67">MAX(J21,J25,J27,J31,J35,J37,J42,J46)-MIN(J21,J25,J27,J31,J35,J37,J42,J46)</f>
        <v>11117</v>
      </c>
      <c r="K50" s="884">
        <f t="shared" si="67"/>
        <v>10218</v>
      </c>
      <c r="L50" s="884">
        <f t="shared" si="67"/>
        <v>9387</v>
      </c>
      <c r="M50" s="884">
        <f t="shared" si="67"/>
        <v>11133</v>
      </c>
      <c r="N50" s="884">
        <f t="shared" si="67"/>
        <v>9420</v>
      </c>
      <c r="O50" s="884">
        <f t="shared" si="67"/>
        <v>9384</v>
      </c>
    </row>
    <row r="51" spans="1:17">
      <c r="D51" s="887"/>
      <c r="E51" s="887"/>
      <c r="F51" s="887"/>
      <c r="G51" s="887"/>
      <c r="H51" s="887"/>
      <c r="I51" s="887"/>
      <c r="J51" s="887"/>
      <c r="K51" s="887"/>
      <c r="L51" s="887"/>
      <c r="M51" s="887"/>
      <c r="N51" s="887"/>
      <c r="O51" s="887"/>
    </row>
    <row r="52" spans="1:17">
      <c r="A52" s="882" t="s">
        <v>6800</v>
      </c>
      <c r="D52" s="884">
        <f t="shared" ref="D52:I52" si="68">STDEVP(D21,D25,D27,D31,D35,D37,D42,D46)</f>
        <v>3244.1060305575711</v>
      </c>
      <c r="E52" s="884">
        <f t="shared" si="68"/>
        <v>3148.6697588029137</v>
      </c>
      <c r="F52" s="884">
        <f t="shared" si="68"/>
        <v>3130.2622269348299</v>
      </c>
      <c r="G52" s="884">
        <f t="shared" si="68"/>
        <v>3280.9797864929005</v>
      </c>
      <c r="H52" s="884">
        <f t="shared" si="68"/>
        <v>3637.6203910489339</v>
      </c>
      <c r="I52" s="884">
        <f t="shared" si="68"/>
        <v>4444.5175339259267</v>
      </c>
      <c r="J52" s="884">
        <f t="shared" ref="J52:O52" si="69">STDEVP(J21,J25,J27,J31,J35,J37,J42,J46)</f>
        <v>4093.0412592594275</v>
      </c>
      <c r="K52" s="884">
        <f t="shared" si="69"/>
        <v>3927.4663509061411</v>
      </c>
      <c r="L52" s="884">
        <f t="shared" si="69"/>
        <v>3513.1561308885775</v>
      </c>
      <c r="M52" s="884">
        <f t="shared" si="69"/>
        <v>4084.7230762164281</v>
      </c>
      <c r="N52" s="884">
        <f t="shared" si="69"/>
        <v>3607.9570396555446</v>
      </c>
      <c r="O52" s="884">
        <f t="shared" si="69"/>
        <v>3472.8636396171678</v>
      </c>
    </row>
    <row r="53" spans="1:17">
      <c r="A53" s="882"/>
      <c r="D53" s="884"/>
      <c r="E53" s="884"/>
      <c r="F53" s="884"/>
      <c r="G53" s="884"/>
      <c r="H53" s="884"/>
      <c r="I53" s="884"/>
      <c r="J53" s="884"/>
      <c r="K53" s="884"/>
      <c r="L53" s="884"/>
      <c r="M53" s="884"/>
      <c r="N53" s="884"/>
      <c r="O53" s="884"/>
    </row>
    <row r="54" spans="1:17">
      <c r="A54" s="882" t="s">
        <v>6014</v>
      </c>
      <c r="D54" s="886"/>
      <c r="E54" s="886"/>
      <c r="F54" s="886"/>
      <c r="G54" s="886"/>
      <c r="H54" s="886"/>
      <c r="I54" s="886"/>
      <c r="J54" s="886"/>
      <c r="K54" s="886"/>
      <c r="L54" s="886"/>
      <c r="M54" s="886"/>
      <c r="N54" s="886"/>
      <c r="O54" s="886"/>
    </row>
    <row r="55" spans="1:17">
      <c r="A55" s="889"/>
    </row>
    <row r="56" spans="1:17">
      <c r="A56" s="882"/>
    </row>
    <row r="57" spans="1:17">
      <c r="E57" s="51" t="s">
        <v>1526</v>
      </c>
      <c r="F57" s="51"/>
      <c r="G57" s="51"/>
      <c r="H57" s="51"/>
      <c r="I57" s="51"/>
      <c r="J57" s="51"/>
      <c r="K57" s="51"/>
      <c r="L57" s="51"/>
      <c r="M57" s="51"/>
      <c r="N57" s="51"/>
      <c r="O57" s="51"/>
      <c r="P57" s="173"/>
      <c r="Q57" s="138" t="s">
        <v>9479</v>
      </c>
    </row>
    <row r="58" spans="1:17">
      <c r="D58" s="51">
        <v>2010</v>
      </c>
      <c r="E58" s="51">
        <v>2011</v>
      </c>
      <c r="F58" s="51">
        <v>2012</v>
      </c>
      <c r="G58" s="51">
        <v>2013</v>
      </c>
      <c r="H58" s="51">
        <v>2014</v>
      </c>
      <c r="I58" s="51">
        <v>2015</v>
      </c>
      <c r="J58" s="51">
        <v>2016</v>
      </c>
      <c r="K58" s="51">
        <v>2017</v>
      </c>
      <c r="L58" s="51">
        <v>2018</v>
      </c>
      <c r="M58" s="51">
        <v>2019</v>
      </c>
      <c r="N58" s="51">
        <v>2020</v>
      </c>
      <c r="O58" s="992" t="s">
        <v>14823</v>
      </c>
      <c r="Q58" s="206" t="s">
        <v>1527</v>
      </c>
    </row>
    <row r="59" spans="1:17">
      <c r="A59" s="882" t="s">
        <v>2980</v>
      </c>
      <c r="C59" s="882"/>
      <c r="D59" s="884">
        <f t="shared" ref="D59:I59" si="70">SUM(D60:D77)</f>
        <v>81831</v>
      </c>
      <c r="E59" s="884">
        <f t="shared" si="70"/>
        <v>82764</v>
      </c>
      <c r="F59" s="884">
        <f t="shared" si="70"/>
        <v>82926</v>
      </c>
      <c r="G59" s="884">
        <f t="shared" si="70"/>
        <v>83644</v>
      </c>
      <c r="H59" s="884">
        <f t="shared" si="70"/>
        <v>84240</v>
      </c>
      <c r="I59" s="884">
        <f t="shared" si="70"/>
        <v>81494</v>
      </c>
      <c r="J59" s="884">
        <f t="shared" ref="J59:O59" si="71">SUM(J60:J77)</f>
        <v>82150</v>
      </c>
      <c r="K59" s="884">
        <f t="shared" si="71"/>
        <v>84176</v>
      </c>
      <c r="L59" s="884">
        <f t="shared" si="71"/>
        <v>85182</v>
      </c>
      <c r="M59" s="884">
        <f t="shared" si="71"/>
        <v>84605</v>
      </c>
      <c r="N59" s="884">
        <f t="shared" si="71"/>
        <v>84181</v>
      </c>
      <c r="O59" s="884">
        <f t="shared" si="71"/>
        <v>86365</v>
      </c>
    </row>
    <row r="60" spans="1:17">
      <c r="A60" s="882" t="s">
        <v>5387</v>
      </c>
      <c r="B60" s="882" t="s">
        <v>6015</v>
      </c>
      <c r="C60" s="55" t="s">
        <v>7662</v>
      </c>
      <c r="D60" s="884">
        <v>3999</v>
      </c>
      <c r="E60" s="884">
        <v>4034</v>
      </c>
      <c r="F60" s="884">
        <v>4049</v>
      </c>
      <c r="G60" s="56">
        <v>4081</v>
      </c>
      <c r="H60" s="56">
        <v>4098</v>
      </c>
      <c r="I60" s="56">
        <v>3937</v>
      </c>
      <c r="J60" s="56">
        <v>3967</v>
      </c>
      <c r="K60" s="56">
        <v>4041</v>
      </c>
      <c r="L60" s="56">
        <v>4051</v>
      </c>
      <c r="M60" s="56">
        <v>3979</v>
      </c>
      <c r="N60" s="56">
        <v>3983</v>
      </c>
      <c r="O60" s="56">
        <v>4100</v>
      </c>
      <c r="Q60" s="882" t="s">
        <v>6012</v>
      </c>
    </row>
    <row r="61" spans="1:17">
      <c r="A61" s="882" t="s">
        <v>5389</v>
      </c>
      <c r="B61" s="882" t="s">
        <v>6016</v>
      </c>
      <c r="C61" s="55" t="s">
        <v>7663</v>
      </c>
      <c r="D61" s="884">
        <v>6227</v>
      </c>
      <c r="E61" s="884">
        <v>6355</v>
      </c>
      <c r="F61" s="884">
        <v>6513</v>
      </c>
      <c r="G61" s="58">
        <v>6576</v>
      </c>
      <c r="H61" s="58">
        <v>6595</v>
      </c>
      <c r="I61" s="58">
        <v>6404</v>
      </c>
      <c r="J61" s="58">
        <v>6444</v>
      </c>
      <c r="K61" s="58">
        <v>6755</v>
      </c>
      <c r="L61" s="58">
        <v>7123</v>
      </c>
      <c r="M61" s="58">
        <v>7313</v>
      </c>
      <c r="N61" s="58">
        <v>7590</v>
      </c>
      <c r="O61" s="58">
        <v>7956</v>
      </c>
      <c r="Q61" s="882" t="s">
        <v>6012</v>
      </c>
    </row>
    <row r="62" spans="1:17">
      <c r="A62" s="882" t="s">
        <v>5391</v>
      </c>
      <c r="B62" s="882" t="s">
        <v>6700</v>
      </c>
      <c r="C62" s="55" t="s">
        <v>7664</v>
      </c>
      <c r="D62" s="884">
        <v>4255</v>
      </c>
      <c r="E62" s="884">
        <v>4278</v>
      </c>
      <c r="F62" s="884">
        <v>4251</v>
      </c>
      <c r="G62" s="56">
        <v>4259</v>
      </c>
      <c r="H62" s="56">
        <v>4288</v>
      </c>
      <c r="I62" s="56">
        <v>4135</v>
      </c>
      <c r="J62" s="56">
        <v>4110</v>
      </c>
      <c r="K62" s="56">
        <v>4211</v>
      </c>
      <c r="L62" s="56">
        <v>4283</v>
      </c>
      <c r="M62" s="56">
        <v>4341</v>
      </c>
      <c r="N62" s="56">
        <v>4366</v>
      </c>
      <c r="O62" s="56">
        <v>4549</v>
      </c>
      <c r="Q62" s="882" t="s">
        <v>5996</v>
      </c>
    </row>
    <row r="63" spans="1:17">
      <c r="A63" s="882" t="s">
        <v>5393</v>
      </c>
      <c r="B63" s="882" t="s">
        <v>6701</v>
      </c>
      <c r="C63" s="55" t="s">
        <v>7665</v>
      </c>
      <c r="D63" s="884">
        <v>3901</v>
      </c>
      <c r="E63" s="884">
        <v>3893</v>
      </c>
      <c r="F63" s="884">
        <v>3897</v>
      </c>
      <c r="G63" s="56">
        <v>3878</v>
      </c>
      <c r="H63" s="56">
        <v>3922</v>
      </c>
      <c r="I63" s="56">
        <v>3798</v>
      </c>
      <c r="J63" s="56">
        <v>3797</v>
      </c>
      <c r="K63" s="56">
        <v>3881</v>
      </c>
      <c r="L63" s="56">
        <v>3890</v>
      </c>
      <c r="M63" s="56">
        <v>3854</v>
      </c>
      <c r="N63" s="56">
        <v>3799</v>
      </c>
      <c r="O63" s="56">
        <v>3859</v>
      </c>
      <c r="Q63" s="882" t="s">
        <v>5996</v>
      </c>
    </row>
    <row r="64" spans="1:17">
      <c r="A64" s="882" t="s">
        <v>5394</v>
      </c>
      <c r="B64" s="882" t="s">
        <v>6702</v>
      </c>
      <c r="C64" s="55" t="s">
        <v>7666</v>
      </c>
      <c r="D64" s="884">
        <v>4580</v>
      </c>
      <c r="E64" s="884">
        <v>4638</v>
      </c>
      <c r="F64" s="884">
        <v>3925</v>
      </c>
      <c r="G64" s="56">
        <v>3977</v>
      </c>
      <c r="H64" s="56">
        <v>3948</v>
      </c>
      <c r="I64" s="56">
        <v>3868</v>
      </c>
      <c r="J64" s="56">
        <v>3852</v>
      </c>
      <c r="K64" s="56">
        <v>3847</v>
      </c>
      <c r="L64" s="56">
        <v>3838</v>
      </c>
      <c r="M64" s="56">
        <v>3827</v>
      </c>
      <c r="N64" s="56">
        <v>3746</v>
      </c>
      <c r="O64" s="56">
        <v>3818</v>
      </c>
      <c r="Q64" s="882" t="s">
        <v>5996</v>
      </c>
    </row>
    <row r="65" spans="1:17">
      <c r="A65" s="882" t="s">
        <v>5416</v>
      </c>
      <c r="B65" s="882" t="s">
        <v>6703</v>
      </c>
      <c r="C65" s="55" t="s">
        <v>7667</v>
      </c>
      <c r="D65" s="884">
        <v>5675</v>
      </c>
      <c r="E65" s="884">
        <v>5704</v>
      </c>
      <c r="F65" s="884">
        <v>5770</v>
      </c>
      <c r="G65" s="56">
        <v>5785</v>
      </c>
      <c r="H65" s="56">
        <v>5735</v>
      </c>
      <c r="I65" s="56">
        <v>5519</v>
      </c>
      <c r="J65" s="56">
        <v>5575</v>
      </c>
      <c r="K65" s="56">
        <v>5601</v>
      </c>
      <c r="L65" s="56">
        <v>5620</v>
      </c>
      <c r="M65" s="56">
        <v>5543</v>
      </c>
      <c r="N65" s="56">
        <v>5433</v>
      </c>
      <c r="O65" s="56">
        <v>5540</v>
      </c>
      <c r="Q65" s="882" t="s">
        <v>5996</v>
      </c>
    </row>
    <row r="66" spans="1:17">
      <c r="A66" s="882" t="s">
        <v>5418</v>
      </c>
      <c r="B66" s="882" t="s">
        <v>6704</v>
      </c>
      <c r="C66" s="55" t="s">
        <v>7668</v>
      </c>
      <c r="D66" s="884">
        <v>3851</v>
      </c>
      <c r="E66" s="884">
        <v>3849</v>
      </c>
      <c r="F66" s="884">
        <v>3853</v>
      </c>
      <c r="G66" s="56">
        <v>3853</v>
      </c>
      <c r="H66" s="56">
        <v>3965</v>
      </c>
      <c r="I66" s="56">
        <v>3823</v>
      </c>
      <c r="J66" s="56">
        <v>3932</v>
      </c>
      <c r="K66" s="56">
        <v>4040</v>
      </c>
      <c r="L66" s="56">
        <v>4037</v>
      </c>
      <c r="M66" s="56">
        <v>3991</v>
      </c>
      <c r="N66" s="56">
        <v>4039</v>
      </c>
      <c r="O66" s="56">
        <v>4199</v>
      </c>
      <c r="Q66" s="882" t="s">
        <v>5996</v>
      </c>
    </row>
    <row r="67" spans="1:17">
      <c r="A67" s="882" t="s">
        <v>5420</v>
      </c>
      <c r="B67" s="882" t="s">
        <v>6705</v>
      </c>
      <c r="C67" s="55" t="s">
        <v>7669</v>
      </c>
      <c r="D67" s="884">
        <v>3623</v>
      </c>
      <c r="E67" s="884">
        <v>3947</v>
      </c>
      <c r="F67" s="884">
        <v>4099</v>
      </c>
      <c r="G67" s="56">
        <v>4452</v>
      </c>
      <c r="H67" s="56">
        <v>4883</v>
      </c>
      <c r="I67" s="56">
        <v>4831</v>
      </c>
      <c r="J67" s="56">
        <v>4928</v>
      </c>
      <c r="K67" s="56">
        <v>5175</v>
      </c>
      <c r="L67" s="56">
        <v>5240</v>
      </c>
      <c r="M67" s="56">
        <v>5171</v>
      </c>
      <c r="N67" s="56">
        <v>5103</v>
      </c>
      <c r="O67" s="56">
        <v>5169</v>
      </c>
      <c r="Q67" s="882" t="s">
        <v>5996</v>
      </c>
    </row>
    <row r="68" spans="1:17">
      <c r="A68" s="882" t="s">
        <v>5422</v>
      </c>
      <c r="B68" s="882" t="s">
        <v>5977</v>
      </c>
      <c r="C68" s="55" t="s">
        <v>7670</v>
      </c>
      <c r="D68" s="884">
        <v>3761</v>
      </c>
      <c r="E68" s="884">
        <v>3759</v>
      </c>
      <c r="F68" s="884">
        <v>3761</v>
      </c>
      <c r="G68" s="56">
        <v>3779</v>
      </c>
      <c r="H68" s="56">
        <v>3767</v>
      </c>
      <c r="I68" s="56">
        <v>3617</v>
      </c>
      <c r="J68" s="56">
        <v>3577</v>
      </c>
      <c r="K68" s="56">
        <v>3660</v>
      </c>
      <c r="L68" s="56">
        <v>3661</v>
      </c>
      <c r="M68" s="56">
        <v>3594</v>
      </c>
      <c r="N68" s="56">
        <v>3547</v>
      </c>
      <c r="O68" s="56">
        <v>3590</v>
      </c>
      <c r="Q68" s="882" t="s">
        <v>5996</v>
      </c>
    </row>
    <row r="69" spans="1:17">
      <c r="A69" s="882" t="s">
        <v>5424</v>
      </c>
      <c r="B69" s="882" t="s">
        <v>5978</v>
      </c>
      <c r="C69" s="55" t="s">
        <v>7671</v>
      </c>
      <c r="D69" s="884">
        <v>5992</v>
      </c>
      <c r="E69" s="884">
        <v>5981</v>
      </c>
      <c r="F69" s="884">
        <v>6035</v>
      </c>
      <c r="G69" s="56">
        <v>6019</v>
      </c>
      <c r="H69" s="56">
        <v>6022</v>
      </c>
      <c r="I69" s="56">
        <v>5830</v>
      </c>
      <c r="J69" s="56">
        <v>5778</v>
      </c>
      <c r="K69" s="56">
        <v>5853</v>
      </c>
      <c r="L69" s="56">
        <v>5846</v>
      </c>
      <c r="M69" s="56">
        <v>5772</v>
      </c>
      <c r="N69" s="56">
        <v>5672</v>
      </c>
      <c r="O69" s="56">
        <v>5765</v>
      </c>
      <c r="Q69" s="882" t="s">
        <v>5996</v>
      </c>
    </row>
    <row r="70" spans="1:17">
      <c r="A70" s="882" t="s">
        <v>5426</v>
      </c>
      <c r="B70" s="882" t="s">
        <v>5979</v>
      </c>
      <c r="C70" s="55" t="s">
        <v>7672</v>
      </c>
      <c r="D70" s="884">
        <v>5586</v>
      </c>
      <c r="E70" s="884">
        <v>5725</v>
      </c>
      <c r="F70" s="884">
        <v>5853</v>
      </c>
      <c r="G70" s="56">
        <v>5967</v>
      </c>
      <c r="H70" s="56">
        <v>6090</v>
      </c>
      <c r="I70" s="56">
        <v>5943</v>
      </c>
      <c r="J70" s="56">
        <v>6112</v>
      </c>
      <c r="K70" s="56">
        <v>6251</v>
      </c>
      <c r="L70" s="56">
        <v>6322</v>
      </c>
      <c r="M70" s="56">
        <v>6214</v>
      </c>
      <c r="N70" s="56">
        <v>6090</v>
      </c>
      <c r="O70" s="56">
        <v>6232</v>
      </c>
      <c r="Q70" s="882" t="s">
        <v>5996</v>
      </c>
    </row>
    <row r="71" spans="1:17">
      <c r="A71" s="882" t="s">
        <v>5428</v>
      </c>
      <c r="B71" s="882" t="s">
        <v>5980</v>
      </c>
      <c r="C71" s="55" t="s">
        <v>7673</v>
      </c>
      <c r="D71" s="884">
        <v>4076</v>
      </c>
      <c r="E71" s="884">
        <v>4174</v>
      </c>
      <c r="F71" s="884">
        <v>4214</v>
      </c>
      <c r="G71" s="56">
        <v>4185</v>
      </c>
      <c r="H71" s="56">
        <v>4085</v>
      </c>
      <c r="I71" s="56">
        <v>3835</v>
      </c>
      <c r="J71" s="56">
        <v>3995</v>
      </c>
      <c r="K71" s="56">
        <v>4111</v>
      </c>
      <c r="L71" s="56">
        <v>4131</v>
      </c>
      <c r="M71" s="56">
        <v>4075</v>
      </c>
      <c r="N71" s="56">
        <v>4231</v>
      </c>
      <c r="O71" s="56">
        <v>4325</v>
      </c>
      <c r="Q71" s="882" t="s">
        <v>5996</v>
      </c>
    </row>
    <row r="72" spans="1:17">
      <c r="A72" s="882" t="s">
        <v>5429</v>
      </c>
      <c r="B72" s="882" t="s">
        <v>5981</v>
      </c>
      <c r="C72" s="55" t="s">
        <v>7674</v>
      </c>
      <c r="D72" s="884">
        <v>3954</v>
      </c>
      <c r="E72" s="884">
        <v>3993</v>
      </c>
      <c r="F72" s="884">
        <v>4118</v>
      </c>
      <c r="G72" s="56">
        <v>4169</v>
      </c>
      <c r="H72" s="56">
        <v>4127</v>
      </c>
      <c r="I72" s="56">
        <v>3945</v>
      </c>
      <c r="J72" s="56">
        <v>3974</v>
      </c>
      <c r="K72" s="56">
        <v>4092</v>
      </c>
      <c r="L72" s="56">
        <v>4131</v>
      </c>
      <c r="M72" s="56">
        <v>4051</v>
      </c>
      <c r="N72" s="56">
        <v>3970</v>
      </c>
      <c r="O72" s="56">
        <v>4076</v>
      </c>
      <c r="Q72" s="882" t="s">
        <v>5996</v>
      </c>
    </row>
    <row r="73" spans="1:17">
      <c r="A73" s="882" t="s">
        <v>5431</v>
      </c>
      <c r="B73" s="882" t="s">
        <v>6087</v>
      </c>
      <c r="C73" s="55" t="s">
        <v>7675</v>
      </c>
      <c r="D73" s="884">
        <v>3921</v>
      </c>
      <c r="E73" s="884">
        <v>3887</v>
      </c>
      <c r="F73" s="884">
        <v>3896</v>
      </c>
      <c r="G73" s="56">
        <v>3853</v>
      </c>
      <c r="H73" s="56">
        <v>3905</v>
      </c>
      <c r="I73" s="56">
        <v>3802</v>
      </c>
      <c r="J73" s="56">
        <v>3814</v>
      </c>
      <c r="K73" s="56">
        <v>3877</v>
      </c>
      <c r="L73" s="56">
        <v>3880</v>
      </c>
      <c r="M73" s="56">
        <v>3870</v>
      </c>
      <c r="N73" s="56">
        <v>3793</v>
      </c>
      <c r="O73" s="56">
        <v>3854</v>
      </c>
      <c r="Q73" s="882" t="s">
        <v>5996</v>
      </c>
    </row>
    <row r="74" spans="1:17">
      <c r="A74" s="882" t="s">
        <v>5433</v>
      </c>
      <c r="B74" s="882" t="s">
        <v>6088</v>
      </c>
      <c r="C74" s="55" t="s">
        <v>7676</v>
      </c>
      <c r="D74" s="884">
        <v>5569</v>
      </c>
      <c r="E74" s="884">
        <v>5550</v>
      </c>
      <c r="F74" s="884">
        <v>5623</v>
      </c>
      <c r="G74" s="56">
        <v>5591</v>
      </c>
      <c r="H74" s="56">
        <v>5594</v>
      </c>
      <c r="I74" s="56">
        <v>5389</v>
      </c>
      <c r="J74" s="56">
        <v>5454</v>
      </c>
      <c r="K74" s="56">
        <v>5520</v>
      </c>
      <c r="L74" s="56">
        <v>5551</v>
      </c>
      <c r="M74" s="56">
        <v>5458</v>
      </c>
      <c r="N74" s="56">
        <v>5416</v>
      </c>
      <c r="O74" s="56">
        <v>5628</v>
      </c>
      <c r="Q74" s="882" t="s">
        <v>5996</v>
      </c>
    </row>
    <row r="75" spans="1:17">
      <c r="A75" s="882" t="s">
        <v>5435</v>
      </c>
      <c r="B75" s="882" t="s">
        <v>6089</v>
      </c>
      <c r="C75" s="55" t="s">
        <v>7677</v>
      </c>
      <c r="D75" s="884">
        <v>5646</v>
      </c>
      <c r="E75" s="884">
        <v>5705</v>
      </c>
      <c r="F75" s="884">
        <v>5760</v>
      </c>
      <c r="G75" s="58">
        <v>5855</v>
      </c>
      <c r="H75" s="58">
        <v>5869</v>
      </c>
      <c r="I75" s="58">
        <v>5697</v>
      </c>
      <c r="J75" s="58">
        <v>5755</v>
      </c>
      <c r="K75" s="58">
        <v>5927</v>
      </c>
      <c r="L75" s="58">
        <v>5958</v>
      </c>
      <c r="M75" s="58">
        <v>5921</v>
      </c>
      <c r="N75" s="58">
        <v>5842</v>
      </c>
      <c r="O75" s="58">
        <v>5923</v>
      </c>
      <c r="Q75" s="882" t="s">
        <v>6012</v>
      </c>
    </row>
    <row r="76" spans="1:17">
      <c r="A76" s="882" t="s">
        <v>5436</v>
      </c>
      <c r="B76" s="882" t="s">
        <v>4591</v>
      </c>
      <c r="C76" s="55" t="s">
        <v>7678</v>
      </c>
      <c r="D76" s="884">
        <v>3354</v>
      </c>
      <c r="E76" s="884">
        <v>3388</v>
      </c>
      <c r="F76" s="884">
        <v>3415</v>
      </c>
      <c r="G76" s="56">
        <v>3420</v>
      </c>
      <c r="H76" s="56">
        <v>3387</v>
      </c>
      <c r="I76" s="56">
        <v>3259</v>
      </c>
      <c r="J76" s="56">
        <v>3203</v>
      </c>
      <c r="K76" s="56">
        <v>3337</v>
      </c>
      <c r="L76" s="56">
        <v>3537</v>
      </c>
      <c r="M76" s="56">
        <v>3615</v>
      </c>
      <c r="N76" s="56">
        <v>3573</v>
      </c>
      <c r="O76" s="56">
        <v>3720</v>
      </c>
      <c r="Q76" s="882" t="s">
        <v>5996</v>
      </c>
    </row>
    <row r="77" spans="1:17">
      <c r="A77" s="882" t="s">
        <v>5437</v>
      </c>
      <c r="B77" s="882" t="s">
        <v>4592</v>
      </c>
      <c r="C77" s="55" t="s">
        <v>7679</v>
      </c>
      <c r="D77" s="884">
        <v>3861</v>
      </c>
      <c r="E77" s="884">
        <v>3904</v>
      </c>
      <c r="F77" s="884">
        <v>3894</v>
      </c>
      <c r="G77" s="58">
        <v>3945</v>
      </c>
      <c r="H77" s="58">
        <v>3960</v>
      </c>
      <c r="I77" s="58">
        <v>3862</v>
      </c>
      <c r="J77" s="58">
        <v>3883</v>
      </c>
      <c r="K77" s="58">
        <v>3997</v>
      </c>
      <c r="L77" s="58">
        <v>4083</v>
      </c>
      <c r="M77" s="58">
        <v>4016</v>
      </c>
      <c r="N77" s="58">
        <v>3988</v>
      </c>
      <c r="O77" s="58">
        <v>4062</v>
      </c>
      <c r="Q77" s="882" t="s">
        <v>6012</v>
      </c>
    </row>
    <row r="78" spans="1:17">
      <c r="D78" s="888"/>
      <c r="E78" s="888"/>
      <c r="F78" s="888"/>
      <c r="G78" s="888"/>
      <c r="H78" s="888"/>
      <c r="I78" s="888"/>
      <c r="J78" s="888"/>
      <c r="K78" s="888"/>
      <c r="L78" s="888"/>
      <c r="M78" s="888"/>
      <c r="N78" s="888"/>
      <c r="O78" s="888"/>
      <c r="Q78" s="882"/>
    </row>
    <row r="79" spans="1:17">
      <c r="A79" s="882" t="s">
        <v>4593</v>
      </c>
      <c r="D79" s="884">
        <f t="shared" ref="D79:I79" si="72">SUM(D62:D74)+D76</f>
        <v>62098</v>
      </c>
      <c r="E79" s="884">
        <f t="shared" si="72"/>
        <v>62766</v>
      </c>
      <c r="F79" s="884">
        <f t="shared" si="72"/>
        <v>62710</v>
      </c>
      <c r="G79" s="884">
        <f t="shared" si="72"/>
        <v>63187</v>
      </c>
      <c r="H79" s="884">
        <f t="shared" si="72"/>
        <v>63718</v>
      </c>
      <c r="I79" s="884">
        <f t="shared" si="72"/>
        <v>61594</v>
      </c>
      <c r="J79" s="884">
        <f t="shared" ref="J79:O79" si="73">SUM(J62:J74)+J76</f>
        <v>62101</v>
      </c>
      <c r="K79" s="884">
        <f t="shared" si="73"/>
        <v>63456</v>
      </c>
      <c r="L79" s="884">
        <f t="shared" si="73"/>
        <v>63967</v>
      </c>
      <c r="M79" s="884">
        <f t="shared" si="73"/>
        <v>63376</v>
      </c>
      <c r="N79" s="884">
        <f t="shared" si="73"/>
        <v>62778</v>
      </c>
      <c r="O79" s="884">
        <f t="shared" si="73"/>
        <v>64324</v>
      </c>
    </row>
    <row r="80" spans="1:17">
      <c r="A80" s="882" t="s">
        <v>4594</v>
      </c>
      <c r="D80" s="884">
        <f t="shared" ref="D80:I80" si="74">D60+D61+D75+D77</f>
        <v>19733</v>
      </c>
      <c r="E80" s="884">
        <f t="shared" si="74"/>
        <v>19998</v>
      </c>
      <c r="F80" s="884">
        <f t="shared" si="74"/>
        <v>20216</v>
      </c>
      <c r="G80" s="884">
        <f t="shared" si="74"/>
        <v>20457</v>
      </c>
      <c r="H80" s="884">
        <f t="shared" si="74"/>
        <v>20522</v>
      </c>
      <c r="I80" s="884">
        <f t="shared" si="74"/>
        <v>19900</v>
      </c>
      <c r="J80" s="884">
        <f t="shared" ref="J80:O80" si="75">J60+J61+J75+J77</f>
        <v>20049</v>
      </c>
      <c r="K80" s="884">
        <f t="shared" si="75"/>
        <v>20720</v>
      </c>
      <c r="L80" s="884">
        <f t="shared" si="75"/>
        <v>21215</v>
      </c>
      <c r="M80" s="884">
        <f t="shared" si="75"/>
        <v>21229</v>
      </c>
      <c r="N80" s="884">
        <f t="shared" si="75"/>
        <v>21403</v>
      </c>
      <c r="O80" s="884">
        <f t="shared" si="75"/>
        <v>22041</v>
      </c>
    </row>
    <row r="82" spans="1:17">
      <c r="A82" s="882" t="s">
        <v>1628</v>
      </c>
    </row>
    <row r="83" spans="1:17">
      <c r="A83" s="882"/>
    </row>
    <row r="84" spans="1:17">
      <c r="A84" s="882"/>
    </row>
    <row r="85" spans="1:17">
      <c r="E85" s="51" t="s">
        <v>1526</v>
      </c>
      <c r="F85" s="51"/>
      <c r="G85" s="51"/>
      <c r="H85" s="51"/>
      <c r="I85" s="51"/>
      <c r="J85" s="51"/>
      <c r="K85" s="51"/>
      <c r="L85" s="51"/>
      <c r="M85" s="51"/>
      <c r="N85" s="51"/>
      <c r="O85" s="51"/>
      <c r="P85" s="173"/>
      <c r="Q85" s="138" t="s">
        <v>9479</v>
      </c>
    </row>
    <row r="86" spans="1:17">
      <c r="D86" s="51">
        <v>2010</v>
      </c>
      <c r="E86" s="51">
        <v>2011</v>
      </c>
      <c r="F86" s="51">
        <v>2012</v>
      </c>
      <c r="G86" s="51">
        <v>2013</v>
      </c>
      <c r="H86" s="51">
        <v>2014</v>
      </c>
      <c r="I86" s="51">
        <v>2015</v>
      </c>
      <c r="J86" s="51">
        <v>2016</v>
      </c>
      <c r="K86" s="51">
        <v>2017</v>
      </c>
      <c r="L86" s="51">
        <v>2018</v>
      </c>
      <c r="M86" s="51">
        <v>2019</v>
      </c>
      <c r="N86" s="51">
        <v>2020</v>
      </c>
      <c r="O86" s="992" t="s">
        <v>14823</v>
      </c>
      <c r="Q86" s="206" t="s">
        <v>1527</v>
      </c>
    </row>
    <row r="87" spans="1:17">
      <c r="A87" s="882" t="s">
        <v>2981</v>
      </c>
      <c r="D87" s="890">
        <f t="shared" ref="D87:I87" si="76">SUM(D88:D103)</f>
        <v>104169</v>
      </c>
      <c r="E87" s="890">
        <f t="shared" si="76"/>
        <v>109451</v>
      </c>
      <c r="F87" s="890">
        <f t="shared" si="76"/>
        <v>111680</v>
      </c>
      <c r="G87" s="890">
        <f t="shared" si="76"/>
        <v>109811</v>
      </c>
      <c r="H87" s="890">
        <f t="shared" si="76"/>
        <v>110047</v>
      </c>
      <c r="I87" s="890">
        <f t="shared" si="76"/>
        <v>99868</v>
      </c>
      <c r="J87" s="890">
        <f t="shared" ref="J87:O87" si="77">SUM(J88:J103)</f>
        <v>95878</v>
      </c>
      <c r="K87" s="890">
        <f t="shared" si="77"/>
        <v>101011</v>
      </c>
      <c r="L87" s="890">
        <f t="shared" si="77"/>
        <v>102641</v>
      </c>
      <c r="M87" s="890">
        <f t="shared" si="77"/>
        <v>100396</v>
      </c>
      <c r="N87" s="890">
        <f t="shared" si="77"/>
        <v>108488</v>
      </c>
      <c r="O87" s="890">
        <f t="shared" si="77"/>
        <v>107541</v>
      </c>
    </row>
    <row r="88" spans="1:17">
      <c r="A88" s="882" t="s">
        <v>5387</v>
      </c>
      <c r="B88" s="882" t="s">
        <v>6402</v>
      </c>
      <c r="C88" s="55" t="s">
        <v>7680</v>
      </c>
      <c r="D88" s="884">
        <v>7045</v>
      </c>
      <c r="E88" s="884">
        <v>8103</v>
      </c>
      <c r="F88" s="884">
        <v>8751</v>
      </c>
      <c r="G88" s="884">
        <v>8515</v>
      </c>
      <c r="H88" s="56">
        <v>8397</v>
      </c>
      <c r="I88" s="56">
        <v>7062</v>
      </c>
      <c r="J88" s="56">
        <v>6707</v>
      </c>
      <c r="K88" s="56">
        <v>7309</v>
      </c>
      <c r="L88" s="56">
        <v>7536</v>
      </c>
      <c r="M88" s="56">
        <v>7437</v>
      </c>
      <c r="N88" s="56">
        <v>8392</v>
      </c>
      <c r="O88" s="56">
        <v>8288</v>
      </c>
      <c r="Q88" s="882" t="s">
        <v>6003</v>
      </c>
    </row>
    <row r="89" spans="1:17">
      <c r="A89" s="882" t="s">
        <v>5389</v>
      </c>
      <c r="B89" s="882" t="s">
        <v>1629</v>
      </c>
      <c r="C89" s="55" t="s">
        <v>7681</v>
      </c>
      <c r="D89" s="888">
        <v>5948</v>
      </c>
      <c r="E89" s="888">
        <v>6333</v>
      </c>
      <c r="F89" s="888">
        <v>6553</v>
      </c>
      <c r="G89" s="888">
        <v>6483</v>
      </c>
      <c r="H89" s="56">
        <v>6761</v>
      </c>
      <c r="I89" s="56">
        <v>6043</v>
      </c>
      <c r="J89" s="56">
        <v>5780</v>
      </c>
      <c r="K89" s="56">
        <v>6090</v>
      </c>
      <c r="L89" s="56">
        <v>6229</v>
      </c>
      <c r="M89" s="56">
        <v>6146</v>
      </c>
      <c r="N89" s="56">
        <v>6510</v>
      </c>
      <c r="O89" s="56">
        <v>6487</v>
      </c>
      <c r="Q89" s="882" t="s">
        <v>6005</v>
      </c>
    </row>
    <row r="90" spans="1:17">
      <c r="A90" s="882" t="s">
        <v>5391</v>
      </c>
      <c r="B90" s="882" t="s">
        <v>1630</v>
      </c>
      <c r="C90" s="55" t="s">
        <v>7682</v>
      </c>
      <c r="D90" s="884">
        <v>6726</v>
      </c>
      <c r="E90" s="884">
        <v>7033</v>
      </c>
      <c r="F90" s="884">
        <v>7174</v>
      </c>
      <c r="G90" s="884">
        <v>7097</v>
      </c>
      <c r="H90" s="56">
        <v>7115</v>
      </c>
      <c r="I90" s="56">
        <v>6620</v>
      </c>
      <c r="J90" s="56">
        <v>6592</v>
      </c>
      <c r="K90" s="56">
        <v>6874</v>
      </c>
      <c r="L90" s="56">
        <v>6908</v>
      </c>
      <c r="M90" s="56">
        <v>6698</v>
      </c>
      <c r="N90" s="56">
        <v>7100</v>
      </c>
      <c r="O90" s="56">
        <v>7041</v>
      </c>
      <c r="Q90" s="882" t="s">
        <v>6003</v>
      </c>
    </row>
    <row r="91" spans="1:17">
      <c r="A91" s="882" t="s">
        <v>5393</v>
      </c>
      <c r="B91" s="882" t="s">
        <v>1631</v>
      </c>
      <c r="C91" s="55" t="s">
        <v>7683</v>
      </c>
      <c r="D91" s="884">
        <v>6965</v>
      </c>
      <c r="E91" s="884">
        <v>7589</v>
      </c>
      <c r="F91" s="884">
        <v>7707</v>
      </c>
      <c r="G91" s="884">
        <v>7695</v>
      </c>
      <c r="H91" s="56">
        <v>8019</v>
      </c>
      <c r="I91" s="56">
        <v>7104</v>
      </c>
      <c r="J91" s="56">
        <v>5476</v>
      </c>
      <c r="K91" s="56">
        <v>5733</v>
      </c>
      <c r="L91" s="56">
        <v>6038</v>
      </c>
      <c r="M91" s="56">
        <v>5788</v>
      </c>
      <c r="N91" s="56">
        <v>6653</v>
      </c>
      <c r="O91" s="56">
        <v>6458</v>
      </c>
      <c r="Q91" s="882" t="s">
        <v>6003</v>
      </c>
    </row>
    <row r="92" spans="1:17">
      <c r="A92" s="882" t="s">
        <v>5394</v>
      </c>
      <c r="B92" s="882" t="s">
        <v>1632</v>
      </c>
      <c r="C92" s="55" t="s">
        <v>7684</v>
      </c>
      <c r="D92" s="884">
        <v>5885</v>
      </c>
      <c r="E92" s="884">
        <v>6312</v>
      </c>
      <c r="F92" s="884">
        <v>6426</v>
      </c>
      <c r="G92" s="884">
        <v>6203</v>
      </c>
      <c r="H92" s="56">
        <v>6375</v>
      </c>
      <c r="I92" s="56">
        <v>5375</v>
      </c>
      <c r="J92" s="56">
        <v>5262</v>
      </c>
      <c r="K92" s="56">
        <v>5628</v>
      </c>
      <c r="L92" s="56">
        <v>5715</v>
      </c>
      <c r="M92" s="56">
        <v>5493</v>
      </c>
      <c r="N92" s="56">
        <v>6277</v>
      </c>
      <c r="O92" s="56">
        <v>6145</v>
      </c>
      <c r="Q92" s="882" t="s">
        <v>6003</v>
      </c>
    </row>
    <row r="93" spans="1:17">
      <c r="A93" s="882" t="s">
        <v>5416</v>
      </c>
      <c r="B93" s="882" t="s">
        <v>1633</v>
      </c>
      <c r="C93" s="55" t="s">
        <v>7685</v>
      </c>
      <c r="D93" s="884">
        <v>7159</v>
      </c>
      <c r="E93" s="884">
        <v>7371</v>
      </c>
      <c r="F93" s="884">
        <v>7306</v>
      </c>
      <c r="G93" s="884">
        <v>7246</v>
      </c>
      <c r="H93" s="56">
        <v>7151</v>
      </c>
      <c r="I93" s="56">
        <v>6825</v>
      </c>
      <c r="J93" s="56">
        <v>6601</v>
      </c>
      <c r="K93" s="56">
        <v>6858</v>
      </c>
      <c r="L93" s="56">
        <v>6942</v>
      </c>
      <c r="M93" s="56">
        <v>6858</v>
      </c>
      <c r="N93" s="56">
        <v>7053</v>
      </c>
      <c r="O93" s="56">
        <v>7027</v>
      </c>
      <c r="Q93" s="882" t="s">
        <v>6005</v>
      </c>
    </row>
    <row r="94" spans="1:17">
      <c r="A94" s="882" t="s">
        <v>5418</v>
      </c>
      <c r="B94" s="882" t="s">
        <v>1642</v>
      </c>
      <c r="C94" s="55" t="s">
        <v>7686</v>
      </c>
      <c r="D94" s="884">
        <v>2483</v>
      </c>
      <c r="E94" s="884">
        <v>2511</v>
      </c>
      <c r="F94" s="884">
        <v>2506</v>
      </c>
      <c r="G94" s="884">
        <v>2484</v>
      </c>
      <c r="H94" s="56">
        <v>2496</v>
      </c>
      <c r="I94" s="56">
        <v>2477</v>
      </c>
      <c r="J94" s="56">
        <v>2392</v>
      </c>
      <c r="K94" s="56">
        <v>2463</v>
      </c>
      <c r="L94" s="56">
        <v>2449</v>
      </c>
      <c r="M94" s="56">
        <v>2434</v>
      </c>
      <c r="N94" s="56">
        <v>2503</v>
      </c>
      <c r="O94" s="56">
        <v>2498</v>
      </c>
      <c r="Q94" s="882" t="s">
        <v>6003</v>
      </c>
    </row>
    <row r="95" spans="1:17">
      <c r="A95" s="882" t="s">
        <v>5420</v>
      </c>
      <c r="B95" s="882" t="s">
        <v>1643</v>
      </c>
      <c r="C95" s="55" t="s">
        <v>7687</v>
      </c>
      <c r="D95" s="884">
        <v>6745</v>
      </c>
      <c r="E95" s="884">
        <v>7114</v>
      </c>
      <c r="F95" s="884">
        <v>7297</v>
      </c>
      <c r="G95" s="884">
        <v>7161</v>
      </c>
      <c r="H95" s="56">
        <v>7019</v>
      </c>
      <c r="I95" s="56">
        <v>6443</v>
      </c>
      <c r="J95" s="56">
        <v>6208</v>
      </c>
      <c r="K95" s="56">
        <v>6604</v>
      </c>
      <c r="L95" s="56">
        <v>6633</v>
      </c>
      <c r="M95" s="56">
        <v>6400</v>
      </c>
      <c r="N95" s="56">
        <v>6822</v>
      </c>
      <c r="O95" s="56">
        <v>6786</v>
      </c>
      <c r="Q95" s="882" t="s">
        <v>6005</v>
      </c>
    </row>
    <row r="96" spans="1:17">
      <c r="A96" s="882" t="s">
        <v>5422</v>
      </c>
      <c r="B96" s="882" t="s">
        <v>1644</v>
      </c>
      <c r="C96" s="55" t="s">
        <v>7688</v>
      </c>
      <c r="D96" s="884">
        <v>6730</v>
      </c>
      <c r="E96" s="884">
        <v>6950</v>
      </c>
      <c r="F96" s="884">
        <v>7155</v>
      </c>
      <c r="G96" s="884">
        <v>7062</v>
      </c>
      <c r="H96" s="56">
        <v>7047</v>
      </c>
      <c r="I96" s="56">
        <v>6669</v>
      </c>
      <c r="J96" s="56">
        <v>6568</v>
      </c>
      <c r="K96" s="56">
        <v>6869</v>
      </c>
      <c r="L96" s="56">
        <v>6997</v>
      </c>
      <c r="M96" s="56">
        <v>6836</v>
      </c>
      <c r="N96" s="56">
        <v>7085</v>
      </c>
      <c r="O96" s="56">
        <v>7042</v>
      </c>
      <c r="Q96" s="882" t="s">
        <v>6005</v>
      </c>
    </row>
    <row r="97" spans="1:17">
      <c r="A97" s="882" t="s">
        <v>5424</v>
      </c>
      <c r="B97" s="882" t="s">
        <v>1645</v>
      </c>
      <c r="C97" s="55" t="s">
        <v>7689</v>
      </c>
      <c r="D97" s="884">
        <v>6917</v>
      </c>
      <c r="E97" s="884">
        <v>7192</v>
      </c>
      <c r="F97" s="884">
        <v>7282</v>
      </c>
      <c r="G97" s="884">
        <v>6913</v>
      </c>
      <c r="H97" s="56">
        <v>6739</v>
      </c>
      <c r="I97" s="56">
        <v>5571</v>
      </c>
      <c r="J97" s="56">
        <v>5587</v>
      </c>
      <c r="K97" s="56">
        <v>6126</v>
      </c>
      <c r="L97" s="56">
        <v>6220</v>
      </c>
      <c r="M97" s="56">
        <v>5973</v>
      </c>
      <c r="N97" s="56">
        <v>6935</v>
      </c>
      <c r="O97" s="56">
        <v>6868</v>
      </c>
      <c r="Q97" s="882" t="s">
        <v>6003</v>
      </c>
    </row>
    <row r="98" spans="1:17">
      <c r="A98" s="882" t="s">
        <v>5426</v>
      </c>
      <c r="B98" s="882" t="s">
        <v>1646</v>
      </c>
      <c r="C98" s="55" t="s">
        <v>7690</v>
      </c>
      <c r="D98" s="884">
        <v>7288</v>
      </c>
      <c r="E98" s="884">
        <v>7463</v>
      </c>
      <c r="F98" s="884">
        <v>7515</v>
      </c>
      <c r="G98" s="884">
        <v>7481</v>
      </c>
      <c r="H98" s="56">
        <v>7441</v>
      </c>
      <c r="I98" s="56">
        <v>7296</v>
      </c>
      <c r="J98" s="56">
        <v>7122</v>
      </c>
      <c r="K98" s="56">
        <v>7304</v>
      </c>
      <c r="L98" s="56">
        <v>7296</v>
      </c>
      <c r="M98" s="56">
        <v>7206</v>
      </c>
      <c r="N98" s="56">
        <v>7362</v>
      </c>
      <c r="O98" s="56">
        <v>7315</v>
      </c>
      <c r="Q98" s="882" t="s">
        <v>6003</v>
      </c>
    </row>
    <row r="99" spans="1:17">
      <c r="A99" s="882" t="s">
        <v>5428</v>
      </c>
      <c r="B99" s="882" t="s">
        <v>1647</v>
      </c>
      <c r="C99" s="55" t="s">
        <v>7691</v>
      </c>
      <c r="D99" s="884">
        <v>6731</v>
      </c>
      <c r="E99" s="884">
        <v>7086</v>
      </c>
      <c r="F99" s="884">
        <v>7309</v>
      </c>
      <c r="G99" s="884">
        <v>6834</v>
      </c>
      <c r="H99" s="56">
        <v>6799</v>
      </c>
      <c r="I99" s="56">
        <v>4610</v>
      </c>
      <c r="J99" s="56">
        <v>4492</v>
      </c>
      <c r="K99" s="56">
        <v>5050</v>
      </c>
      <c r="L99" s="56">
        <v>5306</v>
      </c>
      <c r="M99" s="56">
        <v>4729</v>
      </c>
      <c r="N99" s="56">
        <v>6315</v>
      </c>
      <c r="O99" s="56">
        <v>6249</v>
      </c>
      <c r="Q99" s="882" t="s">
        <v>6003</v>
      </c>
    </row>
    <row r="100" spans="1:17">
      <c r="A100" s="882" t="s">
        <v>5429</v>
      </c>
      <c r="B100" s="882" t="s">
        <v>1648</v>
      </c>
      <c r="C100" s="55" t="s">
        <v>7692</v>
      </c>
      <c r="D100" s="884">
        <v>6042</v>
      </c>
      <c r="E100" s="884">
        <v>6254</v>
      </c>
      <c r="F100" s="884">
        <v>6311</v>
      </c>
      <c r="G100" s="884">
        <v>6265</v>
      </c>
      <c r="H100" s="56">
        <v>6307</v>
      </c>
      <c r="I100" s="56">
        <v>6165</v>
      </c>
      <c r="J100" s="56">
        <v>6022</v>
      </c>
      <c r="K100" s="56">
        <v>6194</v>
      </c>
      <c r="L100" s="56">
        <v>6214</v>
      </c>
      <c r="M100" s="56">
        <v>6225</v>
      </c>
      <c r="N100" s="56">
        <v>6423</v>
      </c>
      <c r="O100" s="56">
        <v>6368</v>
      </c>
      <c r="Q100" s="882" t="s">
        <v>6005</v>
      </c>
    </row>
    <row r="101" spans="1:17">
      <c r="A101" s="882" t="s">
        <v>5431</v>
      </c>
      <c r="B101" s="882" t="s">
        <v>6415</v>
      </c>
      <c r="C101" s="55" t="s">
        <v>7693</v>
      </c>
      <c r="D101" s="884">
        <v>7126</v>
      </c>
      <c r="E101" s="884">
        <v>7322</v>
      </c>
      <c r="F101" s="884">
        <v>7282</v>
      </c>
      <c r="G101" s="884">
        <v>7294</v>
      </c>
      <c r="H101" s="56">
        <v>7271</v>
      </c>
      <c r="I101" s="56">
        <v>7180</v>
      </c>
      <c r="J101" s="56">
        <v>6969</v>
      </c>
      <c r="K101" s="56">
        <v>7209</v>
      </c>
      <c r="L101" s="56">
        <v>7149</v>
      </c>
      <c r="M101" s="56">
        <v>7092</v>
      </c>
      <c r="N101" s="56">
        <v>7263</v>
      </c>
      <c r="O101" s="56">
        <v>7238</v>
      </c>
      <c r="Q101" s="882" t="s">
        <v>6003</v>
      </c>
    </row>
    <row r="102" spans="1:17">
      <c r="A102" s="882" t="s">
        <v>5433</v>
      </c>
      <c r="B102" s="882" t="s">
        <v>3008</v>
      </c>
      <c r="C102" s="55" t="s">
        <v>7694</v>
      </c>
      <c r="D102" s="884">
        <v>7037</v>
      </c>
      <c r="E102" s="884">
        <v>7162</v>
      </c>
      <c r="F102" s="884">
        <v>7178</v>
      </c>
      <c r="G102" s="884">
        <v>7118</v>
      </c>
      <c r="H102" s="56">
        <v>7084</v>
      </c>
      <c r="I102" s="56">
        <v>6866</v>
      </c>
      <c r="J102" s="56">
        <v>6763</v>
      </c>
      <c r="K102" s="56">
        <v>7005</v>
      </c>
      <c r="L102" s="56">
        <v>7032</v>
      </c>
      <c r="M102" s="56">
        <v>6961</v>
      </c>
      <c r="N102" s="56">
        <v>7174</v>
      </c>
      <c r="O102" s="56">
        <v>7129</v>
      </c>
      <c r="Q102" s="882" t="s">
        <v>6005</v>
      </c>
    </row>
    <row r="103" spans="1:17">
      <c r="A103" s="891">
        <v>16</v>
      </c>
      <c r="B103" s="882" t="s">
        <v>3009</v>
      </c>
      <c r="C103" s="55" t="s">
        <v>7695</v>
      </c>
      <c r="D103" s="888">
        <v>7342</v>
      </c>
      <c r="E103" s="888">
        <v>7656</v>
      </c>
      <c r="F103" s="888">
        <v>7928</v>
      </c>
      <c r="G103" s="888">
        <v>7960</v>
      </c>
      <c r="H103" s="58">
        <v>8026</v>
      </c>
      <c r="I103" s="58">
        <v>7562</v>
      </c>
      <c r="J103" s="58">
        <v>7337</v>
      </c>
      <c r="K103" s="58">
        <v>7695</v>
      </c>
      <c r="L103" s="58">
        <v>7977</v>
      </c>
      <c r="M103" s="58">
        <v>8120</v>
      </c>
      <c r="N103" s="58">
        <v>8621</v>
      </c>
      <c r="O103" s="58">
        <v>8602</v>
      </c>
      <c r="Q103" s="882" t="s">
        <v>6005</v>
      </c>
    </row>
    <row r="104" spans="1:17">
      <c r="D104" s="887"/>
      <c r="E104" s="887"/>
      <c r="F104" s="887"/>
      <c r="G104" s="887"/>
      <c r="H104" s="887"/>
      <c r="I104" s="887"/>
      <c r="J104" s="887"/>
      <c r="K104" s="887"/>
      <c r="L104" s="887"/>
      <c r="M104" s="887"/>
      <c r="N104" s="887"/>
      <c r="O104" s="887"/>
    </row>
    <row r="105" spans="1:17">
      <c r="A105" s="882" t="s">
        <v>3010</v>
      </c>
      <c r="D105" s="884">
        <f t="shared" ref="D105:I105" si="78">D88+SUM(D90:D92)+D94+SUM(D97:D99)+D101</f>
        <v>57166</v>
      </c>
      <c r="E105" s="884">
        <f t="shared" si="78"/>
        <v>60611</v>
      </c>
      <c r="F105" s="884">
        <f t="shared" si="78"/>
        <v>61952</v>
      </c>
      <c r="G105" s="884">
        <f t="shared" si="78"/>
        <v>60516</v>
      </c>
      <c r="H105" s="884">
        <f t="shared" si="78"/>
        <v>60652</v>
      </c>
      <c r="I105" s="884">
        <f t="shared" si="78"/>
        <v>53295</v>
      </c>
      <c r="J105" s="884">
        <f t="shared" ref="J105:O105" si="79">J88+SUM(J90:J92)+J94+SUM(J97:J99)+J101</f>
        <v>50599</v>
      </c>
      <c r="K105" s="884">
        <f t="shared" si="79"/>
        <v>53696</v>
      </c>
      <c r="L105" s="884">
        <f t="shared" si="79"/>
        <v>54617</v>
      </c>
      <c r="M105" s="884">
        <f t="shared" si="79"/>
        <v>52850</v>
      </c>
      <c r="N105" s="884">
        <f t="shared" si="79"/>
        <v>58800</v>
      </c>
      <c r="O105" s="884">
        <f t="shared" si="79"/>
        <v>58100</v>
      </c>
    </row>
    <row r="106" spans="1:17">
      <c r="A106" s="882" t="s">
        <v>3011</v>
      </c>
      <c r="D106" s="884">
        <f t="shared" ref="D106:I106" si="80">D89+D93+D95+D96+D100+D102+D103</f>
        <v>47003</v>
      </c>
      <c r="E106" s="884">
        <f t="shared" si="80"/>
        <v>48840</v>
      </c>
      <c r="F106" s="884">
        <f t="shared" si="80"/>
        <v>49728</v>
      </c>
      <c r="G106" s="884">
        <f t="shared" si="80"/>
        <v>49295</v>
      </c>
      <c r="H106" s="884">
        <f t="shared" si="80"/>
        <v>49395</v>
      </c>
      <c r="I106" s="884">
        <f t="shared" si="80"/>
        <v>46573</v>
      </c>
      <c r="J106" s="884">
        <f t="shared" ref="J106:O106" si="81">J89+J93+J95+J96+J100+J102+J103</f>
        <v>45279</v>
      </c>
      <c r="K106" s="884">
        <f t="shared" si="81"/>
        <v>47315</v>
      </c>
      <c r="L106" s="884">
        <f t="shared" si="81"/>
        <v>48024</v>
      </c>
      <c r="M106" s="884">
        <f t="shared" si="81"/>
        <v>47546</v>
      </c>
      <c r="N106" s="884">
        <f t="shared" si="81"/>
        <v>49688</v>
      </c>
      <c r="O106" s="884">
        <f t="shared" si="81"/>
        <v>49441</v>
      </c>
    </row>
    <row r="107" spans="1:17">
      <c r="A107" s="882"/>
      <c r="B107" s="882"/>
      <c r="D107" s="892"/>
      <c r="E107" s="892"/>
      <c r="F107" s="892"/>
      <c r="G107" s="892"/>
      <c r="H107" s="892"/>
      <c r="I107" s="892"/>
      <c r="J107" s="892"/>
      <c r="K107" s="892"/>
      <c r="L107" s="892"/>
      <c r="M107" s="892"/>
      <c r="N107" s="892"/>
      <c r="O107" s="892"/>
    </row>
    <row r="108" spans="1:17">
      <c r="A108" s="882" t="s">
        <v>3012</v>
      </c>
      <c r="B108" s="882"/>
      <c r="D108" s="892"/>
      <c r="E108" s="892"/>
      <c r="F108" s="892"/>
      <c r="G108" s="892"/>
      <c r="H108" s="892"/>
      <c r="I108" s="892"/>
      <c r="J108" s="892"/>
      <c r="K108" s="892"/>
      <c r="L108" s="892"/>
      <c r="M108" s="892"/>
      <c r="N108" s="892"/>
      <c r="O108" s="892"/>
    </row>
    <row r="109" spans="1:17">
      <c r="A109" s="882"/>
      <c r="B109" s="882"/>
      <c r="D109" s="892"/>
      <c r="E109" s="892"/>
      <c r="F109" s="892"/>
      <c r="G109" s="892"/>
      <c r="H109" s="892"/>
      <c r="I109" s="892"/>
      <c r="J109" s="892"/>
      <c r="K109" s="892"/>
      <c r="L109" s="892"/>
      <c r="M109" s="892"/>
      <c r="N109" s="892"/>
      <c r="O109" s="892"/>
    </row>
    <row r="110" spans="1:17">
      <c r="A110" s="882"/>
      <c r="B110" s="882"/>
      <c r="D110" s="892"/>
      <c r="E110" s="892"/>
      <c r="F110" s="892"/>
      <c r="G110" s="892"/>
      <c r="H110" s="892"/>
      <c r="I110" s="892"/>
      <c r="J110" s="892"/>
      <c r="K110" s="892"/>
      <c r="L110" s="892"/>
      <c r="M110" s="892"/>
      <c r="N110" s="892"/>
      <c r="O110" s="892"/>
    </row>
    <row r="111" spans="1:17">
      <c r="E111" s="51" t="s">
        <v>1526</v>
      </c>
      <c r="F111" s="51"/>
      <c r="G111" s="51"/>
      <c r="H111" s="51"/>
      <c r="I111" s="51"/>
      <c r="J111" s="51"/>
      <c r="K111" s="51"/>
      <c r="L111" s="51"/>
      <c r="M111" s="51"/>
      <c r="N111" s="51"/>
      <c r="O111" s="51"/>
      <c r="P111" s="173"/>
      <c r="Q111" s="138" t="s">
        <v>9479</v>
      </c>
    </row>
    <row r="112" spans="1:17">
      <c r="D112" s="51">
        <v>2010</v>
      </c>
      <c r="E112" s="51">
        <v>2011</v>
      </c>
      <c r="F112" s="51">
        <v>2012</v>
      </c>
      <c r="G112" s="51">
        <v>2013</v>
      </c>
      <c r="H112" s="51">
        <v>2014</v>
      </c>
      <c r="I112" s="51">
        <v>2015</v>
      </c>
      <c r="J112" s="51">
        <v>2016</v>
      </c>
      <c r="K112" s="51">
        <v>2017</v>
      </c>
      <c r="L112" s="51">
        <v>2018</v>
      </c>
      <c r="M112" s="51">
        <v>2019</v>
      </c>
      <c r="N112" s="51">
        <v>2020</v>
      </c>
      <c r="O112" s="992" t="s">
        <v>14823</v>
      </c>
      <c r="Q112" s="206" t="s">
        <v>1527</v>
      </c>
    </row>
    <row r="113" spans="1:17">
      <c r="A113" s="882" t="s">
        <v>4444</v>
      </c>
      <c r="D113" s="890">
        <f t="shared" ref="D113:I113" si="82">SUM(D114:D128)</f>
        <v>82005</v>
      </c>
      <c r="E113" s="890">
        <f t="shared" si="82"/>
        <v>84908</v>
      </c>
      <c r="F113" s="890">
        <f t="shared" si="82"/>
        <v>85694</v>
      </c>
      <c r="G113" s="890">
        <f t="shared" si="82"/>
        <v>87024</v>
      </c>
      <c r="H113" s="890">
        <f t="shared" si="82"/>
        <v>88433</v>
      </c>
      <c r="I113" s="890">
        <f t="shared" si="82"/>
        <v>87772</v>
      </c>
      <c r="J113" s="890">
        <f t="shared" ref="J113:O113" si="83">SUM(J114:J128)</f>
        <v>80072</v>
      </c>
      <c r="K113" s="890">
        <f t="shared" si="83"/>
        <v>84478</v>
      </c>
      <c r="L113" s="890">
        <f t="shared" si="83"/>
        <v>84311</v>
      </c>
      <c r="M113" s="890">
        <f t="shared" si="83"/>
        <v>85577</v>
      </c>
      <c r="N113" s="890">
        <f t="shared" si="83"/>
        <v>86758</v>
      </c>
      <c r="O113" s="890">
        <f t="shared" si="83"/>
        <v>87846</v>
      </c>
    </row>
    <row r="114" spans="1:17">
      <c r="A114" s="882" t="s">
        <v>5387</v>
      </c>
      <c r="B114" s="882" t="s">
        <v>3013</v>
      </c>
      <c r="C114" s="62" t="s">
        <v>9522</v>
      </c>
      <c r="D114" s="884">
        <v>78477</v>
      </c>
      <c r="E114" s="884">
        <v>81327</v>
      </c>
      <c r="F114" s="884">
        <v>81937</v>
      </c>
      <c r="G114" s="63">
        <v>83197</v>
      </c>
      <c r="H114" s="63">
        <v>6180</v>
      </c>
      <c r="I114" s="63">
        <v>5902</v>
      </c>
      <c r="J114" s="63">
        <v>5428</v>
      </c>
      <c r="K114" s="63">
        <v>6040</v>
      </c>
      <c r="L114" s="63">
        <v>5738</v>
      </c>
      <c r="M114" s="63">
        <v>5861</v>
      </c>
      <c r="N114" s="63">
        <v>5937</v>
      </c>
      <c r="O114" s="63">
        <v>5960</v>
      </c>
      <c r="Q114" s="882" t="s">
        <v>6006</v>
      </c>
    </row>
    <row r="115" spans="1:17">
      <c r="A115" s="882" t="s">
        <v>5389</v>
      </c>
      <c r="B115" s="882" t="s">
        <v>9480</v>
      </c>
      <c r="C115" s="62" t="s">
        <v>9523</v>
      </c>
      <c r="D115" s="884">
        <v>0</v>
      </c>
      <c r="E115" s="884">
        <v>0</v>
      </c>
      <c r="F115" s="884">
        <v>0</v>
      </c>
      <c r="G115" s="63">
        <v>0</v>
      </c>
      <c r="H115" s="63">
        <v>6042</v>
      </c>
      <c r="I115" s="63">
        <v>6185</v>
      </c>
      <c r="J115" s="63">
        <v>5538</v>
      </c>
      <c r="K115" s="63">
        <v>5743</v>
      </c>
      <c r="L115" s="63">
        <v>6063</v>
      </c>
      <c r="M115" s="63">
        <v>6165</v>
      </c>
      <c r="N115" s="63">
        <v>6131</v>
      </c>
      <c r="O115" s="63">
        <v>6238</v>
      </c>
      <c r="Q115" s="882" t="s">
        <v>6006</v>
      </c>
    </row>
    <row r="116" spans="1:17">
      <c r="A116" s="882" t="s">
        <v>5391</v>
      </c>
      <c r="B116" s="882" t="s">
        <v>6024</v>
      </c>
      <c r="C116" s="62" t="s">
        <v>9524</v>
      </c>
      <c r="D116" s="884">
        <v>0</v>
      </c>
      <c r="E116" s="884">
        <v>0</v>
      </c>
      <c r="F116" s="884">
        <v>0</v>
      </c>
      <c r="G116" s="63">
        <v>0</v>
      </c>
      <c r="H116" s="63">
        <v>5713</v>
      </c>
      <c r="I116" s="63">
        <v>5791</v>
      </c>
      <c r="J116" s="63">
        <v>5045</v>
      </c>
      <c r="K116" s="63">
        <v>5529</v>
      </c>
      <c r="L116" s="63">
        <v>5478</v>
      </c>
      <c r="M116" s="63">
        <v>5855</v>
      </c>
      <c r="N116" s="63">
        <v>6087</v>
      </c>
      <c r="O116" s="63">
        <v>6289</v>
      </c>
      <c r="Q116" s="882" t="s">
        <v>6006</v>
      </c>
    </row>
    <row r="117" spans="1:17">
      <c r="A117" s="882" t="s">
        <v>5393</v>
      </c>
      <c r="B117" s="882" t="s">
        <v>4504</v>
      </c>
      <c r="C117" s="62" t="s">
        <v>9525</v>
      </c>
      <c r="D117" s="884">
        <v>0</v>
      </c>
      <c r="E117" s="884">
        <v>0</v>
      </c>
      <c r="F117" s="884">
        <v>0</v>
      </c>
      <c r="G117" s="63">
        <v>0</v>
      </c>
      <c r="H117" s="63">
        <v>6192</v>
      </c>
      <c r="I117" s="63">
        <v>6157</v>
      </c>
      <c r="J117" s="63">
        <v>5351</v>
      </c>
      <c r="K117" s="63">
        <v>5540</v>
      </c>
      <c r="L117" s="63">
        <v>5636</v>
      </c>
      <c r="M117" s="63">
        <v>5708</v>
      </c>
      <c r="N117" s="63">
        <v>5681</v>
      </c>
      <c r="O117" s="63">
        <v>5771</v>
      </c>
      <c r="Q117" s="882" t="s">
        <v>6006</v>
      </c>
    </row>
    <row r="118" spans="1:17">
      <c r="A118" s="882" t="s">
        <v>5394</v>
      </c>
      <c r="B118" s="882" t="s">
        <v>4505</v>
      </c>
      <c r="C118" s="62" t="s">
        <v>9526</v>
      </c>
      <c r="D118" s="884">
        <v>0</v>
      </c>
      <c r="E118" s="884">
        <v>0</v>
      </c>
      <c r="F118" s="884">
        <v>0</v>
      </c>
      <c r="G118" s="63">
        <v>0</v>
      </c>
      <c r="H118" s="63">
        <v>6645</v>
      </c>
      <c r="I118" s="63">
        <v>6512</v>
      </c>
      <c r="J118" s="63">
        <v>6195</v>
      </c>
      <c r="K118" s="63">
        <v>6485</v>
      </c>
      <c r="L118" s="63">
        <v>6337</v>
      </c>
      <c r="M118" s="63">
        <v>6349</v>
      </c>
      <c r="N118" s="63">
        <v>6390</v>
      </c>
      <c r="O118" s="63">
        <v>6412</v>
      </c>
      <c r="Q118" s="882" t="s">
        <v>6006</v>
      </c>
    </row>
    <row r="119" spans="1:17">
      <c r="A119" s="882" t="s">
        <v>5416</v>
      </c>
      <c r="B119" s="882" t="s">
        <v>4506</v>
      </c>
      <c r="C119" s="62" t="s">
        <v>9527</v>
      </c>
      <c r="D119" s="888">
        <v>0</v>
      </c>
      <c r="E119" s="888">
        <v>0</v>
      </c>
      <c r="F119" s="888">
        <v>0</v>
      </c>
      <c r="G119" s="63">
        <v>0</v>
      </c>
      <c r="H119" s="63">
        <v>6870</v>
      </c>
      <c r="I119" s="63">
        <v>6772</v>
      </c>
      <c r="J119" s="63">
        <v>6182</v>
      </c>
      <c r="K119" s="63">
        <v>6490</v>
      </c>
      <c r="L119" s="63">
        <v>6480</v>
      </c>
      <c r="M119" s="63">
        <v>6538</v>
      </c>
      <c r="N119" s="63">
        <v>6681</v>
      </c>
      <c r="O119" s="63">
        <v>6769</v>
      </c>
      <c r="Q119" s="882" t="s">
        <v>6006</v>
      </c>
    </row>
    <row r="120" spans="1:17">
      <c r="A120" s="882" t="s">
        <v>5418</v>
      </c>
      <c r="B120" s="882" t="s">
        <v>4507</v>
      </c>
      <c r="C120" s="62" t="s">
        <v>9528</v>
      </c>
      <c r="D120" s="884">
        <v>3528</v>
      </c>
      <c r="E120" s="884">
        <v>3581</v>
      </c>
      <c r="F120" s="884">
        <v>3757</v>
      </c>
      <c r="G120" s="63">
        <v>3827</v>
      </c>
      <c r="H120" s="63">
        <v>3869</v>
      </c>
      <c r="I120" s="63">
        <v>3782</v>
      </c>
      <c r="J120" s="63">
        <v>3404</v>
      </c>
      <c r="K120" s="63">
        <v>3651</v>
      </c>
      <c r="L120" s="63">
        <v>3632</v>
      </c>
      <c r="M120" s="63">
        <v>3627</v>
      </c>
      <c r="N120" s="63">
        <v>3596</v>
      </c>
      <c r="O120" s="63">
        <v>3624</v>
      </c>
      <c r="Q120" s="882" t="s">
        <v>6012</v>
      </c>
    </row>
    <row r="121" spans="1:17">
      <c r="A121" s="882" t="s">
        <v>5420</v>
      </c>
      <c r="B121" s="882" t="s">
        <v>9481</v>
      </c>
      <c r="C121" s="62" t="s">
        <v>9529</v>
      </c>
      <c r="D121" s="63">
        <v>0</v>
      </c>
      <c r="E121" s="63">
        <v>0</v>
      </c>
      <c r="F121" s="63">
        <v>0</v>
      </c>
      <c r="G121" s="63">
        <v>0</v>
      </c>
      <c r="H121" s="63">
        <v>5705</v>
      </c>
      <c r="I121" s="63">
        <v>5706</v>
      </c>
      <c r="J121" s="63">
        <v>5028</v>
      </c>
      <c r="K121" s="63">
        <v>5263</v>
      </c>
      <c r="L121" s="63">
        <v>5185</v>
      </c>
      <c r="M121" s="63">
        <v>5314</v>
      </c>
      <c r="N121" s="63">
        <v>5378</v>
      </c>
      <c r="O121" s="63">
        <v>5523</v>
      </c>
      <c r="Q121" s="882" t="s">
        <v>6006</v>
      </c>
    </row>
    <row r="122" spans="1:17">
      <c r="A122" s="882" t="s">
        <v>5422</v>
      </c>
      <c r="B122" s="882" t="s">
        <v>4508</v>
      </c>
      <c r="C122" s="62" t="s">
        <v>9530</v>
      </c>
      <c r="D122" s="63">
        <v>0</v>
      </c>
      <c r="E122" s="63">
        <v>0</v>
      </c>
      <c r="F122" s="63">
        <v>0</v>
      </c>
      <c r="G122" s="63">
        <v>0</v>
      </c>
      <c r="H122" s="63">
        <v>6094</v>
      </c>
      <c r="I122" s="63">
        <v>6077</v>
      </c>
      <c r="J122" s="63">
        <v>5423</v>
      </c>
      <c r="K122" s="63">
        <v>5681</v>
      </c>
      <c r="L122" s="63">
        <v>5671</v>
      </c>
      <c r="M122" s="63">
        <v>5735</v>
      </c>
      <c r="N122" s="63">
        <v>5781</v>
      </c>
      <c r="O122" s="63">
        <v>5783</v>
      </c>
      <c r="Q122" s="882" t="s">
        <v>6006</v>
      </c>
    </row>
    <row r="123" spans="1:17">
      <c r="A123" s="882" t="s">
        <v>5424</v>
      </c>
      <c r="B123" s="882" t="s">
        <v>4509</v>
      </c>
      <c r="C123" s="62" t="s">
        <v>9531</v>
      </c>
      <c r="D123" s="884">
        <v>0</v>
      </c>
      <c r="E123" s="884">
        <v>0</v>
      </c>
      <c r="F123" s="884">
        <v>0</v>
      </c>
      <c r="G123" s="63">
        <v>0</v>
      </c>
      <c r="H123" s="63">
        <v>2307</v>
      </c>
      <c r="I123" s="63">
        <v>2282</v>
      </c>
      <c r="J123" s="63">
        <v>2142</v>
      </c>
      <c r="K123" s="63">
        <v>2229</v>
      </c>
      <c r="L123" s="63">
        <v>2230</v>
      </c>
      <c r="M123" s="63">
        <v>2257</v>
      </c>
      <c r="N123" s="63">
        <v>2277</v>
      </c>
      <c r="O123" s="63">
        <v>2294</v>
      </c>
      <c r="Q123" s="882" t="s">
        <v>6006</v>
      </c>
    </row>
    <row r="124" spans="1:17">
      <c r="A124" s="882" t="s">
        <v>5426</v>
      </c>
      <c r="B124" s="882" t="s">
        <v>9482</v>
      </c>
      <c r="C124" s="62" t="s">
        <v>9532</v>
      </c>
      <c r="D124" s="884">
        <v>0</v>
      </c>
      <c r="E124" s="884">
        <v>0</v>
      </c>
      <c r="F124" s="884">
        <v>0</v>
      </c>
      <c r="G124" s="63">
        <v>0</v>
      </c>
      <c r="H124" s="63">
        <v>6842</v>
      </c>
      <c r="I124" s="63">
        <v>6769</v>
      </c>
      <c r="J124" s="63">
        <v>6167</v>
      </c>
      <c r="K124" s="63">
        <v>6474</v>
      </c>
      <c r="L124" s="63">
        <v>6375</v>
      </c>
      <c r="M124" s="63">
        <v>6407</v>
      </c>
      <c r="N124" s="63">
        <v>6518</v>
      </c>
      <c r="O124" s="63">
        <v>6592</v>
      </c>
      <c r="Q124" s="882" t="s">
        <v>6006</v>
      </c>
    </row>
    <row r="125" spans="1:17">
      <c r="A125" s="882" t="s">
        <v>5428</v>
      </c>
      <c r="B125" s="882" t="s">
        <v>9483</v>
      </c>
      <c r="C125" s="62" t="s">
        <v>9533</v>
      </c>
      <c r="D125" s="884">
        <v>0</v>
      </c>
      <c r="E125" s="884">
        <v>0</v>
      </c>
      <c r="F125" s="884">
        <v>0</v>
      </c>
      <c r="G125" s="63">
        <v>0</v>
      </c>
      <c r="H125" s="63">
        <v>6634</v>
      </c>
      <c r="I125" s="63">
        <v>6669</v>
      </c>
      <c r="J125" s="63">
        <v>6208</v>
      </c>
      <c r="K125" s="63">
        <v>6425</v>
      </c>
      <c r="L125" s="63">
        <v>6456</v>
      </c>
      <c r="M125" s="63">
        <v>6486</v>
      </c>
      <c r="N125" s="63">
        <v>6540</v>
      </c>
      <c r="O125" s="63">
        <v>6641</v>
      </c>
      <c r="Q125" s="882" t="s">
        <v>6006</v>
      </c>
    </row>
    <row r="126" spans="1:17">
      <c r="A126" s="882" t="s">
        <v>5429</v>
      </c>
      <c r="B126" s="882" t="s">
        <v>4463</v>
      </c>
      <c r="C126" s="62" t="s">
        <v>9534</v>
      </c>
      <c r="D126" s="884">
        <v>0</v>
      </c>
      <c r="E126" s="884">
        <v>0</v>
      </c>
      <c r="F126" s="884">
        <v>0</v>
      </c>
      <c r="G126" s="63">
        <v>0</v>
      </c>
      <c r="H126" s="63">
        <v>6729</v>
      </c>
      <c r="I126" s="63">
        <v>6664</v>
      </c>
      <c r="J126" s="63">
        <v>6301</v>
      </c>
      <c r="K126" s="63">
        <v>6550</v>
      </c>
      <c r="L126" s="63">
        <v>6505</v>
      </c>
      <c r="M126" s="63">
        <v>6650</v>
      </c>
      <c r="N126" s="63">
        <v>6822</v>
      </c>
      <c r="O126" s="63">
        <v>6874</v>
      </c>
      <c r="Q126" s="882" t="s">
        <v>6006</v>
      </c>
    </row>
    <row r="127" spans="1:17">
      <c r="A127" s="882" t="s">
        <v>5431</v>
      </c>
      <c r="B127" s="882" t="s">
        <v>4464</v>
      </c>
      <c r="C127" s="62" t="s">
        <v>9535</v>
      </c>
      <c r="D127" s="884">
        <v>0</v>
      </c>
      <c r="E127" s="884">
        <v>0</v>
      </c>
      <c r="F127" s="884">
        <v>0</v>
      </c>
      <c r="G127" s="63">
        <v>0</v>
      </c>
      <c r="H127" s="63">
        <v>6077</v>
      </c>
      <c r="I127" s="63">
        <v>6048</v>
      </c>
      <c r="J127" s="63">
        <v>5803</v>
      </c>
      <c r="K127" s="63">
        <v>6340</v>
      </c>
      <c r="L127" s="63">
        <v>6476</v>
      </c>
      <c r="M127" s="63">
        <v>6480</v>
      </c>
      <c r="N127" s="63">
        <v>6625</v>
      </c>
      <c r="O127" s="63">
        <v>6667</v>
      </c>
      <c r="Q127" s="882" t="s">
        <v>6006</v>
      </c>
    </row>
    <row r="128" spans="1:17">
      <c r="A128" s="882" t="s">
        <v>5433</v>
      </c>
      <c r="B128" s="882" t="s">
        <v>4465</v>
      </c>
      <c r="C128" s="62" t="s">
        <v>9536</v>
      </c>
      <c r="D128" s="887">
        <v>0</v>
      </c>
      <c r="E128" s="887">
        <v>0</v>
      </c>
      <c r="F128" s="887">
        <v>0</v>
      </c>
      <c r="G128" s="63">
        <v>0</v>
      </c>
      <c r="H128" s="63">
        <v>6534</v>
      </c>
      <c r="I128" s="63">
        <v>6456</v>
      </c>
      <c r="J128" s="63">
        <v>5857</v>
      </c>
      <c r="K128" s="63">
        <v>6038</v>
      </c>
      <c r="L128" s="63">
        <v>6049</v>
      </c>
      <c r="M128" s="63">
        <v>6145</v>
      </c>
      <c r="N128" s="63">
        <v>6314</v>
      </c>
      <c r="O128" s="63">
        <v>6409</v>
      </c>
      <c r="Q128" s="882" t="s">
        <v>6006</v>
      </c>
    </row>
    <row r="130" spans="1:17">
      <c r="A130" s="882" t="s">
        <v>6006</v>
      </c>
      <c r="D130" s="884">
        <f t="shared" ref="D130:I130" si="84">SUM(D114:D119)+SUM(D121:D128)</f>
        <v>78477</v>
      </c>
      <c r="E130" s="884">
        <f t="shared" si="84"/>
        <v>81327</v>
      </c>
      <c r="F130" s="884">
        <f t="shared" si="84"/>
        <v>81937</v>
      </c>
      <c r="G130" s="884">
        <f t="shared" si="84"/>
        <v>83197</v>
      </c>
      <c r="H130" s="884">
        <f t="shared" si="84"/>
        <v>84564</v>
      </c>
      <c r="I130" s="884">
        <f t="shared" si="84"/>
        <v>83990</v>
      </c>
      <c r="J130" s="884">
        <f t="shared" ref="J130:O130" si="85">SUM(J114:J119)+SUM(J121:J128)</f>
        <v>76668</v>
      </c>
      <c r="K130" s="884">
        <f t="shared" si="85"/>
        <v>80827</v>
      </c>
      <c r="L130" s="884">
        <f t="shared" si="85"/>
        <v>80679</v>
      </c>
      <c r="M130" s="884">
        <f t="shared" si="85"/>
        <v>81950</v>
      </c>
      <c r="N130" s="884">
        <f t="shared" si="85"/>
        <v>83162</v>
      </c>
      <c r="O130" s="884">
        <f t="shared" si="85"/>
        <v>84222</v>
      </c>
    </row>
    <row r="131" spans="1:17">
      <c r="A131" s="882" t="s">
        <v>4594</v>
      </c>
      <c r="D131" s="884">
        <f t="shared" ref="D131:I131" si="86">D120</f>
        <v>3528</v>
      </c>
      <c r="E131" s="884">
        <f t="shared" si="86"/>
        <v>3581</v>
      </c>
      <c r="F131" s="884">
        <f t="shared" si="86"/>
        <v>3757</v>
      </c>
      <c r="G131" s="884">
        <f t="shared" si="86"/>
        <v>3827</v>
      </c>
      <c r="H131" s="884">
        <f t="shared" si="86"/>
        <v>3869</v>
      </c>
      <c r="I131" s="884">
        <f t="shared" si="86"/>
        <v>3782</v>
      </c>
      <c r="J131" s="884">
        <f t="shared" ref="J131:O131" si="87">J120</f>
        <v>3404</v>
      </c>
      <c r="K131" s="884">
        <f t="shared" si="87"/>
        <v>3651</v>
      </c>
      <c r="L131" s="884">
        <f t="shared" si="87"/>
        <v>3632</v>
      </c>
      <c r="M131" s="884">
        <f t="shared" si="87"/>
        <v>3627</v>
      </c>
      <c r="N131" s="884">
        <f t="shared" si="87"/>
        <v>3596</v>
      </c>
      <c r="O131" s="884">
        <f t="shared" si="87"/>
        <v>3624</v>
      </c>
    </row>
    <row r="133" spans="1:17">
      <c r="A133" s="882" t="s">
        <v>9484</v>
      </c>
    </row>
    <row r="134" spans="1:17">
      <c r="A134" s="882"/>
    </row>
    <row r="135" spans="1:17">
      <c r="A135" s="882"/>
    </row>
    <row r="136" spans="1:17">
      <c r="E136" s="51" t="s">
        <v>1526</v>
      </c>
      <c r="F136" s="51"/>
      <c r="G136" s="51"/>
      <c r="H136" s="51"/>
      <c r="I136" s="51"/>
      <c r="J136" s="51"/>
      <c r="K136" s="51"/>
      <c r="L136" s="51"/>
      <c r="M136" s="51"/>
      <c r="N136" s="51"/>
      <c r="O136" s="51"/>
      <c r="P136" s="173"/>
      <c r="Q136" s="138" t="s">
        <v>9479</v>
      </c>
    </row>
    <row r="137" spans="1:17">
      <c r="D137" s="51">
        <v>2010</v>
      </c>
      <c r="E137" s="51">
        <v>2011</v>
      </c>
      <c r="F137" s="51">
        <v>2012</v>
      </c>
      <c r="G137" s="51">
        <v>2013</v>
      </c>
      <c r="H137" s="51">
        <v>2014</v>
      </c>
      <c r="I137" s="51">
        <v>2015</v>
      </c>
      <c r="J137" s="51">
        <v>2016</v>
      </c>
      <c r="K137" s="51">
        <v>2017</v>
      </c>
      <c r="L137" s="51">
        <v>2018</v>
      </c>
      <c r="M137" s="51">
        <v>2019</v>
      </c>
      <c r="N137" s="51">
        <v>2020</v>
      </c>
      <c r="O137" s="992" t="s">
        <v>14823</v>
      </c>
      <c r="Q137" s="206" t="s">
        <v>1527</v>
      </c>
    </row>
    <row r="138" spans="1:17">
      <c r="A138" s="882" t="s">
        <v>4445</v>
      </c>
      <c r="D138" s="884">
        <f t="shared" ref="D138:M138" si="88">SUM(D139:D140,D142:D144,D146:D166)</f>
        <v>113835</v>
      </c>
      <c r="E138" s="884">
        <f t="shared" si="88"/>
        <v>113065</v>
      </c>
      <c r="F138" s="884">
        <f t="shared" si="88"/>
        <v>111375</v>
      </c>
      <c r="G138" s="884">
        <f t="shared" si="88"/>
        <v>114661</v>
      </c>
      <c r="H138" s="884">
        <f t="shared" si="88"/>
        <v>113985</v>
      </c>
      <c r="I138" s="884">
        <f t="shared" si="88"/>
        <v>112436</v>
      </c>
      <c r="J138" s="884">
        <f t="shared" si="88"/>
        <v>114469</v>
      </c>
      <c r="K138" s="884">
        <f t="shared" si="88"/>
        <v>118152</v>
      </c>
      <c r="L138" s="884">
        <f t="shared" si="88"/>
        <v>118317</v>
      </c>
      <c r="M138" s="884">
        <f t="shared" si="88"/>
        <v>117789</v>
      </c>
      <c r="N138" s="884">
        <f>SUM(N139:N140,N142:N144,N146:N166)</f>
        <v>120776</v>
      </c>
      <c r="O138" s="884">
        <f>SUM(O139:O140,O142:O144,O146:O166)</f>
        <v>120432</v>
      </c>
    </row>
    <row r="139" spans="1:17">
      <c r="A139" s="882" t="s">
        <v>5387</v>
      </c>
      <c r="B139" s="172" t="s">
        <v>4466</v>
      </c>
      <c r="C139" s="172" t="s">
        <v>13915</v>
      </c>
      <c r="D139" s="884">
        <v>0</v>
      </c>
      <c r="E139" s="884">
        <v>0</v>
      </c>
      <c r="F139" s="884">
        <v>0</v>
      </c>
      <c r="G139" s="884">
        <v>0</v>
      </c>
      <c r="H139" s="884">
        <v>0</v>
      </c>
      <c r="I139" s="884">
        <v>0</v>
      </c>
      <c r="J139" s="884">
        <v>0</v>
      </c>
      <c r="K139" s="884">
        <v>0</v>
      </c>
      <c r="L139" s="884">
        <v>0</v>
      </c>
      <c r="M139" s="884">
        <v>0</v>
      </c>
      <c r="N139" s="56">
        <v>1377</v>
      </c>
      <c r="O139" s="56">
        <v>1381</v>
      </c>
      <c r="Q139" s="882" t="s">
        <v>13954</v>
      </c>
    </row>
    <row r="140" spans="1:17" ht="15.75" thickBot="1">
      <c r="A140" s="882"/>
      <c r="C140" s="172" t="s">
        <v>13915</v>
      </c>
      <c r="D140" s="884">
        <v>0</v>
      </c>
      <c r="E140" s="884">
        <v>0</v>
      </c>
      <c r="F140" s="884">
        <v>0</v>
      </c>
      <c r="G140" s="884">
        <v>0</v>
      </c>
      <c r="H140" s="884">
        <v>0</v>
      </c>
      <c r="I140" s="884">
        <v>0</v>
      </c>
      <c r="J140" s="884">
        <v>0</v>
      </c>
      <c r="K140" s="884">
        <v>0</v>
      </c>
      <c r="L140" s="884">
        <v>0</v>
      </c>
      <c r="M140" s="884">
        <v>0</v>
      </c>
      <c r="N140" s="56">
        <v>1652</v>
      </c>
      <c r="O140" s="56">
        <v>1648</v>
      </c>
      <c r="Q140" s="882" t="s">
        <v>13955</v>
      </c>
    </row>
    <row r="141" spans="1:17" ht="15.75" thickBot="1">
      <c r="A141" s="882"/>
      <c r="C141" s="172" t="s">
        <v>13915</v>
      </c>
      <c r="D141" s="893">
        <f t="shared" ref="D141:N141" si="89">D139+D140</f>
        <v>0</v>
      </c>
      <c r="E141" s="893">
        <f t="shared" si="89"/>
        <v>0</v>
      </c>
      <c r="F141" s="893">
        <f t="shared" si="89"/>
        <v>0</v>
      </c>
      <c r="G141" s="893">
        <f t="shared" si="89"/>
        <v>0</v>
      </c>
      <c r="H141" s="893">
        <f t="shared" si="89"/>
        <v>0</v>
      </c>
      <c r="I141" s="893">
        <f t="shared" si="89"/>
        <v>0</v>
      </c>
      <c r="J141" s="893">
        <f t="shared" si="89"/>
        <v>0</v>
      </c>
      <c r="K141" s="893">
        <f t="shared" si="89"/>
        <v>0</v>
      </c>
      <c r="L141" s="893">
        <f t="shared" si="89"/>
        <v>0</v>
      </c>
      <c r="M141" s="893">
        <f t="shared" si="89"/>
        <v>0</v>
      </c>
      <c r="N141" s="893">
        <f t="shared" si="89"/>
        <v>3029</v>
      </c>
      <c r="O141" s="893">
        <f>O139+O140</f>
        <v>3029</v>
      </c>
    </row>
    <row r="142" spans="1:17">
      <c r="A142" s="882" t="s">
        <v>5389</v>
      </c>
      <c r="B142" s="172" t="s">
        <v>5220</v>
      </c>
      <c r="C142" s="172" t="s">
        <v>13916</v>
      </c>
      <c r="D142" s="884">
        <v>78468</v>
      </c>
      <c r="E142" s="884">
        <v>77898</v>
      </c>
      <c r="F142" s="884">
        <v>77293</v>
      </c>
      <c r="G142" s="884">
        <v>79351</v>
      </c>
      <c r="H142" s="884">
        <v>78760</v>
      </c>
      <c r="I142" s="884">
        <v>77463</v>
      </c>
      <c r="J142" s="884">
        <v>78963</v>
      </c>
      <c r="K142" s="884">
        <v>81818</v>
      </c>
      <c r="L142" s="884">
        <v>82034</v>
      </c>
      <c r="M142" s="884">
        <v>81728</v>
      </c>
      <c r="N142" s="56">
        <v>2875</v>
      </c>
      <c r="O142" s="56">
        <v>2865</v>
      </c>
      <c r="Q142" s="882" t="s">
        <v>13954</v>
      </c>
    </row>
    <row r="143" spans="1:17">
      <c r="A143" s="882" t="s">
        <v>5391</v>
      </c>
      <c r="B143" s="172" t="s">
        <v>13918</v>
      </c>
      <c r="C143" s="172" t="s">
        <v>13917</v>
      </c>
      <c r="D143" s="884">
        <v>0</v>
      </c>
      <c r="E143" s="884">
        <v>0</v>
      </c>
      <c r="F143" s="884">
        <v>0</v>
      </c>
      <c r="G143" s="884">
        <v>0</v>
      </c>
      <c r="H143" s="884">
        <v>0</v>
      </c>
      <c r="I143" s="884">
        <v>0</v>
      </c>
      <c r="J143" s="884">
        <v>0</v>
      </c>
      <c r="K143" s="884">
        <v>0</v>
      </c>
      <c r="L143" s="884">
        <v>0</v>
      </c>
      <c r="M143" s="884">
        <v>0</v>
      </c>
      <c r="N143" s="58">
        <v>1330</v>
      </c>
      <c r="O143" s="58">
        <v>1326</v>
      </c>
      <c r="Q143" s="882" t="s">
        <v>13954</v>
      </c>
    </row>
    <row r="144" spans="1:17" ht="15.75" thickBot="1">
      <c r="A144" s="882"/>
      <c r="C144" s="172" t="s">
        <v>13917</v>
      </c>
      <c r="D144" s="884">
        <v>0</v>
      </c>
      <c r="E144" s="884">
        <v>0</v>
      </c>
      <c r="F144" s="884">
        <v>0</v>
      </c>
      <c r="G144" s="884">
        <v>0</v>
      </c>
      <c r="H144" s="884">
        <v>0</v>
      </c>
      <c r="I144" s="884">
        <v>0</v>
      </c>
      <c r="J144" s="884">
        <v>0</v>
      </c>
      <c r="K144" s="884">
        <v>0</v>
      </c>
      <c r="L144" s="884">
        <v>0</v>
      </c>
      <c r="M144" s="884">
        <v>0</v>
      </c>
      <c r="N144" s="58">
        <v>1608</v>
      </c>
      <c r="O144" s="58">
        <v>1608</v>
      </c>
      <c r="Q144" s="882" t="s">
        <v>13955</v>
      </c>
    </row>
    <row r="145" spans="1:17" ht="15.75" thickBot="1">
      <c r="A145" s="882"/>
      <c r="C145" s="172" t="s">
        <v>13917</v>
      </c>
      <c r="D145" s="893">
        <f t="shared" ref="D145:N145" si="90">D143+D144</f>
        <v>0</v>
      </c>
      <c r="E145" s="893">
        <f t="shared" si="90"/>
        <v>0</v>
      </c>
      <c r="F145" s="893">
        <f t="shared" si="90"/>
        <v>0</v>
      </c>
      <c r="G145" s="893">
        <f t="shared" si="90"/>
        <v>0</v>
      </c>
      <c r="H145" s="893">
        <f t="shared" si="90"/>
        <v>0</v>
      </c>
      <c r="I145" s="893">
        <f t="shared" si="90"/>
        <v>0</v>
      </c>
      <c r="J145" s="893">
        <f t="shared" si="90"/>
        <v>0</v>
      </c>
      <c r="K145" s="893">
        <f t="shared" si="90"/>
        <v>0</v>
      </c>
      <c r="L145" s="893">
        <f t="shared" si="90"/>
        <v>0</v>
      </c>
      <c r="M145" s="893">
        <f t="shared" si="90"/>
        <v>0</v>
      </c>
      <c r="N145" s="893">
        <f t="shared" si="90"/>
        <v>2938</v>
      </c>
      <c r="O145" s="893">
        <f>O143+O144</f>
        <v>2934</v>
      </c>
    </row>
    <row r="146" spans="1:17">
      <c r="A146" s="882" t="s">
        <v>5393</v>
      </c>
      <c r="B146" s="172" t="s">
        <v>4467</v>
      </c>
      <c r="C146" s="172" t="s">
        <v>13919</v>
      </c>
      <c r="D146" s="884">
        <v>0</v>
      </c>
      <c r="E146" s="884">
        <v>0</v>
      </c>
      <c r="F146" s="884">
        <v>0</v>
      </c>
      <c r="G146" s="884">
        <v>0</v>
      </c>
      <c r="H146" s="884">
        <v>0</v>
      </c>
      <c r="I146" s="884">
        <v>0</v>
      </c>
      <c r="J146" s="884">
        <v>0</v>
      </c>
      <c r="K146" s="884">
        <v>0</v>
      </c>
      <c r="L146" s="884">
        <v>0</v>
      </c>
      <c r="M146" s="884">
        <v>0</v>
      </c>
      <c r="N146" s="56">
        <v>2869</v>
      </c>
      <c r="O146" s="56">
        <v>2872</v>
      </c>
      <c r="Q146" s="882" t="s">
        <v>13954</v>
      </c>
    </row>
    <row r="147" spans="1:17">
      <c r="A147" s="882" t="s">
        <v>5394</v>
      </c>
      <c r="B147" s="172" t="s">
        <v>13921</v>
      </c>
      <c r="C147" s="172" t="s">
        <v>13920</v>
      </c>
      <c r="D147" s="884">
        <v>10786</v>
      </c>
      <c r="E147" s="884">
        <v>10791</v>
      </c>
      <c r="F147" s="884">
        <v>10662</v>
      </c>
      <c r="G147" s="884">
        <v>10968</v>
      </c>
      <c r="H147" s="884">
        <v>10900</v>
      </c>
      <c r="I147" s="884">
        <v>10865</v>
      </c>
      <c r="J147" s="884">
        <v>11076</v>
      </c>
      <c r="K147" s="884">
        <v>11377</v>
      </c>
      <c r="L147" s="884">
        <v>11301</v>
      </c>
      <c r="M147" s="884">
        <v>11149</v>
      </c>
      <c r="N147" s="58">
        <v>8186</v>
      </c>
      <c r="O147" s="58">
        <v>8141</v>
      </c>
      <c r="Q147" s="882" t="s">
        <v>13955</v>
      </c>
    </row>
    <row r="148" spans="1:17">
      <c r="A148" s="882" t="s">
        <v>5416</v>
      </c>
      <c r="B148" s="172" t="s">
        <v>13923</v>
      </c>
      <c r="C148" s="172" t="s">
        <v>13922</v>
      </c>
      <c r="D148" s="884">
        <v>0</v>
      </c>
      <c r="E148" s="884">
        <v>0</v>
      </c>
      <c r="F148" s="884">
        <v>0</v>
      </c>
      <c r="G148" s="884">
        <v>0</v>
      </c>
      <c r="H148" s="884">
        <v>0</v>
      </c>
      <c r="I148" s="884">
        <v>0</v>
      </c>
      <c r="J148" s="884">
        <v>0</v>
      </c>
      <c r="K148" s="884">
        <v>0</v>
      </c>
      <c r="L148" s="884">
        <v>0</v>
      </c>
      <c r="M148" s="884">
        <v>0</v>
      </c>
      <c r="N148" s="58">
        <v>5545</v>
      </c>
      <c r="O148" s="58">
        <v>5519</v>
      </c>
      <c r="Q148" s="882" t="s">
        <v>13954</v>
      </c>
    </row>
    <row r="149" spans="1:17">
      <c r="A149" s="882" t="s">
        <v>5418</v>
      </c>
      <c r="B149" s="172" t="s">
        <v>3004</v>
      </c>
      <c r="C149" s="172" t="s">
        <v>13924</v>
      </c>
      <c r="D149" s="884">
        <v>0</v>
      </c>
      <c r="E149" s="884">
        <v>0</v>
      </c>
      <c r="F149" s="884">
        <v>0</v>
      </c>
      <c r="G149" s="884">
        <v>0</v>
      </c>
      <c r="H149" s="884">
        <v>0</v>
      </c>
      <c r="I149" s="884">
        <v>0</v>
      </c>
      <c r="J149" s="884">
        <v>0</v>
      </c>
      <c r="K149" s="884">
        <v>0</v>
      </c>
      <c r="L149" s="884">
        <v>0</v>
      </c>
      <c r="M149" s="884">
        <v>0</v>
      </c>
      <c r="N149" s="56">
        <v>3065</v>
      </c>
      <c r="O149" s="56">
        <v>3054</v>
      </c>
      <c r="Q149" s="882" t="s">
        <v>13954</v>
      </c>
    </row>
    <row r="150" spans="1:17">
      <c r="A150" s="882" t="s">
        <v>5420</v>
      </c>
      <c r="B150" s="172" t="s">
        <v>13926</v>
      </c>
      <c r="C150" s="172" t="s">
        <v>13925</v>
      </c>
      <c r="D150" s="884">
        <v>0</v>
      </c>
      <c r="E150" s="884">
        <v>0</v>
      </c>
      <c r="F150" s="884">
        <v>0</v>
      </c>
      <c r="G150" s="884">
        <v>0</v>
      </c>
      <c r="H150" s="884">
        <v>0</v>
      </c>
      <c r="I150" s="884">
        <v>0</v>
      </c>
      <c r="J150" s="884">
        <v>0</v>
      </c>
      <c r="K150" s="884">
        <v>0</v>
      </c>
      <c r="L150" s="884">
        <v>0</v>
      </c>
      <c r="M150" s="884">
        <v>0</v>
      </c>
      <c r="N150" s="56">
        <v>9032</v>
      </c>
      <c r="O150" s="56">
        <v>9013</v>
      </c>
      <c r="Q150" s="882" t="s">
        <v>13954</v>
      </c>
    </row>
    <row r="151" spans="1:17">
      <c r="A151" s="882" t="s">
        <v>5422</v>
      </c>
      <c r="B151" s="172" t="s">
        <v>13928</v>
      </c>
      <c r="C151" s="172" t="s">
        <v>13927</v>
      </c>
      <c r="D151" s="884">
        <v>0</v>
      </c>
      <c r="E151" s="884">
        <v>0</v>
      </c>
      <c r="F151" s="884">
        <v>0</v>
      </c>
      <c r="G151" s="884">
        <v>0</v>
      </c>
      <c r="H151" s="884">
        <v>0</v>
      </c>
      <c r="I151" s="884">
        <v>0</v>
      </c>
      <c r="J151" s="884">
        <v>0</v>
      </c>
      <c r="K151" s="884">
        <v>0</v>
      </c>
      <c r="L151" s="884">
        <v>0</v>
      </c>
      <c r="M151" s="884">
        <v>0</v>
      </c>
      <c r="N151" s="56">
        <v>3234</v>
      </c>
      <c r="O151" s="56">
        <v>3218</v>
      </c>
      <c r="Q151" s="882" t="s">
        <v>13954</v>
      </c>
    </row>
    <row r="152" spans="1:17">
      <c r="A152" s="882" t="s">
        <v>5424</v>
      </c>
      <c r="B152" s="172" t="s">
        <v>13930</v>
      </c>
      <c r="C152" s="172" t="s">
        <v>13929</v>
      </c>
      <c r="D152" s="884">
        <v>0</v>
      </c>
      <c r="E152" s="884">
        <v>0</v>
      </c>
      <c r="F152" s="884">
        <v>0</v>
      </c>
      <c r="G152" s="884">
        <v>0</v>
      </c>
      <c r="H152" s="884">
        <v>0</v>
      </c>
      <c r="I152" s="884">
        <v>0</v>
      </c>
      <c r="J152" s="884">
        <v>0</v>
      </c>
      <c r="K152" s="884">
        <v>0</v>
      </c>
      <c r="L152" s="884">
        <v>0</v>
      </c>
      <c r="M152" s="884">
        <v>0</v>
      </c>
      <c r="N152" s="56">
        <v>5299</v>
      </c>
      <c r="O152" s="56">
        <v>5298</v>
      </c>
      <c r="Q152" s="882" t="s">
        <v>13954</v>
      </c>
    </row>
    <row r="153" spans="1:17">
      <c r="A153" s="882" t="s">
        <v>5426</v>
      </c>
      <c r="B153" s="172" t="s">
        <v>13932</v>
      </c>
      <c r="C153" s="172" t="s">
        <v>13931</v>
      </c>
      <c r="D153" s="884">
        <v>0</v>
      </c>
      <c r="E153" s="884">
        <v>0</v>
      </c>
      <c r="F153" s="884">
        <v>0</v>
      </c>
      <c r="G153" s="884">
        <v>0</v>
      </c>
      <c r="H153" s="884">
        <v>0</v>
      </c>
      <c r="I153" s="884">
        <v>0</v>
      </c>
      <c r="J153" s="884">
        <v>0</v>
      </c>
      <c r="K153" s="884">
        <v>0</v>
      </c>
      <c r="L153" s="884">
        <v>0</v>
      </c>
      <c r="M153" s="884">
        <v>0</v>
      </c>
      <c r="N153" s="56">
        <v>5235</v>
      </c>
      <c r="O153" s="56">
        <v>5201</v>
      </c>
      <c r="Q153" s="882" t="s">
        <v>13954</v>
      </c>
    </row>
    <row r="154" spans="1:17">
      <c r="A154" s="882" t="s">
        <v>5428</v>
      </c>
      <c r="B154" s="172" t="s">
        <v>13934</v>
      </c>
      <c r="C154" s="172" t="s">
        <v>13933</v>
      </c>
      <c r="D154" s="884">
        <v>0</v>
      </c>
      <c r="E154" s="884">
        <v>0</v>
      </c>
      <c r="F154" s="884">
        <v>0</v>
      </c>
      <c r="G154" s="884">
        <v>0</v>
      </c>
      <c r="H154" s="884">
        <v>0</v>
      </c>
      <c r="I154" s="884">
        <v>0</v>
      </c>
      <c r="J154" s="884">
        <v>0</v>
      </c>
      <c r="K154" s="884">
        <v>0</v>
      </c>
      <c r="L154" s="884">
        <v>0</v>
      </c>
      <c r="M154" s="884">
        <v>0</v>
      </c>
      <c r="N154" s="56">
        <v>8680</v>
      </c>
      <c r="O154" s="56">
        <v>8697</v>
      </c>
      <c r="Q154" s="882" t="s">
        <v>13954</v>
      </c>
    </row>
    <row r="155" spans="1:17">
      <c r="A155" s="882" t="s">
        <v>5429</v>
      </c>
      <c r="B155" s="172" t="s">
        <v>13936</v>
      </c>
      <c r="C155" s="172" t="s">
        <v>13935</v>
      </c>
      <c r="D155" s="884">
        <v>0</v>
      </c>
      <c r="E155" s="884">
        <v>0</v>
      </c>
      <c r="F155" s="884">
        <v>0</v>
      </c>
      <c r="G155" s="884">
        <v>0</v>
      </c>
      <c r="H155" s="884">
        <v>0</v>
      </c>
      <c r="I155" s="884">
        <v>0</v>
      </c>
      <c r="J155" s="884">
        <v>0</v>
      </c>
      <c r="K155" s="884">
        <v>0</v>
      </c>
      <c r="L155" s="884">
        <v>0</v>
      </c>
      <c r="M155" s="884">
        <v>0</v>
      </c>
      <c r="N155" s="56">
        <v>5620</v>
      </c>
      <c r="O155" s="56">
        <v>5602</v>
      </c>
      <c r="Q155" s="882" t="s">
        <v>13954</v>
      </c>
    </row>
    <row r="156" spans="1:17">
      <c r="A156" s="882" t="s">
        <v>5431</v>
      </c>
      <c r="B156" s="172" t="s">
        <v>13938</v>
      </c>
      <c r="C156" s="172" t="s">
        <v>13937</v>
      </c>
      <c r="D156" s="884">
        <v>0</v>
      </c>
      <c r="E156" s="884">
        <v>0</v>
      </c>
      <c r="F156" s="884">
        <v>0</v>
      </c>
      <c r="G156" s="884">
        <v>0</v>
      </c>
      <c r="H156" s="884">
        <v>0</v>
      </c>
      <c r="I156" s="884">
        <v>0</v>
      </c>
      <c r="J156" s="884">
        <v>0</v>
      </c>
      <c r="K156" s="884">
        <v>0</v>
      </c>
      <c r="L156" s="884">
        <v>0</v>
      </c>
      <c r="M156" s="884">
        <v>0</v>
      </c>
      <c r="N156" s="56">
        <v>7148</v>
      </c>
      <c r="O156" s="56">
        <v>7118</v>
      </c>
      <c r="Q156" s="882" t="s">
        <v>13954</v>
      </c>
    </row>
    <row r="157" spans="1:17">
      <c r="A157" s="882" t="s">
        <v>5433</v>
      </c>
      <c r="B157" s="172" t="s">
        <v>6029</v>
      </c>
      <c r="C157" s="172" t="s">
        <v>13939</v>
      </c>
      <c r="D157" s="884">
        <v>24581</v>
      </c>
      <c r="E157" s="884">
        <v>24376</v>
      </c>
      <c r="F157" s="884">
        <v>23420</v>
      </c>
      <c r="G157" s="884">
        <v>24342</v>
      </c>
      <c r="H157" s="884">
        <v>24325</v>
      </c>
      <c r="I157" s="884">
        <v>24108</v>
      </c>
      <c r="J157" s="884">
        <v>24430</v>
      </c>
      <c r="K157" s="884">
        <v>24957</v>
      </c>
      <c r="L157" s="884">
        <v>24982</v>
      </c>
      <c r="M157" s="884">
        <v>24912</v>
      </c>
      <c r="N157" s="56">
        <v>2884</v>
      </c>
      <c r="O157" s="56">
        <v>2881</v>
      </c>
      <c r="Q157" s="882" t="s">
        <v>13956</v>
      </c>
    </row>
    <row r="158" spans="1:17">
      <c r="A158" s="882" t="s">
        <v>5435</v>
      </c>
      <c r="B158" s="172" t="s">
        <v>6584</v>
      </c>
      <c r="C158" s="172" t="s">
        <v>13940</v>
      </c>
      <c r="D158" s="884">
        <v>0</v>
      </c>
      <c r="E158" s="884">
        <v>0</v>
      </c>
      <c r="F158" s="884">
        <v>0</v>
      </c>
      <c r="G158" s="884">
        <v>0</v>
      </c>
      <c r="H158" s="884">
        <v>0</v>
      </c>
      <c r="I158" s="884">
        <v>0</v>
      </c>
      <c r="J158" s="884">
        <v>0</v>
      </c>
      <c r="K158" s="884">
        <v>0</v>
      </c>
      <c r="L158" s="884">
        <v>0</v>
      </c>
      <c r="M158" s="884">
        <v>0</v>
      </c>
      <c r="N158" s="56">
        <v>3198</v>
      </c>
      <c r="O158" s="56">
        <v>3178</v>
      </c>
      <c r="Q158" s="882" t="s">
        <v>13954</v>
      </c>
    </row>
    <row r="159" spans="1:17">
      <c r="A159" s="882" t="s">
        <v>5436</v>
      </c>
      <c r="B159" s="172" t="s">
        <v>4532</v>
      </c>
      <c r="C159" s="172" t="s">
        <v>13941</v>
      </c>
      <c r="D159" s="884">
        <v>0</v>
      </c>
      <c r="E159" s="884">
        <v>0</v>
      </c>
      <c r="F159" s="884">
        <v>0</v>
      </c>
      <c r="G159" s="884">
        <v>0</v>
      </c>
      <c r="H159" s="884">
        <v>0</v>
      </c>
      <c r="I159" s="884">
        <v>0</v>
      </c>
      <c r="J159" s="884">
        <v>0</v>
      </c>
      <c r="K159" s="884">
        <v>0</v>
      </c>
      <c r="L159" s="884">
        <v>0</v>
      </c>
      <c r="M159" s="884">
        <v>0</v>
      </c>
      <c r="N159" s="58">
        <v>5382</v>
      </c>
      <c r="O159" s="58">
        <v>5364</v>
      </c>
      <c r="Q159" s="882" t="s">
        <v>13954</v>
      </c>
    </row>
    <row r="160" spans="1:17">
      <c r="A160" s="882" t="s">
        <v>5437</v>
      </c>
      <c r="B160" s="172" t="s">
        <v>13943</v>
      </c>
      <c r="C160" s="172" t="s">
        <v>13942</v>
      </c>
      <c r="D160" s="884">
        <v>0</v>
      </c>
      <c r="E160" s="884">
        <v>0</v>
      </c>
      <c r="F160" s="884">
        <v>0</v>
      </c>
      <c r="G160" s="884">
        <v>0</v>
      </c>
      <c r="H160" s="884">
        <v>0</v>
      </c>
      <c r="I160" s="884">
        <v>0</v>
      </c>
      <c r="J160" s="884">
        <v>0</v>
      </c>
      <c r="K160" s="884">
        <v>0</v>
      </c>
      <c r="L160" s="884">
        <v>0</v>
      </c>
      <c r="M160" s="884">
        <v>0</v>
      </c>
      <c r="N160" s="56">
        <v>2643</v>
      </c>
      <c r="O160" s="56">
        <v>2622</v>
      </c>
      <c r="Q160" s="882" t="s">
        <v>13954</v>
      </c>
    </row>
    <row r="161" spans="1:17">
      <c r="A161" s="882" t="s">
        <v>5439</v>
      </c>
      <c r="B161" s="172" t="s">
        <v>13945</v>
      </c>
      <c r="C161" s="172" t="s">
        <v>13944</v>
      </c>
      <c r="D161" s="884">
        <v>0</v>
      </c>
      <c r="E161" s="884">
        <v>0</v>
      </c>
      <c r="F161" s="884">
        <v>0</v>
      </c>
      <c r="G161" s="884">
        <v>0</v>
      </c>
      <c r="H161" s="884">
        <v>0</v>
      </c>
      <c r="I161" s="884">
        <v>0</v>
      </c>
      <c r="J161" s="884">
        <v>0</v>
      </c>
      <c r="K161" s="884">
        <v>0</v>
      </c>
      <c r="L161" s="884">
        <v>0</v>
      </c>
      <c r="M161" s="884">
        <v>0</v>
      </c>
      <c r="N161" s="58">
        <v>5911</v>
      </c>
      <c r="O161" s="58">
        <v>5888</v>
      </c>
      <c r="Q161" s="882" t="s">
        <v>13954</v>
      </c>
    </row>
    <row r="162" spans="1:17">
      <c r="A162" s="882" t="s">
        <v>5441</v>
      </c>
      <c r="B162" s="172" t="s">
        <v>4534</v>
      </c>
      <c r="C162" s="172" t="s">
        <v>13946</v>
      </c>
      <c r="D162" s="884">
        <v>0</v>
      </c>
      <c r="E162" s="884">
        <v>0</v>
      </c>
      <c r="F162" s="884">
        <v>0</v>
      </c>
      <c r="G162" s="884">
        <v>0</v>
      </c>
      <c r="H162" s="884">
        <v>0</v>
      </c>
      <c r="I162" s="884">
        <v>0</v>
      </c>
      <c r="J162" s="884">
        <v>0</v>
      </c>
      <c r="K162" s="884">
        <v>0</v>
      </c>
      <c r="L162" s="884">
        <v>0</v>
      </c>
      <c r="M162" s="884">
        <v>0</v>
      </c>
      <c r="N162" s="58">
        <v>5435</v>
      </c>
      <c r="O162" s="58">
        <v>5422</v>
      </c>
      <c r="Q162" s="882" t="s">
        <v>13954</v>
      </c>
    </row>
    <row r="163" spans="1:17">
      <c r="A163" s="882" t="s">
        <v>5886</v>
      </c>
      <c r="B163" s="172" t="s">
        <v>4536</v>
      </c>
      <c r="C163" s="172" t="s">
        <v>13947</v>
      </c>
      <c r="D163" s="884">
        <v>0</v>
      </c>
      <c r="E163" s="884">
        <v>0</v>
      </c>
      <c r="F163" s="884">
        <v>0</v>
      </c>
      <c r="G163" s="884">
        <v>0</v>
      </c>
      <c r="H163" s="884">
        <v>0</v>
      </c>
      <c r="I163" s="884">
        <v>0</v>
      </c>
      <c r="J163" s="884">
        <v>0</v>
      </c>
      <c r="K163" s="884">
        <v>0</v>
      </c>
      <c r="L163" s="884">
        <v>0</v>
      </c>
      <c r="M163" s="884">
        <v>0</v>
      </c>
      <c r="N163" s="58">
        <v>2348</v>
      </c>
      <c r="O163" s="58">
        <v>2343</v>
      </c>
      <c r="Q163" s="882" t="s">
        <v>13956</v>
      </c>
    </row>
    <row r="164" spans="1:17">
      <c r="A164" s="882" t="s">
        <v>5888</v>
      </c>
      <c r="B164" s="172" t="s">
        <v>13949</v>
      </c>
      <c r="C164" s="172" t="s">
        <v>13948</v>
      </c>
      <c r="D164" s="884">
        <v>0</v>
      </c>
      <c r="E164" s="884">
        <v>0</v>
      </c>
      <c r="F164" s="884">
        <v>0</v>
      </c>
      <c r="G164" s="884">
        <v>0</v>
      </c>
      <c r="H164" s="884">
        <v>0</v>
      </c>
      <c r="I164" s="884">
        <v>0</v>
      </c>
      <c r="J164" s="884">
        <v>0</v>
      </c>
      <c r="K164" s="884">
        <v>0</v>
      </c>
      <c r="L164" s="884">
        <v>0</v>
      </c>
      <c r="M164" s="884">
        <v>0</v>
      </c>
      <c r="N164" s="56">
        <v>8407</v>
      </c>
      <c r="O164" s="56">
        <v>8382</v>
      </c>
      <c r="Q164" s="882" t="s">
        <v>13956</v>
      </c>
    </row>
    <row r="165" spans="1:17">
      <c r="A165" s="882" t="s">
        <v>5889</v>
      </c>
      <c r="B165" s="172" t="s">
        <v>13951</v>
      </c>
      <c r="C165" s="172" t="s">
        <v>13950</v>
      </c>
      <c r="D165" s="884">
        <v>0</v>
      </c>
      <c r="E165" s="884">
        <v>0</v>
      </c>
      <c r="F165" s="884">
        <v>0</v>
      </c>
      <c r="G165" s="884">
        <v>0</v>
      </c>
      <c r="H165" s="884">
        <v>0</v>
      </c>
      <c r="I165" s="884">
        <v>0</v>
      </c>
      <c r="J165" s="884">
        <v>0</v>
      </c>
      <c r="K165" s="884">
        <v>0</v>
      </c>
      <c r="L165" s="884">
        <v>0</v>
      </c>
      <c r="M165" s="884">
        <v>0</v>
      </c>
      <c r="N165" s="58">
        <v>6174</v>
      </c>
      <c r="O165" s="58">
        <v>6161</v>
      </c>
      <c r="Q165" s="882" t="s">
        <v>13956</v>
      </c>
    </row>
    <row r="166" spans="1:17">
      <c r="A166" s="882" t="s">
        <v>4431</v>
      </c>
      <c r="B166" s="172" t="s">
        <v>13953</v>
      </c>
      <c r="C166" s="172" t="s">
        <v>13952</v>
      </c>
      <c r="D166" s="884">
        <v>0</v>
      </c>
      <c r="E166" s="884">
        <v>0</v>
      </c>
      <c r="F166" s="884">
        <v>0</v>
      </c>
      <c r="G166" s="884">
        <v>0</v>
      </c>
      <c r="H166" s="884">
        <v>0</v>
      </c>
      <c r="I166" s="884">
        <v>0</v>
      </c>
      <c r="J166" s="884">
        <v>0</v>
      </c>
      <c r="K166" s="884">
        <v>0</v>
      </c>
      <c r="L166" s="884">
        <v>0</v>
      </c>
      <c r="M166" s="884">
        <v>0</v>
      </c>
      <c r="N166" s="58">
        <v>5639</v>
      </c>
      <c r="O166" s="58">
        <v>5630</v>
      </c>
      <c r="Q166" s="882" t="s">
        <v>13956</v>
      </c>
    </row>
    <row r="167" spans="1:17">
      <c r="D167" s="887"/>
      <c r="E167" s="887"/>
      <c r="F167" s="887"/>
      <c r="G167" s="887"/>
      <c r="H167" s="887"/>
      <c r="I167" s="887"/>
      <c r="J167" s="887"/>
      <c r="K167" s="887"/>
      <c r="L167" s="887"/>
      <c r="M167" s="887"/>
      <c r="N167" s="887"/>
      <c r="O167" s="887"/>
    </row>
    <row r="168" spans="1:17">
      <c r="A168" s="882" t="s">
        <v>6001</v>
      </c>
      <c r="D168" s="884">
        <f t="shared" ref="D168:M168" si="91">SUM(D139,D142:D143,D146,D148:D156,D158:D162)</f>
        <v>78468</v>
      </c>
      <c r="E168" s="884">
        <f t="shared" si="91"/>
        <v>77898</v>
      </c>
      <c r="F168" s="884">
        <f t="shared" si="91"/>
        <v>77293</v>
      </c>
      <c r="G168" s="884">
        <f t="shared" si="91"/>
        <v>79351</v>
      </c>
      <c r="H168" s="884">
        <f t="shared" si="91"/>
        <v>78760</v>
      </c>
      <c r="I168" s="884">
        <f t="shared" si="91"/>
        <v>77463</v>
      </c>
      <c r="J168" s="884">
        <f t="shared" si="91"/>
        <v>78963</v>
      </c>
      <c r="K168" s="884">
        <f t="shared" si="91"/>
        <v>81818</v>
      </c>
      <c r="L168" s="884">
        <f t="shared" si="91"/>
        <v>82034</v>
      </c>
      <c r="M168" s="884">
        <f t="shared" si="91"/>
        <v>81728</v>
      </c>
      <c r="N168" s="884">
        <f>SUM(N139,N142:N143,N146,N148:N156,N158:N162)</f>
        <v>83878</v>
      </c>
      <c r="O168" s="884">
        <f>SUM(O139,O142:O143,O146,O148:O156,O158:O162)</f>
        <v>83638</v>
      </c>
    </row>
    <row r="169" spans="1:17">
      <c r="A169" s="882" t="s">
        <v>3011</v>
      </c>
      <c r="D169" s="884">
        <f t="shared" ref="D169:M169" si="92">SUM(D157,D163:D166)</f>
        <v>24581</v>
      </c>
      <c r="E169" s="884">
        <f t="shared" si="92"/>
        <v>24376</v>
      </c>
      <c r="F169" s="884">
        <f t="shared" si="92"/>
        <v>23420</v>
      </c>
      <c r="G169" s="884">
        <f t="shared" si="92"/>
        <v>24342</v>
      </c>
      <c r="H169" s="884">
        <f t="shared" si="92"/>
        <v>24325</v>
      </c>
      <c r="I169" s="884">
        <f t="shared" si="92"/>
        <v>24108</v>
      </c>
      <c r="J169" s="884">
        <f t="shared" si="92"/>
        <v>24430</v>
      </c>
      <c r="K169" s="884">
        <f t="shared" si="92"/>
        <v>24957</v>
      </c>
      <c r="L169" s="884">
        <f t="shared" si="92"/>
        <v>24982</v>
      </c>
      <c r="M169" s="884">
        <f t="shared" si="92"/>
        <v>24912</v>
      </c>
      <c r="N169" s="884">
        <f>SUM(N157,N163:N166)</f>
        <v>25452</v>
      </c>
      <c r="O169" s="884">
        <f>SUM(O157,O163:O166)</f>
        <v>25397</v>
      </c>
    </row>
    <row r="170" spans="1:17">
      <c r="A170" s="882" t="s">
        <v>4541</v>
      </c>
      <c r="D170" s="884">
        <f t="shared" ref="D170:M170" si="93">SUM(D140,D144,D147)</f>
        <v>10786</v>
      </c>
      <c r="E170" s="884">
        <f t="shared" si="93"/>
        <v>10791</v>
      </c>
      <c r="F170" s="884">
        <f t="shared" si="93"/>
        <v>10662</v>
      </c>
      <c r="G170" s="884">
        <f t="shared" si="93"/>
        <v>10968</v>
      </c>
      <c r="H170" s="884">
        <f t="shared" si="93"/>
        <v>10900</v>
      </c>
      <c r="I170" s="884">
        <f t="shared" si="93"/>
        <v>10865</v>
      </c>
      <c r="J170" s="884">
        <f t="shared" si="93"/>
        <v>11076</v>
      </c>
      <c r="K170" s="884">
        <f t="shared" si="93"/>
        <v>11377</v>
      </c>
      <c r="L170" s="884">
        <f t="shared" si="93"/>
        <v>11301</v>
      </c>
      <c r="M170" s="884">
        <f t="shared" si="93"/>
        <v>11149</v>
      </c>
      <c r="N170" s="884">
        <f>SUM(N140,N144,N147)</f>
        <v>11446</v>
      </c>
      <c r="O170" s="884">
        <f>SUM(O140,O144,O147)</f>
        <v>11397</v>
      </c>
    </row>
    <row r="172" spans="1:17">
      <c r="A172" s="882" t="s">
        <v>13957</v>
      </c>
    </row>
    <row r="173" spans="1:17">
      <c r="A173" s="882"/>
    </row>
    <row r="174" spans="1:17">
      <c r="A174" s="882"/>
    </row>
    <row r="175" spans="1:17">
      <c r="E175" s="51" t="s">
        <v>1526</v>
      </c>
      <c r="F175" s="51"/>
      <c r="G175" s="51"/>
      <c r="H175" s="51"/>
      <c r="I175" s="51"/>
      <c r="J175" s="51"/>
      <c r="K175" s="51"/>
      <c r="L175" s="51"/>
      <c r="M175" s="51"/>
      <c r="N175" s="51"/>
      <c r="O175" s="51"/>
      <c r="P175" s="173"/>
      <c r="Q175" s="138" t="s">
        <v>9479</v>
      </c>
    </row>
    <row r="176" spans="1:17">
      <c r="D176" s="51">
        <v>2010</v>
      </c>
      <c r="E176" s="51">
        <v>2011</v>
      </c>
      <c r="F176" s="51">
        <v>2012</v>
      </c>
      <c r="G176" s="51">
        <v>2013</v>
      </c>
      <c r="H176" s="51">
        <v>2014</v>
      </c>
      <c r="I176" s="51">
        <v>2015</v>
      </c>
      <c r="J176" s="51">
        <v>2016</v>
      </c>
      <c r="K176" s="51">
        <v>2017</v>
      </c>
      <c r="L176" s="51">
        <v>2018</v>
      </c>
      <c r="M176" s="51">
        <v>2019</v>
      </c>
      <c r="N176" s="51">
        <v>2020</v>
      </c>
      <c r="O176" s="992" t="s">
        <v>14823</v>
      </c>
      <c r="Q176" s="206" t="s">
        <v>1527</v>
      </c>
    </row>
    <row r="177" spans="1:17">
      <c r="A177" s="882" t="s">
        <v>4446</v>
      </c>
      <c r="D177" s="884">
        <f t="shared" ref="D177:N177" si="94">SUM(D178:D196)</f>
        <v>97888</v>
      </c>
      <c r="E177" s="884">
        <f t="shared" si="94"/>
        <v>100820</v>
      </c>
      <c r="F177" s="884">
        <f t="shared" si="94"/>
        <v>102251</v>
      </c>
      <c r="G177" s="884">
        <f t="shared" si="94"/>
        <v>102413</v>
      </c>
      <c r="H177" s="884">
        <f t="shared" si="94"/>
        <v>101745</v>
      </c>
      <c r="I177" s="884">
        <f t="shared" si="94"/>
        <v>99418</v>
      </c>
      <c r="J177" s="884">
        <f t="shared" si="94"/>
        <v>97048</v>
      </c>
      <c r="K177" s="884">
        <f t="shared" si="94"/>
        <v>102100</v>
      </c>
      <c r="L177" s="884">
        <f t="shared" si="94"/>
        <v>103106</v>
      </c>
      <c r="M177" s="884">
        <f t="shared" si="94"/>
        <v>102055</v>
      </c>
      <c r="N177" s="884">
        <f t="shared" si="94"/>
        <v>107183</v>
      </c>
      <c r="O177" s="884">
        <f>SUM(O178:O196)</f>
        <v>107695</v>
      </c>
    </row>
    <row r="178" spans="1:17">
      <c r="A178" s="882" t="s">
        <v>5387</v>
      </c>
      <c r="B178" s="882" t="s">
        <v>13432</v>
      </c>
      <c r="C178" s="55" t="s">
        <v>13431</v>
      </c>
      <c r="D178" s="884">
        <v>45640</v>
      </c>
      <c r="E178" s="884">
        <v>47054</v>
      </c>
      <c r="F178" s="884">
        <v>47672</v>
      </c>
      <c r="G178" s="884">
        <v>47608</v>
      </c>
      <c r="H178" s="884">
        <v>47704</v>
      </c>
      <c r="I178" s="884">
        <v>46323</v>
      </c>
      <c r="J178" s="884">
        <v>45381</v>
      </c>
      <c r="K178" s="884">
        <v>47825</v>
      </c>
      <c r="L178" s="884">
        <v>48289</v>
      </c>
      <c r="M178" s="884">
        <v>47900</v>
      </c>
      <c r="N178" s="63">
        <v>8490</v>
      </c>
      <c r="O178" s="63">
        <v>8543</v>
      </c>
      <c r="Q178" s="882" t="s">
        <v>6012</v>
      </c>
    </row>
    <row r="179" spans="1:17">
      <c r="A179" s="882" t="s">
        <v>5389</v>
      </c>
      <c r="B179" s="882" t="s">
        <v>4542</v>
      </c>
      <c r="C179" s="55" t="s">
        <v>13433</v>
      </c>
      <c r="D179" s="884">
        <v>52248</v>
      </c>
      <c r="E179" s="884">
        <v>53766</v>
      </c>
      <c r="F179" s="884">
        <v>54579</v>
      </c>
      <c r="G179" s="884">
        <v>54805</v>
      </c>
      <c r="H179" s="884">
        <v>54041</v>
      </c>
      <c r="I179" s="884">
        <v>53095</v>
      </c>
      <c r="J179" s="884">
        <v>51667</v>
      </c>
      <c r="K179" s="884">
        <v>54275</v>
      </c>
      <c r="L179" s="884">
        <v>54817</v>
      </c>
      <c r="M179" s="884">
        <v>54155</v>
      </c>
      <c r="N179" s="63">
        <v>5136</v>
      </c>
      <c r="O179" s="63">
        <v>5168</v>
      </c>
      <c r="Q179" s="882" t="s">
        <v>5999</v>
      </c>
    </row>
    <row r="180" spans="1:17">
      <c r="A180" s="882" t="s">
        <v>5391</v>
      </c>
      <c r="B180" s="882" t="s">
        <v>13435</v>
      </c>
      <c r="C180" s="55" t="s">
        <v>13434</v>
      </c>
      <c r="D180" s="884">
        <v>0</v>
      </c>
      <c r="E180" s="884">
        <v>0</v>
      </c>
      <c r="F180" s="884">
        <v>0</v>
      </c>
      <c r="G180" s="884">
        <v>0</v>
      </c>
      <c r="H180" s="884">
        <v>0</v>
      </c>
      <c r="I180" s="884">
        <v>0</v>
      </c>
      <c r="J180" s="884">
        <v>0</v>
      </c>
      <c r="K180" s="884">
        <v>0</v>
      </c>
      <c r="L180" s="884">
        <v>0</v>
      </c>
      <c r="M180" s="884">
        <v>0</v>
      </c>
      <c r="N180" s="63">
        <v>5382</v>
      </c>
      <c r="O180" s="63">
        <v>5396</v>
      </c>
      <c r="Q180" s="882" t="s">
        <v>5999</v>
      </c>
    </row>
    <row r="181" spans="1:17">
      <c r="A181" s="882" t="s">
        <v>5393</v>
      </c>
      <c r="B181" s="882" t="s">
        <v>4528</v>
      </c>
      <c r="C181" s="55" t="s">
        <v>13436</v>
      </c>
      <c r="D181" s="884">
        <v>0</v>
      </c>
      <c r="E181" s="884">
        <v>0</v>
      </c>
      <c r="F181" s="884">
        <v>0</v>
      </c>
      <c r="G181" s="884">
        <v>0</v>
      </c>
      <c r="H181" s="884">
        <v>0</v>
      </c>
      <c r="I181" s="884">
        <v>0</v>
      </c>
      <c r="J181" s="884">
        <v>0</v>
      </c>
      <c r="K181" s="884">
        <v>0</v>
      </c>
      <c r="L181" s="884">
        <v>0</v>
      </c>
      <c r="M181" s="884">
        <v>0</v>
      </c>
      <c r="N181" s="63">
        <v>4803</v>
      </c>
      <c r="O181" s="63">
        <v>4830</v>
      </c>
      <c r="Q181" s="882" t="s">
        <v>5999</v>
      </c>
    </row>
    <row r="182" spans="1:17">
      <c r="A182" s="882" t="s">
        <v>5394</v>
      </c>
      <c r="B182" s="882" t="s">
        <v>4529</v>
      </c>
      <c r="C182" s="55" t="s">
        <v>13437</v>
      </c>
      <c r="D182" s="884">
        <v>0</v>
      </c>
      <c r="E182" s="884">
        <v>0</v>
      </c>
      <c r="F182" s="884">
        <v>0</v>
      </c>
      <c r="G182" s="884">
        <v>0</v>
      </c>
      <c r="H182" s="884">
        <v>0</v>
      </c>
      <c r="I182" s="884">
        <v>0</v>
      </c>
      <c r="J182" s="884">
        <v>0</v>
      </c>
      <c r="K182" s="884">
        <v>0</v>
      </c>
      <c r="L182" s="884">
        <v>0</v>
      </c>
      <c r="M182" s="884">
        <v>0</v>
      </c>
      <c r="N182" s="63">
        <v>5659</v>
      </c>
      <c r="O182" s="63">
        <v>5677</v>
      </c>
      <c r="Q182" s="882" t="s">
        <v>5999</v>
      </c>
    </row>
    <row r="183" spans="1:17">
      <c r="A183" s="882" t="s">
        <v>5416</v>
      </c>
      <c r="B183" s="882" t="s">
        <v>13439</v>
      </c>
      <c r="C183" s="55" t="s">
        <v>13438</v>
      </c>
      <c r="D183" s="884">
        <v>0</v>
      </c>
      <c r="E183" s="884">
        <v>0</v>
      </c>
      <c r="F183" s="884">
        <v>0</v>
      </c>
      <c r="G183" s="884">
        <v>0</v>
      </c>
      <c r="H183" s="884">
        <v>0</v>
      </c>
      <c r="I183" s="884">
        <v>0</v>
      </c>
      <c r="J183" s="884">
        <v>0</v>
      </c>
      <c r="K183" s="884">
        <v>0</v>
      </c>
      <c r="L183" s="884">
        <v>0</v>
      </c>
      <c r="M183" s="884">
        <v>0</v>
      </c>
      <c r="N183" s="63">
        <v>5185</v>
      </c>
      <c r="O183" s="63">
        <v>5215</v>
      </c>
      <c r="Q183" s="882" t="s">
        <v>6012</v>
      </c>
    </row>
    <row r="184" spans="1:17">
      <c r="A184" s="882" t="s">
        <v>5418</v>
      </c>
      <c r="B184" s="882" t="s">
        <v>13441</v>
      </c>
      <c r="C184" s="55" t="s">
        <v>13440</v>
      </c>
      <c r="D184" s="884">
        <v>0</v>
      </c>
      <c r="E184" s="884">
        <v>0</v>
      </c>
      <c r="F184" s="884">
        <v>0</v>
      </c>
      <c r="G184" s="884">
        <v>0</v>
      </c>
      <c r="H184" s="884">
        <v>0</v>
      </c>
      <c r="I184" s="884">
        <v>0</v>
      </c>
      <c r="J184" s="884">
        <v>0</v>
      </c>
      <c r="K184" s="884">
        <v>0</v>
      </c>
      <c r="L184" s="884">
        <v>0</v>
      </c>
      <c r="M184" s="884">
        <v>0</v>
      </c>
      <c r="N184" s="63">
        <v>5279</v>
      </c>
      <c r="O184" s="63">
        <v>5288</v>
      </c>
      <c r="Q184" s="882" t="s">
        <v>6012</v>
      </c>
    </row>
    <row r="185" spans="1:17">
      <c r="A185" s="882" t="s">
        <v>5420</v>
      </c>
      <c r="B185" s="882" t="s">
        <v>4530</v>
      </c>
      <c r="C185" s="55" t="s">
        <v>13442</v>
      </c>
      <c r="D185" s="884">
        <v>0</v>
      </c>
      <c r="E185" s="884">
        <v>0</v>
      </c>
      <c r="F185" s="884">
        <v>0</v>
      </c>
      <c r="G185" s="884">
        <v>0</v>
      </c>
      <c r="H185" s="884">
        <v>0</v>
      </c>
      <c r="I185" s="884">
        <v>0</v>
      </c>
      <c r="J185" s="884">
        <v>0</v>
      </c>
      <c r="K185" s="884">
        <v>0</v>
      </c>
      <c r="L185" s="884">
        <v>0</v>
      </c>
      <c r="M185" s="884">
        <v>0</v>
      </c>
      <c r="N185" s="63">
        <v>4993</v>
      </c>
      <c r="O185" s="63">
        <v>5013</v>
      </c>
      <c r="Q185" s="882" t="s">
        <v>6012</v>
      </c>
    </row>
    <row r="186" spans="1:17">
      <c r="A186" s="882" t="s">
        <v>5422</v>
      </c>
      <c r="B186" s="882" t="s">
        <v>4552</v>
      </c>
      <c r="C186" s="55" t="s">
        <v>13443</v>
      </c>
      <c r="D186" s="884">
        <v>0</v>
      </c>
      <c r="E186" s="884">
        <v>0</v>
      </c>
      <c r="F186" s="884">
        <v>0</v>
      </c>
      <c r="G186" s="884">
        <v>0</v>
      </c>
      <c r="H186" s="884">
        <v>0</v>
      </c>
      <c r="I186" s="884">
        <v>0</v>
      </c>
      <c r="J186" s="884">
        <v>0</v>
      </c>
      <c r="K186" s="884">
        <v>0</v>
      </c>
      <c r="L186" s="884">
        <v>0</v>
      </c>
      <c r="M186" s="884">
        <v>0</v>
      </c>
      <c r="N186" s="63">
        <v>5547</v>
      </c>
      <c r="O186" s="63">
        <v>5576</v>
      </c>
      <c r="Q186" s="882" t="s">
        <v>5999</v>
      </c>
    </row>
    <row r="187" spans="1:17">
      <c r="A187" s="882" t="s">
        <v>5424</v>
      </c>
      <c r="B187" s="882" t="s">
        <v>13445</v>
      </c>
      <c r="C187" s="55" t="s">
        <v>13444</v>
      </c>
      <c r="D187" s="884">
        <v>0</v>
      </c>
      <c r="E187" s="884">
        <v>0</v>
      </c>
      <c r="F187" s="884">
        <v>0</v>
      </c>
      <c r="G187" s="884">
        <v>0</v>
      </c>
      <c r="H187" s="884">
        <v>0</v>
      </c>
      <c r="I187" s="884">
        <v>0</v>
      </c>
      <c r="J187" s="884">
        <v>0</v>
      </c>
      <c r="K187" s="884">
        <v>0</v>
      </c>
      <c r="L187" s="884">
        <v>0</v>
      </c>
      <c r="M187" s="884">
        <v>0</v>
      </c>
      <c r="N187" s="63">
        <v>7722</v>
      </c>
      <c r="O187" s="63">
        <v>7764</v>
      </c>
      <c r="Q187" s="882" t="s">
        <v>6012</v>
      </c>
    </row>
    <row r="188" spans="1:17">
      <c r="A188" s="882" t="s">
        <v>5426</v>
      </c>
      <c r="B188" s="882" t="s">
        <v>13447</v>
      </c>
      <c r="C188" s="55" t="s">
        <v>13446</v>
      </c>
      <c r="D188" s="884">
        <v>0</v>
      </c>
      <c r="E188" s="884">
        <v>0</v>
      </c>
      <c r="F188" s="884">
        <v>0</v>
      </c>
      <c r="G188" s="884">
        <v>0</v>
      </c>
      <c r="H188" s="884">
        <v>0</v>
      </c>
      <c r="I188" s="884">
        <v>0</v>
      </c>
      <c r="J188" s="884">
        <v>0</v>
      </c>
      <c r="K188" s="884">
        <v>0</v>
      </c>
      <c r="L188" s="884">
        <v>0</v>
      </c>
      <c r="M188" s="884">
        <v>0</v>
      </c>
      <c r="N188" s="63">
        <v>8225</v>
      </c>
      <c r="O188" s="63">
        <v>8254</v>
      </c>
      <c r="Q188" s="882" t="s">
        <v>6012</v>
      </c>
    </row>
    <row r="189" spans="1:17">
      <c r="A189" s="882" t="s">
        <v>5428</v>
      </c>
      <c r="B189" s="882" t="s">
        <v>6063</v>
      </c>
      <c r="C189" s="55" t="s">
        <v>13448</v>
      </c>
      <c r="D189" s="884">
        <v>0</v>
      </c>
      <c r="E189" s="884">
        <v>0</v>
      </c>
      <c r="F189" s="884">
        <v>0</v>
      </c>
      <c r="G189" s="884">
        <v>0</v>
      </c>
      <c r="H189" s="884">
        <v>0</v>
      </c>
      <c r="I189" s="884">
        <v>0</v>
      </c>
      <c r="J189" s="884">
        <v>0</v>
      </c>
      <c r="K189" s="884">
        <v>0</v>
      </c>
      <c r="L189" s="884">
        <v>0</v>
      </c>
      <c r="M189" s="884">
        <v>0</v>
      </c>
      <c r="N189" s="63">
        <v>5516</v>
      </c>
      <c r="O189" s="63">
        <v>5551</v>
      </c>
      <c r="Q189" s="882" t="s">
        <v>5999</v>
      </c>
    </row>
    <row r="190" spans="1:17">
      <c r="A190" s="882" t="s">
        <v>5429</v>
      </c>
      <c r="B190" s="882" t="s">
        <v>13450</v>
      </c>
      <c r="C190" s="55" t="s">
        <v>13449</v>
      </c>
      <c r="D190" s="884">
        <v>0</v>
      </c>
      <c r="E190" s="884">
        <v>0</v>
      </c>
      <c r="F190" s="884">
        <v>0</v>
      </c>
      <c r="G190" s="884">
        <v>0</v>
      </c>
      <c r="H190" s="884">
        <v>0</v>
      </c>
      <c r="I190" s="884">
        <v>0</v>
      </c>
      <c r="J190" s="884">
        <v>0</v>
      </c>
      <c r="K190" s="884">
        <v>0</v>
      </c>
      <c r="L190" s="884">
        <v>0</v>
      </c>
      <c r="M190" s="884">
        <v>0</v>
      </c>
      <c r="N190" s="63">
        <v>4836</v>
      </c>
      <c r="O190" s="63">
        <v>4854</v>
      </c>
      <c r="Q190" s="882" t="s">
        <v>5999</v>
      </c>
    </row>
    <row r="191" spans="1:17">
      <c r="A191" s="882" t="s">
        <v>5431</v>
      </c>
      <c r="B191" s="882" t="s">
        <v>6105</v>
      </c>
      <c r="C191" s="55" t="s">
        <v>13451</v>
      </c>
      <c r="D191" s="884">
        <v>0</v>
      </c>
      <c r="E191" s="884">
        <v>0</v>
      </c>
      <c r="F191" s="884">
        <v>0</v>
      </c>
      <c r="G191" s="884">
        <v>0</v>
      </c>
      <c r="H191" s="884">
        <v>0</v>
      </c>
      <c r="I191" s="884">
        <v>0</v>
      </c>
      <c r="J191" s="884">
        <v>0</v>
      </c>
      <c r="K191" s="884">
        <v>0</v>
      </c>
      <c r="L191" s="884">
        <v>0</v>
      </c>
      <c r="M191" s="884">
        <v>0</v>
      </c>
      <c r="N191" s="63">
        <v>5594</v>
      </c>
      <c r="O191" s="63">
        <v>5614</v>
      </c>
      <c r="Q191" s="882" t="s">
        <v>6012</v>
      </c>
    </row>
    <row r="192" spans="1:17">
      <c r="A192" s="882" t="s">
        <v>5433</v>
      </c>
      <c r="B192" s="882" t="s">
        <v>1140</v>
      </c>
      <c r="C192" s="55" t="s">
        <v>13452</v>
      </c>
      <c r="D192" s="884">
        <v>0</v>
      </c>
      <c r="E192" s="884">
        <v>0</v>
      </c>
      <c r="F192" s="884">
        <v>0</v>
      </c>
      <c r="G192" s="884">
        <v>0</v>
      </c>
      <c r="H192" s="884">
        <v>0</v>
      </c>
      <c r="I192" s="884">
        <v>0</v>
      </c>
      <c r="J192" s="884">
        <v>0</v>
      </c>
      <c r="K192" s="884">
        <v>0</v>
      </c>
      <c r="L192" s="884">
        <v>0</v>
      </c>
      <c r="M192" s="884">
        <v>0</v>
      </c>
      <c r="N192" s="63">
        <v>4909</v>
      </c>
      <c r="O192" s="63">
        <v>4946</v>
      </c>
      <c r="Q192" s="882" t="s">
        <v>5999</v>
      </c>
    </row>
    <row r="193" spans="1:17">
      <c r="A193" s="882" t="s">
        <v>5435</v>
      </c>
      <c r="B193" s="882" t="s">
        <v>6106</v>
      </c>
      <c r="C193" s="55" t="s">
        <v>13453</v>
      </c>
      <c r="D193" s="884">
        <v>0</v>
      </c>
      <c r="E193" s="884">
        <v>0</v>
      </c>
      <c r="F193" s="884">
        <v>0</v>
      </c>
      <c r="G193" s="884">
        <v>0</v>
      </c>
      <c r="H193" s="884">
        <v>0</v>
      </c>
      <c r="I193" s="884">
        <v>0</v>
      </c>
      <c r="J193" s="884">
        <v>0</v>
      </c>
      <c r="K193" s="884">
        <v>0</v>
      </c>
      <c r="L193" s="884">
        <v>0</v>
      </c>
      <c r="M193" s="884">
        <v>0</v>
      </c>
      <c r="N193" s="63">
        <v>5532</v>
      </c>
      <c r="O193" s="63">
        <v>5573</v>
      </c>
      <c r="Q193" s="882" t="s">
        <v>5999</v>
      </c>
    </row>
    <row r="194" spans="1:17">
      <c r="A194" s="882" t="s">
        <v>5436</v>
      </c>
      <c r="B194" s="882" t="s">
        <v>6695</v>
      </c>
      <c r="C194" s="55" t="s">
        <v>13454</v>
      </c>
      <c r="D194" s="884">
        <v>0</v>
      </c>
      <c r="E194" s="884">
        <v>0</v>
      </c>
      <c r="F194" s="884">
        <v>0</v>
      </c>
      <c r="G194" s="884">
        <v>0</v>
      </c>
      <c r="H194" s="884">
        <v>0</v>
      </c>
      <c r="I194" s="884">
        <v>0</v>
      </c>
      <c r="J194" s="884">
        <v>0</v>
      </c>
      <c r="K194" s="884">
        <v>0</v>
      </c>
      <c r="L194" s="884">
        <v>0</v>
      </c>
      <c r="M194" s="884">
        <v>0</v>
      </c>
      <c r="N194" s="63">
        <v>5342</v>
      </c>
      <c r="O194" s="63">
        <v>5365</v>
      </c>
      <c r="Q194" s="882" t="s">
        <v>5999</v>
      </c>
    </row>
    <row r="195" spans="1:17">
      <c r="A195" s="882" t="s">
        <v>5437</v>
      </c>
      <c r="B195" s="882" t="s">
        <v>6912</v>
      </c>
      <c r="C195" s="55" t="s">
        <v>13455</v>
      </c>
      <c r="D195" s="884">
        <v>0</v>
      </c>
      <c r="E195" s="884">
        <v>0</v>
      </c>
      <c r="F195" s="884">
        <v>0</v>
      </c>
      <c r="G195" s="884">
        <v>0</v>
      </c>
      <c r="H195" s="884">
        <v>0</v>
      </c>
      <c r="I195" s="884">
        <v>0</v>
      </c>
      <c r="J195" s="884">
        <v>0</v>
      </c>
      <c r="K195" s="884">
        <v>0</v>
      </c>
      <c r="L195" s="884">
        <v>0</v>
      </c>
      <c r="M195" s="884">
        <v>0</v>
      </c>
      <c r="N195" s="63">
        <v>4389</v>
      </c>
      <c r="O195" s="63">
        <v>4409</v>
      </c>
      <c r="Q195" s="882" t="s">
        <v>5999</v>
      </c>
    </row>
    <row r="196" spans="1:17">
      <c r="A196" s="882" t="s">
        <v>5439</v>
      </c>
      <c r="B196" s="882" t="s">
        <v>13457</v>
      </c>
      <c r="C196" s="55" t="s">
        <v>13456</v>
      </c>
      <c r="D196" s="884">
        <v>0</v>
      </c>
      <c r="E196" s="884">
        <v>0</v>
      </c>
      <c r="F196" s="884">
        <v>0</v>
      </c>
      <c r="G196" s="884">
        <v>0</v>
      </c>
      <c r="H196" s="884">
        <v>0</v>
      </c>
      <c r="I196" s="884">
        <v>0</v>
      </c>
      <c r="J196" s="884">
        <v>0</v>
      </c>
      <c r="K196" s="884">
        <v>0</v>
      </c>
      <c r="L196" s="884">
        <v>0</v>
      </c>
      <c r="M196" s="884">
        <v>0</v>
      </c>
      <c r="N196" s="63">
        <v>4644</v>
      </c>
      <c r="O196" s="63">
        <v>4659</v>
      </c>
      <c r="Q196" s="882" t="s">
        <v>6012</v>
      </c>
    </row>
    <row r="197" spans="1:17">
      <c r="D197" s="887"/>
      <c r="E197" s="887"/>
      <c r="F197" s="887"/>
      <c r="G197" s="887"/>
      <c r="H197" s="887"/>
      <c r="I197" s="887"/>
      <c r="J197" s="887"/>
      <c r="K197" s="887"/>
      <c r="L197" s="887"/>
      <c r="M197" s="887"/>
      <c r="N197" s="887"/>
      <c r="O197" s="887"/>
    </row>
    <row r="198" spans="1:17">
      <c r="A198" s="882" t="s">
        <v>6107</v>
      </c>
      <c r="D198" s="884">
        <f t="shared" ref="D198:M198" si="95">SUM(D179:D182,D186,D189:D190,D192:D195)</f>
        <v>52248</v>
      </c>
      <c r="E198" s="884">
        <f t="shared" si="95"/>
        <v>53766</v>
      </c>
      <c r="F198" s="884">
        <f t="shared" si="95"/>
        <v>54579</v>
      </c>
      <c r="G198" s="884">
        <f t="shared" si="95"/>
        <v>54805</v>
      </c>
      <c r="H198" s="884">
        <f t="shared" si="95"/>
        <v>54041</v>
      </c>
      <c r="I198" s="884">
        <f t="shared" si="95"/>
        <v>53095</v>
      </c>
      <c r="J198" s="884">
        <f t="shared" si="95"/>
        <v>51667</v>
      </c>
      <c r="K198" s="884">
        <f t="shared" si="95"/>
        <v>54275</v>
      </c>
      <c r="L198" s="884">
        <f t="shared" si="95"/>
        <v>54817</v>
      </c>
      <c r="M198" s="884">
        <f t="shared" si="95"/>
        <v>54155</v>
      </c>
      <c r="N198" s="884">
        <f>SUM(N179:N182,N186,N189:N190,N192:N195)</f>
        <v>57051</v>
      </c>
      <c r="O198" s="884">
        <f>SUM(O179:O182,O186,O189:O190,O192:O195)</f>
        <v>57345</v>
      </c>
    </row>
    <row r="199" spans="1:17">
      <c r="A199" s="882" t="s">
        <v>4594</v>
      </c>
      <c r="D199" s="884">
        <f t="shared" ref="D199:M199" si="96">SUM(D178,D183:D185,D187:D188,D191,D196)</f>
        <v>45640</v>
      </c>
      <c r="E199" s="884">
        <f t="shared" si="96"/>
        <v>47054</v>
      </c>
      <c r="F199" s="884">
        <f t="shared" si="96"/>
        <v>47672</v>
      </c>
      <c r="G199" s="884">
        <f t="shared" si="96"/>
        <v>47608</v>
      </c>
      <c r="H199" s="884">
        <f t="shared" si="96"/>
        <v>47704</v>
      </c>
      <c r="I199" s="884">
        <f t="shared" si="96"/>
        <v>46323</v>
      </c>
      <c r="J199" s="884">
        <f t="shared" si="96"/>
        <v>45381</v>
      </c>
      <c r="K199" s="884">
        <f t="shared" si="96"/>
        <v>47825</v>
      </c>
      <c r="L199" s="884">
        <f t="shared" si="96"/>
        <v>48289</v>
      </c>
      <c r="M199" s="884">
        <f t="shared" si="96"/>
        <v>47900</v>
      </c>
      <c r="N199" s="884">
        <f>SUM(N178,N183:N185,N187:N188,N191,N196)</f>
        <v>50132</v>
      </c>
      <c r="O199" s="884">
        <f>SUM(O178,O183:O185,O187:O188,O191,O196)</f>
        <v>50350</v>
      </c>
    </row>
    <row r="200" spans="1:17">
      <c r="A200" s="882"/>
      <c r="B200" s="882"/>
      <c r="D200" s="892"/>
      <c r="E200" s="892"/>
      <c r="F200" s="892"/>
      <c r="G200" s="892"/>
      <c r="H200" s="892"/>
      <c r="I200" s="892"/>
      <c r="J200" s="892"/>
      <c r="K200" s="892"/>
      <c r="L200" s="892"/>
      <c r="M200" s="892"/>
      <c r="N200" s="892"/>
      <c r="O200" s="892"/>
    </row>
    <row r="201" spans="1:17">
      <c r="A201" s="882" t="s">
        <v>13458</v>
      </c>
      <c r="B201" s="882"/>
      <c r="D201" s="892"/>
      <c r="E201" s="892"/>
      <c r="F201" s="892"/>
      <c r="G201" s="892"/>
      <c r="H201" s="892"/>
      <c r="I201" s="892"/>
      <c r="J201" s="892"/>
      <c r="K201" s="892"/>
      <c r="L201" s="892"/>
      <c r="M201" s="892"/>
      <c r="N201" s="892"/>
      <c r="O201" s="892"/>
    </row>
    <row r="202" spans="1:17">
      <c r="A202" s="882"/>
      <c r="B202" s="882"/>
      <c r="D202" s="892"/>
      <c r="E202" s="892"/>
      <c r="F202" s="892"/>
      <c r="G202" s="892"/>
      <c r="H202" s="892"/>
      <c r="I202" s="892"/>
      <c r="J202" s="892"/>
      <c r="K202" s="892"/>
      <c r="L202" s="892"/>
      <c r="M202" s="892"/>
      <c r="N202" s="892"/>
      <c r="O202" s="892"/>
    </row>
    <row r="203" spans="1:17">
      <c r="A203" s="882"/>
      <c r="B203" s="882"/>
      <c r="D203" s="892"/>
      <c r="E203" s="892"/>
      <c r="F203" s="892"/>
      <c r="G203" s="892"/>
      <c r="H203" s="892"/>
      <c r="I203" s="892"/>
      <c r="J203" s="892"/>
      <c r="K203" s="892"/>
      <c r="L203" s="892"/>
      <c r="M203" s="892"/>
      <c r="N203" s="892"/>
      <c r="O203" s="892"/>
    </row>
    <row r="204" spans="1:17">
      <c r="E204" s="51" t="s">
        <v>1526</v>
      </c>
      <c r="F204" s="51"/>
      <c r="G204" s="51"/>
      <c r="H204" s="51"/>
      <c r="I204" s="51"/>
      <c r="J204" s="51"/>
      <c r="K204" s="51"/>
      <c r="L204" s="51"/>
      <c r="M204" s="51"/>
      <c r="N204" s="51"/>
      <c r="O204" s="51"/>
      <c r="P204" s="173"/>
      <c r="Q204" s="138" t="s">
        <v>9479</v>
      </c>
    </row>
    <row r="205" spans="1:17">
      <c r="D205" s="51">
        <v>2010</v>
      </c>
      <c r="E205" s="51">
        <v>2011</v>
      </c>
      <c r="F205" s="51">
        <v>2012</v>
      </c>
      <c r="G205" s="51">
        <v>2013</v>
      </c>
      <c r="H205" s="51">
        <v>2014</v>
      </c>
      <c r="I205" s="51">
        <v>2015</v>
      </c>
      <c r="J205" s="51">
        <v>2016</v>
      </c>
      <c r="K205" s="51">
        <v>2017</v>
      </c>
      <c r="L205" s="51">
        <v>2018</v>
      </c>
      <c r="M205" s="51">
        <v>2019</v>
      </c>
      <c r="N205" s="51">
        <v>2020</v>
      </c>
      <c r="O205" s="992" t="s">
        <v>14823</v>
      </c>
      <c r="Q205" s="206" t="s">
        <v>1527</v>
      </c>
    </row>
    <row r="206" spans="1:17">
      <c r="A206" s="882" t="s">
        <v>4447</v>
      </c>
      <c r="D206" s="884">
        <f t="shared" ref="D206:I206" si="97">SUM(D207:D231)</f>
        <v>118450</v>
      </c>
      <c r="E206" s="884">
        <f t="shared" si="97"/>
        <v>117640</v>
      </c>
      <c r="F206" s="884">
        <f t="shared" si="97"/>
        <v>118427</v>
      </c>
      <c r="G206" s="884">
        <f t="shared" si="97"/>
        <v>118694</v>
      </c>
      <c r="H206" s="884">
        <f t="shared" si="97"/>
        <v>119191</v>
      </c>
      <c r="I206" s="884">
        <f t="shared" si="97"/>
        <v>117037</v>
      </c>
      <c r="J206" s="884">
        <f t="shared" ref="J206:O206" si="98">SUM(J207:J231)</f>
        <v>118059</v>
      </c>
      <c r="K206" s="884">
        <f t="shared" si="98"/>
        <v>121681</v>
      </c>
      <c r="L206" s="884">
        <f t="shared" si="98"/>
        <v>120451</v>
      </c>
      <c r="M206" s="884">
        <f t="shared" si="98"/>
        <v>119715</v>
      </c>
      <c r="N206" s="884">
        <f t="shared" si="98"/>
        <v>128118</v>
      </c>
      <c r="O206" s="884">
        <f t="shared" si="98"/>
        <v>125258</v>
      </c>
    </row>
    <row r="207" spans="1:17">
      <c r="A207" s="894">
        <v>1</v>
      </c>
      <c r="B207" s="882" t="s">
        <v>6047</v>
      </c>
      <c r="C207" s="55" t="s">
        <v>7696</v>
      </c>
      <c r="D207" s="884">
        <v>2057</v>
      </c>
      <c r="E207" s="884">
        <v>2072</v>
      </c>
      <c r="F207" s="884">
        <v>2093</v>
      </c>
      <c r="G207" s="63">
        <v>2092</v>
      </c>
      <c r="H207" s="63">
        <v>2044</v>
      </c>
      <c r="I207" s="56">
        <v>1941</v>
      </c>
      <c r="J207" s="56">
        <v>1927</v>
      </c>
      <c r="K207" s="56">
        <v>2021</v>
      </c>
      <c r="L207" s="56">
        <v>1954</v>
      </c>
      <c r="M207" s="56">
        <v>1948</v>
      </c>
      <c r="N207" s="56">
        <v>2068</v>
      </c>
      <c r="O207" s="56">
        <v>2023</v>
      </c>
      <c r="Q207" s="882" t="s">
        <v>6013</v>
      </c>
    </row>
    <row r="208" spans="1:17">
      <c r="A208" s="894">
        <v>2</v>
      </c>
      <c r="B208" s="882" t="s">
        <v>6048</v>
      </c>
      <c r="C208" s="55" t="s">
        <v>7697</v>
      </c>
      <c r="D208" s="884">
        <v>2576</v>
      </c>
      <c r="E208" s="884">
        <v>2581</v>
      </c>
      <c r="F208" s="884">
        <v>2569</v>
      </c>
      <c r="G208" s="63">
        <v>2584</v>
      </c>
      <c r="H208" s="63">
        <v>2608</v>
      </c>
      <c r="I208" s="56">
        <v>2575</v>
      </c>
      <c r="J208" s="56">
        <v>2544</v>
      </c>
      <c r="K208" s="56">
        <v>2580</v>
      </c>
      <c r="L208" s="56">
        <v>2654</v>
      </c>
      <c r="M208" s="56">
        <v>2717</v>
      </c>
      <c r="N208" s="56">
        <v>3025</v>
      </c>
      <c r="O208" s="56">
        <v>2959</v>
      </c>
      <c r="Q208" s="882" t="s">
        <v>6013</v>
      </c>
    </row>
    <row r="209" spans="1:17">
      <c r="A209" s="894">
        <v>3</v>
      </c>
      <c r="B209" s="882" t="s">
        <v>6049</v>
      </c>
      <c r="C209" s="55" t="s">
        <v>7698</v>
      </c>
      <c r="D209" s="884">
        <v>6516</v>
      </c>
      <c r="E209" s="884">
        <v>6464</v>
      </c>
      <c r="F209" s="884">
        <v>6478</v>
      </c>
      <c r="G209" s="63">
        <v>6423</v>
      </c>
      <c r="H209" s="63">
        <v>6511</v>
      </c>
      <c r="I209" s="56">
        <v>6409</v>
      </c>
      <c r="J209" s="56">
        <v>6491</v>
      </c>
      <c r="K209" s="56">
        <v>6794</v>
      </c>
      <c r="L209" s="56">
        <v>6772</v>
      </c>
      <c r="M209" s="56">
        <v>6699</v>
      </c>
      <c r="N209" s="56">
        <v>7114</v>
      </c>
      <c r="O209" s="56">
        <v>6963</v>
      </c>
      <c r="Q209" s="882" t="s">
        <v>6003</v>
      </c>
    </row>
    <row r="210" spans="1:17">
      <c r="A210" s="894">
        <v>4</v>
      </c>
      <c r="B210" s="882" t="s">
        <v>6050</v>
      </c>
      <c r="C210" s="55" t="s">
        <v>7699</v>
      </c>
      <c r="D210" s="884">
        <v>2297</v>
      </c>
      <c r="E210" s="884">
        <v>2272</v>
      </c>
      <c r="F210" s="884">
        <v>2303</v>
      </c>
      <c r="G210" s="63">
        <v>2369</v>
      </c>
      <c r="H210" s="63">
        <v>2335</v>
      </c>
      <c r="I210" s="56">
        <v>2302</v>
      </c>
      <c r="J210" s="56">
        <v>2334</v>
      </c>
      <c r="K210" s="56">
        <v>2358</v>
      </c>
      <c r="L210" s="56">
        <v>2327</v>
      </c>
      <c r="M210" s="56">
        <v>2303</v>
      </c>
      <c r="N210" s="56">
        <v>2402</v>
      </c>
      <c r="O210" s="56">
        <v>2348</v>
      </c>
      <c r="Q210" s="882" t="s">
        <v>5999</v>
      </c>
    </row>
    <row r="211" spans="1:17">
      <c r="A211" s="894">
        <v>5</v>
      </c>
      <c r="B211" s="882" t="s">
        <v>6051</v>
      </c>
      <c r="C211" s="55" t="s">
        <v>7700</v>
      </c>
      <c r="D211" s="884">
        <v>4546</v>
      </c>
      <c r="E211" s="884">
        <v>4457</v>
      </c>
      <c r="F211" s="884">
        <v>4444</v>
      </c>
      <c r="G211" s="63">
        <v>4459</v>
      </c>
      <c r="H211" s="63">
        <v>4441</v>
      </c>
      <c r="I211" s="56">
        <v>4378</v>
      </c>
      <c r="J211" s="56">
        <v>4381</v>
      </c>
      <c r="K211" s="56">
        <v>4447</v>
      </c>
      <c r="L211" s="56">
        <v>4347</v>
      </c>
      <c r="M211" s="56">
        <v>4227</v>
      </c>
      <c r="N211" s="56">
        <v>4358</v>
      </c>
      <c r="O211" s="56">
        <v>4263</v>
      </c>
      <c r="Q211" s="882" t="s">
        <v>5999</v>
      </c>
    </row>
    <row r="212" spans="1:17">
      <c r="A212" s="894">
        <v>6</v>
      </c>
      <c r="B212" s="882" t="s">
        <v>5339</v>
      </c>
      <c r="C212" s="55" t="s">
        <v>7701</v>
      </c>
      <c r="D212" s="884">
        <v>6309</v>
      </c>
      <c r="E212" s="884">
        <v>6250</v>
      </c>
      <c r="F212" s="884">
        <v>6295</v>
      </c>
      <c r="G212" s="63">
        <v>6326</v>
      </c>
      <c r="H212" s="63">
        <v>6453</v>
      </c>
      <c r="I212" s="56">
        <v>6414</v>
      </c>
      <c r="J212" s="56">
        <v>6466</v>
      </c>
      <c r="K212" s="56">
        <v>6639</v>
      </c>
      <c r="L212" s="56">
        <v>6499</v>
      </c>
      <c r="M212" s="56">
        <v>6583</v>
      </c>
      <c r="N212" s="56">
        <v>7053</v>
      </c>
      <c r="O212" s="56">
        <v>6905</v>
      </c>
      <c r="Q212" s="882" t="s">
        <v>6013</v>
      </c>
    </row>
    <row r="213" spans="1:17">
      <c r="A213" s="894">
        <v>7</v>
      </c>
      <c r="B213" s="882" t="s">
        <v>5340</v>
      </c>
      <c r="C213" s="55" t="s">
        <v>7702</v>
      </c>
      <c r="D213" s="884">
        <v>6704</v>
      </c>
      <c r="E213" s="884">
        <v>6650</v>
      </c>
      <c r="F213" s="884">
        <v>6654</v>
      </c>
      <c r="G213" s="63">
        <v>6705</v>
      </c>
      <c r="H213" s="63">
        <v>6878</v>
      </c>
      <c r="I213" s="58">
        <v>6838</v>
      </c>
      <c r="J213" s="58">
        <v>6819</v>
      </c>
      <c r="K213" s="58">
        <v>7111</v>
      </c>
      <c r="L213" s="58">
        <v>6968</v>
      </c>
      <c r="M213" s="58">
        <v>6823</v>
      </c>
      <c r="N213" s="58">
        <v>7157</v>
      </c>
      <c r="O213" s="58">
        <v>6987</v>
      </c>
      <c r="Q213" s="882" t="s">
        <v>6013</v>
      </c>
    </row>
    <row r="214" spans="1:17">
      <c r="A214" s="894">
        <v>8</v>
      </c>
      <c r="B214" s="882" t="s">
        <v>5341</v>
      </c>
      <c r="C214" s="55" t="s">
        <v>7703</v>
      </c>
      <c r="D214" s="884">
        <v>4265</v>
      </c>
      <c r="E214" s="884">
        <v>4258</v>
      </c>
      <c r="F214" s="884">
        <v>4254</v>
      </c>
      <c r="G214" s="63">
        <v>4239</v>
      </c>
      <c r="H214" s="63">
        <v>4265</v>
      </c>
      <c r="I214" s="56">
        <v>4258</v>
      </c>
      <c r="J214" s="56">
        <v>4302</v>
      </c>
      <c r="K214" s="56">
        <v>4351</v>
      </c>
      <c r="L214" s="56">
        <v>4293</v>
      </c>
      <c r="M214" s="56">
        <v>4168</v>
      </c>
      <c r="N214" s="56">
        <v>4368</v>
      </c>
      <c r="O214" s="56">
        <v>4285</v>
      </c>
      <c r="Q214" s="882" t="s">
        <v>5996</v>
      </c>
    </row>
    <row r="215" spans="1:17">
      <c r="A215" s="894">
        <v>9</v>
      </c>
      <c r="B215" s="882" t="s">
        <v>5342</v>
      </c>
      <c r="C215" s="55" t="s">
        <v>7704</v>
      </c>
      <c r="D215" s="884">
        <v>4468</v>
      </c>
      <c r="E215" s="884">
        <v>4397</v>
      </c>
      <c r="F215" s="884">
        <v>4383</v>
      </c>
      <c r="G215" s="63">
        <v>4426</v>
      </c>
      <c r="H215" s="63">
        <v>4482</v>
      </c>
      <c r="I215" s="56">
        <v>4367</v>
      </c>
      <c r="J215" s="56">
        <v>4341</v>
      </c>
      <c r="K215" s="56">
        <v>4421</v>
      </c>
      <c r="L215" s="56">
        <v>4331</v>
      </c>
      <c r="M215" s="56">
        <v>4338</v>
      </c>
      <c r="N215" s="56">
        <v>4537</v>
      </c>
      <c r="O215" s="56">
        <v>4424</v>
      </c>
      <c r="Q215" s="882" t="s">
        <v>5996</v>
      </c>
    </row>
    <row r="216" spans="1:17">
      <c r="A216" s="894">
        <v>10</v>
      </c>
      <c r="B216" s="882" t="s">
        <v>5343</v>
      </c>
      <c r="C216" s="55" t="s">
        <v>7705</v>
      </c>
      <c r="D216" s="884">
        <v>6964</v>
      </c>
      <c r="E216" s="884">
        <v>6868</v>
      </c>
      <c r="F216" s="884">
        <v>6881</v>
      </c>
      <c r="G216" s="63">
        <v>6918</v>
      </c>
      <c r="H216" s="63">
        <v>6863</v>
      </c>
      <c r="I216" s="58">
        <v>6754</v>
      </c>
      <c r="J216" s="58">
        <v>6678</v>
      </c>
      <c r="K216" s="58">
        <v>6850</v>
      </c>
      <c r="L216" s="58">
        <v>6649</v>
      </c>
      <c r="M216" s="58">
        <v>6524</v>
      </c>
      <c r="N216" s="58">
        <v>6814</v>
      </c>
      <c r="O216" s="58">
        <v>6609</v>
      </c>
      <c r="Q216" s="882" t="s">
        <v>6013</v>
      </c>
    </row>
    <row r="217" spans="1:17">
      <c r="A217" s="894">
        <v>11</v>
      </c>
      <c r="B217" s="882" t="s">
        <v>5344</v>
      </c>
      <c r="C217" s="55" t="s">
        <v>7706</v>
      </c>
      <c r="D217" s="884">
        <v>6590</v>
      </c>
      <c r="E217" s="884">
        <v>6522</v>
      </c>
      <c r="F217" s="884">
        <v>6563</v>
      </c>
      <c r="G217" s="63">
        <v>6356</v>
      </c>
      <c r="H217" s="63">
        <v>6320</v>
      </c>
      <c r="I217" s="58">
        <v>6304</v>
      </c>
      <c r="J217" s="58">
        <v>6267</v>
      </c>
      <c r="K217" s="58">
        <v>6456</v>
      </c>
      <c r="L217" s="58">
        <v>6342</v>
      </c>
      <c r="M217" s="58">
        <v>6190</v>
      </c>
      <c r="N217" s="58">
        <v>6436</v>
      </c>
      <c r="O217" s="58">
        <v>6253</v>
      </c>
      <c r="Q217" s="882" t="s">
        <v>6013</v>
      </c>
    </row>
    <row r="218" spans="1:17">
      <c r="A218" s="894">
        <v>12</v>
      </c>
      <c r="B218" s="882" t="s">
        <v>5345</v>
      </c>
      <c r="C218" s="55" t="s">
        <v>7707</v>
      </c>
      <c r="D218" s="884">
        <v>2146</v>
      </c>
      <c r="E218" s="884">
        <v>2153</v>
      </c>
      <c r="F218" s="884">
        <v>2152</v>
      </c>
      <c r="G218" s="63">
        <v>2148</v>
      </c>
      <c r="H218" s="63">
        <v>2182</v>
      </c>
      <c r="I218" s="56">
        <v>2173</v>
      </c>
      <c r="J218" s="56">
        <v>2185</v>
      </c>
      <c r="K218" s="56">
        <v>2269</v>
      </c>
      <c r="L218" s="56">
        <v>2218</v>
      </c>
      <c r="M218" s="56">
        <v>2168</v>
      </c>
      <c r="N218" s="56">
        <v>2327</v>
      </c>
      <c r="O218" s="56">
        <v>2262</v>
      </c>
      <c r="Q218" s="882" t="s">
        <v>5999</v>
      </c>
    </row>
    <row r="219" spans="1:17">
      <c r="A219" s="894">
        <v>13</v>
      </c>
      <c r="B219" s="882" t="s">
        <v>5346</v>
      </c>
      <c r="C219" s="55" t="s">
        <v>7708</v>
      </c>
      <c r="D219" s="884">
        <v>6619</v>
      </c>
      <c r="E219" s="884">
        <v>6581</v>
      </c>
      <c r="F219" s="884">
        <v>6816</v>
      </c>
      <c r="G219" s="63">
        <v>6805</v>
      </c>
      <c r="H219" s="63">
        <v>6832</v>
      </c>
      <c r="I219" s="56">
        <v>6755</v>
      </c>
      <c r="J219" s="56">
        <v>6784</v>
      </c>
      <c r="K219" s="56">
        <v>7025</v>
      </c>
      <c r="L219" s="56">
        <v>7001</v>
      </c>
      <c r="M219" s="56">
        <v>7002</v>
      </c>
      <c r="N219" s="56">
        <v>7419</v>
      </c>
      <c r="O219" s="56">
        <v>7259</v>
      </c>
      <c r="Q219" s="882" t="s">
        <v>6003</v>
      </c>
    </row>
    <row r="220" spans="1:17">
      <c r="A220" s="894">
        <v>14</v>
      </c>
      <c r="B220" s="882" t="s">
        <v>5347</v>
      </c>
      <c r="C220" s="55" t="s">
        <v>7709</v>
      </c>
      <c r="D220" s="884">
        <v>7348</v>
      </c>
      <c r="E220" s="884">
        <v>6861</v>
      </c>
      <c r="F220" s="884">
        <v>6915</v>
      </c>
      <c r="G220" s="63">
        <v>7472</v>
      </c>
      <c r="H220" s="63">
        <v>7342</v>
      </c>
      <c r="I220" s="58">
        <v>6615</v>
      </c>
      <c r="J220" s="58">
        <v>6570</v>
      </c>
      <c r="K220" s="58">
        <v>7002</v>
      </c>
      <c r="L220" s="58">
        <v>6605</v>
      </c>
      <c r="M220" s="58">
        <v>6490</v>
      </c>
      <c r="N220" s="58">
        <v>7248</v>
      </c>
      <c r="O220" s="58">
        <v>7079</v>
      </c>
      <c r="Q220" s="882" t="s">
        <v>6013</v>
      </c>
    </row>
    <row r="221" spans="1:17">
      <c r="A221" s="894">
        <v>15</v>
      </c>
      <c r="B221" s="882" t="s">
        <v>5348</v>
      </c>
      <c r="C221" s="55" t="s">
        <v>7710</v>
      </c>
      <c r="D221" s="884">
        <v>6630</v>
      </c>
      <c r="E221" s="884">
        <v>6638</v>
      </c>
      <c r="F221" s="884">
        <v>6716</v>
      </c>
      <c r="G221" s="63">
        <v>6729</v>
      </c>
      <c r="H221" s="63">
        <v>6857</v>
      </c>
      <c r="I221" s="58">
        <v>6731</v>
      </c>
      <c r="J221" s="58">
        <v>6915</v>
      </c>
      <c r="K221" s="58">
        <v>7169</v>
      </c>
      <c r="L221" s="58">
        <v>7209</v>
      </c>
      <c r="M221" s="58">
        <v>7189</v>
      </c>
      <c r="N221" s="58">
        <v>7916</v>
      </c>
      <c r="O221" s="58">
        <v>7754</v>
      </c>
      <c r="Q221" s="882" t="s">
        <v>6013</v>
      </c>
    </row>
    <row r="222" spans="1:17">
      <c r="A222" s="894">
        <v>16</v>
      </c>
      <c r="B222" s="882" t="s">
        <v>6057</v>
      </c>
      <c r="C222" s="55" t="s">
        <v>7711</v>
      </c>
      <c r="D222" s="884">
        <v>4325</v>
      </c>
      <c r="E222" s="884">
        <v>4330</v>
      </c>
      <c r="F222" s="884">
        <v>4348</v>
      </c>
      <c r="G222" s="63">
        <v>4371</v>
      </c>
      <c r="H222" s="63">
        <v>4328</v>
      </c>
      <c r="I222" s="56">
        <v>4274</v>
      </c>
      <c r="J222" s="56">
        <v>4275</v>
      </c>
      <c r="K222" s="56">
        <v>4403</v>
      </c>
      <c r="L222" s="56">
        <v>4251</v>
      </c>
      <c r="M222" s="56">
        <v>4158</v>
      </c>
      <c r="N222" s="56">
        <v>4403</v>
      </c>
      <c r="O222" s="56">
        <v>4273</v>
      </c>
      <c r="Q222" s="882" t="s">
        <v>5999</v>
      </c>
    </row>
    <row r="223" spans="1:17">
      <c r="A223" s="894">
        <v>17</v>
      </c>
      <c r="B223" s="882" t="s">
        <v>6075</v>
      </c>
      <c r="C223" s="55" t="s">
        <v>7712</v>
      </c>
      <c r="D223" s="884">
        <v>2256</v>
      </c>
      <c r="E223" s="884">
        <v>2248</v>
      </c>
      <c r="F223" s="884">
        <v>2348</v>
      </c>
      <c r="G223" s="63">
        <v>2386</v>
      </c>
      <c r="H223" s="63">
        <v>2373</v>
      </c>
      <c r="I223" s="58">
        <v>2318</v>
      </c>
      <c r="J223" s="58">
        <v>2371</v>
      </c>
      <c r="K223" s="58">
        <v>2374</v>
      </c>
      <c r="L223" s="58">
        <v>2300</v>
      </c>
      <c r="M223" s="58">
        <v>2211</v>
      </c>
      <c r="N223" s="58">
        <v>2338</v>
      </c>
      <c r="O223" s="58">
        <v>2259</v>
      </c>
      <c r="Q223" s="882" t="s">
        <v>6013</v>
      </c>
    </row>
    <row r="224" spans="1:17">
      <c r="A224" s="894">
        <v>18</v>
      </c>
      <c r="B224" s="882" t="s">
        <v>6076</v>
      </c>
      <c r="C224" s="55" t="s">
        <v>7713</v>
      </c>
      <c r="D224" s="884">
        <v>4943</v>
      </c>
      <c r="E224" s="884">
        <v>5066</v>
      </c>
      <c r="F224" s="884">
        <v>5119</v>
      </c>
      <c r="G224" s="63">
        <v>5125</v>
      </c>
      <c r="H224" s="63">
        <v>5319</v>
      </c>
      <c r="I224" s="58">
        <v>5366</v>
      </c>
      <c r="J224" s="58">
        <v>5515</v>
      </c>
      <c r="K224" s="58">
        <v>5748</v>
      </c>
      <c r="L224" s="58">
        <v>6072</v>
      </c>
      <c r="M224" s="58">
        <v>6461</v>
      </c>
      <c r="N224" s="58">
        <v>7574</v>
      </c>
      <c r="O224" s="58">
        <v>7458</v>
      </c>
      <c r="Q224" s="882" t="s">
        <v>6013</v>
      </c>
    </row>
    <row r="225" spans="1:17">
      <c r="A225" s="894">
        <v>19</v>
      </c>
      <c r="B225" s="882" t="s">
        <v>6077</v>
      </c>
      <c r="C225" s="55" t="s">
        <v>7714</v>
      </c>
      <c r="D225" s="884">
        <v>2526</v>
      </c>
      <c r="E225" s="884">
        <v>2566</v>
      </c>
      <c r="F225" s="884">
        <v>2546</v>
      </c>
      <c r="G225" s="63">
        <v>2560</v>
      </c>
      <c r="H225" s="63">
        <v>2522</v>
      </c>
      <c r="I225" s="56">
        <v>2528</v>
      </c>
      <c r="J225" s="56">
        <v>2541</v>
      </c>
      <c r="K225" s="56">
        <v>2572</v>
      </c>
      <c r="L225" s="56">
        <v>2536</v>
      </c>
      <c r="M225" s="56">
        <v>2448</v>
      </c>
      <c r="N225" s="56">
        <v>2590</v>
      </c>
      <c r="O225" s="56">
        <v>2547</v>
      </c>
      <c r="Q225" s="882" t="s">
        <v>5999</v>
      </c>
    </row>
    <row r="226" spans="1:17">
      <c r="A226" s="894">
        <v>20</v>
      </c>
      <c r="B226" s="882" t="s">
        <v>6078</v>
      </c>
      <c r="C226" s="55" t="s">
        <v>7715</v>
      </c>
      <c r="D226" s="884">
        <v>4554</v>
      </c>
      <c r="E226" s="884">
        <v>4514</v>
      </c>
      <c r="F226" s="884">
        <v>4394</v>
      </c>
      <c r="G226" s="63">
        <v>3978</v>
      </c>
      <c r="H226" s="63">
        <v>3971</v>
      </c>
      <c r="I226" s="56">
        <v>3902</v>
      </c>
      <c r="J226" s="56">
        <v>3972</v>
      </c>
      <c r="K226" s="56">
        <v>4085</v>
      </c>
      <c r="L226" s="56">
        <v>4257</v>
      </c>
      <c r="M226" s="56">
        <v>4266</v>
      </c>
      <c r="N226" s="56">
        <v>4408</v>
      </c>
      <c r="O226" s="56">
        <v>4333</v>
      </c>
      <c r="Q226" s="882" t="s">
        <v>6003</v>
      </c>
    </row>
    <row r="227" spans="1:17">
      <c r="A227" s="894">
        <v>21</v>
      </c>
      <c r="B227" s="882" t="s">
        <v>6079</v>
      </c>
      <c r="C227" s="55" t="s">
        <v>7716</v>
      </c>
      <c r="D227" s="884">
        <v>2216</v>
      </c>
      <c r="E227" s="884">
        <v>2247</v>
      </c>
      <c r="F227" s="884">
        <v>2264</v>
      </c>
      <c r="G227" s="63">
        <v>2283</v>
      </c>
      <c r="H227" s="63">
        <v>2302</v>
      </c>
      <c r="I227" s="58">
        <v>2225</v>
      </c>
      <c r="J227" s="58">
        <v>2270</v>
      </c>
      <c r="K227" s="58">
        <v>2252</v>
      </c>
      <c r="L227" s="58">
        <v>2294</v>
      </c>
      <c r="M227" s="58">
        <v>2306</v>
      </c>
      <c r="N227" s="58">
        <v>2506</v>
      </c>
      <c r="O227" s="58">
        <v>2469</v>
      </c>
      <c r="Q227" s="882" t="s">
        <v>6013</v>
      </c>
    </row>
    <row r="228" spans="1:17">
      <c r="A228" s="894">
        <v>22</v>
      </c>
      <c r="B228" s="882" t="s">
        <v>6080</v>
      </c>
      <c r="C228" s="55" t="s">
        <v>7717</v>
      </c>
      <c r="D228" s="884">
        <v>4480</v>
      </c>
      <c r="E228" s="884">
        <v>4484</v>
      </c>
      <c r="F228" s="884">
        <v>4504</v>
      </c>
      <c r="G228" s="63">
        <v>4487</v>
      </c>
      <c r="H228" s="63">
        <v>4465</v>
      </c>
      <c r="I228" s="56">
        <v>4359</v>
      </c>
      <c r="J228" s="56">
        <v>4451</v>
      </c>
      <c r="K228" s="56">
        <v>4519</v>
      </c>
      <c r="L228" s="56">
        <v>4455</v>
      </c>
      <c r="M228" s="56">
        <v>4325</v>
      </c>
      <c r="N228" s="56">
        <v>4612</v>
      </c>
      <c r="O228" s="56">
        <v>4515</v>
      </c>
      <c r="Q228" s="882" t="s">
        <v>5999</v>
      </c>
    </row>
    <row r="229" spans="1:17">
      <c r="A229" s="894">
        <v>23</v>
      </c>
      <c r="B229" s="882" t="s">
        <v>6081</v>
      </c>
      <c r="C229" s="55" t="s">
        <v>7718</v>
      </c>
      <c r="D229" s="887">
        <v>4123</v>
      </c>
      <c r="E229" s="887">
        <v>4151</v>
      </c>
      <c r="F229" s="887">
        <v>4185</v>
      </c>
      <c r="G229" s="63">
        <v>4173</v>
      </c>
      <c r="H229" s="63">
        <v>4131</v>
      </c>
      <c r="I229" s="58">
        <v>4066</v>
      </c>
      <c r="J229" s="58">
        <v>4290</v>
      </c>
      <c r="K229" s="58">
        <v>4701</v>
      </c>
      <c r="L229" s="58">
        <v>4804</v>
      </c>
      <c r="M229" s="58">
        <v>4845</v>
      </c>
      <c r="N229" s="58">
        <v>5270</v>
      </c>
      <c r="O229" s="58">
        <v>5150</v>
      </c>
      <c r="Q229" s="882" t="s">
        <v>6013</v>
      </c>
    </row>
    <row r="230" spans="1:17">
      <c r="A230" s="894">
        <v>24</v>
      </c>
      <c r="B230" s="882" t="s">
        <v>6082</v>
      </c>
      <c r="C230" s="55" t="s">
        <v>7719</v>
      </c>
      <c r="D230" s="887">
        <v>6876</v>
      </c>
      <c r="E230" s="887">
        <v>6941</v>
      </c>
      <c r="F230" s="887">
        <v>7105</v>
      </c>
      <c r="G230" s="63">
        <v>7154</v>
      </c>
      <c r="H230" s="63">
        <v>7247</v>
      </c>
      <c r="I230" s="58">
        <v>7117</v>
      </c>
      <c r="J230" s="58">
        <v>7197</v>
      </c>
      <c r="K230" s="58">
        <v>7265</v>
      </c>
      <c r="L230" s="58">
        <v>7195</v>
      </c>
      <c r="M230" s="58">
        <v>7211</v>
      </c>
      <c r="N230" s="58">
        <v>7700</v>
      </c>
      <c r="O230" s="58">
        <v>7570</v>
      </c>
      <c r="Q230" s="882" t="s">
        <v>6013</v>
      </c>
    </row>
    <row r="231" spans="1:17">
      <c r="A231" s="891">
        <v>25</v>
      </c>
      <c r="B231" s="882" t="s">
        <v>6083</v>
      </c>
      <c r="C231" s="55" t="s">
        <v>7720</v>
      </c>
      <c r="D231" s="887">
        <v>6116</v>
      </c>
      <c r="E231" s="887">
        <v>6069</v>
      </c>
      <c r="F231" s="887">
        <v>6098</v>
      </c>
      <c r="G231" s="63">
        <v>6126</v>
      </c>
      <c r="H231" s="63">
        <v>6120</v>
      </c>
      <c r="I231" s="56">
        <v>6068</v>
      </c>
      <c r="J231" s="56">
        <v>6173</v>
      </c>
      <c r="K231" s="56">
        <v>6269</v>
      </c>
      <c r="L231" s="56">
        <v>6118</v>
      </c>
      <c r="M231" s="56">
        <v>6115</v>
      </c>
      <c r="N231" s="56">
        <v>6475</v>
      </c>
      <c r="O231" s="56">
        <v>6311</v>
      </c>
      <c r="Q231" s="882" t="s">
        <v>5996</v>
      </c>
    </row>
    <row r="232" spans="1:17">
      <c r="D232" s="887"/>
      <c r="E232" s="887"/>
      <c r="F232" s="887"/>
      <c r="G232" s="887"/>
      <c r="H232" s="887"/>
      <c r="I232" s="887"/>
      <c r="J232" s="887"/>
      <c r="K232" s="887"/>
      <c r="L232" s="887"/>
      <c r="M232" s="887"/>
      <c r="N232" s="887"/>
      <c r="O232" s="887"/>
    </row>
    <row r="233" spans="1:17">
      <c r="A233" s="882" t="s">
        <v>4593</v>
      </c>
      <c r="D233" s="884">
        <f t="shared" ref="D233:I233" si="99">D214+D215+D231</f>
        <v>14849</v>
      </c>
      <c r="E233" s="884">
        <f t="shared" si="99"/>
        <v>14724</v>
      </c>
      <c r="F233" s="884">
        <f t="shared" si="99"/>
        <v>14735</v>
      </c>
      <c r="G233" s="884">
        <f t="shared" si="99"/>
        <v>14791</v>
      </c>
      <c r="H233" s="884">
        <f t="shared" si="99"/>
        <v>14867</v>
      </c>
      <c r="I233" s="884">
        <f t="shared" si="99"/>
        <v>14693</v>
      </c>
      <c r="J233" s="884">
        <f t="shared" ref="J233:O233" si="100">J214+J215+J231</f>
        <v>14816</v>
      </c>
      <c r="K233" s="884">
        <f t="shared" si="100"/>
        <v>15041</v>
      </c>
      <c r="L233" s="884">
        <f t="shared" si="100"/>
        <v>14742</v>
      </c>
      <c r="M233" s="884">
        <f t="shared" si="100"/>
        <v>14621</v>
      </c>
      <c r="N233" s="884">
        <f t="shared" si="100"/>
        <v>15380</v>
      </c>
      <c r="O233" s="884">
        <f t="shared" si="100"/>
        <v>15020</v>
      </c>
    </row>
    <row r="234" spans="1:17">
      <c r="A234" s="882" t="s">
        <v>6107</v>
      </c>
      <c r="D234" s="884">
        <f t="shared" ref="D234:I234" si="101">D210+D211+D218+D222+D225+D228</f>
        <v>20320</v>
      </c>
      <c r="E234" s="884">
        <f t="shared" si="101"/>
        <v>20262</v>
      </c>
      <c r="F234" s="884">
        <f t="shared" si="101"/>
        <v>20297</v>
      </c>
      <c r="G234" s="884">
        <f t="shared" si="101"/>
        <v>20394</v>
      </c>
      <c r="H234" s="884">
        <f t="shared" si="101"/>
        <v>20273</v>
      </c>
      <c r="I234" s="884">
        <f t="shared" si="101"/>
        <v>20014</v>
      </c>
      <c r="J234" s="884">
        <f t="shared" ref="J234:O234" si="102">J210+J211+J218+J222+J225+J228</f>
        <v>20167</v>
      </c>
      <c r="K234" s="884">
        <f t="shared" si="102"/>
        <v>20568</v>
      </c>
      <c r="L234" s="884">
        <f t="shared" si="102"/>
        <v>20134</v>
      </c>
      <c r="M234" s="884">
        <f t="shared" si="102"/>
        <v>19629</v>
      </c>
      <c r="N234" s="884">
        <f t="shared" si="102"/>
        <v>20692</v>
      </c>
      <c r="O234" s="884">
        <f t="shared" si="102"/>
        <v>20208</v>
      </c>
    </row>
    <row r="235" spans="1:17">
      <c r="A235" s="882" t="s">
        <v>3010</v>
      </c>
      <c r="D235" s="884">
        <f t="shared" ref="D235:I235" si="103">D209+D219+D226</f>
        <v>17689</v>
      </c>
      <c r="E235" s="884">
        <f t="shared" si="103"/>
        <v>17559</v>
      </c>
      <c r="F235" s="884">
        <f t="shared" si="103"/>
        <v>17688</v>
      </c>
      <c r="G235" s="884">
        <f t="shared" si="103"/>
        <v>17206</v>
      </c>
      <c r="H235" s="884">
        <f t="shared" si="103"/>
        <v>17314</v>
      </c>
      <c r="I235" s="884">
        <f t="shared" si="103"/>
        <v>17066</v>
      </c>
      <c r="J235" s="884">
        <f t="shared" ref="J235:O235" si="104">J209+J219+J226</f>
        <v>17247</v>
      </c>
      <c r="K235" s="884">
        <f t="shared" si="104"/>
        <v>17904</v>
      </c>
      <c r="L235" s="884">
        <f t="shared" si="104"/>
        <v>18030</v>
      </c>
      <c r="M235" s="884">
        <f t="shared" si="104"/>
        <v>17967</v>
      </c>
      <c r="N235" s="884">
        <f t="shared" si="104"/>
        <v>18941</v>
      </c>
      <c r="O235" s="884">
        <f t="shared" si="104"/>
        <v>18555</v>
      </c>
    </row>
    <row r="236" spans="1:17">
      <c r="A236" s="882" t="s">
        <v>4541</v>
      </c>
      <c r="D236" s="884">
        <f t="shared" ref="D236:I236" si="105">D207+D208+D212+D213+D216+D217+D220+D221+D223+D224+D227+D229+D230</f>
        <v>65592</v>
      </c>
      <c r="E236" s="884">
        <f t="shared" si="105"/>
        <v>65095</v>
      </c>
      <c r="F236" s="884">
        <f t="shared" si="105"/>
        <v>65707</v>
      </c>
      <c r="G236" s="884">
        <f t="shared" si="105"/>
        <v>66303</v>
      </c>
      <c r="H236" s="884">
        <f t="shared" si="105"/>
        <v>66737</v>
      </c>
      <c r="I236" s="884">
        <f t="shared" si="105"/>
        <v>65264</v>
      </c>
      <c r="J236" s="884">
        <f t="shared" ref="J236:O236" si="106">J207+J208+J212+J213+J216+J217+J220+J221+J223+J224+J227+J229+J230</f>
        <v>65829</v>
      </c>
      <c r="K236" s="884">
        <f t="shared" si="106"/>
        <v>68168</v>
      </c>
      <c r="L236" s="884">
        <f t="shared" si="106"/>
        <v>67545</v>
      </c>
      <c r="M236" s="884">
        <f t="shared" si="106"/>
        <v>67498</v>
      </c>
      <c r="N236" s="884">
        <f t="shared" si="106"/>
        <v>73105</v>
      </c>
      <c r="O236" s="884">
        <f t="shared" si="106"/>
        <v>71475</v>
      </c>
    </row>
    <row r="238" spans="1:17">
      <c r="A238" s="882" t="s">
        <v>4833</v>
      </c>
    </row>
  </sheetData>
  <sortState ref="R207:V231">
    <sortCondition ref="T207:T231"/>
  </sortState>
  <phoneticPr fontId="6" type="noConversion"/>
  <printOptions gridLinesSet="0"/>
  <pageMargins left="0.78740157480314965" right="0" top="0.51181102362204722" bottom="0.51181102362204722" header="0.51181102362204722" footer="0.51181102362204722"/>
  <pageSetup paperSize="9" scale="72" orientation="portrait" horizontalDpi="300" verticalDpi="300" r:id="rId1"/>
  <headerFooter alignWithMargins="0">
    <oddFooter>&amp;C&amp;8&amp;P of &amp;N</oddFooter>
  </headerFooter>
  <ignoredErrors>
    <ignoredError sqref="D59:E59 D206:E206 D87:E87 D113:E113 D177:E177 D79:E80 D105:E106 D130:E131 F130:F137 F105:F113 F79:F87 G177:K177 G59:K59 G206:K206 G87:K87 G113:K113 D3:J12 D16:E52 F16:F59 G16:J52 D233:K236 G79:K80 G105:K106 G130:K131 K3:K52 F202:F206 L202:L236 L197 F174:F177 L174:L177 L167 L3:L137" unlockedFormula="1"/>
    <ignoredError sqref="D13:D14 E13:F14 G13:G14 H13:H14 H15 G15 F15 E15 D15 I13:I15 J13:J15" formula="1" unlocked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dimension ref="A1:Q148"/>
  <sheetViews>
    <sheetView showGridLines="0" zoomScale="90" zoomScaleNormal="90" workbookViewId="0">
      <selection activeCell="O111" sqref="O111"/>
    </sheetView>
  </sheetViews>
  <sheetFormatPr defaultColWidth="12.5703125" defaultRowHeight="15"/>
  <cols>
    <col min="1" max="1" width="4.85546875" style="129" customWidth="1"/>
    <col min="2" max="2" width="43.5703125" style="129" customWidth="1"/>
    <col min="3" max="3" width="11.5703125" style="129" customWidth="1"/>
    <col min="4" max="12" width="10.140625" style="129" customWidth="1"/>
    <col min="13" max="15" width="10" style="129" customWidth="1"/>
    <col min="16" max="16" width="2.28515625" style="129" customWidth="1"/>
    <col min="17" max="17" width="28" style="129" customWidth="1"/>
    <col min="18" max="16384" width="12.5703125" style="129"/>
  </cols>
  <sheetData>
    <row r="1" spans="1:17">
      <c r="A1" s="416" t="s">
        <v>6924</v>
      </c>
      <c r="D1" s="417">
        <v>2010</v>
      </c>
      <c r="E1" s="417">
        <v>2011</v>
      </c>
      <c r="F1" s="417">
        <v>2012</v>
      </c>
      <c r="G1" s="417">
        <v>2013</v>
      </c>
      <c r="H1" s="417">
        <v>2014</v>
      </c>
      <c r="I1" s="417">
        <v>2015</v>
      </c>
      <c r="J1" s="417">
        <v>2016</v>
      </c>
      <c r="K1" s="417">
        <v>2017</v>
      </c>
      <c r="L1" s="417">
        <v>2018</v>
      </c>
      <c r="M1" s="417">
        <v>2019</v>
      </c>
      <c r="N1" s="417">
        <v>2020</v>
      </c>
      <c r="O1" s="945" t="s">
        <v>14823</v>
      </c>
    </row>
    <row r="3" spans="1:17">
      <c r="A3" s="416" t="s">
        <v>3388</v>
      </c>
      <c r="C3" s="416"/>
      <c r="D3" s="418">
        <f t="shared" ref="D3:I3" si="0">D35</f>
        <v>230844</v>
      </c>
      <c r="E3" s="418">
        <f t="shared" si="0"/>
        <v>228607</v>
      </c>
      <c r="F3" s="418">
        <f t="shared" si="0"/>
        <v>227169</v>
      </c>
      <c r="G3" s="418">
        <f t="shared" si="0"/>
        <v>234601</v>
      </c>
      <c r="H3" s="418">
        <f t="shared" si="0"/>
        <v>223081</v>
      </c>
      <c r="I3" s="418">
        <f t="shared" si="0"/>
        <v>228191</v>
      </c>
      <c r="J3" s="418">
        <f t="shared" ref="J3:O3" si="1">J35</f>
        <v>229810</v>
      </c>
      <c r="K3" s="418">
        <f t="shared" si="1"/>
        <v>238443</v>
      </c>
      <c r="L3" s="418">
        <f t="shared" si="1"/>
        <v>237626</v>
      </c>
      <c r="M3" s="418">
        <f t="shared" si="1"/>
        <v>237622</v>
      </c>
      <c r="N3" s="418">
        <f t="shared" si="1"/>
        <v>249550</v>
      </c>
      <c r="O3" s="418">
        <f t="shared" si="1"/>
        <v>248552</v>
      </c>
    </row>
    <row r="4" spans="1:17" ht="15.75" thickBot="1">
      <c r="A4" s="416" t="s">
        <v>3389</v>
      </c>
      <c r="C4" s="416"/>
      <c r="D4" s="419">
        <f t="shared" ref="D4:I4" si="2">D111</f>
        <v>119968</v>
      </c>
      <c r="E4" s="419">
        <f t="shared" si="2"/>
        <v>121292</v>
      </c>
      <c r="F4" s="419">
        <f t="shared" si="2"/>
        <v>122136</v>
      </c>
      <c r="G4" s="419">
        <f t="shared" si="2"/>
        <v>123225</v>
      </c>
      <c r="H4" s="419">
        <f t="shared" si="2"/>
        <v>122619</v>
      </c>
      <c r="I4" s="419">
        <f t="shared" si="2"/>
        <v>119972</v>
      </c>
      <c r="J4" s="419">
        <f t="shared" ref="J4:O4" si="3">J111</f>
        <v>119097</v>
      </c>
      <c r="K4" s="419">
        <f t="shared" si="3"/>
        <v>121615</v>
      </c>
      <c r="L4" s="419">
        <f t="shared" si="3"/>
        <v>122961</v>
      </c>
      <c r="M4" s="419">
        <f t="shared" si="3"/>
        <v>123439</v>
      </c>
      <c r="N4" s="419">
        <f t="shared" si="3"/>
        <v>127722</v>
      </c>
      <c r="O4" s="419">
        <f t="shared" si="3"/>
        <v>127584</v>
      </c>
    </row>
    <row r="5" spans="1:17" ht="15.75" thickBot="1">
      <c r="A5" s="416"/>
      <c r="D5" s="419">
        <f t="shared" ref="D5:I5" si="4">D3+D4</f>
        <v>350812</v>
      </c>
      <c r="E5" s="419">
        <f t="shared" si="4"/>
        <v>349899</v>
      </c>
      <c r="F5" s="419">
        <f t="shared" si="4"/>
        <v>349305</v>
      </c>
      <c r="G5" s="419">
        <f t="shared" si="4"/>
        <v>357826</v>
      </c>
      <c r="H5" s="419">
        <f t="shared" si="4"/>
        <v>345700</v>
      </c>
      <c r="I5" s="419">
        <f t="shared" si="4"/>
        <v>348163</v>
      </c>
      <c r="J5" s="419">
        <f t="shared" ref="J5:O5" si="5">J3+J4</f>
        <v>348907</v>
      </c>
      <c r="K5" s="419">
        <f t="shared" si="5"/>
        <v>360058</v>
      </c>
      <c r="L5" s="419">
        <f t="shared" si="5"/>
        <v>360587</v>
      </c>
      <c r="M5" s="419">
        <f t="shared" si="5"/>
        <v>361061</v>
      </c>
      <c r="N5" s="419">
        <f t="shared" si="5"/>
        <v>377272</v>
      </c>
      <c r="O5" s="419">
        <f t="shared" si="5"/>
        <v>376136</v>
      </c>
    </row>
    <row r="6" spans="1:17">
      <c r="A6" s="416"/>
      <c r="D6" s="418"/>
      <c r="E6" s="418"/>
      <c r="F6" s="418"/>
      <c r="G6" s="418"/>
      <c r="H6" s="418"/>
      <c r="I6" s="418"/>
      <c r="J6" s="418"/>
      <c r="K6" s="418"/>
      <c r="L6" s="418"/>
      <c r="M6" s="418"/>
      <c r="N6" s="418"/>
      <c r="O6" s="418"/>
    </row>
    <row r="7" spans="1:17">
      <c r="A7" s="416" t="s">
        <v>6374</v>
      </c>
      <c r="D7" s="418">
        <f t="shared" ref="D7:I7" si="6">D3/3</f>
        <v>76948</v>
      </c>
      <c r="E7" s="418">
        <f t="shared" si="6"/>
        <v>76202.333333333328</v>
      </c>
      <c r="F7" s="418">
        <f t="shared" si="6"/>
        <v>75723</v>
      </c>
      <c r="G7" s="418">
        <f t="shared" si="6"/>
        <v>78200.333333333328</v>
      </c>
      <c r="H7" s="418">
        <f t="shared" si="6"/>
        <v>74360.333333333328</v>
      </c>
      <c r="I7" s="418">
        <f t="shared" si="6"/>
        <v>76063.666666666672</v>
      </c>
      <c r="J7" s="418">
        <f t="shared" ref="J7:O7" si="7">J3/3</f>
        <v>76603.333333333328</v>
      </c>
      <c r="K7" s="418">
        <f t="shared" si="7"/>
        <v>79481</v>
      </c>
      <c r="L7" s="418">
        <f t="shared" si="7"/>
        <v>79208.666666666672</v>
      </c>
      <c r="M7" s="418">
        <f t="shared" si="7"/>
        <v>79207.333333333328</v>
      </c>
      <c r="N7" s="418">
        <f t="shared" si="7"/>
        <v>83183.333333333328</v>
      </c>
      <c r="O7" s="418">
        <f t="shared" si="7"/>
        <v>82850.666666666672</v>
      </c>
    </row>
    <row r="8" spans="1:17">
      <c r="A8" s="416" t="s">
        <v>6375</v>
      </c>
      <c r="D8" s="418">
        <f t="shared" ref="D8:I8" si="8">D4/2</f>
        <v>59984</v>
      </c>
      <c r="E8" s="418">
        <f t="shared" si="8"/>
        <v>60646</v>
      </c>
      <c r="F8" s="418">
        <f t="shared" si="8"/>
        <v>61068</v>
      </c>
      <c r="G8" s="418">
        <f t="shared" si="8"/>
        <v>61612.5</v>
      </c>
      <c r="H8" s="418">
        <f t="shared" si="8"/>
        <v>61309.5</v>
      </c>
      <c r="I8" s="418">
        <f t="shared" si="8"/>
        <v>59986</v>
      </c>
      <c r="J8" s="418">
        <f t="shared" ref="J8:O8" si="9">J4/2</f>
        <v>59548.5</v>
      </c>
      <c r="K8" s="418">
        <f t="shared" si="9"/>
        <v>60807.5</v>
      </c>
      <c r="L8" s="418">
        <f t="shared" si="9"/>
        <v>61480.5</v>
      </c>
      <c r="M8" s="418">
        <f t="shared" si="9"/>
        <v>61719.5</v>
      </c>
      <c r="N8" s="418">
        <f t="shared" si="9"/>
        <v>63861</v>
      </c>
      <c r="O8" s="418">
        <f t="shared" si="9"/>
        <v>63792</v>
      </c>
    </row>
    <row r="9" spans="1:17">
      <c r="A9" s="416" t="s">
        <v>6376</v>
      </c>
      <c r="D9" s="418">
        <f t="shared" ref="D9:I9" si="10">D5/5</f>
        <v>70162.399999999994</v>
      </c>
      <c r="E9" s="418">
        <f t="shared" si="10"/>
        <v>69979.8</v>
      </c>
      <c r="F9" s="418">
        <f t="shared" si="10"/>
        <v>69861</v>
      </c>
      <c r="G9" s="418">
        <f t="shared" si="10"/>
        <v>71565.2</v>
      </c>
      <c r="H9" s="418">
        <f t="shared" si="10"/>
        <v>69140</v>
      </c>
      <c r="I9" s="418">
        <f t="shared" si="10"/>
        <v>69632.600000000006</v>
      </c>
      <c r="J9" s="418">
        <f t="shared" ref="J9:O9" si="11">J5/5</f>
        <v>69781.399999999994</v>
      </c>
      <c r="K9" s="418">
        <f t="shared" si="11"/>
        <v>72011.600000000006</v>
      </c>
      <c r="L9" s="418">
        <f t="shared" si="11"/>
        <v>72117.399999999994</v>
      </c>
      <c r="M9" s="418">
        <f t="shared" si="11"/>
        <v>72212.2</v>
      </c>
      <c r="N9" s="418">
        <f t="shared" si="11"/>
        <v>75454.399999999994</v>
      </c>
      <c r="O9" s="418">
        <f t="shared" si="11"/>
        <v>75227.199999999997</v>
      </c>
    </row>
    <row r="10" spans="1:17">
      <c r="D10" s="420"/>
      <c r="E10" s="420"/>
      <c r="F10" s="420"/>
      <c r="G10" s="420"/>
      <c r="H10" s="420"/>
      <c r="I10" s="420"/>
      <c r="J10" s="420"/>
      <c r="K10" s="420"/>
      <c r="L10" s="420"/>
      <c r="M10" s="420"/>
      <c r="N10" s="420"/>
      <c r="O10" s="420"/>
    </row>
    <row r="11" spans="1:17">
      <c r="A11" s="416" t="s">
        <v>6377</v>
      </c>
      <c r="D11" s="418">
        <f t="shared" ref="D11:I11" si="12">D100</f>
        <v>66285</v>
      </c>
      <c r="E11" s="418">
        <f t="shared" si="12"/>
        <v>66199</v>
      </c>
      <c r="F11" s="418">
        <f t="shared" si="12"/>
        <v>65184</v>
      </c>
      <c r="G11" s="418">
        <f t="shared" si="12"/>
        <v>67320</v>
      </c>
      <c r="H11" s="418">
        <f t="shared" si="12"/>
        <v>63633</v>
      </c>
      <c r="I11" s="418">
        <f t="shared" si="12"/>
        <v>65208</v>
      </c>
      <c r="J11" s="418">
        <f t="shared" ref="J11:O11" si="13">J100</f>
        <v>65787</v>
      </c>
      <c r="K11" s="418">
        <f t="shared" si="13"/>
        <v>67975</v>
      </c>
      <c r="L11" s="418">
        <f t="shared" si="13"/>
        <v>67403</v>
      </c>
      <c r="M11" s="418">
        <f t="shared" si="13"/>
        <v>66675</v>
      </c>
      <c r="N11" s="418">
        <f t="shared" si="13"/>
        <v>69895</v>
      </c>
      <c r="O11" s="418">
        <f t="shared" si="13"/>
        <v>69524</v>
      </c>
      <c r="Q11" s="416" t="s">
        <v>6378</v>
      </c>
    </row>
    <row r="12" spans="1:17">
      <c r="D12" s="420"/>
      <c r="E12" s="420"/>
      <c r="F12" s="420"/>
      <c r="G12" s="420"/>
      <c r="H12" s="420"/>
      <c r="I12" s="420"/>
      <c r="J12" s="420"/>
      <c r="K12" s="420"/>
      <c r="L12" s="420"/>
      <c r="M12" s="420"/>
      <c r="N12" s="420"/>
      <c r="O12" s="420"/>
    </row>
    <row r="13" spans="1:17">
      <c r="A13" s="416" t="s">
        <v>6379</v>
      </c>
      <c r="D13" s="418">
        <f t="shared" ref="D13:I13" si="14">D101</f>
        <v>78611</v>
      </c>
      <c r="E13" s="418">
        <f t="shared" si="14"/>
        <v>77673</v>
      </c>
      <c r="F13" s="418">
        <f t="shared" si="14"/>
        <v>76696</v>
      </c>
      <c r="G13" s="418">
        <f t="shared" si="14"/>
        <v>79068</v>
      </c>
      <c r="H13" s="418">
        <f t="shared" si="14"/>
        <v>76317</v>
      </c>
      <c r="I13" s="418">
        <f t="shared" si="14"/>
        <v>77602</v>
      </c>
      <c r="J13" s="418">
        <f t="shared" ref="J13:O13" si="15">J101</f>
        <v>77768</v>
      </c>
      <c r="K13" s="418">
        <f t="shared" si="15"/>
        <v>80507</v>
      </c>
      <c r="L13" s="418">
        <f t="shared" si="15"/>
        <v>79954</v>
      </c>
      <c r="M13" s="418">
        <f t="shared" si="15"/>
        <v>80427</v>
      </c>
      <c r="N13" s="418">
        <f t="shared" si="15"/>
        <v>83881</v>
      </c>
      <c r="O13" s="418">
        <f t="shared" si="15"/>
        <v>83555</v>
      </c>
      <c r="Q13" s="416" t="s">
        <v>6378</v>
      </c>
    </row>
    <row r="14" spans="1:17">
      <c r="D14" s="420"/>
      <c r="E14" s="420"/>
      <c r="F14" s="420"/>
      <c r="G14" s="420"/>
      <c r="H14" s="420"/>
      <c r="I14" s="420"/>
      <c r="J14" s="420"/>
      <c r="K14" s="420"/>
      <c r="L14" s="420"/>
      <c r="M14" s="420"/>
      <c r="N14" s="420"/>
      <c r="O14" s="420"/>
    </row>
    <row r="15" spans="1:17">
      <c r="A15" s="416" t="s">
        <v>6380</v>
      </c>
      <c r="D15" s="418">
        <f t="shared" ref="D15:I15" si="16">D102</f>
        <v>75076</v>
      </c>
      <c r="E15" s="418">
        <f t="shared" si="16"/>
        <v>73978</v>
      </c>
      <c r="F15" s="418">
        <f t="shared" si="16"/>
        <v>74750</v>
      </c>
      <c r="G15" s="418">
        <f t="shared" si="16"/>
        <v>77266</v>
      </c>
      <c r="H15" s="418">
        <f t="shared" si="16"/>
        <v>73169</v>
      </c>
      <c r="I15" s="418">
        <f t="shared" si="16"/>
        <v>74881</v>
      </c>
      <c r="J15" s="418">
        <f t="shared" ref="J15:O15" si="17">J102</f>
        <v>75528</v>
      </c>
      <c r="K15" s="418">
        <f t="shared" si="17"/>
        <v>78641</v>
      </c>
      <c r="L15" s="418">
        <f t="shared" si="17"/>
        <v>78625</v>
      </c>
      <c r="M15" s="418">
        <f t="shared" si="17"/>
        <v>78564</v>
      </c>
      <c r="N15" s="418">
        <f t="shared" si="17"/>
        <v>82897</v>
      </c>
      <c r="O15" s="418">
        <f t="shared" si="17"/>
        <v>82649</v>
      </c>
      <c r="Q15" s="416" t="s">
        <v>6378</v>
      </c>
    </row>
    <row r="16" spans="1:17">
      <c r="D16" s="420"/>
      <c r="E16" s="420"/>
      <c r="F16" s="420"/>
      <c r="G16" s="420"/>
      <c r="H16" s="420"/>
      <c r="I16" s="420"/>
      <c r="J16" s="420"/>
      <c r="K16" s="420"/>
      <c r="L16" s="420"/>
      <c r="M16" s="420"/>
      <c r="N16" s="420"/>
      <c r="O16" s="420"/>
    </row>
    <row r="17" spans="1:17">
      <c r="A17" s="416" t="s">
        <v>6381</v>
      </c>
      <c r="D17" s="418">
        <f t="shared" ref="D17:I17" si="18">D145</f>
        <v>65363</v>
      </c>
      <c r="E17" s="418">
        <f t="shared" si="18"/>
        <v>65938</v>
      </c>
      <c r="F17" s="418">
        <f t="shared" si="18"/>
        <v>66470</v>
      </c>
      <c r="G17" s="418">
        <f t="shared" si="18"/>
        <v>67173</v>
      </c>
      <c r="H17" s="418">
        <f t="shared" si="18"/>
        <v>67041</v>
      </c>
      <c r="I17" s="418">
        <f t="shared" si="18"/>
        <v>65289</v>
      </c>
      <c r="J17" s="418">
        <f t="shared" ref="J17:O17" si="19">J145</f>
        <v>64816</v>
      </c>
      <c r="K17" s="418">
        <f t="shared" si="19"/>
        <v>66157</v>
      </c>
      <c r="L17" s="418">
        <f t="shared" si="19"/>
        <v>66579</v>
      </c>
      <c r="M17" s="418">
        <f t="shared" si="19"/>
        <v>66766</v>
      </c>
      <c r="N17" s="418">
        <f t="shared" si="19"/>
        <v>69362</v>
      </c>
      <c r="O17" s="418">
        <f t="shared" si="19"/>
        <v>69331</v>
      </c>
      <c r="Q17" s="416" t="s">
        <v>6382</v>
      </c>
    </row>
    <row r="18" spans="1:17">
      <c r="D18" s="420"/>
      <c r="E18" s="420"/>
      <c r="F18" s="420"/>
      <c r="G18" s="420"/>
      <c r="H18" s="420"/>
      <c r="I18" s="420"/>
      <c r="J18" s="420"/>
      <c r="K18" s="420"/>
      <c r="L18" s="420"/>
      <c r="M18" s="420"/>
      <c r="N18" s="420"/>
      <c r="O18" s="420"/>
    </row>
    <row r="19" spans="1:17">
      <c r="A19" s="416" t="s">
        <v>6383</v>
      </c>
      <c r="D19" s="418">
        <f t="shared" ref="D19:I19" si="20">D103</f>
        <v>10872</v>
      </c>
      <c r="E19" s="418">
        <f t="shared" si="20"/>
        <v>10757</v>
      </c>
      <c r="F19" s="418">
        <f t="shared" si="20"/>
        <v>10539</v>
      </c>
      <c r="G19" s="418">
        <f t="shared" si="20"/>
        <v>10947</v>
      </c>
      <c r="H19" s="418">
        <f t="shared" si="20"/>
        <v>9962</v>
      </c>
      <c r="I19" s="418">
        <f t="shared" si="20"/>
        <v>10500</v>
      </c>
      <c r="J19" s="418">
        <f t="shared" ref="J19:O19" si="21">J103</f>
        <v>10727</v>
      </c>
      <c r="K19" s="418">
        <f t="shared" si="21"/>
        <v>11320</v>
      </c>
      <c r="L19" s="418">
        <f t="shared" si="21"/>
        <v>11644</v>
      </c>
      <c r="M19" s="418">
        <f t="shared" si="21"/>
        <v>11956</v>
      </c>
      <c r="N19" s="418">
        <f t="shared" si="21"/>
        <v>12877</v>
      </c>
      <c r="O19" s="418">
        <f t="shared" si="21"/>
        <v>12824</v>
      </c>
      <c r="Q19" s="416" t="s">
        <v>6378</v>
      </c>
    </row>
    <row r="20" spans="1:17" ht="15.75" thickBot="1">
      <c r="D20" s="419">
        <f t="shared" ref="D20:I20" si="22">D146</f>
        <v>54605</v>
      </c>
      <c r="E20" s="419">
        <f t="shared" si="22"/>
        <v>55354</v>
      </c>
      <c r="F20" s="419">
        <f t="shared" si="22"/>
        <v>55666</v>
      </c>
      <c r="G20" s="419">
        <f t="shared" si="22"/>
        <v>56052</v>
      </c>
      <c r="H20" s="419">
        <f t="shared" si="22"/>
        <v>55578</v>
      </c>
      <c r="I20" s="419">
        <f t="shared" si="22"/>
        <v>54683</v>
      </c>
      <c r="J20" s="419">
        <f t="shared" ref="J20:O20" si="23">J146</f>
        <v>54281</v>
      </c>
      <c r="K20" s="419">
        <f t="shared" si="23"/>
        <v>55458</v>
      </c>
      <c r="L20" s="419">
        <f t="shared" si="23"/>
        <v>56382</v>
      </c>
      <c r="M20" s="419">
        <f t="shared" si="23"/>
        <v>56673</v>
      </c>
      <c r="N20" s="419">
        <f t="shared" si="23"/>
        <v>58360</v>
      </c>
      <c r="O20" s="419">
        <f t="shared" si="23"/>
        <v>58253</v>
      </c>
      <c r="Q20" s="416" t="s">
        <v>6382</v>
      </c>
    </row>
    <row r="21" spans="1:17" ht="15.75" thickBot="1">
      <c r="D21" s="419">
        <f t="shared" ref="D21:I21" si="24">SUM(D19:D20)</f>
        <v>65477</v>
      </c>
      <c r="E21" s="419">
        <f t="shared" si="24"/>
        <v>66111</v>
      </c>
      <c r="F21" s="419">
        <f t="shared" si="24"/>
        <v>66205</v>
      </c>
      <c r="G21" s="419">
        <f t="shared" si="24"/>
        <v>66999</v>
      </c>
      <c r="H21" s="419">
        <f t="shared" si="24"/>
        <v>65540</v>
      </c>
      <c r="I21" s="419">
        <f t="shared" si="24"/>
        <v>65183</v>
      </c>
      <c r="J21" s="419">
        <f t="shared" ref="J21:O21" si="25">SUM(J19:J20)</f>
        <v>65008</v>
      </c>
      <c r="K21" s="419">
        <f t="shared" si="25"/>
        <v>66778</v>
      </c>
      <c r="L21" s="419">
        <f t="shared" si="25"/>
        <v>68026</v>
      </c>
      <c r="M21" s="419">
        <f t="shared" si="25"/>
        <v>68629</v>
      </c>
      <c r="N21" s="419">
        <f t="shared" si="25"/>
        <v>71237</v>
      </c>
      <c r="O21" s="419">
        <f t="shared" si="25"/>
        <v>71077</v>
      </c>
    </row>
    <row r="22" spans="1:17">
      <c r="D22" s="420"/>
      <c r="E22" s="420"/>
      <c r="F22" s="420"/>
      <c r="G22" s="420"/>
      <c r="H22" s="420"/>
      <c r="I22" s="420"/>
      <c r="J22" s="420"/>
      <c r="K22" s="420"/>
      <c r="L22" s="420"/>
      <c r="M22" s="420"/>
      <c r="N22" s="420"/>
      <c r="O22" s="420"/>
    </row>
    <row r="23" spans="1:17">
      <c r="A23" s="416" t="s">
        <v>6796</v>
      </c>
      <c r="D23" s="418">
        <f t="shared" ref="D23:I23" si="26">D11+D13+D15+D17+D21</f>
        <v>350812</v>
      </c>
      <c r="E23" s="418">
        <f t="shared" si="26"/>
        <v>349899</v>
      </c>
      <c r="F23" s="418">
        <f t="shared" si="26"/>
        <v>349305</v>
      </c>
      <c r="G23" s="418">
        <f t="shared" si="26"/>
        <v>357826</v>
      </c>
      <c r="H23" s="418">
        <f t="shared" si="26"/>
        <v>345700</v>
      </c>
      <c r="I23" s="418">
        <f t="shared" si="26"/>
        <v>348163</v>
      </c>
      <c r="J23" s="418">
        <f t="shared" ref="J23:O23" si="27">J11+J13+J15+J17+J21</f>
        <v>348907</v>
      </c>
      <c r="K23" s="418">
        <f t="shared" si="27"/>
        <v>360058</v>
      </c>
      <c r="L23" s="418">
        <f t="shared" si="27"/>
        <v>360587</v>
      </c>
      <c r="M23" s="418">
        <f t="shared" si="27"/>
        <v>361061</v>
      </c>
      <c r="N23" s="418">
        <f t="shared" si="27"/>
        <v>377272</v>
      </c>
      <c r="O23" s="418">
        <f t="shared" si="27"/>
        <v>376136</v>
      </c>
    </row>
    <row r="24" spans="1:17">
      <c r="D24" s="420"/>
      <c r="E24" s="420"/>
      <c r="F24" s="420"/>
      <c r="G24" s="420"/>
      <c r="H24" s="420"/>
      <c r="I24" s="420"/>
      <c r="J24" s="420"/>
      <c r="K24" s="420"/>
      <c r="L24" s="420"/>
      <c r="M24" s="420"/>
      <c r="N24" s="420"/>
      <c r="O24" s="420"/>
    </row>
    <row r="25" spans="1:17">
      <c r="A25" s="416" t="s">
        <v>6797</v>
      </c>
      <c r="D25" s="418">
        <f t="shared" ref="D25:I25" si="28">MAX(D11,D13,D15,D17,D21)-MIN(D11,D13,D15,D17,D21)</f>
        <v>13248</v>
      </c>
      <c r="E25" s="418">
        <f t="shared" si="28"/>
        <v>11735</v>
      </c>
      <c r="F25" s="418">
        <f t="shared" si="28"/>
        <v>11512</v>
      </c>
      <c r="G25" s="418">
        <f t="shared" si="28"/>
        <v>12069</v>
      </c>
      <c r="H25" s="418">
        <f t="shared" si="28"/>
        <v>12684</v>
      </c>
      <c r="I25" s="418">
        <f t="shared" si="28"/>
        <v>12419</v>
      </c>
      <c r="J25" s="418">
        <f t="shared" ref="J25:O25" si="29">MAX(J11,J13,J15,J17,J21)-MIN(J11,J13,J15,J17,J21)</f>
        <v>12952</v>
      </c>
      <c r="K25" s="418">
        <f t="shared" si="29"/>
        <v>14350</v>
      </c>
      <c r="L25" s="418">
        <f t="shared" si="29"/>
        <v>13375</v>
      </c>
      <c r="M25" s="418">
        <f t="shared" si="29"/>
        <v>13752</v>
      </c>
      <c r="N25" s="418">
        <f t="shared" si="29"/>
        <v>14519</v>
      </c>
      <c r="O25" s="418">
        <f t="shared" si="29"/>
        <v>14224</v>
      </c>
    </row>
    <row r="26" spans="1:17">
      <c r="D26" s="420"/>
      <c r="E26" s="420"/>
      <c r="F26" s="420"/>
      <c r="G26" s="420"/>
      <c r="H26" s="420"/>
      <c r="I26" s="420"/>
      <c r="J26" s="420"/>
      <c r="K26" s="420"/>
      <c r="L26" s="420"/>
      <c r="M26" s="420"/>
      <c r="N26" s="420"/>
      <c r="O26" s="420"/>
    </row>
    <row r="27" spans="1:17">
      <c r="A27" s="416" t="s">
        <v>6800</v>
      </c>
      <c r="D27" s="418">
        <f t="shared" ref="D27:I27" si="30">STDEVP(D11,D13,D15,D17,D21)</f>
        <v>5577.521872659936</v>
      </c>
      <c r="E27" s="418">
        <f t="shared" si="30"/>
        <v>4914.6543886625441</v>
      </c>
      <c r="F27" s="418">
        <f t="shared" si="30"/>
        <v>4844.7722753499984</v>
      </c>
      <c r="G27" s="418">
        <f t="shared" si="30"/>
        <v>5421.3366396120437</v>
      </c>
      <c r="H27" s="418">
        <f t="shared" si="30"/>
        <v>4804.8937553290398</v>
      </c>
      <c r="I27" s="418">
        <f t="shared" si="30"/>
        <v>5464.4290680728946</v>
      </c>
      <c r="J27" s="418">
        <f t="shared" ref="J27:O27" si="31">STDEVP(J11,J13,J15,J17,J21)</f>
        <v>5660.4764322449037</v>
      </c>
      <c r="K27" s="418">
        <f t="shared" si="31"/>
        <v>6230.2779263849861</v>
      </c>
      <c r="L27" s="418">
        <f t="shared" si="31"/>
        <v>5888.9753472059974</v>
      </c>
      <c r="M27" s="418">
        <f t="shared" si="31"/>
        <v>6016.4657864896071</v>
      </c>
      <c r="N27" s="418">
        <f t="shared" si="31"/>
        <v>6514.7618713196262</v>
      </c>
      <c r="O27" s="418">
        <f t="shared" si="31"/>
        <v>6464.5369950213762</v>
      </c>
    </row>
    <row r="28" spans="1:17">
      <c r="A28" s="416"/>
      <c r="D28" s="418"/>
      <c r="E28" s="418"/>
      <c r="F28" s="418"/>
      <c r="G28" s="418"/>
      <c r="H28" s="418"/>
      <c r="I28" s="418"/>
      <c r="J28" s="418"/>
      <c r="K28" s="418"/>
      <c r="L28" s="418"/>
      <c r="M28" s="418"/>
      <c r="N28" s="418"/>
      <c r="O28" s="418"/>
    </row>
    <row r="29" spans="1:17">
      <c r="A29" s="129" t="s">
        <v>6392</v>
      </c>
      <c r="D29" s="76"/>
      <c r="E29" s="76"/>
      <c r="F29" s="76"/>
      <c r="G29" s="76"/>
      <c r="H29" s="76"/>
      <c r="I29" s="76"/>
      <c r="J29" s="76"/>
      <c r="K29" s="76"/>
      <c r="L29" s="76"/>
      <c r="M29" s="76"/>
      <c r="N29" s="76"/>
      <c r="O29" s="76"/>
      <c r="Q29" s="76"/>
    </row>
    <row r="30" spans="1:17">
      <c r="A30" s="129" t="s">
        <v>6393</v>
      </c>
      <c r="D30" s="76"/>
      <c r="E30" s="76"/>
      <c r="F30" s="76"/>
      <c r="G30" s="76"/>
      <c r="H30" s="76"/>
      <c r="I30" s="76"/>
      <c r="J30" s="76"/>
      <c r="K30" s="76"/>
      <c r="L30" s="76"/>
      <c r="M30" s="76"/>
      <c r="N30" s="76"/>
      <c r="O30" s="76"/>
    </row>
    <row r="31" spans="1:17">
      <c r="D31" s="76"/>
      <c r="E31" s="76"/>
      <c r="F31" s="76"/>
      <c r="G31" s="76"/>
      <c r="H31" s="76"/>
      <c r="I31" s="76"/>
      <c r="J31" s="76"/>
      <c r="K31" s="76"/>
      <c r="L31" s="76"/>
      <c r="M31" s="76"/>
      <c r="N31" s="76"/>
      <c r="O31" s="76"/>
    </row>
    <row r="32" spans="1:17">
      <c r="D32" s="76"/>
      <c r="E32" s="76"/>
      <c r="F32" s="76"/>
      <c r="G32" s="76"/>
      <c r="H32" s="76"/>
      <c r="I32" s="76"/>
      <c r="J32" s="76"/>
      <c r="K32" s="76"/>
      <c r="L32" s="76"/>
      <c r="M32" s="76"/>
      <c r="N32" s="76"/>
      <c r="O32" s="76"/>
    </row>
    <row r="33" spans="1:17">
      <c r="E33" s="350" t="s">
        <v>1526</v>
      </c>
      <c r="F33" s="350"/>
      <c r="G33" s="350"/>
      <c r="H33" s="350"/>
      <c r="I33" s="350"/>
      <c r="J33" s="350"/>
      <c r="K33" s="350"/>
      <c r="L33" s="350"/>
      <c r="M33" s="350"/>
      <c r="N33" s="350"/>
      <c r="O33" s="350"/>
      <c r="P33" s="11"/>
      <c r="Q33" s="11" t="s">
        <v>9479</v>
      </c>
    </row>
    <row r="34" spans="1:17">
      <c r="D34" s="350">
        <v>2010</v>
      </c>
      <c r="E34" s="350">
        <v>2011</v>
      </c>
      <c r="F34" s="350">
        <v>2012</v>
      </c>
      <c r="G34" s="350">
        <v>2013</v>
      </c>
      <c r="H34" s="350">
        <v>2014</v>
      </c>
      <c r="I34" s="350">
        <v>2015</v>
      </c>
      <c r="J34" s="350">
        <v>2016</v>
      </c>
      <c r="K34" s="350">
        <v>2017</v>
      </c>
      <c r="L34" s="350">
        <v>2018</v>
      </c>
      <c r="M34" s="350">
        <v>2019</v>
      </c>
      <c r="N34" s="350">
        <v>2020</v>
      </c>
      <c r="O34" s="945" t="s">
        <v>14823</v>
      </c>
      <c r="Q34" s="13" t="s">
        <v>1527</v>
      </c>
    </row>
    <row r="35" spans="1:17">
      <c r="A35" s="416" t="s">
        <v>3388</v>
      </c>
      <c r="C35" s="416"/>
      <c r="D35" s="418">
        <f t="shared" ref="D35:I35" si="32">SUM(D36:D98)</f>
        <v>230844</v>
      </c>
      <c r="E35" s="418">
        <f t="shared" si="32"/>
        <v>228607</v>
      </c>
      <c r="F35" s="418">
        <f t="shared" si="32"/>
        <v>227169</v>
      </c>
      <c r="G35" s="418">
        <f t="shared" si="32"/>
        <v>234601</v>
      </c>
      <c r="H35" s="418">
        <f t="shared" si="32"/>
        <v>223081</v>
      </c>
      <c r="I35" s="418">
        <f t="shared" si="32"/>
        <v>228191</v>
      </c>
      <c r="J35" s="418">
        <f t="shared" ref="J35:O35" si="33">SUM(J36:J98)</f>
        <v>229810</v>
      </c>
      <c r="K35" s="418">
        <f t="shared" si="33"/>
        <v>238443</v>
      </c>
      <c r="L35" s="418">
        <f t="shared" si="33"/>
        <v>237626</v>
      </c>
      <c r="M35" s="418">
        <f t="shared" si="33"/>
        <v>237622</v>
      </c>
      <c r="N35" s="418">
        <f t="shared" si="33"/>
        <v>249550</v>
      </c>
      <c r="O35" s="418">
        <f t="shared" si="33"/>
        <v>248552</v>
      </c>
    </row>
    <row r="36" spans="1:17">
      <c r="A36" s="416" t="s">
        <v>5387</v>
      </c>
      <c r="B36" s="416" t="s">
        <v>6402</v>
      </c>
      <c r="C36" s="55" t="s">
        <v>7584</v>
      </c>
      <c r="D36" s="418">
        <v>2961</v>
      </c>
      <c r="E36" s="418">
        <v>2964</v>
      </c>
      <c r="F36" s="418">
        <v>2947</v>
      </c>
      <c r="G36" s="58">
        <v>2998</v>
      </c>
      <c r="H36" s="58">
        <v>2650</v>
      </c>
      <c r="I36" s="58">
        <v>2813</v>
      </c>
      <c r="J36" s="58">
        <v>2971</v>
      </c>
      <c r="K36" s="58">
        <v>3177</v>
      </c>
      <c r="L36" s="58">
        <v>3258</v>
      </c>
      <c r="M36" s="58">
        <v>3251</v>
      </c>
      <c r="N36" s="58">
        <v>3425</v>
      </c>
      <c r="O36" s="58">
        <v>3407</v>
      </c>
      <c r="Q36" s="416" t="s">
        <v>6380</v>
      </c>
    </row>
    <row r="37" spans="1:17">
      <c r="A37" s="416" t="s">
        <v>5389</v>
      </c>
      <c r="B37" s="416" t="s">
        <v>4842</v>
      </c>
      <c r="C37" s="55" t="s">
        <v>7585</v>
      </c>
      <c r="D37" s="418">
        <v>3716</v>
      </c>
      <c r="E37" s="418">
        <v>3616</v>
      </c>
      <c r="F37" s="418">
        <v>3570</v>
      </c>
      <c r="G37" s="58">
        <v>3686</v>
      </c>
      <c r="H37" s="58">
        <v>3374</v>
      </c>
      <c r="I37" s="58">
        <v>3523</v>
      </c>
      <c r="J37" s="58">
        <v>3549</v>
      </c>
      <c r="K37" s="58">
        <v>3650</v>
      </c>
      <c r="L37" s="58">
        <v>3637</v>
      </c>
      <c r="M37" s="58">
        <v>3583</v>
      </c>
      <c r="N37" s="58">
        <v>3730</v>
      </c>
      <c r="O37" s="58">
        <v>3705</v>
      </c>
      <c r="Q37" s="416" t="s">
        <v>6383</v>
      </c>
    </row>
    <row r="38" spans="1:17">
      <c r="A38" s="416" t="s">
        <v>5391</v>
      </c>
      <c r="B38" s="416" t="s">
        <v>4843</v>
      </c>
      <c r="C38" s="55" t="s">
        <v>7586</v>
      </c>
      <c r="D38" s="418">
        <v>3327</v>
      </c>
      <c r="E38" s="418">
        <v>3299</v>
      </c>
      <c r="F38" s="418">
        <v>3226</v>
      </c>
      <c r="G38" s="56">
        <v>3385</v>
      </c>
      <c r="H38" s="56">
        <v>3319</v>
      </c>
      <c r="I38" s="56">
        <v>3343</v>
      </c>
      <c r="J38" s="56">
        <v>3338</v>
      </c>
      <c r="K38" s="56">
        <v>3438</v>
      </c>
      <c r="L38" s="56">
        <v>3428</v>
      </c>
      <c r="M38" s="56">
        <v>3388</v>
      </c>
      <c r="N38" s="56">
        <v>3499</v>
      </c>
      <c r="O38" s="56">
        <v>3479</v>
      </c>
      <c r="Q38" s="416" t="s">
        <v>6377</v>
      </c>
    </row>
    <row r="39" spans="1:17">
      <c r="A39" s="416" t="s">
        <v>5393</v>
      </c>
      <c r="B39" s="416" t="s">
        <v>4844</v>
      </c>
      <c r="C39" s="55" t="s">
        <v>7587</v>
      </c>
      <c r="D39" s="418">
        <v>3459</v>
      </c>
      <c r="E39" s="418">
        <v>3435</v>
      </c>
      <c r="F39" s="418">
        <v>3443</v>
      </c>
      <c r="G39" s="58">
        <v>3490</v>
      </c>
      <c r="H39" s="58">
        <v>3448</v>
      </c>
      <c r="I39" s="58">
        <v>3423</v>
      </c>
      <c r="J39" s="58">
        <v>3339</v>
      </c>
      <c r="K39" s="58">
        <v>3409</v>
      </c>
      <c r="L39" s="58">
        <v>3564</v>
      </c>
      <c r="M39" s="58">
        <v>3613</v>
      </c>
      <c r="N39" s="58">
        <v>3873</v>
      </c>
      <c r="O39" s="58">
        <v>3851</v>
      </c>
      <c r="Q39" s="416" t="s">
        <v>6380</v>
      </c>
    </row>
    <row r="40" spans="1:17">
      <c r="A40" s="416" t="s">
        <v>5394</v>
      </c>
      <c r="B40" s="416" t="s">
        <v>4845</v>
      </c>
      <c r="C40" s="55" t="s">
        <v>7588</v>
      </c>
      <c r="D40" s="418">
        <v>2762</v>
      </c>
      <c r="E40" s="418">
        <v>2645</v>
      </c>
      <c r="F40" s="418">
        <v>2823</v>
      </c>
      <c r="G40" s="58">
        <v>2843</v>
      </c>
      <c r="H40" s="58">
        <v>2554</v>
      </c>
      <c r="I40" s="58">
        <v>2743</v>
      </c>
      <c r="J40" s="58">
        <v>2782</v>
      </c>
      <c r="K40" s="58">
        <v>3019</v>
      </c>
      <c r="L40" s="58">
        <v>3102</v>
      </c>
      <c r="M40" s="58">
        <v>3175</v>
      </c>
      <c r="N40" s="58">
        <v>3397</v>
      </c>
      <c r="O40" s="58">
        <v>3383</v>
      </c>
      <c r="Q40" s="416" t="s">
        <v>6380</v>
      </c>
    </row>
    <row r="41" spans="1:17">
      <c r="A41" s="416" t="s">
        <v>5416</v>
      </c>
      <c r="B41" s="416" t="s">
        <v>4846</v>
      </c>
      <c r="C41" s="55" t="s">
        <v>7589</v>
      </c>
      <c r="D41" s="418">
        <v>9676</v>
      </c>
      <c r="E41" s="418">
        <v>9498</v>
      </c>
      <c r="F41" s="418">
        <v>9384</v>
      </c>
      <c r="G41" s="58">
        <v>9727</v>
      </c>
      <c r="H41" s="58">
        <v>9703</v>
      </c>
      <c r="I41" s="58">
        <v>9682</v>
      </c>
      <c r="J41" s="58">
        <v>9640</v>
      </c>
      <c r="K41" s="58">
        <v>9770</v>
      </c>
      <c r="L41" s="58">
        <v>9659</v>
      </c>
      <c r="M41" s="58">
        <v>9729</v>
      </c>
      <c r="N41" s="58">
        <v>10063</v>
      </c>
      <c r="O41" s="58">
        <v>10055</v>
      </c>
      <c r="Q41" s="416" t="s">
        <v>6380</v>
      </c>
    </row>
    <row r="42" spans="1:17">
      <c r="A42" s="416" t="s">
        <v>5418</v>
      </c>
      <c r="B42" s="416" t="s">
        <v>2105</v>
      </c>
      <c r="C42" s="55" t="s">
        <v>7590</v>
      </c>
      <c r="D42" s="418">
        <v>3200</v>
      </c>
      <c r="E42" s="418">
        <v>3225</v>
      </c>
      <c r="F42" s="418">
        <v>3337</v>
      </c>
      <c r="G42" s="58">
        <v>3388</v>
      </c>
      <c r="H42" s="58">
        <v>3210</v>
      </c>
      <c r="I42" s="58">
        <v>3256</v>
      </c>
      <c r="J42" s="58">
        <v>3270</v>
      </c>
      <c r="K42" s="58">
        <v>3382</v>
      </c>
      <c r="L42" s="58">
        <v>3361</v>
      </c>
      <c r="M42" s="58">
        <v>3245</v>
      </c>
      <c r="N42" s="58">
        <v>3471</v>
      </c>
      <c r="O42" s="58">
        <v>3453</v>
      </c>
      <c r="Q42" s="416" t="s">
        <v>6380</v>
      </c>
    </row>
    <row r="43" spans="1:17">
      <c r="A43" s="416" t="s">
        <v>5420</v>
      </c>
      <c r="B43" s="416" t="s">
        <v>4847</v>
      </c>
      <c r="C43" s="55" t="s">
        <v>7591</v>
      </c>
      <c r="D43" s="418">
        <v>2869</v>
      </c>
      <c r="E43" s="418">
        <v>2837</v>
      </c>
      <c r="F43" s="418">
        <v>2786</v>
      </c>
      <c r="G43" s="56">
        <v>2856</v>
      </c>
      <c r="H43" s="56">
        <v>2585</v>
      </c>
      <c r="I43" s="56">
        <v>2698</v>
      </c>
      <c r="J43" s="56">
        <v>2747</v>
      </c>
      <c r="K43" s="56">
        <v>2880</v>
      </c>
      <c r="L43" s="56">
        <v>2866</v>
      </c>
      <c r="M43" s="56">
        <v>2815</v>
      </c>
      <c r="N43" s="56">
        <v>2969</v>
      </c>
      <c r="O43" s="56">
        <v>2954</v>
      </c>
      <c r="Q43" s="416" t="s">
        <v>6377</v>
      </c>
    </row>
    <row r="44" spans="1:17">
      <c r="A44" s="416" t="s">
        <v>5422</v>
      </c>
      <c r="B44" s="416" t="s">
        <v>4848</v>
      </c>
      <c r="C44" s="55" t="s">
        <v>7592</v>
      </c>
      <c r="D44" s="418">
        <v>2823</v>
      </c>
      <c r="E44" s="418">
        <v>2779</v>
      </c>
      <c r="F44" s="418">
        <v>2874</v>
      </c>
      <c r="G44" s="58">
        <v>2955</v>
      </c>
      <c r="H44" s="58">
        <v>2840</v>
      </c>
      <c r="I44" s="58">
        <v>2880</v>
      </c>
      <c r="J44" s="58">
        <v>2882</v>
      </c>
      <c r="K44" s="58">
        <v>3013</v>
      </c>
      <c r="L44" s="58">
        <v>3050</v>
      </c>
      <c r="M44" s="58">
        <v>3126</v>
      </c>
      <c r="N44" s="58">
        <v>3411</v>
      </c>
      <c r="O44" s="58">
        <v>3391</v>
      </c>
      <c r="Q44" s="416" t="s">
        <v>6380</v>
      </c>
    </row>
    <row r="45" spans="1:17">
      <c r="A45" s="416" t="s">
        <v>5424</v>
      </c>
      <c r="B45" s="416" t="s">
        <v>4849</v>
      </c>
      <c r="C45" s="55" t="s">
        <v>7593</v>
      </c>
      <c r="D45" s="418">
        <v>5359</v>
      </c>
      <c r="E45" s="418">
        <v>5253</v>
      </c>
      <c r="F45" s="418">
        <v>5158</v>
      </c>
      <c r="G45" s="56">
        <v>5387</v>
      </c>
      <c r="H45" s="56">
        <v>5272</v>
      </c>
      <c r="I45" s="56">
        <v>5354</v>
      </c>
      <c r="J45" s="56">
        <v>5322</v>
      </c>
      <c r="K45" s="56">
        <v>5544</v>
      </c>
      <c r="L45" s="56">
        <v>5448</v>
      </c>
      <c r="M45" s="56">
        <v>5447</v>
      </c>
      <c r="N45" s="56">
        <v>5731</v>
      </c>
      <c r="O45" s="56">
        <v>5707</v>
      </c>
      <c r="Q45" s="416" t="s">
        <v>6377</v>
      </c>
    </row>
    <row r="46" spans="1:17">
      <c r="A46" s="416" t="s">
        <v>5426</v>
      </c>
      <c r="B46" s="416" t="s">
        <v>4850</v>
      </c>
      <c r="C46" s="55" t="s">
        <v>7594</v>
      </c>
      <c r="D46" s="418">
        <v>5200</v>
      </c>
      <c r="E46" s="418">
        <v>5292</v>
      </c>
      <c r="F46" s="418">
        <v>5341</v>
      </c>
      <c r="G46" s="56">
        <v>5577</v>
      </c>
      <c r="H46" s="56">
        <v>5554</v>
      </c>
      <c r="I46" s="56">
        <v>5553</v>
      </c>
      <c r="J46" s="56">
        <v>5433</v>
      </c>
      <c r="K46" s="56">
        <v>5611</v>
      </c>
      <c r="L46" s="56">
        <v>5539</v>
      </c>
      <c r="M46" s="56">
        <v>5454</v>
      </c>
      <c r="N46" s="56">
        <v>5690</v>
      </c>
      <c r="O46" s="56">
        <v>5671</v>
      </c>
      <c r="Q46" s="416" t="s">
        <v>6377</v>
      </c>
    </row>
    <row r="47" spans="1:17">
      <c r="A47" s="416" t="s">
        <v>5428</v>
      </c>
      <c r="B47" s="416" t="s">
        <v>4851</v>
      </c>
      <c r="C47" s="55" t="s">
        <v>7595</v>
      </c>
      <c r="D47" s="418">
        <v>3666</v>
      </c>
      <c r="E47" s="418">
        <v>3634</v>
      </c>
      <c r="F47" s="418">
        <v>3647</v>
      </c>
      <c r="G47" s="56">
        <v>3686</v>
      </c>
      <c r="H47" s="56">
        <v>3569</v>
      </c>
      <c r="I47" s="56">
        <v>3616</v>
      </c>
      <c r="J47" s="56">
        <v>3545</v>
      </c>
      <c r="K47" s="56">
        <v>3650</v>
      </c>
      <c r="L47" s="56">
        <v>3664</v>
      </c>
      <c r="M47" s="56">
        <v>3645</v>
      </c>
      <c r="N47" s="56">
        <v>3857</v>
      </c>
      <c r="O47" s="56">
        <v>3843</v>
      </c>
      <c r="Q47" s="416" t="s">
        <v>6377</v>
      </c>
    </row>
    <row r="48" spans="1:17">
      <c r="A48" s="416" t="s">
        <v>5429</v>
      </c>
      <c r="B48" s="416" t="s">
        <v>4852</v>
      </c>
      <c r="C48" s="55" t="s">
        <v>7596</v>
      </c>
      <c r="D48" s="418">
        <v>3074</v>
      </c>
      <c r="E48" s="418">
        <v>3033</v>
      </c>
      <c r="F48" s="418">
        <v>2976</v>
      </c>
      <c r="G48" s="56">
        <v>3040</v>
      </c>
      <c r="H48" s="56">
        <v>2832</v>
      </c>
      <c r="I48" s="56">
        <v>2948</v>
      </c>
      <c r="J48" s="56">
        <v>3015</v>
      </c>
      <c r="K48" s="56">
        <v>3118</v>
      </c>
      <c r="L48" s="56">
        <v>3107</v>
      </c>
      <c r="M48" s="56">
        <v>3067</v>
      </c>
      <c r="N48" s="56">
        <v>3244</v>
      </c>
      <c r="O48" s="56">
        <v>3234</v>
      </c>
      <c r="Q48" s="416" t="s">
        <v>6377</v>
      </c>
    </row>
    <row r="49" spans="1:17">
      <c r="A49" s="416" t="s">
        <v>5431</v>
      </c>
      <c r="B49" s="416" t="s">
        <v>4853</v>
      </c>
      <c r="C49" s="55" t="s">
        <v>7597</v>
      </c>
      <c r="D49" s="418">
        <v>3206</v>
      </c>
      <c r="E49" s="418">
        <v>3189</v>
      </c>
      <c r="F49" s="418">
        <v>3219</v>
      </c>
      <c r="G49" s="58">
        <v>3316</v>
      </c>
      <c r="H49" s="58">
        <v>3171</v>
      </c>
      <c r="I49" s="58">
        <v>3288</v>
      </c>
      <c r="J49" s="58">
        <v>3430</v>
      </c>
      <c r="K49" s="58">
        <v>3725</v>
      </c>
      <c r="L49" s="58">
        <v>3678</v>
      </c>
      <c r="M49" s="58">
        <v>3653</v>
      </c>
      <c r="N49" s="58">
        <v>3857</v>
      </c>
      <c r="O49" s="58">
        <v>3850</v>
      </c>
      <c r="Q49" s="416" t="s">
        <v>6380</v>
      </c>
    </row>
    <row r="50" spans="1:17">
      <c r="A50" s="416" t="s">
        <v>5433</v>
      </c>
      <c r="B50" s="416" t="s">
        <v>4854</v>
      </c>
      <c r="C50" s="55" t="s">
        <v>7598</v>
      </c>
      <c r="D50" s="418">
        <v>3184</v>
      </c>
      <c r="E50" s="418">
        <v>3198</v>
      </c>
      <c r="F50" s="418">
        <v>3316</v>
      </c>
      <c r="G50" s="58">
        <v>3351</v>
      </c>
      <c r="H50" s="58">
        <v>2802</v>
      </c>
      <c r="I50" s="58">
        <v>3076</v>
      </c>
      <c r="J50" s="58">
        <v>3149</v>
      </c>
      <c r="K50" s="58">
        <v>3321</v>
      </c>
      <c r="L50" s="58">
        <v>3300</v>
      </c>
      <c r="M50" s="58">
        <v>3301</v>
      </c>
      <c r="N50" s="58">
        <v>3399</v>
      </c>
      <c r="O50" s="58">
        <v>3400</v>
      </c>
      <c r="Q50" s="416" t="s">
        <v>6380</v>
      </c>
    </row>
    <row r="51" spans="1:17">
      <c r="A51" s="416" t="s">
        <v>5435</v>
      </c>
      <c r="B51" s="416" t="s">
        <v>4855</v>
      </c>
      <c r="C51" s="55" t="s">
        <v>7599</v>
      </c>
      <c r="D51" s="418">
        <v>3100</v>
      </c>
      <c r="E51" s="418">
        <v>3044</v>
      </c>
      <c r="F51" s="418">
        <v>3095</v>
      </c>
      <c r="G51" s="58">
        <v>3169</v>
      </c>
      <c r="H51" s="58">
        <v>2872</v>
      </c>
      <c r="I51" s="58">
        <v>2996</v>
      </c>
      <c r="J51" s="58">
        <v>3135</v>
      </c>
      <c r="K51" s="58">
        <v>3280</v>
      </c>
      <c r="L51" s="58">
        <v>3252</v>
      </c>
      <c r="M51" s="58">
        <v>3209</v>
      </c>
      <c r="N51" s="58">
        <v>3407</v>
      </c>
      <c r="O51" s="58">
        <v>3397</v>
      </c>
      <c r="Q51" s="416" t="s">
        <v>6379</v>
      </c>
    </row>
    <row r="52" spans="1:17">
      <c r="A52" s="416" t="s">
        <v>5436</v>
      </c>
      <c r="B52" s="416" t="s">
        <v>4856</v>
      </c>
      <c r="C52" s="55" t="s">
        <v>7600</v>
      </c>
      <c r="D52" s="418">
        <v>2370</v>
      </c>
      <c r="E52" s="418">
        <v>2397</v>
      </c>
      <c r="F52" s="418">
        <v>2321</v>
      </c>
      <c r="G52" s="56">
        <v>2372</v>
      </c>
      <c r="H52" s="56">
        <v>2192</v>
      </c>
      <c r="I52" s="56">
        <v>2292</v>
      </c>
      <c r="J52" s="56">
        <v>2302</v>
      </c>
      <c r="K52" s="56">
        <v>2374</v>
      </c>
      <c r="L52" s="56">
        <v>2360</v>
      </c>
      <c r="M52" s="56">
        <v>2317</v>
      </c>
      <c r="N52" s="56">
        <v>2419</v>
      </c>
      <c r="O52" s="56">
        <v>2418</v>
      </c>
      <c r="Q52" s="416" t="s">
        <v>6377</v>
      </c>
    </row>
    <row r="53" spans="1:17">
      <c r="A53" s="416" t="s">
        <v>5437</v>
      </c>
      <c r="B53" s="416" t="s">
        <v>4857</v>
      </c>
      <c r="C53" s="55" t="s">
        <v>7601</v>
      </c>
      <c r="D53" s="418">
        <v>6892</v>
      </c>
      <c r="E53" s="418">
        <v>6933</v>
      </c>
      <c r="F53" s="418">
        <v>6832</v>
      </c>
      <c r="G53" s="56">
        <v>7132</v>
      </c>
      <c r="H53" s="56">
        <v>6872</v>
      </c>
      <c r="I53" s="56">
        <v>6996</v>
      </c>
      <c r="J53" s="56">
        <v>7141</v>
      </c>
      <c r="K53" s="56">
        <v>7315</v>
      </c>
      <c r="L53" s="56">
        <v>7225</v>
      </c>
      <c r="M53" s="56">
        <v>7120</v>
      </c>
      <c r="N53" s="56">
        <v>7375</v>
      </c>
      <c r="O53" s="56">
        <v>7345</v>
      </c>
      <c r="Q53" s="416" t="s">
        <v>6377</v>
      </c>
    </row>
    <row r="54" spans="1:17">
      <c r="A54" s="416" t="s">
        <v>5439</v>
      </c>
      <c r="B54" s="416" t="s">
        <v>4858</v>
      </c>
      <c r="C54" s="55" t="s">
        <v>7602</v>
      </c>
      <c r="D54" s="418">
        <v>3586</v>
      </c>
      <c r="E54" s="418">
        <v>3566</v>
      </c>
      <c r="F54" s="418">
        <v>3483</v>
      </c>
      <c r="G54" s="56">
        <v>3597</v>
      </c>
      <c r="H54" s="56">
        <v>3400</v>
      </c>
      <c r="I54" s="56">
        <v>3498</v>
      </c>
      <c r="J54" s="56">
        <v>3477</v>
      </c>
      <c r="K54" s="56">
        <v>3589</v>
      </c>
      <c r="L54" s="56">
        <v>3555</v>
      </c>
      <c r="M54" s="56">
        <v>3521</v>
      </c>
      <c r="N54" s="56">
        <v>3674</v>
      </c>
      <c r="O54" s="56">
        <v>3662</v>
      </c>
      <c r="Q54" s="416" t="s">
        <v>6377</v>
      </c>
    </row>
    <row r="55" spans="1:17">
      <c r="A55" s="416" t="s">
        <v>5441</v>
      </c>
      <c r="B55" s="416" t="s">
        <v>4859</v>
      </c>
      <c r="C55" s="55" t="s">
        <v>7603</v>
      </c>
      <c r="D55" s="418">
        <v>5525</v>
      </c>
      <c r="E55" s="418">
        <v>5509</v>
      </c>
      <c r="F55" s="418">
        <v>5439</v>
      </c>
      <c r="G55" s="56">
        <v>5583</v>
      </c>
      <c r="H55" s="56">
        <v>5198</v>
      </c>
      <c r="I55" s="56">
        <v>5447</v>
      </c>
      <c r="J55" s="56">
        <v>5614</v>
      </c>
      <c r="K55" s="56">
        <v>5876</v>
      </c>
      <c r="L55" s="56">
        <v>5828</v>
      </c>
      <c r="M55" s="56">
        <v>5788</v>
      </c>
      <c r="N55" s="56">
        <v>6131</v>
      </c>
      <c r="O55" s="56">
        <v>6090</v>
      </c>
      <c r="Q55" s="416" t="s">
        <v>6377</v>
      </c>
    </row>
    <row r="56" spans="1:17">
      <c r="A56" s="421">
        <v>21</v>
      </c>
      <c r="B56" s="416" t="s">
        <v>4860</v>
      </c>
      <c r="C56" s="55" t="s">
        <v>7604</v>
      </c>
      <c r="D56" s="418">
        <v>3092</v>
      </c>
      <c r="E56" s="418">
        <v>3093</v>
      </c>
      <c r="F56" s="418">
        <v>3019</v>
      </c>
      <c r="G56" s="56">
        <v>3063</v>
      </c>
      <c r="H56" s="56">
        <v>2870</v>
      </c>
      <c r="I56" s="56">
        <v>2999</v>
      </c>
      <c r="J56" s="56">
        <v>3014</v>
      </c>
      <c r="K56" s="56">
        <v>3082</v>
      </c>
      <c r="L56" s="56">
        <v>3084</v>
      </c>
      <c r="M56" s="56">
        <v>3063</v>
      </c>
      <c r="N56" s="56">
        <v>3201</v>
      </c>
      <c r="O56" s="56">
        <v>3189</v>
      </c>
      <c r="Q56" s="416" t="s">
        <v>6377</v>
      </c>
    </row>
    <row r="57" spans="1:17">
      <c r="A57" s="422">
        <v>22</v>
      </c>
      <c r="B57" s="416" t="s">
        <v>4861</v>
      </c>
      <c r="C57" s="55" t="s">
        <v>7605</v>
      </c>
      <c r="D57" s="418">
        <v>3065</v>
      </c>
      <c r="E57" s="418">
        <v>2993</v>
      </c>
      <c r="F57" s="418">
        <v>2987</v>
      </c>
      <c r="G57" s="58">
        <v>3119</v>
      </c>
      <c r="H57" s="58">
        <v>3013</v>
      </c>
      <c r="I57" s="58">
        <v>3041</v>
      </c>
      <c r="J57" s="58">
        <v>3030</v>
      </c>
      <c r="K57" s="58">
        <v>3178</v>
      </c>
      <c r="L57" s="58">
        <v>3132</v>
      </c>
      <c r="M57" s="58">
        <v>3126</v>
      </c>
      <c r="N57" s="58">
        <v>3307</v>
      </c>
      <c r="O57" s="58">
        <v>3301</v>
      </c>
      <c r="Q57" s="416" t="s">
        <v>6380</v>
      </c>
    </row>
    <row r="58" spans="1:17">
      <c r="A58" s="422">
        <v>23</v>
      </c>
      <c r="B58" s="416" t="s">
        <v>4862</v>
      </c>
      <c r="C58" s="55" t="s">
        <v>7606</v>
      </c>
      <c r="D58" s="418">
        <v>3026</v>
      </c>
      <c r="E58" s="418">
        <v>3050</v>
      </c>
      <c r="F58" s="418">
        <v>2966</v>
      </c>
      <c r="G58" s="56">
        <v>3048</v>
      </c>
      <c r="H58" s="56">
        <v>2841</v>
      </c>
      <c r="I58" s="56">
        <v>2921</v>
      </c>
      <c r="J58" s="56">
        <v>2991</v>
      </c>
      <c r="K58" s="56">
        <v>3061</v>
      </c>
      <c r="L58" s="56">
        <v>3019</v>
      </c>
      <c r="M58" s="56">
        <v>2974</v>
      </c>
      <c r="N58" s="56">
        <v>3116</v>
      </c>
      <c r="O58" s="56">
        <v>3102</v>
      </c>
      <c r="Q58" s="416" t="s">
        <v>6377</v>
      </c>
    </row>
    <row r="59" spans="1:17">
      <c r="A59" s="422">
        <v>24</v>
      </c>
      <c r="B59" s="416" t="s">
        <v>4863</v>
      </c>
      <c r="C59" s="55" t="s">
        <v>7607</v>
      </c>
      <c r="D59" s="418">
        <v>2903</v>
      </c>
      <c r="E59" s="418">
        <v>2855</v>
      </c>
      <c r="F59" s="418">
        <v>2755</v>
      </c>
      <c r="G59" s="58">
        <v>2899</v>
      </c>
      <c r="H59" s="58">
        <v>2919</v>
      </c>
      <c r="I59" s="58">
        <v>2991</v>
      </c>
      <c r="J59" s="58">
        <v>3060</v>
      </c>
      <c r="K59" s="58">
        <v>3157</v>
      </c>
      <c r="L59" s="58">
        <v>3157</v>
      </c>
      <c r="M59" s="58">
        <v>3141</v>
      </c>
      <c r="N59" s="58">
        <v>3278</v>
      </c>
      <c r="O59" s="58">
        <v>3266</v>
      </c>
      <c r="Q59" s="416" t="s">
        <v>6379</v>
      </c>
    </row>
    <row r="60" spans="1:17">
      <c r="A60" s="422">
        <v>25</v>
      </c>
      <c r="B60" s="416" t="s">
        <v>4864</v>
      </c>
      <c r="C60" s="55" t="s">
        <v>7608</v>
      </c>
      <c r="D60" s="418">
        <v>3472</v>
      </c>
      <c r="E60" s="418">
        <v>3377</v>
      </c>
      <c r="F60" s="418">
        <v>3253</v>
      </c>
      <c r="G60" s="58">
        <v>3383</v>
      </c>
      <c r="H60" s="58">
        <v>3254</v>
      </c>
      <c r="I60" s="58">
        <v>3289</v>
      </c>
      <c r="J60" s="58">
        <v>3265</v>
      </c>
      <c r="K60" s="58">
        <v>3338</v>
      </c>
      <c r="L60" s="58">
        <v>3294</v>
      </c>
      <c r="M60" s="58">
        <v>3221</v>
      </c>
      <c r="N60" s="58">
        <v>3349</v>
      </c>
      <c r="O60" s="58">
        <v>3337</v>
      </c>
      <c r="Q60" s="416" t="s">
        <v>6380</v>
      </c>
    </row>
    <row r="61" spans="1:17">
      <c r="A61" s="422">
        <v>26</v>
      </c>
      <c r="B61" s="416" t="s">
        <v>4865</v>
      </c>
      <c r="C61" s="55" t="s">
        <v>7609</v>
      </c>
      <c r="D61" s="418">
        <v>2831</v>
      </c>
      <c r="E61" s="418">
        <v>2720</v>
      </c>
      <c r="F61" s="418">
        <v>2635</v>
      </c>
      <c r="G61" s="56">
        <v>2788</v>
      </c>
      <c r="H61" s="56">
        <v>2416</v>
      </c>
      <c r="I61" s="56">
        <v>2520</v>
      </c>
      <c r="J61" s="56">
        <v>2574</v>
      </c>
      <c r="K61" s="56">
        <v>2684</v>
      </c>
      <c r="L61" s="56">
        <v>2733</v>
      </c>
      <c r="M61" s="56">
        <v>2723</v>
      </c>
      <c r="N61" s="56">
        <v>2869</v>
      </c>
      <c r="O61" s="56">
        <v>2858</v>
      </c>
      <c r="Q61" s="416" t="s">
        <v>6377</v>
      </c>
    </row>
    <row r="62" spans="1:17">
      <c r="A62" s="422">
        <v>27</v>
      </c>
      <c r="B62" s="416" t="s">
        <v>4866</v>
      </c>
      <c r="C62" s="55" t="s">
        <v>7610</v>
      </c>
      <c r="D62" s="418">
        <v>2790</v>
      </c>
      <c r="E62" s="418">
        <v>2817</v>
      </c>
      <c r="F62" s="418">
        <v>2800</v>
      </c>
      <c r="G62" s="58">
        <v>2897</v>
      </c>
      <c r="H62" s="58">
        <v>2650</v>
      </c>
      <c r="I62" s="58">
        <v>2788</v>
      </c>
      <c r="J62" s="58">
        <v>2780</v>
      </c>
      <c r="K62" s="58">
        <v>2902</v>
      </c>
      <c r="L62" s="58">
        <v>2962</v>
      </c>
      <c r="M62" s="58">
        <v>2918</v>
      </c>
      <c r="N62" s="58">
        <v>3111</v>
      </c>
      <c r="O62" s="58">
        <v>3106</v>
      </c>
      <c r="Q62" s="416" t="s">
        <v>6379</v>
      </c>
    </row>
    <row r="63" spans="1:17">
      <c r="A63" s="422">
        <v>28</v>
      </c>
      <c r="B63" s="416" t="s">
        <v>4867</v>
      </c>
      <c r="C63" s="55" t="s">
        <v>7611</v>
      </c>
      <c r="D63" s="418">
        <v>3202</v>
      </c>
      <c r="E63" s="418">
        <v>3228</v>
      </c>
      <c r="F63" s="418">
        <v>3140</v>
      </c>
      <c r="G63" s="58">
        <v>3259</v>
      </c>
      <c r="H63" s="58">
        <v>3138</v>
      </c>
      <c r="I63" s="58">
        <v>3254</v>
      </c>
      <c r="J63" s="58">
        <v>3291</v>
      </c>
      <c r="K63" s="58">
        <v>3416</v>
      </c>
      <c r="L63" s="58">
        <v>3393</v>
      </c>
      <c r="M63" s="58">
        <v>3412</v>
      </c>
      <c r="N63" s="58">
        <v>3500</v>
      </c>
      <c r="O63" s="58">
        <v>3487</v>
      </c>
      <c r="Q63" s="416" t="s">
        <v>6379</v>
      </c>
    </row>
    <row r="64" spans="1:17">
      <c r="A64" s="422">
        <v>29</v>
      </c>
      <c r="B64" s="416" t="s">
        <v>4868</v>
      </c>
      <c r="C64" s="55" t="s">
        <v>7612</v>
      </c>
      <c r="D64" s="418">
        <v>3160</v>
      </c>
      <c r="E64" s="418">
        <v>3066</v>
      </c>
      <c r="F64" s="418">
        <v>3095</v>
      </c>
      <c r="G64" s="58">
        <v>3154</v>
      </c>
      <c r="H64" s="58">
        <v>2950</v>
      </c>
      <c r="I64" s="58">
        <v>3075</v>
      </c>
      <c r="J64" s="58">
        <v>3108</v>
      </c>
      <c r="K64" s="58">
        <v>3224</v>
      </c>
      <c r="L64" s="58">
        <v>3199</v>
      </c>
      <c r="M64" s="58">
        <v>3156</v>
      </c>
      <c r="N64" s="58">
        <v>3372</v>
      </c>
      <c r="O64" s="58">
        <v>3375</v>
      </c>
      <c r="Q64" s="416" t="s">
        <v>6380</v>
      </c>
    </row>
    <row r="65" spans="1:17">
      <c r="A65" s="422">
        <v>30</v>
      </c>
      <c r="B65" s="416" t="s">
        <v>4869</v>
      </c>
      <c r="C65" s="55" t="s">
        <v>7613</v>
      </c>
      <c r="D65" s="418">
        <v>3090</v>
      </c>
      <c r="E65" s="418">
        <v>3031</v>
      </c>
      <c r="F65" s="418">
        <v>2977</v>
      </c>
      <c r="G65" s="58">
        <v>3069</v>
      </c>
      <c r="H65" s="58">
        <v>2849</v>
      </c>
      <c r="I65" s="58">
        <v>3050</v>
      </c>
      <c r="J65" s="58">
        <v>3081</v>
      </c>
      <c r="K65" s="58">
        <v>3197</v>
      </c>
      <c r="L65" s="58">
        <v>3121</v>
      </c>
      <c r="M65" s="58">
        <v>3082</v>
      </c>
      <c r="N65" s="58">
        <v>3269</v>
      </c>
      <c r="O65" s="58">
        <v>3268</v>
      </c>
      <c r="Q65" s="416" t="s">
        <v>6380</v>
      </c>
    </row>
    <row r="66" spans="1:17">
      <c r="A66" s="422">
        <v>31</v>
      </c>
      <c r="B66" s="416" t="s">
        <v>4870</v>
      </c>
      <c r="C66" s="55" t="s">
        <v>7614</v>
      </c>
      <c r="D66" s="418">
        <v>3022</v>
      </c>
      <c r="E66" s="418">
        <v>3038</v>
      </c>
      <c r="F66" s="418">
        <v>3095</v>
      </c>
      <c r="G66" s="56">
        <v>3199</v>
      </c>
      <c r="H66" s="56">
        <v>2948</v>
      </c>
      <c r="I66" s="56">
        <v>2942</v>
      </c>
      <c r="J66" s="56">
        <v>2935</v>
      </c>
      <c r="K66" s="56">
        <v>3088</v>
      </c>
      <c r="L66" s="56">
        <v>3026</v>
      </c>
      <c r="M66" s="56">
        <v>2953</v>
      </c>
      <c r="N66" s="56">
        <v>3122</v>
      </c>
      <c r="O66" s="56">
        <v>3096</v>
      </c>
      <c r="Q66" s="416" t="s">
        <v>6377</v>
      </c>
    </row>
    <row r="67" spans="1:17">
      <c r="A67" s="422">
        <v>32</v>
      </c>
      <c r="B67" s="416" t="s">
        <v>2274</v>
      </c>
      <c r="C67" s="55" t="s">
        <v>7615</v>
      </c>
      <c r="D67" s="418">
        <v>2943</v>
      </c>
      <c r="E67" s="418">
        <v>3030</v>
      </c>
      <c r="F67" s="418">
        <v>2958</v>
      </c>
      <c r="G67" s="56">
        <v>2967</v>
      </c>
      <c r="H67" s="56">
        <v>2776</v>
      </c>
      <c r="I67" s="56">
        <v>2872</v>
      </c>
      <c r="J67" s="56">
        <v>2942</v>
      </c>
      <c r="K67" s="56">
        <v>3075</v>
      </c>
      <c r="L67" s="56">
        <v>3006</v>
      </c>
      <c r="M67" s="56">
        <v>3019</v>
      </c>
      <c r="N67" s="56">
        <v>3158</v>
      </c>
      <c r="O67" s="56">
        <v>3104</v>
      </c>
      <c r="Q67" s="416" t="s">
        <v>6377</v>
      </c>
    </row>
    <row r="68" spans="1:17">
      <c r="A68" s="423">
        <v>33</v>
      </c>
      <c r="B68" s="416" t="s">
        <v>4871</v>
      </c>
      <c r="C68" s="55" t="s">
        <v>7616</v>
      </c>
      <c r="D68" s="418">
        <v>2991</v>
      </c>
      <c r="E68" s="418">
        <v>3051</v>
      </c>
      <c r="F68" s="418">
        <v>3024</v>
      </c>
      <c r="G68" s="58">
        <v>3134</v>
      </c>
      <c r="H68" s="58">
        <v>2831</v>
      </c>
      <c r="I68" s="58">
        <v>2924</v>
      </c>
      <c r="J68" s="58">
        <v>3047</v>
      </c>
      <c r="K68" s="58">
        <v>3147</v>
      </c>
      <c r="L68" s="58">
        <v>3124</v>
      </c>
      <c r="M68" s="58">
        <v>3052</v>
      </c>
      <c r="N68" s="58">
        <v>3210</v>
      </c>
      <c r="O68" s="58">
        <v>3193</v>
      </c>
      <c r="Q68" s="416" t="s">
        <v>6377</v>
      </c>
    </row>
    <row r="69" spans="1:17">
      <c r="A69" s="422">
        <v>34</v>
      </c>
      <c r="B69" s="416" t="s">
        <v>4872</v>
      </c>
      <c r="C69" s="55" t="s">
        <v>7617</v>
      </c>
      <c r="D69" s="418">
        <v>3476</v>
      </c>
      <c r="E69" s="418">
        <v>3497</v>
      </c>
      <c r="F69" s="418">
        <v>3493</v>
      </c>
      <c r="G69" s="58">
        <v>3567</v>
      </c>
      <c r="H69" s="58">
        <v>3569</v>
      </c>
      <c r="I69" s="58">
        <v>3562</v>
      </c>
      <c r="J69" s="58">
        <v>3589</v>
      </c>
      <c r="K69" s="58">
        <v>3730</v>
      </c>
      <c r="L69" s="58">
        <v>3697</v>
      </c>
      <c r="M69" s="58">
        <v>3680</v>
      </c>
      <c r="N69" s="58">
        <v>3837</v>
      </c>
      <c r="O69" s="58">
        <v>3817</v>
      </c>
      <c r="Q69" s="416" t="s">
        <v>6379</v>
      </c>
    </row>
    <row r="70" spans="1:17">
      <c r="A70" s="422">
        <v>35</v>
      </c>
      <c r="B70" s="416" t="s">
        <v>4873</v>
      </c>
      <c r="C70" s="55" t="s">
        <v>7618</v>
      </c>
      <c r="D70" s="418">
        <v>6631</v>
      </c>
      <c r="E70" s="418">
        <v>6562</v>
      </c>
      <c r="F70" s="418">
        <v>6434</v>
      </c>
      <c r="G70" s="58">
        <v>6589</v>
      </c>
      <c r="H70" s="58">
        <v>6365</v>
      </c>
      <c r="I70" s="58">
        <v>6493</v>
      </c>
      <c r="J70" s="58">
        <v>6500</v>
      </c>
      <c r="K70" s="58">
        <v>6683</v>
      </c>
      <c r="L70" s="58">
        <v>6569</v>
      </c>
      <c r="M70" s="58">
        <v>6599</v>
      </c>
      <c r="N70" s="58">
        <v>6838</v>
      </c>
      <c r="O70" s="58">
        <v>6815</v>
      </c>
      <c r="Q70" s="416" t="s">
        <v>6379</v>
      </c>
    </row>
    <row r="71" spans="1:17">
      <c r="A71" s="422">
        <v>36</v>
      </c>
      <c r="B71" s="416" t="s">
        <v>4874</v>
      </c>
      <c r="C71" s="55" t="s">
        <v>7619</v>
      </c>
      <c r="D71" s="418">
        <v>3111</v>
      </c>
      <c r="E71" s="418">
        <v>2980</v>
      </c>
      <c r="F71" s="418">
        <v>3102</v>
      </c>
      <c r="G71" s="58">
        <v>3196</v>
      </c>
      <c r="H71" s="58">
        <v>2937</v>
      </c>
      <c r="I71" s="58">
        <v>3171</v>
      </c>
      <c r="J71" s="58">
        <v>3002</v>
      </c>
      <c r="K71" s="58">
        <v>3071</v>
      </c>
      <c r="L71" s="58">
        <v>3097</v>
      </c>
      <c r="M71" s="58">
        <v>3150</v>
      </c>
      <c r="N71" s="58">
        <v>3334</v>
      </c>
      <c r="O71" s="58">
        <v>3319</v>
      </c>
      <c r="Q71" s="416" t="s">
        <v>6380</v>
      </c>
    </row>
    <row r="72" spans="1:17">
      <c r="A72" s="422">
        <v>37</v>
      </c>
      <c r="B72" s="416" t="s">
        <v>8894</v>
      </c>
      <c r="C72" s="55" t="s">
        <v>7620</v>
      </c>
      <c r="D72" s="418">
        <v>3089</v>
      </c>
      <c r="E72" s="418">
        <v>3020</v>
      </c>
      <c r="F72" s="418">
        <v>3005</v>
      </c>
      <c r="G72" s="58">
        <v>3181</v>
      </c>
      <c r="H72" s="58">
        <v>3172</v>
      </c>
      <c r="I72" s="58">
        <v>2951</v>
      </c>
      <c r="J72" s="58">
        <v>3143</v>
      </c>
      <c r="K72" s="58">
        <v>3238</v>
      </c>
      <c r="L72" s="58">
        <v>3217</v>
      </c>
      <c r="M72" s="58">
        <v>3230</v>
      </c>
      <c r="N72" s="58">
        <v>3374</v>
      </c>
      <c r="O72" s="58">
        <v>3355</v>
      </c>
      <c r="Q72" s="416" t="s">
        <v>6380</v>
      </c>
    </row>
    <row r="73" spans="1:17">
      <c r="A73" s="422">
        <v>38</v>
      </c>
      <c r="B73" s="416" t="s">
        <v>4875</v>
      </c>
      <c r="C73" s="55" t="s">
        <v>7621</v>
      </c>
      <c r="D73" s="418">
        <v>3298</v>
      </c>
      <c r="E73" s="418">
        <v>3338</v>
      </c>
      <c r="F73" s="418">
        <v>3319</v>
      </c>
      <c r="G73" s="58">
        <v>3368</v>
      </c>
      <c r="H73" s="58">
        <v>2963</v>
      </c>
      <c r="I73" s="58">
        <v>3089</v>
      </c>
      <c r="J73" s="58">
        <v>3108</v>
      </c>
      <c r="K73" s="58">
        <v>3268</v>
      </c>
      <c r="L73" s="58">
        <v>3230</v>
      </c>
      <c r="M73" s="58">
        <v>3168</v>
      </c>
      <c r="N73" s="58">
        <v>3285</v>
      </c>
      <c r="O73" s="58">
        <v>3280</v>
      </c>
      <c r="Q73" s="416" t="s">
        <v>6380</v>
      </c>
    </row>
    <row r="74" spans="1:17">
      <c r="A74" s="422">
        <v>39</v>
      </c>
      <c r="B74" s="416" t="s">
        <v>4876</v>
      </c>
      <c r="C74" s="55" t="s">
        <v>7622</v>
      </c>
      <c r="D74" s="418">
        <v>3507</v>
      </c>
      <c r="E74" s="418">
        <v>3457</v>
      </c>
      <c r="F74" s="418">
        <v>3347</v>
      </c>
      <c r="G74" s="58">
        <v>3446</v>
      </c>
      <c r="H74" s="58">
        <v>3340</v>
      </c>
      <c r="I74" s="58">
        <v>3408</v>
      </c>
      <c r="J74" s="58">
        <v>3406</v>
      </c>
      <c r="K74" s="58">
        <v>3455</v>
      </c>
      <c r="L74" s="58">
        <v>3415</v>
      </c>
      <c r="M74" s="58">
        <v>3416</v>
      </c>
      <c r="N74" s="58">
        <v>3562</v>
      </c>
      <c r="O74" s="58">
        <v>3537</v>
      </c>
      <c r="Q74" s="416" t="s">
        <v>6377</v>
      </c>
    </row>
    <row r="75" spans="1:17">
      <c r="A75" s="422">
        <v>40</v>
      </c>
      <c r="B75" s="416" t="s">
        <v>4877</v>
      </c>
      <c r="C75" s="62" t="s">
        <v>9553</v>
      </c>
      <c r="D75" s="418">
        <v>6849</v>
      </c>
      <c r="E75" s="418">
        <v>6734</v>
      </c>
      <c r="F75" s="418">
        <v>6720</v>
      </c>
      <c r="G75" s="58">
        <v>6833</v>
      </c>
      <c r="H75" s="58">
        <v>6820</v>
      </c>
      <c r="I75" s="58">
        <v>6737</v>
      </c>
      <c r="J75" s="58">
        <v>6665</v>
      </c>
      <c r="K75" s="58">
        <v>6817</v>
      </c>
      <c r="L75" s="58">
        <v>6634</v>
      </c>
      <c r="M75" s="58">
        <v>6722</v>
      </c>
      <c r="N75" s="58">
        <v>6855</v>
      </c>
      <c r="O75" s="58">
        <v>6807</v>
      </c>
      <c r="Q75" s="416" t="s">
        <v>6379</v>
      </c>
    </row>
    <row r="76" spans="1:17">
      <c r="A76" s="422">
        <v>41</v>
      </c>
      <c r="B76" s="416" t="s">
        <v>4878</v>
      </c>
      <c r="C76" s="62" t="s">
        <v>9554</v>
      </c>
      <c r="D76" s="418">
        <v>3234</v>
      </c>
      <c r="E76" s="418">
        <v>3209</v>
      </c>
      <c r="F76" s="418">
        <v>3128</v>
      </c>
      <c r="G76" s="58">
        <v>3285</v>
      </c>
      <c r="H76" s="58">
        <v>3057</v>
      </c>
      <c r="I76" s="58">
        <v>3101</v>
      </c>
      <c r="J76" s="58">
        <v>3082</v>
      </c>
      <c r="K76" s="58">
        <v>3217</v>
      </c>
      <c r="L76" s="58">
        <v>3169</v>
      </c>
      <c r="M76" s="58">
        <v>3176</v>
      </c>
      <c r="N76" s="58">
        <v>3310</v>
      </c>
      <c r="O76" s="58">
        <v>3292</v>
      </c>
      <c r="Q76" s="416" t="s">
        <v>6379</v>
      </c>
    </row>
    <row r="77" spans="1:17">
      <c r="A77" s="422">
        <v>42</v>
      </c>
      <c r="B77" s="416" t="s">
        <v>4879</v>
      </c>
      <c r="C77" s="62" t="s">
        <v>9555</v>
      </c>
      <c r="D77" s="418">
        <v>2912</v>
      </c>
      <c r="E77" s="418">
        <v>2909</v>
      </c>
      <c r="F77" s="418">
        <v>2810</v>
      </c>
      <c r="G77" s="58">
        <v>2810</v>
      </c>
      <c r="H77" s="58">
        <v>2709</v>
      </c>
      <c r="I77" s="58">
        <v>2714</v>
      </c>
      <c r="J77" s="58">
        <v>2599</v>
      </c>
      <c r="K77" s="58">
        <v>2699</v>
      </c>
      <c r="L77" s="58">
        <v>2607</v>
      </c>
      <c r="M77" s="58">
        <v>2598</v>
      </c>
      <c r="N77" s="58">
        <v>2692</v>
      </c>
      <c r="O77" s="58">
        <v>2685</v>
      </c>
      <c r="Q77" s="416" t="s">
        <v>6379</v>
      </c>
    </row>
    <row r="78" spans="1:17">
      <c r="A78" s="422">
        <v>43</v>
      </c>
      <c r="B78" s="416" t="s">
        <v>4880</v>
      </c>
      <c r="C78" s="55" t="s">
        <v>7623</v>
      </c>
      <c r="D78" s="418">
        <v>3209</v>
      </c>
      <c r="E78" s="418">
        <v>3129</v>
      </c>
      <c r="F78" s="418">
        <v>3196</v>
      </c>
      <c r="G78" s="58">
        <v>3340</v>
      </c>
      <c r="H78" s="58">
        <v>3239</v>
      </c>
      <c r="I78" s="58">
        <v>3240</v>
      </c>
      <c r="J78" s="58">
        <v>3399</v>
      </c>
      <c r="K78" s="58">
        <v>3560</v>
      </c>
      <c r="L78" s="58">
        <v>3503</v>
      </c>
      <c r="M78" s="58">
        <v>3253</v>
      </c>
      <c r="N78" s="58">
        <v>3456</v>
      </c>
      <c r="O78" s="58">
        <v>3431</v>
      </c>
      <c r="Q78" s="416" t="s">
        <v>6380</v>
      </c>
    </row>
    <row r="79" spans="1:17">
      <c r="A79" s="422">
        <v>44</v>
      </c>
      <c r="B79" s="416" t="s">
        <v>4881</v>
      </c>
      <c r="C79" s="55" t="s">
        <v>7624</v>
      </c>
      <c r="D79" s="418">
        <v>3303</v>
      </c>
      <c r="E79" s="418">
        <v>3172</v>
      </c>
      <c r="F79" s="418">
        <v>3172</v>
      </c>
      <c r="G79" s="58">
        <v>3306</v>
      </c>
      <c r="H79" s="58">
        <v>3195</v>
      </c>
      <c r="I79" s="58">
        <v>3281</v>
      </c>
      <c r="J79" s="58">
        <v>3347</v>
      </c>
      <c r="K79" s="58">
        <v>3503</v>
      </c>
      <c r="L79" s="58">
        <v>3408</v>
      </c>
      <c r="M79" s="58">
        <v>3444</v>
      </c>
      <c r="N79" s="58">
        <v>3595</v>
      </c>
      <c r="O79" s="58">
        <v>3575</v>
      </c>
      <c r="Q79" s="416" t="s">
        <v>6379</v>
      </c>
    </row>
    <row r="80" spans="1:17">
      <c r="A80" s="422">
        <v>45</v>
      </c>
      <c r="B80" s="416" t="s">
        <v>8897</v>
      </c>
      <c r="C80" s="55" t="s">
        <v>7625</v>
      </c>
      <c r="D80" s="418">
        <v>2650</v>
      </c>
      <c r="E80" s="418">
        <v>2698</v>
      </c>
      <c r="F80" s="418">
        <v>2722</v>
      </c>
      <c r="G80" s="58">
        <v>2927</v>
      </c>
      <c r="H80" s="58">
        <v>2628</v>
      </c>
      <c r="I80" s="58">
        <v>2742</v>
      </c>
      <c r="J80" s="58">
        <v>2807</v>
      </c>
      <c r="K80" s="58">
        <v>3031</v>
      </c>
      <c r="L80" s="58">
        <v>3009</v>
      </c>
      <c r="M80" s="58">
        <v>2993</v>
      </c>
      <c r="N80" s="58">
        <v>3195</v>
      </c>
      <c r="O80" s="58">
        <v>3182</v>
      </c>
      <c r="Q80" s="416" t="s">
        <v>6380</v>
      </c>
    </row>
    <row r="81" spans="1:17">
      <c r="A81" s="422">
        <v>46</v>
      </c>
      <c r="B81" s="416" t="s">
        <v>6305</v>
      </c>
      <c r="C81" s="55" t="s">
        <v>7626</v>
      </c>
      <c r="D81" s="418">
        <v>3112</v>
      </c>
      <c r="E81" s="418">
        <v>3115</v>
      </c>
      <c r="F81" s="418">
        <v>3145</v>
      </c>
      <c r="G81" s="58">
        <v>3313</v>
      </c>
      <c r="H81" s="58">
        <v>3203</v>
      </c>
      <c r="I81" s="58">
        <v>3264</v>
      </c>
      <c r="J81" s="58">
        <v>3296</v>
      </c>
      <c r="K81" s="58">
        <v>3569</v>
      </c>
      <c r="L81" s="58">
        <v>3685</v>
      </c>
      <c r="M81" s="58">
        <v>3820</v>
      </c>
      <c r="N81" s="58">
        <v>4181</v>
      </c>
      <c r="O81" s="58">
        <v>4171</v>
      </c>
      <c r="Q81" s="416" t="s">
        <v>6380</v>
      </c>
    </row>
    <row r="82" spans="1:17">
      <c r="A82" s="422">
        <v>47</v>
      </c>
      <c r="B82" s="416" t="s">
        <v>6306</v>
      </c>
      <c r="C82" s="62" t="s">
        <v>9556</v>
      </c>
      <c r="D82" s="418">
        <v>2919</v>
      </c>
      <c r="E82" s="418">
        <v>2872</v>
      </c>
      <c r="F82" s="418">
        <v>2858</v>
      </c>
      <c r="G82" s="58">
        <v>3004</v>
      </c>
      <c r="H82" s="58">
        <v>2971</v>
      </c>
      <c r="I82" s="58">
        <v>3010</v>
      </c>
      <c r="J82" s="58">
        <v>2992</v>
      </c>
      <c r="K82" s="58">
        <v>3102</v>
      </c>
      <c r="L82" s="58">
        <v>3156</v>
      </c>
      <c r="M82" s="58">
        <v>3270</v>
      </c>
      <c r="N82" s="58">
        <v>3382</v>
      </c>
      <c r="O82" s="58">
        <v>3377</v>
      </c>
      <c r="Q82" s="416" t="s">
        <v>6379</v>
      </c>
    </row>
    <row r="83" spans="1:17">
      <c r="A83" s="422">
        <v>48</v>
      </c>
      <c r="B83" s="416" t="s">
        <v>973</v>
      </c>
      <c r="C83" s="55" t="s">
        <v>7627</v>
      </c>
      <c r="D83" s="418">
        <v>3460</v>
      </c>
      <c r="E83" s="418">
        <v>3397</v>
      </c>
      <c r="F83" s="418">
        <v>3374</v>
      </c>
      <c r="G83" s="58">
        <v>3480</v>
      </c>
      <c r="H83" s="58">
        <v>3387</v>
      </c>
      <c r="I83" s="58">
        <v>3381</v>
      </c>
      <c r="J83" s="58">
        <v>3428</v>
      </c>
      <c r="K83" s="58">
        <v>3505</v>
      </c>
      <c r="L83" s="58">
        <v>3505</v>
      </c>
      <c r="M83" s="58">
        <v>3565</v>
      </c>
      <c r="N83" s="58">
        <v>3718</v>
      </c>
      <c r="O83" s="58">
        <v>3710</v>
      </c>
      <c r="Q83" s="416" t="s">
        <v>6379</v>
      </c>
    </row>
    <row r="84" spans="1:17">
      <c r="A84" s="422">
        <v>49</v>
      </c>
      <c r="B84" s="416" t="s">
        <v>6311</v>
      </c>
      <c r="C84" s="62" t="s">
        <v>9557</v>
      </c>
      <c r="D84" s="418">
        <v>3228</v>
      </c>
      <c r="E84" s="418">
        <v>3187</v>
      </c>
      <c r="F84" s="418">
        <v>3263</v>
      </c>
      <c r="G84" s="58">
        <v>3289</v>
      </c>
      <c r="H84" s="58">
        <v>3158</v>
      </c>
      <c r="I84" s="58">
        <v>3194</v>
      </c>
      <c r="J84" s="58">
        <v>3186</v>
      </c>
      <c r="K84" s="58">
        <v>3320</v>
      </c>
      <c r="L84" s="58">
        <v>3304</v>
      </c>
      <c r="M84" s="58">
        <v>3384</v>
      </c>
      <c r="N84" s="58">
        <v>3532</v>
      </c>
      <c r="O84" s="58">
        <v>3512</v>
      </c>
      <c r="Q84" s="416" t="s">
        <v>6379</v>
      </c>
    </row>
    <row r="85" spans="1:17">
      <c r="A85" s="422">
        <v>50</v>
      </c>
      <c r="B85" s="416" t="s">
        <v>9091</v>
      </c>
      <c r="C85" s="62" t="s">
        <v>9552</v>
      </c>
      <c r="D85" s="418">
        <v>5602</v>
      </c>
      <c r="E85" s="418">
        <v>5547</v>
      </c>
      <c r="F85" s="418">
        <v>5425</v>
      </c>
      <c r="G85" s="58">
        <v>5569</v>
      </c>
      <c r="H85" s="58">
        <v>5465</v>
      </c>
      <c r="I85" s="58">
        <v>5548</v>
      </c>
      <c r="J85" s="58">
        <v>5457</v>
      </c>
      <c r="K85" s="58">
        <v>5613</v>
      </c>
      <c r="L85" s="58">
        <v>5517</v>
      </c>
      <c r="M85" s="58">
        <v>5343</v>
      </c>
      <c r="N85" s="58">
        <v>5625</v>
      </c>
      <c r="O85" s="58">
        <v>5600</v>
      </c>
      <c r="Q85" s="416" t="s">
        <v>6379</v>
      </c>
    </row>
    <row r="86" spans="1:17">
      <c r="A86" s="422">
        <v>51</v>
      </c>
      <c r="B86" s="416" t="s">
        <v>6307</v>
      </c>
      <c r="C86" s="55" t="s">
        <v>7628</v>
      </c>
      <c r="D86" s="418">
        <v>3244</v>
      </c>
      <c r="E86" s="418">
        <v>3185</v>
      </c>
      <c r="F86" s="418">
        <v>3182</v>
      </c>
      <c r="G86" s="58">
        <v>3309</v>
      </c>
      <c r="H86" s="58">
        <v>3028</v>
      </c>
      <c r="I86" s="58">
        <v>3207</v>
      </c>
      <c r="J86" s="58">
        <v>3262</v>
      </c>
      <c r="K86" s="58">
        <v>3363</v>
      </c>
      <c r="L86" s="58">
        <v>3356</v>
      </c>
      <c r="M86" s="58">
        <v>3401</v>
      </c>
      <c r="N86" s="58">
        <v>3668</v>
      </c>
      <c r="O86" s="58">
        <v>3660</v>
      </c>
      <c r="Q86" s="416" t="s">
        <v>6380</v>
      </c>
    </row>
    <row r="87" spans="1:17">
      <c r="A87" s="423">
        <v>52</v>
      </c>
      <c r="B87" s="416" t="s">
        <v>6308</v>
      </c>
      <c r="C87" s="55" t="s">
        <v>7629</v>
      </c>
      <c r="D87" s="418">
        <v>3456</v>
      </c>
      <c r="E87" s="418">
        <v>3432</v>
      </c>
      <c r="F87" s="418">
        <v>3304</v>
      </c>
      <c r="G87" s="58">
        <v>3491</v>
      </c>
      <c r="H87" s="58">
        <v>3304</v>
      </c>
      <c r="I87" s="58">
        <v>3348</v>
      </c>
      <c r="J87" s="58">
        <v>3383</v>
      </c>
      <c r="K87" s="58">
        <v>3477</v>
      </c>
      <c r="L87" s="58">
        <v>3472</v>
      </c>
      <c r="M87" s="58">
        <v>3495</v>
      </c>
      <c r="N87" s="58">
        <v>3785</v>
      </c>
      <c r="O87" s="58">
        <v>3782</v>
      </c>
      <c r="Q87" s="416" t="s">
        <v>6379</v>
      </c>
    </row>
    <row r="88" spans="1:17">
      <c r="A88" s="423">
        <v>53</v>
      </c>
      <c r="B88" s="416" t="s">
        <v>6309</v>
      </c>
      <c r="C88" s="55" t="s">
        <v>7630</v>
      </c>
      <c r="D88" s="418">
        <v>3679</v>
      </c>
      <c r="E88" s="418">
        <v>3657</v>
      </c>
      <c r="F88" s="418">
        <v>3567</v>
      </c>
      <c r="G88" s="58">
        <v>3703</v>
      </c>
      <c r="H88" s="58">
        <v>3361</v>
      </c>
      <c r="I88" s="58">
        <v>3519</v>
      </c>
      <c r="J88" s="58">
        <v>3533</v>
      </c>
      <c r="K88" s="58">
        <v>3686</v>
      </c>
      <c r="L88" s="58">
        <v>3964</v>
      </c>
      <c r="M88" s="58">
        <v>4223</v>
      </c>
      <c r="N88" s="58">
        <v>4657</v>
      </c>
      <c r="O88" s="58">
        <v>4655</v>
      </c>
      <c r="Q88" s="416" t="s">
        <v>6383</v>
      </c>
    </row>
    <row r="89" spans="1:17">
      <c r="A89" s="422">
        <v>54</v>
      </c>
      <c r="B89" s="416" t="s">
        <v>6310</v>
      </c>
      <c r="C89" s="55" t="s">
        <v>7631</v>
      </c>
      <c r="D89" s="418">
        <v>3477</v>
      </c>
      <c r="E89" s="418">
        <v>3484</v>
      </c>
      <c r="F89" s="418">
        <v>3402</v>
      </c>
      <c r="G89" s="58">
        <v>3558</v>
      </c>
      <c r="H89" s="58">
        <v>3227</v>
      </c>
      <c r="I89" s="58">
        <v>3458</v>
      </c>
      <c r="J89" s="58">
        <v>3645</v>
      </c>
      <c r="K89" s="58">
        <v>3984</v>
      </c>
      <c r="L89" s="58">
        <v>4043</v>
      </c>
      <c r="M89" s="58">
        <v>4150</v>
      </c>
      <c r="N89" s="58">
        <v>4490</v>
      </c>
      <c r="O89" s="58">
        <v>4464</v>
      </c>
      <c r="Q89" s="416" t="s">
        <v>6383</v>
      </c>
    </row>
    <row r="90" spans="1:17">
      <c r="A90" s="422">
        <v>55</v>
      </c>
      <c r="B90" s="416" t="s">
        <v>6312</v>
      </c>
      <c r="C90" s="55" t="s">
        <v>7632</v>
      </c>
      <c r="D90" s="418">
        <v>2935</v>
      </c>
      <c r="E90" s="418">
        <v>2962</v>
      </c>
      <c r="F90" s="418">
        <v>3103</v>
      </c>
      <c r="G90" s="58">
        <v>3131</v>
      </c>
      <c r="H90" s="58">
        <v>3008</v>
      </c>
      <c r="I90" s="58">
        <v>3071</v>
      </c>
      <c r="J90" s="58">
        <v>3012</v>
      </c>
      <c r="K90" s="58">
        <v>3087</v>
      </c>
      <c r="L90" s="58">
        <v>3112</v>
      </c>
      <c r="M90" s="58">
        <v>3080</v>
      </c>
      <c r="N90" s="58">
        <v>3131</v>
      </c>
      <c r="O90" s="58">
        <v>3117</v>
      </c>
      <c r="Q90" s="416" t="s">
        <v>6380</v>
      </c>
    </row>
    <row r="91" spans="1:17">
      <c r="A91" s="422">
        <v>56</v>
      </c>
      <c r="B91" s="416" t="s">
        <v>6313</v>
      </c>
      <c r="C91" s="55" t="s">
        <v>7633</v>
      </c>
      <c r="D91" s="418">
        <v>3406</v>
      </c>
      <c r="E91" s="418">
        <v>3370</v>
      </c>
      <c r="F91" s="418">
        <v>3509</v>
      </c>
      <c r="G91" s="58">
        <v>3550</v>
      </c>
      <c r="H91" s="58">
        <v>3427</v>
      </c>
      <c r="I91" s="58">
        <v>3444</v>
      </c>
      <c r="J91" s="58">
        <v>3567</v>
      </c>
      <c r="K91" s="58">
        <v>3656</v>
      </c>
      <c r="L91" s="58">
        <v>3647</v>
      </c>
      <c r="M91" s="58">
        <v>3725</v>
      </c>
      <c r="N91" s="58">
        <v>3894</v>
      </c>
      <c r="O91" s="58">
        <v>3884</v>
      </c>
      <c r="Q91" s="416" t="s">
        <v>6380</v>
      </c>
    </row>
    <row r="92" spans="1:17">
      <c r="A92" s="422">
        <v>57</v>
      </c>
      <c r="B92" s="416" t="s">
        <v>6314</v>
      </c>
      <c r="C92" s="55" t="s">
        <v>7634</v>
      </c>
      <c r="D92" s="418">
        <v>3413</v>
      </c>
      <c r="E92" s="418">
        <v>3326</v>
      </c>
      <c r="F92" s="418">
        <v>3330</v>
      </c>
      <c r="G92" s="58">
        <v>3429</v>
      </c>
      <c r="H92" s="58">
        <v>3243</v>
      </c>
      <c r="I92" s="58">
        <v>3413</v>
      </c>
      <c r="J92" s="58">
        <v>3500</v>
      </c>
      <c r="K92" s="58">
        <v>3635</v>
      </c>
      <c r="L92" s="58">
        <v>3700</v>
      </c>
      <c r="M92" s="58">
        <v>3789</v>
      </c>
      <c r="N92" s="58">
        <v>3946</v>
      </c>
      <c r="O92" s="58">
        <v>3933</v>
      </c>
      <c r="Q92" s="416" t="s">
        <v>6379</v>
      </c>
    </row>
    <row r="93" spans="1:17">
      <c r="A93" s="422">
        <v>58</v>
      </c>
      <c r="B93" s="416" t="s">
        <v>6315</v>
      </c>
      <c r="C93" s="55" t="s">
        <v>7635</v>
      </c>
      <c r="D93" s="418">
        <v>2964</v>
      </c>
      <c r="E93" s="418">
        <v>2781</v>
      </c>
      <c r="F93" s="418">
        <v>2812</v>
      </c>
      <c r="G93" s="58">
        <v>3158</v>
      </c>
      <c r="H93" s="58">
        <v>3120</v>
      </c>
      <c r="I93" s="58">
        <v>3086</v>
      </c>
      <c r="J93" s="58">
        <v>2985</v>
      </c>
      <c r="K93" s="58">
        <v>3045</v>
      </c>
      <c r="L93" s="58">
        <v>3051</v>
      </c>
      <c r="M93" s="58">
        <v>3066</v>
      </c>
      <c r="N93" s="58">
        <v>3186</v>
      </c>
      <c r="O93" s="58">
        <v>3179</v>
      </c>
      <c r="Q93" s="416" t="s">
        <v>6380</v>
      </c>
    </row>
    <row r="94" spans="1:17">
      <c r="A94" s="422">
        <v>59</v>
      </c>
      <c r="B94" s="416" t="s">
        <v>6316</v>
      </c>
      <c r="C94" s="55" t="s">
        <v>7636</v>
      </c>
      <c r="D94" s="418">
        <v>6288</v>
      </c>
      <c r="E94" s="418">
        <v>6250</v>
      </c>
      <c r="F94" s="418">
        <v>6200</v>
      </c>
      <c r="G94" s="58">
        <v>6421</v>
      </c>
      <c r="H94" s="58">
        <v>6203</v>
      </c>
      <c r="I94" s="58">
        <v>6313</v>
      </c>
      <c r="J94" s="58">
        <v>6233</v>
      </c>
      <c r="K94" s="58">
        <v>6535</v>
      </c>
      <c r="L94" s="58">
        <v>6537</v>
      </c>
      <c r="M94" s="58">
        <v>6620</v>
      </c>
      <c r="N94" s="58">
        <v>6870</v>
      </c>
      <c r="O94" s="58">
        <v>6837</v>
      </c>
      <c r="Q94" s="416" t="s">
        <v>6379</v>
      </c>
    </row>
    <row r="95" spans="1:17">
      <c r="A95" s="422">
        <v>60</v>
      </c>
      <c r="B95" s="416" t="s">
        <v>6317</v>
      </c>
      <c r="C95" s="55" t="s">
        <v>7637</v>
      </c>
      <c r="D95" s="418">
        <v>5453</v>
      </c>
      <c r="E95" s="418">
        <v>5345</v>
      </c>
      <c r="F95" s="418">
        <v>5194</v>
      </c>
      <c r="G95" s="58">
        <v>5367</v>
      </c>
      <c r="H95" s="58">
        <v>5123</v>
      </c>
      <c r="I95" s="58">
        <v>5190</v>
      </c>
      <c r="J95" s="58">
        <v>5232</v>
      </c>
      <c r="K95" s="58">
        <v>5467</v>
      </c>
      <c r="L95" s="58">
        <v>5498</v>
      </c>
      <c r="M95" s="58">
        <v>5653</v>
      </c>
      <c r="N95" s="58">
        <v>5994</v>
      </c>
      <c r="O95" s="58">
        <v>5967</v>
      </c>
      <c r="Q95" s="416" t="s">
        <v>6379</v>
      </c>
    </row>
    <row r="96" spans="1:17">
      <c r="A96" s="422">
        <v>61</v>
      </c>
      <c r="B96" s="416" t="s">
        <v>6318</v>
      </c>
      <c r="C96" s="55" t="s">
        <v>7638</v>
      </c>
      <c r="D96" s="418">
        <v>3247</v>
      </c>
      <c r="E96" s="418">
        <v>3152</v>
      </c>
      <c r="F96" s="418">
        <v>3137</v>
      </c>
      <c r="G96" s="58">
        <v>3211</v>
      </c>
      <c r="H96" s="58">
        <v>3078</v>
      </c>
      <c r="I96" s="58">
        <v>3140</v>
      </c>
      <c r="J96" s="58">
        <v>3146</v>
      </c>
      <c r="K96" s="58">
        <v>3176</v>
      </c>
      <c r="L96" s="58">
        <v>3127</v>
      </c>
      <c r="M96" s="58">
        <v>3146</v>
      </c>
      <c r="N96" s="58">
        <v>3267</v>
      </c>
      <c r="O96" s="58">
        <v>3255</v>
      </c>
      <c r="Q96" s="416" t="s">
        <v>6379</v>
      </c>
    </row>
    <row r="97" spans="1:17">
      <c r="A97" s="422">
        <v>62</v>
      </c>
      <c r="B97" s="416" t="s">
        <v>6319</v>
      </c>
      <c r="C97" s="62" t="s">
        <v>9551</v>
      </c>
      <c r="D97" s="418">
        <v>3145</v>
      </c>
      <c r="E97" s="418">
        <v>3138</v>
      </c>
      <c r="F97" s="418">
        <v>3064</v>
      </c>
      <c r="G97" s="58">
        <v>3193</v>
      </c>
      <c r="H97" s="58">
        <v>3091</v>
      </c>
      <c r="I97" s="58">
        <v>3148</v>
      </c>
      <c r="J97" s="58">
        <v>3163</v>
      </c>
      <c r="K97" s="58">
        <v>3273</v>
      </c>
      <c r="L97" s="58">
        <v>3290</v>
      </c>
      <c r="M97" s="58">
        <v>3263</v>
      </c>
      <c r="N97" s="58">
        <v>3339</v>
      </c>
      <c r="O97" s="58">
        <v>3335</v>
      </c>
      <c r="Q97" s="416" t="s">
        <v>6379</v>
      </c>
    </row>
    <row r="98" spans="1:17">
      <c r="A98" s="422">
        <v>63</v>
      </c>
      <c r="B98" s="416" t="s">
        <v>6320</v>
      </c>
      <c r="C98" s="55" t="s">
        <v>7639</v>
      </c>
      <c r="D98" s="418">
        <v>3005</v>
      </c>
      <c r="E98" s="418">
        <v>3007</v>
      </c>
      <c r="F98" s="418">
        <v>2931</v>
      </c>
      <c r="G98" s="58">
        <v>3060</v>
      </c>
      <c r="H98" s="58">
        <v>2818</v>
      </c>
      <c r="I98" s="58">
        <v>2877</v>
      </c>
      <c r="J98" s="58">
        <v>2944</v>
      </c>
      <c r="K98" s="58">
        <v>2988</v>
      </c>
      <c r="L98" s="58">
        <v>2976</v>
      </c>
      <c r="M98" s="58">
        <v>2913</v>
      </c>
      <c r="N98" s="58">
        <v>3068</v>
      </c>
      <c r="O98" s="58">
        <v>3042</v>
      </c>
      <c r="Q98" s="416" t="s">
        <v>6377</v>
      </c>
    </row>
    <row r="99" spans="1:17">
      <c r="D99" s="420"/>
      <c r="E99" s="420"/>
      <c r="F99" s="420"/>
      <c r="G99" s="420"/>
      <c r="H99" s="420"/>
      <c r="I99" s="420"/>
      <c r="J99" s="420"/>
      <c r="K99" s="420"/>
      <c r="L99" s="420"/>
      <c r="M99" s="420"/>
      <c r="N99" s="420"/>
      <c r="O99" s="420"/>
    </row>
    <row r="100" spans="1:17">
      <c r="A100" s="416" t="s">
        <v>6377</v>
      </c>
      <c r="D100" s="418">
        <f t="shared" ref="D100:I100" si="34">D38+D43+SUM(D45:D48)+SUM(D52:D56)+D58+D61+SUM(D66:D68)+D74+D98</f>
        <v>66285</v>
      </c>
      <c r="E100" s="418">
        <f t="shared" si="34"/>
        <v>66199</v>
      </c>
      <c r="F100" s="418">
        <f t="shared" si="34"/>
        <v>65184</v>
      </c>
      <c r="G100" s="418">
        <f t="shared" si="34"/>
        <v>67320</v>
      </c>
      <c r="H100" s="418">
        <f t="shared" si="34"/>
        <v>63633</v>
      </c>
      <c r="I100" s="418">
        <f t="shared" si="34"/>
        <v>65208</v>
      </c>
      <c r="J100" s="418">
        <f t="shared" ref="J100:O100" si="35">J38+J43+SUM(J45:J48)+SUM(J52:J56)+J58+J61+SUM(J66:J68)+J74+J98</f>
        <v>65787</v>
      </c>
      <c r="K100" s="418">
        <f t="shared" si="35"/>
        <v>67975</v>
      </c>
      <c r="L100" s="418">
        <f t="shared" si="35"/>
        <v>67403</v>
      </c>
      <c r="M100" s="418">
        <f t="shared" si="35"/>
        <v>66675</v>
      </c>
      <c r="N100" s="418">
        <f t="shared" si="35"/>
        <v>69895</v>
      </c>
      <c r="O100" s="418">
        <f t="shared" si="35"/>
        <v>69524</v>
      </c>
    </row>
    <row r="101" spans="1:17">
      <c r="A101" s="416" t="s">
        <v>6379</v>
      </c>
      <c r="D101" s="418">
        <f t="shared" ref="D101:I101" si="36">D51+D59+D62+D63+D69+D70+SUM(D75:D77)+D79+SUM(D82:D85)+D87+D92+SUM(D94:D97)</f>
        <v>78611</v>
      </c>
      <c r="E101" s="418">
        <f t="shared" si="36"/>
        <v>77673</v>
      </c>
      <c r="F101" s="418">
        <f t="shared" si="36"/>
        <v>76696</v>
      </c>
      <c r="G101" s="418">
        <f t="shared" si="36"/>
        <v>79068</v>
      </c>
      <c r="H101" s="418">
        <f t="shared" si="36"/>
        <v>76317</v>
      </c>
      <c r="I101" s="418">
        <f t="shared" si="36"/>
        <v>77602</v>
      </c>
      <c r="J101" s="418">
        <f t="shared" ref="J101:O101" si="37">J51+J59+J62+J63+J69+J70+SUM(J75:J77)+J79+SUM(J82:J85)+J87+J92+SUM(J94:J97)</f>
        <v>77768</v>
      </c>
      <c r="K101" s="418">
        <f t="shared" si="37"/>
        <v>80507</v>
      </c>
      <c r="L101" s="418">
        <f t="shared" si="37"/>
        <v>79954</v>
      </c>
      <c r="M101" s="418">
        <f t="shared" si="37"/>
        <v>80427</v>
      </c>
      <c r="N101" s="418">
        <f t="shared" si="37"/>
        <v>83881</v>
      </c>
      <c r="O101" s="418">
        <f t="shared" si="37"/>
        <v>83555</v>
      </c>
    </row>
    <row r="102" spans="1:17">
      <c r="A102" s="416" t="s">
        <v>6380</v>
      </c>
      <c r="D102" s="418">
        <f t="shared" ref="D102:I102" si="38">D36+SUM(D39:D42)+D44+D49+D50+D57+D60+D64+D65+SUM(D71:D73)+D78+D80+D81+D86+D90+D91+D93</f>
        <v>75076</v>
      </c>
      <c r="E102" s="418">
        <f t="shared" si="38"/>
        <v>73978</v>
      </c>
      <c r="F102" s="418">
        <f t="shared" si="38"/>
        <v>74750</v>
      </c>
      <c r="G102" s="418">
        <f t="shared" si="38"/>
        <v>77266</v>
      </c>
      <c r="H102" s="418">
        <f t="shared" si="38"/>
        <v>73169</v>
      </c>
      <c r="I102" s="418">
        <f t="shared" si="38"/>
        <v>74881</v>
      </c>
      <c r="J102" s="418">
        <f t="shared" ref="J102:O102" si="39">J36+SUM(J39:J42)+J44+J49+J50+J57+J60+J64+J65+SUM(J71:J73)+J78+J80+J81+J86+J90+J91+J93</f>
        <v>75528</v>
      </c>
      <c r="K102" s="418">
        <f t="shared" si="39"/>
        <v>78641</v>
      </c>
      <c r="L102" s="418">
        <f t="shared" si="39"/>
        <v>78625</v>
      </c>
      <c r="M102" s="418">
        <f t="shared" si="39"/>
        <v>78564</v>
      </c>
      <c r="N102" s="418">
        <f t="shared" si="39"/>
        <v>82897</v>
      </c>
      <c r="O102" s="418">
        <f t="shared" si="39"/>
        <v>82649</v>
      </c>
    </row>
    <row r="103" spans="1:17">
      <c r="A103" s="416" t="s">
        <v>6321</v>
      </c>
      <c r="D103" s="418">
        <f t="shared" ref="D103:I103" si="40">D37+D88+D89</f>
        <v>10872</v>
      </c>
      <c r="E103" s="418">
        <f t="shared" si="40"/>
        <v>10757</v>
      </c>
      <c r="F103" s="418">
        <f t="shared" si="40"/>
        <v>10539</v>
      </c>
      <c r="G103" s="418">
        <f t="shared" si="40"/>
        <v>10947</v>
      </c>
      <c r="H103" s="418">
        <f t="shared" si="40"/>
        <v>9962</v>
      </c>
      <c r="I103" s="418">
        <f t="shared" si="40"/>
        <v>10500</v>
      </c>
      <c r="J103" s="418">
        <f t="shared" ref="J103:O103" si="41">J37+J88+J89</f>
        <v>10727</v>
      </c>
      <c r="K103" s="418">
        <f t="shared" si="41"/>
        <v>11320</v>
      </c>
      <c r="L103" s="418">
        <f t="shared" si="41"/>
        <v>11644</v>
      </c>
      <c r="M103" s="418">
        <f t="shared" si="41"/>
        <v>11956</v>
      </c>
      <c r="N103" s="418">
        <f t="shared" si="41"/>
        <v>12877</v>
      </c>
      <c r="O103" s="418">
        <f t="shared" si="41"/>
        <v>12824</v>
      </c>
    </row>
    <row r="105" spans="1:17">
      <c r="A105" s="129" t="s">
        <v>9485</v>
      </c>
    </row>
    <row r="106" spans="1:17">
      <c r="A106" s="129" t="s">
        <v>9486</v>
      </c>
    </row>
    <row r="109" spans="1:17">
      <c r="E109" s="350" t="s">
        <v>1526</v>
      </c>
      <c r="F109" s="350"/>
      <c r="G109" s="350"/>
      <c r="H109" s="350"/>
      <c r="I109" s="350"/>
      <c r="J109" s="350"/>
      <c r="K109" s="350"/>
      <c r="L109" s="350"/>
      <c r="M109" s="350"/>
      <c r="N109" s="350"/>
      <c r="O109" s="350"/>
      <c r="P109" s="11"/>
      <c r="Q109" s="11" t="s">
        <v>9479</v>
      </c>
    </row>
    <row r="110" spans="1:17">
      <c r="D110" s="350">
        <v>2010</v>
      </c>
      <c r="E110" s="350">
        <v>2011</v>
      </c>
      <c r="F110" s="350">
        <v>2012</v>
      </c>
      <c r="G110" s="350">
        <v>2013</v>
      </c>
      <c r="H110" s="350">
        <v>2014</v>
      </c>
      <c r="I110" s="350">
        <v>2015</v>
      </c>
      <c r="J110" s="350">
        <v>2016</v>
      </c>
      <c r="K110" s="350">
        <v>2017</v>
      </c>
      <c r="L110" s="350">
        <v>2018</v>
      </c>
      <c r="M110" s="350">
        <v>2019</v>
      </c>
      <c r="N110" s="350">
        <v>2020</v>
      </c>
      <c r="O110" s="945" t="s">
        <v>14823</v>
      </c>
      <c r="Q110" s="13" t="s">
        <v>1527</v>
      </c>
    </row>
    <row r="111" spans="1:17">
      <c r="A111" s="416" t="s">
        <v>6322</v>
      </c>
      <c r="C111" s="416"/>
      <c r="D111" s="418">
        <f t="shared" ref="D111:J111" si="42">SUM(D112:D134)+SUM(D136:D143)</f>
        <v>119968</v>
      </c>
      <c r="E111" s="418">
        <f t="shared" si="42"/>
        <v>121292</v>
      </c>
      <c r="F111" s="418">
        <f t="shared" si="42"/>
        <v>122136</v>
      </c>
      <c r="G111" s="418">
        <f t="shared" si="42"/>
        <v>123225</v>
      </c>
      <c r="H111" s="418">
        <f t="shared" si="42"/>
        <v>122619</v>
      </c>
      <c r="I111" s="418">
        <f t="shared" si="42"/>
        <v>119972</v>
      </c>
      <c r="J111" s="418">
        <f t="shared" si="42"/>
        <v>119097</v>
      </c>
      <c r="K111" s="418">
        <f>SUM(K112:K134)+SUM(K136:K143)</f>
        <v>121615</v>
      </c>
      <c r="L111" s="418">
        <f>SUM(L112:L134)+SUM(L136:L143)</f>
        <v>122961</v>
      </c>
      <c r="M111" s="418">
        <f>SUM(M112:M134)+SUM(M136:M143)</f>
        <v>123439</v>
      </c>
      <c r="N111" s="418">
        <f>SUM(N112:N134)+SUM(N136:N143)</f>
        <v>127722</v>
      </c>
      <c r="O111" s="418">
        <f>SUM(O112:O134)+SUM(O136:O143)</f>
        <v>127584</v>
      </c>
    </row>
    <row r="112" spans="1:17">
      <c r="A112" s="416" t="s">
        <v>5387</v>
      </c>
      <c r="B112" s="129" t="s">
        <v>11102</v>
      </c>
      <c r="C112" s="55" t="s">
        <v>11103</v>
      </c>
      <c r="D112" s="418">
        <v>54605</v>
      </c>
      <c r="E112" s="418">
        <v>55354</v>
      </c>
      <c r="F112" s="418">
        <v>55666</v>
      </c>
      <c r="G112" s="56">
        <v>56052</v>
      </c>
      <c r="H112" s="56">
        <v>55578</v>
      </c>
      <c r="I112" s="56">
        <v>54683</v>
      </c>
      <c r="J112" s="63">
        <v>2208</v>
      </c>
      <c r="K112" s="56">
        <v>2264</v>
      </c>
      <c r="L112" s="56">
        <v>2291</v>
      </c>
      <c r="M112" s="56">
        <v>2280</v>
      </c>
      <c r="N112" s="56">
        <v>2292</v>
      </c>
      <c r="O112" s="56">
        <v>2297</v>
      </c>
      <c r="Q112" s="129" t="s">
        <v>6383</v>
      </c>
    </row>
    <row r="113" spans="1:17">
      <c r="A113" s="416" t="s">
        <v>5389</v>
      </c>
      <c r="B113" s="416" t="s">
        <v>6323</v>
      </c>
      <c r="C113" s="55" t="s">
        <v>11117</v>
      </c>
      <c r="D113" s="418">
        <v>0</v>
      </c>
      <c r="E113" s="418">
        <v>0</v>
      </c>
      <c r="F113" s="418">
        <v>0</v>
      </c>
      <c r="G113" s="58">
        <v>0</v>
      </c>
      <c r="H113" s="58">
        <v>0</v>
      </c>
      <c r="I113" s="58">
        <v>0</v>
      </c>
      <c r="J113" s="63">
        <v>2376</v>
      </c>
      <c r="K113" s="56">
        <v>2406</v>
      </c>
      <c r="L113" s="56">
        <v>2439</v>
      </c>
      <c r="M113" s="56">
        <v>2444</v>
      </c>
      <c r="N113" s="56">
        <v>2509</v>
      </c>
      <c r="O113" s="56">
        <v>2515</v>
      </c>
      <c r="Q113" s="416" t="s">
        <v>6383</v>
      </c>
    </row>
    <row r="114" spans="1:17">
      <c r="A114" s="416" t="s">
        <v>5391</v>
      </c>
      <c r="B114" s="416" t="s">
        <v>6324</v>
      </c>
      <c r="C114" s="55" t="s">
        <v>11118</v>
      </c>
      <c r="D114" s="418">
        <v>0</v>
      </c>
      <c r="E114" s="418">
        <v>0</v>
      </c>
      <c r="F114" s="418">
        <v>0</v>
      </c>
      <c r="G114" s="56">
        <v>0</v>
      </c>
      <c r="H114" s="56">
        <v>0</v>
      </c>
      <c r="I114" s="56">
        <v>0</v>
      </c>
      <c r="J114" s="63">
        <v>2137</v>
      </c>
      <c r="K114" s="58">
        <v>2219</v>
      </c>
      <c r="L114" s="58">
        <v>2161</v>
      </c>
      <c r="M114" s="58">
        <v>2162</v>
      </c>
      <c r="N114" s="58">
        <v>2194</v>
      </c>
      <c r="O114" s="58">
        <v>2201</v>
      </c>
      <c r="Q114" s="416" t="s">
        <v>6383</v>
      </c>
    </row>
    <row r="115" spans="1:17">
      <c r="A115" s="416" t="s">
        <v>5393</v>
      </c>
      <c r="B115" s="416" t="s">
        <v>6325</v>
      </c>
      <c r="C115" s="55" t="s">
        <v>11119</v>
      </c>
      <c r="D115" s="418">
        <v>65363</v>
      </c>
      <c r="E115" s="418">
        <v>65938</v>
      </c>
      <c r="F115" s="418">
        <v>66470</v>
      </c>
      <c r="G115" s="58">
        <v>67173</v>
      </c>
      <c r="H115" s="58">
        <v>67041</v>
      </c>
      <c r="I115" s="58">
        <v>65289</v>
      </c>
      <c r="J115" s="420">
        <v>4090</v>
      </c>
      <c r="K115" s="56">
        <v>4150</v>
      </c>
      <c r="L115" s="56">
        <v>4033</v>
      </c>
      <c r="M115" s="56">
        <v>3907</v>
      </c>
      <c r="N115" s="56">
        <v>3997</v>
      </c>
      <c r="O115" s="56">
        <v>4005</v>
      </c>
      <c r="Q115" s="416" t="s">
        <v>6381</v>
      </c>
    </row>
    <row r="116" spans="1:17">
      <c r="A116" s="416" t="s">
        <v>5394</v>
      </c>
      <c r="B116" s="416" t="s">
        <v>11105</v>
      </c>
      <c r="C116" s="55" t="s">
        <v>11120</v>
      </c>
      <c r="D116" s="418">
        <v>0</v>
      </c>
      <c r="E116" s="418">
        <v>0</v>
      </c>
      <c r="F116" s="418">
        <v>0</v>
      </c>
      <c r="G116" s="58">
        <v>0</v>
      </c>
      <c r="H116" s="58">
        <v>0</v>
      </c>
      <c r="I116" s="58">
        <v>0</v>
      </c>
      <c r="J116" s="58">
        <v>2381</v>
      </c>
      <c r="K116" s="58">
        <v>2422</v>
      </c>
      <c r="L116" s="58">
        <v>2426</v>
      </c>
      <c r="M116" s="58">
        <v>2415</v>
      </c>
      <c r="N116" s="58">
        <v>2472</v>
      </c>
      <c r="O116" s="58">
        <v>2474</v>
      </c>
      <c r="Q116" s="416" t="s">
        <v>6383</v>
      </c>
    </row>
    <row r="117" spans="1:17">
      <c r="A117" s="416" t="s">
        <v>5416</v>
      </c>
      <c r="B117" s="416" t="s">
        <v>1414</v>
      </c>
      <c r="C117" s="55" t="s">
        <v>11121</v>
      </c>
      <c r="D117" s="418">
        <v>0</v>
      </c>
      <c r="E117" s="418">
        <v>0</v>
      </c>
      <c r="F117" s="418">
        <v>0</v>
      </c>
      <c r="G117" s="58">
        <v>0</v>
      </c>
      <c r="H117" s="58">
        <v>0</v>
      </c>
      <c r="I117" s="58">
        <v>0</v>
      </c>
      <c r="J117" s="58">
        <v>2134</v>
      </c>
      <c r="K117" s="58">
        <v>2172</v>
      </c>
      <c r="L117" s="58">
        <v>2186</v>
      </c>
      <c r="M117" s="58">
        <v>2157</v>
      </c>
      <c r="N117" s="58">
        <v>2236</v>
      </c>
      <c r="O117" s="58">
        <v>2232</v>
      </c>
      <c r="Q117" s="416" t="s">
        <v>6383</v>
      </c>
    </row>
    <row r="118" spans="1:17">
      <c r="A118" s="416" t="s">
        <v>5418</v>
      </c>
      <c r="B118" s="416" t="s">
        <v>11106</v>
      </c>
      <c r="C118" s="55" t="s">
        <v>11122</v>
      </c>
      <c r="D118" s="418">
        <v>0</v>
      </c>
      <c r="E118" s="418">
        <v>0</v>
      </c>
      <c r="F118" s="418">
        <v>0</v>
      </c>
      <c r="G118" s="58">
        <v>0</v>
      </c>
      <c r="H118" s="58">
        <v>0</v>
      </c>
      <c r="I118" s="58">
        <v>0</v>
      </c>
      <c r="J118" s="56">
        <v>6735</v>
      </c>
      <c r="K118" s="56">
        <v>6819</v>
      </c>
      <c r="L118" s="56">
        <v>6806</v>
      </c>
      <c r="M118" s="56">
        <v>6709</v>
      </c>
      <c r="N118" s="56">
        <v>6788</v>
      </c>
      <c r="O118" s="56">
        <v>6770</v>
      </c>
      <c r="Q118" s="416" t="s">
        <v>6381</v>
      </c>
    </row>
    <row r="119" spans="1:17">
      <c r="A119" s="416" t="s">
        <v>5420</v>
      </c>
      <c r="B119" s="416" t="s">
        <v>6285</v>
      </c>
      <c r="C119" s="55" t="s">
        <v>11123</v>
      </c>
      <c r="D119" s="418">
        <v>0</v>
      </c>
      <c r="E119" s="418">
        <v>0</v>
      </c>
      <c r="F119" s="418">
        <v>0</v>
      </c>
      <c r="G119" s="58">
        <v>0</v>
      </c>
      <c r="H119" s="58">
        <v>0</v>
      </c>
      <c r="I119" s="58">
        <v>0</v>
      </c>
      <c r="J119" s="58">
        <v>4468</v>
      </c>
      <c r="K119" s="58">
        <v>4479</v>
      </c>
      <c r="L119" s="58">
        <v>4426</v>
      </c>
      <c r="M119" s="58">
        <v>4407</v>
      </c>
      <c r="N119" s="58">
        <v>4442</v>
      </c>
      <c r="O119" s="58">
        <v>4411</v>
      </c>
      <c r="Q119" s="416" t="s">
        <v>6383</v>
      </c>
    </row>
    <row r="120" spans="1:17">
      <c r="A120" s="416" t="s">
        <v>5422</v>
      </c>
      <c r="B120" s="416" t="s">
        <v>6286</v>
      </c>
      <c r="C120" s="55" t="s">
        <v>11124</v>
      </c>
      <c r="D120" s="418">
        <v>0</v>
      </c>
      <c r="E120" s="418">
        <v>0</v>
      </c>
      <c r="F120" s="418">
        <v>0</v>
      </c>
      <c r="G120" s="58">
        <v>0</v>
      </c>
      <c r="H120" s="58">
        <v>0</v>
      </c>
      <c r="I120" s="58">
        <v>0</v>
      </c>
      <c r="J120" s="58">
        <v>2141</v>
      </c>
      <c r="K120" s="58">
        <v>2162</v>
      </c>
      <c r="L120" s="58">
        <v>2150</v>
      </c>
      <c r="M120" s="58">
        <v>2130</v>
      </c>
      <c r="N120" s="58">
        <v>2160</v>
      </c>
      <c r="O120" s="58">
        <v>2159</v>
      </c>
      <c r="Q120" s="416" t="s">
        <v>6383</v>
      </c>
    </row>
    <row r="121" spans="1:17">
      <c r="A121" s="416" t="s">
        <v>5424</v>
      </c>
      <c r="B121" s="416" t="s">
        <v>11107</v>
      </c>
      <c r="C121" s="55" t="s">
        <v>11125</v>
      </c>
      <c r="D121" s="418">
        <v>0</v>
      </c>
      <c r="E121" s="418">
        <v>0</v>
      </c>
      <c r="F121" s="418">
        <v>0</v>
      </c>
      <c r="G121" s="58">
        <v>0</v>
      </c>
      <c r="H121" s="58">
        <v>0</v>
      </c>
      <c r="I121" s="58">
        <v>0</v>
      </c>
      <c r="J121" s="58">
        <v>4549</v>
      </c>
      <c r="K121" s="58">
        <v>4615</v>
      </c>
      <c r="L121" s="58">
        <v>4681</v>
      </c>
      <c r="M121" s="58">
        <v>4732</v>
      </c>
      <c r="N121" s="58">
        <v>4954</v>
      </c>
      <c r="O121" s="58">
        <v>4932</v>
      </c>
      <c r="Q121" s="416" t="s">
        <v>6383</v>
      </c>
    </row>
    <row r="122" spans="1:17">
      <c r="A122" s="416" t="s">
        <v>5426</v>
      </c>
      <c r="B122" s="416" t="s">
        <v>6287</v>
      </c>
      <c r="C122" s="55" t="s">
        <v>11126</v>
      </c>
      <c r="D122" s="418">
        <v>0</v>
      </c>
      <c r="E122" s="418">
        <v>0</v>
      </c>
      <c r="F122" s="418">
        <v>0</v>
      </c>
      <c r="G122" s="58">
        <v>0</v>
      </c>
      <c r="H122" s="58">
        <v>0</v>
      </c>
      <c r="I122" s="58">
        <v>0</v>
      </c>
      <c r="J122" s="58">
        <v>2347</v>
      </c>
      <c r="K122" s="58">
        <v>2431</v>
      </c>
      <c r="L122" s="58">
        <v>2602</v>
      </c>
      <c r="M122" s="58">
        <v>2601</v>
      </c>
      <c r="N122" s="58">
        <v>2753</v>
      </c>
      <c r="O122" s="58">
        <v>2751</v>
      </c>
      <c r="Q122" s="416" t="s">
        <v>6383</v>
      </c>
    </row>
    <row r="123" spans="1:17">
      <c r="A123" s="416" t="s">
        <v>5428</v>
      </c>
      <c r="B123" s="416" t="s">
        <v>11108</v>
      </c>
      <c r="C123" s="55" t="s">
        <v>11127</v>
      </c>
      <c r="D123" s="418">
        <v>0</v>
      </c>
      <c r="E123" s="418">
        <v>0</v>
      </c>
      <c r="F123" s="418">
        <v>0</v>
      </c>
      <c r="G123" s="58">
        <v>0</v>
      </c>
      <c r="H123" s="58">
        <v>0</v>
      </c>
      <c r="I123" s="58">
        <v>0</v>
      </c>
      <c r="J123" s="58">
        <v>6382</v>
      </c>
      <c r="K123" s="58">
        <v>6498</v>
      </c>
      <c r="L123" s="58">
        <v>6687</v>
      </c>
      <c r="M123" s="58">
        <v>6747</v>
      </c>
      <c r="N123" s="58">
        <v>6918</v>
      </c>
      <c r="O123" s="58">
        <v>6909</v>
      </c>
      <c r="Q123" s="416" t="s">
        <v>6383</v>
      </c>
    </row>
    <row r="124" spans="1:17">
      <c r="A124" s="416" t="s">
        <v>5429</v>
      </c>
      <c r="B124" s="416" t="s">
        <v>6288</v>
      </c>
      <c r="C124" s="55" t="s">
        <v>11128</v>
      </c>
      <c r="D124" s="418">
        <v>0</v>
      </c>
      <c r="E124" s="418">
        <v>0</v>
      </c>
      <c r="F124" s="418">
        <v>0</v>
      </c>
      <c r="G124" s="58">
        <v>0</v>
      </c>
      <c r="H124" s="58">
        <v>0</v>
      </c>
      <c r="I124" s="58">
        <v>0</v>
      </c>
      <c r="J124" s="58">
        <v>2169</v>
      </c>
      <c r="K124" s="58">
        <v>2235</v>
      </c>
      <c r="L124" s="58">
        <v>2275</v>
      </c>
      <c r="M124" s="58">
        <v>2234</v>
      </c>
      <c r="N124" s="58">
        <v>2289</v>
      </c>
      <c r="O124" s="58">
        <v>2281</v>
      </c>
      <c r="Q124" s="416" t="s">
        <v>6383</v>
      </c>
    </row>
    <row r="125" spans="1:17">
      <c r="A125" s="416" t="s">
        <v>5431</v>
      </c>
      <c r="B125" s="416" t="s">
        <v>11109</v>
      </c>
      <c r="C125" s="55" t="s">
        <v>11129</v>
      </c>
      <c r="D125" s="418">
        <v>0</v>
      </c>
      <c r="E125" s="418">
        <v>0</v>
      </c>
      <c r="F125" s="418">
        <v>0</v>
      </c>
      <c r="G125" s="58">
        <v>0</v>
      </c>
      <c r="H125" s="58">
        <v>0</v>
      </c>
      <c r="I125" s="58">
        <v>0</v>
      </c>
      <c r="J125" s="56">
        <v>4273</v>
      </c>
      <c r="K125" s="56">
        <v>4578</v>
      </c>
      <c r="L125" s="56">
        <v>4858</v>
      </c>
      <c r="M125" s="56">
        <v>5089</v>
      </c>
      <c r="N125" s="56">
        <v>5670</v>
      </c>
      <c r="O125" s="56">
        <v>5703</v>
      </c>
      <c r="Q125" s="416" t="s">
        <v>6381</v>
      </c>
    </row>
    <row r="126" spans="1:17">
      <c r="A126" s="416" t="s">
        <v>5433</v>
      </c>
      <c r="B126" s="416" t="s">
        <v>3430</v>
      </c>
      <c r="C126" s="55" t="s">
        <v>11130</v>
      </c>
      <c r="D126" s="418">
        <v>0</v>
      </c>
      <c r="E126" s="418">
        <v>0</v>
      </c>
      <c r="F126" s="418">
        <v>0</v>
      </c>
      <c r="G126" s="58">
        <v>0</v>
      </c>
      <c r="H126" s="58">
        <v>0</v>
      </c>
      <c r="I126" s="58">
        <v>0</v>
      </c>
      <c r="J126" s="56">
        <v>2459</v>
      </c>
      <c r="K126" s="56">
        <v>2432</v>
      </c>
      <c r="L126" s="56">
        <v>2461</v>
      </c>
      <c r="M126" s="56">
        <v>2469</v>
      </c>
      <c r="N126" s="56">
        <v>2572</v>
      </c>
      <c r="O126" s="56">
        <v>2573</v>
      </c>
      <c r="Q126" s="416" t="s">
        <v>6381</v>
      </c>
    </row>
    <row r="127" spans="1:17">
      <c r="A127" s="416" t="s">
        <v>5435</v>
      </c>
      <c r="B127" s="416" t="s">
        <v>11110</v>
      </c>
      <c r="C127" s="55" t="s">
        <v>11131</v>
      </c>
      <c r="D127" s="418">
        <v>0</v>
      </c>
      <c r="E127" s="418">
        <v>0</v>
      </c>
      <c r="F127" s="418">
        <v>0</v>
      </c>
      <c r="G127" s="58">
        <v>0</v>
      </c>
      <c r="H127" s="58">
        <v>0</v>
      </c>
      <c r="I127" s="58">
        <v>0</v>
      </c>
      <c r="J127" s="56">
        <v>6789</v>
      </c>
      <c r="K127" s="56">
        <v>7072</v>
      </c>
      <c r="L127" s="56">
        <v>7348</v>
      </c>
      <c r="M127" s="56">
        <v>7529</v>
      </c>
      <c r="N127" s="56">
        <v>7943</v>
      </c>
      <c r="O127" s="56">
        <v>7945</v>
      </c>
      <c r="Q127" s="416" t="s">
        <v>6381</v>
      </c>
    </row>
    <row r="128" spans="1:17">
      <c r="A128" s="416" t="s">
        <v>5436</v>
      </c>
      <c r="B128" s="416" t="s">
        <v>11111</v>
      </c>
      <c r="C128" s="55" t="s">
        <v>11132</v>
      </c>
      <c r="D128" s="418">
        <v>0</v>
      </c>
      <c r="E128" s="418">
        <v>0</v>
      </c>
      <c r="F128" s="418">
        <v>0</v>
      </c>
      <c r="G128" s="58">
        <v>0</v>
      </c>
      <c r="H128" s="58">
        <v>0</v>
      </c>
      <c r="I128" s="58">
        <v>0</v>
      </c>
      <c r="J128" s="56">
        <v>7364</v>
      </c>
      <c r="K128" s="56">
        <v>7461</v>
      </c>
      <c r="L128" s="56">
        <v>7419</v>
      </c>
      <c r="M128" s="56">
        <v>7389</v>
      </c>
      <c r="N128" s="56">
        <v>7509</v>
      </c>
      <c r="O128" s="56">
        <v>7480</v>
      </c>
      <c r="Q128" s="416" t="s">
        <v>6381</v>
      </c>
    </row>
    <row r="129" spans="1:17">
      <c r="A129" s="416" t="s">
        <v>5437</v>
      </c>
      <c r="B129" s="416" t="s">
        <v>11112</v>
      </c>
      <c r="C129" s="55" t="s">
        <v>11133</v>
      </c>
      <c r="D129" s="418">
        <v>0</v>
      </c>
      <c r="E129" s="418">
        <v>0</v>
      </c>
      <c r="F129" s="418">
        <v>0</v>
      </c>
      <c r="G129" s="58">
        <v>0</v>
      </c>
      <c r="H129" s="58">
        <v>0</v>
      </c>
      <c r="I129" s="58">
        <v>0</v>
      </c>
      <c r="J129" s="56">
        <v>4151</v>
      </c>
      <c r="K129" s="56">
        <v>4196</v>
      </c>
      <c r="L129" s="56">
        <v>4132</v>
      </c>
      <c r="M129" s="56">
        <v>4195</v>
      </c>
      <c r="N129" s="56">
        <v>4477</v>
      </c>
      <c r="O129" s="56">
        <v>4474</v>
      </c>
      <c r="Q129" s="416" t="s">
        <v>6381</v>
      </c>
    </row>
    <row r="130" spans="1:17">
      <c r="A130" s="416" t="s">
        <v>5439</v>
      </c>
      <c r="B130" s="416" t="s">
        <v>3431</v>
      </c>
      <c r="C130" s="55" t="s">
        <v>11134</v>
      </c>
      <c r="D130" s="418">
        <v>0</v>
      </c>
      <c r="E130" s="418">
        <v>0</v>
      </c>
      <c r="F130" s="418">
        <v>0</v>
      </c>
      <c r="G130" s="58">
        <v>0</v>
      </c>
      <c r="H130" s="58">
        <v>0</v>
      </c>
      <c r="I130" s="58">
        <v>0</v>
      </c>
      <c r="J130" s="58">
        <v>4977</v>
      </c>
      <c r="K130" s="58">
        <v>5094</v>
      </c>
      <c r="L130" s="58">
        <v>5086</v>
      </c>
      <c r="M130" s="58">
        <v>5091</v>
      </c>
      <c r="N130" s="58">
        <v>5180</v>
      </c>
      <c r="O130" s="58">
        <v>5178</v>
      </c>
      <c r="Q130" s="416" t="s">
        <v>6383</v>
      </c>
    </row>
    <row r="131" spans="1:17">
      <c r="A131" s="416" t="s">
        <v>5441</v>
      </c>
      <c r="B131" s="416" t="s">
        <v>11113</v>
      </c>
      <c r="C131" s="55" t="s">
        <v>11135</v>
      </c>
      <c r="D131" s="418">
        <v>0</v>
      </c>
      <c r="E131" s="418">
        <v>0</v>
      </c>
      <c r="F131" s="418">
        <v>0</v>
      </c>
      <c r="G131" s="58">
        <v>0</v>
      </c>
      <c r="H131" s="58">
        <v>0</v>
      </c>
      <c r="I131" s="58">
        <v>0</v>
      </c>
      <c r="J131" s="58">
        <v>4431</v>
      </c>
      <c r="K131" s="58">
        <v>4643</v>
      </c>
      <c r="L131" s="58">
        <v>4819</v>
      </c>
      <c r="M131" s="58">
        <v>4915</v>
      </c>
      <c r="N131" s="58">
        <v>5178</v>
      </c>
      <c r="O131" s="58">
        <v>5155</v>
      </c>
      <c r="Q131" s="416" t="s">
        <v>6383</v>
      </c>
    </row>
    <row r="132" spans="1:17">
      <c r="A132" s="416" t="s">
        <v>5886</v>
      </c>
      <c r="B132" s="416" t="s">
        <v>11114</v>
      </c>
      <c r="C132" s="55" t="s">
        <v>11136</v>
      </c>
      <c r="D132" s="418">
        <v>0</v>
      </c>
      <c r="E132" s="418">
        <v>0</v>
      </c>
      <c r="F132" s="418">
        <v>0</v>
      </c>
      <c r="G132" s="58">
        <v>0</v>
      </c>
      <c r="H132" s="58">
        <v>0</v>
      </c>
      <c r="I132" s="58">
        <v>0</v>
      </c>
      <c r="J132" s="58">
        <v>3897</v>
      </c>
      <c r="K132" s="58">
        <v>4031</v>
      </c>
      <c r="L132" s="58">
        <v>4147</v>
      </c>
      <c r="M132" s="58">
        <v>4272</v>
      </c>
      <c r="N132" s="58">
        <v>4448</v>
      </c>
      <c r="O132" s="58">
        <v>4430</v>
      </c>
      <c r="Q132" s="416" t="s">
        <v>6383</v>
      </c>
    </row>
    <row r="133" spans="1:17">
      <c r="A133" s="416" t="s">
        <v>5888</v>
      </c>
      <c r="B133" s="416" t="s">
        <v>11115</v>
      </c>
      <c r="C133" s="55" t="s">
        <v>11137</v>
      </c>
      <c r="D133" s="418">
        <v>0</v>
      </c>
      <c r="E133" s="418">
        <v>0</v>
      </c>
      <c r="F133" s="418">
        <v>0</v>
      </c>
      <c r="G133" s="58">
        <v>0</v>
      </c>
      <c r="H133" s="58">
        <v>0</v>
      </c>
      <c r="I133" s="58">
        <v>0</v>
      </c>
      <c r="J133" s="56">
        <v>5077</v>
      </c>
      <c r="K133" s="56">
        <v>5214</v>
      </c>
      <c r="L133" s="56">
        <v>5262</v>
      </c>
      <c r="M133" s="56">
        <v>5271</v>
      </c>
      <c r="N133" s="56">
        <v>5434</v>
      </c>
      <c r="O133" s="56">
        <v>5392</v>
      </c>
      <c r="Q133" s="416" t="s">
        <v>6381</v>
      </c>
    </row>
    <row r="134" spans="1:17" ht="15.75" thickBot="1">
      <c r="A134" s="416"/>
      <c r="B134" s="416"/>
      <c r="C134" s="55" t="s">
        <v>11137</v>
      </c>
      <c r="D134" s="419">
        <v>0</v>
      </c>
      <c r="E134" s="419">
        <v>0</v>
      </c>
      <c r="F134" s="419">
        <v>0</v>
      </c>
      <c r="G134" s="394">
        <v>0</v>
      </c>
      <c r="H134" s="394">
        <v>0</v>
      </c>
      <c r="I134" s="394">
        <v>0</v>
      </c>
      <c r="J134" s="58">
        <v>890</v>
      </c>
      <c r="K134" s="58">
        <v>1039</v>
      </c>
      <c r="L134" s="58">
        <v>1210</v>
      </c>
      <c r="M134" s="58">
        <v>1328</v>
      </c>
      <c r="N134" s="58">
        <v>1427</v>
      </c>
      <c r="O134" s="58">
        <v>1437</v>
      </c>
      <c r="Q134" s="416" t="s">
        <v>6383</v>
      </c>
    </row>
    <row r="135" spans="1:17" ht="15.75" thickBot="1">
      <c r="A135" s="416"/>
      <c r="B135" s="416"/>
      <c r="C135" s="55" t="s">
        <v>11137</v>
      </c>
      <c r="D135" s="424">
        <f t="shared" ref="D135:L135" si="43">D133+D134</f>
        <v>0</v>
      </c>
      <c r="E135" s="424">
        <f t="shared" si="43"/>
        <v>0</v>
      </c>
      <c r="F135" s="424">
        <f t="shared" si="43"/>
        <v>0</v>
      </c>
      <c r="G135" s="424">
        <f t="shared" si="43"/>
        <v>0</v>
      </c>
      <c r="H135" s="424">
        <f t="shared" si="43"/>
        <v>0</v>
      </c>
      <c r="I135" s="424">
        <f t="shared" si="43"/>
        <v>0</v>
      </c>
      <c r="J135" s="424">
        <f t="shared" si="43"/>
        <v>5967</v>
      </c>
      <c r="K135" s="424">
        <f t="shared" si="43"/>
        <v>6253</v>
      </c>
      <c r="L135" s="424">
        <f t="shared" si="43"/>
        <v>6472</v>
      </c>
      <c r="M135" s="424">
        <f>M133+M134</f>
        <v>6599</v>
      </c>
      <c r="N135" s="424">
        <f>N133+N134</f>
        <v>6861</v>
      </c>
      <c r="O135" s="424">
        <f>O133+O134</f>
        <v>6829</v>
      </c>
      <c r="Q135" s="416"/>
    </row>
    <row r="136" spans="1:17">
      <c r="A136" s="416" t="s">
        <v>5889</v>
      </c>
      <c r="B136" s="416" t="s">
        <v>1645</v>
      </c>
      <c r="C136" s="55" t="s">
        <v>11138</v>
      </c>
      <c r="D136" s="418">
        <v>0</v>
      </c>
      <c r="E136" s="418">
        <v>0</v>
      </c>
      <c r="F136" s="418">
        <v>0</v>
      </c>
      <c r="G136" s="58">
        <v>0</v>
      </c>
      <c r="H136" s="58">
        <v>0</v>
      </c>
      <c r="I136" s="58">
        <v>0</v>
      </c>
      <c r="J136" s="58">
        <v>2161</v>
      </c>
      <c r="K136" s="58">
        <v>2132</v>
      </c>
      <c r="L136" s="58">
        <v>2136</v>
      </c>
      <c r="M136" s="58">
        <v>2126</v>
      </c>
      <c r="N136" s="58">
        <v>2142</v>
      </c>
      <c r="O136" s="58">
        <v>2126</v>
      </c>
      <c r="Q136" s="416" t="s">
        <v>6383</v>
      </c>
    </row>
    <row r="137" spans="1:17">
      <c r="A137" s="416" t="s">
        <v>4431</v>
      </c>
      <c r="B137" s="416" t="s">
        <v>3432</v>
      </c>
      <c r="C137" s="55" t="s">
        <v>11139</v>
      </c>
      <c r="D137" s="418">
        <v>0</v>
      </c>
      <c r="E137" s="418">
        <v>0</v>
      </c>
      <c r="F137" s="418">
        <v>0</v>
      </c>
      <c r="G137" s="58">
        <v>0</v>
      </c>
      <c r="H137" s="58">
        <v>0</v>
      </c>
      <c r="I137" s="58">
        <v>0</v>
      </c>
      <c r="J137" s="56">
        <v>4506</v>
      </c>
      <c r="K137" s="56">
        <v>4534</v>
      </c>
      <c r="L137" s="56">
        <v>4623</v>
      </c>
      <c r="M137" s="56">
        <v>4720</v>
      </c>
      <c r="N137" s="56">
        <v>5036</v>
      </c>
      <c r="O137" s="56">
        <v>5050</v>
      </c>
      <c r="Q137" s="416" t="s">
        <v>6381</v>
      </c>
    </row>
    <row r="138" spans="1:17">
      <c r="A138" s="416" t="s">
        <v>4432</v>
      </c>
      <c r="B138" s="416" t="s">
        <v>3433</v>
      </c>
      <c r="C138" s="55" t="s">
        <v>11140</v>
      </c>
      <c r="D138" s="418">
        <v>0</v>
      </c>
      <c r="E138" s="418">
        <v>0</v>
      </c>
      <c r="F138" s="418">
        <v>0</v>
      </c>
      <c r="G138" s="58">
        <v>0</v>
      </c>
      <c r="H138" s="58">
        <v>0</v>
      </c>
      <c r="I138" s="58">
        <v>0</v>
      </c>
      <c r="J138" s="56">
        <v>4443</v>
      </c>
      <c r="K138" s="56">
        <v>4481</v>
      </c>
      <c r="L138" s="56">
        <v>4467</v>
      </c>
      <c r="M138" s="56">
        <v>4492</v>
      </c>
      <c r="N138" s="56">
        <v>4618</v>
      </c>
      <c r="O138" s="56">
        <v>4599</v>
      </c>
      <c r="Q138" s="416" t="s">
        <v>6381</v>
      </c>
    </row>
    <row r="139" spans="1:17">
      <c r="A139" s="416" t="s">
        <v>4434</v>
      </c>
      <c r="B139" s="416" t="s">
        <v>3434</v>
      </c>
      <c r="C139" s="55" t="s">
        <v>11141</v>
      </c>
      <c r="D139" s="418">
        <v>0</v>
      </c>
      <c r="E139" s="418">
        <v>0</v>
      </c>
      <c r="F139" s="418">
        <v>0</v>
      </c>
      <c r="G139" s="58">
        <v>0</v>
      </c>
      <c r="H139" s="58">
        <v>0</v>
      </c>
      <c r="I139" s="58">
        <v>0</v>
      </c>
      <c r="J139" s="58">
        <v>2323</v>
      </c>
      <c r="K139" s="58">
        <v>2305</v>
      </c>
      <c r="L139" s="58">
        <v>2322</v>
      </c>
      <c r="M139" s="58">
        <v>2307</v>
      </c>
      <c r="N139" s="58">
        <v>2307</v>
      </c>
      <c r="O139" s="58">
        <v>2289</v>
      </c>
      <c r="Q139" s="416" t="s">
        <v>6383</v>
      </c>
    </row>
    <row r="140" spans="1:17">
      <c r="A140" s="416" t="s">
        <v>4533</v>
      </c>
      <c r="B140" s="76" t="s">
        <v>3435</v>
      </c>
      <c r="C140" s="55" t="s">
        <v>11142</v>
      </c>
      <c r="D140" s="418">
        <v>0</v>
      </c>
      <c r="E140" s="418">
        <v>0</v>
      </c>
      <c r="F140" s="418">
        <v>0</v>
      </c>
      <c r="G140" s="58">
        <v>0</v>
      </c>
      <c r="H140" s="58">
        <v>0</v>
      </c>
      <c r="I140" s="58">
        <v>0</v>
      </c>
      <c r="J140" s="56">
        <v>6536</v>
      </c>
      <c r="K140" s="56">
        <v>6587</v>
      </c>
      <c r="L140" s="56">
        <v>6486</v>
      </c>
      <c r="M140" s="56">
        <v>6442</v>
      </c>
      <c r="N140" s="56">
        <v>6562</v>
      </c>
      <c r="O140" s="56">
        <v>6571</v>
      </c>
      <c r="Q140" s="416" t="s">
        <v>6381</v>
      </c>
    </row>
    <row r="141" spans="1:17">
      <c r="A141" s="416" t="s">
        <v>4535</v>
      </c>
      <c r="B141" s="416" t="s">
        <v>4956</v>
      </c>
      <c r="C141" s="55" t="s">
        <v>11143</v>
      </c>
      <c r="D141" s="418">
        <v>0</v>
      </c>
      <c r="E141" s="418">
        <v>0</v>
      </c>
      <c r="F141" s="418">
        <v>0</v>
      </c>
      <c r="G141" s="58">
        <v>0</v>
      </c>
      <c r="H141" s="58">
        <v>0</v>
      </c>
      <c r="I141" s="58">
        <v>0</v>
      </c>
      <c r="J141" s="56">
        <v>3915</v>
      </c>
      <c r="K141" s="56">
        <v>4193</v>
      </c>
      <c r="L141" s="56">
        <v>4282</v>
      </c>
      <c r="M141" s="56">
        <v>4190</v>
      </c>
      <c r="N141" s="56">
        <v>4286</v>
      </c>
      <c r="O141" s="56">
        <v>4307</v>
      </c>
      <c r="Q141" s="416" t="s">
        <v>6381</v>
      </c>
    </row>
    <row r="142" spans="1:17">
      <c r="A142" s="416" t="s">
        <v>4537</v>
      </c>
      <c r="B142" s="76" t="s">
        <v>3436</v>
      </c>
      <c r="C142" s="55" t="s">
        <v>11144</v>
      </c>
      <c r="D142" s="418">
        <v>0</v>
      </c>
      <c r="E142" s="418">
        <v>0</v>
      </c>
      <c r="F142" s="418">
        <v>0</v>
      </c>
      <c r="G142" s="58">
        <v>0</v>
      </c>
      <c r="H142" s="58">
        <v>0</v>
      </c>
      <c r="I142" s="58">
        <v>0</v>
      </c>
      <c r="J142" s="58">
        <v>2310</v>
      </c>
      <c r="K142" s="58">
        <v>2311</v>
      </c>
      <c r="L142" s="58">
        <v>2338</v>
      </c>
      <c r="M142" s="58">
        <v>2325</v>
      </c>
      <c r="N142" s="58">
        <v>2459</v>
      </c>
      <c r="O142" s="58">
        <v>2476</v>
      </c>
      <c r="Q142" s="416" t="s">
        <v>6383</v>
      </c>
    </row>
    <row r="143" spans="1:17">
      <c r="A143" s="416" t="s">
        <v>4539</v>
      </c>
      <c r="B143" s="416" t="s">
        <v>11116</v>
      </c>
      <c r="C143" s="55" t="s">
        <v>11145</v>
      </c>
      <c r="D143" s="418">
        <v>0</v>
      </c>
      <c r="E143" s="418">
        <v>0</v>
      </c>
      <c r="F143" s="418">
        <v>0</v>
      </c>
      <c r="G143" s="58">
        <v>0</v>
      </c>
      <c r="H143" s="58">
        <v>0</v>
      </c>
      <c r="I143" s="58">
        <v>0</v>
      </c>
      <c r="J143" s="56">
        <v>4478</v>
      </c>
      <c r="K143" s="56">
        <v>4440</v>
      </c>
      <c r="L143" s="56">
        <v>4402</v>
      </c>
      <c r="M143" s="56">
        <v>4364</v>
      </c>
      <c r="N143" s="56">
        <v>4470</v>
      </c>
      <c r="O143" s="56">
        <v>4462</v>
      </c>
      <c r="Q143" s="416" t="s">
        <v>6381</v>
      </c>
    </row>
    <row r="144" spans="1:17">
      <c r="D144" s="420"/>
      <c r="E144" s="420"/>
      <c r="F144" s="420"/>
      <c r="G144" s="420"/>
      <c r="H144" s="420"/>
      <c r="I144" s="420"/>
      <c r="J144" s="420"/>
      <c r="K144" s="420"/>
      <c r="L144" s="420"/>
      <c r="M144" s="420"/>
      <c r="N144" s="420"/>
      <c r="O144" s="420"/>
    </row>
    <row r="145" spans="1:15">
      <c r="A145" s="416" t="s">
        <v>6381</v>
      </c>
      <c r="D145" s="418">
        <f t="shared" ref="D145:I145" si="44">D115+D118+SUM(D125:D129)+D133+D137+D138+D140+D141+D143</f>
        <v>65363</v>
      </c>
      <c r="E145" s="418">
        <f t="shared" si="44"/>
        <v>65938</v>
      </c>
      <c r="F145" s="418">
        <f t="shared" si="44"/>
        <v>66470</v>
      </c>
      <c r="G145" s="418">
        <f t="shared" si="44"/>
        <v>67173</v>
      </c>
      <c r="H145" s="418">
        <f t="shared" si="44"/>
        <v>67041</v>
      </c>
      <c r="I145" s="418">
        <f t="shared" si="44"/>
        <v>65289</v>
      </c>
      <c r="J145" s="418">
        <f t="shared" ref="J145:O145" si="45">J115+J118+SUM(J125:J129)+J133+J137+J138+J140+J141+J143</f>
        <v>64816</v>
      </c>
      <c r="K145" s="418">
        <f t="shared" si="45"/>
        <v>66157</v>
      </c>
      <c r="L145" s="418">
        <f t="shared" si="45"/>
        <v>66579</v>
      </c>
      <c r="M145" s="418">
        <f t="shared" si="45"/>
        <v>66766</v>
      </c>
      <c r="N145" s="418">
        <f t="shared" si="45"/>
        <v>69362</v>
      </c>
      <c r="O145" s="418">
        <f t="shared" si="45"/>
        <v>69331</v>
      </c>
    </row>
    <row r="146" spans="1:15">
      <c r="A146" s="416" t="s">
        <v>6321</v>
      </c>
      <c r="D146" s="418">
        <f t="shared" ref="D146:I146" si="46">SUM(D112:D114)+D116+D117+SUM(D119:D124)+SUM(D130:D132)+D134+D136+D139+D142</f>
        <v>54605</v>
      </c>
      <c r="E146" s="418">
        <f t="shared" si="46"/>
        <v>55354</v>
      </c>
      <c r="F146" s="418">
        <f t="shared" si="46"/>
        <v>55666</v>
      </c>
      <c r="G146" s="418">
        <f t="shared" si="46"/>
        <v>56052</v>
      </c>
      <c r="H146" s="418">
        <f t="shared" si="46"/>
        <v>55578</v>
      </c>
      <c r="I146" s="418">
        <f t="shared" si="46"/>
        <v>54683</v>
      </c>
      <c r="J146" s="418">
        <f t="shared" ref="J146:O146" si="47">SUM(J112:J114)+J116+J117+SUM(J119:J124)+SUM(J130:J132)+J134+J136+J139+J142</f>
        <v>54281</v>
      </c>
      <c r="K146" s="418">
        <f t="shared" si="47"/>
        <v>55458</v>
      </c>
      <c r="L146" s="418">
        <f t="shared" si="47"/>
        <v>56382</v>
      </c>
      <c r="M146" s="418">
        <f t="shared" si="47"/>
        <v>56673</v>
      </c>
      <c r="N146" s="418">
        <f t="shared" si="47"/>
        <v>58360</v>
      </c>
      <c r="O146" s="418">
        <f t="shared" si="47"/>
        <v>58253</v>
      </c>
    </row>
    <row r="148" spans="1:15">
      <c r="A148" s="129" t="s">
        <v>11104</v>
      </c>
    </row>
  </sheetData>
  <phoneticPr fontId="6" type="noConversion"/>
  <printOptions gridLinesSet="0"/>
  <pageMargins left="0.78740157480314965" right="0" top="0.51181102362204722" bottom="0.51181102362204722" header="0.51181102362204722" footer="0.51181102362204722"/>
  <pageSetup paperSize="9" scale="90" orientation="portrait" horizontalDpi="300" verticalDpi="300" r:id="rId1"/>
  <headerFooter alignWithMargins="0">
    <oddFooter>&amp;C&amp;"Times New Roman,Regular"&amp;8&amp;P of &amp;N</oddFooter>
  </headerFooter>
  <rowBreaks count="1" manualBreakCount="1">
    <brk id="75" max="4" man="1"/>
  </rowBreaks>
  <ignoredErrors>
    <ignoredError sqref="D35:K35 D3:D6 E3:E6 F3:F6 G3:G6 D7:D27 E7:E27 F7:F28 G7:G27 H3:H6 H7:H27 I3:I27 D135:K135 D111:K111 D145:I146 J100:J103 D100:I103 J3:J27 J145:J146 K100:K103 K145:K146 K3:K27 L3:L146" unlockedFormula="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dimension ref="A1:Q211"/>
  <sheetViews>
    <sheetView showGridLines="0" zoomScale="90" zoomScaleNormal="90" workbookViewId="0">
      <selection activeCell="L205" sqref="L205"/>
    </sheetView>
  </sheetViews>
  <sheetFormatPr defaultColWidth="12.5703125" defaultRowHeight="15"/>
  <cols>
    <col min="1" max="1" width="4.85546875" style="128" customWidth="1"/>
    <col min="2" max="2" width="35.7109375" style="128" bestFit="1" customWidth="1"/>
    <col min="3" max="3" width="11.5703125" style="128" customWidth="1"/>
    <col min="4" max="12" width="10.140625" style="128" customWidth="1"/>
    <col min="13" max="15" width="10" style="128" customWidth="1"/>
    <col min="16" max="16" width="2.28515625" style="128" customWidth="1"/>
    <col min="17" max="17" width="34.85546875" style="128" customWidth="1"/>
    <col min="18" max="16384" width="12.5703125" style="128"/>
  </cols>
  <sheetData>
    <row r="1" spans="1:17">
      <c r="A1" s="404" t="s">
        <v>6924</v>
      </c>
      <c r="D1" s="350">
        <v>2010</v>
      </c>
      <c r="E1" s="350">
        <v>2011</v>
      </c>
      <c r="F1" s="350">
        <v>2012</v>
      </c>
      <c r="G1" s="350">
        <v>2013</v>
      </c>
      <c r="H1" s="350">
        <v>2014</v>
      </c>
      <c r="I1" s="350">
        <v>2015</v>
      </c>
      <c r="J1" s="350">
        <v>2016</v>
      </c>
      <c r="K1" s="350">
        <v>2017</v>
      </c>
      <c r="L1" s="350">
        <v>2018</v>
      </c>
      <c r="M1" s="350">
        <v>2019</v>
      </c>
      <c r="N1" s="350">
        <v>2020</v>
      </c>
      <c r="O1" s="944" t="s">
        <v>14823</v>
      </c>
    </row>
    <row r="3" spans="1:17">
      <c r="A3" s="404" t="s">
        <v>5303</v>
      </c>
      <c r="D3" s="405">
        <f t="shared" ref="D3:N3" si="0">SUM(D5:D8)</f>
        <v>407604</v>
      </c>
      <c r="E3" s="405">
        <f t="shared" si="0"/>
        <v>410728</v>
      </c>
      <c r="F3" s="405">
        <f t="shared" si="0"/>
        <v>412156</v>
      </c>
      <c r="G3" s="405">
        <f t="shared" si="0"/>
        <v>414528</v>
      </c>
      <c r="H3" s="405">
        <f t="shared" si="0"/>
        <v>403974</v>
      </c>
      <c r="I3" s="405">
        <f t="shared" si="0"/>
        <v>402791</v>
      </c>
      <c r="J3" s="405">
        <f t="shared" si="0"/>
        <v>389032</v>
      </c>
      <c r="K3" s="405">
        <f t="shared" si="0"/>
        <v>409121</v>
      </c>
      <c r="L3" s="405">
        <f t="shared" si="0"/>
        <v>412524</v>
      </c>
      <c r="M3" s="405">
        <f t="shared" si="0"/>
        <v>409884</v>
      </c>
      <c r="N3" s="405">
        <f t="shared" si="0"/>
        <v>420181</v>
      </c>
      <c r="O3" s="405">
        <f>SUM(O5:O8)</f>
        <v>425570</v>
      </c>
    </row>
    <row r="4" spans="1:17">
      <c r="D4" s="406"/>
      <c r="E4" s="406"/>
      <c r="F4" s="406"/>
      <c r="G4" s="406"/>
      <c r="H4" s="406"/>
      <c r="I4" s="406"/>
      <c r="J4" s="406"/>
      <c r="K4" s="406"/>
      <c r="L4" s="406"/>
      <c r="M4" s="406"/>
      <c r="N4" s="406"/>
      <c r="O4" s="406"/>
    </row>
    <row r="5" spans="1:17">
      <c r="A5" s="404" t="s">
        <v>3325</v>
      </c>
      <c r="C5" s="404"/>
      <c r="D5" s="405">
        <f t="shared" ref="D5:I5" si="1">D37</f>
        <v>83602</v>
      </c>
      <c r="E5" s="405">
        <f t="shared" si="1"/>
        <v>84371</v>
      </c>
      <c r="F5" s="405">
        <f t="shared" si="1"/>
        <v>84879</v>
      </c>
      <c r="G5" s="405">
        <f t="shared" si="1"/>
        <v>85433</v>
      </c>
      <c r="H5" s="405">
        <f t="shared" si="1"/>
        <v>83777</v>
      </c>
      <c r="I5" s="405">
        <f t="shared" si="1"/>
        <v>84330</v>
      </c>
      <c r="J5" s="405">
        <f t="shared" ref="J5:O5" si="2">J37</f>
        <v>79769</v>
      </c>
      <c r="K5" s="405">
        <f t="shared" si="2"/>
        <v>84210</v>
      </c>
      <c r="L5" s="405">
        <f t="shared" si="2"/>
        <v>85392</v>
      </c>
      <c r="M5" s="405">
        <f t="shared" si="2"/>
        <v>85466</v>
      </c>
      <c r="N5" s="405">
        <f t="shared" si="2"/>
        <v>89794</v>
      </c>
      <c r="O5" s="405">
        <f t="shared" si="2"/>
        <v>89548</v>
      </c>
      <c r="Q5" s="407"/>
    </row>
    <row r="6" spans="1:17">
      <c r="A6" s="404" t="s">
        <v>3326</v>
      </c>
      <c r="C6" s="404"/>
      <c r="D6" s="405">
        <f t="shared" ref="D6:O6" si="3">D81</f>
        <v>87546</v>
      </c>
      <c r="E6" s="405">
        <f t="shared" si="3"/>
        <v>88464</v>
      </c>
      <c r="F6" s="405">
        <f t="shared" si="3"/>
        <v>88999</v>
      </c>
      <c r="G6" s="405">
        <f t="shared" si="3"/>
        <v>88734</v>
      </c>
      <c r="H6" s="405">
        <f t="shared" si="3"/>
        <v>87440</v>
      </c>
      <c r="I6" s="405">
        <f t="shared" si="3"/>
        <v>86792</v>
      </c>
      <c r="J6" s="405">
        <f t="shared" si="3"/>
        <v>86874</v>
      </c>
      <c r="K6" s="405">
        <f t="shared" si="3"/>
        <v>89769</v>
      </c>
      <c r="L6" s="405">
        <f t="shared" si="3"/>
        <v>90122</v>
      </c>
      <c r="M6" s="405">
        <f t="shared" si="3"/>
        <v>89828</v>
      </c>
      <c r="N6" s="405">
        <f t="shared" si="3"/>
        <v>90292</v>
      </c>
      <c r="O6" s="405">
        <f t="shared" si="3"/>
        <v>92880</v>
      </c>
      <c r="Q6" s="407"/>
    </row>
    <row r="7" spans="1:17">
      <c r="A7" s="404" t="s">
        <v>13262</v>
      </c>
      <c r="C7" s="404"/>
      <c r="D7" s="405">
        <f>D118</f>
        <v>110226</v>
      </c>
      <c r="E7" s="405">
        <f t="shared" ref="E7:N7" si="4">E118</f>
        <v>111306</v>
      </c>
      <c r="F7" s="405">
        <f t="shared" si="4"/>
        <v>111572</v>
      </c>
      <c r="G7" s="405">
        <f t="shared" si="4"/>
        <v>112032</v>
      </c>
      <c r="H7" s="405">
        <f t="shared" si="4"/>
        <v>104874</v>
      </c>
      <c r="I7" s="405">
        <f t="shared" si="4"/>
        <v>105718</v>
      </c>
      <c r="J7" s="405">
        <f t="shared" si="4"/>
        <v>104451</v>
      </c>
      <c r="K7" s="405">
        <f t="shared" si="4"/>
        <v>110326</v>
      </c>
      <c r="L7" s="405">
        <f t="shared" si="4"/>
        <v>111896</v>
      </c>
      <c r="M7" s="405">
        <f t="shared" si="4"/>
        <v>111000</v>
      </c>
      <c r="N7" s="405">
        <f t="shared" si="4"/>
        <v>114756</v>
      </c>
      <c r="O7" s="405">
        <f>O118</f>
        <v>115385</v>
      </c>
      <c r="Q7" s="407"/>
    </row>
    <row r="8" spans="1:17">
      <c r="A8" s="404" t="s">
        <v>1929</v>
      </c>
      <c r="C8" s="404"/>
      <c r="D8" s="405">
        <f t="shared" ref="D8:I8" si="5">D167</f>
        <v>126230</v>
      </c>
      <c r="E8" s="405">
        <f t="shared" si="5"/>
        <v>126587</v>
      </c>
      <c r="F8" s="405">
        <f t="shared" si="5"/>
        <v>126706</v>
      </c>
      <c r="G8" s="405">
        <f t="shared" si="5"/>
        <v>128329</v>
      </c>
      <c r="H8" s="405">
        <f t="shared" si="5"/>
        <v>127883</v>
      </c>
      <c r="I8" s="405">
        <f t="shared" si="5"/>
        <v>125951</v>
      </c>
      <c r="J8" s="405">
        <f t="shared" ref="J8:O8" si="6">J167</f>
        <v>117938</v>
      </c>
      <c r="K8" s="405">
        <f t="shared" si="6"/>
        <v>124816</v>
      </c>
      <c r="L8" s="405">
        <f t="shared" si="6"/>
        <v>125114</v>
      </c>
      <c r="M8" s="405">
        <f t="shared" si="6"/>
        <v>123590</v>
      </c>
      <c r="N8" s="405">
        <f t="shared" si="6"/>
        <v>125339</v>
      </c>
      <c r="O8" s="405">
        <f t="shared" si="6"/>
        <v>127757</v>
      </c>
      <c r="Q8" s="407"/>
    </row>
    <row r="10" spans="1:17">
      <c r="A10" s="404" t="s">
        <v>5522</v>
      </c>
      <c r="D10" s="405">
        <f t="shared" ref="D10:N10" si="7">D3/5</f>
        <v>81520.800000000003</v>
      </c>
      <c r="E10" s="405">
        <f t="shared" si="7"/>
        <v>82145.600000000006</v>
      </c>
      <c r="F10" s="405">
        <f t="shared" si="7"/>
        <v>82431.199999999997</v>
      </c>
      <c r="G10" s="405">
        <f t="shared" si="7"/>
        <v>82905.600000000006</v>
      </c>
      <c r="H10" s="405">
        <f t="shared" si="7"/>
        <v>80794.8</v>
      </c>
      <c r="I10" s="405">
        <f t="shared" si="7"/>
        <v>80558.2</v>
      </c>
      <c r="J10" s="405">
        <f t="shared" si="7"/>
        <v>77806.399999999994</v>
      </c>
      <c r="K10" s="405">
        <f t="shared" si="7"/>
        <v>81824.2</v>
      </c>
      <c r="L10" s="405">
        <f t="shared" si="7"/>
        <v>82504.800000000003</v>
      </c>
      <c r="M10" s="405">
        <f t="shared" si="7"/>
        <v>81976.800000000003</v>
      </c>
      <c r="N10" s="405">
        <f t="shared" si="7"/>
        <v>84036.2</v>
      </c>
      <c r="O10" s="405">
        <f>O3/5</f>
        <v>85114</v>
      </c>
    </row>
    <row r="11" spans="1:17">
      <c r="D11" s="406"/>
      <c r="E11" s="406"/>
      <c r="F11" s="406"/>
      <c r="G11" s="406"/>
      <c r="H11" s="406"/>
      <c r="I11" s="406"/>
      <c r="J11" s="406"/>
      <c r="K11" s="406"/>
      <c r="L11" s="406"/>
      <c r="M11" s="406"/>
      <c r="N11" s="406"/>
      <c r="O11" s="406"/>
    </row>
    <row r="12" spans="1:17">
      <c r="A12" s="404" t="s">
        <v>1930</v>
      </c>
      <c r="D12" s="405">
        <f t="shared" ref="D12:I12" si="8">D110</f>
        <v>53929</v>
      </c>
      <c r="E12" s="405">
        <f t="shared" si="8"/>
        <v>54512</v>
      </c>
      <c r="F12" s="405">
        <f t="shared" si="8"/>
        <v>54966</v>
      </c>
      <c r="G12" s="405">
        <f t="shared" si="8"/>
        <v>54858</v>
      </c>
      <c r="H12" s="405">
        <f t="shared" si="8"/>
        <v>53931</v>
      </c>
      <c r="I12" s="405">
        <f t="shared" si="8"/>
        <v>53582</v>
      </c>
      <c r="J12" s="405">
        <f t="shared" ref="J12:O12" si="9">J110</f>
        <v>53560</v>
      </c>
      <c r="K12" s="405">
        <f t="shared" si="9"/>
        <v>55331</v>
      </c>
      <c r="L12" s="405">
        <f t="shared" si="9"/>
        <v>55593</v>
      </c>
      <c r="M12" s="405">
        <f t="shared" si="9"/>
        <v>55506</v>
      </c>
      <c r="N12" s="405">
        <f t="shared" si="9"/>
        <v>55775</v>
      </c>
      <c r="O12" s="405">
        <f t="shared" si="9"/>
        <v>57396</v>
      </c>
      <c r="Q12" s="404" t="s">
        <v>79</v>
      </c>
    </row>
    <row r="13" spans="1:17" ht="15.75" thickBot="1">
      <c r="D13" s="408">
        <f>D161</f>
        <v>27945</v>
      </c>
      <c r="E13" s="408">
        <f t="shared" ref="E13:N13" si="10">E161</f>
        <v>28424</v>
      </c>
      <c r="F13" s="408">
        <f t="shared" si="10"/>
        <v>27849</v>
      </c>
      <c r="G13" s="408">
        <f t="shared" si="10"/>
        <v>27870</v>
      </c>
      <c r="H13" s="408">
        <f t="shared" si="10"/>
        <v>27885</v>
      </c>
      <c r="I13" s="408">
        <f t="shared" si="10"/>
        <v>27213</v>
      </c>
      <c r="J13" s="408">
        <f t="shared" si="10"/>
        <v>26264</v>
      </c>
      <c r="K13" s="408">
        <f t="shared" si="10"/>
        <v>27176</v>
      </c>
      <c r="L13" s="408">
        <f t="shared" si="10"/>
        <v>27601</v>
      </c>
      <c r="M13" s="408">
        <f t="shared" si="10"/>
        <v>27343</v>
      </c>
      <c r="N13" s="408">
        <f t="shared" si="10"/>
        <v>27989</v>
      </c>
      <c r="O13" s="408">
        <f>O161</f>
        <v>28052</v>
      </c>
      <c r="Q13" s="404" t="s">
        <v>13264</v>
      </c>
    </row>
    <row r="14" spans="1:17" ht="15.75" thickBot="1">
      <c r="D14" s="408">
        <f t="shared" ref="D14:I14" si="11">D12+D13</f>
        <v>81874</v>
      </c>
      <c r="E14" s="408">
        <f t="shared" si="11"/>
        <v>82936</v>
      </c>
      <c r="F14" s="408">
        <f t="shared" si="11"/>
        <v>82815</v>
      </c>
      <c r="G14" s="408">
        <f t="shared" si="11"/>
        <v>82728</v>
      </c>
      <c r="H14" s="408">
        <f t="shared" si="11"/>
        <v>81816</v>
      </c>
      <c r="I14" s="408">
        <f t="shared" si="11"/>
        <v>80795</v>
      </c>
      <c r="J14" s="408">
        <f t="shared" ref="J14:O14" si="12">J12+J13</f>
        <v>79824</v>
      </c>
      <c r="K14" s="408">
        <f t="shared" si="12"/>
        <v>82507</v>
      </c>
      <c r="L14" s="408">
        <f t="shared" si="12"/>
        <v>83194</v>
      </c>
      <c r="M14" s="408">
        <f t="shared" si="12"/>
        <v>82849</v>
      </c>
      <c r="N14" s="408">
        <f t="shared" si="12"/>
        <v>83764</v>
      </c>
      <c r="O14" s="408">
        <f t="shared" si="12"/>
        <v>85448</v>
      </c>
    </row>
    <row r="15" spans="1:17">
      <c r="D15" s="406"/>
      <c r="E15" s="406"/>
      <c r="F15" s="406"/>
      <c r="G15" s="406"/>
      <c r="H15" s="406"/>
      <c r="I15" s="406"/>
      <c r="J15" s="406"/>
      <c r="K15" s="406"/>
      <c r="L15" s="406"/>
      <c r="M15" s="406"/>
      <c r="N15" s="406"/>
      <c r="O15" s="406"/>
    </row>
    <row r="16" spans="1:17">
      <c r="A16" s="404" t="s">
        <v>80</v>
      </c>
      <c r="D16" s="405">
        <f t="shared" ref="D16:I16" si="13">D73</f>
        <v>38103</v>
      </c>
      <c r="E16" s="405">
        <f t="shared" si="13"/>
        <v>38334</v>
      </c>
      <c r="F16" s="405">
        <f t="shared" si="13"/>
        <v>38424</v>
      </c>
      <c r="G16" s="405">
        <f t="shared" si="13"/>
        <v>38633</v>
      </c>
      <c r="H16" s="405">
        <f t="shared" si="13"/>
        <v>38187</v>
      </c>
      <c r="I16" s="405">
        <f t="shared" si="13"/>
        <v>38372</v>
      </c>
      <c r="J16" s="405">
        <f t="shared" ref="J16:O16" si="14">J73</f>
        <v>36210</v>
      </c>
      <c r="K16" s="405">
        <f t="shared" si="14"/>
        <v>38040</v>
      </c>
      <c r="L16" s="405">
        <f t="shared" si="14"/>
        <v>38448</v>
      </c>
      <c r="M16" s="405">
        <f t="shared" si="14"/>
        <v>38662</v>
      </c>
      <c r="N16" s="405">
        <f t="shared" si="14"/>
        <v>40737</v>
      </c>
      <c r="O16" s="405">
        <f t="shared" si="14"/>
        <v>40658</v>
      </c>
      <c r="Q16" s="404" t="s">
        <v>81</v>
      </c>
    </row>
    <row r="17" spans="1:17" ht="15.75" thickBot="1">
      <c r="D17" s="408">
        <f t="shared" ref="D17:I17" si="15">D208</f>
        <v>43463</v>
      </c>
      <c r="E17" s="408">
        <f t="shared" si="15"/>
        <v>43816</v>
      </c>
      <c r="F17" s="408">
        <f t="shared" si="15"/>
        <v>43946</v>
      </c>
      <c r="G17" s="408">
        <f t="shared" si="15"/>
        <v>44541</v>
      </c>
      <c r="H17" s="408">
        <f t="shared" si="15"/>
        <v>44463</v>
      </c>
      <c r="I17" s="408">
        <f t="shared" si="15"/>
        <v>43794</v>
      </c>
      <c r="J17" s="408">
        <f t="shared" ref="J17:O17" si="16">J208</f>
        <v>41587</v>
      </c>
      <c r="K17" s="408">
        <f t="shared" si="16"/>
        <v>43892</v>
      </c>
      <c r="L17" s="408">
        <f t="shared" si="16"/>
        <v>44039</v>
      </c>
      <c r="M17" s="408">
        <f t="shared" si="16"/>
        <v>43683</v>
      </c>
      <c r="N17" s="408">
        <f t="shared" si="16"/>
        <v>44405</v>
      </c>
      <c r="O17" s="408">
        <f t="shared" si="16"/>
        <v>45287</v>
      </c>
      <c r="Q17" s="404" t="s">
        <v>82</v>
      </c>
    </row>
    <row r="18" spans="1:17" ht="15.75" thickBot="1">
      <c r="D18" s="408">
        <f t="shared" ref="D18:I18" si="17">D16+D17</f>
        <v>81566</v>
      </c>
      <c r="E18" s="408">
        <f t="shared" si="17"/>
        <v>82150</v>
      </c>
      <c r="F18" s="408">
        <f t="shared" si="17"/>
        <v>82370</v>
      </c>
      <c r="G18" s="408">
        <f t="shared" si="17"/>
        <v>83174</v>
      </c>
      <c r="H18" s="408">
        <f t="shared" si="17"/>
        <v>82650</v>
      </c>
      <c r="I18" s="408">
        <f t="shared" si="17"/>
        <v>82166</v>
      </c>
      <c r="J18" s="408">
        <f t="shared" ref="J18:O18" si="18">J16+J17</f>
        <v>77797</v>
      </c>
      <c r="K18" s="408">
        <f t="shared" si="18"/>
        <v>81932</v>
      </c>
      <c r="L18" s="408">
        <f t="shared" si="18"/>
        <v>82487</v>
      </c>
      <c r="M18" s="408">
        <f t="shared" si="18"/>
        <v>82345</v>
      </c>
      <c r="N18" s="408">
        <f t="shared" si="18"/>
        <v>85142</v>
      </c>
      <c r="O18" s="408">
        <f t="shared" si="18"/>
        <v>85945</v>
      </c>
    </row>
    <row r="19" spans="1:17">
      <c r="D19" s="406"/>
      <c r="E19" s="406"/>
      <c r="F19" s="406"/>
      <c r="G19" s="406"/>
      <c r="H19" s="406"/>
      <c r="I19" s="406"/>
      <c r="J19" s="406"/>
      <c r="K19" s="406"/>
      <c r="L19" s="406"/>
      <c r="M19" s="406"/>
      <c r="N19" s="406"/>
      <c r="O19" s="406"/>
    </row>
    <row r="20" spans="1:17">
      <c r="A20" s="404" t="s">
        <v>83</v>
      </c>
      <c r="D20" s="405">
        <f>D162</f>
        <v>82281</v>
      </c>
      <c r="E20" s="405">
        <f t="shared" ref="E20:N20" si="19">E162</f>
        <v>82882</v>
      </c>
      <c r="F20" s="405">
        <f t="shared" si="19"/>
        <v>83723</v>
      </c>
      <c r="G20" s="405">
        <f t="shared" si="19"/>
        <v>84162</v>
      </c>
      <c r="H20" s="405">
        <f t="shared" si="19"/>
        <v>76989</v>
      </c>
      <c r="I20" s="405">
        <f t="shared" si="19"/>
        <v>78505</v>
      </c>
      <c r="J20" s="405">
        <f t="shared" si="19"/>
        <v>78187</v>
      </c>
      <c r="K20" s="405">
        <f t="shared" si="19"/>
        <v>83150</v>
      </c>
      <c r="L20" s="405">
        <f t="shared" si="19"/>
        <v>84295</v>
      </c>
      <c r="M20" s="405">
        <f t="shared" si="19"/>
        <v>83657</v>
      </c>
      <c r="N20" s="405">
        <f t="shared" si="19"/>
        <v>86767</v>
      </c>
      <c r="O20" s="405">
        <f>O162</f>
        <v>87333</v>
      </c>
      <c r="Q20" s="404" t="s">
        <v>13264</v>
      </c>
    </row>
    <row r="21" spans="1:17">
      <c r="D21" s="406"/>
      <c r="E21" s="406"/>
      <c r="F21" s="406"/>
      <c r="G21" s="406"/>
      <c r="H21" s="406"/>
      <c r="I21" s="406"/>
      <c r="J21" s="406"/>
      <c r="K21" s="406"/>
      <c r="L21" s="406"/>
      <c r="M21" s="406"/>
      <c r="N21" s="406"/>
      <c r="O21" s="406"/>
    </row>
    <row r="22" spans="1:17">
      <c r="A22" s="404" t="s">
        <v>84</v>
      </c>
      <c r="D22" s="405">
        <f t="shared" ref="D22:I22" si="20">D74</f>
        <v>45499</v>
      </c>
      <c r="E22" s="405">
        <f t="shared" si="20"/>
        <v>46037</v>
      </c>
      <c r="F22" s="405">
        <f t="shared" si="20"/>
        <v>46455</v>
      </c>
      <c r="G22" s="405">
        <f t="shared" si="20"/>
        <v>46800</v>
      </c>
      <c r="H22" s="405">
        <f t="shared" si="20"/>
        <v>45590</v>
      </c>
      <c r="I22" s="405">
        <f t="shared" si="20"/>
        <v>45958</v>
      </c>
      <c r="J22" s="405">
        <f t="shared" ref="J22:O22" si="21">J74</f>
        <v>43559</v>
      </c>
      <c r="K22" s="405">
        <f t="shared" si="21"/>
        <v>46170</v>
      </c>
      <c r="L22" s="405">
        <f t="shared" si="21"/>
        <v>46944</v>
      </c>
      <c r="M22" s="405">
        <f t="shared" si="21"/>
        <v>46804</v>
      </c>
      <c r="N22" s="405">
        <f t="shared" si="21"/>
        <v>49057</v>
      </c>
      <c r="O22" s="405">
        <f t="shared" si="21"/>
        <v>48890</v>
      </c>
      <c r="Q22" s="404" t="s">
        <v>81</v>
      </c>
    </row>
    <row r="23" spans="1:17" ht="15.75" thickBot="1">
      <c r="D23" s="408">
        <f t="shared" ref="D23:I23" si="22">D111</f>
        <v>33617</v>
      </c>
      <c r="E23" s="408">
        <f t="shared" si="22"/>
        <v>33952</v>
      </c>
      <c r="F23" s="408">
        <f t="shared" si="22"/>
        <v>34033</v>
      </c>
      <c r="G23" s="408">
        <f t="shared" si="22"/>
        <v>33876</v>
      </c>
      <c r="H23" s="408">
        <f t="shared" si="22"/>
        <v>33509</v>
      </c>
      <c r="I23" s="408">
        <f t="shared" si="22"/>
        <v>33210</v>
      </c>
      <c r="J23" s="408">
        <f t="shared" ref="J23:O23" si="23">J111</f>
        <v>33314</v>
      </c>
      <c r="K23" s="408">
        <f t="shared" si="23"/>
        <v>34438</v>
      </c>
      <c r="L23" s="408">
        <f t="shared" si="23"/>
        <v>34529</v>
      </c>
      <c r="M23" s="408">
        <f t="shared" si="23"/>
        <v>34322</v>
      </c>
      <c r="N23" s="408">
        <f t="shared" si="23"/>
        <v>34517</v>
      </c>
      <c r="O23" s="408">
        <f t="shared" si="23"/>
        <v>35484</v>
      </c>
      <c r="Q23" s="404" t="s">
        <v>79</v>
      </c>
    </row>
    <row r="24" spans="1:17" ht="15.75" thickBot="1">
      <c r="D24" s="408">
        <f t="shared" ref="D24:I24" si="24">D22+D23</f>
        <v>79116</v>
      </c>
      <c r="E24" s="408">
        <f t="shared" si="24"/>
        <v>79989</v>
      </c>
      <c r="F24" s="408">
        <f t="shared" si="24"/>
        <v>80488</v>
      </c>
      <c r="G24" s="408">
        <f t="shared" si="24"/>
        <v>80676</v>
      </c>
      <c r="H24" s="408">
        <f t="shared" si="24"/>
        <v>79099</v>
      </c>
      <c r="I24" s="408">
        <f t="shared" si="24"/>
        <v>79168</v>
      </c>
      <c r="J24" s="408">
        <f t="shared" ref="J24:O24" si="25">J22+J23</f>
        <v>76873</v>
      </c>
      <c r="K24" s="408">
        <f t="shared" si="25"/>
        <v>80608</v>
      </c>
      <c r="L24" s="408">
        <f t="shared" si="25"/>
        <v>81473</v>
      </c>
      <c r="M24" s="408">
        <f t="shared" si="25"/>
        <v>81126</v>
      </c>
      <c r="N24" s="408">
        <f t="shared" si="25"/>
        <v>83574</v>
      </c>
      <c r="O24" s="408">
        <f t="shared" si="25"/>
        <v>84374</v>
      </c>
    </row>
    <row r="25" spans="1:17">
      <c r="D25" s="406"/>
      <c r="E25" s="406"/>
      <c r="F25" s="406"/>
      <c r="G25" s="406"/>
      <c r="H25" s="406"/>
      <c r="I25" s="406"/>
      <c r="J25" s="406"/>
      <c r="K25" s="406"/>
      <c r="L25" s="406"/>
      <c r="M25" s="406"/>
      <c r="N25" s="406"/>
      <c r="O25" s="406"/>
    </row>
    <row r="26" spans="1:17">
      <c r="A26" s="404" t="s">
        <v>85</v>
      </c>
      <c r="D26" s="405">
        <f t="shared" ref="D26:I26" si="26">D209</f>
        <v>82767</v>
      </c>
      <c r="E26" s="405">
        <f t="shared" si="26"/>
        <v>82771</v>
      </c>
      <c r="F26" s="405">
        <f t="shared" si="26"/>
        <v>82760</v>
      </c>
      <c r="G26" s="405">
        <f t="shared" si="26"/>
        <v>83788</v>
      </c>
      <c r="H26" s="405">
        <f t="shared" si="26"/>
        <v>83420</v>
      </c>
      <c r="I26" s="405">
        <f t="shared" si="26"/>
        <v>82157</v>
      </c>
      <c r="J26" s="405">
        <f t="shared" ref="J26:O26" si="27">J209</f>
        <v>76351</v>
      </c>
      <c r="K26" s="405">
        <f t="shared" si="27"/>
        <v>80924</v>
      </c>
      <c r="L26" s="405">
        <f t="shared" si="27"/>
        <v>81075</v>
      </c>
      <c r="M26" s="405">
        <f t="shared" si="27"/>
        <v>79907</v>
      </c>
      <c r="N26" s="405">
        <f t="shared" si="27"/>
        <v>80934</v>
      </c>
      <c r="O26" s="405">
        <f t="shared" si="27"/>
        <v>82470</v>
      </c>
      <c r="Q26" s="404" t="s">
        <v>82</v>
      </c>
    </row>
    <row r="27" spans="1:17">
      <c r="D27" s="406"/>
      <c r="E27" s="406"/>
      <c r="F27" s="406"/>
      <c r="G27" s="406"/>
      <c r="H27" s="406"/>
      <c r="I27" s="406"/>
      <c r="J27" s="406"/>
      <c r="K27" s="406"/>
      <c r="L27" s="406"/>
      <c r="M27" s="406"/>
      <c r="N27" s="406"/>
      <c r="O27" s="406"/>
    </row>
    <row r="28" spans="1:17">
      <c r="A28" s="404" t="s">
        <v>6796</v>
      </c>
      <c r="D28" s="405">
        <f t="shared" ref="D28:I28" si="28">D14+D18+D20+D24+D26</f>
        <v>407604</v>
      </c>
      <c r="E28" s="405">
        <f t="shared" si="28"/>
        <v>410728</v>
      </c>
      <c r="F28" s="405">
        <f t="shared" si="28"/>
        <v>412156</v>
      </c>
      <c r="G28" s="405">
        <f t="shared" si="28"/>
        <v>414528</v>
      </c>
      <c r="H28" s="405">
        <f t="shared" si="28"/>
        <v>403974</v>
      </c>
      <c r="I28" s="405">
        <f t="shared" si="28"/>
        <v>402791</v>
      </c>
      <c r="J28" s="405">
        <f t="shared" ref="J28:O28" si="29">J14+J18+J20+J24+J26</f>
        <v>389032</v>
      </c>
      <c r="K28" s="405">
        <f t="shared" si="29"/>
        <v>409121</v>
      </c>
      <c r="L28" s="405">
        <f t="shared" si="29"/>
        <v>412524</v>
      </c>
      <c r="M28" s="405">
        <f t="shared" si="29"/>
        <v>409884</v>
      </c>
      <c r="N28" s="405">
        <f t="shared" si="29"/>
        <v>420181</v>
      </c>
      <c r="O28" s="405">
        <f t="shared" si="29"/>
        <v>425570</v>
      </c>
    </row>
    <row r="29" spans="1:17">
      <c r="D29" s="406"/>
      <c r="E29" s="406"/>
      <c r="F29" s="406"/>
      <c r="G29" s="406"/>
      <c r="H29" s="406"/>
      <c r="I29" s="406"/>
      <c r="J29" s="406"/>
      <c r="K29" s="406"/>
      <c r="L29" s="406"/>
      <c r="M29" s="406"/>
      <c r="N29" s="406"/>
      <c r="O29" s="406"/>
    </row>
    <row r="30" spans="1:17">
      <c r="A30" s="404" t="s">
        <v>6797</v>
      </c>
      <c r="D30" s="405">
        <f t="shared" ref="D30:I30" si="30">MAX(D14,D18,D20,D24,D26)-MIN(D14,D18,D20,D24,D26)</f>
        <v>3651</v>
      </c>
      <c r="E30" s="405">
        <f t="shared" si="30"/>
        <v>2947</v>
      </c>
      <c r="F30" s="405">
        <f t="shared" si="30"/>
        <v>3235</v>
      </c>
      <c r="G30" s="405">
        <f t="shared" si="30"/>
        <v>3486</v>
      </c>
      <c r="H30" s="405">
        <f t="shared" si="30"/>
        <v>6431</v>
      </c>
      <c r="I30" s="405">
        <f t="shared" si="30"/>
        <v>3661</v>
      </c>
      <c r="J30" s="405">
        <f t="shared" ref="J30:O30" si="31">MAX(J14,J18,J20,J24,J26)-MIN(J14,J18,J20,J24,J26)</f>
        <v>3473</v>
      </c>
      <c r="K30" s="405">
        <f t="shared" si="31"/>
        <v>2542</v>
      </c>
      <c r="L30" s="405">
        <f t="shared" si="31"/>
        <v>3220</v>
      </c>
      <c r="M30" s="405">
        <f t="shared" si="31"/>
        <v>3750</v>
      </c>
      <c r="N30" s="405">
        <f t="shared" si="31"/>
        <v>5833</v>
      </c>
      <c r="O30" s="405">
        <f t="shared" si="31"/>
        <v>4863</v>
      </c>
    </row>
    <row r="31" spans="1:17">
      <c r="D31" s="406"/>
      <c r="E31" s="406"/>
      <c r="F31" s="406"/>
      <c r="G31" s="406"/>
      <c r="H31" s="406"/>
      <c r="I31" s="406"/>
      <c r="J31" s="406"/>
      <c r="K31" s="406"/>
      <c r="L31" s="406"/>
      <c r="M31" s="406"/>
      <c r="N31" s="406"/>
      <c r="O31" s="406"/>
    </row>
    <row r="32" spans="1:17">
      <c r="A32" s="404" t="s">
        <v>6800</v>
      </c>
      <c r="D32" s="405">
        <f t="shared" ref="D32:I32" si="32">STDEVP(D14,D18,D20,D24,D26)</f>
        <v>1268.1304980166669</v>
      </c>
      <c r="E32" s="405">
        <f t="shared" si="32"/>
        <v>1114.3684489431671</v>
      </c>
      <c r="F32" s="405">
        <f t="shared" si="32"/>
        <v>1068.0759149049284</v>
      </c>
      <c r="G32" s="405">
        <f t="shared" si="32"/>
        <v>1219.1691597149265</v>
      </c>
      <c r="H32" s="405">
        <f t="shared" si="32"/>
        <v>2397.3378068182215</v>
      </c>
      <c r="I32" s="405">
        <f t="shared" si="32"/>
        <v>1506.3560535278502</v>
      </c>
      <c r="J32" s="405">
        <f t="shared" ref="J32:O32" si="33">STDEVP(J14,J18,J20,J24,J26)</f>
        <v>1200.4231920452053</v>
      </c>
      <c r="K32" s="405">
        <f t="shared" si="33"/>
        <v>951.32379345835761</v>
      </c>
      <c r="L32" s="405">
        <f t="shared" si="33"/>
        <v>1165.2526592975448</v>
      </c>
      <c r="M32" s="405">
        <f t="shared" si="33"/>
        <v>1321.159248538949</v>
      </c>
      <c r="N32" s="405">
        <f t="shared" si="33"/>
        <v>1928.2857049721649</v>
      </c>
      <c r="O32" s="405">
        <f t="shared" si="33"/>
        <v>1628.7672639146454</v>
      </c>
    </row>
    <row r="33" spans="1:17">
      <c r="A33" s="404"/>
      <c r="D33" s="405"/>
      <c r="E33" s="405"/>
      <c r="F33" s="405"/>
      <c r="G33" s="405"/>
      <c r="H33" s="405"/>
      <c r="I33" s="405"/>
      <c r="J33" s="405"/>
      <c r="K33" s="405"/>
      <c r="L33" s="405"/>
      <c r="M33" s="405"/>
      <c r="N33" s="405"/>
      <c r="O33" s="405"/>
    </row>
    <row r="34" spans="1:17">
      <c r="A34" s="404"/>
      <c r="D34" s="409"/>
      <c r="E34" s="409"/>
      <c r="F34" s="409"/>
      <c r="G34" s="409"/>
      <c r="H34" s="409"/>
      <c r="I34" s="409"/>
      <c r="J34" s="409"/>
      <c r="K34" s="409"/>
      <c r="L34" s="409"/>
      <c r="M34" s="409"/>
      <c r="N34" s="409"/>
      <c r="O34" s="409"/>
    </row>
    <row r="35" spans="1:17">
      <c r="E35" s="51" t="s">
        <v>1526</v>
      </c>
      <c r="F35" s="51"/>
      <c r="G35" s="51"/>
      <c r="H35" s="51"/>
      <c r="I35" s="51"/>
      <c r="J35" s="51"/>
      <c r="K35" s="51"/>
      <c r="L35" s="51"/>
      <c r="M35" s="51"/>
      <c r="N35" s="51"/>
      <c r="O35" s="51"/>
      <c r="Q35" s="11" t="s">
        <v>9479</v>
      </c>
    </row>
    <row r="36" spans="1:17">
      <c r="D36" s="350">
        <v>2010</v>
      </c>
      <c r="E36" s="350">
        <v>2011</v>
      </c>
      <c r="F36" s="350">
        <v>2012</v>
      </c>
      <c r="G36" s="350">
        <v>2013</v>
      </c>
      <c r="H36" s="350">
        <v>2014</v>
      </c>
      <c r="I36" s="350">
        <v>2015</v>
      </c>
      <c r="J36" s="350">
        <v>2016</v>
      </c>
      <c r="K36" s="350">
        <v>2017</v>
      </c>
      <c r="L36" s="350">
        <v>2018</v>
      </c>
      <c r="M36" s="350">
        <v>2019</v>
      </c>
      <c r="N36" s="350">
        <v>2020</v>
      </c>
      <c r="O36" s="944" t="s">
        <v>14823</v>
      </c>
      <c r="P36" s="410"/>
      <c r="Q36" s="13" t="s">
        <v>1527</v>
      </c>
    </row>
    <row r="37" spans="1:17">
      <c r="A37" s="404" t="s">
        <v>86</v>
      </c>
      <c r="C37" s="404"/>
      <c r="D37" s="405">
        <f t="shared" ref="D37:I37" si="34">SUM(D38:D71)</f>
        <v>83602</v>
      </c>
      <c r="E37" s="405">
        <f t="shared" si="34"/>
        <v>84371</v>
      </c>
      <c r="F37" s="405">
        <f t="shared" si="34"/>
        <v>84879</v>
      </c>
      <c r="G37" s="405">
        <f t="shared" si="34"/>
        <v>85433</v>
      </c>
      <c r="H37" s="405">
        <f t="shared" si="34"/>
        <v>83777</v>
      </c>
      <c r="I37" s="405">
        <f t="shared" si="34"/>
        <v>84330</v>
      </c>
      <c r="J37" s="405">
        <f t="shared" ref="J37:O37" si="35">SUM(J38:J71)</f>
        <v>79769</v>
      </c>
      <c r="K37" s="405">
        <f t="shared" si="35"/>
        <v>84210</v>
      </c>
      <c r="L37" s="405">
        <f t="shared" si="35"/>
        <v>85392</v>
      </c>
      <c r="M37" s="405">
        <f t="shared" si="35"/>
        <v>85466</v>
      </c>
      <c r="N37" s="405">
        <f t="shared" si="35"/>
        <v>89794</v>
      </c>
      <c r="O37" s="405">
        <f t="shared" si="35"/>
        <v>89548</v>
      </c>
    </row>
    <row r="38" spans="1:17">
      <c r="A38" s="411">
        <v>1</v>
      </c>
      <c r="B38" s="404" t="s">
        <v>87</v>
      </c>
      <c r="C38" s="55" t="s">
        <v>8715</v>
      </c>
      <c r="D38" s="406">
        <v>1889</v>
      </c>
      <c r="E38" s="406">
        <v>1905</v>
      </c>
      <c r="F38" s="406">
        <v>1845</v>
      </c>
      <c r="G38" s="406">
        <v>1874</v>
      </c>
      <c r="H38" s="63">
        <v>1843</v>
      </c>
      <c r="I38" s="63">
        <v>1871</v>
      </c>
      <c r="J38" s="63">
        <v>1810</v>
      </c>
      <c r="K38" s="63">
        <v>1880</v>
      </c>
      <c r="L38" s="63">
        <v>1937</v>
      </c>
      <c r="M38" s="63">
        <v>1963</v>
      </c>
      <c r="N38" s="63">
        <v>2007</v>
      </c>
      <c r="O38" s="63">
        <v>2002</v>
      </c>
      <c r="Q38" s="404" t="s">
        <v>80</v>
      </c>
    </row>
    <row r="39" spans="1:17">
      <c r="A39" s="411">
        <v>2</v>
      </c>
      <c r="B39" s="404" t="s">
        <v>88</v>
      </c>
      <c r="C39" s="55" t="s">
        <v>8716</v>
      </c>
      <c r="D39" s="406">
        <v>3528</v>
      </c>
      <c r="E39" s="406">
        <v>3609</v>
      </c>
      <c r="F39" s="406">
        <v>3638</v>
      </c>
      <c r="G39" s="406">
        <v>3633</v>
      </c>
      <c r="H39" s="63">
        <v>3502</v>
      </c>
      <c r="I39" s="63">
        <v>3550</v>
      </c>
      <c r="J39" s="63">
        <v>3342</v>
      </c>
      <c r="K39" s="63">
        <v>3548</v>
      </c>
      <c r="L39" s="63">
        <v>3589</v>
      </c>
      <c r="M39" s="63">
        <v>3599</v>
      </c>
      <c r="N39" s="63">
        <v>3826</v>
      </c>
      <c r="O39" s="63">
        <v>3801</v>
      </c>
      <c r="Q39" s="404" t="s">
        <v>84</v>
      </c>
    </row>
    <row r="40" spans="1:17">
      <c r="A40" s="411">
        <v>3</v>
      </c>
      <c r="B40" s="404" t="s">
        <v>89</v>
      </c>
      <c r="C40" s="55" t="s">
        <v>8717</v>
      </c>
      <c r="D40" s="406">
        <v>1731</v>
      </c>
      <c r="E40" s="406">
        <v>1717</v>
      </c>
      <c r="F40" s="406">
        <v>1725</v>
      </c>
      <c r="G40" s="406">
        <v>1714</v>
      </c>
      <c r="H40" s="63">
        <v>1683</v>
      </c>
      <c r="I40" s="63">
        <v>1671</v>
      </c>
      <c r="J40" s="63">
        <v>1573</v>
      </c>
      <c r="K40" s="63">
        <v>1693</v>
      </c>
      <c r="L40" s="63">
        <v>1738</v>
      </c>
      <c r="M40" s="63">
        <v>1779</v>
      </c>
      <c r="N40" s="63">
        <v>1915</v>
      </c>
      <c r="O40" s="63">
        <v>1905</v>
      </c>
      <c r="Q40" s="404" t="s">
        <v>80</v>
      </c>
    </row>
    <row r="41" spans="1:17">
      <c r="A41" s="411">
        <v>4</v>
      </c>
      <c r="B41" s="404" t="s">
        <v>90</v>
      </c>
      <c r="C41" s="55" t="s">
        <v>8718</v>
      </c>
      <c r="D41" s="406">
        <v>1808</v>
      </c>
      <c r="E41" s="406">
        <v>1822</v>
      </c>
      <c r="F41" s="406">
        <v>1828</v>
      </c>
      <c r="G41" s="406">
        <v>1816</v>
      </c>
      <c r="H41" s="63">
        <v>1766</v>
      </c>
      <c r="I41" s="63">
        <v>1794</v>
      </c>
      <c r="J41" s="63">
        <v>1702</v>
      </c>
      <c r="K41" s="63">
        <v>1807</v>
      </c>
      <c r="L41" s="63">
        <v>1879</v>
      </c>
      <c r="M41" s="63">
        <v>1899</v>
      </c>
      <c r="N41" s="63">
        <v>2006</v>
      </c>
      <c r="O41" s="63">
        <v>2005</v>
      </c>
      <c r="Q41" s="404" t="s">
        <v>80</v>
      </c>
    </row>
    <row r="42" spans="1:17">
      <c r="A42" s="411">
        <v>5</v>
      </c>
      <c r="B42" s="404" t="s">
        <v>91</v>
      </c>
      <c r="C42" s="55" t="s">
        <v>8719</v>
      </c>
      <c r="D42" s="406">
        <v>1755</v>
      </c>
      <c r="E42" s="406">
        <v>1754</v>
      </c>
      <c r="F42" s="406">
        <v>1765</v>
      </c>
      <c r="G42" s="406">
        <v>1737</v>
      </c>
      <c r="H42" s="63">
        <v>1672</v>
      </c>
      <c r="I42" s="63">
        <v>1690</v>
      </c>
      <c r="J42" s="63">
        <v>1611</v>
      </c>
      <c r="K42" s="63">
        <v>1697</v>
      </c>
      <c r="L42" s="63">
        <v>1703</v>
      </c>
      <c r="M42" s="63">
        <v>1734</v>
      </c>
      <c r="N42" s="63">
        <v>1833</v>
      </c>
      <c r="O42" s="63">
        <v>1821</v>
      </c>
      <c r="Q42" s="404" t="s">
        <v>84</v>
      </c>
    </row>
    <row r="43" spans="1:17">
      <c r="A43" s="411">
        <v>6</v>
      </c>
      <c r="B43" s="404" t="s">
        <v>92</v>
      </c>
      <c r="C43" s="55" t="s">
        <v>8720</v>
      </c>
      <c r="D43" s="406">
        <v>3760</v>
      </c>
      <c r="E43" s="406">
        <v>3758</v>
      </c>
      <c r="F43" s="406">
        <v>3804</v>
      </c>
      <c r="G43" s="406">
        <v>3831</v>
      </c>
      <c r="H43" s="63">
        <v>3841</v>
      </c>
      <c r="I43" s="63">
        <v>3843</v>
      </c>
      <c r="J43" s="63">
        <v>3570</v>
      </c>
      <c r="K43" s="63">
        <v>3771</v>
      </c>
      <c r="L43" s="63">
        <v>3775</v>
      </c>
      <c r="M43" s="63">
        <v>3776</v>
      </c>
      <c r="N43" s="63">
        <v>3928</v>
      </c>
      <c r="O43" s="63">
        <v>3922</v>
      </c>
      <c r="Q43" s="404" t="s">
        <v>80</v>
      </c>
    </row>
    <row r="44" spans="1:17">
      <c r="A44" s="411">
        <v>7</v>
      </c>
      <c r="B44" s="404" t="s">
        <v>93</v>
      </c>
      <c r="C44" s="55" t="s">
        <v>8721</v>
      </c>
      <c r="D44" s="406">
        <v>1857</v>
      </c>
      <c r="E44" s="406">
        <v>1844</v>
      </c>
      <c r="F44" s="406">
        <v>1831</v>
      </c>
      <c r="G44" s="406">
        <v>1824</v>
      </c>
      <c r="H44" s="63">
        <v>1823</v>
      </c>
      <c r="I44" s="63">
        <v>1832</v>
      </c>
      <c r="J44" s="63">
        <v>1744</v>
      </c>
      <c r="K44" s="63">
        <v>1852</v>
      </c>
      <c r="L44" s="63">
        <v>1851</v>
      </c>
      <c r="M44" s="63">
        <v>1841</v>
      </c>
      <c r="N44" s="63">
        <v>1926</v>
      </c>
      <c r="O44" s="63">
        <v>1926</v>
      </c>
      <c r="Q44" s="404" t="s">
        <v>80</v>
      </c>
    </row>
    <row r="45" spans="1:17">
      <c r="A45" s="411">
        <v>8</v>
      </c>
      <c r="B45" s="404" t="s">
        <v>94</v>
      </c>
      <c r="C45" s="55" t="s">
        <v>8722</v>
      </c>
      <c r="D45" s="406">
        <v>1845</v>
      </c>
      <c r="E45" s="406">
        <v>1830</v>
      </c>
      <c r="F45" s="406">
        <v>1859</v>
      </c>
      <c r="G45" s="406">
        <v>1864</v>
      </c>
      <c r="H45" s="63">
        <v>1882</v>
      </c>
      <c r="I45" s="63">
        <v>1838</v>
      </c>
      <c r="J45" s="63">
        <v>1755</v>
      </c>
      <c r="K45" s="63">
        <v>1870</v>
      </c>
      <c r="L45" s="63">
        <v>1905</v>
      </c>
      <c r="M45" s="63">
        <v>1963</v>
      </c>
      <c r="N45" s="63">
        <v>2053</v>
      </c>
      <c r="O45" s="63">
        <v>2044</v>
      </c>
      <c r="Q45" s="404" t="s">
        <v>80</v>
      </c>
    </row>
    <row r="46" spans="1:17">
      <c r="A46" s="411">
        <v>9</v>
      </c>
      <c r="B46" s="128" t="s">
        <v>95</v>
      </c>
      <c r="C46" s="55" t="s">
        <v>8723</v>
      </c>
      <c r="D46" s="406">
        <v>1950</v>
      </c>
      <c r="E46" s="406">
        <v>2002</v>
      </c>
      <c r="F46" s="406">
        <v>2005</v>
      </c>
      <c r="G46" s="406">
        <v>2031</v>
      </c>
      <c r="H46" s="63">
        <v>2091</v>
      </c>
      <c r="I46" s="63">
        <v>2136</v>
      </c>
      <c r="J46" s="63">
        <v>1930</v>
      </c>
      <c r="K46" s="63">
        <v>2078</v>
      </c>
      <c r="L46" s="63">
        <v>2082</v>
      </c>
      <c r="M46" s="63">
        <v>2112</v>
      </c>
      <c r="N46" s="63">
        <v>2214</v>
      </c>
      <c r="O46" s="63">
        <v>2223</v>
      </c>
      <c r="Q46" s="404" t="s">
        <v>84</v>
      </c>
    </row>
    <row r="47" spans="1:17">
      <c r="A47" s="411">
        <v>10</v>
      </c>
      <c r="B47" s="404" t="s">
        <v>96</v>
      </c>
      <c r="C47" s="55" t="s">
        <v>8724</v>
      </c>
      <c r="D47" s="406">
        <v>3513</v>
      </c>
      <c r="E47" s="406">
        <v>3486</v>
      </c>
      <c r="F47" s="406">
        <v>3502</v>
      </c>
      <c r="G47" s="406">
        <v>3473</v>
      </c>
      <c r="H47" s="63">
        <v>3439</v>
      </c>
      <c r="I47" s="63">
        <v>3438</v>
      </c>
      <c r="J47" s="63">
        <v>3265</v>
      </c>
      <c r="K47" s="63">
        <v>3361</v>
      </c>
      <c r="L47" s="63">
        <v>3380</v>
      </c>
      <c r="M47" s="63">
        <v>3357</v>
      </c>
      <c r="N47" s="63">
        <v>3435</v>
      </c>
      <c r="O47" s="63">
        <v>3424</v>
      </c>
      <c r="Q47" s="404" t="s">
        <v>80</v>
      </c>
    </row>
    <row r="48" spans="1:17">
      <c r="A48" s="411">
        <v>11</v>
      </c>
      <c r="B48" s="404" t="s">
        <v>97</v>
      </c>
      <c r="C48" s="55" t="s">
        <v>8725</v>
      </c>
      <c r="D48" s="406">
        <v>3533</v>
      </c>
      <c r="E48" s="406">
        <v>3501</v>
      </c>
      <c r="F48" s="406">
        <v>3482</v>
      </c>
      <c r="G48" s="406">
        <v>3487</v>
      </c>
      <c r="H48" s="63">
        <v>3418</v>
      </c>
      <c r="I48" s="63">
        <v>3423</v>
      </c>
      <c r="J48" s="63">
        <v>3230</v>
      </c>
      <c r="K48" s="63">
        <v>3337</v>
      </c>
      <c r="L48" s="63">
        <v>3304</v>
      </c>
      <c r="M48" s="63">
        <v>3278</v>
      </c>
      <c r="N48" s="63">
        <v>3442</v>
      </c>
      <c r="O48" s="63">
        <v>3444</v>
      </c>
      <c r="Q48" s="404" t="s">
        <v>80</v>
      </c>
    </row>
    <row r="49" spans="1:17">
      <c r="A49" s="411">
        <v>12</v>
      </c>
      <c r="B49" s="404" t="s">
        <v>98</v>
      </c>
      <c r="C49" s="55" t="s">
        <v>8726</v>
      </c>
      <c r="D49" s="406">
        <v>3401</v>
      </c>
      <c r="E49" s="406">
        <v>3453</v>
      </c>
      <c r="F49" s="406">
        <v>3528</v>
      </c>
      <c r="G49" s="406">
        <v>3808</v>
      </c>
      <c r="H49" s="63">
        <v>3881</v>
      </c>
      <c r="I49" s="63">
        <v>3933</v>
      </c>
      <c r="J49" s="63">
        <v>3692</v>
      </c>
      <c r="K49" s="63">
        <v>3852</v>
      </c>
      <c r="L49" s="63">
        <v>3950</v>
      </c>
      <c r="M49" s="63">
        <v>4142</v>
      </c>
      <c r="N49" s="63">
        <v>4633</v>
      </c>
      <c r="O49" s="63">
        <v>4641</v>
      </c>
      <c r="Q49" s="404" t="s">
        <v>80</v>
      </c>
    </row>
    <row r="50" spans="1:17">
      <c r="A50" s="411">
        <v>13</v>
      </c>
      <c r="B50" s="404" t="s">
        <v>99</v>
      </c>
      <c r="C50" s="55" t="s">
        <v>8727</v>
      </c>
      <c r="D50" s="406">
        <v>3675</v>
      </c>
      <c r="E50" s="406">
        <v>3801</v>
      </c>
      <c r="F50" s="406">
        <v>3836</v>
      </c>
      <c r="G50" s="406">
        <v>3811</v>
      </c>
      <c r="H50" s="63">
        <v>3548</v>
      </c>
      <c r="I50" s="63">
        <v>3561</v>
      </c>
      <c r="J50" s="63">
        <v>3384</v>
      </c>
      <c r="K50" s="63">
        <v>3618</v>
      </c>
      <c r="L50" s="63">
        <v>3627</v>
      </c>
      <c r="M50" s="63">
        <v>3594</v>
      </c>
      <c r="N50" s="63">
        <v>3799</v>
      </c>
      <c r="O50" s="63">
        <v>3779</v>
      </c>
      <c r="Q50" s="404" t="s">
        <v>80</v>
      </c>
    </row>
    <row r="51" spans="1:17">
      <c r="A51" s="411">
        <v>14</v>
      </c>
      <c r="B51" s="404" t="s">
        <v>100</v>
      </c>
      <c r="C51" s="55" t="s">
        <v>8728</v>
      </c>
      <c r="D51" s="406">
        <v>2016</v>
      </c>
      <c r="E51" s="406">
        <v>1965</v>
      </c>
      <c r="F51" s="406">
        <v>1969</v>
      </c>
      <c r="G51" s="406">
        <v>1908</v>
      </c>
      <c r="H51" s="63">
        <v>1857</v>
      </c>
      <c r="I51" s="63">
        <v>1868</v>
      </c>
      <c r="J51" s="63">
        <v>1791</v>
      </c>
      <c r="K51" s="63">
        <v>1864</v>
      </c>
      <c r="L51" s="63">
        <v>1866</v>
      </c>
      <c r="M51" s="63">
        <v>1941</v>
      </c>
      <c r="N51" s="63">
        <v>2041</v>
      </c>
      <c r="O51" s="63">
        <v>2045</v>
      </c>
      <c r="Q51" s="404" t="s">
        <v>80</v>
      </c>
    </row>
    <row r="52" spans="1:17">
      <c r="A52" s="411">
        <v>15</v>
      </c>
      <c r="B52" s="404" t="s">
        <v>101</v>
      </c>
      <c r="C52" s="55" t="s">
        <v>8729</v>
      </c>
      <c r="D52" s="406">
        <v>3732</v>
      </c>
      <c r="E52" s="406">
        <v>3790</v>
      </c>
      <c r="F52" s="406">
        <v>3782</v>
      </c>
      <c r="G52" s="406">
        <v>3802</v>
      </c>
      <c r="H52" s="63">
        <v>3737</v>
      </c>
      <c r="I52" s="63">
        <v>3720</v>
      </c>
      <c r="J52" s="63">
        <v>3453</v>
      </c>
      <c r="K52" s="63">
        <v>3609</v>
      </c>
      <c r="L52" s="63">
        <v>3654</v>
      </c>
      <c r="M52" s="63">
        <v>3589</v>
      </c>
      <c r="N52" s="63">
        <v>3730</v>
      </c>
      <c r="O52" s="63">
        <v>3709</v>
      </c>
      <c r="Q52" s="404" t="s">
        <v>80</v>
      </c>
    </row>
    <row r="53" spans="1:17">
      <c r="A53" s="411">
        <v>16</v>
      </c>
      <c r="B53" s="404" t="s">
        <v>102</v>
      </c>
      <c r="C53" s="55" t="s">
        <v>8730</v>
      </c>
      <c r="D53" s="406">
        <v>1771</v>
      </c>
      <c r="E53" s="406">
        <v>1880</v>
      </c>
      <c r="F53" s="406">
        <v>1939</v>
      </c>
      <c r="G53" s="406">
        <v>1951</v>
      </c>
      <c r="H53" s="63">
        <v>1962</v>
      </c>
      <c r="I53" s="63">
        <v>1956</v>
      </c>
      <c r="J53" s="63">
        <v>1734</v>
      </c>
      <c r="K53" s="63">
        <v>1883</v>
      </c>
      <c r="L53" s="63">
        <v>1888</v>
      </c>
      <c r="M53" s="63">
        <v>1873</v>
      </c>
      <c r="N53" s="63">
        <v>1998</v>
      </c>
      <c r="O53" s="63">
        <v>1987</v>
      </c>
      <c r="Q53" s="404" t="s">
        <v>84</v>
      </c>
    </row>
    <row r="54" spans="1:17">
      <c r="A54" s="411">
        <v>17</v>
      </c>
      <c r="B54" s="404" t="s">
        <v>103</v>
      </c>
      <c r="C54" s="55" t="s">
        <v>8731</v>
      </c>
      <c r="D54" s="406">
        <v>1735</v>
      </c>
      <c r="E54" s="406">
        <v>1751</v>
      </c>
      <c r="F54" s="406">
        <v>1728</v>
      </c>
      <c r="G54" s="406">
        <v>1723</v>
      </c>
      <c r="H54" s="63">
        <v>1686</v>
      </c>
      <c r="I54" s="63">
        <v>1696</v>
      </c>
      <c r="J54" s="63">
        <v>1546</v>
      </c>
      <c r="K54" s="63">
        <v>1653</v>
      </c>
      <c r="L54" s="63">
        <v>1688</v>
      </c>
      <c r="M54" s="63">
        <v>1633</v>
      </c>
      <c r="N54" s="63">
        <v>1708</v>
      </c>
      <c r="O54" s="63">
        <v>1690</v>
      </c>
      <c r="Q54" s="404" t="s">
        <v>84</v>
      </c>
    </row>
    <row r="55" spans="1:17">
      <c r="A55" s="411">
        <v>18</v>
      </c>
      <c r="B55" s="404" t="s">
        <v>104</v>
      </c>
      <c r="C55" s="55" t="s">
        <v>8732</v>
      </c>
      <c r="D55" s="406">
        <v>1499</v>
      </c>
      <c r="E55" s="406">
        <v>1586</v>
      </c>
      <c r="F55" s="406">
        <v>1637</v>
      </c>
      <c r="G55" s="406">
        <v>1678</v>
      </c>
      <c r="H55" s="63">
        <v>1722</v>
      </c>
      <c r="I55" s="63">
        <v>1762</v>
      </c>
      <c r="J55" s="63">
        <v>1697</v>
      </c>
      <c r="K55" s="63">
        <v>1826</v>
      </c>
      <c r="L55" s="63">
        <v>1861</v>
      </c>
      <c r="M55" s="63">
        <v>1912</v>
      </c>
      <c r="N55" s="63">
        <v>1958</v>
      </c>
      <c r="O55" s="63">
        <v>1946</v>
      </c>
      <c r="Q55" s="404" t="s">
        <v>84</v>
      </c>
    </row>
    <row r="56" spans="1:17">
      <c r="A56" s="411">
        <v>19</v>
      </c>
      <c r="B56" s="404" t="s">
        <v>105</v>
      </c>
      <c r="C56" s="55" t="s">
        <v>8733</v>
      </c>
      <c r="D56" s="406">
        <v>1701</v>
      </c>
      <c r="E56" s="406">
        <v>1699</v>
      </c>
      <c r="F56" s="406">
        <v>1744</v>
      </c>
      <c r="G56" s="406">
        <v>1690</v>
      </c>
      <c r="H56" s="63">
        <v>1652</v>
      </c>
      <c r="I56" s="63">
        <v>1660</v>
      </c>
      <c r="J56" s="63">
        <v>1586</v>
      </c>
      <c r="K56" s="63">
        <v>1607</v>
      </c>
      <c r="L56" s="63">
        <v>1629</v>
      </c>
      <c r="M56" s="63">
        <v>1621</v>
      </c>
      <c r="N56" s="63">
        <v>1673</v>
      </c>
      <c r="O56" s="63">
        <v>1657</v>
      </c>
      <c r="Q56" s="404" t="s">
        <v>84</v>
      </c>
    </row>
    <row r="57" spans="1:17">
      <c r="A57" s="411">
        <v>20</v>
      </c>
      <c r="B57" s="404" t="s">
        <v>4027</v>
      </c>
      <c r="C57" s="55" t="s">
        <v>8734</v>
      </c>
      <c r="D57" s="406">
        <v>2013</v>
      </c>
      <c r="E57" s="406">
        <v>2012</v>
      </c>
      <c r="F57" s="406">
        <v>2012</v>
      </c>
      <c r="G57" s="406">
        <v>2025</v>
      </c>
      <c r="H57" s="63">
        <v>2034</v>
      </c>
      <c r="I57" s="63">
        <v>2061</v>
      </c>
      <c r="J57" s="63">
        <v>1968</v>
      </c>
      <c r="K57" s="63">
        <v>2051</v>
      </c>
      <c r="L57" s="63">
        <v>2073</v>
      </c>
      <c r="M57" s="63">
        <v>2089</v>
      </c>
      <c r="N57" s="63">
        <v>2158</v>
      </c>
      <c r="O57" s="63">
        <v>2163</v>
      </c>
      <c r="Q57" s="404" t="s">
        <v>84</v>
      </c>
    </row>
    <row r="58" spans="1:17">
      <c r="A58" s="411">
        <v>21</v>
      </c>
      <c r="B58" s="404" t="s">
        <v>106</v>
      </c>
      <c r="C58" s="55" t="s">
        <v>8735</v>
      </c>
      <c r="D58" s="406">
        <v>1677</v>
      </c>
      <c r="E58" s="406">
        <v>1708</v>
      </c>
      <c r="F58" s="406">
        <v>1717</v>
      </c>
      <c r="G58" s="406">
        <v>1683</v>
      </c>
      <c r="H58" s="63">
        <v>1691</v>
      </c>
      <c r="I58" s="63">
        <v>1722</v>
      </c>
      <c r="J58" s="63">
        <v>1637</v>
      </c>
      <c r="K58" s="63">
        <v>1710</v>
      </c>
      <c r="L58" s="63">
        <v>1724</v>
      </c>
      <c r="M58" s="63">
        <v>1678</v>
      </c>
      <c r="N58" s="63">
        <v>1806</v>
      </c>
      <c r="O58" s="63">
        <v>1793</v>
      </c>
      <c r="Q58" s="404" t="s">
        <v>80</v>
      </c>
    </row>
    <row r="59" spans="1:17">
      <c r="A59" s="411">
        <v>22</v>
      </c>
      <c r="B59" s="404" t="s">
        <v>107</v>
      </c>
      <c r="C59" s="55" t="s">
        <v>8736</v>
      </c>
      <c r="D59" s="406">
        <v>1752</v>
      </c>
      <c r="E59" s="406">
        <v>1779</v>
      </c>
      <c r="F59" s="406">
        <v>1759</v>
      </c>
      <c r="G59" s="406">
        <v>1751</v>
      </c>
      <c r="H59" s="63">
        <v>1801</v>
      </c>
      <c r="I59" s="63">
        <v>1840</v>
      </c>
      <c r="J59" s="63">
        <v>1787</v>
      </c>
      <c r="K59" s="63">
        <v>1877</v>
      </c>
      <c r="L59" s="63">
        <v>1922</v>
      </c>
      <c r="M59" s="63">
        <v>1928</v>
      </c>
      <c r="N59" s="63">
        <v>1989</v>
      </c>
      <c r="O59" s="63">
        <v>1990</v>
      </c>
      <c r="Q59" s="404" t="s">
        <v>80</v>
      </c>
    </row>
    <row r="60" spans="1:17">
      <c r="A60" s="411">
        <v>23</v>
      </c>
      <c r="B60" s="404" t="s">
        <v>108</v>
      </c>
      <c r="C60" s="55" t="s">
        <v>8737</v>
      </c>
      <c r="D60" s="406">
        <v>1774</v>
      </c>
      <c r="E60" s="406">
        <v>1754</v>
      </c>
      <c r="F60" s="406">
        <v>1764</v>
      </c>
      <c r="G60" s="406">
        <v>1765</v>
      </c>
      <c r="H60" s="63">
        <v>1754</v>
      </c>
      <c r="I60" s="63">
        <v>1768</v>
      </c>
      <c r="J60" s="63">
        <v>1723</v>
      </c>
      <c r="K60" s="63">
        <v>1754</v>
      </c>
      <c r="L60" s="63">
        <v>1778</v>
      </c>
      <c r="M60" s="63">
        <v>1751</v>
      </c>
      <c r="N60" s="63">
        <v>1800</v>
      </c>
      <c r="O60" s="63">
        <v>1795</v>
      </c>
      <c r="Q60" s="404" t="s">
        <v>84</v>
      </c>
    </row>
    <row r="61" spans="1:17">
      <c r="A61" s="411">
        <v>24</v>
      </c>
      <c r="B61" s="404" t="s">
        <v>110</v>
      </c>
      <c r="C61" s="55" t="s">
        <v>8738</v>
      </c>
      <c r="D61" s="406">
        <v>1910</v>
      </c>
      <c r="E61" s="406">
        <v>1923</v>
      </c>
      <c r="F61" s="406">
        <v>1944</v>
      </c>
      <c r="G61" s="406">
        <v>1988</v>
      </c>
      <c r="H61" s="63">
        <v>1972</v>
      </c>
      <c r="I61" s="63">
        <v>1967</v>
      </c>
      <c r="J61" s="63">
        <v>1842</v>
      </c>
      <c r="K61" s="63">
        <v>1919</v>
      </c>
      <c r="L61" s="63">
        <v>2019</v>
      </c>
      <c r="M61" s="63">
        <v>1993</v>
      </c>
      <c r="N61" s="63">
        <v>2258</v>
      </c>
      <c r="O61" s="63">
        <v>2261</v>
      </c>
      <c r="Q61" s="404" t="s">
        <v>84</v>
      </c>
    </row>
    <row r="62" spans="1:17">
      <c r="A62" s="411">
        <v>25</v>
      </c>
      <c r="B62" s="404" t="s">
        <v>111</v>
      </c>
      <c r="C62" s="55" t="s">
        <v>8739</v>
      </c>
      <c r="D62" s="406">
        <v>3551</v>
      </c>
      <c r="E62" s="406">
        <v>3608</v>
      </c>
      <c r="F62" s="406">
        <v>3697</v>
      </c>
      <c r="G62" s="406">
        <v>3762</v>
      </c>
      <c r="H62" s="63">
        <v>3467</v>
      </c>
      <c r="I62" s="63">
        <v>3477</v>
      </c>
      <c r="J62" s="63">
        <v>3331</v>
      </c>
      <c r="K62" s="63">
        <v>3605</v>
      </c>
      <c r="L62" s="63">
        <v>3647</v>
      </c>
      <c r="M62" s="63">
        <v>3614</v>
      </c>
      <c r="N62" s="63">
        <v>3783</v>
      </c>
      <c r="O62" s="63">
        <v>3794</v>
      </c>
      <c r="Q62" s="404" t="s">
        <v>84</v>
      </c>
    </row>
    <row r="63" spans="1:17">
      <c r="A63" s="411">
        <v>26</v>
      </c>
      <c r="B63" s="404" t="s">
        <v>2536</v>
      </c>
      <c r="C63" s="55" t="s">
        <v>8740</v>
      </c>
      <c r="D63" s="406">
        <v>3699</v>
      </c>
      <c r="E63" s="406">
        <v>3730</v>
      </c>
      <c r="F63" s="406">
        <v>3767</v>
      </c>
      <c r="G63" s="406">
        <v>3832</v>
      </c>
      <c r="H63" s="63">
        <v>3710</v>
      </c>
      <c r="I63" s="63">
        <v>3710</v>
      </c>
      <c r="J63" s="63">
        <v>3521</v>
      </c>
      <c r="K63" s="63">
        <v>3677</v>
      </c>
      <c r="L63" s="63">
        <v>3695</v>
      </c>
      <c r="M63" s="63">
        <v>3657</v>
      </c>
      <c r="N63" s="63">
        <v>3744</v>
      </c>
      <c r="O63" s="63">
        <v>3738</v>
      </c>
      <c r="Q63" s="404" t="s">
        <v>84</v>
      </c>
    </row>
    <row r="64" spans="1:17">
      <c r="A64" s="411">
        <v>27</v>
      </c>
      <c r="B64" s="404" t="s">
        <v>2537</v>
      </c>
      <c r="C64" s="55" t="s">
        <v>8741</v>
      </c>
      <c r="D64" s="406">
        <v>2836</v>
      </c>
      <c r="E64" s="406">
        <v>2860</v>
      </c>
      <c r="F64" s="406">
        <v>2934</v>
      </c>
      <c r="G64" s="406">
        <v>2995</v>
      </c>
      <c r="H64" s="63">
        <v>2763</v>
      </c>
      <c r="I64" s="63">
        <v>2851</v>
      </c>
      <c r="J64" s="63">
        <v>2773</v>
      </c>
      <c r="K64" s="63">
        <v>3064</v>
      </c>
      <c r="L64" s="63">
        <v>3183</v>
      </c>
      <c r="M64" s="63">
        <v>3186</v>
      </c>
      <c r="N64" s="63">
        <v>3382</v>
      </c>
      <c r="O64" s="63">
        <v>3373</v>
      </c>
      <c r="Q64" s="404" t="s">
        <v>84</v>
      </c>
    </row>
    <row r="65" spans="1:17">
      <c r="A65" s="411">
        <v>28</v>
      </c>
      <c r="B65" s="404" t="s">
        <v>2538</v>
      </c>
      <c r="C65" s="55" t="s">
        <v>8742</v>
      </c>
      <c r="D65" s="406">
        <v>3788</v>
      </c>
      <c r="E65" s="406">
        <v>3864</v>
      </c>
      <c r="F65" s="406">
        <v>3828</v>
      </c>
      <c r="G65" s="406">
        <v>3832</v>
      </c>
      <c r="H65" s="63">
        <v>3671</v>
      </c>
      <c r="I65" s="63">
        <v>3684</v>
      </c>
      <c r="J65" s="63">
        <v>3530</v>
      </c>
      <c r="K65" s="63">
        <v>3690</v>
      </c>
      <c r="L65" s="63">
        <v>3735</v>
      </c>
      <c r="M65" s="63">
        <v>3685</v>
      </c>
      <c r="N65" s="63">
        <v>3830</v>
      </c>
      <c r="O65" s="63">
        <v>3824</v>
      </c>
      <c r="Q65" s="404" t="s">
        <v>84</v>
      </c>
    </row>
    <row r="66" spans="1:17">
      <c r="A66" s="411">
        <v>29</v>
      </c>
      <c r="B66" s="404" t="s">
        <v>2539</v>
      </c>
      <c r="C66" s="55" t="s">
        <v>8743</v>
      </c>
      <c r="D66" s="406">
        <v>1703</v>
      </c>
      <c r="E66" s="406">
        <v>1672</v>
      </c>
      <c r="F66" s="406">
        <v>1701</v>
      </c>
      <c r="G66" s="406">
        <v>1759</v>
      </c>
      <c r="H66" s="63">
        <v>1712</v>
      </c>
      <c r="I66" s="63">
        <v>1723</v>
      </c>
      <c r="J66" s="63">
        <v>1689</v>
      </c>
      <c r="K66" s="63">
        <v>1755</v>
      </c>
      <c r="L66" s="63">
        <v>1789</v>
      </c>
      <c r="M66" s="63">
        <v>1797</v>
      </c>
      <c r="N66" s="63">
        <v>1838</v>
      </c>
      <c r="O66" s="63">
        <v>1832</v>
      </c>
      <c r="Q66" s="404" t="s">
        <v>84</v>
      </c>
    </row>
    <row r="67" spans="1:17">
      <c r="A67" s="411">
        <v>30</v>
      </c>
      <c r="B67" s="404" t="s">
        <v>2540</v>
      </c>
      <c r="C67" s="55" t="s">
        <v>8744</v>
      </c>
      <c r="D67" s="406">
        <v>1914</v>
      </c>
      <c r="E67" s="406">
        <v>1975</v>
      </c>
      <c r="F67" s="406">
        <v>1957</v>
      </c>
      <c r="G67" s="406">
        <v>1987</v>
      </c>
      <c r="H67" s="63">
        <v>1977</v>
      </c>
      <c r="I67" s="63">
        <v>2018</v>
      </c>
      <c r="J67" s="63">
        <v>1817</v>
      </c>
      <c r="K67" s="63">
        <v>1939</v>
      </c>
      <c r="L67" s="63">
        <v>1936</v>
      </c>
      <c r="M67" s="63">
        <v>1934</v>
      </c>
      <c r="N67" s="63">
        <v>2027</v>
      </c>
      <c r="O67" s="63">
        <v>2029</v>
      </c>
      <c r="Q67" s="404" t="s">
        <v>80</v>
      </c>
    </row>
    <row r="68" spans="1:17">
      <c r="A68" s="411">
        <v>31</v>
      </c>
      <c r="B68" s="404" t="s">
        <v>2541</v>
      </c>
      <c r="C68" s="55" t="s">
        <v>8745</v>
      </c>
      <c r="D68" s="406">
        <v>1564</v>
      </c>
      <c r="E68" s="406">
        <v>1555</v>
      </c>
      <c r="F68" s="406">
        <v>1545</v>
      </c>
      <c r="G68" s="406">
        <v>1557</v>
      </c>
      <c r="H68" s="63">
        <v>1552</v>
      </c>
      <c r="I68" s="63">
        <v>1562</v>
      </c>
      <c r="J68" s="63">
        <v>1500</v>
      </c>
      <c r="K68" s="63">
        <v>1660</v>
      </c>
      <c r="L68" s="63">
        <v>1697</v>
      </c>
      <c r="M68" s="63">
        <v>1726</v>
      </c>
      <c r="N68" s="63">
        <v>1759</v>
      </c>
      <c r="O68" s="63">
        <v>1757</v>
      </c>
      <c r="Q68" s="404" t="s">
        <v>84</v>
      </c>
    </row>
    <row r="69" spans="1:17">
      <c r="A69" s="411">
        <v>32</v>
      </c>
      <c r="B69" s="404" t="s">
        <v>2542</v>
      </c>
      <c r="C69" s="55" t="s">
        <v>8746</v>
      </c>
      <c r="D69" s="406">
        <v>3334</v>
      </c>
      <c r="E69" s="406">
        <v>3362</v>
      </c>
      <c r="F69" s="406">
        <v>3351</v>
      </c>
      <c r="G69" s="406">
        <v>3355</v>
      </c>
      <c r="H69" s="63">
        <v>3305</v>
      </c>
      <c r="I69" s="63">
        <v>3304</v>
      </c>
      <c r="J69" s="63">
        <v>3180</v>
      </c>
      <c r="K69" s="63">
        <v>3335</v>
      </c>
      <c r="L69" s="63">
        <v>3403</v>
      </c>
      <c r="M69" s="63">
        <v>3380</v>
      </c>
      <c r="N69" s="63">
        <v>3647</v>
      </c>
      <c r="O69" s="63">
        <v>3636</v>
      </c>
      <c r="Q69" s="404" t="s">
        <v>84</v>
      </c>
    </row>
    <row r="70" spans="1:17">
      <c r="A70" s="411">
        <v>33</v>
      </c>
      <c r="B70" s="404" t="s">
        <v>2543</v>
      </c>
      <c r="C70" s="55" t="s">
        <v>8747</v>
      </c>
      <c r="D70" s="406">
        <v>3429</v>
      </c>
      <c r="E70" s="406">
        <v>3452</v>
      </c>
      <c r="F70" s="406">
        <v>3464</v>
      </c>
      <c r="G70" s="406">
        <v>3474</v>
      </c>
      <c r="H70" s="63">
        <v>3355</v>
      </c>
      <c r="I70" s="63">
        <v>3399</v>
      </c>
      <c r="J70" s="63">
        <v>3198</v>
      </c>
      <c r="K70" s="63">
        <v>3361</v>
      </c>
      <c r="L70" s="63">
        <v>3420</v>
      </c>
      <c r="M70" s="63">
        <v>3391</v>
      </c>
      <c r="N70" s="63">
        <v>3530</v>
      </c>
      <c r="O70" s="63">
        <v>3496</v>
      </c>
      <c r="Q70" s="404" t="s">
        <v>84</v>
      </c>
    </row>
    <row r="71" spans="1:17">
      <c r="A71" s="411">
        <v>34</v>
      </c>
      <c r="B71" s="404" t="s">
        <v>2544</v>
      </c>
      <c r="C71" s="55" t="s">
        <v>8748</v>
      </c>
      <c r="D71" s="406">
        <v>1959</v>
      </c>
      <c r="E71" s="406">
        <v>1964</v>
      </c>
      <c r="F71" s="406">
        <v>1992</v>
      </c>
      <c r="G71" s="406">
        <v>2013</v>
      </c>
      <c r="H71" s="63">
        <v>2008</v>
      </c>
      <c r="I71" s="63">
        <v>2002</v>
      </c>
      <c r="J71" s="63">
        <v>1858</v>
      </c>
      <c r="K71" s="63">
        <v>2007</v>
      </c>
      <c r="L71" s="63">
        <v>2065</v>
      </c>
      <c r="M71" s="63">
        <v>2051</v>
      </c>
      <c r="N71" s="63">
        <v>2118</v>
      </c>
      <c r="O71" s="63">
        <v>2096</v>
      </c>
      <c r="Q71" s="404" t="s">
        <v>84</v>
      </c>
    </row>
    <row r="72" spans="1:17">
      <c r="D72" s="406"/>
      <c r="E72" s="406"/>
      <c r="F72" s="406"/>
      <c r="G72" s="406"/>
      <c r="H72" s="406"/>
      <c r="I72" s="406"/>
      <c r="J72" s="406"/>
      <c r="K72" s="406"/>
      <c r="L72" s="406"/>
      <c r="M72" s="406"/>
      <c r="N72" s="406"/>
      <c r="O72" s="406"/>
      <c r="Q72" s="404"/>
    </row>
    <row r="73" spans="1:17">
      <c r="A73" s="404" t="s">
        <v>2545</v>
      </c>
      <c r="D73" s="405">
        <f t="shared" ref="D73:I73" si="36">D38+D40+D41+SUM(D43:D45)+SUM(D47:D52)+D58+D59+D67</f>
        <v>38103</v>
      </c>
      <c r="E73" s="405">
        <f t="shared" si="36"/>
        <v>38334</v>
      </c>
      <c r="F73" s="405">
        <f t="shared" si="36"/>
        <v>38424</v>
      </c>
      <c r="G73" s="405">
        <f t="shared" si="36"/>
        <v>38633</v>
      </c>
      <c r="H73" s="405">
        <f t="shared" si="36"/>
        <v>38187</v>
      </c>
      <c r="I73" s="405">
        <f t="shared" si="36"/>
        <v>38372</v>
      </c>
      <c r="J73" s="405">
        <f t="shared" ref="J73:O73" si="37">J38+J40+J41+SUM(J43:J45)+SUM(J47:J52)+J58+J59+J67</f>
        <v>36210</v>
      </c>
      <c r="K73" s="405">
        <f t="shared" si="37"/>
        <v>38040</v>
      </c>
      <c r="L73" s="405">
        <f t="shared" si="37"/>
        <v>38448</v>
      </c>
      <c r="M73" s="405">
        <f t="shared" si="37"/>
        <v>38662</v>
      </c>
      <c r="N73" s="405">
        <f t="shared" si="37"/>
        <v>40737</v>
      </c>
      <c r="O73" s="405">
        <f t="shared" si="37"/>
        <v>40658</v>
      </c>
      <c r="Q73" s="404"/>
    </row>
    <row r="74" spans="1:17">
      <c r="A74" s="404" t="s">
        <v>2546</v>
      </c>
      <c r="D74" s="405">
        <f t="shared" ref="D74:I74" si="38">D39+D42+D46+SUM(D53:D57)+SUM(D60:D66)+SUM(D68:D71)</f>
        <v>45499</v>
      </c>
      <c r="E74" s="405">
        <f t="shared" si="38"/>
        <v>46037</v>
      </c>
      <c r="F74" s="405">
        <f t="shared" si="38"/>
        <v>46455</v>
      </c>
      <c r="G74" s="405">
        <f t="shared" si="38"/>
        <v>46800</v>
      </c>
      <c r="H74" s="405">
        <f t="shared" si="38"/>
        <v>45590</v>
      </c>
      <c r="I74" s="405">
        <f t="shared" si="38"/>
        <v>45958</v>
      </c>
      <c r="J74" s="405">
        <f t="shared" ref="J74:O74" si="39">J39+J42+J46+SUM(J53:J57)+SUM(J60:J66)+SUM(J68:J71)</f>
        <v>43559</v>
      </c>
      <c r="K74" s="405">
        <f t="shared" si="39"/>
        <v>46170</v>
      </c>
      <c r="L74" s="405">
        <f t="shared" si="39"/>
        <v>46944</v>
      </c>
      <c r="M74" s="405">
        <f t="shared" si="39"/>
        <v>46804</v>
      </c>
      <c r="N74" s="405">
        <f t="shared" si="39"/>
        <v>49057</v>
      </c>
      <c r="O74" s="405">
        <f t="shared" si="39"/>
        <v>48890</v>
      </c>
    </row>
    <row r="75" spans="1:17">
      <c r="A75" s="404"/>
      <c r="B75" s="404"/>
    </row>
    <row r="76" spans="1:17">
      <c r="A76" s="404" t="s">
        <v>2547</v>
      </c>
      <c r="B76" s="404"/>
    </row>
    <row r="77" spans="1:17">
      <c r="A77" s="404"/>
      <c r="B77" s="404"/>
      <c r="D77" s="412"/>
      <c r="E77" s="412"/>
      <c r="F77" s="412"/>
      <c r="G77" s="412"/>
      <c r="H77" s="412"/>
      <c r="I77" s="412"/>
      <c r="J77" s="412"/>
      <c r="K77" s="412"/>
      <c r="L77" s="412"/>
      <c r="M77" s="412"/>
      <c r="N77" s="412"/>
      <c r="O77" s="412"/>
    </row>
    <row r="78" spans="1:17">
      <c r="A78" s="404"/>
      <c r="B78" s="404"/>
      <c r="D78" s="412"/>
      <c r="E78" s="412"/>
      <c r="F78" s="412"/>
      <c r="G78" s="412"/>
      <c r="H78" s="412"/>
      <c r="I78" s="412"/>
      <c r="J78" s="412"/>
      <c r="K78" s="412"/>
      <c r="L78" s="412"/>
      <c r="M78" s="412"/>
      <c r="N78" s="412"/>
      <c r="O78" s="412"/>
    </row>
    <row r="79" spans="1:17">
      <c r="E79" s="51" t="s">
        <v>1526</v>
      </c>
      <c r="F79" s="51"/>
      <c r="G79" s="51"/>
      <c r="H79" s="51"/>
      <c r="I79" s="51"/>
      <c r="J79" s="51"/>
      <c r="K79" s="51"/>
      <c r="L79" s="51"/>
      <c r="M79" s="51"/>
      <c r="N79" s="51"/>
      <c r="O79" s="51"/>
      <c r="Q79" s="11" t="s">
        <v>9479</v>
      </c>
    </row>
    <row r="80" spans="1:17">
      <c r="D80" s="350">
        <v>2010</v>
      </c>
      <c r="E80" s="350">
        <v>2011</v>
      </c>
      <c r="F80" s="350">
        <v>2012</v>
      </c>
      <c r="G80" s="350">
        <v>2013</v>
      </c>
      <c r="H80" s="350">
        <v>2014</v>
      </c>
      <c r="I80" s="350">
        <v>2015</v>
      </c>
      <c r="J80" s="350">
        <v>2016</v>
      </c>
      <c r="K80" s="350">
        <v>2017</v>
      </c>
      <c r="L80" s="350">
        <v>2018</v>
      </c>
      <c r="M80" s="350">
        <v>2019</v>
      </c>
      <c r="N80" s="350">
        <v>2020</v>
      </c>
      <c r="O80" s="944" t="s">
        <v>14823</v>
      </c>
      <c r="P80" s="410"/>
      <c r="Q80" s="13" t="s">
        <v>1527</v>
      </c>
    </row>
    <row r="81" spans="1:17">
      <c r="A81" s="404" t="s">
        <v>2548</v>
      </c>
      <c r="D81" s="405">
        <f>SUM(D82:D97)+SUM(D99:D102)+SUM(D104:D108)</f>
        <v>87546</v>
      </c>
      <c r="E81" s="405">
        <f>SUM(E82:E97)+SUM(E99:E102)+SUM(E104:E108)</f>
        <v>88464</v>
      </c>
      <c r="F81" s="405">
        <f t="shared" ref="F81:K81" si="40">SUM(F82:F97)+SUM(F99:F102)+SUM(F104:F108)</f>
        <v>88999</v>
      </c>
      <c r="G81" s="405">
        <f t="shared" si="40"/>
        <v>88734</v>
      </c>
      <c r="H81" s="405">
        <f t="shared" si="40"/>
        <v>87440</v>
      </c>
      <c r="I81" s="405">
        <f t="shared" si="40"/>
        <v>86792</v>
      </c>
      <c r="J81" s="405">
        <f t="shared" si="40"/>
        <v>86874</v>
      </c>
      <c r="K81" s="405">
        <f t="shared" si="40"/>
        <v>89769</v>
      </c>
      <c r="L81" s="405">
        <f>SUM(L82:L97)+SUM(L99:L102)+SUM(L104:L108)</f>
        <v>90122</v>
      </c>
      <c r="M81" s="405">
        <f>SUM(M82:M97)+SUM(M99:M102)+SUM(M104:M108)</f>
        <v>89828</v>
      </c>
      <c r="N81" s="405">
        <f>SUM(N82:N97)+SUM(N99:N102)+SUM(N104:N108)</f>
        <v>90292</v>
      </c>
      <c r="O81" s="405">
        <f>SUM(O82:O97)+SUM(O99:O102)+SUM(O104:O108)</f>
        <v>92880</v>
      </c>
    </row>
    <row r="82" spans="1:17">
      <c r="A82" s="411">
        <v>1</v>
      </c>
      <c r="B82" s="404" t="s">
        <v>9095</v>
      </c>
      <c r="C82" s="55" t="s">
        <v>9096</v>
      </c>
      <c r="D82" s="406">
        <v>33617</v>
      </c>
      <c r="E82" s="406">
        <v>33952</v>
      </c>
      <c r="F82" s="406">
        <v>3384</v>
      </c>
      <c r="G82" s="406">
        <v>3333</v>
      </c>
      <c r="H82" s="63">
        <v>3270</v>
      </c>
      <c r="I82" s="63">
        <v>3213</v>
      </c>
      <c r="J82" s="63">
        <v>3248</v>
      </c>
      <c r="K82" s="63">
        <v>3363</v>
      </c>
      <c r="L82" s="63">
        <v>3329</v>
      </c>
      <c r="M82" s="63">
        <v>3322</v>
      </c>
      <c r="N82" s="63">
        <v>3355</v>
      </c>
      <c r="O82" s="63">
        <v>3472</v>
      </c>
      <c r="Q82" s="404" t="s">
        <v>84</v>
      </c>
    </row>
    <row r="83" spans="1:17">
      <c r="A83" s="411">
        <v>2</v>
      </c>
      <c r="B83" s="404" t="s">
        <v>2549</v>
      </c>
      <c r="C83" s="55" t="s">
        <v>9097</v>
      </c>
      <c r="D83" s="406">
        <v>0</v>
      </c>
      <c r="E83" s="406">
        <v>0</v>
      </c>
      <c r="F83" s="406">
        <v>1777</v>
      </c>
      <c r="G83" s="406">
        <v>1754</v>
      </c>
      <c r="H83" s="63">
        <v>1768</v>
      </c>
      <c r="I83" s="63">
        <v>1765</v>
      </c>
      <c r="J83" s="63">
        <v>1750</v>
      </c>
      <c r="K83" s="63">
        <v>1848</v>
      </c>
      <c r="L83" s="63">
        <v>1847</v>
      </c>
      <c r="M83" s="63">
        <v>1867</v>
      </c>
      <c r="N83" s="63">
        <v>1900</v>
      </c>
      <c r="O83" s="63">
        <v>1941</v>
      </c>
      <c r="Q83" s="404" t="s">
        <v>84</v>
      </c>
    </row>
    <row r="84" spans="1:17">
      <c r="A84" s="411">
        <v>3</v>
      </c>
      <c r="B84" s="404" t="s">
        <v>9098</v>
      </c>
      <c r="C84" s="55" t="s">
        <v>9099</v>
      </c>
      <c r="D84" s="406">
        <v>0</v>
      </c>
      <c r="E84" s="406">
        <v>0</v>
      </c>
      <c r="F84" s="406">
        <v>3615</v>
      </c>
      <c r="G84" s="406">
        <v>3603</v>
      </c>
      <c r="H84" s="63">
        <v>3494</v>
      </c>
      <c r="I84" s="63">
        <v>3431</v>
      </c>
      <c r="J84" s="63">
        <v>3401</v>
      </c>
      <c r="K84" s="63">
        <v>3452</v>
      </c>
      <c r="L84" s="63">
        <v>3434</v>
      </c>
      <c r="M84" s="63">
        <v>3429</v>
      </c>
      <c r="N84" s="63">
        <v>3405</v>
      </c>
      <c r="O84" s="63">
        <v>3450</v>
      </c>
      <c r="Q84" s="404" t="s">
        <v>1930</v>
      </c>
    </row>
    <row r="85" spans="1:17">
      <c r="A85" s="411">
        <v>4</v>
      </c>
      <c r="B85" s="404" t="s">
        <v>1023</v>
      </c>
      <c r="C85" s="55" t="s">
        <v>9100</v>
      </c>
      <c r="D85" s="406">
        <v>0</v>
      </c>
      <c r="E85" s="406">
        <v>0</v>
      </c>
      <c r="F85" s="406">
        <v>3162</v>
      </c>
      <c r="G85" s="406">
        <v>3082</v>
      </c>
      <c r="H85" s="63">
        <v>2978</v>
      </c>
      <c r="I85" s="63">
        <v>2930</v>
      </c>
      <c r="J85" s="63">
        <v>2885</v>
      </c>
      <c r="K85" s="63">
        <v>2942</v>
      </c>
      <c r="L85" s="63">
        <v>2926</v>
      </c>
      <c r="M85" s="63">
        <v>2931</v>
      </c>
      <c r="N85" s="63">
        <v>2913</v>
      </c>
      <c r="O85" s="63">
        <v>2998</v>
      </c>
      <c r="Q85" s="404" t="s">
        <v>1930</v>
      </c>
    </row>
    <row r="86" spans="1:17">
      <c r="A86" s="411">
        <v>5</v>
      </c>
      <c r="B86" s="404" t="s">
        <v>9101</v>
      </c>
      <c r="C86" s="55" t="s">
        <v>9102</v>
      </c>
      <c r="D86" s="406">
        <v>53929</v>
      </c>
      <c r="E86" s="406">
        <v>54512</v>
      </c>
      <c r="F86" s="406">
        <v>5452</v>
      </c>
      <c r="G86" s="406">
        <v>5269</v>
      </c>
      <c r="H86" s="63">
        <v>5088</v>
      </c>
      <c r="I86" s="63">
        <v>5042</v>
      </c>
      <c r="J86" s="63">
        <v>4973</v>
      </c>
      <c r="K86" s="63">
        <v>5085</v>
      </c>
      <c r="L86" s="63">
        <v>5068</v>
      </c>
      <c r="M86" s="63">
        <v>5014</v>
      </c>
      <c r="N86" s="63">
        <v>4975</v>
      </c>
      <c r="O86" s="63">
        <v>5117</v>
      </c>
      <c r="Q86" s="404" t="s">
        <v>1930</v>
      </c>
    </row>
    <row r="87" spans="1:17">
      <c r="A87" s="411">
        <v>6</v>
      </c>
      <c r="B87" s="404" t="s">
        <v>1024</v>
      </c>
      <c r="C87" s="55" t="s">
        <v>9103</v>
      </c>
      <c r="D87" s="406">
        <v>0</v>
      </c>
      <c r="E87" s="406">
        <v>0</v>
      </c>
      <c r="F87" s="406">
        <v>3967</v>
      </c>
      <c r="G87" s="406">
        <v>3871</v>
      </c>
      <c r="H87" s="63">
        <v>3788</v>
      </c>
      <c r="I87" s="63">
        <v>3699</v>
      </c>
      <c r="J87" s="63">
        <v>3566</v>
      </c>
      <c r="K87" s="63">
        <v>3671</v>
      </c>
      <c r="L87" s="63">
        <v>3627</v>
      </c>
      <c r="M87" s="63">
        <v>3534</v>
      </c>
      <c r="N87" s="63">
        <v>3551</v>
      </c>
      <c r="O87" s="63">
        <v>3683</v>
      </c>
      <c r="Q87" s="404" t="s">
        <v>1930</v>
      </c>
    </row>
    <row r="88" spans="1:17">
      <c r="A88" s="411">
        <v>7</v>
      </c>
      <c r="B88" s="404" t="s">
        <v>1025</v>
      </c>
      <c r="C88" s="55" t="s">
        <v>9104</v>
      </c>
      <c r="D88" s="406">
        <v>0</v>
      </c>
      <c r="E88" s="406">
        <v>0</v>
      </c>
      <c r="F88" s="406">
        <v>4119</v>
      </c>
      <c r="G88" s="406">
        <v>4054</v>
      </c>
      <c r="H88" s="63">
        <v>3912</v>
      </c>
      <c r="I88" s="63">
        <v>3795</v>
      </c>
      <c r="J88" s="63">
        <v>3785</v>
      </c>
      <c r="K88" s="63">
        <v>3834</v>
      </c>
      <c r="L88" s="63">
        <v>3789</v>
      </c>
      <c r="M88" s="63">
        <v>3796</v>
      </c>
      <c r="N88" s="63">
        <v>3756</v>
      </c>
      <c r="O88" s="63">
        <v>3858</v>
      </c>
      <c r="Q88" s="404" t="s">
        <v>1930</v>
      </c>
    </row>
    <row r="89" spans="1:17">
      <c r="A89" s="411">
        <v>8</v>
      </c>
      <c r="B89" s="404" t="s">
        <v>9105</v>
      </c>
      <c r="C89" s="55" t="s">
        <v>9106</v>
      </c>
      <c r="D89" s="406">
        <v>0</v>
      </c>
      <c r="E89" s="406">
        <v>0</v>
      </c>
      <c r="F89" s="406">
        <v>4131</v>
      </c>
      <c r="G89" s="406">
        <v>4067</v>
      </c>
      <c r="H89" s="63">
        <v>3889</v>
      </c>
      <c r="I89" s="63">
        <v>3757</v>
      </c>
      <c r="J89" s="63">
        <v>3663</v>
      </c>
      <c r="K89" s="63">
        <v>3742</v>
      </c>
      <c r="L89" s="63">
        <v>3744</v>
      </c>
      <c r="M89" s="63">
        <v>3763</v>
      </c>
      <c r="N89" s="63">
        <v>3740</v>
      </c>
      <c r="O89" s="63">
        <v>3841</v>
      </c>
      <c r="Q89" s="404" t="s">
        <v>1930</v>
      </c>
    </row>
    <row r="90" spans="1:17">
      <c r="A90" s="411">
        <v>9</v>
      </c>
      <c r="B90" s="404" t="s">
        <v>9107</v>
      </c>
      <c r="C90" s="55" t="s">
        <v>9108</v>
      </c>
      <c r="D90" s="406">
        <v>0</v>
      </c>
      <c r="E90" s="406">
        <v>0</v>
      </c>
      <c r="F90" s="406">
        <v>3426</v>
      </c>
      <c r="G90" s="406">
        <v>3466</v>
      </c>
      <c r="H90" s="63">
        <v>3613</v>
      </c>
      <c r="I90" s="63">
        <v>3607</v>
      </c>
      <c r="J90" s="63">
        <v>3602</v>
      </c>
      <c r="K90" s="63">
        <v>3698</v>
      </c>
      <c r="L90" s="63">
        <v>3727</v>
      </c>
      <c r="M90" s="63">
        <v>3744</v>
      </c>
      <c r="N90" s="63">
        <v>3800</v>
      </c>
      <c r="O90" s="63">
        <v>3877</v>
      </c>
      <c r="Q90" s="404" t="s">
        <v>1930</v>
      </c>
    </row>
    <row r="91" spans="1:17">
      <c r="A91" s="411">
        <v>10</v>
      </c>
      <c r="B91" s="128" t="s">
        <v>9109</v>
      </c>
      <c r="C91" s="55" t="s">
        <v>9110</v>
      </c>
      <c r="D91" s="406">
        <v>0</v>
      </c>
      <c r="E91" s="406">
        <v>0</v>
      </c>
      <c r="F91" s="406">
        <v>5509</v>
      </c>
      <c r="G91" s="406">
        <v>5453</v>
      </c>
      <c r="H91" s="63">
        <v>5379</v>
      </c>
      <c r="I91" s="63">
        <v>5359</v>
      </c>
      <c r="J91" s="63">
        <v>5351</v>
      </c>
      <c r="K91" s="63">
        <v>5449</v>
      </c>
      <c r="L91" s="63">
        <v>5431</v>
      </c>
      <c r="M91" s="63">
        <v>5396</v>
      </c>
      <c r="N91" s="63">
        <v>5407</v>
      </c>
      <c r="O91" s="63">
        <v>5556</v>
      </c>
      <c r="Q91" s="404" t="s">
        <v>84</v>
      </c>
    </row>
    <row r="92" spans="1:17">
      <c r="A92" s="411">
        <v>11</v>
      </c>
      <c r="B92" s="128" t="s">
        <v>1026</v>
      </c>
      <c r="C92" s="55" t="s">
        <v>9111</v>
      </c>
      <c r="D92" s="406">
        <v>0</v>
      </c>
      <c r="E92" s="406">
        <v>0</v>
      </c>
      <c r="F92" s="406">
        <v>5336</v>
      </c>
      <c r="G92" s="406">
        <v>5229</v>
      </c>
      <c r="H92" s="63">
        <v>5096</v>
      </c>
      <c r="I92" s="63">
        <v>5043</v>
      </c>
      <c r="J92" s="63">
        <v>5030</v>
      </c>
      <c r="K92" s="63">
        <v>5203</v>
      </c>
      <c r="L92" s="63">
        <v>5208</v>
      </c>
      <c r="M92" s="63">
        <v>5176</v>
      </c>
      <c r="N92" s="63">
        <v>5154</v>
      </c>
      <c r="O92" s="63">
        <v>5258</v>
      </c>
      <c r="Q92" s="404" t="s">
        <v>84</v>
      </c>
    </row>
    <row r="93" spans="1:17">
      <c r="A93" s="411">
        <v>12</v>
      </c>
      <c r="B93" s="404" t="s">
        <v>9112</v>
      </c>
      <c r="C93" s="55" t="s">
        <v>9113</v>
      </c>
      <c r="D93" s="406">
        <v>0</v>
      </c>
      <c r="E93" s="406">
        <v>0</v>
      </c>
      <c r="F93" s="406">
        <v>3665</v>
      </c>
      <c r="G93" s="406">
        <v>3666</v>
      </c>
      <c r="H93" s="63">
        <v>3567</v>
      </c>
      <c r="I93" s="63">
        <v>3547</v>
      </c>
      <c r="J93" s="63">
        <v>3529</v>
      </c>
      <c r="K93" s="63">
        <v>3677</v>
      </c>
      <c r="L93" s="63">
        <v>3740</v>
      </c>
      <c r="M93" s="63">
        <v>3715</v>
      </c>
      <c r="N93" s="63">
        <v>3732</v>
      </c>
      <c r="O93" s="63">
        <v>3843</v>
      </c>
      <c r="Q93" s="404" t="s">
        <v>1930</v>
      </c>
    </row>
    <row r="94" spans="1:17">
      <c r="A94" s="411">
        <v>13</v>
      </c>
      <c r="B94" s="404" t="s">
        <v>1027</v>
      </c>
      <c r="C94" s="55" t="s">
        <v>9114</v>
      </c>
      <c r="D94" s="406">
        <v>0</v>
      </c>
      <c r="E94" s="406">
        <v>0</v>
      </c>
      <c r="F94" s="406">
        <v>5556</v>
      </c>
      <c r="G94" s="406">
        <v>5688</v>
      </c>
      <c r="H94" s="63">
        <v>5718</v>
      </c>
      <c r="I94" s="63">
        <v>5615</v>
      </c>
      <c r="J94" s="63">
        <v>5521</v>
      </c>
      <c r="K94" s="63">
        <v>5661</v>
      </c>
      <c r="L94" s="63">
        <v>5694</v>
      </c>
      <c r="M94" s="63">
        <v>5661</v>
      </c>
      <c r="N94" s="63">
        <v>5749</v>
      </c>
      <c r="O94" s="63">
        <v>5918</v>
      </c>
      <c r="Q94" s="404" t="s">
        <v>84</v>
      </c>
    </row>
    <row r="95" spans="1:17">
      <c r="A95" s="411">
        <v>14</v>
      </c>
      <c r="B95" s="404" t="s">
        <v>9115</v>
      </c>
      <c r="C95" s="55" t="s">
        <v>9116</v>
      </c>
      <c r="D95" s="406">
        <v>0</v>
      </c>
      <c r="E95" s="406">
        <v>0</v>
      </c>
      <c r="F95" s="406">
        <v>1708</v>
      </c>
      <c r="G95" s="406">
        <v>1716</v>
      </c>
      <c r="H95" s="63">
        <v>1678</v>
      </c>
      <c r="I95" s="63">
        <v>1648</v>
      </c>
      <c r="J95" s="63">
        <v>1634</v>
      </c>
      <c r="K95" s="63">
        <v>1690</v>
      </c>
      <c r="L95" s="63">
        <v>1679</v>
      </c>
      <c r="M95" s="63">
        <v>1654</v>
      </c>
      <c r="N95" s="63">
        <v>1683</v>
      </c>
      <c r="O95" s="63">
        <v>1735</v>
      </c>
      <c r="Q95" s="404" t="s">
        <v>1930</v>
      </c>
    </row>
    <row r="96" spans="1:17">
      <c r="A96" s="411">
        <v>15</v>
      </c>
      <c r="B96" s="404" t="s">
        <v>9117</v>
      </c>
      <c r="C96" s="55" t="s">
        <v>9118</v>
      </c>
      <c r="D96" s="406">
        <v>0</v>
      </c>
      <c r="E96" s="406">
        <v>0</v>
      </c>
      <c r="F96" s="406">
        <v>174</v>
      </c>
      <c r="G96" s="406">
        <v>175</v>
      </c>
      <c r="H96" s="63">
        <v>167</v>
      </c>
      <c r="I96" s="63">
        <v>170</v>
      </c>
      <c r="J96" s="63">
        <v>172</v>
      </c>
      <c r="K96" s="63">
        <v>174</v>
      </c>
      <c r="L96" s="63">
        <v>190</v>
      </c>
      <c r="M96" s="63">
        <v>199</v>
      </c>
      <c r="N96" s="63">
        <v>201</v>
      </c>
      <c r="O96" s="63">
        <v>206</v>
      </c>
      <c r="Q96" s="404" t="s">
        <v>1930</v>
      </c>
    </row>
    <row r="97" spans="1:17" ht="15.75" thickBot="1">
      <c r="A97" s="411"/>
      <c r="B97" s="404"/>
      <c r="C97" s="55" t="s">
        <v>9118</v>
      </c>
      <c r="D97" s="413">
        <v>0</v>
      </c>
      <c r="E97" s="413">
        <v>0</v>
      </c>
      <c r="F97" s="413">
        <v>5662</v>
      </c>
      <c r="G97" s="414">
        <v>5580</v>
      </c>
      <c r="H97" s="63">
        <v>5616</v>
      </c>
      <c r="I97" s="63">
        <v>5522</v>
      </c>
      <c r="J97" s="63">
        <v>5645</v>
      </c>
      <c r="K97" s="63">
        <v>5938</v>
      </c>
      <c r="L97" s="63">
        <v>6020</v>
      </c>
      <c r="M97" s="63">
        <v>5948</v>
      </c>
      <c r="N97" s="63">
        <v>5920</v>
      </c>
      <c r="O97" s="63">
        <v>6086</v>
      </c>
      <c r="Q97" s="404" t="s">
        <v>84</v>
      </c>
    </row>
    <row r="98" spans="1:17" ht="15.75" thickBot="1">
      <c r="A98" s="411"/>
      <c r="B98" s="404"/>
      <c r="C98" s="55" t="s">
        <v>9118</v>
      </c>
      <c r="D98" s="415">
        <f>D96+D97</f>
        <v>0</v>
      </c>
      <c r="E98" s="415">
        <f t="shared" ref="E98:L98" si="41">E96+E97</f>
        <v>0</v>
      </c>
      <c r="F98" s="415">
        <f t="shared" si="41"/>
        <v>5836</v>
      </c>
      <c r="G98" s="415">
        <f t="shared" si="41"/>
        <v>5755</v>
      </c>
      <c r="H98" s="415">
        <f t="shared" si="41"/>
        <v>5783</v>
      </c>
      <c r="I98" s="415">
        <f t="shared" si="41"/>
        <v>5692</v>
      </c>
      <c r="J98" s="415">
        <f t="shared" si="41"/>
        <v>5817</v>
      </c>
      <c r="K98" s="415">
        <f t="shared" si="41"/>
        <v>6112</v>
      </c>
      <c r="L98" s="415">
        <f t="shared" si="41"/>
        <v>6210</v>
      </c>
      <c r="M98" s="415">
        <f>M96+M97</f>
        <v>6147</v>
      </c>
      <c r="N98" s="415">
        <f>N96+N97</f>
        <v>6121</v>
      </c>
      <c r="O98" s="415">
        <f>O96+O97</f>
        <v>6292</v>
      </c>
      <c r="Q98" s="404"/>
    </row>
    <row r="99" spans="1:17">
      <c r="A99" s="411">
        <v>16</v>
      </c>
      <c r="B99" s="404" t="s">
        <v>1771</v>
      </c>
      <c r="C99" s="55" t="s">
        <v>9119</v>
      </c>
      <c r="D99" s="406">
        <v>0</v>
      </c>
      <c r="E99" s="406">
        <v>0</v>
      </c>
      <c r="F99" s="406">
        <v>1850</v>
      </c>
      <c r="G99" s="406">
        <v>1825</v>
      </c>
      <c r="H99" s="63">
        <v>1760</v>
      </c>
      <c r="I99" s="63">
        <v>1773</v>
      </c>
      <c r="J99" s="63">
        <v>1760</v>
      </c>
      <c r="K99" s="63">
        <v>1850</v>
      </c>
      <c r="L99" s="63">
        <v>1867</v>
      </c>
      <c r="M99" s="63">
        <v>1861</v>
      </c>
      <c r="N99" s="63">
        <v>1839</v>
      </c>
      <c r="O99" s="63">
        <v>1872</v>
      </c>
      <c r="Q99" s="404" t="s">
        <v>1930</v>
      </c>
    </row>
    <row r="100" spans="1:17">
      <c r="A100" s="411">
        <v>17</v>
      </c>
      <c r="B100" s="404" t="s">
        <v>1772</v>
      </c>
      <c r="C100" s="55" t="s">
        <v>9120</v>
      </c>
      <c r="D100" s="406">
        <v>0</v>
      </c>
      <c r="E100" s="406">
        <v>0</v>
      </c>
      <c r="F100" s="406">
        <v>3598</v>
      </c>
      <c r="G100" s="406">
        <v>3747</v>
      </c>
      <c r="H100" s="63">
        <v>3775</v>
      </c>
      <c r="I100" s="63">
        <v>3860</v>
      </c>
      <c r="J100" s="63">
        <v>4022</v>
      </c>
      <c r="K100" s="63">
        <v>4338</v>
      </c>
      <c r="L100" s="63">
        <v>4460</v>
      </c>
      <c r="M100" s="63">
        <v>4579</v>
      </c>
      <c r="N100" s="63">
        <v>4689</v>
      </c>
      <c r="O100" s="63">
        <v>4864</v>
      </c>
      <c r="Q100" s="404" t="s">
        <v>1930</v>
      </c>
    </row>
    <row r="101" spans="1:17">
      <c r="A101" s="411">
        <v>18</v>
      </c>
      <c r="B101" s="404" t="s">
        <v>1773</v>
      </c>
      <c r="C101" s="55" t="s">
        <v>9121</v>
      </c>
      <c r="D101" s="406">
        <v>0</v>
      </c>
      <c r="E101" s="406">
        <v>0</v>
      </c>
      <c r="F101" s="406">
        <v>910</v>
      </c>
      <c r="G101" s="406">
        <v>957</v>
      </c>
      <c r="H101" s="63">
        <v>903</v>
      </c>
      <c r="I101" s="63">
        <v>900</v>
      </c>
      <c r="J101" s="63">
        <v>903</v>
      </c>
      <c r="K101" s="63">
        <v>966</v>
      </c>
      <c r="L101" s="63">
        <v>961</v>
      </c>
      <c r="M101" s="63">
        <v>970</v>
      </c>
      <c r="N101" s="63">
        <v>981</v>
      </c>
      <c r="O101" s="63">
        <v>1033</v>
      </c>
      <c r="Q101" s="404" t="s">
        <v>1930</v>
      </c>
    </row>
    <row r="102" spans="1:17" ht="15.75" thickBot="1">
      <c r="A102" s="411"/>
      <c r="B102" s="404"/>
      <c r="C102" s="55" t="s">
        <v>9121</v>
      </c>
      <c r="D102" s="413">
        <v>0</v>
      </c>
      <c r="E102" s="413">
        <v>0</v>
      </c>
      <c r="F102" s="413">
        <v>3053</v>
      </c>
      <c r="G102" s="414">
        <v>3088</v>
      </c>
      <c r="H102" s="63">
        <v>3013</v>
      </c>
      <c r="I102" s="63">
        <v>3011</v>
      </c>
      <c r="J102" s="63">
        <v>3048</v>
      </c>
      <c r="K102" s="63">
        <v>3159</v>
      </c>
      <c r="L102" s="63">
        <v>3164</v>
      </c>
      <c r="M102" s="63">
        <v>3140</v>
      </c>
      <c r="N102" s="63">
        <v>3185</v>
      </c>
      <c r="O102" s="63">
        <v>3296</v>
      </c>
      <c r="Q102" s="404" t="s">
        <v>84</v>
      </c>
    </row>
    <row r="103" spans="1:17" ht="15.75" thickBot="1">
      <c r="A103" s="411"/>
      <c r="B103" s="404"/>
      <c r="C103" s="55" t="s">
        <v>9121</v>
      </c>
      <c r="D103" s="415">
        <f>D101+D102</f>
        <v>0</v>
      </c>
      <c r="E103" s="415">
        <f t="shared" ref="E103:L103" si="42">E101+E102</f>
        <v>0</v>
      </c>
      <c r="F103" s="415">
        <f t="shared" si="42"/>
        <v>3963</v>
      </c>
      <c r="G103" s="415">
        <f t="shared" si="42"/>
        <v>4045</v>
      </c>
      <c r="H103" s="415">
        <f t="shared" si="42"/>
        <v>3916</v>
      </c>
      <c r="I103" s="415">
        <f t="shared" si="42"/>
        <v>3911</v>
      </c>
      <c r="J103" s="415">
        <f t="shared" si="42"/>
        <v>3951</v>
      </c>
      <c r="K103" s="415">
        <f t="shared" si="42"/>
        <v>4125</v>
      </c>
      <c r="L103" s="415">
        <f t="shared" si="42"/>
        <v>4125</v>
      </c>
      <c r="M103" s="415">
        <f>M101+M102</f>
        <v>4110</v>
      </c>
      <c r="N103" s="415">
        <f>N101+N102</f>
        <v>4166</v>
      </c>
      <c r="O103" s="415">
        <f>O101+O102</f>
        <v>4329</v>
      </c>
      <c r="Q103" s="404"/>
    </row>
    <row r="104" spans="1:17">
      <c r="A104" s="411">
        <v>19</v>
      </c>
      <c r="B104" s="404" t="s">
        <v>1774</v>
      </c>
      <c r="C104" s="55" t="s">
        <v>9122</v>
      </c>
      <c r="D104" s="406">
        <v>0</v>
      </c>
      <c r="E104" s="406">
        <v>0</v>
      </c>
      <c r="F104" s="406">
        <v>5703</v>
      </c>
      <c r="G104" s="406">
        <v>5978</v>
      </c>
      <c r="H104" s="63">
        <v>6136</v>
      </c>
      <c r="I104" s="63">
        <v>6222</v>
      </c>
      <c r="J104" s="63">
        <v>6373</v>
      </c>
      <c r="K104" s="63">
        <v>6638</v>
      </c>
      <c r="L104" s="63">
        <v>6783</v>
      </c>
      <c r="M104" s="63">
        <v>6773</v>
      </c>
      <c r="N104" s="63">
        <v>6803</v>
      </c>
      <c r="O104" s="63">
        <v>7050</v>
      </c>
      <c r="Q104" s="404" t="s">
        <v>1930</v>
      </c>
    </row>
    <row r="105" spans="1:17">
      <c r="A105" s="411">
        <v>20</v>
      </c>
      <c r="B105" s="404" t="s">
        <v>9123</v>
      </c>
      <c r="C105" s="55" t="s">
        <v>9124</v>
      </c>
      <c r="D105" s="406">
        <v>0</v>
      </c>
      <c r="E105" s="406">
        <v>0</v>
      </c>
      <c r="F105" s="406">
        <v>3827</v>
      </c>
      <c r="G105" s="406">
        <v>3783</v>
      </c>
      <c r="H105" s="63">
        <v>3708</v>
      </c>
      <c r="I105" s="63">
        <v>3709</v>
      </c>
      <c r="J105" s="63">
        <v>3766</v>
      </c>
      <c r="K105" s="63">
        <v>3874</v>
      </c>
      <c r="L105" s="63">
        <v>3949</v>
      </c>
      <c r="M105" s="63">
        <v>3961</v>
      </c>
      <c r="N105" s="63">
        <v>4061</v>
      </c>
      <c r="O105" s="63">
        <v>4180</v>
      </c>
      <c r="Q105" s="404" t="s">
        <v>1930</v>
      </c>
    </row>
    <row r="106" spans="1:17">
      <c r="A106" s="411">
        <v>21</v>
      </c>
      <c r="B106" s="404" t="s">
        <v>9125</v>
      </c>
      <c r="C106" s="55" t="s">
        <v>9126</v>
      </c>
      <c r="D106" s="406">
        <v>0</v>
      </c>
      <c r="E106" s="406">
        <v>0</v>
      </c>
      <c r="F106" s="406">
        <v>3715</v>
      </c>
      <c r="G106" s="406">
        <v>3647</v>
      </c>
      <c r="H106" s="63">
        <v>3564</v>
      </c>
      <c r="I106" s="63">
        <v>3571</v>
      </c>
      <c r="J106" s="63">
        <v>3614</v>
      </c>
      <c r="K106" s="63">
        <v>3721</v>
      </c>
      <c r="L106" s="63">
        <v>3641</v>
      </c>
      <c r="M106" s="63">
        <v>3603</v>
      </c>
      <c r="N106" s="63">
        <v>3652</v>
      </c>
      <c r="O106" s="63">
        <v>3738</v>
      </c>
      <c r="Q106" s="404" t="s">
        <v>1930</v>
      </c>
    </row>
    <row r="107" spans="1:17">
      <c r="A107" s="411">
        <v>22</v>
      </c>
      <c r="B107" s="404" t="s">
        <v>3335</v>
      </c>
      <c r="C107" s="55" t="s">
        <v>9127</v>
      </c>
      <c r="D107" s="406">
        <v>0</v>
      </c>
      <c r="E107" s="406">
        <v>0</v>
      </c>
      <c r="F107" s="406">
        <v>3756</v>
      </c>
      <c r="G107" s="406">
        <v>3751</v>
      </c>
      <c r="H107" s="63">
        <v>3649</v>
      </c>
      <c r="I107" s="63">
        <v>3682</v>
      </c>
      <c r="J107" s="63">
        <v>3721</v>
      </c>
      <c r="K107" s="63">
        <v>3817</v>
      </c>
      <c r="L107" s="63">
        <v>3836</v>
      </c>
      <c r="M107" s="63">
        <v>3812</v>
      </c>
      <c r="N107" s="63">
        <v>3847</v>
      </c>
      <c r="O107" s="63">
        <v>3957</v>
      </c>
      <c r="Q107" s="404" t="s">
        <v>84</v>
      </c>
    </row>
    <row r="108" spans="1:17">
      <c r="A108" s="411">
        <v>23</v>
      </c>
      <c r="B108" s="404" t="s">
        <v>9128</v>
      </c>
      <c r="C108" s="55" t="s">
        <v>9129</v>
      </c>
      <c r="D108" s="406">
        <v>0</v>
      </c>
      <c r="E108" s="406">
        <v>0</v>
      </c>
      <c r="F108" s="406">
        <v>1944</v>
      </c>
      <c r="G108" s="406">
        <v>1952</v>
      </c>
      <c r="H108" s="63">
        <v>1911</v>
      </c>
      <c r="I108" s="63">
        <v>1921</v>
      </c>
      <c r="J108" s="63">
        <v>1912</v>
      </c>
      <c r="K108" s="63">
        <v>1979</v>
      </c>
      <c r="L108" s="63">
        <v>2008</v>
      </c>
      <c r="M108" s="63">
        <v>1980</v>
      </c>
      <c r="N108" s="63">
        <v>1994</v>
      </c>
      <c r="O108" s="63">
        <v>2051</v>
      </c>
      <c r="Q108" s="404" t="s">
        <v>1930</v>
      </c>
    </row>
    <row r="109" spans="1:17">
      <c r="A109" s="411"/>
      <c r="B109" s="404"/>
      <c r="C109" s="55"/>
      <c r="D109" s="406"/>
      <c r="E109" s="406"/>
      <c r="F109" s="406"/>
      <c r="G109" s="406"/>
      <c r="H109" s="406"/>
      <c r="I109" s="406"/>
      <c r="J109" s="406"/>
      <c r="K109" s="406"/>
      <c r="L109" s="406"/>
      <c r="M109" s="406"/>
      <c r="N109" s="406"/>
      <c r="O109" s="406"/>
      <c r="Q109" s="404"/>
    </row>
    <row r="110" spans="1:17">
      <c r="A110" s="404" t="s">
        <v>3336</v>
      </c>
      <c r="D110" s="405">
        <f>SUM(D84:D90)+D93+D95+D96+SUM(D99:D101)+SUM(D104:D106)+D108</f>
        <v>53929</v>
      </c>
      <c r="E110" s="405">
        <f>SUM(E84:E90)+E93+E95+E96+SUM(E99:E101)+SUM(E104:E106)+E108</f>
        <v>54512</v>
      </c>
      <c r="F110" s="405">
        <f t="shared" ref="F110:K110" si="43">SUM(F84:F90)+F93+F95+F96+SUM(F99:F101)+SUM(F104:F106)+F108</f>
        <v>54966</v>
      </c>
      <c r="G110" s="405">
        <f t="shared" si="43"/>
        <v>54858</v>
      </c>
      <c r="H110" s="405">
        <f t="shared" si="43"/>
        <v>53931</v>
      </c>
      <c r="I110" s="405">
        <f t="shared" si="43"/>
        <v>53582</v>
      </c>
      <c r="J110" s="405">
        <f t="shared" si="43"/>
        <v>53560</v>
      </c>
      <c r="K110" s="405">
        <f t="shared" si="43"/>
        <v>55331</v>
      </c>
      <c r="L110" s="405">
        <f>SUM(L84:L90)+L93+L95+L96+SUM(L99:L101)+SUM(L104:L106)+L108</f>
        <v>55593</v>
      </c>
      <c r="M110" s="405">
        <f>SUM(M84:M90)+M93+M95+M96+SUM(M99:M101)+SUM(M104:M106)+M108</f>
        <v>55506</v>
      </c>
      <c r="N110" s="405">
        <f>SUM(N84:N90)+N93+N95+N96+SUM(N99:N101)+SUM(N104:N106)+N108</f>
        <v>55775</v>
      </c>
      <c r="O110" s="405">
        <f>SUM(O84:O90)+O93+O95+O96+SUM(O99:O101)+SUM(O104:O106)+O108</f>
        <v>57396</v>
      </c>
      <c r="P110" s="405"/>
    </row>
    <row r="111" spans="1:17">
      <c r="A111" s="404" t="s">
        <v>2546</v>
      </c>
      <c r="D111" s="405">
        <f>D82+D83+D91+D92+D94+D97+D102+D107</f>
        <v>33617</v>
      </c>
      <c r="E111" s="405">
        <f>E82+E83+E91+E92+E94+E97+E102+E107</f>
        <v>33952</v>
      </c>
      <c r="F111" s="405">
        <f t="shared" ref="F111:K111" si="44">F82+F83+F91+F92+F94+F97+F102+F107</f>
        <v>34033</v>
      </c>
      <c r="G111" s="405">
        <f t="shared" si="44"/>
        <v>33876</v>
      </c>
      <c r="H111" s="405">
        <f t="shared" si="44"/>
        <v>33509</v>
      </c>
      <c r="I111" s="405">
        <f t="shared" si="44"/>
        <v>33210</v>
      </c>
      <c r="J111" s="405">
        <f t="shared" si="44"/>
        <v>33314</v>
      </c>
      <c r="K111" s="405">
        <f t="shared" si="44"/>
        <v>34438</v>
      </c>
      <c r="L111" s="405">
        <f>L82+L83+L91+L92+L94+L97+L102+L107</f>
        <v>34529</v>
      </c>
      <c r="M111" s="405">
        <f>M82+M83+M91+M92+M94+M97+M102+M107</f>
        <v>34322</v>
      </c>
      <c r="N111" s="405">
        <f>N82+N83+N91+N92+N94+N97+N102+N107</f>
        <v>34517</v>
      </c>
      <c r="O111" s="405">
        <f>O82+O83+O91+O92+O94+O97+O102+O107</f>
        <v>35484</v>
      </c>
      <c r="P111" s="405"/>
    </row>
    <row r="112" spans="1:17">
      <c r="A112" s="404"/>
      <c r="B112" s="404"/>
      <c r="D112" s="412"/>
      <c r="E112" s="412"/>
      <c r="F112" s="412"/>
      <c r="G112" s="412"/>
      <c r="H112" s="412"/>
      <c r="I112" s="412"/>
      <c r="J112" s="412"/>
      <c r="K112" s="412"/>
      <c r="L112" s="412"/>
      <c r="M112" s="412"/>
      <c r="N112" s="412"/>
      <c r="O112" s="412"/>
    </row>
    <row r="113" spans="1:17">
      <c r="A113" s="404" t="s">
        <v>3337</v>
      </c>
      <c r="B113" s="404"/>
      <c r="D113" s="412"/>
      <c r="E113" s="412"/>
      <c r="F113" s="412"/>
      <c r="G113" s="412"/>
      <c r="H113" s="412"/>
      <c r="I113" s="412"/>
      <c r="J113" s="412"/>
      <c r="K113" s="412"/>
      <c r="L113" s="412"/>
      <c r="M113" s="412"/>
      <c r="N113" s="412"/>
      <c r="O113" s="412"/>
    </row>
    <row r="114" spans="1:17">
      <c r="A114" s="404"/>
      <c r="B114" s="404"/>
      <c r="D114" s="412"/>
      <c r="E114" s="412"/>
      <c r="F114" s="412"/>
      <c r="G114" s="412"/>
      <c r="H114" s="412"/>
      <c r="I114" s="412"/>
      <c r="J114" s="412"/>
      <c r="K114" s="412"/>
      <c r="L114" s="412"/>
      <c r="M114" s="412"/>
      <c r="N114" s="412"/>
      <c r="O114" s="412"/>
    </row>
    <row r="115" spans="1:17">
      <c r="A115" s="404"/>
      <c r="B115" s="404"/>
      <c r="D115" s="412"/>
      <c r="E115" s="412"/>
      <c r="F115" s="412"/>
      <c r="G115" s="412"/>
      <c r="H115" s="412"/>
      <c r="I115" s="412"/>
      <c r="J115" s="412"/>
      <c r="K115" s="412"/>
      <c r="L115" s="412"/>
      <c r="M115" s="412"/>
      <c r="N115" s="412"/>
      <c r="O115" s="412"/>
    </row>
    <row r="116" spans="1:17">
      <c r="E116" s="51" t="s">
        <v>1526</v>
      </c>
      <c r="F116" s="51"/>
      <c r="G116" s="51"/>
      <c r="H116" s="51"/>
      <c r="I116" s="51"/>
      <c r="J116" s="51"/>
      <c r="K116" s="51"/>
      <c r="L116" s="51"/>
      <c r="M116" s="51"/>
      <c r="N116" s="51"/>
      <c r="O116" s="51"/>
      <c r="Q116" s="11" t="s">
        <v>9479</v>
      </c>
    </row>
    <row r="117" spans="1:17">
      <c r="D117" s="350">
        <v>2010</v>
      </c>
      <c r="E117" s="350">
        <v>2011</v>
      </c>
      <c r="F117" s="350">
        <v>2012</v>
      </c>
      <c r="G117" s="350">
        <v>2013</v>
      </c>
      <c r="H117" s="350">
        <v>2014</v>
      </c>
      <c r="I117" s="350">
        <v>2015</v>
      </c>
      <c r="J117" s="350">
        <v>2016</v>
      </c>
      <c r="K117" s="350">
        <v>2017</v>
      </c>
      <c r="L117" s="350">
        <v>2018</v>
      </c>
      <c r="M117" s="350">
        <v>2019</v>
      </c>
      <c r="N117" s="350">
        <v>2020</v>
      </c>
      <c r="O117" s="944" t="s">
        <v>14823</v>
      </c>
      <c r="P117" s="410"/>
      <c r="Q117" s="13" t="s">
        <v>1527</v>
      </c>
    </row>
    <row r="118" spans="1:17">
      <c r="A118" s="404" t="s">
        <v>13199</v>
      </c>
      <c r="D118" s="405">
        <f t="shared" ref="D118:N118" si="45">SUM(D119:D143,D145:D153,D154:D156)</f>
        <v>110226</v>
      </c>
      <c r="E118" s="405">
        <f t="shared" si="45"/>
        <v>111306</v>
      </c>
      <c r="F118" s="405">
        <f t="shared" si="45"/>
        <v>111572</v>
      </c>
      <c r="G118" s="405">
        <f t="shared" si="45"/>
        <v>112032</v>
      </c>
      <c r="H118" s="405">
        <f t="shared" si="45"/>
        <v>104874</v>
      </c>
      <c r="I118" s="405">
        <f t="shared" si="45"/>
        <v>105718</v>
      </c>
      <c r="J118" s="405">
        <f t="shared" si="45"/>
        <v>104451</v>
      </c>
      <c r="K118" s="405">
        <f t="shared" si="45"/>
        <v>110326</v>
      </c>
      <c r="L118" s="405">
        <f t="shared" si="45"/>
        <v>111896</v>
      </c>
      <c r="M118" s="405">
        <f t="shared" si="45"/>
        <v>111000</v>
      </c>
      <c r="N118" s="405">
        <f t="shared" si="45"/>
        <v>114756</v>
      </c>
      <c r="O118" s="405">
        <f>SUM(O119:O143,O145:O153,O154:O156)</f>
        <v>115385</v>
      </c>
    </row>
    <row r="119" spans="1:17">
      <c r="A119" s="411">
        <v>1</v>
      </c>
      <c r="B119" s="404" t="s">
        <v>9093</v>
      </c>
      <c r="C119" s="404" t="s">
        <v>13200</v>
      </c>
      <c r="D119" s="405">
        <v>27945</v>
      </c>
      <c r="E119" s="405">
        <v>28424</v>
      </c>
      <c r="F119" s="405">
        <v>27849</v>
      </c>
      <c r="G119" s="405">
        <v>27870</v>
      </c>
      <c r="H119" s="405">
        <v>27885</v>
      </c>
      <c r="I119" s="405">
        <v>27213</v>
      </c>
      <c r="J119" s="405">
        <v>26264</v>
      </c>
      <c r="K119" s="405">
        <v>27176</v>
      </c>
      <c r="L119" s="405">
        <v>27601</v>
      </c>
      <c r="M119" s="405">
        <v>27343</v>
      </c>
      <c r="N119" s="405">
        <v>1960</v>
      </c>
      <c r="O119" s="405">
        <v>1955</v>
      </c>
      <c r="Q119" s="128" t="s">
        <v>1930</v>
      </c>
    </row>
    <row r="120" spans="1:17">
      <c r="A120" s="411">
        <v>2</v>
      </c>
      <c r="B120" s="404" t="s">
        <v>13202</v>
      </c>
      <c r="C120" s="404" t="s">
        <v>13201</v>
      </c>
      <c r="D120" s="405">
        <v>82281</v>
      </c>
      <c r="E120" s="405">
        <v>82882</v>
      </c>
      <c r="F120" s="405">
        <v>83723</v>
      </c>
      <c r="G120" s="405">
        <v>84162</v>
      </c>
      <c r="H120" s="405">
        <v>76989</v>
      </c>
      <c r="I120" s="405">
        <v>78505</v>
      </c>
      <c r="J120" s="405">
        <v>78187</v>
      </c>
      <c r="K120" s="405">
        <v>83150</v>
      </c>
      <c r="L120" s="405">
        <v>84295</v>
      </c>
      <c r="M120" s="405">
        <v>83657</v>
      </c>
      <c r="N120" s="405">
        <v>4425</v>
      </c>
      <c r="O120" s="405">
        <v>4436</v>
      </c>
      <c r="Q120" s="128" t="s">
        <v>83</v>
      </c>
    </row>
    <row r="121" spans="1:17">
      <c r="A121" s="411">
        <v>3</v>
      </c>
      <c r="B121" s="404" t="s">
        <v>13204</v>
      </c>
      <c r="C121" s="404" t="s">
        <v>13203</v>
      </c>
      <c r="D121" s="405">
        <v>0</v>
      </c>
      <c r="E121" s="405">
        <v>0</v>
      </c>
      <c r="F121" s="405">
        <v>0</v>
      </c>
      <c r="G121" s="405">
        <v>0</v>
      </c>
      <c r="H121" s="405">
        <v>0</v>
      </c>
      <c r="I121" s="405">
        <v>0</v>
      </c>
      <c r="J121" s="405">
        <v>0</v>
      </c>
      <c r="K121" s="405">
        <v>0</v>
      </c>
      <c r="L121" s="405">
        <v>0</v>
      </c>
      <c r="M121" s="405">
        <v>0</v>
      </c>
      <c r="N121" s="405">
        <v>6835</v>
      </c>
      <c r="O121" s="405">
        <v>6877</v>
      </c>
      <c r="Q121" s="128" t="s">
        <v>83</v>
      </c>
    </row>
    <row r="122" spans="1:17">
      <c r="A122" s="411">
        <v>4</v>
      </c>
      <c r="B122" s="404" t="s">
        <v>13206</v>
      </c>
      <c r="C122" s="404" t="s">
        <v>13205</v>
      </c>
      <c r="D122" s="405">
        <v>0</v>
      </c>
      <c r="E122" s="405">
        <v>0</v>
      </c>
      <c r="F122" s="405">
        <v>0</v>
      </c>
      <c r="G122" s="405">
        <v>0</v>
      </c>
      <c r="H122" s="405">
        <v>0</v>
      </c>
      <c r="I122" s="405">
        <v>0</v>
      </c>
      <c r="J122" s="405">
        <v>0</v>
      </c>
      <c r="K122" s="405">
        <v>0</v>
      </c>
      <c r="L122" s="405">
        <v>0</v>
      </c>
      <c r="M122" s="405">
        <v>0</v>
      </c>
      <c r="N122" s="405">
        <v>2201</v>
      </c>
      <c r="O122" s="405">
        <v>2214</v>
      </c>
      <c r="Q122" s="128" t="s">
        <v>83</v>
      </c>
    </row>
    <row r="123" spans="1:17">
      <c r="A123" s="411">
        <v>5</v>
      </c>
      <c r="B123" s="404" t="s">
        <v>13208</v>
      </c>
      <c r="C123" s="404" t="s">
        <v>13207</v>
      </c>
      <c r="D123" s="405">
        <v>0</v>
      </c>
      <c r="E123" s="405">
        <v>0</v>
      </c>
      <c r="F123" s="405">
        <v>0</v>
      </c>
      <c r="G123" s="405">
        <v>0</v>
      </c>
      <c r="H123" s="405">
        <v>0</v>
      </c>
      <c r="I123" s="405">
        <v>0</v>
      </c>
      <c r="J123" s="405">
        <v>0</v>
      </c>
      <c r="K123" s="405">
        <v>0</v>
      </c>
      <c r="L123" s="405">
        <v>0</v>
      </c>
      <c r="M123" s="405">
        <v>0</v>
      </c>
      <c r="N123" s="405">
        <v>2373</v>
      </c>
      <c r="O123" s="405">
        <v>2390</v>
      </c>
      <c r="Q123" s="128" t="s">
        <v>83</v>
      </c>
    </row>
    <row r="124" spans="1:17">
      <c r="A124" s="411">
        <v>6</v>
      </c>
      <c r="B124" s="404" t="s">
        <v>13210</v>
      </c>
      <c r="C124" s="404" t="s">
        <v>13209</v>
      </c>
      <c r="D124" s="405">
        <v>0</v>
      </c>
      <c r="E124" s="405">
        <v>0</v>
      </c>
      <c r="F124" s="405">
        <v>0</v>
      </c>
      <c r="G124" s="405">
        <v>0</v>
      </c>
      <c r="H124" s="405">
        <v>0</v>
      </c>
      <c r="I124" s="405">
        <v>0</v>
      </c>
      <c r="J124" s="405">
        <v>0</v>
      </c>
      <c r="K124" s="405">
        <v>0</v>
      </c>
      <c r="L124" s="405">
        <v>0</v>
      </c>
      <c r="M124" s="405">
        <v>0</v>
      </c>
      <c r="N124" s="405">
        <v>1985</v>
      </c>
      <c r="O124" s="405">
        <v>2002</v>
      </c>
      <c r="Q124" s="128" t="s">
        <v>1930</v>
      </c>
    </row>
    <row r="125" spans="1:17">
      <c r="A125" s="411">
        <v>7</v>
      </c>
      <c r="B125" s="404" t="s">
        <v>13212</v>
      </c>
      <c r="C125" s="404" t="s">
        <v>13211</v>
      </c>
      <c r="D125" s="405">
        <v>0</v>
      </c>
      <c r="E125" s="405">
        <v>0</v>
      </c>
      <c r="F125" s="405">
        <v>0</v>
      </c>
      <c r="G125" s="405">
        <v>0</v>
      </c>
      <c r="H125" s="405">
        <v>0</v>
      </c>
      <c r="I125" s="405">
        <v>0</v>
      </c>
      <c r="J125" s="405">
        <v>0</v>
      </c>
      <c r="K125" s="405">
        <v>0</v>
      </c>
      <c r="L125" s="405">
        <v>0</v>
      </c>
      <c r="M125" s="405">
        <v>0</v>
      </c>
      <c r="N125" s="405">
        <v>1963</v>
      </c>
      <c r="O125" s="405">
        <v>1963</v>
      </c>
      <c r="Q125" s="128" t="s">
        <v>1930</v>
      </c>
    </row>
    <row r="126" spans="1:17">
      <c r="A126" s="411">
        <v>8</v>
      </c>
      <c r="B126" s="404" t="s">
        <v>13214</v>
      </c>
      <c r="C126" s="404" t="s">
        <v>13213</v>
      </c>
      <c r="D126" s="405">
        <v>0</v>
      </c>
      <c r="E126" s="405">
        <v>0</v>
      </c>
      <c r="F126" s="405">
        <v>0</v>
      </c>
      <c r="G126" s="405">
        <v>0</v>
      </c>
      <c r="H126" s="405">
        <v>0</v>
      </c>
      <c r="I126" s="405">
        <v>0</v>
      </c>
      <c r="J126" s="405">
        <v>0</v>
      </c>
      <c r="K126" s="405">
        <v>0</v>
      </c>
      <c r="L126" s="405">
        <v>0</v>
      </c>
      <c r="M126" s="405">
        <v>0</v>
      </c>
      <c r="N126" s="405">
        <v>4082</v>
      </c>
      <c r="O126" s="405">
        <v>4145</v>
      </c>
      <c r="Q126" s="128" t="s">
        <v>83</v>
      </c>
    </row>
    <row r="127" spans="1:17">
      <c r="A127" s="411">
        <v>9</v>
      </c>
      <c r="B127" s="404" t="s">
        <v>13216</v>
      </c>
      <c r="C127" s="404" t="s">
        <v>13215</v>
      </c>
      <c r="D127" s="405">
        <v>0</v>
      </c>
      <c r="E127" s="405">
        <v>0</v>
      </c>
      <c r="F127" s="405">
        <v>0</v>
      </c>
      <c r="G127" s="405">
        <v>0</v>
      </c>
      <c r="H127" s="405">
        <v>0</v>
      </c>
      <c r="I127" s="405">
        <v>0</v>
      </c>
      <c r="J127" s="405">
        <v>0</v>
      </c>
      <c r="K127" s="405">
        <v>0</v>
      </c>
      <c r="L127" s="405">
        <v>0</v>
      </c>
      <c r="M127" s="405">
        <v>0</v>
      </c>
      <c r="N127" s="405">
        <v>2265</v>
      </c>
      <c r="O127" s="405">
        <v>2266</v>
      </c>
      <c r="Q127" s="128" t="s">
        <v>83</v>
      </c>
    </row>
    <row r="128" spans="1:17">
      <c r="A128" s="411">
        <v>10</v>
      </c>
      <c r="B128" s="404" t="s">
        <v>13218</v>
      </c>
      <c r="C128" s="404" t="s">
        <v>13217</v>
      </c>
      <c r="D128" s="405">
        <v>0</v>
      </c>
      <c r="E128" s="405">
        <v>0</v>
      </c>
      <c r="F128" s="405">
        <v>0</v>
      </c>
      <c r="G128" s="405">
        <v>0</v>
      </c>
      <c r="H128" s="405">
        <v>0</v>
      </c>
      <c r="I128" s="405">
        <v>0</v>
      </c>
      <c r="J128" s="405">
        <v>0</v>
      </c>
      <c r="K128" s="405">
        <v>0</v>
      </c>
      <c r="L128" s="405">
        <v>0</v>
      </c>
      <c r="M128" s="405">
        <v>0</v>
      </c>
      <c r="N128" s="405">
        <v>2194</v>
      </c>
      <c r="O128" s="405">
        <v>2216</v>
      </c>
      <c r="Q128" s="128" t="s">
        <v>83</v>
      </c>
    </row>
    <row r="129" spans="1:17">
      <c r="A129" s="411">
        <v>11</v>
      </c>
      <c r="B129" s="404" t="s">
        <v>13220</v>
      </c>
      <c r="C129" s="404" t="s">
        <v>13219</v>
      </c>
      <c r="D129" s="405">
        <v>0</v>
      </c>
      <c r="E129" s="405">
        <v>0</v>
      </c>
      <c r="F129" s="405">
        <v>0</v>
      </c>
      <c r="G129" s="405">
        <v>0</v>
      </c>
      <c r="H129" s="405">
        <v>0</v>
      </c>
      <c r="I129" s="405">
        <v>0</v>
      </c>
      <c r="J129" s="405">
        <v>0</v>
      </c>
      <c r="K129" s="405">
        <v>0</v>
      </c>
      <c r="L129" s="405">
        <v>0</v>
      </c>
      <c r="M129" s="405">
        <v>0</v>
      </c>
      <c r="N129" s="405">
        <v>2133</v>
      </c>
      <c r="O129" s="405">
        <v>2145</v>
      </c>
      <c r="Q129" s="128" t="s">
        <v>83</v>
      </c>
    </row>
    <row r="130" spans="1:17">
      <c r="A130" s="411">
        <v>12</v>
      </c>
      <c r="B130" s="404" t="s">
        <v>9094</v>
      </c>
      <c r="C130" s="404" t="s">
        <v>13221</v>
      </c>
      <c r="D130" s="405">
        <v>0</v>
      </c>
      <c r="E130" s="405">
        <v>0</v>
      </c>
      <c r="F130" s="405">
        <v>0</v>
      </c>
      <c r="G130" s="405">
        <v>0</v>
      </c>
      <c r="H130" s="405">
        <v>0</v>
      </c>
      <c r="I130" s="405">
        <v>0</v>
      </c>
      <c r="J130" s="405">
        <v>0</v>
      </c>
      <c r="K130" s="405">
        <v>0</v>
      </c>
      <c r="L130" s="405">
        <v>0</v>
      </c>
      <c r="M130" s="405">
        <v>0</v>
      </c>
      <c r="N130" s="405">
        <v>3339</v>
      </c>
      <c r="O130" s="405">
        <v>3358</v>
      </c>
      <c r="Q130" s="128" t="s">
        <v>1930</v>
      </c>
    </row>
    <row r="131" spans="1:17">
      <c r="A131" s="411">
        <v>13</v>
      </c>
      <c r="B131" s="404" t="s">
        <v>1777</v>
      </c>
      <c r="C131" s="404" t="s">
        <v>13222</v>
      </c>
      <c r="D131" s="405">
        <v>0</v>
      </c>
      <c r="E131" s="405">
        <v>0</v>
      </c>
      <c r="F131" s="405">
        <v>0</v>
      </c>
      <c r="G131" s="405">
        <v>0</v>
      </c>
      <c r="H131" s="405">
        <v>0</v>
      </c>
      <c r="I131" s="405">
        <v>0</v>
      </c>
      <c r="J131" s="405">
        <v>0</v>
      </c>
      <c r="K131" s="405">
        <v>0</v>
      </c>
      <c r="L131" s="405">
        <v>0</v>
      </c>
      <c r="M131" s="405">
        <v>0</v>
      </c>
      <c r="N131" s="405">
        <v>1926</v>
      </c>
      <c r="O131" s="405">
        <v>1909</v>
      </c>
      <c r="Q131" s="128" t="s">
        <v>1930</v>
      </c>
    </row>
    <row r="132" spans="1:17">
      <c r="A132" s="411">
        <v>14</v>
      </c>
      <c r="B132" s="404" t="s">
        <v>680</v>
      </c>
      <c r="C132" s="404" t="s">
        <v>13223</v>
      </c>
      <c r="D132" s="405">
        <v>0</v>
      </c>
      <c r="E132" s="405">
        <v>0</v>
      </c>
      <c r="F132" s="405">
        <v>0</v>
      </c>
      <c r="G132" s="405">
        <v>0</v>
      </c>
      <c r="H132" s="405">
        <v>0</v>
      </c>
      <c r="I132" s="405">
        <v>0</v>
      </c>
      <c r="J132" s="405">
        <v>0</v>
      </c>
      <c r="K132" s="405">
        <v>0</v>
      </c>
      <c r="L132" s="405">
        <v>0</v>
      </c>
      <c r="M132" s="405">
        <v>0</v>
      </c>
      <c r="N132" s="405">
        <v>2291</v>
      </c>
      <c r="O132" s="405">
        <v>2312</v>
      </c>
      <c r="Q132" s="128" t="s">
        <v>83</v>
      </c>
    </row>
    <row r="133" spans="1:17">
      <c r="A133" s="411">
        <v>15</v>
      </c>
      <c r="B133" s="404" t="s">
        <v>13225</v>
      </c>
      <c r="C133" s="404" t="s">
        <v>13224</v>
      </c>
      <c r="D133" s="405">
        <v>0</v>
      </c>
      <c r="E133" s="405">
        <v>0</v>
      </c>
      <c r="F133" s="405">
        <v>0</v>
      </c>
      <c r="G133" s="405">
        <v>0</v>
      </c>
      <c r="H133" s="405">
        <v>0</v>
      </c>
      <c r="I133" s="405">
        <v>0</v>
      </c>
      <c r="J133" s="405">
        <v>0</v>
      </c>
      <c r="K133" s="405">
        <v>0</v>
      </c>
      <c r="L133" s="405">
        <v>0</v>
      </c>
      <c r="M133" s="405">
        <v>0</v>
      </c>
      <c r="N133" s="405">
        <v>4252</v>
      </c>
      <c r="O133" s="405">
        <v>4233</v>
      </c>
      <c r="Q133" s="128" t="s">
        <v>83</v>
      </c>
    </row>
    <row r="134" spans="1:17">
      <c r="A134" s="411">
        <v>16</v>
      </c>
      <c r="B134" s="404" t="s">
        <v>68</v>
      </c>
      <c r="C134" s="404" t="s">
        <v>13226</v>
      </c>
      <c r="D134" s="405">
        <v>0</v>
      </c>
      <c r="E134" s="405">
        <v>0</v>
      </c>
      <c r="F134" s="405">
        <v>0</v>
      </c>
      <c r="G134" s="405">
        <v>0</v>
      </c>
      <c r="H134" s="405">
        <v>0</v>
      </c>
      <c r="I134" s="405">
        <v>0</v>
      </c>
      <c r="J134" s="405">
        <v>0</v>
      </c>
      <c r="K134" s="405">
        <v>0</v>
      </c>
      <c r="L134" s="405">
        <v>0</v>
      </c>
      <c r="M134" s="405">
        <v>0</v>
      </c>
      <c r="N134" s="405">
        <v>1913</v>
      </c>
      <c r="O134" s="405">
        <v>1926</v>
      </c>
      <c r="Q134" s="128" t="s">
        <v>83</v>
      </c>
    </row>
    <row r="135" spans="1:17">
      <c r="A135" s="411">
        <v>17</v>
      </c>
      <c r="B135" s="404" t="s">
        <v>13228</v>
      </c>
      <c r="C135" s="404" t="s">
        <v>13227</v>
      </c>
      <c r="D135" s="405">
        <v>0</v>
      </c>
      <c r="E135" s="405">
        <v>0</v>
      </c>
      <c r="F135" s="405">
        <v>0</v>
      </c>
      <c r="G135" s="405">
        <v>0</v>
      </c>
      <c r="H135" s="405">
        <v>0</v>
      </c>
      <c r="I135" s="405">
        <v>0</v>
      </c>
      <c r="J135" s="405">
        <v>0</v>
      </c>
      <c r="K135" s="405">
        <v>0</v>
      </c>
      <c r="L135" s="405">
        <v>0</v>
      </c>
      <c r="M135" s="405">
        <v>0</v>
      </c>
      <c r="N135" s="405">
        <v>4827</v>
      </c>
      <c r="O135" s="405">
        <v>4855</v>
      </c>
      <c r="Q135" s="128" t="s">
        <v>83</v>
      </c>
    </row>
    <row r="136" spans="1:17">
      <c r="A136" s="411">
        <v>18</v>
      </c>
      <c r="B136" s="404" t="s">
        <v>13230</v>
      </c>
      <c r="C136" s="404" t="s">
        <v>13229</v>
      </c>
      <c r="D136" s="405">
        <v>0</v>
      </c>
      <c r="E136" s="405">
        <v>0</v>
      </c>
      <c r="F136" s="405">
        <v>0</v>
      </c>
      <c r="G136" s="405">
        <v>0</v>
      </c>
      <c r="H136" s="405">
        <v>0</v>
      </c>
      <c r="I136" s="405">
        <v>0</v>
      </c>
      <c r="J136" s="405">
        <v>0</v>
      </c>
      <c r="K136" s="405">
        <v>0</v>
      </c>
      <c r="L136" s="405">
        <v>0</v>
      </c>
      <c r="M136" s="405">
        <v>0</v>
      </c>
      <c r="N136" s="405">
        <v>3964</v>
      </c>
      <c r="O136" s="405">
        <v>3989</v>
      </c>
      <c r="Q136" s="128" t="s">
        <v>1930</v>
      </c>
    </row>
    <row r="137" spans="1:17">
      <c r="A137" s="411">
        <v>19</v>
      </c>
      <c r="B137" s="404" t="s">
        <v>13232</v>
      </c>
      <c r="C137" s="404" t="s">
        <v>13231</v>
      </c>
      <c r="D137" s="405">
        <v>0</v>
      </c>
      <c r="E137" s="405">
        <v>0</v>
      </c>
      <c r="F137" s="405">
        <v>0</v>
      </c>
      <c r="G137" s="405">
        <v>0</v>
      </c>
      <c r="H137" s="405">
        <v>0</v>
      </c>
      <c r="I137" s="405">
        <v>0</v>
      </c>
      <c r="J137" s="405">
        <v>0</v>
      </c>
      <c r="K137" s="405">
        <v>0</v>
      </c>
      <c r="L137" s="405">
        <v>0</v>
      </c>
      <c r="M137" s="405">
        <v>0</v>
      </c>
      <c r="N137" s="405">
        <v>1808</v>
      </c>
      <c r="O137" s="405">
        <v>1812</v>
      </c>
      <c r="Q137" s="128" t="s">
        <v>1930</v>
      </c>
    </row>
    <row r="138" spans="1:17">
      <c r="A138" s="411">
        <v>20</v>
      </c>
      <c r="B138" s="404" t="s">
        <v>13234</v>
      </c>
      <c r="C138" s="404" t="s">
        <v>13233</v>
      </c>
      <c r="D138" s="405">
        <v>0</v>
      </c>
      <c r="E138" s="405">
        <v>0</v>
      </c>
      <c r="F138" s="405">
        <v>0</v>
      </c>
      <c r="G138" s="405">
        <v>0</v>
      </c>
      <c r="H138" s="405">
        <v>0</v>
      </c>
      <c r="I138" s="405">
        <v>0</v>
      </c>
      <c r="J138" s="405">
        <v>0</v>
      </c>
      <c r="K138" s="405">
        <v>0</v>
      </c>
      <c r="L138" s="405">
        <v>0</v>
      </c>
      <c r="M138" s="405">
        <v>0</v>
      </c>
      <c r="N138" s="405">
        <v>1977</v>
      </c>
      <c r="O138" s="405">
        <v>1965</v>
      </c>
      <c r="Q138" s="128" t="s">
        <v>1930</v>
      </c>
    </row>
    <row r="139" spans="1:17">
      <c r="A139" s="411">
        <v>21</v>
      </c>
      <c r="B139" s="404" t="s">
        <v>13236</v>
      </c>
      <c r="C139" s="404" t="s">
        <v>13235</v>
      </c>
      <c r="D139" s="405">
        <v>0</v>
      </c>
      <c r="E139" s="405">
        <v>0</v>
      </c>
      <c r="F139" s="405">
        <v>0</v>
      </c>
      <c r="G139" s="405">
        <v>0</v>
      </c>
      <c r="H139" s="405">
        <v>0</v>
      </c>
      <c r="I139" s="405">
        <v>0</v>
      </c>
      <c r="J139" s="405">
        <v>0</v>
      </c>
      <c r="K139" s="405">
        <v>0</v>
      </c>
      <c r="L139" s="405">
        <v>0</v>
      </c>
      <c r="M139" s="405">
        <v>0</v>
      </c>
      <c r="N139" s="405">
        <v>6355</v>
      </c>
      <c r="O139" s="405">
        <v>6361</v>
      </c>
      <c r="Q139" s="128" t="s">
        <v>83</v>
      </c>
    </row>
    <row r="140" spans="1:17">
      <c r="A140" s="411">
        <v>22</v>
      </c>
      <c r="B140" s="404" t="s">
        <v>1778</v>
      </c>
      <c r="C140" s="404" t="s">
        <v>13237</v>
      </c>
      <c r="D140" s="405">
        <v>0</v>
      </c>
      <c r="E140" s="405">
        <v>0</v>
      </c>
      <c r="F140" s="405">
        <v>0</v>
      </c>
      <c r="G140" s="405">
        <v>0</v>
      </c>
      <c r="H140" s="405">
        <v>0</v>
      </c>
      <c r="I140" s="405">
        <v>0</v>
      </c>
      <c r="J140" s="405">
        <v>0</v>
      </c>
      <c r="K140" s="405">
        <v>0</v>
      </c>
      <c r="L140" s="405">
        <v>0</v>
      </c>
      <c r="M140" s="405">
        <v>0</v>
      </c>
      <c r="N140" s="405">
        <v>2085</v>
      </c>
      <c r="O140" s="405">
        <v>2107</v>
      </c>
      <c r="Q140" s="128" t="s">
        <v>1930</v>
      </c>
    </row>
    <row r="141" spans="1:17">
      <c r="A141" s="411">
        <v>23</v>
      </c>
      <c r="B141" s="404" t="s">
        <v>13239</v>
      </c>
      <c r="C141" s="404" t="s">
        <v>13238</v>
      </c>
      <c r="D141" s="405">
        <v>0</v>
      </c>
      <c r="E141" s="405">
        <v>0</v>
      </c>
      <c r="F141" s="405">
        <v>0</v>
      </c>
      <c r="G141" s="405">
        <v>0</v>
      </c>
      <c r="H141" s="405">
        <v>0</v>
      </c>
      <c r="I141" s="405">
        <v>0</v>
      </c>
      <c r="J141" s="405">
        <v>0</v>
      </c>
      <c r="K141" s="405">
        <v>0</v>
      </c>
      <c r="L141" s="405">
        <v>0</v>
      </c>
      <c r="M141" s="405">
        <v>0</v>
      </c>
      <c r="N141" s="405">
        <v>2090</v>
      </c>
      <c r="O141" s="405">
        <v>2110</v>
      </c>
      <c r="Q141" s="128" t="s">
        <v>83</v>
      </c>
    </row>
    <row r="142" spans="1:17">
      <c r="A142" s="411">
        <v>24</v>
      </c>
      <c r="B142" s="404" t="s">
        <v>13241</v>
      </c>
      <c r="C142" s="404" t="s">
        <v>13240</v>
      </c>
      <c r="D142" s="405">
        <v>0</v>
      </c>
      <c r="E142" s="405">
        <v>0</v>
      </c>
      <c r="F142" s="405">
        <v>0</v>
      </c>
      <c r="G142" s="405">
        <v>0</v>
      </c>
      <c r="H142" s="405">
        <v>0</v>
      </c>
      <c r="I142" s="405">
        <v>0</v>
      </c>
      <c r="J142" s="405">
        <v>0</v>
      </c>
      <c r="K142" s="405">
        <v>0</v>
      </c>
      <c r="L142" s="405">
        <v>0</v>
      </c>
      <c r="M142" s="405">
        <v>0</v>
      </c>
      <c r="N142" s="405">
        <v>759</v>
      </c>
      <c r="O142" s="405">
        <v>752</v>
      </c>
      <c r="Q142" s="128" t="s">
        <v>1930</v>
      </c>
    </row>
    <row r="143" spans="1:17" ht="15.75" thickBot="1">
      <c r="A143" s="411"/>
      <c r="B143" s="404"/>
      <c r="C143" s="404" t="s">
        <v>13240</v>
      </c>
      <c r="D143" s="413">
        <v>0</v>
      </c>
      <c r="E143" s="413">
        <v>0</v>
      </c>
      <c r="F143" s="413">
        <v>0</v>
      </c>
      <c r="G143" s="413">
        <v>0</v>
      </c>
      <c r="H143" s="413">
        <v>0</v>
      </c>
      <c r="I143" s="413">
        <v>0</v>
      </c>
      <c r="J143" s="413">
        <v>0</v>
      </c>
      <c r="K143" s="413">
        <v>0</v>
      </c>
      <c r="L143" s="413">
        <v>0</v>
      </c>
      <c r="M143" s="413">
        <v>0</v>
      </c>
      <c r="N143" s="413">
        <v>3499</v>
      </c>
      <c r="O143" s="413">
        <v>3482</v>
      </c>
      <c r="Q143" s="128" t="s">
        <v>83</v>
      </c>
    </row>
    <row r="144" spans="1:17" ht="15.75" thickBot="1">
      <c r="A144" s="411"/>
      <c r="B144" s="404"/>
      <c r="C144" s="404" t="s">
        <v>13240</v>
      </c>
      <c r="D144" s="415">
        <f t="shared" ref="D144:N144" si="46">D142+D143</f>
        <v>0</v>
      </c>
      <c r="E144" s="415">
        <f t="shared" si="46"/>
        <v>0</v>
      </c>
      <c r="F144" s="415">
        <f t="shared" si="46"/>
        <v>0</v>
      </c>
      <c r="G144" s="415">
        <f t="shared" si="46"/>
        <v>0</v>
      </c>
      <c r="H144" s="415">
        <f t="shared" si="46"/>
        <v>0</v>
      </c>
      <c r="I144" s="415">
        <f t="shared" si="46"/>
        <v>0</v>
      </c>
      <c r="J144" s="415">
        <f t="shared" si="46"/>
        <v>0</v>
      </c>
      <c r="K144" s="415">
        <f t="shared" si="46"/>
        <v>0</v>
      </c>
      <c r="L144" s="415">
        <f t="shared" si="46"/>
        <v>0</v>
      </c>
      <c r="M144" s="415">
        <f t="shared" si="46"/>
        <v>0</v>
      </c>
      <c r="N144" s="415">
        <f t="shared" si="46"/>
        <v>4258</v>
      </c>
      <c r="O144" s="415">
        <f>O142+O143</f>
        <v>4234</v>
      </c>
    </row>
    <row r="145" spans="1:17">
      <c r="A145" s="411">
        <v>25</v>
      </c>
      <c r="B145" s="404" t="s">
        <v>13243</v>
      </c>
      <c r="C145" s="404" t="s">
        <v>13242</v>
      </c>
      <c r="D145" s="405">
        <v>0</v>
      </c>
      <c r="E145" s="405">
        <v>0</v>
      </c>
      <c r="F145" s="405">
        <v>0</v>
      </c>
      <c r="G145" s="405">
        <v>0</v>
      </c>
      <c r="H145" s="405">
        <v>0</v>
      </c>
      <c r="I145" s="405">
        <v>0</v>
      </c>
      <c r="J145" s="405">
        <v>0</v>
      </c>
      <c r="K145" s="405">
        <v>0</v>
      </c>
      <c r="L145" s="405">
        <v>0</v>
      </c>
      <c r="M145" s="405">
        <v>0</v>
      </c>
      <c r="N145" s="405">
        <v>2805</v>
      </c>
      <c r="O145" s="405">
        <v>2796</v>
      </c>
      <c r="Q145" s="128" t="s">
        <v>83</v>
      </c>
    </row>
    <row r="146" spans="1:17">
      <c r="A146" s="411">
        <v>26</v>
      </c>
      <c r="B146" s="404" t="s">
        <v>4538</v>
      </c>
      <c r="C146" s="404" t="s">
        <v>13244</v>
      </c>
      <c r="D146" s="405">
        <v>0</v>
      </c>
      <c r="E146" s="405">
        <v>0</v>
      </c>
      <c r="F146" s="405">
        <v>0</v>
      </c>
      <c r="G146" s="405">
        <v>0</v>
      </c>
      <c r="H146" s="405">
        <v>0</v>
      </c>
      <c r="I146" s="405">
        <v>0</v>
      </c>
      <c r="J146" s="405">
        <v>0</v>
      </c>
      <c r="K146" s="405">
        <v>0</v>
      </c>
      <c r="L146" s="405">
        <v>0</v>
      </c>
      <c r="M146" s="405">
        <v>0</v>
      </c>
      <c r="N146" s="405">
        <v>3598</v>
      </c>
      <c r="O146" s="405">
        <v>3657</v>
      </c>
      <c r="Q146" s="128" t="s">
        <v>83</v>
      </c>
    </row>
    <row r="147" spans="1:17">
      <c r="A147" s="411">
        <v>27</v>
      </c>
      <c r="B147" s="404" t="s">
        <v>13246</v>
      </c>
      <c r="C147" s="404" t="s">
        <v>13245</v>
      </c>
      <c r="D147" s="405">
        <v>0</v>
      </c>
      <c r="E147" s="405">
        <v>0</v>
      </c>
      <c r="F147" s="405">
        <v>0</v>
      </c>
      <c r="G147" s="405">
        <v>0</v>
      </c>
      <c r="H147" s="405">
        <v>0</v>
      </c>
      <c r="I147" s="405">
        <v>0</v>
      </c>
      <c r="J147" s="405">
        <v>0</v>
      </c>
      <c r="K147" s="405">
        <v>0</v>
      </c>
      <c r="L147" s="405">
        <v>0</v>
      </c>
      <c r="M147" s="405">
        <v>0</v>
      </c>
      <c r="N147" s="405">
        <v>3699</v>
      </c>
      <c r="O147" s="405">
        <v>3688</v>
      </c>
      <c r="Q147" s="128" t="s">
        <v>83</v>
      </c>
    </row>
    <row r="148" spans="1:17">
      <c r="A148" s="411">
        <v>28</v>
      </c>
      <c r="B148" s="404" t="s">
        <v>13248</v>
      </c>
      <c r="C148" s="404" t="s">
        <v>13247</v>
      </c>
      <c r="D148" s="405">
        <v>0</v>
      </c>
      <c r="E148" s="405">
        <v>0</v>
      </c>
      <c r="F148" s="405">
        <v>0</v>
      </c>
      <c r="G148" s="405">
        <v>0</v>
      </c>
      <c r="H148" s="405">
        <v>0</v>
      </c>
      <c r="I148" s="405">
        <v>0</v>
      </c>
      <c r="J148" s="405">
        <v>0</v>
      </c>
      <c r="K148" s="405">
        <v>0</v>
      </c>
      <c r="L148" s="405">
        <v>0</v>
      </c>
      <c r="M148" s="405">
        <v>0</v>
      </c>
      <c r="N148" s="405">
        <v>5555</v>
      </c>
      <c r="O148" s="405">
        <v>5571</v>
      </c>
      <c r="Q148" s="128" t="s">
        <v>1930</v>
      </c>
    </row>
    <row r="149" spans="1:17">
      <c r="A149" s="411">
        <v>29</v>
      </c>
      <c r="B149" s="404" t="s">
        <v>1775</v>
      </c>
      <c r="C149" s="404" t="s">
        <v>13249</v>
      </c>
      <c r="D149" s="405">
        <v>0</v>
      </c>
      <c r="E149" s="405">
        <v>0</v>
      </c>
      <c r="F149" s="405">
        <v>0</v>
      </c>
      <c r="G149" s="405">
        <v>0</v>
      </c>
      <c r="H149" s="405">
        <v>0</v>
      </c>
      <c r="I149" s="405">
        <v>0</v>
      </c>
      <c r="J149" s="405">
        <v>0</v>
      </c>
      <c r="K149" s="405">
        <v>0</v>
      </c>
      <c r="L149" s="405">
        <v>0</v>
      </c>
      <c r="M149" s="405">
        <v>0</v>
      </c>
      <c r="N149" s="405">
        <v>3481</v>
      </c>
      <c r="O149" s="405">
        <v>3525</v>
      </c>
      <c r="Q149" s="128" t="s">
        <v>83</v>
      </c>
    </row>
    <row r="150" spans="1:17">
      <c r="A150" s="411">
        <v>30</v>
      </c>
      <c r="B150" s="404" t="s">
        <v>1776</v>
      </c>
      <c r="C150" s="404" t="s">
        <v>13250</v>
      </c>
      <c r="D150" s="405">
        <v>0</v>
      </c>
      <c r="E150" s="405">
        <v>0</v>
      </c>
      <c r="F150" s="405">
        <v>0</v>
      </c>
      <c r="G150" s="405">
        <v>0</v>
      </c>
      <c r="H150" s="405">
        <v>0</v>
      </c>
      <c r="I150" s="405">
        <v>0</v>
      </c>
      <c r="J150" s="405">
        <v>0</v>
      </c>
      <c r="K150" s="405">
        <v>0</v>
      </c>
      <c r="L150" s="405">
        <v>0</v>
      </c>
      <c r="M150" s="405">
        <v>0</v>
      </c>
      <c r="N150" s="405">
        <v>3900</v>
      </c>
      <c r="O150" s="405">
        <v>3978</v>
      </c>
      <c r="Q150" s="128" t="s">
        <v>83</v>
      </c>
    </row>
    <row r="151" spans="1:17">
      <c r="A151" s="411">
        <v>31</v>
      </c>
      <c r="B151" s="404" t="s">
        <v>13252</v>
      </c>
      <c r="C151" s="404" t="s">
        <v>13251</v>
      </c>
      <c r="D151" s="405">
        <v>0</v>
      </c>
      <c r="E151" s="405">
        <v>0</v>
      </c>
      <c r="F151" s="405">
        <v>0</v>
      </c>
      <c r="G151" s="405">
        <v>0</v>
      </c>
      <c r="H151" s="405">
        <v>0</v>
      </c>
      <c r="I151" s="405">
        <v>0</v>
      </c>
      <c r="J151" s="405">
        <v>0</v>
      </c>
      <c r="K151" s="405">
        <v>0</v>
      </c>
      <c r="L151" s="405">
        <v>0</v>
      </c>
      <c r="M151" s="405">
        <v>0</v>
      </c>
      <c r="N151" s="405">
        <v>2194</v>
      </c>
      <c r="O151" s="405">
        <v>2183</v>
      </c>
      <c r="Q151" s="128" t="s">
        <v>83</v>
      </c>
    </row>
    <row r="152" spans="1:17">
      <c r="A152" s="411">
        <v>32</v>
      </c>
      <c r="B152" s="404" t="s">
        <v>13254</v>
      </c>
      <c r="C152" s="404" t="s">
        <v>13253</v>
      </c>
      <c r="D152" s="405">
        <v>0</v>
      </c>
      <c r="E152" s="405">
        <v>0</v>
      </c>
      <c r="F152" s="405">
        <v>0</v>
      </c>
      <c r="G152" s="405">
        <v>0</v>
      </c>
      <c r="H152" s="405">
        <v>0</v>
      </c>
      <c r="I152" s="405">
        <v>0</v>
      </c>
      <c r="J152" s="405">
        <v>0</v>
      </c>
      <c r="K152" s="405">
        <v>0</v>
      </c>
      <c r="L152" s="405">
        <v>0</v>
      </c>
      <c r="M152" s="405">
        <v>0</v>
      </c>
      <c r="N152" s="405">
        <v>4337</v>
      </c>
      <c r="O152" s="405">
        <v>4387</v>
      </c>
      <c r="Q152" s="128" t="s">
        <v>83</v>
      </c>
    </row>
    <row r="153" spans="1:17">
      <c r="A153" s="411">
        <v>33</v>
      </c>
      <c r="B153" s="404" t="s">
        <v>13256</v>
      </c>
      <c r="C153" s="404" t="s">
        <v>13255</v>
      </c>
      <c r="D153" s="405">
        <v>0</v>
      </c>
      <c r="E153" s="405">
        <v>0</v>
      </c>
      <c r="F153" s="405">
        <v>0</v>
      </c>
      <c r="G153" s="405">
        <v>0</v>
      </c>
      <c r="H153" s="405">
        <v>0</v>
      </c>
      <c r="I153" s="405">
        <v>0</v>
      </c>
      <c r="J153" s="405">
        <v>0</v>
      </c>
      <c r="K153" s="405">
        <v>0</v>
      </c>
      <c r="L153" s="405">
        <v>0</v>
      </c>
      <c r="M153" s="405">
        <v>0</v>
      </c>
      <c r="N153" s="405">
        <v>5444</v>
      </c>
      <c r="O153" s="405">
        <v>5600</v>
      </c>
      <c r="Q153" s="128" t="s">
        <v>83</v>
      </c>
    </row>
    <row r="154" spans="1:17">
      <c r="A154" s="411">
        <v>34</v>
      </c>
      <c r="B154" s="404" t="s">
        <v>13258</v>
      </c>
      <c r="C154" s="404" t="s">
        <v>13257</v>
      </c>
      <c r="D154" s="405">
        <v>0</v>
      </c>
      <c r="E154" s="405">
        <v>0</v>
      </c>
      <c r="F154" s="405">
        <v>0</v>
      </c>
      <c r="G154" s="405">
        <v>0</v>
      </c>
      <c r="H154" s="405">
        <v>0</v>
      </c>
      <c r="I154" s="405">
        <v>0</v>
      </c>
      <c r="J154" s="405">
        <v>0</v>
      </c>
      <c r="K154" s="405">
        <v>0</v>
      </c>
      <c r="L154" s="405">
        <v>0</v>
      </c>
      <c r="M154" s="405">
        <v>0</v>
      </c>
      <c r="N154" s="405">
        <v>2129</v>
      </c>
      <c r="O154" s="405">
        <v>2108</v>
      </c>
      <c r="Q154" s="128" t="s">
        <v>83</v>
      </c>
    </row>
    <row r="155" spans="1:17">
      <c r="A155" s="411">
        <v>35</v>
      </c>
      <c r="B155" s="404" t="s">
        <v>13260</v>
      </c>
      <c r="C155" s="404" t="s">
        <v>13259</v>
      </c>
      <c r="D155" s="405">
        <v>0</v>
      </c>
      <c r="E155" s="405">
        <v>0</v>
      </c>
      <c r="F155" s="405">
        <v>0</v>
      </c>
      <c r="G155" s="405">
        <v>0</v>
      </c>
      <c r="H155" s="405">
        <v>0</v>
      </c>
      <c r="I155" s="405">
        <v>0</v>
      </c>
      <c r="J155" s="405">
        <v>0</v>
      </c>
      <c r="K155" s="405">
        <v>0</v>
      </c>
      <c r="L155" s="405">
        <v>0</v>
      </c>
      <c r="M155" s="405">
        <v>0</v>
      </c>
      <c r="N155" s="405">
        <v>668</v>
      </c>
      <c r="O155" s="405">
        <v>669</v>
      </c>
      <c r="Q155" s="128" t="s">
        <v>1930</v>
      </c>
    </row>
    <row r="156" spans="1:17" ht="15.75" thickBot="1">
      <c r="A156" s="411"/>
      <c r="B156" s="404"/>
      <c r="C156" s="404" t="s">
        <v>13259</v>
      </c>
      <c r="D156" s="413">
        <v>0</v>
      </c>
      <c r="E156" s="413">
        <v>0</v>
      </c>
      <c r="F156" s="413">
        <v>0</v>
      </c>
      <c r="G156" s="413">
        <v>0</v>
      </c>
      <c r="H156" s="413">
        <v>0</v>
      </c>
      <c r="I156" s="413">
        <v>0</v>
      </c>
      <c r="J156" s="413">
        <v>0</v>
      </c>
      <c r="K156" s="413">
        <v>0</v>
      </c>
      <c r="L156" s="413">
        <v>0</v>
      </c>
      <c r="M156" s="413">
        <v>0</v>
      </c>
      <c r="N156" s="413">
        <v>3445</v>
      </c>
      <c r="O156" s="413">
        <v>3443</v>
      </c>
      <c r="Q156" s="128" t="s">
        <v>83</v>
      </c>
    </row>
    <row r="157" spans="1:17" ht="15.75" thickBot="1">
      <c r="A157" s="411"/>
      <c r="B157" s="404"/>
      <c r="C157" s="404" t="s">
        <v>13259</v>
      </c>
      <c r="D157" s="415">
        <f t="shared" ref="D157:N157" si="47">D155+D156</f>
        <v>0</v>
      </c>
      <c r="E157" s="415">
        <f t="shared" si="47"/>
        <v>0</v>
      </c>
      <c r="F157" s="415">
        <f t="shared" si="47"/>
        <v>0</v>
      </c>
      <c r="G157" s="415">
        <f t="shared" si="47"/>
        <v>0</v>
      </c>
      <c r="H157" s="415">
        <f t="shared" si="47"/>
        <v>0</v>
      </c>
      <c r="I157" s="415">
        <f t="shared" si="47"/>
        <v>0</v>
      </c>
      <c r="J157" s="415">
        <f t="shared" si="47"/>
        <v>0</v>
      </c>
      <c r="K157" s="415">
        <f t="shared" si="47"/>
        <v>0</v>
      </c>
      <c r="L157" s="415">
        <f t="shared" si="47"/>
        <v>0</v>
      </c>
      <c r="M157" s="415">
        <f t="shared" si="47"/>
        <v>0</v>
      </c>
      <c r="N157" s="415">
        <f t="shared" si="47"/>
        <v>4113</v>
      </c>
      <c r="O157" s="415">
        <f>O155+O156</f>
        <v>4112</v>
      </c>
    </row>
    <row r="158" spans="1:17">
      <c r="A158" s="404"/>
      <c r="B158" s="404"/>
      <c r="D158" s="412"/>
      <c r="E158" s="412"/>
      <c r="F158" s="412"/>
      <c r="G158" s="412"/>
      <c r="H158" s="412"/>
      <c r="I158" s="412"/>
      <c r="J158" s="412"/>
      <c r="K158" s="412"/>
    </row>
    <row r="159" spans="1:17">
      <c r="A159" s="404" t="s">
        <v>13261</v>
      </c>
      <c r="B159" s="404"/>
      <c r="D159" s="412"/>
      <c r="E159" s="412"/>
      <c r="F159" s="412"/>
      <c r="G159" s="412"/>
      <c r="H159" s="412"/>
      <c r="I159" s="412"/>
      <c r="J159" s="412"/>
      <c r="K159" s="412"/>
    </row>
    <row r="160" spans="1:17">
      <c r="A160" s="404"/>
      <c r="B160" s="404"/>
      <c r="D160" s="412"/>
      <c r="E160" s="412"/>
      <c r="F160" s="412"/>
      <c r="G160" s="412"/>
      <c r="H160" s="412"/>
      <c r="I160" s="412"/>
      <c r="J160" s="412"/>
      <c r="K160" s="412"/>
    </row>
    <row r="161" spans="1:17">
      <c r="A161" s="404" t="s">
        <v>3336</v>
      </c>
      <c r="B161" s="404"/>
      <c r="D161" s="405">
        <f t="shared" ref="D161:M161" si="48">SUM(D119,D124:D125,D130:D131,D136:D138,D140,D142,D148,D155)</f>
        <v>27945</v>
      </c>
      <c r="E161" s="405">
        <f t="shared" si="48"/>
        <v>28424</v>
      </c>
      <c r="F161" s="405">
        <f t="shared" si="48"/>
        <v>27849</v>
      </c>
      <c r="G161" s="405">
        <f t="shared" si="48"/>
        <v>27870</v>
      </c>
      <c r="H161" s="405">
        <f t="shared" si="48"/>
        <v>27885</v>
      </c>
      <c r="I161" s="405">
        <f t="shared" si="48"/>
        <v>27213</v>
      </c>
      <c r="J161" s="405">
        <f t="shared" si="48"/>
        <v>26264</v>
      </c>
      <c r="K161" s="405">
        <f t="shared" si="48"/>
        <v>27176</v>
      </c>
      <c r="L161" s="405">
        <f t="shared" si="48"/>
        <v>27601</v>
      </c>
      <c r="M161" s="405">
        <f t="shared" si="48"/>
        <v>27343</v>
      </c>
      <c r="N161" s="405">
        <f>SUM(N119,N124:N125,N130:N131,N136:N138,N140,N142,N148,N155)</f>
        <v>27989</v>
      </c>
      <c r="O161" s="405">
        <f>SUM(O119,O124:O125,O130:O131,O136:O138,O140,O142,O148,O155)</f>
        <v>28052</v>
      </c>
    </row>
    <row r="162" spans="1:17">
      <c r="A162" s="404" t="s">
        <v>83</v>
      </c>
      <c r="B162" s="404"/>
      <c r="D162" s="405">
        <f t="shared" ref="D162:M162" si="49">SUM(D120:D123,D126:D129,D132:D135,D139,D141,D143,D145:D147,D149:D154,D156)</f>
        <v>82281</v>
      </c>
      <c r="E162" s="405">
        <f t="shared" si="49"/>
        <v>82882</v>
      </c>
      <c r="F162" s="405">
        <f t="shared" si="49"/>
        <v>83723</v>
      </c>
      <c r="G162" s="405">
        <f t="shared" si="49"/>
        <v>84162</v>
      </c>
      <c r="H162" s="405">
        <f t="shared" si="49"/>
        <v>76989</v>
      </c>
      <c r="I162" s="405">
        <f t="shared" si="49"/>
        <v>78505</v>
      </c>
      <c r="J162" s="405">
        <f t="shared" si="49"/>
        <v>78187</v>
      </c>
      <c r="K162" s="405">
        <f t="shared" si="49"/>
        <v>83150</v>
      </c>
      <c r="L162" s="405">
        <f t="shared" si="49"/>
        <v>84295</v>
      </c>
      <c r="M162" s="405">
        <f t="shared" si="49"/>
        <v>83657</v>
      </c>
      <c r="N162" s="405">
        <f>SUM(N120:N123,N126:N129,N132:N135,N139,N141,N143,N145:N147,N149:N154,N156)</f>
        <v>86767</v>
      </c>
      <c r="O162" s="405">
        <f>SUM(O120:O123,O126:O129,O132:O135,O139,O141,O143,O145:O147,O149:O154,O156)</f>
        <v>87333</v>
      </c>
    </row>
    <row r="163" spans="1:17">
      <c r="A163" s="404"/>
      <c r="B163" s="404"/>
      <c r="D163" s="405"/>
      <c r="E163" s="405"/>
      <c r="F163" s="405"/>
      <c r="G163" s="405"/>
      <c r="H163" s="405"/>
      <c r="I163" s="405"/>
      <c r="J163" s="405"/>
      <c r="K163" s="405"/>
      <c r="L163" s="405"/>
      <c r="M163" s="405"/>
      <c r="N163" s="405"/>
      <c r="O163" s="405"/>
    </row>
    <row r="164" spans="1:17">
      <c r="A164" s="404"/>
      <c r="B164" s="404"/>
      <c r="D164" s="405"/>
      <c r="E164" s="405"/>
      <c r="F164" s="405"/>
      <c r="G164" s="405"/>
      <c r="H164" s="405"/>
      <c r="I164" s="405"/>
      <c r="J164" s="405"/>
      <c r="K164" s="405"/>
      <c r="L164" s="405"/>
      <c r="M164" s="405"/>
      <c r="N164" s="405"/>
      <c r="O164" s="405"/>
    </row>
    <row r="165" spans="1:17">
      <c r="E165" s="51" t="s">
        <v>1526</v>
      </c>
      <c r="F165" s="51"/>
      <c r="G165" s="51"/>
      <c r="H165" s="51"/>
      <c r="I165" s="51"/>
      <c r="J165" s="51"/>
      <c r="K165" s="51"/>
      <c r="L165" s="51"/>
      <c r="M165" s="51"/>
      <c r="N165" s="51"/>
      <c r="O165" s="51"/>
      <c r="Q165" s="11" t="s">
        <v>9479</v>
      </c>
    </row>
    <row r="166" spans="1:17">
      <c r="D166" s="350">
        <v>2010</v>
      </c>
      <c r="E166" s="350">
        <v>2011</v>
      </c>
      <c r="F166" s="350">
        <v>2012</v>
      </c>
      <c r="G166" s="350">
        <v>2013</v>
      </c>
      <c r="H166" s="350">
        <v>2014</v>
      </c>
      <c r="I166" s="350">
        <v>2015</v>
      </c>
      <c r="J166" s="350">
        <v>2016</v>
      </c>
      <c r="K166" s="350">
        <v>2017</v>
      </c>
      <c r="L166" s="350">
        <v>2018</v>
      </c>
      <c r="M166" s="350">
        <v>2019</v>
      </c>
      <c r="N166" s="350">
        <v>2020</v>
      </c>
      <c r="O166" s="944" t="s">
        <v>14823</v>
      </c>
      <c r="P166" s="410"/>
      <c r="Q166" s="13" t="s">
        <v>1527</v>
      </c>
    </row>
    <row r="167" spans="1:17">
      <c r="A167" s="404" t="s">
        <v>3338</v>
      </c>
      <c r="D167" s="405">
        <f t="shared" ref="D167:L167" si="50">SUM(D168:D191,D193:D195,D197:D206)</f>
        <v>126230</v>
      </c>
      <c r="E167" s="405">
        <f t="shared" si="50"/>
        <v>126587</v>
      </c>
      <c r="F167" s="405">
        <f t="shared" si="50"/>
        <v>126706</v>
      </c>
      <c r="G167" s="405">
        <f t="shared" si="50"/>
        <v>128329</v>
      </c>
      <c r="H167" s="405">
        <f t="shared" si="50"/>
        <v>127883</v>
      </c>
      <c r="I167" s="405">
        <f t="shared" si="50"/>
        <v>125951</v>
      </c>
      <c r="J167" s="405">
        <f t="shared" si="50"/>
        <v>117938</v>
      </c>
      <c r="K167" s="405">
        <f t="shared" si="50"/>
        <v>124816</v>
      </c>
      <c r="L167" s="405">
        <f t="shared" si="50"/>
        <v>125114</v>
      </c>
      <c r="M167" s="405">
        <f>SUM(M168:M191,M193:M195,M197:M206)</f>
        <v>123590</v>
      </c>
      <c r="N167" s="405">
        <f>SUM(N168:N191,N193:N195,N197:N206)</f>
        <v>125339</v>
      </c>
      <c r="O167" s="405">
        <f>SUM(O168:O191,O193:O195,O197:O206)</f>
        <v>127757</v>
      </c>
    </row>
    <row r="168" spans="1:17">
      <c r="A168" s="411">
        <v>1</v>
      </c>
      <c r="B168" s="404" t="s">
        <v>12652</v>
      </c>
      <c r="C168" s="128" t="s">
        <v>13459</v>
      </c>
      <c r="D168" s="406">
        <v>82767</v>
      </c>
      <c r="E168" s="406">
        <v>82771</v>
      </c>
      <c r="F168" s="406">
        <v>82760</v>
      </c>
      <c r="G168" s="406">
        <v>83788</v>
      </c>
      <c r="H168" s="406">
        <v>83420</v>
      </c>
      <c r="I168" s="406">
        <v>82157</v>
      </c>
      <c r="J168" s="406">
        <v>76351</v>
      </c>
      <c r="K168" s="406">
        <v>80924</v>
      </c>
      <c r="L168" s="406">
        <v>81075</v>
      </c>
      <c r="M168" s="63">
        <v>4074</v>
      </c>
      <c r="N168" s="63">
        <v>4104</v>
      </c>
      <c r="O168" s="63">
        <v>4162</v>
      </c>
      <c r="Q168" s="404" t="s">
        <v>85</v>
      </c>
    </row>
    <row r="169" spans="1:17">
      <c r="A169" s="411">
        <v>2</v>
      </c>
      <c r="B169" s="404" t="s">
        <v>3339</v>
      </c>
      <c r="C169" s="128" t="s">
        <v>13460</v>
      </c>
      <c r="D169" s="406">
        <v>43463</v>
      </c>
      <c r="E169" s="406">
        <v>43816</v>
      </c>
      <c r="F169" s="406">
        <v>43946</v>
      </c>
      <c r="G169" s="406">
        <v>44541</v>
      </c>
      <c r="H169" s="406">
        <v>44463</v>
      </c>
      <c r="I169" s="406">
        <v>43794</v>
      </c>
      <c r="J169" s="406">
        <v>41587</v>
      </c>
      <c r="K169" s="406">
        <v>43892</v>
      </c>
      <c r="L169" s="406">
        <v>44039</v>
      </c>
      <c r="M169" s="63">
        <v>4614</v>
      </c>
      <c r="N169" s="63">
        <v>4695</v>
      </c>
      <c r="O169" s="63">
        <v>4763</v>
      </c>
      <c r="Q169" s="404" t="s">
        <v>80</v>
      </c>
    </row>
    <row r="170" spans="1:17">
      <c r="A170" s="411">
        <v>3</v>
      </c>
      <c r="B170" s="404" t="s">
        <v>3340</v>
      </c>
      <c r="C170" s="128" t="s">
        <v>13461</v>
      </c>
      <c r="D170" s="406">
        <v>0</v>
      </c>
      <c r="E170" s="406">
        <v>0</v>
      </c>
      <c r="F170" s="406">
        <v>0</v>
      </c>
      <c r="G170" s="406">
        <v>0</v>
      </c>
      <c r="H170" s="406">
        <v>0</v>
      </c>
      <c r="I170" s="406">
        <v>0</v>
      </c>
      <c r="J170" s="406">
        <v>0</v>
      </c>
      <c r="K170" s="406">
        <v>0</v>
      </c>
      <c r="L170" s="406">
        <v>0</v>
      </c>
      <c r="M170" s="63">
        <v>1937</v>
      </c>
      <c r="N170" s="63">
        <v>2000</v>
      </c>
      <c r="O170" s="63">
        <v>2054</v>
      </c>
      <c r="Q170" s="404" t="s">
        <v>80</v>
      </c>
    </row>
    <row r="171" spans="1:17">
      <c r="A171" s="411">
        <v>4</v>
      </c>
      <c r="B171" s="404" t="s">
        <v>3341</v>
      </c>
      <c r="C171" s="128" t="s">
        <v>13462</v>
      </c>
      <c r="D171" s="406">
        <v>0</v>
      </c>
      <c r="E171" s="406">
        <v>0</v>
      </c>
      <c r="F171" s="406">
        <v>0</v>
      </c>
      <c r="G171" s="406">
        <v>0</v>
      </c>
      <c r="H171" s="406">
        <v>0</v>
      </c>
      <c r="I171" s="406">
        <v>0</v>
      </c>
      <c r="J171" s="406">
        <v>0</v>
      </c>
      <c r="K171" s="406">
        <v>0</v>
      </c>
      <c r="L171" s="406">
        <v>0</v>
      </c>
      <c r="M171" s="63">
        <v>5658</v>
      </c>
      <c r="N171" s="63">
        <v>5739</v>
      </c>
      <c r="O171" s="63">
        <v>5908</v>
      </c>
      <c r="Q171" s="404" t="s">
        <v>85</v>
      </c>
    </row>
    <row r="172" spans="1:17">
      <c r="A172" s="411">
        <v>5</v>
      </c>
      <c r="B172" s="404" t="s">
        <v>3342</v>
      </c>
      <c r="C172" s="128" t="s">
        <v>13463</v>
      </c>
      <c r="D172" s="406">
        <v>0</v>
      </c>
      <c r="E172" s="406">
        <v>0</v>
      </c>
      <c r="F172" s="406">
        <v>0</v>
      </c>
      <c r="G172" s="406">
        <v>0</v>
      </c>
      <c r="H172" s="406">
        <v>0</v>
      </c>
      <c r="I172" s="406">
        <v>0</v>
      </c>
      <c r="J172" s="406">
        <v>0</v>
      </c>
      <c r="K172" s="406">
        <v>0</v>
      </c>
      <c r="L172" s="406">
        <v>0</v>
      </c>
      <c r="M172" s="63">
        <v>2352</v>
      </c>
      <c r="N172" s="63">
        <v>2414</v>
      </c>
      <c r="O172" s="63">
        <v>2432</v>
      </c>
      <c r="Q172" s="404" t="s">
        <v>80</v>
      </c>
    </row>
    <row r="173" spans="1:17">
      <c r="A173" s="411">
        <v>6</v>
      </c>
      <c r="B173" s="404" t="s">
        <v>3343</v>
      </c>
      <c r="C173" s="128" t="s">
        <v>13464</v>
      </c>
      <c r="D173" s="406">
        <v>0</v>
      </c>
      <c r="E173" s="406">
        <v>0</v>
      </c>
      <c r="F173" s="406">
        <v>0</v>
      </c>
      <c r="G173" s="406">
        <v>0</v>
      </c>
      <c r="H173" s="406">
        <v>0</v>
      </c>
      <c r="I173" s="406">
        <v>0</v>
      </c>
      <c r="J173" s="406">
        <v>0</v>
      </c>
      <c r="K173" s="406">
        <v>0</v>
      </c>
      <c r="L173" s="406">
        <v>0</v>
      </c>
      <c r="M173" s="63">
        <v>2189</v>
      </c>
      <c r="N173" s="63">
        <v>2172</v>
      </c>
      <c r="O173" s="63">
        <v>2226</v>
      </c>
      <c r="Q173" s="404" t="s">
        <v>80</v>
      </c>
    </row>
    <row r="174" spans="1:17">
      <c r="A174" s="411">
        <v>7</v>
      </c>
      <c r="B174" s="404" t="s">
        <v>3344</v>
      </c>
      <c r="C174" s="128" t="s">
        <v>13465</v>
      </c>
      <c r="D174" s="406">
        <v>0</v>
      </c>
      <c r="E174" s="406">
        <v>0</v>
      </c>
      <c r="F174" s="406">
        <v>0</v>
      </c>
      <c r="G174" s="406">
        <v>0</v>
      </c>
      <c r="H174" s="406">
        <v>0</v>
      </c>
      <c r="I174" s="406">
        <v>0</v>
      </c>
      <c r="J174" s="406">
        <v>0</v>
      </c>
      <c r="K174" s="406">
        <v>0</v>
      </c>
      <c r="L174" s="406">
        <v>0</v>
      </c>
      <c r="M174" s="63">
        <v>4128</v>
      </c>
      <c r="N174" s="63">
        <v>4206</v>
      </c>
      <c r="O174" s="63">
        <v>4303</v>
      </c>
      <c r="Q174" s="404" t="s">
        <v>80</v>
      </c>
    </row>
    <row r="175" spans="1:17">
      <c r="A175" s="411">
        <v>8</v>
      </c>
      <c r="B175" s="404" t="s">
        <v>3345</v>
      </c>
      <c r="C175" s="128" t="s">
        <v>13466</v>
      </c>
      <c r="D175" s="406">
        <v>0</v>
      </c>
      <c r="E175" s="406">
        <v>0</v>
      </c>
      <c r="F175" s="406">
        <v>0</v>
      </c>
      <c r="G175" s="406">
        <v>0</v>
      </c>
      <c r="H175" s="406">
        <v>0</v>
      </c>
      <c r="I175" s="406">
        <v>0</v>
      </c>
      <c r="J175" s="406">
        <v>0</v>
      </c>
      <c r="K175" s="406">
        <v>0</v>
      </c>
      <c r="L175" s="406">
        <v>0</v>
      </c>
      <c r="M175" s="63">
        <v>1797</v>
      </c>
      <c r="N175" s="63">
        <v>1796</v>
      </c>
      <c r="O175" s="63">
        <v>1794</v>
      </c>
      <c r="Q175" s="404" t="s">
        <v>85</v>
      </c>
    </row>
    <row r="176" spans="1:17">
      <c r="A176" s="411">
        <v>9</v>
      </c>
      <c r="B176" s="404" t="s">
        <v>3346</v>
      </c>
      <c r="C176" s="128" t="s">
        <v>13467</v>
      </c>
      <c r="D176" s="406">
        <v>0</v>
      </c>
      <c r="E176" s="406">
        <v>0</v>
      </c>
      <c r="F176" s="406">
        <v>0</v>
      </c>
      <c r="G176" s="406">
        <v>0</v>
      </c>
      <c r="H176" s="406">
        <v>0</v>
      </c>
      <c r="I176" s="406">
        <v>0</v>
      </c>
      <c r="J176" s="406">
        <v>0</v>
      </c>
      <c r="K176" s="406">
        <v>0</v>
      </c>
      <c r="L176" s="406">
        <v>0</v>
      </c>
      <c r="M176" s="63">
        <v>1795</v>
      </c>
      <c r="N176" s="63">
        <v>1859</v>
      </c>
      <c r="O176" s="63">
        <v>1886</v>
      </c>
      <c r="Q176" s="404" t="s">
        <v>85</v>
      </c>
    </row>
    <row r="177" spans="1:17">
      <c r="A177" s="411">
        <v>10</v>
      </c>
      <c r="B177" s="404" t="s">
        <v>3347</v>
      </c>
      <c r="C177" s="128" t="s">
        <v>13468</v>
      </c>
      <c r="D177" s="406">
        <v>0</v>
      </c>
      <c r="E177" s="406">
        <v>0</v>
      </c>
      <c r="F177" s="406">
        <v>0</v>
      </c>
      <c r="G177" s="406">
        <v>0</v>
      </c>
      <c r="H177" s="406">
        <v>0</v>
      </c>
      <c r="I177" s="406">
        <v>0</v>
      </c>
      <c r="J177" s="406">
        <v>0</v>
      </c>
      <c r="K177" s="406">
        <v>0</v>
      </c>
      <c r="L177" s="406">
        <v>0</v>
      </c>
      <c r="M177" s="63">
        <v>1894</v>
      </c>
      <c r="N177" s="63">
        <v>1929</v>
      </c>
      <c r="O177" s="63">
        <v>1975</v>
      </c>
      <c r="Q177" s="404" t="s">
        <v>85</v>
      </c>
    </row>
    <row r="178" spans="1:17">
      <c r="A178" s="411">
        <v>11</v>
      </c>
      <c r="B178" s="404" t="s">
        <v>3348</v>
      </c>
      <c r="C178" s="128" t="s">
        <v>13469</v>
      </c>
      <c r="D178" s="406">
        <v>0</v>
      </c>
      <c r="E178" s="406">
        <v>0</v>
      </c>
      <c r="F178" s="406">
        <v>0</v>
      </c>
      <c r="G178" s="406">
        <v>0</v>
      </c>
      <c r="H178" s="406">
        <v>0</v>
      </c>
      <c r="I178" s="406">
        <v>0</v>
      </c>
      <c r="J178" s="406">
        <v>0</v>
      </c>
      <c r="K178" s="406">
        <v>0</v>
      </c>
      <c r="L178" s="406">
        <v>0</v>
      </c>
      <c r="M178" s="63">
        <v>2095</v>
      </c>
      <c r="N178" s="63">
        <v>2080</v>
      </c>
      <c r="O178" s="63">
        <v>2099</v>
      </c>
      <c r="Q178" s="404" t="s">
        <v>85</v>
      </c>
    </row>
    <row r="179" spans="1:17">
      <c r="A179" s="411">
        <v>12</v>
      </c>
      <c r="B179" s="404" t="s">
        <v>3349</v>
      </c>
      <c r="C179" s="128" t="s">
        <v>13470</v>
      </c>
      <c r="D179" s="406">
        <v>0</v>
      </c>
      <c r="E179" s="406">
        <v>0</v>
      </c>
      <c r="F179" s="406">
        <v>0</v>
      </c>
      <c r="G179" s="406">
        <v>0</v>
      </c>
      <c r="H179" s="406">
        <v>0</v>
      </c>
      <c r="I179" s="406">
        <v>0</v>
      </c>
      <c r="J179" s="406">
        <v>0</v>
      </c>
      <c r="K179" s="406">
        <v>0</v>
      </c>
      <c r="L179" s="406">
        <v>0</v>
      </c>
      <c r="M179" s="63">
        <v>1776</v>
      </c>
      <c r="N179" s="63">
        <v>1814</v>
      </c>
      <c r="O179" s="63">
        <v>1834</v>
      </c>
      <c r="Q179" s="404" t="s">
        <v>85</v>
      </c>
    </row>
    <row r="180" spans="1:17">
      <c r="A180" s="411">
        <v>13</v>
      </c>
      <c r="B180" s="404" t="s">
        <v>3350</v>
      </c>
      <c r="C180" s="128" t="s">
        <v>13471</v>
      </c>
      <c r="D180" s="406">
        <v>0</v>
      </c>
      <c r="E180" s="406">
        <v>0</v>
      </c>
      <c r="F180" s="406">
        <v>0</v>
      </c>
      <c r="G180" s="406">
        <v>0</v>
      </c>
      <c r="H180" s="406">
        <v>0</v>
      </c>
      <c r="I180" s="406">
        <v>0</v>
      </c>
      <c r="J180" s="406">
        <v>0</v>
      </c>
      <c r="K180" s="406">
        <v>0</v>
      </c>
      <c r="L180" s="406">
        <v>0</v>
      </c>
      <c r="M180" s="63">
        <v>4199</v>
      </c>
      <c r="N180" s="63">
        <v>4323</v>
      </c>
      <c r="O180" s="63">
        <v>4396</v>
      </c>
      <c r="Q180" s="404" t="s">
        <v>85</v>
      </c>
    </row>
    <row r="181" spans="1:17">
      <c r="A181" s="411">
        <v>14</v>
      </c>
      <c r="B181" s="404" t="s">
        <v>3351</v>
      </c>
      <c r="C181" s="128" t="s">
        <v>13472</v>
      </c>
      <c r="D181" s="406">
        <v>0</v>
      </c>
      <c r="E181" s="406">
        <v>0</v>
      </c>
      <c r="F181" s="406">
        <v>0</v>
      </c>
      <c r="G181" s="406">
        <v>0</v>
      </c>
      <c r="H181" s="406">
        <v>0</v>
      </c>
      <c r="I181" s="406">
        <v>0</v>
      </c>
      <c r="J181" s="406">
        <v>0</v>
      </c>
      <c r="K181" s="406">
        <v>0</v>
      </c>
      <c r="L181" s="406">
        <v>0</v>
      </c>
      <c r="M181" s="63">
        <v>6348</v>
      </c>
      <c r="N181" s="63">
        <v>6387</v>
      </c>
      <c r="O181" s="63">
        <v>6469</v>
      </c>
      <c r="Q181" s="404" t="s">
        <v>85</v>
      </c>
    </row>
    <row r="182" spans="1:17">
      <c r="A182" s="411">
        <v>15</v>
      </c>
      <c r="B182" s="404" t="s">
        <v>12653</v>
      </c>
      <c r="C182" s="128" t="s">
        <v>13473</v>
      </c>
      <c r="D182" s="406">
        <v>0</v>
      </c>
      <c r="E182" s="406">
        <v>0</v>
      </c>
      <c r="F182" s="406">
        <v>0</v>
      </c>
      <c r="G182" s="406">
        <v>0</v>
      </c>
      <c r="H182" s="406">
        <v>0</v>
      </c>
      <c r="I182" s="406">
        <v>0</v>
      </c>
      <c r="J182" s="406">
        <v>0</v>
      </c>
      <c r="K182" s="406">
        <v>0</v>
      </c>
      <c r="L182" s="406">
        <v>0</v>
      </c>
      <c r="M182" s="63">
        <v>4457</v>
      </c>
      <c r="N182" s="63">
        <v>4493</v>
      </c>
      <c r="O182" s="63">
        <v>4578</v>
      </c>
      <c r="Q182" s="404" t="s">
        <v>80</v>
      </c>
    </row>
    <row r="183" spans="1:17">
      <c r="A183" s="411">
        <v>16</v>
      </c>
      <c r="B183" s="404" t="s">
        <v>3352</v>
      </c>
      <c r="C183" s="128" t="s">
        <v>13474</v>
      </c>
      <c r="D183" s="406">
        <v>0</v>
      </c>
      <c r="E183" s="406">
        <v>0</v>
      </c>
      <c r="F183" s="406">
        <v>0</v>
      </c>
      <c r="G183" s="406">
        <v>0</v>
      </c>
      <c r="H183" s="406">
        <v>0</v>
      </c>
      <c r="I183" s="406">
        <v>0</v>
      </c>
      <c r="J183" s="406">
        <v>0</v>
      </c>
      <c r="K183" s="406">
        <v>0</v>
      </c>
      <c r="L183" s="406">
        <v>0</v>
      </c>
      <c r="M183" s="63">
        <v>1954</v>
      </c>
      <c r="N183" s="63">
        <v>2013</v>
      </c>
      <c r="O183" s="63">
        <v>2027</v>
      </c>
      <c r="Q183" s="404" t="s">
        <v>85</v>
      </c>
    </row>
    <row r="184" spans="1:17">
      <c r="A184" s="411">
        <v>17</v>
      </c>
      <c r="B184" s="404" t="s">
        <v>3353</v>
      </c>
      <c r="C184" s="128" t="s">
        <v>13475</v>
      </c>
      <c r="D184" s="406">
        <v>0</v>
      </c>
      <c r="E184" s="406">
        <v>0</v>
      </c>
      <c r="F184" s="406">
        <v>0</v>
      </c>
      <c r="G184" s="406">
        <v>0</v>
      </c>
      <c r="H184" s="406">
        <v>0</v>
      </c>
      <c r="I184" s="406">
        <v>0</v>
      </c>
      <c r="J184" s="406">
        <v>0</v>
      </c>
      <c r="K184" s="406">
        <v>0</v>
      </c>
      <c r="L184" s="406">
        <v>0</v>
      </c>
      <c r="M184" s="63">
        <v>2182</v>
      </c>
      <c r="N184" s="63">
        <v>2213</v>
      </c>
      <c r="O184" s="63">
        <v>2263</v>
      </c>
      <c r="Q184" s="404" t="s">
        <v>85</v>
      </c>
    </row>
    <row r="185" spans="1:17">
      <c r="A185" s="411">
        <v>18</v>
      </c>
      <c r="B185" s="404" t="s">
        <v>3354</v>
      </c>
      <c r="C185" s="128" t="s">
        <v>13476</v>
      </c>
      <c r="D185" s="406">
        <v>0</v>
      </c>
      <c r="E185" s="406">
        <v>0</v>
      </c>
      <c r="F185" s="406">
        <v>0</v>
      </c>
      <c r="G185" s="406">
        <v>0</v>
      </c>
      <c r="H185" s="406">
        <v>0</v>
      </c>
      <c r="I185" s="406">
        <v>0</v>
      </c>
      <c r="J185" s="406">
        <v>0</v>
      </c>
      <c r="K185" s="406">
        <v>0</v>
      </c>
      <c r="L185" s="406">
        <v>0</v>
      </c>
      <c r="M185" s="63">
        <v>4418</v>
      </c>
      <c r="N185" s="63">
        <v>4500</v>
      </c>
      <c r="O185" s="63">
        <v>4542</v>
      </c>
      <c r="Q185" s="404" t="s">
        <v>85</v>
      </c>
    </row>
    <row r="186" spans="1:17">
      <c r="A186" s="411">
        <v>19</v>
      </c>
      <c r="B186" s="404" t="s">
        <v>3355</v>
      </c>
      <c r="C186" s="128" t="s">
        <v>13477</v>
      </c>
      <c r="D186" s="406">
        <v>0</v>
      </c>
      <c r="E186" s="406">
        <v>0</v>
      </c>
      <c r="F186" s="406">
        <v>0</v>
      </c>
      <c r="G186" s="406">
        <v>0</v>
      </c>
      <c r="H186" s="406">
        <v>0</v>
      </c>
      <c r="I186" s="406">
        <v>0</v>
      </c>
      <c r="J186" s="406">
        <v>0</v>
      </c>
      <c r="K186" s="406">
        <v>0</v>
      </c>
      <c r="L186" s="406">
        <v>0</v>
      </c>
      <c r="M186" s="63">
        <v>1910</v>
      </c>
      <c r="N186" s="63">
        <v>1976</v>
      </c>
      <c r="O186" s="63">
        <v>2026</v>
      </c>
      <c r="Q186" s="404" t="s">
        <v>80</v>
      </c>
    </row>
    <row r="187" spans="1:17">
      <c r="A187" s="411">
        <v>20</v>
      </c>
      <c r="B187" s="404" t="s">
        <v>3356</v>
      </c>
      <c r="C187" s="128" t="s">
        <v>13478</v>
      </c>
      <c r="D187" s="406">
        <v>0</v>
      </c>
      <c r="E187" s="406">
        <v>0</v>
      </c>
      <c r="F187" s="406">
        <v>0</v>
      </c>
      <c r="G187" s="406">
        <v>0</v>
      </c>
      <c r="H187" s="406">
        <v>0</v>
      </c>
      <c r="I187" s="406">
        <v>0</v>
      </c>
      <c r="J187" s="406">
        <v>0</v>
      </c>
      <c r="K187" s="406">
        <v>0</v>
      </c>
      <c r="L187" s="406">
        <v>0</v>
      </c>
      <c r="M187" s="63">
        <v>4529</v>
      </c>
      <c r="N187" s="63">
        <v>4478</v>
      </c>
      <c r="O187" s="63">
        <v>4555</v>
      </c>
      <c r="Q187" s="404" t="s">
        <v>80</v>
      </c>
    </row>
    <row r="188" spans="1:17">
      <c r="A188" s="411">
        <v>21</v>
      </c>
      <c r="B188" s="404" t="s">
        <v>3357</v>
      </c>
      <c r="C188" s="128" t="s">
        <v>13479</v>
      </c>
      <c r="D188" s="406">
        <v>0</v>
      </c>
      <c r="E188" s="406">
        <v>0</v>
      </c>
      <c r="F188" s="406">
        <v>0</v>
      </c>
      <c r="G188" s="406">
        <v>0</v>
      </c>
      <c r="H188" s="406">
        <v>0</v>
      </c>
      <c r="I188" s="406">
        <v>0</v>
      </c>
      <c r="J188" s="406">
        <v>0</v>
      </c>
      <c r="K188" s="406">
        <v>0</v>
      </c>
      <c r="L188" s="406">
        <v>0</v>
      </c>
      <c r="M188" s="63">
        <v>2329</v>
      </c>
      <c r="N188" s="63">
        <v>2397</v>
      </c>
      <c r="O188" s="63">
        <v>2429</v>
      </c>
      <c r="Q188" s="404" t="s">
        <v>80</v>
      </c>
    </row>
    <row r="189" spans="1:17">
      <c r="A189" s="411">
        <v>22</v>
      </c>
      <c r="B189" s="404" t="s">
        <v>3358</v>
      </c>
      <c r="C189" s="128" t="s">
        <v>13480</v>
      </c>
      <c r="D189" s="406">
        <v>0</v>
      </c>
      <c r="E189" s="406">
        <v>0</v>
      </c>
      <c r="F189" s="406">
        <v>0</v>
      </c>
      <c r="G189" s="406">
        <v>0</v>
      </c>
      <c r="H189" s="406">
        <v>0</v>
      </c>
      <c r="I189" s="406">
        <v>0</v>
      </c>
      <c r="J189" s="406">
        <v>0</v>
      </c>
      <c r="K189" s="406">
        <v>0</v>
      </c>
      <c r="L189" s="406">
        <v>0</v>
      </c>
      <c r="M189" s="63">
        <v>2028</v>
      </c>
      <c r="N189" s="63">
        <v>2096</v>
      </c>
      <c r="O189" s="63">
        <v>2141</v>
      </c>
      <c r="Q189" s="404" t="s">
        <v>85</v>
      </c>
    </row>
    <row r="190" spans="1:17">
      <c r="A190" s="411">
        <v>23</v>
      </c>
      <c r="B190" s="404" t="s">
        <v>12654</v>
      </c>
      <c r="C190" s="128" t="s">
        <v>13481</v>
      </c>
      <c r="D190" s="406">
        <v>0</v>
      </c>
      <c r="E190" s="406">
        <v>0</v>
      </c>
      <c r="F190" s="406">
        <v>0</v>
      </c>
      <c r="G190" s="406">
        <v>0</v>
      </c>
      <c r="H190" s="406">
        <v>0</v>
      </c>
      <c r="I190" s="406">
        <v>0</v>
      </c>
      <c r="J190" s="406">
        <v>0</v>
      </c>
      <c r="K190" s="406">
        <v>0</v>
      </c>
      <c r="L190" s="406">
        <v>0</v>
      </c>
      <c r="M190" s="63">
        <v>2492</v>
      </c>
      <c r="N190" s="63">
        <v>2530</v>
      </c>
      <c r="O190" s="63">
        <v>2576</v>
      </c>
      <c r="Q190" s="404" t="s">
        <v>80</v>
      </c>
    </row>
    <row r="191" spans="1:17" ht="15.75" thickBot="1">
      <c r="A191" s="411"/>
      <c r="B191" s="404"/>
      <c r="C191" s="128" t="s">
        <v>13481</v>
      </c>
      <c r="D191" s="406">
        <v>0</v>
      </c>
      <c r="E191" s="406">
        <v>0</v>
      </c>
      <c r="F191" s="406">
        <v>0</v>
      </c>
      <c r="G191" s="406">
        <v>0</v>
      </c>
      <c r="H191" s="406">
        <v>0</v>
      </c>
      <c r="I191" s="406">
        <v>0</v>
      </c>
      <c r="J191" s="406">
        <v>0</v>
      </c>
      <c r="K191" s="406">
        <v>0</v>
      </c>
      <c r="L191" s="406">
        <v>0</v>
      </c>
      <c r="M191" s="63">
        <v>4121</v>
      </c>
      <c r="N191" s="63">
        <v>4146</v>
      </c>
      <c r="O191" s="63">
        <v>4267</v>
      </c>
      <c r="Q191" s="404" t="s">
        <v>85</v>
      </c>
    </row>
    <row r="192" spans="1:17" ht="15.75" thickBot="1">
      <c r="A192" s="411"/>
      <c r="B192" s="404"/>
      <c r="C192" s="128" t="s">
        <v>13481</v>
      </c>
      <c r="D192" s="415">
        <f>D190+D191</f>
        <v>0</v>
      </c>
      <c r="E192" s="415">
        <f t="shared" ref="E192:M192" si="51">E190+E191</f>
        <v>0</v>
      </c>
      <c r="F192" s="415">
        <f t="shared" si="51"/>
        <v>0</v>
      </c>
      <c r="G192" s="415">
        <f t="shared" si="51"/>
        <v>0</v>
      </c>
      <c r="H192" s="415">
        <f t="shared" si="51"/>
        <v>0</v>
      </c>
      <c r="I192" s="415">
        <f t="shared" si="51"/>
        <v>0</v>
      </c>
      <c r="J192" s="415">
        <f t="shared" si="51"/>
        <v>0</v>
      </c>
      <c r="K192" s="415">
        <f t="shared" si="51"/>
        <v>0</v>
      </c>
      <c r="L192" s="415">
        <f t="shared" si="51"/>
        <v>0</v>
      </c>
      <c r="M192" s="415">
        <f t="shared" si="51"/>
        <v>6613</v>
      </c>
      <c r="N192" s="415">
        <f>N190+N191</f>
        <v>6676</v>
      </c>
      <c r="O192" s="415">
        <f>O190+O191</f>
        <v>6843</v>
      </c>
      <c r="Q192" s="404"/>
    </row>
    <row r="193" spans="1:17">
      <c r="A193" s="411" t="s">
        <v>4431</v>
      </c>
      <c r="B193" s="404" t="s">
        <v>3359</v>
      </c>
      <c r="C193" s="128" t="s">
        <v>13482</v>
      </c>
      <c r="D193" s="406">
        <v>0</v>
      </c>
      <c r="E193" s="406">
        <v>0</v>
      </c>
      <c r="F193" s="406">
        <v>0</v>
      </c>
      <c r="G193" s="406">
        <v>0</v>
      </c>
      <c r="H193" s="406">
        <v>0</v>
      </c>
      <c r="I193" s="406">
        <v>0</v>
      </c>
      <c r="J193" s="406">
        <v>0</v>
      </c>
      <c r="K193" s="406">
        <v>0</v>
      </c>
      <c r="L193" s="406">
        <v>0</v>
      </c>
      <c r="M193" s="63">
        <v>1932</v>
      </c>
      <c r="N193" s="63">
        <v>1959</v>
      </c>
      <c r="O193" s="63">
        <v>2005</v>
      </c>
      <c r="Q193" s="404" t="s">
        <v>85</v>
      </c>
    </row>
    <row r="194" spans="1:17">
      <c r="A194" s="411" t="s">
        <v>4432</v>
      </c>
      <c r="B194" s="404" t="s">
        <v>3361</v>
      </c>
      <c r="C194" s="128" t="s">
        <v>13483</v>
      </c>
      <c r="D194" s="406">
        <v>0</v>
      </c>
      <c r="E194" s="406">
        <v>0</v>
      </c>
      <c r="F194" s="406">
        <v>0</v>
      </c>
      <c r="G194" s="406">
        <v>0</v>
      </c>
      <c r="H194" s="406">
        <v>0</v>
      </c>
      <c r="I194" s="406">
        <v>0</v>
      </c>
      <c r="J194" s="406">
        <v>0</v>
      </c>
      <c r="K194" s="406">
        <v>0</v>
      </c>
      <c r="L194" s="406">
        <v>0</v>
      </c>
      <c r="M194" s="63">
        <v>110</v>
      </c>
      <c r="N194" s="63">
        <v>113</v>
      </c>
      <c r="O194" s="63">
        <v>116</v>
      </c>
      <c r="Q194" s="404" t="s">
        <v>80</v>
      </c>
    </row>
    <row r="195" spans="1:17" ht="15.75" thickBot="1">
      <c r="A195" s="411"/>
      <c r="B195" s="404"/>
      <c r="C195" s="128" t="s">
        <v>13483</v>
      </c>
      <c r="D195" s="406">
        <v>0</v>
      </c>
      <c r="E195" s="406">
        <v>0</v>
      </c>
      <c r="F195" s="406">
        <v>0</v>
      </c>
      <c r="G195" s="406">
        <v>0</v>
      </c>
      <c r="H195" s="406">
        <v>0</v>
      </c>
      <c r="I195" s="406">
        <v>0</v>
      </c>
      <c r="J195" s="406">
        <v>0</v>
      </c>
      <c r="K195" s="406">
        <v>0</v>
      </c>
      <c r="L195" s="406">
        <v>0</v>
      </c>
      <c r="M195" s="63">
        <v>4277</v>
      </c>
      <c r="N195" s="63">
        <v>4346</v>
      </c>
      <c r="O195" s="63">
        <v>4417</v>
      </c>
      <c r="Q195" s="404" t="s">
        <v>85</v>
      </c>
    </row>
    <row r="196" spans="1:17" ht="15.75" thickBot="1">
      <c r="A196" s="411"/>
      <c r="B196" s="404"/>
      <c r="C196" s="128" t="s">
        <v>13483</v>
      </c>
      <c r="D196" s="415">
        <f>D194+D195</f>
        <v>0</v>
      </c>
      <c r="E196" s="415">
        <f t="shared" ref="E196:M196" si="52">E194+E195</f>
        <v>0</v>
      </c>
      <c r="F196" s="415">
        <f t="shared" si="52"/>
        <v>0</v>
      </c>
      <c r="G196" s="415">
        <f t="shared" si="52"/>
        <v>0</v>
      </c>
      <c r="H196" s="415">
        <f t="shared" si="52"/>
        <v>0</v>
      </c>
      <c r="I196" s="415">
        <f t="shared" si="52"/>
        <v>0</v>
      </c>
      <c r="J196" s="415">
        <f t="shared" si="52"/>
        <v>0</v>
      </c>
      <c r="K196" s="415">
        <f t="shared" si="52"/>
        <v>0</v>
      </c>
      <c r="L196" s="415">
        <f t="shared" si="52"/>
        <v>0</v>
      </c>
      <c r="M196" s="415">
        <f t="shared" si="52"/>
        <v>4387</v>
      </c>
      <c r="N196" s="415">
        <f>N194+N195</f>
        <v>4459</v>
      </c>
      <c r="O196" s="415">
        <f>O194+O195</f>
        <v>4533</v>
      </c>
      <c r="Q196" s="404"/>
    </row>
    <row r="197" spans="1:17">
      <c r="A197" s="411" t="s">
        <v>4434</v>
      </c>
      <c r="B197" s="404" t="s">
        <v>677</v>
      </c>
      <c r="C197" s="128" t="s">
        <v>13484</v>
      </c>
      <c r="D197" s="406">
        <v>0</v>
      </c>
      <c r="E197" s="406">
        <v>0</v>
      </c>
      <c r="F197" s="406">
        <v>0</v>
      </c>
      <c r="G197" s="406">
        <v>0</v>
      </c>
      <c r="H197" s="406">
        <v>0</v>
      </c>
      <c r="I197" s="406">
        <v>0</v>
      </c>
      <c r="J197" s="406">
        <v>0</v>
      </c>
      <c r="K197" s="406">
        <v>0</v>
      </c>
      <c r="L197" s="406">
        <v>0</v>
      </c>
      <c r="M197" s="63">
        <v>1926</v>
      </c>
      <c r="N197" s="63">
        <v>1950</v>
      </c>
      <c r="O197" s="63">
        <v>1992</v>
      </c>
      <c r="Q197" s="404" t="s">
        <v>80</v>
      </c>
    </row>
    <row r="198" spans="1:17">
      <c r="A198" s="411" t="s">
        <v>4533</v>
      </c>
      <c r="B198" s="404" t="s">
        <v>3362</v>
      </c>
      <c r="C198" s="128" t="s">
        <v>13485</v>
      </c>
      <c r="D198" s="406">
        <v>0</v>
      </c>
      <c r="E198" s="406">
        <v>0</v>
      </c>
      <c r="F198" s="406">
        <v>0</v>
      </c>
      <c r="G198" s="406">
        <v>0</v>
      </c>
      <c r="H198" s="406">
        <v>0</v>
      </c>
      <c r="I198" s="406">
        <v>0</v>
      </c>
      <c r="J198" s="406">
        <v>0</v>
      </c>
      <c r="K198" s="406">
        <v>0</v>
      </c>
      <c r="L198" s="406">
        <v>0</v>
      </c>
      <c r="M198" s="63">
        <v>2090</v>
      </c>
      <c r="N198" s="63">
        <v>2110</v>
      </c>
      <c r="O198" s="63">
        <v>2148</v>
      </c>
      <c r="Q198" s="404" t="s">
        <v>80</v>
      </c>
    </row>
    <row r="199" spans="1:17">
      <c r="A199" s="411" t="s">
        <v>4535</v>
      </c>
      <c r="B199" s="404" t="s">
        <v>3363</v>
      </c>
      <c r="C199" s="128" t="s">
        <v>13486</v>
      </c>
      <c r="D199" s="406">
        <v>0</v>
      </c>
      <c r="E199" s="406">
        <v>0</v>
      </c>
      <c r="F199" s="406">
        <v>0</v>
      </c>
      <c r="G199" s="406">
        <v>0</v>
      </c>
      <c r="H199" s="406">
        <v>0</v>
      </c>
      <c r="I199" s="406">
        <v>0</v>
      </c>
      <c r="J199" s="406">
        <v>0</v>
      </c>
      <c r="K199" s="406">
        <v>0</v>
      </c>
      <c r="L199" s="406">
        <v>0</v>
      </c>
      <c r="M199" s="63">
        <v>4297</v>
      </c>
      <c r="N199" s="63">
        <v>4479</v>
      </c>
      <c r="O199" s="63">
        <v>4606</v>
      </c>
      <c r="Q199" s="404" t="s">
        <v>80</v>
      </c>
    </row>
    <row r="200" spans="1:17">
      <c r="A200" s="411" t="s">
        <v>4537</v>
      </c>
      <c r="B200" s="404" t="s">
        <v>3364</v>
      </c>
      <c r="C200" s="128" t="s">
        <v>13487</v>
      </c>
      <c r="D200" s="406">
        <v>0</v>
      </c>
      <c r="E200" s="406">
        <v>0</v>
      </c>
      <c r="F200" s="406">
        <v>0</v>
      </c>
      <c r="G200" s="406">
        <v>0</v>
      </c>
      <c r="H200" s="406">
        <v>0</v>
      </c>
      <c r="I200" s="406">
        <v>0</v>
      </c>
      <c r="J200" s="406">
        <v>0</v>
      </c>
      <c r="K200" s="406">
        <v>0</v>
      </c>
      <c r="L200" s="406">
        <v>0</v>
      </c>
      <c r="M200" s="63">
        <v>4323</v>
      </c>
      <c r="N200" s="63">
        <v>4392</v>
      </c>
      <c r="O200" s="63">
        <v>4483</v>
      </c>
      <c r="Q200" s="404" t="s">
        <v>80</v>
      </c>
    </row>
    <row r="201" spans="1:17">
      <c r="A201" s="411" t="s">
        <v>4539</v>
      </c>
      <c r="B201" s="404" t="s">
        <v>3365</v>
      </c>
      <c r="C201" s="128" t="s">
        <v>13488</v>
      </c>
      <c r="D201" s="406">
        <v>0</v>
      </c>
      <c r="E201" s="406">
        <v>0</v>
      </c>
      <c r="F201" s="406">
        <v>0</v>
      </c>
      <c r="G201" s="406">
        <v>0</v>
      </c>
      <c r="H201" s="406">
        <v>0</v>
      </c>
      <c r="I201" s="406">
        <v>0</v>
      </c>
      <c r="J201" s="406">
        <v>0</v>
      </c>
      <c r="K201" s="406">
        <v>0</v>
      </c>
      <c r="L201" s="406">
        <v>0</v>
      </c>
      <c r="M201" s="63">
        <v>1968</v>
      </c>
      <c r="N201" s="63">
        <v>2020</v>
      </c>
      <c r="O201" s="63">
        <v>2044</v>
      </c>
      <c r="Q201" s="404" t="s">
        <v>85</v>
      </c>
    </row>
    <row r="202" spans="1:17">
      <c r="A202" s="411" t="s">
        <v>6158</v>
      </c>
      <c r="B202" s="404" t="s">
        <v>12655</v>
      </c>
      <c r="C202" s="128" t="s">
        <v>13489</v>
      </c>
      <c r="D202" s="406">
        <v>0</v>
      </c>
      <c r="E202" s="406">
        <v>0</v>
      </c>
      <c r="F202" s="406">
        <v>0</v>
      </c>
      <c r="G202" s="406">
        <v>0</v>
      </c>
      <c r="H202" s="406">
        <v>0</v>
      </c>
      <c r="I202" s="406">
        <v>0</v>
      </c>
      <c r="J202" s="406">
        <v>0</v>
      </c>
      <c r="K202" s="406">
        <v>0</v>
      </c>
      <c r="L202" s="406">
        <v>0</v>
      </c>
      <c r="M202" s="63">
        <v>5749</v>
      </c>
      <c r="N202" s="63">
        <v>5776</v>
      </c>
      <c r="O202" s="63">
        <v>5938</v>
      </c>
      <c r="Q202" s="404" t="s">
        <v>85</v>
      </c>
    </row>
    <row r="203" spans="1:17">
      <c r="A203" s="411" t="s">
        <v>6159</v>
      </c>
      <c r="B203" s="404" t="s">
        <v>12656</v>
      </c>
      <c r="C203" s="128" t="s">
        <v>13490</v>
      </c>
      <c r="D203" s="406">
        <v>0</v>
      </c>
      <c r="E203" s="406">
        <v>0</v>
      </c>
      <c r="F203" s="406">
        <v>0</v>
      </c>
      <c r="G203" s="406">
        <v>0</v>
      </c>
      <c r="H203" s="406">
        <v>0</v>
      </c>
      <c r="I203" s="406">
        <v>0</v>
      </c>
      <c r="J203" s="406">
        <v>0</v>
      </c>
      <c r="K203" s="406">
        <v>0</v>
      </c>
      <c r="L203" s="406">
        <v>0</v>
      </c>
      <c r="M203" s="63">
        <v>4307</v>
      </c>
      <c r="N203" s="63">
        <v>4269</v>
      </c>
      <c r="O203" s="63">
        <v>4386</v>
      </c>
      <c r="Q203" s="404" t="s">
        <v>85</v>
      </c>
    </row>
    <row r="204" spans="1:17">
      <c r="A204" s="411" t="s">
        <v>6160</v>
      </c>
      <c r="B204" s="404" t="s">
        <v>12657</v>
      </c>
      <c r="C204" s="128" t="s">
        <v>13491</v>
      </c>
      <c r="D204" s="406">
        <v>0</v>
      </c>
      <c r="E204" s="406">
        <v>0</v>
      </c>
      <c r="F204" s="406">
        <v>0</v>
      </c>
      <c r="G204" s="406">
        <v>0</v>
      </c>
      <c r="H204" s="406">
        <v>0</v>
      </c>
      <c r="I204" s="406">
        <v>0</v>
      </c>
      <c r="J204" s="406">
        <v>0</v>
      </c>
      <c r="K204" s="406">
        <v>0</v>
      </c>
      <c r="L204" s="406">
        <v>0</v>
      </c>
      <c r="M204" s="63">
        <v>6436</v>
      </c>
      <c r="N204" s="63">
        <v>6442</v>
      </c>
      <c r="O204" s="63">
        <v>6580</v>
      </c>
      <c r="Q204" s="404" t="s">
        <v>85</v>
      </c>
    </row>
    <row r="205" spans="1:17">
      <c r="A205" s="411" t="s">
        <v>6162</v>
      </c>
      <c r="B205" s="404" t="s">
        <v>12658</v>
      </c>
      <c r="C205" s="128" t="s">
        <v>13492</v>
      </c>
      <c r="D205" s="406">
        <v>0</v>
      </c>
      <c r="E205" s="406">
        <v>0</v>
      </c>
      <c r="F205" s="406">
        <v>0</v>
      </c>
      <c r="G205" s="406">
        <v>0</v>
      </c>
      <c r="H205" s="406">
        <v>0</v>
      </c>
      <c r="I205" s="406">
        <v>0</v>
      </c>
      <c r="J205" s="406">
        <v>0</v>
      </c>
      <c r="K205" s="406">
        <v>0</v>
      </c>
      <c r="L205" s="406">
        <v>0</v>
      </c>
      <c r="M205" s="63">
        <v>5685</v>
      </c>
      <c r="N205" s="63">
        <v>5707</v>
      </c>
      <c r="O205" s="63">
        <v>5840</v>
      </c>
      <c r="Q205" s="404" t="s">
        <v>85</v>
      </c>
    </row>
    <row r="206" spans="1:17">
      <c r="A206" s="411" t="s">
        <v>2157</v>
      </c>
      <c r="B206" s="404" t="s">
        <v>679</v>
      </c>
      <c r="C206" s="128" t="s">
        <v>13493</v>
      </c>
      <c r="D206" s="406">
        <v>0</v>
      </c>
      <c r="E206" s="406">
        <v>0</v>
      </c>
      <c r="F206" s="406">
        <v>0</v>
      </c>
      <c r="G206" s="406">
        <v>0</v>
      </c>
      <c r="H206" s="406">
        <v>0</v>
      </c>
      <c r="I206" s="406">
        <v>0</v>
      </c>
      <c r="J206" s="406">
        <v>0</v>
      </c>
      <c r="K206" s="406">
        <v>0</v>
      </c>
      <c r="L206" s="406">
        <v>0</v>
      </c>
      <c r="M206" s="63">
        <v>5214</v>
      </c>
      <c r="N206" s="63">
        <v>5416</v>
      </c>
      <c r="O206" s="63">
        <v>5497</v>
      </c>
      <c r="Q206" s="404" t="s">
        <v>85</v>
      </c>
    </row>
    <row r="207" spans="1:17">
      <c r="A207" s="411"/>
      <c r="B207" s="404"/>
      <c r="C207" s="55"/>
      <c r="D207" s="406"/>
      <c r="E207" s="406"/>
      <c r="F207" s="406"/>
      <c r="G207" s="406"/>
      <c r="H207" s="63"/>
      <c r="I207" s="63"/>
      <c r="J207" s="63"/>
      <c r="K207" s="63"/>
      <c r="L207" s="63"/>
      <c r="M207" s="63"/>
      <c r="N207" s="63"/>
      <c r="O207" s="63"/>
      <c r="Q207" s="404"/>
    </row>
    <row r="208" spans="1:17">
      <c r="A208" s="404" t="s">
        <v>2545</v>
      </c>
      <c r="D208" s="405">
        <f t="shared" ref="D208:L208" si="53">SUM(D169:D170,D172:D174,D182,D186:D188,D190,D194,D197:D200)</f>
        <v>43463</v>
      </c>
      <c r="E208" s="405">
        <f t="shared" si="53"/>
        <v>43816</v>
      </c>
      <c r="F208" s="405">
        <f t="shared" si="53"/>
        <v>43946</v>
      </c>
      <c r="G208" s="405">
        <f t="shared" si="53"/>
        <v>44541</v>
      </c>
      <c r="H208" s="405">
        <f t="shared" si="53"/>
        <v>44463</v>
      </c>
      <c r="I208" s="405">
        <f t="shared" si="53"/>
        <v>43794</v>
      </c>
      <c r="J208" s="405">
        <f t="shared" si="53"/>
        <v>41587</v>
      </c>
      <c r="K208" s="405">
        <f t="shared" si="53"/>
        <v>43892</v>
      </c>
      <c r="L208" s="405">
        <f t="shared" si="53"/>
        <v>44039</v>
      </c>
      <c r="M208" s="405">
        <f>SUM(M169:M170,M172:M174,M182,M186:M188,M190,M194,M197:M200)</f>
        <v>43683</v>
      </c>
      <c r="N208" s="405">
        <f>SUM(N169:N170,N172:N174,N182,N186:N188,N190,N194,N197:N200)</f>
        <v>44405</v>
      </c>
      <c r="O208" s="405">
        <f>SUM(O169:O170,O172:O174,O182,O186:O188,O190,O194,O197:O200)</f>
        <v>45287</v>
      </c>
    </row>
    <row r="209" spans="1:15">
      <c r="A209" s="404" t="s">
        <v>85</v>
      </c>
      <c r="D209" s="405">
        <f t="shared" ref="D209:L209" si="54">SUM(D168,D171,D175:D181,D183:D185,D189,D191,D193,D195,D201:D206)</f>
        <v>82767</v>
      </c>
      <c r="E209" s="405">
        <f t="shared" si="54"/>
        <v>82771</v>
      </c>
      <c r="F209" s="405">
        <f t="shared" si="54"/>
        <v>82760</v>
      </c>
      <c r="G209" s="405">
        <f t="shared" si="54"/>
        <v>83788</v>
      </c>
      <c r="H209" s="405">
        <f t="shared" si="54"/>
        <v>83420</v>
      </c>
      <c r="I209" s="405">
        <f t="shared" si="54"/>
        <v>82157</v>
      </c>
      <c r="J209" s="405">
        <f t="shared" si="54"/>
        <v>76351</v>
      </c>
      <c r="K209" s="405">
        <f t="shared" si="54"/>
        <v>80924</v>
      </c>
      <c r="L209" s="405">
        <f t="shared" si="54"/>
        <v>81075</v>
      </c>
      <c r="M209" s="405">
        <f>SUM(M168,M171,M175:M181,M183:M185,M189,M191,M193,M195,M201:M206)</f>
        <v>79907</v>
      </c>
      <c r="N209" s="405">
        <f>SUM(N168,N171,N175:N181,N183:N185,N189,N191,N193,N195,N201:N206)</f>
        <v>80934</v>
      </c>
      <c r="O209" s="405">
        <f>SUM(O168,O171,O175:O181,O183:O185,O189,O191,O193,O195,O201:O206)</f>
        <v>82470</v>
      </c>
    </row>
    <row r="210" spans="1:15">
      <c r="A210" s="404"/>
      <c r="B210" s="404"/>
      <c r="D210" s="412"/>
      <c r="E210" s="412"/>
      <c r="F210" s="412"/>
      <c r="G210" s="412"/>
      <c r="H210" s="412"/>
      <c r="I210" s="412"/>
      <c r="J210" s="412"/>
      <c r="K210" s="412"/>
      <c r="L210" s="412"/>
      <c r="M210" s="412"/>
      <c r="N210" s="412"/>
      <c r="O210" s="412"/>
    </row>
    <row r="211" spans="1:15">
      <c r="A211" s="404" t="s">
        <v>13494</v>
      </c>
      <c r="B211" s="404"/>
      <c r="D211" s="412"/>
      <c r="E211" s="412"/>
      <c r="F211" s="412"/>
      <c r="G211" s="412"/>
      <c r="H211" s="412"/>
      <c r="I211" s="412"/>
      <c r="J211" s="412"/>
      <c r="K211" s="412"/>
      <c r="L211" s="412"/>
      <c r="M211" s="412"/>
      <c r="N211" s="412"/>
      <c r="O211" s="412"/>
    </row>
  </sheetData>
  <phoneticPr fontId="6" type="noConversion"/>
  <printOptions gridLinesSet="0"/>
  <pageMargins left="0.78740157480314965" right="0" top="0.51181102362204722" bottom="0.51181102362204722" header="0.51181102362204722" footer="0.51181102362204722"/>
  <pageSetup paperSize="9" scale="90" orientation="portrait" horizontalDpi="300" verticalDpi="300" r:id="rId1"/>
  <headerFooter alignWithMargins="0">
    <oddFooter>&amp;C&amp;8&amp;P of &amp;N</oddFooter>
  </headerFooter>
  <ignoredErrors>
    <ignoredError sqref="D37:K37 D8:K8 D81:K81 D73:K74 D110:K111 L165:L166 L8 D3:L6 D9:K12 L9:L12 D21:K32 L21:L113 D14:K19 L14:L19" unlockedFormula="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ransitionEvaluation="1"/>
  <dimension ref="A1:Q63"/>
  <sheetViews>
    <sheetView showGridLines="0" zoomScale="90" zoomScaleNormal="90" workbookViewId="0">
      <selection activeCell="N63" sqref="N63"/>
    </sheetView>
  </sheetViews>
  <sheetFormatPr defaultColWidth="14.5703125" defaultRowHeight="15"/>
  <cols>
    <col min="1" max="1" width="4.85546875" style="127" customWidth="1"/>
    <col min="2" max="2" width="45.7109375" style="127" customWidth="1"/>
    <col min="3" max="3" width="11.5703125" style="127" customWidth="1"/>
    <col min="4" max="15" width="10" style="127" customWidth="1"/>
    <col min="16" max="16" width="2.28515625" style="127" customWidth="1"/>
    <col min="17" max="17" width="33.140625" style="127" customWidth="1"/>
    <col min="18" max="16384" width="14.5703125" style="127"/>
  </cols>
  <sheetData>
    <row r="1" spans="1:17">
      <c r="A1" s="397" t="s">
        <v>6924</v>
      </c>
      <c r="D1" s="398">
        <v>2010</v>
      </c>
      <c r="E1" s="398">
        <v>2011</v>
      </c>
      <c r="F1" s="398">
        <v>2012</v>
      </c>
      <c r="G1" s="398">
        <v>2013</v>
      </c>
      <c r="H1" s="398">
        <v>2014</v>
      </c>
      <c r="I1" s="398">
        <v>2015</v>
      </c>
      <c r="J1" s="398">
        <v>2016</v>
      </c>
      <c r="K1" s="398">
        <v>2017</v>
      </c>
      <c r="L1" s="398">
        <v>2018</v>
      </c>
      <c r="M1" s="398">
        <v>2019</v>
      </c>
      <c r="N1" s="398">
        <v>2020</v>
      </c>
      <c r="O1" s="943" t="s">
        <v>14823</v>
      </c>
    </row>
    <row r="3" spans="1:17">
      <c r="A3" s="397" t="s">
        <v>3934</v>
      </c>
      <c r="D3" s="399">
        <f t="shared" ref="D3:M3" si="0">SUM(D19:D21,D23:D30,D32:D35,D37:D38,D40:D48,D50:D51,D53:D57,D59:D61)</f>
        <v>199268</v>
      </c>
      <c r="E3" s="399">
        <f t="shared" si="0"/>
        <v>201667</v>
      </c>
      <c r="F3" s="399">
        <f t="shared" si="0"/>
        <v>203568</v>
      </c>
      <c r="G3" s="399">
        <f t="shared" si="0"/>
        <v>204678</v>
      </c>
      <c r="H3" s="399">
        <f t="shared" si="0"/>
        <v>205320</v>
      </c>
      <c r="I3" s="399">
        <f t="shared" si="0"/>
        <v>202239</v>
      </c>
      <c r="J3" s="399">
        <f t="shared" si="0"/>
        <v>202593</v>
      </c>
      <c r="K3" s="399">
        <f t="shared" si="0"/>
        <v>206186</v>
      </c>
      <c r="L3" s="399">
        <f t="shared" si="0"/>
        <v>196491</v>
      </c>
      <c r="M3" s="399">
        <f t="shared" si="0"/>
        <v>203075</v>
      </c>
      <c r="N3" s="399">
        <f>SUM(N19:N21,N23:N30,N32:N35,N37:N38,N40:N48,N50:N51,N53:N57,N59:N61)</f>
        <v>213362</v>
      </c>
      <c r="O3" s="399">
        <f>SUM(O19:O21,O23:O30,O32:O35,O37:O38,O40:O48,O50:O51,O53:O57,O59:O61)</f>
        <v>213033</v>
      </c>
    </row>
    <row r="4" spans="1:17">
      <c r="D4" s="399"/>
      <c r="E4" s="399"/>
      <c r="F4" s="399"/>
      <c r="G4" s="399"/>
      <c r="H4" s="399"/>
      <c r="I4" s="399"/>
      <c r="J4" s="399"/>
      <c r="K4" s="399"/>
      <c r="L4" s="399"/>
      <c r="M4" s="399"/>
      <c r="N4" s="399"/>
      <c r="O4" s="399"/>
      <c r="Q4" s="400"/>
    </row>
    <row r="5" spans="1:17">
      <c r="A5" s="397" t="s">
        <v>1052</v>
      </c>
      <c r="D5" s="401">
        <f t="shared" ref="D5:I5" si="1">D3/3</f>
        <v>66422.666666666672</v>
      </c>
      <c r="E5" s="401">
        <f t="shared" si="1"/>
        <v>67222.333333333328</v>
      </c>
      <c r="F5" s="401">
        <f t="shared" si="1"/>
        <v>67856</v>
      </c>
      <c r="G5" s="401">
        <f t="shared" si="1"/>
        <v>68226</v>
      </c>
      <c r="H5" s="401">
        <f t="shared" si="1"/>
        <v>68440</v>
      </c>
      <c r="I5" s="401">
        <f t="shared" si="1"/>
        <v>67413</v>
      </c>
      <c r="J5" s="401">
        <f t="shared" ref="J5:O5" si="2">J3/3</f>
        <v>67531</v>
      </c>
      <c r="K5" s="401">
        <f t="shared" si="2"/>
        <v>68728.666666666672</v>
      </c>
      <c r="L5" s="401">
        <f t="shared" si="2"/>
        <v>65497</v>
      </c>
      <c r="M5" s="401">
        <f t="shared" si="2"/>
        <v>67691.666666666672</v>
      </c>
      <c r="N5" s="401">
        <f t="shared" si="2"/>
        <v>71120.666666666672</v>
      </c>
      <c r="O5" s="401">
        <f t="shared" si="2"/>
        <v>71011</v>
      </c>
    </row>
    <row r="6" spans="1:17">
      <c r="D6" s="402"/>
      <c r="E6" s="402"/>
      <c r="F6" s="402"/>
      <c r="G6" s="402"/>
      <c r="H6" s="402"/>
      <c r="I6" s="402"/>
      <c r="J6" s="402"/>
      <c r="K6" s="402"/>
      <c r="L6" s="402"/>
      <c r="M6" s="402"/>
      <c r="N6" s="402"/>
      <c r="O6" s="402"/>
    </row>
    <row r="7" spans="1:17">
      <c r="A7" s="127" t="s">
        <v>3935</v>
      </c>
      <c r="D7" s="402">
        <f t="shared" ref="D7:M7" si="3">D23+D24+D26+D32+D33+D37+D45+D46+D47+D50+D53+D54+D56</f>
        <v>68763</v>
      </c>
      <c r="E7" s="402">
        <f t="shared" si="3"/>
        <v>69732</v>
      </c>
      <c r="F7" s="402">
        <f t="shared" si="3"/>
        <v>70574</v>
      </c>
      <c r="G7" s="402">
        <f t="shared" si="3"/>
        <v>70994</v>
      </c>
      <c r="H7" s="402">
        <f t="shared" si="3"/>
        <v>71670</v>
      </c>
      <c r="I7" s="402">
        <f t="shared" si="3"/>
        <v>69560</v>
      </c>
      <c r="J7" s="402">
        <f t="shared" si="3"/>
        <v>69455</v>
      </c>
      <c r="K7" s="402">
        <f t="shared" si="3"/>
        <v>70743</v>
      </c>
      <c r="L7" s="402">
        <f t="shared" si="3"/>
        <v>67062</v>
      </c>
      <c r="M7" s="402">
        <f t="shared" si="3"/>
        <v>69420</v>
      </c>
      <c r="N7" s="402">
        <f>N23+N24+N26+N32+N33+N37+N45+N46+N47+N50+N53+N54+N56</f>
        <v>74355</v>
      </c>
      <c r="O7" s="402">
        <f>O23+O24+O26+O32+O33+O37+O45+O46+O47+O50+O53+O54+O56</f>
        <v>74287</v>
      </c>
      <c r="Q7" s="397" t="s">
        <v>1128</v>
      </c>
    </row>
    <row r="8" spans="1:17">
      <c r="D8" s="402"/>
      <c r="E8" s="402"/>
      <c r="F8" s="402"/>
      <c r="G8" s="402"/>
      <c r="H8" s="402"/>
      <c r="I8" s="402"/>
      <c r="J8" s="402"/>
      <c r="K8" s="402"/>
      <c r="L8" s="402"/>
      <c r="M8" s="402"/>
      <c r="N8" s="402"/>
      <c r="O8" s="402"/>
    </row>
    <row r="9" spans="1:17">
      <c r="A9" s="397" t="s">
        <v>1129</v>
      </c>
      <c r="D9" s="399">
        <f t="shared" ref="D9:M9" si="4">D19+D20+D29+D34+D38+D40+D41+D42+D43+D44+D51+D57+D59</f>
        <v>66418</v>
      </c>
      <c r="E9" s="399">
        <f t="shared" si="4"/>
        <v>67199</v>
      </c>
      <c r="F9" s="399">
        <f t="shared" si="4"/>
        <v>67705</v>
      </c>
      <c r="G9" s="399">
        <f t="shared" si="4"/>
        <v>67937</v>
      </c>
      <c r="H9" s="399">
        <f t="shared" si="4"/>
        <v>67948</v>
      </c>
      <c r="I9" s="399">
        <f t="shared" si="4"/>
        <v>67366</v>
      </c>
      <c r="J9" s="399">
        <f t="shared" si="4"/>
        <v>67569</v>
      </c>
      <c r="K9" s="399">
        <f t="shared" si="4"/>
        <v>68625</v>
      </c>
      <c r="L9" s="399">
        <f t="shared" si="4"/>
        <v>65061</v>
      </c>
      <c r="M9" s="399">
        <f t="shared" si="4"/>
        <v>66943</v>
      </c>
      <c r="N9" s="399">
        <f>N19+N20+N29+N34+N38+N40+N41+N42+N43+N44+N51+N57+N59</f>
        <v>69206</v>
      </c>
      <c r="O9" s="399">
        <f>O19+O20+O29+O34+O38+O40+O41+O42+O43+O44+O51+O57+O59</f>
        <v>69058</v>
      </c>
      <c r="Q9" s="397" t="s">
        <v>1128</v>
      </c>
    </row>
    <row r="10" spans="1:17">
      <c r="D10" s="402"/>
      <c r="E10" s="402"/>
      <c r="F10" s="402"/>
      <c r="G10" s="402"/>
      <c r="H10" s="402"/>
      <c r="I10" s="402"/>
      <c r="J10" s="402"/>
      <c r="K10" s="402"/>
      <c r="L10" s="402"/>
      <c r="M10" s="402"/>
      <c r="N10" s="402"/>
      <c r="O10" s="402"/>
    </row>
    <row r="11" spans="1:17">
      <c r="A11" s="397" t="s">
        <v>2550</v>
      </c>
      <c r="D11" s="401">
        <f t="shared" ref="D11:M11" si="5">D21+D25+D27+D28+D30+D35+D48+D55+D60+D61</f>
        <v>64087</v>
      </c>
      <c r="E11" s="401">
        <f t="shared" si="5"/>
        <v>64736</v>
      </c>
      <c r="F11" s="401">
        <f t="shared" si="5"/>
        <v>65289</v>
      </c>
      <c r="G11" s="401">
        <f t="shared" si="5"/>
        <v>65747</v>
      </c>
      <c r="H11" s="401">
        <f t="shared" si="5"/>
        <v>65702</v>
      </c>
      <c r="I11" s="401">
        <f t="shared" si="5"/>
        <v>65313</v>
      </c>
      <c r="J11" s="401">
        <f t="shared" si="5"/>
        <v>65569</v>
      </c>
      <c r="K11" s="401">
        <f t="shared" si="5"/>
        <v>66818</v>
      </c>
      <c r="L11" s="401">
        <f t="shared" si="5"/>
        <v>64368</v>
      </c>
      <c r="M11" s="401">
        <f t="shared" si="5"/>
        <v>66712</v>
      </c>
      <c r="N11" s="401">
        <f>N21+N25+N27+N28+N30+N35+N48+N55+N60+N61</f>
        <v>69801</v>
      </c>
      <c r="O11" s="401">
        <f>O21+O25+O27+O28+O30+O35+O48+O55+O60+O61</f>
        <v>69688</v>
      </c>
      <c r="Q11" s="397" t="s">
        <v>1128</v>
      </c>
    </row>
    <row r="12" spans="1:17">
      <c r="D12" s="402"/>
      <c r="E12" s="402"/>
      <c r="F12" s="402"/>
      <c r="G12" s="402"/>
      <c r="H12" s="402"/>
      <c r="I12" s="402"/>
      <c r="J12" s="402"/>
      <c r="K12" s="402"/>
      <c r="L12" s="402"/>
      <c r="M12" s="402"/>
      <c r="N12" s="402"/>
      <c r="O12" s="402"/>
    </row>
    <row r="13" spans="1:17">
      <c r="A13" s="397" t="s">
        <v>6796</v>
      </c>
      <c r="D13" s="401">
        <f t="shared" ref="D13:I13" si="6">D7+D9+D11</f>
        <v>199268</v>
      </c>
      <c r="E13" s="401">
        <f t="shared" si="6"/>
        <v>201667</v>
      </c>
      <c r="F13" s="401">
        <f t="shared" si="6"/>
        <v>203568</v>
      </c>
      <c r="G13" s="401">
        <f t="shared" si="6"/>
        <v>204678</v>
      </c>
      <c r="H13" s="401">
        <f t="shared" si="6"/>
        <v>205320</v>
      </c>
      <c r="I13" s="401">
        <f t="shared" si="6"/>
        <v>202239</v>
      </c>
      <c r="J13" s="401">
        <f t="shared" ref="J13:O13" si="7">J7+J9+J11</f>
        <v>202593</v>
      </c>
      <c r="K13" s="401">
        <f t="shared" si="7"/>
        <v>206186</v>
      </c>
      <c r="L13" s="401">
        <f t="shared" si="7"/>
        <v>196491</v>
      </c>
      <c r="M13" s="401">
        <f t="shared" si="7"/>
        <v>203075</v>
      </c>
      <c r="N13" s="401">
        <f t="shared" si="7"/>
        <v>213362</v>
      </c>
      <c r="O13" s="401">
        <f t="shared" si="7"/>
        <v>213033</v>
      </c>
    </row>
    <row r="14" spans="1:17">
      <c r="D14" s="402"/>
      <c r="E14" s="402"/>
      <c r="F14" s="402"/>
      <c r="G14" s="402"/>
      <c r="H14" s="402"/>
      <c r="I14" s="402"/>
      <c r="J14" s="402"/>
      <c r="K14" s="402"/>
      <c r="L14" s="402"/>
      <c r="M14" s="402"/>
      <c r="N14" s="402"/>
      <c r="O14" s="402"/>
    </row>
    <row r="15" spans="1:17">
      <c r="A15" s="397" t="s">
        <v>6797</v>
      </c>
      <c r="D15" s="401">
        <f t="shared" ref="D15:I15" si="8">MAX(D7,D9,D11)-MIN(D7,D9,D11)</f>
        <v>4676</v>
      </c>
      <c r="E15" s="401">
        <f t="shared" si="8"/>
        <v>4996</v>
      </c>
      <c r="F15" s="401">
        <f t="shared" si="8"/>
        <v>5285</v>
      </c>
      <c r="G15" s="401">
        <f t="shared" si="8"/>
        <v>5247</v>
      </c>
      <c r="H15" s="401">
        <f t="shared" si="8"/>
        <v>5968</v>
      </c>
      <c r="I15" s="401">
        <f t="shared" si="8"/>
        <v>4247</v>
      </c>
      <c r="J15" s="401">
        <f t="shared" ref="J15:O15" si="9">MAX(J7,J9,J11)-MIN(J7,J9,J11)</f>
        <v>3886</v>
      </c>
      <c r="K15" s="401">
        <f t="shared" si="9"/>
        <v>3925</v>
      </c>
      <c r="L15" s="401">
        <f t="shared" si="9"/>
        <v>2694</v>
      </c>
      <c r="M15" s="401">
        <f t="shared" si="9"/>
        <v>2708</v>
      </c>
      <c r="N15" s="401">
        <f t="shared" si="9"/>
        <v>5149</v>
      </c>
      <c r="O15" s="401">
        <f t="shared" si="9"/>
        <v>5229</v>
      </c>
    </row>
    <row r="16" spans="1:17">
      <c r="D16" s="402"/>
      <c r="E16" s="402"/>
      <c r="F16" s="402"/>
      <c r="G16" s="402"/>
      <c r="H16" s="402"/>
      <c r="I16" s="402"/>
      <c r="J16" s="402"/>
      <c r="K16" s="402"/>
      <c r="L16" s="402"/>
      <c r="M16" s="402"/>
      <c r="N16" s="402"/>
      <c r="O16" s="402"/>
    </row>
    <row r="17" spans="1:17">
      <c r="A17" s="397" t="s">
        <v>6800</v>
      </c>
      <c r="D17" s="401">
        <f t="shared" ref="D17:I17" si="10">STDEVP(D7,D9,D11)</f>
        <v>1908.9718582408584</v>
      </c>
      <c r="E17" s="401">
        <f t="shared" si="10"/>
        <v>2039.6751920070237</v>
      </c>
      <c r="F17" s="401">
        <f t="shared" si="10"/>
        <v>2160.2325492100767</v>
      </c>
      <c r="G17" s="401">
        <f t="shared" si="10"/>
        <v>2151.8043591367687</v>
      </c>
      <c r="H17" s="401">
        <f t="shared" si="10"/>
        <v>2461.1384899405125</v>
      </c>
      <c r="I17" s="401">
        <f t="shared" si="10"/>
        <v>1734.1489747615879</v>
      </c>
      <c r="J17" s="401">
        <f t="shared" ref="J17:O17" si="11">STDEVP(J7,J9,J11)</f>
        <v>1586.6803920974969</v>
      </c>
      <c r="K17" s="401">
        <f t="shared" si="11"/>
        <v>1604.0503594200388</v>
      </c>
      <c r="L17" s="401">
        <f t="shared" si="11"/>
        <v>1142.2145157543744</v>
      </c>
      <c r="M17" s="401">
        <f t="shared" si="11"/>
        <v>1225.7493852968294</v>
      </c>
      <c r="N17" s="401">
        <f t="shared" si="11"/>
        <v>2299.882654011335</v>
      </c>
      <c r="O17" s="401">
        <f t="shared" si="11"/>
        <v>2330.7161989397164</v>
      </c>
    </row>
    <row r="19" spans="1:17">
      <c r="A19" s="320">
        <v>1</v>
      </c>
      <c r="B19" s="127" t="s">
        <v>13977</v>
      </c>
      <c r="C19" s="127" t="s">
        <v>13976</v>
      </c>
      <c r="D19" s="401">
        <v>66418</v>
      </c>
      <c r="E19" s="401">
        <v>67199</v>
      </c>
      <c r="F19" s="401">
        <v>67705</v>
      </c>
      <c r="G19" s="401">
        <v>67937</v>
      </c>
      <c r="H19" s="401">
        <v>67948</v>
      </c>
      <c r="I19" s="401">
        <v>67366</v>
      </c>
      <c r="J19" s="401">
        <v>67569</v>
      </c>
      <c r="K19" s="401">
        <v>68625</v>
      </c>
      <c r="L19" s="401">
        <v>65061</v>
      </c>
      <c r="M19" s="401">
        <v>66943</v>
      </c>
      <c r="N19" s="56">
        <v>7434</v>
      </c>
      <c r="O19" s="56">
        <v>7420</v>
      </c>
      <c r="Q19" s="127" t="s">
        <v>14016</v>
      </c>
    </row>
    <row r="20" spans="1:17">
      <c r="A20" s="320">
        <v>2</v>
      </c>
      <c r="B20" s="127" t="s">
        <v>2551</v>
      </c>
      <c r="C20" s="127" t="s">
        <v>13978</v>
      </c>
      <c r="D20" s="401">
        <v>0</v>
      </c>
      <c r="E20" s="401">
        <v>0</v>
      </c>
      <c r="F20" s="401">
        <v>0</v>
      </c>
      <c r="G20" s="401">
        <v>0</v>
      </c>
      <c r="H20" s="401">
        <v>0</v>
      </c>
      <c r="I20" s="401">
        <v>0</v>
      </c>
      <c r="J20" s="401">
        <v>0</v>
      </c>
      <c r="K20" s="401">
        <v>0</v>
      </c>
      <c r="L20" s="401">
        <v>0</v>
      </c>
      <c r="M20" s="401">
        <v>0</v>
      </c>
      <c r="N20" s="56">
        <v>312</v>
      </c>
      <c r="O20" s="56">
        <v>312</v>
      </c>
      <c r="Q20" s="127" t="s">
        <v>14016</v>
      </c>
    </row>
    <row r="21" spans="1:17" ht="15.75" thickBot="1">
      <c r="A21" s="320"/>
      <c r="C21" s="127" t="s">
        <v>13978</v>
      </c>
      <c r="D21" s="401">
        <v>0</v>
      </c>
      <c r="E21" s="401">
        <v>0</v>
      </c>
      <c r="F21" s="401">
        <v>0</v>
      </c>
      <c r="G21" s="401">
        <v>0</v>
      </c>
      <c r="H21" s="401">
        <v>0</v>
      </c>
      <c r="I21" s="401">
        <v>0</v>
      </c>
      <c r="J21" s="401">
        <v>0</v>
      </c>
      <c r="K21" s="401">
        <v>0</v>
      </c>
      <c r="L21" s="401">
        <v>0</v>
      </c>
      <c r="M21" s="401">
        <v>0</v>
      </c>
      <c r="N21" s="56">
        <v>6965</v>
      </c>
      <c r="O21" s="56">
        <v>6945</v>
      </c>
      <c r="Q21" s="127" t="s">
        <v>14017</v>
      </c>
    </row>
    <row r="22" spans="1:17" ht="15.75" thickBot="1">
      <c r="A22" s="320"/>
      <c r="C22" s="127" t="s">
        <v>13978</v>
      </c>
      <c r="D22" s="390">
        <f t="shared" ref="D22:N22" si="12">D20+D21</f>
        <v>0</v>
      </c>
      <c r="E22" s="390">
        <f t="shared" si="12"/>
        <v>0</v>
      </c>
      <c r="F22" s="390">
        <f t="shared" si="12"/>
        <v>0</v>
      </c>
      <c r="G22" s="390">
        <f t="shared" si="12"/>
        <v>0</v>
      </c>
      <c r="H22" s="390">
        <f t="shared" si="12"/>
        <v>0</v>
      </c>
      <c r="I22" s="390">
        <f t="shared" si="12"/>
        <v>0</v>
      </c>
      <c r="J22" s="390">
        <f t="shared" si="12"/>
        <v>0</v>
      </c>
      <c r="K22" s="390">
        <f t="shared" si="12"/>
        <v>0</v>
      </c>
      <c r="L22" s="390">
        <f t="shared" si="12"/>
        <v>0</v>
      </c>
      <c r="M22" s="390">
        <f t="shared" si="12"/>
        <v>0</v>
      </c>
      <c r="N22" s="390">
        <f t="shared" si="12"/>
        <v>7277</v>
      </c>
      <c r="O22" s="390">
        <f>O20+O21</f>
        <v>7257</v>
      </c>
    </row>
    <row r="23" spans="1:17">
      <c r="A23" s="320">
        <v>3</v>
      </c>
      <c r="B23" s="127" t="s">
        <v>2552</v>
      </c>
      <c r="C23" s="127" t="s">
        <v>13979</v>
      </c>
      <c r="D23" s="401">
        <v>68763</v>
      </c>
      <c r="E23" s="401">
        <v>69732</v>
      </c>
      <c r="F23" s="401">
        <v>70574</v>
      </c>
      <c r="G23" s="401">
        <v>70994</v>
      </c>
      <c r="H23" s="401">
        <v>71670</v>
      </c>
      <c r="I23" s="401">
        <v>69560</v>
      </c>
      <c r="J23" s="401">
        <v>69455</v>
      </c>
      <c r="K23" s="401">
        <v>70743</v>
      </c>
      <c r="L23" s="401">
        <v>67062</v>
      </c>
      <c r="M23" s="401">
        <v>69420</v>
      </c>
      <c r="N23" s="58">
        <v>7521</v>
      </c>
      <c r="O23" s="58">
        <v>7506</v>
      </c>
      <c r="Q23" s="127" t="s">
        <v>14018</v>
      </c>
    </row>
    <row r="24" spans="1:17">
      <c r="A24" s="403">
        <v>4</v>
      </c>
      <c r="B24" s="127" t="s">
        <v>2553</v>
      </c>
      <c r="C24" s="127" t="s">
        <v>13980</v>
      </c>
      <c r="D24" s="401">
        <v>0</v>
      </c>
      <c r="E24" s="401">
        <v>0</v>
      </c>
      <c r="F24" s="401">
        <v>0</v>
      </c>
      <c r="G24" s="401">
        <v>0</v>
      </c>
      <c r="H24" s="401">
        <v>0</v>
      </c>
      <c r="I24" s="401">
        <v>0</v>
      </c>
      <c r="J24" s="401">
        <v>0</v>
      </c>
      <c r="K24" s="401">
        <v>0</v>
      </c>
      <c r="L24" s="401">
        <v>0</v>
      </c>
      <c r="M24" s="401">
        <v>0</v>
      </c>
      <c r="N24" s="56">
        <v>6578</v>
      </c>
      <c r="O24" s="56">
        <v>6578</v>
      </c>
      <c r="Q24" s="127" t="s">
        <v>14018</v>
      </c>
    </row>
    <row r="25" spans="1:17">
      <c r="A25" s="320">
        <v>5</v>
      </c>
      <c r="B25" s="127" t="s">
        <v>1171</v>
      </c>
      <c r="C25" s="127" t="s">
        <v>13981</v>
      </c>
      <c r="D25" s="401">
        <v>64087</v>
      </c>
      <c r="E25" s="401">
        <v>64736</v>
      </c>
      <c r="F25" s="401">
        <v>65289</v>
      </c>
      <c r="G25" s="401">
        <v>65747</v>
      </c>
      <c r="H25" s="401">
        <v>65702</v>
      </c>
      <c r="I25" s="401">
        <v>65313</v>
      </c>
      <c r="J25" s="401">
        <v>65569</v>
      </c>
      <c r="K25" s="401">
        <v>66818</v>
      </c>
      <c r="L25" s="401">
        <v>64368</v>
      </c>
      <c r="M25" s="401">
        <v>66712</v>
      </c>
      <c r="N25" s="56">
        <v>3504</v>
      </c>
      <c r="O25" s="56">
        <v>3505</v>
      </c>
      <c r="Q25" s="127" t="s">
        <v>14017</v>
      </c>
    </row>
    <row r="26" spans="1:17">
      <c r="A26" s="320">
        <v>6</v>
      </c>
      <c r="B26" s="127" t="s">
        <v>13983</v>
      </c>
      <c r="C26" s="127" t="s">
        <v>13982</v>
      </c>
      <c r="D26" s="401">
        <v>0</v>
      </c>
      <c r="E26" s="401">
        <v>0</v>
      </c>
      <c r="F26" s="401">
        <v>0</v>
      </c>
      <c r="G26" s="401">
        <v>0</v>
      </c>
      <c r="H26" s="401">
        <v>0</v>
      </c>
      <c r="I26" s="401">
        <v>0</v>
      </c>
      <c r="J26" s="401">
        <v>0</v>
      </c>
      <c r="K26" s="401">
        <v>0</v>
      </c>
      <c r="L26" s="401">
        <v>0</v>
      </c>
      <c r="M26" s="401">
        <v>0</v>
      </c>
      <c r="N26" s="56">
        <v>5263</v>
      </c>
      <c r="O26" s="56">
        <v>5270</v>
      </c>
      <c r="Q26" s="127" t="s">
        <v>14018</v>
      </c>
    </row>
    <row r="27" spans="1:17">
      <c r="A27" s="320">
        <v>7</v>
      </c>
      <c r="B27" s="127" t="s">
        <v>13985</v>
      </c>
      <c r="C27" s="127" t="s">
        <v>13984</v>
      </c>
      <c r="D27" s="401">
        <v>0</v>
      </c>
      <c r="E27" s="401">
        <v>0</v>
      </c>
      <c r="F27" s="401">
        <v>0</v>
      </c>
      <c r="G27" s="401">
        <v>0</v>
      </c>
      <c r="H27" s="401">
        <v>0</v>
      </c>
      <c r="I27" s="401">
        <v>0</v>
      </c>
      <c r="J27" s="401">
        <v>0</v>
      </c>
      <c r="K27" s="401">
        <v>0</v>
      </c>
      <c r="L27" s="401">
        <v>0</v>
      </c>
      <c r="M27" s="401">
        <v>0</v>
      </c>
      <c r="N27" s="58">
        <v>7982</v>
      </c>
      <c r="O27" s="58">
        <v>7964</v>
      </c>
      <c r="Q27" s="127" t="s">
        <v>14017</v>
      </c>
    </row>
    <row r="28" spans="1:17">
      <c r="A28" s="320">
        <v>8</v>
      </c>
      <c r="B28" s="127" t="s">
        <v>1172</v>
      </c>
      <c r="C28" s="127" t="s">
        <v>13986</v>
      </c>
      <c r="D28" s="401">
        <v>0</v>
      </c>
      <c r="E28" s="401">
        <v>0</v>
      </c>
      <c r="F28" s="401">
        <v>0</v>
      </c>
      <c r="G28" s="401">
        <v>0</v>
      </c>
      <c r="H28" s="401">
        <v>0</v>
      </c>
      <c r="I28" s="401">
        <v>0</v>
      </c>
      <c r="J28" s="401">
        <v>0</v>
      </c>
      <c r="K28" s="401">
        <v>0</v>
      </c>
      <c r="L28" s="401">
        <v>0</v>
      </c>
      <c r="M28" s="401">
        <v>0</v>
      </c>
      <c r="N28" s="58">
        <v>7701</v>
      </c>
      <c r="O28" s="58">
        <v>7681</v>
      </c>
      <c r="Q28" s="127" t="s">
        <v>14017</v>
      </c>
    </row>
    <row r="29" spans="1:17">
      <c r="A29" s="320">
        <v>9</v>
      </c>
      <c r="B29" s="127" t="s">
        <v>1173</v>
      </c>
      <c r="C29" s="127" t="s">
        <v>13987</v>
      </c>
      <c r="D29" s="401">
        <v>0</v>
      </c>
      <c r="E29" s="401">
        <v>0</v>
      </c>
      <c r="F29" s="401">
        <v>0</v>
      </c>
      <c r="G29" s="401">
        <v>0</v>
      </c>
      <c r="H29" s="401">
        <v>0</v>
      </c>
      <c r="I29" s="401">
        <v>0</v>
      </c>
      <c r="J29" s="401">
        <v>0</v>
      </c>
      <c r="K29" s="401">
        <v>0</v>
      </c>
      <c r="L29" s="401">
        <v>0</v>
      </c>
      <c r="M29" s="401">
        <v>0</v>
      </c>
      <c r="N29" s="58">
        <v>10216</v>
      </c>
      <c r="O29" s="58">
        <v>10211</v>
      </c>
      <c r="Q29" s="127" t="s">
        <v>14016</v>
      </c>
    </row>
    <row r="30" spans="1:17" ht="15.75" thickBot="1">
      <c r="A30" s="320"/>
      <c r="C30" s="127" t="s">
        <v>13987</v>
      </c>
      <c r="D30" s="401">
        <v>0</v>
      </c>
      <c r="E30" s="401">
        <v>0</v>
      </c>
      <c r="F30" s="401">
        <v>0</v>
      </c>
      <c r="G30" s="401">
        <v>0</v>
      </c>
      <c r="H30" s="401">
        <v>0</v>
      </c>
      <c r="I30" s="401">
        <v>0</v>
      </c>
      <c r="J30" s="401">
        <v>0</v>
      </c>
      <c r="K30" s="401">
        <v>0</v>
      </c>
      <c r="L30" s="401">
        <v>0</v>
      </c>
      <c r="M30" s="401">
        <v>0</v>
      </c>
      <c r="N30" s="58">
        <v>1159</v>
      </c>
      <c r="O30" s="58">
        <v>1168</v>
      </c>
      <c r="Q30" s="127" t="s">
        <v>14017</v>
      </c>
    </row>
    <row r="31" spans="1:17" ht="15.75" thickBot="1">
      <c r="A31" s="320"/>
      <c r="C31" s="127" t="s">
        <v>13987</v>
      </c>
      <c r="D31" s="390">
        <f t="shared" ref="D31:N31" si="13">D29+D30</f>
        <v>0</v>
      </c>
      <c r="E31" s="390">
        <f t="shared" si="13"/>
        <v>0</v>
      </c>
      <c r="F31" s="390">
        <f t="shared" si="13"/>
        <v>0</v>
      </c>
      <c r="G31" s="390">
        <f t="shared" si="13"/>
        <v>0</v>
      </c>
      <c r="H31" s="390">
        <f t="shared" si="13"/>
        <v>0</v>
      </c>
      <c r="I31" s="390">
        <f t="shared" si="13"/>
        <v>0</v>
      </c>
      <c r="J31" s="390">
        <f t="shared" si="13"/>
        <v>0</v>
      </c>
      <c r="K31" s="390">
        <f t="shared" si="13"/>
        <v>0</v>
      </c>
      <c r="L31" s="390">
        <f t="shared" si="13"/>
        <v>0</v>
      </c>
      <c r="M31" s="390">
        <f t="shared" si="13"/>
        <v>0</v>
      </c>
      <c r="N31" s="390">
        <f t="shared" si="13"/>
        <v>11375</v>
      </c>
      <c r="O31" s="390">
        <f>O29+O30</f>
        <v>11379</v>
      </c>
    </row>
    <row r="32" spans="1:17">
      <c r="A32" s="320">
        <v>10</v>
      </c>
      <c r="B32" s="127" t="s">
        <v>1174</v>
      </c>
      <c r="C32" s="127" t="s">
        <v>13988</v>
      </c>
      <c r="D32" s="401">
        <v>0</v>
      </c>
      <c r="E32" s="401">
        <v>0</v>
      </c>
      <c r="F32" s="401">
        <v>0</v>
      </c>
      <c r="G32" s="401">
        <v>0</v>
      </c>
      <c r="H32" s="401">
        <v>0</v>
      </c>
      <c r="I32" s="401">
        <v>0</v>
      </c>
      <c r="J32" s="401">
        <v>0</v>
      </c>
      <c r="K32" s="401">
        <v>0</v>
      </c>
      <c r="L32" s="401">
        <v>0</v>
      </c>
      <c r="M32" s="401">
        <v>0</v>
      </c>
      <c r="N32" s="58">
        <v>8134</v>
      </c>
      <c r="O32" s="58">
        <v>8116</v>
      </c>
      <c r="Q32" s="127" t="s">
        <v>14018</v>
      </c>
    </row>
    <row r="33" spans="1:17">
      <c r="A33" s="320">
        <v>11</v>
      </c>
      <c r="B33" s="127" t="s">
        <v>9470</v>
      </c>
      <c r="C33" s="127" t="s">
        <v>13989</v>
      </c>
      <c r="D33" s="401">
        <v>0</v>
      </c>
      <c r="E33" s="401">
        <v>0</v>
      </c>
      <c r="F33" s="401">
        <v>0</v>
      </c>
      <c r="G33" s="401">
        <v>0</v>
      </c>
      <c r="H33" s="401">
        <v>0</v>
      </c>
      <c r="I33" s="401">
        <v>0</v>
      </c>
      <c r="J33" s="401">
        <v>0</v>
      </c>
      <c r="K33" s="401">
        <v>0</v>
      </c>
      <c r="L33" s="401">
        <v>0</v>
      </c>
      <c r="M33" s="401">
        <v>0</v>
      </c>
      <c r="N33" s="56">
        <v>0</v>
      </c>
      <c r="O33" s="56">
        <v>0</v>
      </c>
      <c r="Q33" s="127" t="s">
        <v>14018</v>
      </c>
    </row>
    <row r="34" spans="1:17">
      <c r="A34" s="320"/>
      <c r="C34" s="127" t="s">
        <v>13989</v>
      </c>
      <c r="D34" s="401">
        <v>0</v>
      </c>
      <c r="E34" s="401">
        <v>0</v>
      </c>
      <c r="F34" s="401">
        <v>0</v>
      </c>
      <c r="G34" s="401">
        <v>0</v>
      </c>
      <c r="H34" s="401">
        <v>0</v>
      </c>
      <c r="I34" s="401">
        <v>0</v>
      </c>
      <c r="J34" s="401">
        <v>0</v>
      </c>
      <c r="K34" s="401">
        <v>0</v>
      </c>
      <c r="L34" s="401">
        <v>0</v>
      </c>
      <c r="M34" s="401">
        <v>0</v>
      </c>
      <c r="N34" s="56">
        <v>0</v>
      </c>
      <c r="O34" s="56">
        <v>0</v>
      </c>
      <c r="Q34" s="127" t="s">
        <v>14016</v>
      </c>
    </row>
    <row r="35" spans="1:17" ht="15.75" thickBot="1">
      <c r="A35" s="320"/>
      <c r="C35" s="127" t="s">
        <v>13989</v>
      </c>
      <c r="D35" s="401">
        <v>0</v>
      </c>
      <c r="E35" s="401">
        <v>0</v>
      </c>
      <c r="F35" s="401">
        <v>0</v>
      </c>
      <c r="G35" s="401">
        <v>0</v>
      </c>
      <c r="H35" s="401">
        <v>0</v>
      </c>
      <c r="I35" s="401">
        <v>0</v>
      </c>
      <c r="J35" s="401">
        <v>0</v>
      </c>
      <c r="K35" s="401">
        <v>0</v>
      </c>
      <c r="L35" s="401">
        <v>0</v>
      </c>
      <c r="M35" s="401">
        <v>0</v>
      </c>
      <c r="N35" s="56">
        <v>10457</v>
      </c>
      <c r="O35" s="56">
        <v>10432</v>
      </c>
      <c r="Q35" s="127" t="s">
        <v>14017</v>
      </c>
    </row>
    <row r="36" spans="1:17" ht="15.75" thickBot="1">
      <c r="A36" s="320"/>
      <c r="C36" s="127" t="s">
        <v>13989</v>
      </c>
      <c r="D36" s="390">
        <f>SUM(D33:D35)</f>
        <v>0</v>
      </c>
      <c r="E36" s="390">
        <f t="shared" ref="E36:N36" si="14">SUM(E33:E35)</f>
        <v>0</v>
      </c>
      <c r="F36" s="390">
        <f t="shared" si="14"/>
        <v>0</v>
      </c>
      <c r="G36" s="390">
        <f t="shared" si="14"/>
        <v>0</v>
      </c>
      <c r="H36" s="390">
        <f t="shared" si="14"/>
        <v>0</v>
      </c>
      <c r="I36" s="390">
        <f t="shared" si="14"/>
        <v>0</v>
      </c>
      <c r="J36" s="390">
        <f t="shared" si="14"/>
        <v>0</v>
      </c>
      <c r="K36" s="390">
        <f t="shared" si="14"/>
        <v>0</v>
      </c>
      <c r="L36" s="390">
        <f t="shared" si="14"/>
        <v>0</v>
      </c>
      <c r="M36" s="390">
        <f t="shared" si="14"/>
        <v>0</v>
      </c>
      <c r="N36" s="390">
        <f t="shared" si="14"/>
        <v>10457</v>
      </c>
      <c r="O36" s="390">
        <f>SUM(O33:O35)</f>
        <v>10432</v>
      </c>
    </row>
    <row r="37" spans="1:17">
      <c r="A37" s="320">
        <v>12</v>
      </c>
      <c r="B37" s="127" t="s">
        <v>13991</v>
      </c>
      <c r="C37" s="127" t="s">
        <v>13990</v>
      </c>
      <c r="D37" s="401">
        <v>0</v>
      </c>
      <c r="E37" s="401">
        <v>0</v>
      </c>
      <c r="F37" s="401">
        <v>0</v>
      </c>
      <c r="G37" s="401">
        <v>0</v>
      </c>
      <c r="H37" s="401">
        <v>0</v>
      </c>
      <c r="I37" s="401">
        <v>0</v>
      </c>
      <c r="J37" s="401">
        <v>0</v>
      </c>
      <c r="K37" s="401">
        <v>0</v>
      </c>
      <c r="L37" s="401">
        <v>0</v>
      </c>
      <c r="M37" s="401">
        <v>0</v>
      </c>
      <c r="N37" s="56">
        <v>9492</v>
      </c>
      <c r="O37" s="56">
        <v>9468</v>
      </c>
      <c r="Q37" s="127" t="s">
        <v>14018</v>
      </c>
    </row>
    <row r="38" spans="1:17" ht="15.75" thickBot="1">
      <c r="A38" s="320"/>
      <c r="C38" s="127" t="s">
        <v>13990</v>
      </c>
      <c r="D38" s="401">
        <v>0</v>
      </c>
      <c r="E38" s="401">
        <v>0</v>
      </c>
      <c r="F38" s="401">
        <v>0</v>
      </c>
      <c r="G38" s="401">
        <v>0</v>
      </c>
      <c r="H38" s="401">
        <v>0</v>
      </c>
      <c r="I38" s="401">
        <v>0</v>
      </c>
      <c r="J38" s="401">
        <v>0</v>
      </c>
      <c r="K38" s="401">
        <v>0</v>
      </c>
      <c r="L38" s="401">
        <v>0</v>
      </c>
      <c r="M38" s="401">
        <v>0</v>
      </c>
      <c r="N38" s="56">
        <v>1176</v>
      </c>
      <c r="O38" s="56">
        <v>1172</v>
      </c>
      <c r="Q38" s="127" t="s">
        <v>14016</v>
      </c>
    </row>
    <row r="39" spans="1:17" ht="15.75" thickBot="1">
      <c r="A39" s="320"/>
      <c r="C39" s="127" t="s">
        <v>13990</v>
      </c>
      <c r="D39" s="390">
        <f t="shared" ref="D39:N39" si="15">D37+D38</f>
        <v>0</v>
      </c>
      <c r="E39" s="390">
        <f t="shared" si="15"/>
        <v>0</v>
      </c>
      <c r="F39" s="390">
        <f t="shared" si="15"/>
        <v>0</v>
      </c>
      <c r="G39" s="390">
        <f t="shared" si="15"/>
        <v>0</v>
      </c>
      <c r="H39" s="390">
        <f t="shared" si="15"/>
        <v>0</v>
      </c>
      <c r="I39" s="390">
        <f t="shared" si="15"/>
        <v>0</v>
      </c>
      <c r="J39" s="390">
        <f t="shared" si="15"/>
        <v>0</v>
      </c>
      <c r="K39" s="390">
        <f t="shared" si="15"/>
        <v>0</v>
      </c>
      <c r="L39" s="390">
        <f t="shared" si="15"/>
        <v>0</v>
      </c>
      <c r="M39" s="390">
        <f t="shared" si="15"/>
        <v>0</v>
      </c>
      <c r="N39" s="390">
        <f t="shared" si="15"/>
        <v>10668</v>
      </c>
      <c r="O39" s="390">
        <f>O37+O38</f>
        <v>10640</v>
      </c>
    </row>
    <row r="40" spans="1:17">
      <c r="A40" s="320">
        <v>13</v>
      </c>
      <c r="B40" s="127" t="s">
        <v>1175</v>
      </c>
      <c r="C40" s="127" t="s">
        <v>13992</v>
      </c>
      <c r="D40" s="401">
        <v>0</v>
      </c>
      <c r="E40" s="401">
        <v>0</v>
      </c>
      <c r="F40" s="401">
        <v>0</v>
      </c>
      <c r="G40" s="401">
        <v>0</v>
      </c>
      <c r="H40" s="401">
        <v>0</v>
      </c>
      <c r="I40" s="401">
        <v>0</v>
      </c>
      <c r="J40" s="401">
        <v>0</v>
      </c>
      <c r="K40" s="401">
        <v>0</v>
      </c>
      <c r="L40" s="401">
        <v>0</v>
      </c>
      <c r="M40" s="401">
        <v>0</v>
      </c>
      <c r="N40" s="56">
        <v>10086</v>
      </c>
      <c r="O40" s="56">
        <v>10062</v>
      </c>
      <c r="Q40" s="127" t="s">
        <v>14016</v>
      </c>
    </row>
    <row r="41" spans="1:17">
      <c r="A41" s="320">
        <v>14</v>
      </c>
      <c r="B41" s="127" t="s">
        <v>6065</v>
      </c>
      <c r="C41" s="127" t="s">
        <v>13993</v>
      </c>
      <c r="D41" s="401">
        <v>0</v>
      </c>
      <c r="E41" s="401">
        <v>0</v>
      </c>
      <c r="F41" s="401">
        <v>0</v>
      </c>
      <c r="G41" s="401">
        <v>0</v>
      </c>
      <c r="H41" s="401">
        <v>0</v>
      </c>
      <c r="I41" s="401">
        <v>0</v>
      </c>
      <c r="J41" s="401">
        <v>0</v>
      </c>
      <c r="K41" s="401">
        <v>0</v>
      </c>
      <c r="L41" s="401">
        <v>0</v>
      </c>
      <c r="M41" s="401">
        <v>0</v>
      </c>
      <c r="N41" s="58">
        <v>6267</v>
      </c>
      <c r="O41" s="58">
        <v>6256</v>
      </c>
      <c r="Q41" s="127" t="s">
        <v>14016</v>
      </c>
    </row>
    <row r="42" spans="1:17">
      <c r="A42" s="320">
        <v>15</v>
      </c>
      <c r="B42" s="127" t="s">
        <v>1169</v>
      </c>
      <c r="C42" s="127" t="s">
        <v>13994</v>
      </c>
      <c r="D42" s="401">
        <v>0</v>
      </c>
      <c r="E42" s="401">
        <v>0</v>
      </c>
      <c r="F42" s="401">
        <v>0</v>
      </c>
      <c r="G42" s="401">
        <v>0</v>
      </c>
      <c r="H42" s="401">
        <v>0</v>
      </c>
      <c r="I42" s="401">
        <v>0</v>
      </c>
      <c r="J42" s="401">
        <v>0</v>
      </c>
      <c r="K42" s="401">
        <v>0</v>
      </c>
      <c r="L42" s="401">
        <v>0</v>
      </c>
      <c r="M42" s="401">
        <v>0</v>
      </c>
      <c r="N42" s="56">
        <v>7922</v>
      </c>
      <c r="O42" s="56">
        <v>7900</v>
      </c>
      <c r="Q42" s="127" t="s">
        <v>14016</v>
      </c>
    </row>
    <row r="43" spans="1:17">
      <c r="A43" s="320">
        <v>16</v>
      </c>
      <c r="B43" s="127" t="s">
        <v>13996</v>
      </c>
      <c r="C43" s="127" t="s">
        <v>13995</v>
      </c>
      <c r="D43" s="401">
        <v>0</v>
      </c>
      <c r="E43" s="401">
        <v>0</v>
      </c>
      <c r="F43" s="401">
        <v>0</v>
      </c>
      <c r="G43" s="401">
        <v>0</v>
      </c>
      <c r="H43" s="401">
        <v>0</v>
      </c>
      <c r="I43" s="401">
        <v>0</v>
      </c>
      <c r="J43" s="401">
        <v>0</v>
      </c>
      <c r="K43" s="401">
        <v>0</v>
      </c>
      <c r="L43" s="401">
        <v>0</v>
      </c>
      <c r="M43" s="401">
        <v>0</v>
      </c>
      <c r="N43" s="56">
        <v>6877</v>
      </c>
      <c r="O43" s="56">
        <v>6862</v>
      </c>
      <c r="Q43" s="127" t="s">
        <v>14016</v>
      </c>
    </row>
    <row r="44" spans="1:17">
      <c r="A44" s="320">
        <v>17</v>
      </c>
      <c r="B44" s="127" t="s">
        <v>13998</v>
      </c>
      <c r="C44" s="127" t="s">
        <v>13997</v>
      </c>
      <c r="D44" s="401">
        <v>0</v>
      </c>
      <c r="E44" s="401">
        <v>0</v>
      </c>
      <c r="F44" s="401">
        <v>0</v>
      </c>
      <c r="G44" s="401">
        <v>0</v>
      </c>
      <c r="H44" s="401">
        <v>0</v>
      </c>
      <c r="I44" s="401">
        <v>0</v>
      </c>
      <c r="J44" s="401">
        <v>0</v>
      </c>
      <c r="K44" s="401">
        <v>0</v>
      </c>
      <c r="L44" s="401">
        <v>0</v>
      </c>
      <c r="M44" s="401">
        <v>0</v>
      </c>
      <c r="N44" s="58">
        <v>7277</v>
      </c>
      <c r="O44" s="58">
        <v>7251</v>
      </c>
      <c r="Q44" s="127" t="s">
        <v>14016</v>
      </c>
    </row>
    <row r="45" spans="1:17">
      <c r="A45" s="403">
        <v>18</v>
      </c>
      <c r="B45" s="127" t="s">
        <v>14000</v>
      </c>
      <c r="C45" s="127" t="s">
        <v>13999</v>
      </c>
      <c r="D45" s="401">
        <v>0</v>
      </c>
      <c r="E45" s="401">
        <v>0</v>
      </c>
      <c r="F45" s="401">
        <v>0</v>
      </c>
      <c r="G45" s="401">
        <v>0</v>
      </c>
      <c r="H45" s="401">
        <v>0</v>
      </c>
      <c r="I45" s="401">
        <v>0</v>
      </c>
      <c r="J45" s="401">
        <v>0</v>
      </c>
      <c r="K45" s="401">
        <v>0</v>
      </c>
      <c r="L45" s="401">
        <v>0</v>
      </c>
      <c r="M45" s="401">
        <v>0</v>
      </c>
      <c r="N45" s="58">
        <v>3570</v>
      </c>
      <c r="O45" s="58">
        <v>3562</v>
      </c>
      <c r="Q45" s="127" t="s">
        <v>14018</v>
      </c>
    </row>
    <row r="46" spans="1:17">
      <c r="A46" s="320">
        <v>19</v>
      </c>
      <c r="B46" s="127" t="s">
        <v>14002</v>
      </c>
      <c r="C46" s="127" t="s">
        <v>14001</v>
      </c>
      <c r="D46" s="401">
        <v>0</v>
      </c>
      <c r="E46" s="401">
        <v>0</v>
      </c>
      <c r="F46" s="401">
        <v>0</v>
      </c>
      <c r="G46" s="401">
        <v>0</v>
      </c>
      <c r="H46" s="401">
        <v>0</v>
      </c>
      <c r="I46" s="401">
        <v>0</v>
      </c>
      <c r="J46" s="401">
        <v>0</v>
      </c>
      <c r="K46" s="401">
        <v>0</v>
      </c>
      <c r="L46" s="401">
        <v>0</v>
      </c>
      <c r="M46" s="401">
        <v>0</v>
      </c>
      <c r="N46" s="58">
        <v>3783</v>
      </c>
      <c r="O46" s="58">
        <v>3782</v>
      </c>
      <c r="Q46" s="127" t="s">
        <v>14018</v>
      </c>
    </row>
    <row r="47" spans="1:17">
      <c r="A47" s="320">
        <v>20</v>
      </c>
      <c r="B47" s="127" t="s">
        <v>14004</v>
      </c>
      <c r="C47" s="127" t="s">
        <v>14003</v>
      </c>
      <c r="D47" s="401">
        <v>0</v>
      </c>
      <c r="E47" s="401">
        <v>0</v>
      </c>
      <c r="F47" s="401">
        <v>0</v>
      </c>
      <c r="G47" s="401">
        <v>0</v>
      </c>
      <c r="H47" s="401">
        <v>0</v>
      </c>
      <c r="I47" s="401">
        <v>0</v>
      </c>
      <c r="J47" s="401">
        <v>0</v>
      </c>
      <c r="K47" s="401">
        <v>0</v>
      </c>
      <c r="L47" s="401">
        <v>0</v>
      </c>
      <c r="M47" s="401">
        <v>0</v>
      </c>
      <c r="N47" s="58">
        <v>2325</v>
      </c>
      <c r="O47" s="58">
        <v>2321</v>
      </c>
      <c r="Q47" s="127" t="s">
        <v>14018</v>
      </c>
    </row>
    <row r="48" spans="1:17" ht="15.75" thickBot="1">
      <c r="A48" s="320"/>
      <c r="C48" s="127" t="s">
        <v>14003</v>
      </c>
      <c r="D48" s="401">
        <v>0</v>
      </c>
      <c r="E48" s="401">
        <v>0</v>
      </c>
      <c r="F48" s="401">
        <v>0</v>
      </c>
      <c r="G48" s="401">
        <v>0</v>
      </c>
      <c r="H48" s="401">
        <v>0</v>
      </c>
      <c r="I48" s="401">
        <v>0</v>
      </c>
      <c r="J48" s="401">
        <v>0</v>
      </c>
      <c r="K48" s="401">
        <v>0</v>
      </c>
      <c r="L48" s="401">
        <v>0</v>
      </c>
      <c r="M48" s="401">
        <v>0</v>
      </c>
      <c r="N48" s="58">
        <v>5571</v>
      </c>
      <c r="O48" s="58">
        <v>5559</v>
      </c>
      <c r="Q48" s="127" t="s">
        <v>14017</v>
      </c>
    </row>
    <row r="49" spans="1:17" ht="15.75" thickBot="1">
      <c r="A49" s="320"/>
      <c r="C49" s="127" t="s">
        <v>14003</v>
      </c>
      <c r="D49" s="390">
        <f t="shared" ref="D49:N49" si="16">D47+D48</f>
        <v>0</v>
      </c>
      <c r="E49" s="390">
        <f t="shared" si="16"/>
        <v>0</v>
      </c>
      <c r="F49" s="390">
        <f t="shared" si="16"/>
        <v>0</v>
      </c>
      <c r="G49" s="390">
        <f t="shared" si="16"/>
        <v>0</v>
      </c>
      <c r="H49" s="390">
        <f t="shared" si="16"/>
        <v>0</v>
      </c>
      <c r="I49" s="390">
        <f t="shared" si="16"/>
        <v>0</v>
      </c>
      <c r="J49" s="390">
        <f t="shared" si="16"/>
        <v>0</v>
      </c>
      <c r="K49" s="390">
        <f t="shared" si="16"/>
        <v>0</v>
      </c>
      <c r="L49" s="390">
        <f t="shared" si="16"/>
        <v>0</v>
      </c>
      <c r="M49" s="390">
        <f t="shared" si="16"/>
        <v>0</v>
      </c>
      <c r="N49" s="390">
        <f t="shared" si="16"/>
        <v>7896</v>
      </c>
      <c r="O49" s="390">
        <f>O47+O48</f>
        <v>7880</v>
      </c>
    </row>
    <row r="50" spans="1:17">
      <c r="A50" s="320">
        <v>21</v>
      </c>
      <c r="B50" s="127" t="s">
        <v>14006</v>
      </c>
      <c r="C50" s="127" t="s">
        <v>14005</v>
      </c>
      <c r="D50" s="401">
        <v>0</v>
      </c>
      <c r="E50" s="401">
        <v>0</v>
      </c>
      <c r="F50" s="401">
        <v>0</v>
      </c>
      <c r="G50" s="401">
        <v>0</v>
      </c>
      <c r="H50" s="401">
        <v>0</v>
      </c>
      <c r="I50" s="401">
        <v>0</v>
      </c>
      <c r="J50" s="401">
        <v>0</v>
      </c>
      <c r="K50" s="401">
        <v>0</v>
      </c>
      <c r="L50" s="401">
        <v>0</v>
      </c>
      <c r="M50" s="401">
        <v>0</v>
      </c>
      <c r="N50" s="58">
        <v>7167</v>
      </c>
      <c r="O50" s="58">
        <v>7151</v>
      </c>
      <c r="Q50" s="127" t="s">
        <v>14018</v>
      </c>
    </row>
    <row r="51" spans="1:17" ht="15.75" thickBot="1">
      <c r="A51" s="320"/>
      <c r="C51" s="127" t="s">
        <v>14005</v>
      </c>
      <c r="D51" s="401">
        <v>0</v>
      </c>
      <c r="E51" s="401">
        <v>0</v>
      </c>
      <c r="F51" s="401">
        <v>0</v>
      </c>
      <c r="G51" s="401">
        <v>0</v>
      </c>
      <c r="H51" s="401">
        <v>0</v>
      </c>
      <c r="I51" s="401">
        <v>0</v>
      </c>
      <c r="J51" s="401">
        <v>0</v>
      </c>
      <c r="K51" s="401">
        <v>0</v>
      </c>
      <c r="L51" s="401">
        <v>0</v>
      </c>
      <c r="M51" s="401">
        <v>0</v>
      </c>
      <c r="N51" s="58">
        <v>3997</v>
      </c>
      <c r="O51" s="58">
        <v>3991</v>
      </c>
      <c r="Q51" s="127" t="s">
        <v>14016</v>
      </c>
    </row>
    <row r="52" spans="1:17" ht="15.75" thickBot="1">
      <c r="A52" s="320"/>
      <c r="C52" s="127" t="s">
        <v>14005</v>
      </c>
      <c r="D52" s="390">
        <f t="shared" ref="D52:N52" si="17">D50+D51</f>
        <v>0</v>
      </c>
      <c r="E52" s="390">
        <f t="shared" si="17"/>
        <v>0</v>
      </c>
      <c r="F52" s="390">
        <f t="shared" si="17"/>
        <v>0</v>
      </c>
      <c r="G52" s="390">
        <f t="shared" si="17"/>
        <v>0</v>
      </c>
      <c r="H52" s="390">
        <f t="shared" si="17"/>
        <v>0</v>
      </c>
      <c r="I52" s="390">
        <f t="shared" si="17"/>
        <v>0</v>
      </c>
      <c r="J52" s="390">
        <f t="shared" si="17"/>
        <v>0</v>
      </c>
      <c r="K52" s="390">
        <f t="shared" si="17"/>
        <v>0</v>
      </c>
      <c r="L52" s="390">
        <f t="shared" si="17"/>
        <v>0</v>
      </c>
      <c r="M52" s="390">
        <f t="shared" si="17"/>
        <v>0</v>
      </c>
      <c r="N52" s="390">
        <f t="shared" si="17"/>
        <v>11164</v>
      </c>
      <c r="O52" s="390">
        <f>O50+O51</f>
        <v>11142</v>
      </c>
    </row>
    <row r="53" spans="1:17">
      <c r="A53" s="320">
        <v>22</v>
      </c>
      <c r="B53" s="127" t="s">
        <v>1170</v>
      </c>
      <c r="C53" s="127" t="s">
        <v>14007</v>
      </c>
      <c r="D53" s="401">
        <v>0</v>
      </c>
      <c r="E53" s="401">
        <v>0</v>
      </c>
      <c r="F53" s="401">
        <v>0</v>
      </c>
      <c r="G53" s="401">
        <v>0</v>
      </c>
      <c r="H53" s="401">
        <v>0</v>
      </c>
      <c r="I53" s="401">
        <v>0</v>
      </c>
      <c r="J53" s="401">
        <v>0</v>
      </c>
      <c r="K53" s="401">
        <v>0</v>
      </c>
      <c r="L53" s="401">
        <v>0</v>
      </c>
      <c r="M53" s="401">
        <v>0</v>
      </c>
      <c r="N53" s="56">
        <v>10656</v>
      </c>
      <c r="O53" s="56">
        <v>10653</v>
      </c>
      <c r="Q53" s="127" t="s">
        <v>14018</v>
      </c>
    </row>
    <row r="54" spans="1:17">
      <c r="A54" s="320">
        <v>23</v>
      </c>
      <c r="B54" s="127" t="s">
        <v>14009</v>
      </c>
      <c r="C54" s="127" t="s">
        <v>14008</v>
      </c>
      <c r="D54" s="401">
        <v>0</v>
      </c>
      <c r="E54" s="401">
        <v>0</v>
      </c>
      <c r="F54" s="401">
        <v>0</v>
      </c>
      <c r="G54" s="401">
        <v>0</v>
      </c>
      <c r="H54" s="401">
        <v>0</v>
      </c>
      <c r="I54" s="401">
        <v>0</v>
      </c>
      <c r="J54" s="401">
        <v>0</v>
      </c>
      <c r="K54" s="401">
        <v>0</v>
      </c>
      <c r="L54" s="401">
        <v>0</v>
      </c>
      <c r="M54" s="401">
        <v>0</v>
      </c>
      <c r="N54" s="56">
        <v>3984</v>
      </c>
      <c r="O54" s="56">
        <v>4003</v>
      </c>
      <c r="Q54" s="127" t="s">
        <v>14018</v>
      </c>
    </row>
    <row r="55" spans="1:17">
      <c r="A55" s="320">
        <v>24</v>
      </c>
      <c r="B55" s="127" t="s">
        <v>14011</v>
      </c>
      <c r="C55" s="127" t="s">
        <v>14010</v>
      </c>
      <c r="D55" s="401">
        <v>0</v>
      </c>
      <c r="E55" s="401">
        <v>0</v>
      </c>
      <c r="F55" s="401">
        <v>0</v>
      </c>
      <c r="G55" s="401">
        <v>0</v>
      </c>
      <c r="H55" s="401">
        <v>0</v>
      </c>
      <c r="I55" s="401">
        <v>0</v>
      </c>
      <c r="J55" s="401">
        <v>0</v>
      </c>
      <c r="K55" s="401">
        <v>0</v>
      </c>
      <c r="L55" s="401">
        <v>0</v>
      </c>
      <c r="M55" s="401">
        <v>0</v>
      </c>
      <c r="N55" s="58">
        <v>10658</v>
      </c>
      <c r="O55" s="58">
        <v>10652</v>
      </c>
      <c r="Q55" s="127" t="s">
        <v>14017</v>
      </c>
    </row>
    <row r="56" spans="1:17">
      <c r="A56" s="320">
        <v>25</v>
      </c>
      <c r="B56" s="127" t="s">
        <v>525</v>
      </c>
      <c r="C56" s="127" t="s">
        <v>14012</v>
      </c>
      <c r="D56" s="401">
        <v>0</v>
      </c>
      <c r="E56" s="401">
        <v>0</v>
      </c>
      <c r="F56" s="401">
        <v>0</v>
      </c>
      <c r="G56" s="401">
        <v>0</v>
      </c>
      <c r="H56" s="401">
        <v>0</v>
      </c>
      <c r="I56" s="401">
        <v>0</v>
      </c>
      <c r="J56" s="401">
        <v>0</v>
      </c>
      <c r="K56" s="401">
        <v>0</v>
      </c>
      <c r="L56" s="401">
        <v>0</v>
      </c>
      <c r="M56" s="401">
        <v>0</v>
      </c>
      <c r="N56" s="58">
        <v>5882</v>
      </c>
      <c r="O56" s="58">
        <v>5877</v>
      </c>
      <c r="Q56" s="127" t="s">
        <v>14018</v>
      </c>
    </row>
    <row r="57" spans="1:17" ht="15.75" thickBot="1">
      <c r="A57" s="320"/>
      <c r="C57" s="127" t="s">
        <v>14012</v>
      </c>
      <c r="D57" s="401">
        <v>0</v>
      </c>
      <c r="E57" s="401">
        <v>0</v>
      </c>
      <c r="F57" s="401">
        <v>0</v>
      </c>
      <c r="G57" s="401">
        <v>0</v>
      </c>
      <c r="H57" s="401">
        <v>0</v>
      </c>
      <c r="I57" s="401">
        <v>0</v>
      </c>
      <c r="J57" s="401">
        <v>0</v>
      </c>
      <c r="K57" s="401">
        <v>0</v>
      </c>
      <c r="L57" s="401">
        <v>0</v>
      </c>
      <c r="M57" s="401">
        <v>0</v>
      </c>
      <c r="N57" s="58">
        <v>14</v>
      </c>
      <c r="O57" s="58">
        <v>14</v>
      </c>
      <c r="Q57" s="127" t="s">
        <v>14016</v>
      </c>
    </row>
    <row r="58" spans="1:17" ht="15.75" thickBot="1">
      <c r="A58" s="320"/>
      <c r="C58" s="127" t="s">
        <v>14012</v>
      </c>
      <c r="D58" s="390">
        <f t="shared" ref="D58:N58" si="18">D56+D57</f>
        <v>0</v>
      </c>
      <c r="E58" s="390">
        <f t="shared" si="18"/>
        <v>0</v>
      </c>
      <c r="F58" s="390">
        <f t="shared" si="18"/>
        <v>0</v>
      </c>
      <c r="G58" s="390">
        <f t="shared" si="18"/>
        <v>0</v>
      </c>
      <c r="H58" s="390">
        <f t="shared" si="18"/>
        <v>0</v>
      </c>
      <c r="I58" s="390">
        <f t="shared" si="18"/>
        <v>0</v>
      </c>
      <c r="J58" s="390">
        <f t="shared" si="18"/>
        <v>0</v>
      </c>
      <c r="K58" s="390">
        <f t="shared" si="18"/>
        <v>0</v>
      </c>
      <c r="L58" s="390">
        <f t="shared" si="18"/>
        <v>0</v>
      </c>
      <c r="M58" s="390">
        <f t="shared" si="18"/>
        <v>0</v>
      </c>
      <c r="N58" s="390">
        <f t="shared" si="18"/>
        <v>5896</v>
      </c>
      <c r="O58" s="390">
        <f>O56+O57</f>
        <v>5891</v>
      </c>
    </row>
    <row r="59" spans="1:17">
      <c r="A59" s="320">
        <v>26</v>
      </c>
      <c r="B59" s="127" t="s">
        <v>2388</v>
      </c>
      <c r="C59" s="127" t="s">
        <v>14013</v>
      </c>
      <c r="D59" s="401">
        <v>0</v>
      </c>
      <c r="E59" s="401">
        <v>0</v>
      </c>
      <c r="F59" s="401">
        <v>0</v>
      </c>
      <c r="G59" s="401">
        <v>0</v>
      </c>
      <c r="H59" s="401">
        <v>0</v>
      </c>
      <c r="I59" s="401">
        <v>0</v>
      </c>
      <c r="J59" s="401">
        <v>0</v>
      </c>
      <c r="K59" s="401">
        <v>0</v>
      </c>
      <c r="L59" s="401">
        <v>0</v>
      </c>
      <c r="M59" s="401">
        <v>0</v>
      </c>
      <c r="N59" s="58">
        <v>7628</v>
      </c>
      <c r="O59" s="58">
        <v>7607</v>
      </c>
      <c r="Q59" s="127" t="s">
        <v>14016</v>
      </c>
    </row>
    <row r="60" spans="1:17">
      <c r="A60" s="320">
        <v>27</v>
      </c>
      <c r="B60" s="127" t="s">
        <v>526</v>
      </c>
      <c r="C60" s="127" t="s">
        <v>14014</v>
      </c>
      <c r="D60" s="401">
        <v>0</v>
      </c>
      <c r="E60" s="401">
        <v>0</v>
      </c>
      <c r="F60" s="401">
        <v>0</v>
      </c>
      <c r="G60" s="401">
        <v>0</v>
      </c>
      <c r="H60" s="401">
        <v>0</v>
      </c>
      <c r="I60" s="401">
        <v>0</v>
      </c>
      <c r="J60" s="401">
        <v>0</v>
      </c>
      <c r="K60" s="401">
        <v>0</v>
      </c>
      <c r="L60" s="401">
        <v>0</v>
      </c>
      <c r="M60" s="401">
        <v>0</v>
      </c>
      <c r="N60" s="56">
        <v>6662</v>
      </c>
      <c r="O60" s="56">
        <v>6655</v>
      </c>
      <c r="Q60" s="127" t="s">
        <v>14017</v>
      </c>
    </row>
    <row r="61" spans="1:17">
      <c r="A61" s="320">
        <v>28</v>
      </c>
      <c r="B61" s="127" t="s">
        <v>527</v>
      </c>
      <c r="C61" s="127" t="s">
        <v>14015</v>
      </c>
      <c r="D61" s="401">
        <v>0</v>
      </c>
      <c r="E61" s="401">
        <v>0</v>
      </c>
      <c r="F61" s="401">
        <v>0</v>
      </c>
      <c r="G61" s="401">
        <v>0</v>
      </c>
      <c r="H61" s="401">
        <v>0</v>
      </c>
      <c r="I61" s="401">
        <v>0</v>
      </c>
      <c r="J61" s="401">
        <v>0</v>
      </c>
      <c r="K61" s="401">
        <v>0</v>
      </c>
      <c r="L61" s="401">
        <v>0</v>
      </c>
      <c r="M61" s="401">
        <v>0</v>
      </c>
      <c r="N61" s="56">
        <v>9142</v>
      </c>
      <c r="O61" s="56">
        <v>9127</v>
      </c>
      <c r="Q61" s="127" t="s">
        <v>14017</v>
      </c>
    </row>
    <row r="62" spans="1:17">
      <c r="D62" s="402"/>
      <c r="E62" s="402"/>
      <c r="F62" s="402"/>
      <c r="G62" s="402"/>
      <c r="H62" s="402"/>
      <c r="I62" s="402"/>
      <c r="J62" s="402"/>
      <c r="K62" s="402"/>
      <c r="L62" s="402"/>
    </row>
    <row r="63" spans="1:17">
      <c r="A63" s="397" t="s">
        <v>14019</v>
      </c>
    </row>
  </sheetData>
  <phoneticPr fontId="6" type="noConversion"/>
  <printOptions gridLinesSet="0"/>
  <pageMargins left="0.78740157480314965" right="0" top="0.51181102362204722" bottom="0.51181102362204722" header="0.51181102362204722" footer="0.51181102362204722"/>
  <pageSetup paperSize="9" scale="67" orientation="portrait" horizontalDpi="300" verticalDpi="300" r:id="rId1"/>
  <headerFooter alignWithMargins="0">
    <oddFooter>&amp;C&amp;"Times New Roman,Regular"&amp;8&amp;P of &amp;N</oddFooter>
  </headerFooter>
  <ignoredErrors>
    <ignoredError sqref="D4 E4 F4 G4 D5:D6 E5:E6 F5:F6 G5:G6 H4 H5:H6 I4:I6 J4:J6 K4:K6 L4:L6 D15:D17 E15:E18 F15:F17 G15:G17 H15:H17 I15:I17 J15:J17 K15:K17 L15:L17 D12:D13 E12:E13 F12:F13 G12:G13 H12:H13 I12:I13 J12:J13 K12:K13 L12:L13" unlockedFormula="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dimension ref="A1:V229"/>
  <sheetViews>
    <sheetView showGridLines="0" topLeftCell="A121" zoomScale="90" zoomScaleNormal="90" workbookViewId="0">
      <selection activeCell="A168" sqref="A168:A169"/>
    </sheetView>
  </sheetViews>
  <sheetFormatPr defaultColWidth="12.5703125" defaultRowHeight="15"/>
  <cols>
    <col min="1" max="1" width="4.85546875" style="126" customWidth="1"/>
    <col min="2" max="2" width="40.85546875" style="126" customWidth="1"/>
    <col min="3" max="3" width="11.5703125" style="126" customWidth="1"/>
    <col min="4" max="15" width="10" style="126" customWidth="1"/>
    <col min="16" max="16" width="2.28515625" style="126" customWidth="1"/>
    <col min="17" max="17" width="39.140625" style="126" customWidth="1"/>
    <col min="18" max="16384" width="12.5703125" style="126"/>
  </cols>
  <sheetData>
    <row r="1" spans="1:17">
      <c r="A1" s="383" t="s">
        <v>6924</v>
      </c>
      <c r="D1" s="384">
        <v>2010</v>
      </c>
      <c r="E1" s="384">
        <v>2011</v>
      </c>
      <c r="F1" s="384">
        <v>2012</v>
      </c>
      <c r="G1" s="384">
        <v>2013</v>
      </c>
      <c r="H1" s="384">
        <v>2014</v>
      </c>
      <c r="I1" s="384">
        <v>2015</v>
      </c>
      <c r="J1" s="384">
        <v>2016</v>
      </c>
      <c r="K1" s="384">
        <v>2017</v>
      </c>
      <c r="L1" s="384">
        <v>2018</v>
      </c>
      <c r="M1" s="384">
        <v>2019</v>
      </c>
      <c r="N1" s="384">
        <v>2020</v>
      </c>
      <c r="O1" s="942" t="s">
        <v>14823</v>
      </c>
    </row>
    <row r="3" spans="1:17">
      <c r="A3" s="383" t="s">
        <v>5110</v>
      </c>
      <c r="D3" s="385">
        <f t="shared" ref="D3:I3" si="0">SUM(D5:D8)</f>
        <v>962806</v>
      </c>
      <c r="E3" s="385">
        <f t="shared" si="0"/>
        <v>974419</v>
      </c>
      <c r="F3" s="385">
        <f t="shared" si="0"/>
        <v>981147</v>
      </c>
      <c r="G3" s="385">
        <f t="shared" si="0"/>
        <v>991861</v>
      </c>
      <c r="H3" s="385">
        <f t="shared" si="0"/>
        <v>984916</v>
      </c>
      <c r="I3" s="385">
        <f t="shared" si="0"/>
        <v>963303</v>
      </c>
      <c r="J3" s="385">
        <f t="shared" ref="J3:O3" si="1">SUM(J5:J8)</f>
        <v>952530</v>
      </c>
      <c r="K3" s="385">
        <f t="shared" si="1"/>
        <v>979258</v>
      </c>
      <c r="L3" s="385">
        <f t="shared" si="1"/>
        <v>995800</v>
      </c>
      <c r="M3" s="385">
        <f t="shared" si="1"/>
        <v>974826</v>
      </c>
      <c r="N3" s="385">
        <f t="shared" si="1"/>
        <v>977317</v>
      </c>
      <c r="O3" s="385">
        <f t="shared" si="1"/>
        <v>1007392</v>
      </c>
    </row>
    <row r="4" spans="1:17">
      <c r="D4" s="386"/>
      <c r="E4" s="386"/>
      <c r="F4" s="386"/>
      <c r="G4" s="386"/>
      <c r="H4" s="386"/>
      <c r="I4" s="386"/>
      <c r="J4" s="386"/>
      <c r="K4" s="386"/>
      <c r="L4" s="386"/>
      <c r="M4" s="386"/>
      <c r="N4" s="386"/>
      <c r="O4" s="386"/>
      <c r="Q4" s="387"/>
    </row>
    <row r="5" spans="1:17">
      <c r="A5" s="383" t="s">
        <v>528</v>
      </c>
      <c r="C5" s="383"/>
      <c r="D5" s="385">
        <f t="shared" ref="D5:I5" si="2">D53</f>
        <v>175811</v>
      </c>
      <c r="E5" s="385">
        <f t="shared" si="2"/>
        <v>176015</v>
      </c>
      <c r="F5" s="385">
        <f t="shared" si="2"/>
        <v>178262</v>
      </c>
      <c r="G5" s="385">
        <f t="shared" si="2"/>
        <v>179470</v>
      </c>
      <c r="H5" s="385">
        <f t="shared" si="2"/>
        <v>180213</v>
      </c>
      <c r="I5" s="385">
        <f t="shared" si="2"/>
        <v>176280</v>
      </c>
      <c r="J5" s="385">
        <f t="shared" ref="J5:O5" si="3">J53</f>
        <v>167715</v>
      </c>
      <c r="K5" s="385">
        <f t="shared" si="3"/>
        <v>173280</v>
      </c>
      <c r="L5" s="385">
        <f t="shared" si="3"/>
        <v>175948</v>
      </c>
      <c r="M5" s="385">
        <f t="shared" si="3"/>
        <v>176176</v>
      </c>
      <c r="N5" s="385">
        <f t="shared" si="3"/>
        <v>177892</v>
      </c>
      <c r="O5" s="385">
        <f t="shared" si="3"/>
        <v>181134</v>
      </c>
      <c r="Q5" s="388"/>
    </row>
    <row r="6" spans="1:17">
      <c r="A6" s="383" t="s">
        <v>529</v>
      </c>
      <c r="C6" s="383"/>
      <c r="D6" s="385">
        <f t="shared" ref="D6:I6" si="4">D86</f>
        <v>218109</v>
      </c>
      <c r="E6" s="385">
        <f t="shared" si="4"/>
        <v>220403</v>
      </c>
      <c r="F6" s="385">
        <f t="shared" si="4"/>
        <v>220639</v>
      </c>
      <c r="G6" s="385">
        <f t="shared" si="4"/>
        <v>221968</v>
      </c>
      <c r="H6" s="385">
        <f t="shared" si="4"/>
        <v>217226</v>
      </c>
      <c r="I6" s="385">
        <f t="shared" si="4"/>
        <v>206309</v>
      </c>
      <c r="J6" s="385">
        <f t="shared" ref="J6:O6" si="5">J86</f>
        <v>211267</v>
      </c>
      <c r="K6" s="385">
        <f t="shared" si="5"/>
        <v>215105</v>
      </c>
      <c r="L6" s="385">
        <f t="shared" si="5"/>
        <v>219058</v>
      </c>
      <c r="M6" s="385">
        <f t="shared" si="5"/>
        <v>215403</v>
      </c>
      <c r="N6" s="385">
        <f t="shared" si="5"/>
        <v>216250</v>
      </c>
      <c r="O6" s="385">
        <f t="shared" si="5"/>
        <v>219008</v>
      </c>
      <c r="Q6" s="388"/>
    </row>
    <row r="7" spans="1:17">
      <c r="A7" s="383" t="s">
        <v>530</v>
      </c>
      <c r="C7" s="383"/>
      <c r="D7" s="385">
        <f t="shared" ref="D7:I7" si="6">D124</f>
        <v>190076</v>
      </c>
      <c r="E7" s="385">
        <f t="shared" si="6"/>
        <v>191489</v>
      </c>
      <c r="F7" s="385">
        <f t="shared" si="6"/>
        <v>192390</v>
      </c>
      <c r="G7" s="385">
        <f t="shared" si="6"/>
        <v>194397</v>
      </c>
      <c r="H7" s="385">
        <f t="shared" si="6"/>
        <v>196100</v>
      </c>
      <c r="I7" s="385">
        <f t="shared" si="6"/>
        <v>195614</v>
      </c>
      <c r="J7" s="385">
        <f t="shared" ref="J7:O7" si="7">J124</f>
        <v>192118</v>
      </c>
      <c r="K7" s="385">
        <f t="shared" si="7"/>
        <v>194419</v>
      </c>
      <c r="L7" s="385">
        <f t="shared" si="7"/>
        <v>194140</v>
      </c>
      <c r="M7" s="385">
        <f t="shared" si="7"/>
        <v>191965</v>
      </c>
      <c r="N7" s="385">
        <f t="shared" si="7"/>
        <v>191778</v>
      </c>
      <c r="O7" s="385">
        <f t="shared" si="7"/>
        <v>195236</v>
      </c>
      <c r="Q7" s="388"/>
    </row>
    <row r="8" spans="1:17">
      <c r="A8" s="383" t="s">
        <v>531</v>
      </c>
      <c r="C8" s="383"/>
      <c r="D8" s="385">
        <f t="shared" ref="D8:I8" si="8">D174</f>
        <v>378810</v>
      </c>
      <c r="E8" s="385">
        <f t="shared" si="8"/>
        <v>386512</v>
      </c>
      <c r="F8" s="385">
        <f t="shared" si="8"/>
        <v>389856</v>
      </c>
      <c r="G8" s="385">
        <f t="shared" si="8"/>
        <v>396026</v>
      </c>
      <c r="H8" s="385">
        <f t="shared" si="8"/>
        <v>391377</v>
      </c>
      <c r="I8" s="385">
        <f t="shared" si="8"/>
        <v>385100</v>
      </c>
      <c r="J8" s="385">
        <f t="shared" ref="J8:O8" si="9">J174</f>
        <v>381430</v>
      </c>
      <c r="K8" s="385">
        <f t="shared" si="9"/>
        <v>396454</v>
      </c>
      <c r="L8" s="385">
        <f t="shared" si="9"/>
        <v>406654</v>
      </c>
      <c r="M8" s="385">
        <f t="shared" si="9"/>
        <v>391282</v>
      </c>
      <c r="N8" s="385">
        <f t="shared" si="9"/>
        <v>391397</v>
      </c>
      <c r="O8" s="385">
        <f t="shared" si="9"/>
        <v>412014</v>
      </c>
      <c r="Q8" s="388"/>
    </row>
    <row r="10" spans="1:17">
      <c r="A10" s="383" t="s">
        <v>532</v>
      </c>
      <c r="D10" s="385">
        <f t="shared" ref="D10:I10" si="10">D3/13</f>
        <v>74062</v>
      </c>
      <c r="E10" s="385">
        <f t="shared" si="10"/>
        <v>74955.307692307688</v>
      </c>
      <c r="F10" s="385">
        <f t="shared" si="10"/>
        <v>75472.846153846156</v>
      </c>
      <c r="G10" s="385">
        <f t="shared" si="10"/>
        <v>76297</v>
      </c>
      <c r="H10" s="385">
        <f t="shared" si="10"/>
        <v>75762.769230769234</v>
      </c>
      <c r="I10" s="385">
        <f t="shared" si="10"/>
        <v>74100.230769230766</v>
      </c>
      <c r="J10" s="385">
        <f t="shared" ref="J10:O10" si="11">J3/13</f>
        <v>73271.538461538468</v>
      </c>
      <c r="K10" s="385">
        <f t="shared" si="11"/>
        <v>75327.538461538468</v>
      </c>
      <c r="L10" s="385">
        <f t="shared" si="11"/>
        <v>76600</v>
      </c>
      <c r="M10" s="385">
        <f t="shared" si="11"/>
        <v>74986.61538461539</v>
      </c>
      <c r="N10" s="385">
        <f t="shared" si="11"/>
        <v>75178.230769230766</v>
      </c>
      <c r="O10" s="385">
        <f t="shared" si="11"/>
        <v>77491.692307692312</v>
      </c>
    </row>
    <row r="11" spans="1:17">
      <c r="D11" s="386"/>
      <c r="E11" s="386"/>
      <c r="F11" s="386"/>
      <c r="G11" s="386"/>
      <c r="H11" s="386"/>
      <c r="I11" s="386"/>
      <c r="J11" s="386"/>
      <c r="K11" s="386"/>
      <c r="L11" s="386"/>
      <c r="M11" s="386"/>
      <c r="N11" s="386"/>
      <c r="O11" s="386"/>
    </row>
    <row r="12" spans="1:17">
      <c r="A12" s="383" t="s">
        <v>533</v>
      </c>
      <c r="D12" s="385">
        <f t="shared" ref="D12:I12" si="12">D76</f>
        <v>64864</v>
      </c>
      <c r="E12" s="385">
        <f t="shared" si="12"/>
        <v>64732</v>
      </c>
      <c r="F12" s="385">
        <f t="shared" si="12"/>
        <v>65317</v>
      </c>
      <c r="G12" s="385">
        <f t="shared" si="12"/>
        <v>65674</v>
      </c>
      <c r="H12" s="385">
        <f t="shared" si="12"/>
        <v>65738</v>
      </c>
      <c r="I12" s="385">
        <f t="shared" si="12"/>
        <v>64170</v>
      </c>
      <c r="J12" s="385">
        <f t="shared" ref="J12:O12" si="13">J76</f>
        <v>60767</v>
      </c>
      <c r="K12" s="385">
        <f t="shared" si="13"/>
        <v>62523</v>
      </c>
      <c r="L12" s="385">
        <f t="shared" si="13"/>
        <v>63374</v>
      </c>
      <c r="M12" s="385">
        <f t="shared" si="13"/>
        <v>63539</v>
      </c>
      <c r="N12" s="385">
        <f t="shared" si="13"/>
        <v>64229</v>
      </c>
      <c r="O12" s="385">
        <f t="shared" si="13"/>
        <v>65494</v>
      </c>
      <c r="Q12" s="383" t="s">
        <v>534</v>
      </c>
    </row>
    <row r="13" spans="1:17">
      <c r="D13" s="386"/>
      <c r="E13" s="386"/>
      <c r="F13" s="386"/>
      <c r="G13" s="386"/>
      <c r="H13" s="386"/>
      <c r="I13" s="386"/>
      <c r="J13" s="386"/>
      <c r="K13" s="386"/>
      <c r="L13" s="386"/>
      <c r="M13" s="386"/>
      <c r="N13" s="386"/>
      <c r="O13" s="386"/>
    </row>
    <row r="14" spans="1:17">
      <c r="A14" s="383" t="s">
        <v>535</v>
      </c>
      <c r="D14" s="385">
        <f t="shared" ref="D14:I14" si="14">D77</f>
        <v>68011</v>
      </c>
      <c r="E14" s="385">
        <f t="shared" si="14"/>
        <v>68243</v>
      </c>
      <c r="F14" s="385">
        <f t="shared" si="14"/>
        <v>69321</v>
      </c>
      <c r="G14" s="385">
        <f t="shared" si="14"/>
        <v>69876</v>
      </c>
      <c r="H14" s="385">
        <f t="shared" si="14"/>
        <v>70307</v>
      </c>
      <c r="I14" s="385">
        <f t="shared" si="14"/>
        <v>68775</v>
      </c>
      <c r="J14" s="385">
        <f t="shared" ref="J14:O14" si="15">J77</f>
        <v>65344</v>
      </c>
      <c r="K14" s="385">
        <f t="shared" si="15"/>
        <v>67432</v>
      </c>
      <c r="L14" s="385">
        <f t="shared" si="15"/>
        <v>68361</v>
      </c>
      <c r="M14" s="385">
        <f t="shared" si="15"/>
        <v>68109</v>
      </c>
      <c r="N14" s="385">
        <f t="shared" si="15"/>
        <v>68448</v>
      </c>
      <c r="O14" s="385">
        <f t="shared" si="15"/>
        <v>69690</v>
      </c>
      <c r="Q14" s="383" t="s">
        <v>534</v>
      </c>
    </row>
    <row r="15" spans="1:17">
      <c r="D15" s="386"/>
      <c r="E15" s="386"/>
      <c r="F15" s="386"/>
      <c r="G15" s="386"/>
      <c r="H15" s="386"/>
      <c r="I15" s="386"/>
      <c r="J15" s="386"/>
      <c r="K15" s="386"/>
      <c r="L15" s="386"/>
      <c r="M15" s="386"/>
      <c r="N15" s="386"/>
      <c r="O15" s="386"/>
    </row>
    <row r="16" spans="1:17">
      <c r="A16" s="383" t="s">
        <v>1189</v>
      </c>
      <c r="D16" s="385">
        <f t="shared" ref="D16:I16" si="16">D115</f>
        <v>73189</v>
      </c>
      <c r="E16" s="385">
        <f t="shared" si="16"/>
        <v>73874</v>
      </c>
      <c r="F16" s="385">
        <f t="shared" si="16"/>
        <v>73730</v>
      </c>
      <c r="G16" s="385">
        <f t="shared" si="16"/>
        <v>73808</v>
      </c>
      <c r="H16" s="385">
        <f t="shared" si="16"/>
        <v>71866</v>
      </c>
      <c r="I16" s="385">
        <f t="shared" si="16"/>
        <v>68829</v>
      </c>
      <c r="J16" s="385">
        <f t="shared" ref="J16:O16" si="17">J115</f>
        <v>70200</v>
      </c>
      <c r="K16" s="385">
        <f t="shared" si="17"/>
        <v>70778</v>
      </c>
      <c r="L16" s="385">
        <f t="shared" si="17"/>
        <v>72242</v>
      </c>
      <c r="M16" s="385">
        <f t="shared" si="17"/>
        <v>70552</v>
      </c>
      <c r="N16" s="385">
        <f t="shared" si="17"/>
        <v>70446</v>
      </c>
      <c r="O16" s="385">
        <f t="shared" si="17"/>
        <v>71229</v>
      </c>
      <c r="Q16" s="383" t="s">
        <v>1190</v>
      </c>
    </row>
    <row r="17" spans="1:17">
      <c r="D17" s="386"/>
      <c r="E17" s="386"/>
      <c r="F17" s="386"/>
      <c r="G17" s="386"/>
      <c r="H17" s="386"/>
      <c r="I17" s="386"/>
      <c r="J17" s="386"/>
      <c r="K17" s="386"/>
      <c r="L17" s="386"/>
      <c r="M17" s="386"/>
      <c r="N17" s="386"/>
      <c r="O17" s="386"/>
    </row>
    <row r="18" spans="1:17">
      <c r="A18" s="383" t="s">
        <v>1191</v>
      </c>
      <c r="D18" s="385">
        <f t="shared" ref="D18:I18" si="18">D116</f>
        <v>72040</v>
      </c>
      <c r="E18" s="385">
        <f t="shared" si="18"/>
        <v>72855</v>
      </c>
      <c r="F18" s="385">
        <f t="shared" si="18"/>
        <v>73234</v>
      </c>
      <c r="G18" s="385">
        <f t="shared" si="18"/>
        <v>74073</v>
      </c>
      <c r="H18" s="385">
        <f t="shared" si="18"/>
        <v>72375</v>
      </c>
      <c r="I18" s="385">
        <f t="shared" si="18"/>
        <v>68608</v>
      </c>
      <c r="J18" s="385">
        <f t="shared" ref="J18:O18" si="19">J116</f>
        <v>70337</v>
      </c>
      <c r="K18" s="385">
        <f t="shared" si="19"/>
        <v>71430</v>
      </c>
      <c r="L18" s="385">
        <f t="shared" si="19"/>
        <v>72613</v>
      </c>
      <c r="M18" s="385">
        <f t="shared" si="19"/>
        <v>71202</v>
      </c>
      <c r="N18" s="385">
        <f t="shared" si="19"/>
        <v>71348</v>
      </c>
      <c r="O18" s="385">
        <f t="shared" si="19"/>
        <v>72354</v>
      </c>
      <c r="Q18" s="383" t="s">
        <v>1190</v>
      </c>
    </row>
    <row r="19" spans="1:17">
      <c r="D19" s="386"/>
      <c r="E19" s="386"/>
      <c r="F19" s="386"/>
      <c r="G19" s="386"/>
      <c r="H19" s="386"/>
      <c r="I19" s="386"/>
      <c r="J19" s="386"/>
      <c r="K19" s="386"/>
      <c r="L19" s="386"/>
      <c r="M19" s="386"/>
      <c r="N19" s="386"/>
      <c r="O19" s="386"/>
    </row>
    <row r="20" spans="1:17">
      <c r="A20" s="383" t="s">
        <v>536</v>
      </c>
      <c r="D20" s="385">
        <f t="shared" ref="D20:I20" si="20">D117</f>
        <v>72880</v>
      </c>
      <c r="E20" s="385">
        <f t="shared" si="20"/>
        <v>73674</v>
      </c>
      <c r="F20" s="385">
        <f t="shared" si="20"/>
        <v>73675</v>
      </c>
      <c r="G20" s="385">
        <f t="shared" si="20"/>
        <v>74087</v>
      </c>
      <c r="H20" s="385">
        <f t="shared" si="20"/>
        <v>72985</v>
      </c>
      <c r="I20" s="385">
        <f t="shared" si="20"/>
        <v>68872</v>
      </c>
      <c r="J20" s="385">
        <f t="shared" ref="J20:O20" si="21">J117</f>
        <v>70730</v>
      </c>
      <c r="K20" s="385">
        <f t="shared" si="21"/>
        <v>72897</v>
      </c>
      <c r="L20" s="385">
        <f t="shared" si="21"/>
        <v>74203</v>
      </c>
      <c r="M20" s="385">
        <f t="shared" si="21"/>
        <v>73649</v>
      </c>
      <c r="N20" s="385">
        <f t="shared" si="21"/>
        <v>74456</v>
      </c>
      <c r="O20" s="385">
        <f t="shared" si="21"/>
        <v>75425</v>
      </c>
      <c r="Q20" s="383" t="s">
        <v>1190</v>
      </c>
    </row>
    <row r="21" spans="1:17">
      <c r="D21" s="386"/>
      <c r="E21" s="386"/>
      <c r="F21" s="386"/>
      <c r="G21" s="386"/>
      <c r="H21" s="386"/>
      <c r="I21" s="386"/>
      <c r="J21" s="386"/>
      <c r="K21" s="386"/>
      <c r="L21" s="386"/>
      <c r="M21" s="386"/>
      <c r="N21" s="386"/>
      <c r="O21" s="386"/>
    </row>
    <row r="22" spans="1:17">
      <c r="A22" s="383" t="s">
        <v>537</v>
      </c>
      <c r="D22" s="385">
        <f t="shared" ref="D22:I22" si="22">D78</f>
        <v>25853</v>
      </c>
      <c r="E22" s="385">
        <f t="shared" si="22"/>
        <v>26058</v>
      </c>
      <c r="F22" s="385">
        <f t="shared" si="22"/>
        <v>26364</v>
      </c>
      <c r="G22" s="385">
        <f t="shared" si="22"/>
        <v>26667</v>
      </c>
      <c r="H22" s="385">
        <f t="shared" si="22"/>
        <v>27019</v>
      </c>
      <c r="I22" s="385">
        <f t="shared" si="22"/>
        <v>26907</v>
      </c>
      <c r="J22" s="385">
        <f t="shared" ref="J22:O22" si="23">J78</f>
        <v>26042</v>
      </c>
      <c r="K22" s="385">
        <f t="shared" si="23"/>
        <v>27069</v>
      </c>
      <c r="L22" s="385">
        <f t="shared" si="23"/>
        <v>27530</v>
      </c>
      <c r="M22" s="385">
        <f t="shared" si="23"/>
        <v>27644</v>
      </c>
      <c r="N22" s="385">
        <f t="shared" si="23"/>
        <v>27961</v>
      </c>
      <c r="O22" s="385">
        <f t="shared" si="23"/>
        <v>28444</v>
      </c>
      <c r="Q22" s="383" t="s">
        <v>534</v>
      </c>
    </row>
    <row r="23" spans="1:17" ht="15.75" thickBot="1">
      <c r="D23" s="389">
        <f t="shared" ref="D23:I23" si="24">D222</f>
        <v>42775</v>
      </c>
      <c r="E23" s="389">
        <f t="shared" si="24"/>
        <v>43075</v>
      </c>
      <c r="F23" s="389">
        <f t="shared" si="24"/>
        <v>43191</v>
      </c>
      <c r="G23" s="389">
        <f t="shared" si="24"/>
        <v>43505</v>
      </c>
      <c r="H23" s="389">
        <f t="shared" si="24"/>
        <v>43169</v>
      </c>
      <c r="I23" s="389">
        <f t="shared" si="24"/>
        <v>43012</v>
      </c>
      <c r="J23" s="389">
        <f t="shared" ref="J23:O23" si="25">J222</f>
        <v>42537</v>
      </c>
      <c r="K23" s="389">
        <f t="shared" si="25"/>
        <v>43803</v>
      </c>
      <c r="L23" s="389">
        <f t="shared" si="25"/>
        <v>44001</v>
      </c>
      <c r="M23" s="389">
        <f t="shared" si="25"/>
        <v>42341</v>
      </c>
      <c r="N23" s="389">
        <f t="shared" si="25"/>
        <v>42350</v>
      </c>
      <c r="O23" s="389">
        <f t="shared" si="25"/>
        <v>42933</v>
      </c>
      <c r="Q23" s="383" t="s">
        <v>538</v>
      </c>
    </row>
    <row r="24" spans="1:17" ht="15.75" thickBot="1">
      <c r="D24" s="390">
        <f t="shared" ref="D24:I24" si="26">D22+D23</f>
        <v>68628</v>
      </c>
      <c r="E24" s="390">
        <f t="shared" si="26"/>
        <v>69133</v>
      </c>
      <c r="F24" s="390">
        <f t="shared" si="26"/>
        <v>69555</v>
      </c>
      <c r="G24" s="390">
        <f t="shared" si="26"/>
        <v>70172</v>
      </c>
      <c r="H24" s="390">
        <f t="shared" si="26"/>
        <v>70188</v>
      </c>
      <c r="I24" s="390">
        <f t="shared" si="26"/>
        <v>69919</v>
      </c>
      <c r="J24" s="390">
        <f t="shared" ref="J24:O24" si="27">J22+J23</f>
        <v>68579</v>
      </c>
      <c r="K24" s="390">
        <f t="shared" si="27"/>
        <v>70872</v>
      </c>
      <c r="L24" s="390">
        <f t="shared" si="27"/>
        <v>71531</v>
      </c>
      <c r="M24" s="390">
        <f t="shared" si="27"/>
        <v>69985</v>
      </c>
      <c r="N24" s="390">
        <f t="shared" si="27"/>
        <v>70311</v>
      </c>
      <c r="O24" s="390">
        <f t="shared" si="27"/>
        <v>71377</v>
      </c>
    </row>
    <row r="25" spans="1:17">
      <c r="D25" s="386"/>
      <c r="E25" s="386"/>
      <c r="F25" s="386"/>
      <c r="G25" s="386"/>
      <c r="H25" s="386"/>
      <c r="I25" s="386"/>
      <c r="J25" s="386"/>
      <c r="K25" s="386"/>
      <c r="L25" s="386"/>
      <c r="M25" s="386"/>
      <c r="N25" s="386"/>
      <c r="O25" s="386"/>
    </row>
    <row r="26" spans="1:17">
      <c r="A26" s="383" t="s">
        <v>539</v>
      </c>
      <c r="D26" s="385">
        <f>D161</f>
        <v>72168</v>
      </c>
      <c r="E26" s="385">
        <f t="shared" ref="E26:N26" si="28">E161</f>
        <v>73068</v>
      </c>
      <c r="F26" s="385">
        <f t="shared" si="28"/>
        <v>73220</v>
      </c>
      <c r="G26" s="385">
        <f t="shared" si="28"/>
        <v>73755</v>
      </c>
      <c r="H26" s="385">
        <f t="shared" si="28"/>
        <v>74189</v>
      </c>
      <c r="I26" s="385">
        <f t="shared" si="28"/>
        <v>74259</v>
      </c>
      <c r="J26" s="385">
        <f t="shared" si="28"/>
        <v>73511</v>
      </c>
      <c r="K26" s="385">
        <f t="shared" si="28"/>
        <v>74387</v>
      </c>
      <c r="L26" s="385">
        <f t="shared" si="28"/>
        <v>74654</v>
      </c>
      <c r="M26" s="385">
        <f t="shared" si="28"/>
        <v>73996</v>
      </c>
      <c r="N26" s="385">
        <f t="shared" si="28"/>
        <v>74050</v>
      </c>
      <c r="O26" s="385">
        <f>O161</f>
        <v>75469</v>
      </c>
      <c r="Q26" s="383" t="s">
        <v>540</v>
      </c>
    </row>
    <row r="27" spans="1:17">
      <c r="D27" s="386"/>
      <c r="E27" s="386"/>
      <c r="F27" s="386"/>
      <c r="G27" s="386"/>
      <c r="H27" s="386"/>
      <c r="I27" s="386"/>
      <c r="J27" s="386"/>
      <c r="K27" s="386"/>
      <c r="L27" s="386"/>
      <c r="M27" s="386"/>
      <c r="N27" s="386"/>
      <c r="O27" s="386"/>
    </row>
    <row r="28" spans="1:17">
      <c r="A28" s="383" t="s">
        <v>541</v>
      </c>
      <c r="D28" s="385">
        <f>D162</f>
        <v>62977</v>
      </c>
      <c r="E28" s="385">
        <f t="shared" ref="E28:N28" si="29">E162</f>
        <v>63131</v>
      </c>
      <c r="F28" s="385">
        <f t="shared" si="29"/>
        <v>63464</v>
      </c>
      <c r="G28" s="385">
        <f t="shared" si="29"/>
        <v>64156</v>
      </c>
      <c r="H28" s="385">
        <f t="shared" si="29"/>
        <v>64425</v>
      </c>
      <c r="I28" s="385">
        <f t="shared" si="29"/>
        <v>63843</v>
      </c>
      <c r="J28" s="385">
        <f t="shared" si="29"/>
        <v>62017</v>
      </c>
      <c r="K28" s="385">
        <f t="shared" si="29"/>
        <v>62714</v>
      </c>
      <c r="L28" s="385">
        <f t="shared" si="29"/>
        <v>62058</v>
      </c>
      <c r="M28" s="385">
        <f t="shared" si="29"/>
        <v>61218</v>
      </c>
      <c r="N28" s="385">
        <f t="shared" si="29"/>
        <v>61119</v>
      </c>
      <c r="O28" s="385">
        <f>O162</f>
        <v>62303</v>
      </c>
      <c r="Q28" s="383" t="s">
        <v>540</v>
      </c>
    </row>
    <row r="29" spans="1:17">
      <c r="D29" s="386"/>
      <c r="E29" s="386"/>
      <c r="F29" s="386"/>
      <c r="G29" s="386"/>
      <c r="H29" s="386"/>
      <c r="I29" s="386"/>
      <c r="J29" s="386"/>
      <c r="K29" s="386"/>
      <c r="L29" s="386"/>
      <c r="M29" s="386"/>
      <c r="N29" s="386"/>
      <c r="O29" s="386"/>
    </row>
    <row r="30" spans="1:17">
      <c r="A30" s="383" t="s">
        <v>542</v>
      </c>
      <c r="D30" s="385">
        <f t="shared" ref="D30:I30" si="30">D223</f>
        <v>68194</v>
      </c>
      <c r="E30" s="385">
        <f t="shared" si="30"/>
        <v>69206</v>
      </c>
      <c r="F30" s="385">
        <f t="shared" si="30"/>
        <v>69954</v>
      </c>
      <c r="G30" s="385">
        <f t="shared" si="30"/>
        <v>71442</v>
      </c>
      <c r="H30" s="385">
        <f t="shared" si="30"/>
        <v>70422</v>
      </c>
      <c r="I30" s="385">
        <f t="shared" si="30"/>
        <v>69679</v>
      </c>
      <c r="J30" s="385">
        <f t="shared" ref="J30:O30" si="31">J223</f>
        <v>67717</v>
      </c>
      <c r="K30" s="385">
        <f t="shared" si="31"/>
        <v>70095</v>
      </c>
      <c r="L30" s="385">
        <f t="shared" si="31"/>
        <v>71359</v>
      </c>
      <c r="M30" s="385">
        <f t="shared" si="31"/>
        <v>67879</v>
      </c>
      <c r="N30" s="385">
        <f t="shared" si="31"/>
        <v>67888</v>
      </c>
      <c r="O30" s="385">
        <f t="shared" si="31"/>
        <v>70200</v>
      </c>
      <c r="Q30" s="383" t="s">
        <v>538</v>
      </c>
    </row>
    <row r="31" spans="1:17">
      <c r="D31" s="386"/>
      <c r="E31" s="386"/>
      <c r="F31" s="386"/>
      <c r="G31" s="386"/>
      <c r="H31" s="386"/>
      <c r="I31" s="386"/>
      <c r="J31" s="386"/>
      <c r="K31" s="386"/>
      <c r="L31" s="386"/>
      <c r="M31" s="386"/>
      <c r="N31" s="386"/>
      <c r="O31" s="386"/>
    </row>
    <row r="32" spans="1:17">
      <c r="A32" s="383" t="s">
        <v>543</v>
      </c>
      <c r="D32" s="385">
        <f t="shared" ref="D32:I32" si="32">D224</f>
        <v>65515</v>
      </c>
      <c r="E32" s="385">
        <f t="shared" si="32"/>
        <v>69975</v>
      </c>
      <c r="F32" s="385">
        <f t="shared" si="32"/>
        <v>71652</v>
      </c>
      <c r="G32" s="385">
        <f t="shared" si="32"/>
        <v>74020</v>
      </c>
      <c r="H32" s="385">
        <f t="shared" si="32"/>
        <v>70842</v>
      </c>
      <c r="I32" s="385">
        <f t="shared" si="32"/>
        <v>68091</v>
      </c>
      <c r="J32" s="385">
        <f t="shared" ref="J32:O32" si="33">J224</f>
        <v>67917</v>
      </c>
      <c r="K32" s="385">
        <f t="shared" si="33"/>
        <v>72703</v>
      </c>
      <c r="L32" s="385">
        <f t="shared" si="33"/>
        <v>78490</v>
      </c>
      <c r="M32" s="385">
        <f t="shared" si="33"/>
        <v>79375</v>
      </c>
      <c r="N32" s="385">
        <f t="shared" si="33"/>
        <v>79414</v>
      </c>
      <c r="O32" s="385">
        <f t="shared" si="33"/>
        <v>89266</v>
      </c>
      <c r="Q32" s="383" t="s">
        <v>538</v>
      </c>
    </row>
    <row r="33" spans="1:17">
      <c r="D33" s="386"/>
      <c r="E33" s="386"/>
      <c r="F33" s="386"/>
      <c r="G33" s="386"/>
      <c r="H33" s="386"/>
      <c r="I33" s="386"/>
      <c r="J33" s="386"/>
      <c r="K33" s="386"/>
      <c r="L33" s="386"/>
      <c r="M33" s="386"/>
      <c r="N33" s="386"/>
      <c r="O33" s="386"/>
    </row>
    <row r="34" spans="1:17">
      <c r="A34" s="383" t="s">
        <v>544</v>
      </c>
      <c r="D34" s="385">
        <f t="shared" ref="D34:I34" si="34">D225</f>
        <v>68863</v>
      </c>
      <c r="E34" s="385">
        <f t="shared" si="34"/>
        <v>70032</v>
      </c>
      <c r="F34" s="385">
        <f t="shared" si="34"/>
        <v>69795</v>
      </c>
      <c r="G34" s="385">
        <f t="shared" si="34"/>
        <v>70430</v>
      </c>
      <c r="H34" s="385">
        <f t="shared" si="34"/>
        <v>70296</v>
      </c>
      <c r="I34" s="385">
        <f t="shared" si="34"/>
        <v>68794</v>
      </c>
      <c r="J34" s="385">
        <f t="shared" ref="J34:O34" si="35">J225</f>
        <v>70415</v>
      </c>
      <c r="K34" s="385">
        <f t="shared" si="35"/>
        <v>72821</v>
      </c>
      <c r="L34" s="385">
        <f t="shared" si="35"/>
        <v>74626</v>
      </c>
      <c r="M34" s="385">
        <f t="shared" si="35"/>
        <v>69285</v>
      </c>
      <c r="N34" s="385">
        <f t="shared" si="35"/>
        <v>69323</v>
      </c>
      <c r="O34" s="385">
        <f t="shared" si="35"/>
        <v>73269</v>
      </c>
      <c r="Q34" s="383" t="s">
        <v>538</v>
      </c>
    </row>
    <row r="35" spans="1:17">
      <c r="D35" s="386"/>
      <c r="E35" s="386"/>
      <c r="F35" s="386"/>
      <c r="G35" s="386"/>
      <c r="H35" s="386"/>
      <c r="I35" s="386"/>
      <c r="J35" s="386"/>
      <c r="K35" s="386"/>
      <c r="L35" s="386"/>
      <c r="M35" s="386"/>
      <c r="N35" s="386"/>
      <c r="O35" s="386"/>
    </row>
    <row r="36" spans="1:17">
      <c r="A36" s="383" t="s">
        <v>545</v>
      </c>
      <c r="D36" s="385">
        <f t="shared" ref="D36:I36" si="36">D226</f>
        <v>65904</v>
      </c>
      <c r="E36" s="385">
        <f t="shared" si="36"/>
        <v>66432</v>
      </c>
      <c r="F36" s="385">
        <f t="shared" si="36"/>
        <v>67068</v>
      </c>
      <c r="G36" s="385">
        <f t="shared" si="36"/>
        <v>67911</v>
      </c>
      <c r="H36" s="385">
        <f t="shared" si="36"/>
        <v>67646</v>
      </c>
      <c r="I36" s="385">
        <f t="shared" si="36"/>
        <v>66987</v>
      </c>
      <c r="J36" s="385">
        <f t="shared" ref="J36:O36" si="37">J226</f>
        <v>65857</v>
      </c>
      <c r="K36" s="385">
        <f t="shared" si="37"/>
        <v>67993</v>
      </c>
      <c r="L36" s="385">
        <f t="shared" si="37"/>
        <v>68394</v>
      </c>
      <c r="M36" s="385">
        <f t="shared" si="37"/>
        <v>65373</v>
      </c>
      <c r="N36" s="385">
        <f t="shared" si="37"/>
        <v>65391</v>
      </c>
      <c r="O36" s="385">
        <f t="shared" si="37"/>
        <v>67627</v>
      </c>
      <c r="Q36" s="383" t="s">
        <v>538</v>
      </c>
    </row>
    <row r="37" spans="1:17">
      <c r="D37" s="386"/>
      <c r="E37" s="386"/>
      <c r="F37" s="386"/>
      <c r="G37" s="386"/>
      <c r="H37" s="386"/>
      <c r="I37" s="386"/>
      <c r="J37" s="386"/>
      <c r="K37" s="386"/>
      <c r="L37" s="386"/>
      <c r="M37" s="386"/>
      <c r="N37" s="386"/>
      <c r="O37" s="386"/>
    </row>
    <row r="38" spans="1:17">
      <c r="A38" s="383" t="s">
        <v>546</v>
      </c>
      <c r="D38" s="385">
        <f t="shared" ref="D38:I38" si="38">D227</f>
        <v>67559</v>
      </c>
      <c r="E38" s="385">
        <f t="shared" si="38"/>
        <v>67792</v>
      </c>
      <c r="F38" s="385">
        <f t="shared" si="38"/>
        <v>68196</v>
      </c>
      <c r="G38" s="385">
        <f t="shared" si="38"/>
        <v>68718</v>
      </c>
      <c r="H38" s="385">
        <f t="shared" si="38"/>
        <v>69002</v>
      </c>
      <c r="I38" s="385">
        <f t="shared" si="38"/>
        <v>68537</v>
      </c>
      <c r="J38" s="385">
        <f t="shared" ref="J38:O38" si="39">J227</f>
        <v>66987</v>
      </c>
      <c r="K38" s="385">
        <f t="shared" si="39"/>
        <v>69039</v>
      </c>
      <c r="L38" s="385">
        <f t="shared" si="39"/>
        <v>69784</v>
      </c>
      <c r="M38" s="385">
        <f t="shared" si="39"/>
        <v>67029</v>
      </c>
      <c r="N38" s="385">
        <f t="shared" si="39"/>
        <v>67031</v>
      </c>
      <c r="O38" s="385">
        <f t="shared" si="39"/>
        <v>68719</v>
      </c>
      <c r="Q38" s="383" t="s">
        <v>538</v>
      </c>
    </row>
    <row r="39" spans="1:17">
      <c r="D39" s="386"/>
      <c r="E39" s="386"/>
      <c r="F39" s="386"/>
      <c r="G39" s="386"/>
      <c r="H39" s="386"/>
      <c r="I39" s="386"/>
      <c r="J39" s="386"/>
      <c r="K39" s="386"/>
      <c r="L39" s="386"/>
      <c r="M39" s="386"/>
      <c r="N39" s="386"/>
      <c r="O39" s="386"/>
    </row>
    <row r="40" spans="1:17">
      <c r="A40" s="383" t="s">
        <v>2889</v>
      </c>
      <c r="D40" s="385">
        <f t="shared" ref="D40:I40" si="40">D79</f>
        <v>17083</v>
      </c>
      <c r="E40" s="385">
        <f t="shared" si="40"/>
        <v>16982</v>
      </c>
      <c r="F40" s="385">
        <f t="shared" si="40"/>
        <v>17260</v>
      </c>
      <c r="G40" s="385">
        <f t="shared" si="40"/>
        <v>17253</v>
      </c>
      <c r="H40" s="385">
        <f t="shared" si="40"/>
        <v>17149</v>
      </c>
      <c r="I40" s="385">
        <f t="shared" si="40"/>
        <v>16428</v>
      </c>
      <c r="J40" s="385">
        <f t="shared" ref="J40:O40" si="41">J79</f>
        <v>15562</v>
      </c>
      <c r="K40" s="385">
        <f t="shared" si="41"/>
        <v>16256</v>
      </c>
      <c r="L40" s="385">
        <f t="shared" si="41"/>
        <v>16683</v>
      </c>
      <c r="M40" s="385">
        <f t="shared" si="41"/>
        <v>16884</v>
      </c>
      <c r="N40" s="385">
        <f t="shared" si="41"/>
        <v>17254</v>
      </c>
      <c r="O40" s="385">
        <f t="shared" si="41"/>
        <v>17506</v>
      </c>
      <c r="Q40" s="383" t="s">
        <v>534</v>
      </c>
    </row>
    <row r="41" spans="1:17" ht="15.75" thickBot="1">
      <c r="A41" s="383"/>
      <c r="D41" s="385">
        <f>D163</f>
        <v>54931</v>
      </c>
      <c r="E41" s="385">
        <f t="shared" ref="E41:N41" si="42">E163</f>
        <v>55290</v>
      </c>
      <c r="F41" s="385">
        <f t="shared" si="42"/>
        <v>55706</v>
      </c>
      <c r="G41" s="385">
        <f t="shared" si="42"/>
        <v>56486</v>
      </c>
      <c r="H41" s="385">
        <f t="shared" si="42"/>
        <v>57486</v>
      </c>
      <c r="I41" s="385">
        <f t="shared" si="42"/>
        <v>57512</v>
      </c>
      <c r="J41" s="385">
        <f t="shared" si="42"/>
        <v>56590</v>
      </c>
      <c r="K41" s="385">
        <f t="shared" si="42"/>
        <v>57318</v>
      </c>
      <c r="L41" s="385">
        <f t="shared" si="42"/>
        <v>57428</v>
      </c>
      <c r="M41" s="385">
        <f t="shared" si="42"/>
        <v>56751</v>
      </c>
      <c r="N41" s="385">
        <f t="shared" si="42"/>
        <v>56609</v>
      </c>
      <c r="O41" s="385">
        <f>O163</f>
        <v>57464</v>
      </c>
      <c r="P41" s="385"/>
      <c r="Q41" s="383" t="s">
        <v>540</v>
      </c>
    </row>
    <row r="42" spans="1:17" ht="15.75" thickBot="1">
      <c r="A42" s="383"/>
      <c r="D42" s="391">
        <f t="shared" ref="D42:I42" si="43">D40+D41</f>
        <v>72014</v>
      </c>
      <c r="E42" s="391">
        <f t="shared" si="43"/>
        <v>72272</v>
      </c>
      <c r="F42" s="391">
        <f t="shared" si="43"/>
        <v>72966</v>
      </c>
      <c r="G42" s="391">
        <f t="shared" si="43"/>
        <v>73739</v>
      </c>
      <c r="H42" s="391">
        <f t="shared" si="43"/>
        <v>74635</v>
      </c>
      <c r="I42" s="391">
        <f t="shared" si="43"/>
        <v>73940</v>
      </c>
      <c r="J42" s="391">
        <f t="shared" ref="J42:O42" si="44">J40+J41</f>
        <v>72152</v>
      </c>
      <c r="K42" s="391">
        <f t="shared" si="44"/>
        <v>73574</v>
      </c>
      <c r="L42" s="391">
        <f t="shared" si="44"/>
        <v>74111</v>
      </c>
      <c r="M42" s="391">
        <f t="shared" si="44"/>
        <v>73635</v>
      </c>
      <c r="N42" s="391">
        <f t="shared" si="44"/>
        <v>73863</v>
      </c>
      <c r="O42" s="391">
        <f t="shared" si="44"/>
        <v>74970</v>
      </c>
      <c r="Q42" s="383"/>
    </row>
    <row r="43" spans="1:17">
      <c r="D43" s="386"/>
      <c r="E43" s="386"/>
      <c r="F43" s="386"/>
      <c r="G43" s="386"/>
      <c r="H43" s="386"/>
      <c r="I43" s="386"/>
      <c r="J43" s="386"/>
      <c r="K43" s="386"/>
      <c r="L43" s="386"/>
      <c r="M43" s="386"/>
      <c r="N43" s="386"/>
      <c r="O43" s="386"/>
    </row>
    <row r="44" spans="1:17">
      <c r="A44" s="383" t="s">
        <v>6796</v>
      </c>
      <c r="D44" s="385">
        <f t="shared" ref="D44:I44" si="45">D12+D14+D16+D18+D20+D24+D26+D28+D30+D32+D34+D36+D38+D42</f>
        <v>962806</v>
      </c>
      <c r="E44" s="385">
        <f t="shared" si="45"/>
        <v>974419</v>
      </c>
      <c r="F44" s="385">
        <f t="shared" si="45"/>
        <v>981147</v>
      </c>
      <c r="G44" s="385">
        <f t="shared" si="45"/>
        <v>991861</v>
      </c>
      <c r="H44" s="385">
        <f t="shared" si="45"/>
        <v>984916</v>
      </c>
      <c r="I44" s="385">
        <f t="shared" si="45"/>
        <v>963303</v>
      </c>
      <c r="J44" s="385">
        <f t="shared" ref="J44:O44" si="46">J12+J14+J16+J18+J20+J24+J26+J28+J30+J32+J34+J36+J38+J42</f>
        <v>952530</v>
      </c>
      <c r="K44" s="385">
        <f t="shared" si="46"/>
        <v>979258</v>
      </c>
      <c r="L44" s="385">
        <f t="shared" si="46"/>
        <v>995800</v>
      </c>
      <c r="M44" s="385">
        <f t="shared" si="46"/>
        <v>974826</v>
      </c>
      <c r="N44" s="385">
        <f t="shared" si="46"/>
        <v>977317</v>
      </c>
      <c r="O44" s="385">
        <f t="shared" si="46"/>
        <v>1007392</v>
      </c>
    </row>
    <row r="45" spans="1:17">
      <c r="D45" s="386"/>
      <c r="E45" s="386"/>
      <c r="F45" s="386"/>
      <c r="G45" s="386"/>
      <c r="H45" s="386"/>
      <c r="I45" s="386"/>
      <c r="J45" s="386"/>
      <c r="K45" s="386"/>
      <c r="L45" s="386"/>
      <c r="M45" s="386"/>
      <c r="N45" s="386"/>
      <c r="O45" s="386"/>
    </row>
    <row r="46" spans="1:17">
      <c r="A46" s="383" t="s">
        <v>6797</v>
      </c>
      <c r="D46" s="385">
        <f t="shared" ref="D46:I46" si="47">MAX(D12,D14,D16,D18,D20,D24,D26,D28,D30,D32,D34,D36,D38,D42)-MIN(D12,D14,D16,D18,D20,D24,D26,D28,D30,D32,D34,D36,D38,D42)</f>
        <v>10212</v>
      </c>
      <c r="E46" s="385">
        <f t="shared" si="47"/>
        <v>10743</v>
      </c>
      <c r="F46" s="385">
        <f t="shared" si="47"/>
        <v>10266</v>
      </c>
      <c r="G46" s="385">
        <f t="shared" si="47"/>
        <v>9931</v>
      </c>
      <c r="H46" s="385">
        <f t="shared" si="47"/>
        <v>10210</v>
      </c>
      <c r="I46" s="385">
        <f t="shared" si="47"/>
        <v>10416</v>
      </c>
      <c r="J46" s="385">
        <f t="shared" ref="J46:O46" si="48">MAX(J12,J14,J16,J18,J20,J24,J26,J28,J30,J32,J34,J36,J38,J42)-MIN(J12,J14,J16,J18,J20,J24,J26,J28,J30,J32,J34,J36,J38,J42)</f>
        <v>12744</v>
      </c>
      <c r="K46" s="385">
        <f t="shared" si="48"/>
        <v>11864</v>
      </c>
      <c r="L46" s="385">
        <f t="shared" si="48"/>
        <v>16432</v>
      </c>
      <c r="M46" s="385">
        <f t="shared" si="48"/>
        <v>18157</v>
      </c>
      <c r="N46" s="385">
        <f t="shared" si="48"/>
        <v>18295</v>
      </c>
      <c r="O46" s="385">
        <f t="shared" si="48"/>
        <v>26963</v>
      </c>
    </row>
    <row r="47" spans="1:17">
      <c r="D47" s="386"/>
      <c r="E47" s="386"/>
      <c r="F47" s="386"/>
      <c r="G47" s="386"/>
      <c r="H47" s="386"/>
      <c r="I47" s="386"/>
      <c r="J47" s="386"/>
      <c r="K47" s="386"/>
      <c r="L47" s="386"/>
      <c r="M47" s="386"/>
      <c r="N47" s="386"/>
      <c r="O47" s="386"/>
    </row>
    <row r="48" spans="1:17">
      <c r="A48" s="383" t="s">
        <v>6800</v>
      </c>
      <c r="D48" s="385">
        <f t="shared" ref="D48:I48" si="49">STDEVP(D12,D14,D16,D18,D20,D24,D26,D28,D30,D32,D34,D36,D38,D42)</f>
        <v>3153.3464051734641</v>
      </c>
      <c r="E48" s="385">
        <f t="shared" si="49"/>
        <v>3229.5361809209617</v>
      </c>
      <c r="F48" s="385">
        <f t="shared" si="49"/>
        <v>3126.8651682815243</v>
      </c>
      <c r="G48" s="385">
        <f t="shared" si="49"/>
        <v>3197.8651400710492</v>
      </c>
      <c r="H48" s="385">
        <f t="shared" si="49"/>
        <v>2831.2589288952327</v>
      </c>
      <c r="I48" s="385">
        <f t="shared" si="49"/>
        <v>2779.4583646855385</v>
      </c>
      <c r="J48" s="385">
        <f t="shared" ref="J48:O48" si="50">STDEVP(J12,J14,J16,J18,J20,J24,J26,J28,J30,J32,J34,J36,J38,J42)</f>
        <v>3509.0149789433758</v>
      </c>
      <c r="K48" s="385">
        <f t="shared" si="50"/>
        <v>3581.6385914829543</v>
      </c>
      <c r="L48" s="385">
        <f t="shared" si="50"/>
        <v>4311.201534777676</v>
      </c>
      <c r="M48" s="385">
        <f t="shared" si="50"/>
        <v>4534.8995848748355</v>
      </c>
      <c r="N48" s="385">
        <f t="shared" si="50"/>
        <v>4558.8625242823582</v>
      </c>
      <c r="O48" s="385">
        <f t="shared" si="50"/>
        <v>6025.043683472768</v>
      </c>
    </row>
    <row r="49" spans="1:17">
      <c r="A49" s="383"/>
      <c r="D49" s="392"/>
      <c r="E49" s="392"/>
      <c r="F49" s="392"/>
      <c r="G49" s="392"/>
      <c r="H49" s="392"/>
      <c r="I49" s="392"/>
      <c r="J49" s="392"/>
      <c r="K49" s="392"/>
      <c r="L49" s="392"/>
      <c r="M49" s="392"/>
      <c r="N49" s="392"/>
      <c r="O49" s="392"/>
    </row>
    <row r="50" spans="1:17">
      <c r="A50" s="383"/>
      <c r="D50" s="392"/>
      <c r="E50" s="392"/>
      <c r="F50" s="392"/>
      <c r="G50" s="392"/>
      <c r="H50" s="392"/>
      <c r="I50" s="392"/>
      <c r="J50" s="392"/>
      <c r="K50" s="392"/>
      <c r="L50" s="392"/>
      <c r="M50" s="392"/>
      <c r="N50" s="392"/>
      <c r="O50" s="392"/>
    </row>
    <row r="51" spans="1:17">
      <c r="E51" s="51" t="s">
        <v>1526</v>
      </c>
      <c r="F51" s="51"/>
      <c r="G51" s="51"/>
      <c r="H51" s="51"/>
      <c r="I51" s="51"/>
      <c r="J51" s="51"/>
      <c r="K51" s="51"/>
      <c r="L51" s="51"/>
      <c r="M51" s="51"/>
      <c r="N51" s="51"/>
      <c r="O51" s="51"/>
      <c r="P51" s="11"/>
      <c r="Q51" s="13" t="s">
        <v>9479</v>
      </c>
    </row>
    <row r="52" spans="1:17">
      <c r="D52" s="350">
        <v>2010</v>
      </c>
      <c r="E52" s="350">
        <v>2011</v>
      </c>
      <c r="F52" s="350">
        <v>2012</v>
      </c>
      <c r="G52" s="350">
        <v>2013</v>
      </c>
      <c r="H52" s="350">
        <v>2014</v>
      </c>
      <c r="I52" s="350">
        <v>2015</v>
      </c>
      <c r="J52" s="350">
        <v>2016</v>
      </c>
      <c r="K52" s="350">
        <v>2017</v>
      </c>
      <c r="L52" s="350">
        <v>2018</v>
      </c>
      <c r="M52" s="350">
        <v>2019</v>
      </c>
      <c r="N52" s="350">
        <v>2020</v>
      </c>
      <c r="O52" s="942" t="s">
        <v>14823</v>
      </c>
      <c r="Q52" s="13" t="s">
        <v>1527</v>
      </c>
    </row>
    <row r="53" spans="1:17">
      <c r="A53" s="383" t="s">
        <v>2890</v>
      </c>
      <c r="C53" s="383"/>
      <c r="D53" s="385">
        <f t="shared" ref="D53:I53" si="51">SUM(D54:D74)</f>
        <v>175811</v>
      </c>
      <c r="E53" s="385">
        <f t="shared" si="51"/>
        <v>176015</v>
      </c>
      <c r="F53" s="385">
        <f t="shared" si="51"/>
        <v>178262</v>
      </c>
      <c r="G53" s="385">
        <f t="shared" si="51"/>
        <v>179470</v>
      </c>
      <c r="H53" s="385">
        <f t="shared" si="51"/>
        <v>180213</v>
      </c>
      <c r="I53" s="385">
        <f t="shared" si="51"/>
        <v>176280</v>
      </c>
      <c r="J53" s="385">
        <f t="shared" ref="J53:O53" si="52">SUM(J54:J74)</f>
        <v>167715</v>
      </c>
      <c r="K53" s="385">
        <f t="shared" si="52"/>
        <v>173280</v>
      </c>
      <c r="L53" s="385">
        <f t="shared" si="52"/>
        <v>175948</v>
      </c>
      <c r="M53" s="385">
        <f t="shared" si="52"/>
        <v>176176</v>
      </c>
      <c r="N53" s="385">
        <f t="shared" si="52"/>
        <v>177892</v>
      </c>
      <c r="O53" s="385">
        <f t="shared" si="52"/>
        <v>181134</v>
      </c>
    </row>
    <row r="54" spans="1:17">
      <c r="A54" s="383" t="s">
        <v>5387</v>
      </c>
      <c r="B54" s="383" t="s">
        <v>6024</v>
      </c>
      <c r="C54" s="55" t="s">
        <v>7242</v>
      </c>
      <c r="D54" s="385">
        <v>7730</v>
      </c>
      <c r="E54" s="385">
        <v>7760</v>
      </c>
      <c r="F54" s="385">
        <v>7945</v>
      </c>
      <c r="G54" s="385">
        <v>8044</v>
      </c>
      <c r="H54" s="63">
        <v>8087</v>
      </c>
      <c r="I54" s="63">
        <v>7745</v>
      </c>
      <c r="J54" s="63">
        <v>7231</v>
      </c>
      <c r="K54" s="63">
        <v>7504</v>
      </c>
      <c r="L54" s="63">
        <v>7585</v>
      </c>
      <c r="M54" s="63">
        <v>7530</v>
      </c>
      <c r="N54" s="63">
        <v>7509</v>
      </c>
      <c r="O54" s="63">
        <v>7646</v>
      </c>
      <c r="Q54" s="383" t="s">
        <v>533</v>
      </c>
    </row>
    <row r="55" spans="1:17">
      <c r="A55" s="383" t="s">
        <v>5389</v>
      </c>
      <c r="B55" s="383" t="s">
        <v>2891</v>
      </c>
      <c r="C55" s="55" t="s">
        <v>7243</v>
      </c>
      <c r="D55" s="385">
        <v>8061</v>
      </c>
      <c r="E55" s="385">
        <v>8117</v>
      </c>
      <c r="F55" s="385">
        <v>8297</v>
      </c>
      <c r="G55" s="385">
        <v>8393</v>
      </c>
      <c r="H55" s="63">
        <v>8399</v>
      </c>
      <c r="I55" s="63">
        <v>8145</v>
      </c>
      <c r="J55" s="63">
        <v>7730</v>
      </c>
      <c r="K55" s="63">
        <v>8116</v>
      </c>
      <c r="L55" s="63">
        <v>8186</v>
      </c>
      <c r="M55" s="63">
        <v>8225</v>
      </c>
      <c r="N55" s="63">
        <v>8213</v>
      </c>
      <c r="O55" s="63">
        <v>8389</v>
      </c>
      <c r="Q55" s="383" t="s">
        <v>535</v>
      </c>
    </row>
    <row r="56" spans="1:17">
      <c r="A56" s="383" t="s">
        <v>5391</v>
      </c>
      <c r="B56" s="383" t="s">
        <v>2892</v>
      </c>
      <c r="C56" s="55" t="s">
        <v>7244</v>
      </c>
      <c r="D56" s="385">
        <v>7932</v>
      </c>
      <c r="E56" s="385">
        <v>7953</v>
      </c>
      <c r="F56" s="385">
        <v>8014</v>
      </c>
      <c r="G56" s="385">
        <v>8032</v>
      </c>
      <c r="H56" s="63">
        <v>8110</v>
      </c>
      <c r="I56" s="63">
        <v>7874</v>
      </c>
      <c r="J56" s="63">
        <v>7398</v>
      </c>
      <c r="K56" s="63">
        <v>7545</v>
      </c>
      <c r="L56" s="63">
        <v>7669</v>
      </c>
      <c r="M56" s="63">
        <v>7596</v>
      </c>
      <c r="N56" s="63">
        <v>7631</v>
      </c>
      <c r="O56" s="63">
        <v>7800</v>
      </c>
      <c r="Q56" s="383" t="s">
        <v>535</v>
      </c>
    </row>
    <row r="57" spans="1:17">
      <c r="A57" s="383" t="s">
        <v>5393</v>
      </c>
      <c r="B57" s="383" t="s">
        <v>2893</v>
      </c>
      <c r="C57" s="55" t="s">
        <v>7245</v>
      </c>
      <c r="D57" s="385">
        <v>8491</v>
      </c>
      <c r="E57" s="385">
        <v>8389</v>
      </c>
      <c r="F57" s="385">
        <v>8315</v>
      </c>
      <c r="G57" s="385">
        <v>8409</v>
      </c>
      <c r="H57" s="63">
        <v>8445</v>
      </c>
      <c r="I57" s="63">
        <v>8367</v>
      </c>
      <c r="J57" s="63">
        <v>8032</v>
      </c>
      <c r="K57" s="63">
        <v>8301</v>
      </c>
      <c r="L57" s="63">
        <v>8377</v>
      </c>
      <c r="M57" s="63">
        <v>8407</v>
      </c>
      <c r="N57" s="63">
        <v>8621</v>
      </c>
      <c r="O57" s="63">
        <v>8831</v>
      </c>
      <c r="Q57" s="383" t="s">
        <v>533</v>
      </c>
    </row>
    <row r="58" spans="1:17">
      <c r="A58" s="383" t="s">
        <v>5394</v>
      </c>
      <c r="B58" s="383" t="s">
        <v>2894</v>
      </c>
      <c r="C58" s="55" t="s">
        <v>7246</v>
      </c>
      <c r="D58" s="385">
        <v>8245</v>
      </c>
      <c r="E58" s="385">
        <v>8317</v>
      </c>
      <c r="F58" s="385">
        <v>8337</v>
      </c>
      <c r="G58" s="385">
        <v>8341</v>
      </c>
      <c r="H58" s="63">
        <v>8317</v>
      </c>
      <c r="I58" s="63">
        <v>8203</v>
      </c>
      <c r="J58" s="63">
        <v>7875</v>
      </c>
      <c r="K58" s="63">
        <v>8095</v>
      </c>
      <c r="L58" s="63">
        <v>8155</v>
      </c>
      <c r="M58" s="63">
        <v>8153</v>
      </c>
      <c r="N58" s="63">
        <v>8348</v>
      </c>
      <c r="O58" s="63">
        <v>8575</v>
      </c>
      <c r="Q58" s="383" t="s">
        <v>533</v>
      </c>
    </row>
    <row r="59" spans="1:17">
      <c r="A59" s="383" t="s">
        <v>5416</v>
      </c>
      <c r="B59" s="383" t="s">
        <v>2895</v>
      </c>
      <c r="C59" s="55" t="s">
        <v>7247</v>
      </c>
      <c r="D59" s="385">
        <v>8011</v>
      </c>
      <c r="E59" s="385">
        <v>8059</v>
      </c>
      <c r="F59" s="385">
        <v>8213</v>
      </c>
      <c r="G59" s="385">
        <v>8207</v>
      </c>
      <c r="H59" s="63">
        <v>8168</v>
      </c>
      <c r="I59" s="63">
        <v>7724</v>
      </c>
      <c r="J59" s="63">
        <v>7367</v>
      </c>
      <c r="K59" s="63">
        <v>7638</v>
      </c>
      <c r="L59" s="63">
        <v>7814</v>
      </c>
      <c r="M59" s="63">
        <v>7858</v>
      </c>
      <c r="N59" s="63">
        <v>8043</v>
      </c>
      <c r="O59" s="63">
        <v>8168</v>
      </c>
      <c r="Q59" s="383" t="s">
        <v>2889</v>
      </c>
    </row>
    <row r="60" spans="1:17">
      <c r="A60" s="383" t="s">
        <v>5418</v>
      </c>
      <c r="B60" s="383" t="s">
        <v>2896</v>
      </c>
      <c r="C60" s="55" t="s">
        <v>7248</v>
      </c>
      <c r="D60" s="385">
        <v>9072</v>
      </c>
      <c r="E60" s="385">
        <v>8923</v>
      </c>
      <c r="F60" s="385">
        <v>9047</v>
      </c>
      <c r="G60" s="385">
        <v>9046</v>
      </c>
      <c r="H60" s="63">
        <v>8981</v>
      </c>
      <c r="I60" s="63">
        <v>8704</v>
      </c>
      <c r="J60" s="63">
        <v>8195</v>
      </c>
      <c r="K60" s="63">
        <v>8618</v>
      </c>
      <c r="L60" s="63">
        <v>8869</v>
      </c>
      <c r="M60" s="63">
        <v>9026</v>
      </c>
      <c r="N60" s="63">
        <v>9211</v>
      </c>
      <c r="O60" s="63">
        <v>9338</v>
      </c>
      <c r="Q60" s="383" t="s">
        <v>2889</v>
      </c>
    </row>
    <row r="61" spans="1:17">
      <c r="A61" s="383" t="s">
        <v>5420</v>
      </c>
      <c r="B61" s="383" t="s">
        <v>2897</v>
      </c>
      <c r="C61" s="55" t="s">
        <v>7249</v>
      </c>
      <c r="D61" s="385">
        <v>7835</v>
      </c>
      <c r="E61" s="385">
        <v>7886</v>
      </c>
      <c r="F61" s="385">
        <v>7917</v>
      </c>
      <c r="G61" s="385">
        <v>8000</v>
      </c>
      <c r="H61" s="63">
        <v>8152</v>
      </c>
      <c r="I61" s="63">
        <v>8136</v>
      </c>
      <c r="J61" s="63">
        <v>7917</v>
      </c>
      <c r="K61" s="63">
        <v>8192</v>
      </c>
      <c r="L61" s="63">
        <v>8303</v>
      </c>
      <c r="M61" s="63">
        <v>8363</v>
      </c>
      <c r="N61" s="63">
        <v>8519</v>
      </c>
      <c r="O61" s="63">
        <v>8596</v>
      </c>
      <c r="Q61" s="383" t="s">
        <v>537</v>
      </c>
    </row>
    <row r="62" spans="1:17">
      <c r="A62" s="383" t="s">
        <v>5422</v>
      </c>
      <c r="B62" s="383" t="s">
        <v>2898</v>
      </c>
      <c r="C62" s="55" t="s">
        <v>7250</v>
      </c>
      <c r="D62" s="385">
        <v>9060</v>
      </c>
      <c r="E62" s="385">
        <v>9163</v>
      </c>
      <c r="F62" s="385">
        <v>9307</v>
      </c>
      <c r="G62" s="385">
        <v>9312</v>
      </c>
      <c r="H62" s="63">
        <v>9367</v>
      </c>
      <c r="I62" s="63">
        <v>9138</v>
      </c>
      <c r="J62" s="63">
        <v>8811</v>
      </c>
      <c r="K62" s="63">
        <v>9048</v>
      </c>
      <c r="L62" s="63">
        <v>9139</v>
      </c>
      <c r="M62" s="63">
        <v>9112</v>
      </c>
      <c r="N62" s="63">
        <v>9207</v>
      </c>
      <c r="O62" s="63">
        <v>9332</v>
      </c>
      <c r="Q62" s="383" t="s">
        <v>535</v>
      </c>
    </row>
    <row r="63" spans="1:17">
      <c r="A63" s="383" t="s">
        <v>5424</v>
      </c>
      <c r="B63" s="383" t="s">
        <v>2899</v>
      </c>
      <c r="C63" s="55" t="s">
        <v>7251</v>
      </c>
      <c r="D63" s="385">
        <v>7727</v>
      </c>
      <c r="E63" s="385">
        <v>7598</v>
      </c>
      <c r="F63" s="385">
        <v>7699</v>
      </c>
      <c r="G63" s="385">
        <v>7811</v>
      </c>
      <c r="H63" s="63">
        <v>7786</v>
      </c>
      <c r="I63" s="63">
        <v>7515</v>
      </c>
      <c r="J63" s="63">
        <v>6792</v>
      </c>
      <c r="K63" s="63">
        <v>6882</v>
      </c>
      <c r="L63" s="63">
        <v>6946</v>
      </c>
      <c r="M63" s="63">
        <v>6870</v>
      </c>
      <c r="N63" s="63">
        <v>6853</v>
      </c>
      <c r="O63" s="63">
        <v>6997</v>
      </c>
      <c r="Q63" s="383" t="s">
        <v>533</v>
      </c>
    </row>
    <row r="64" spans="1:17">
      <c r="A64" s="383" t="s">
        <v>5426</v>
      </c>
      <c r="B64" s="383" t="s">
        <v>2900</v>
      </c>
      <c r="C64" s="55" t="s">
        <v>7252</v>
      </c>
      <c r="D64" s="385">
        <v>8252</v>
      </c>
      <c r="E64" s="385">
        <v>8256</v>
      </c>
      <c r="F64" s="385">
        <v>8308</v>
      </c>
      <c r="G64" s="385">
        <v>8400</v>
      </c>
      <c r="H64" s="63">
        <v>8460</v>
      </c>
      <c r="I64" s="63">
        <v>8153</v>
      </c>
      <c r="J64" s="63">
        <v>7780</v>
      </c>
      <c r="K64" s="63">
        <v>8071</v>
      </c>
      <c r="L64" s="63">
        <v>8351</v>
      </c>
      <c r="M64" s="63">
        <v>8425</v>
      </c>
      <c r="N64" s="63">
        <v>8594</v>
      </c>
      <c r="O64" s="63">
        <v>8739</v>
      </c>
      <c r="Q64" s="383" t="s">
        <v>533</v>
      </c>
    </row>
    <row r="65" spans="1:17">
      <c r="A65" s="383" t="s">
        <v>5428</v>
      </c>
      <c r="B65" s="383" t="s">
        <v>2901</v>
      </c>
      <c r="C65" s="55" t="s">
        <v>7253</v>
      </c>
      <c r="D65" s="385">
        <v>9773</v>
      </c>
      <c r="E65" s="385">
        <v>9848</v>
      </c>
      <c r="F65" s="385">
        <v>9996</v>
      </c>
      <c r="G65" s="385">
        <v>10075</v>
      </c>
      <c r="H65" s="63">
        <v>10122</v>
      </c>
      <c r="I65" s="63">
        <v>9943</v>
      </c>
      <c r="J65" s="63">
        <v>9423</v>
      </c>
      <c r="K65" s="63">
        <v>9704</v>
      </c>
      <c r="L65" s="63">
        <v>9799</v>
      </c>
      <c r="M65" s="63">
        <v>9720</v>
      </c>
      <c r="N65" s="63">
        <v>9712</v>
      </c>
      <c r="O65" s="63">
        <v>9908</v>
      </c>
      <c r="Q65" s="383" t="s">
        <v>535</v>
      </c>
    </row>
    <row r="66" spans="1:17">
      <c r="A66" s="383" t="s">
        <v>5429</v>
      </c>
      <c r="B66" s="383" t="s">
        <v>2635</v>
      </c>
      <c r="C66" s="55" t="s">
        <v>7254</v>
      </c>
      <c r="D66" s="385">
        <v>8397</v>
      </c>
      <c r="E66" s="385">
        <v>8405</v>
      </c>
      <c r="F66" s="385">
        <v>8509</v>
      </c>
      <c r="G66" s="385">
        <v>8465</v>
      </c>
      <c r="H66" s="63">
        <v>8410</v>
      </c>
      <c r="I66" s="63">
        <v>8310</v>
      </c>
      <c r="J66" s="63">
        <v>7815</v>
      </c>
      <c r="K66" s="63">
        <v>7943</v>
      </c>
      <c r="L66" s="63">
        <v>8016</v>
      </c>
      <c r="M66" s="63">
        <v>8056</v>
      </c>
      <c r="N66" s="63">
        <v>8149</v>
      </c>
      <c r="O66" s="63">
        <v>8304</v>
      </c>
      <c r="Q66" s="383" t="s">
        <v>533</v>
      </c>
    </row>
    <row r="67" spans="1:17">
      <c r="A67" s="383" t="s">
        <v>5431</v>
      </c>
      <c r="B67" s="383" t="s">
        <v>2902</v>
      </c>
      <c r="C67" s="55" t="s">
        <v>7255</v>
      </c>
      <c r="D67" s="385">
        <v>9257</v>
      </c>
      <c r="E67" s="385">
        <v>9180</v>
      </c>
      <c r="F67" s="385">
        <v>9203</v>
      </c>
      <c r="G67" s="385">
        <v>9283</v>
      </c>
      <c r="H67" s="63">
        <v>9290</v>
      </c>
      <c r="I67" s="63">
        <v>9246</v>
      </c>
      <c r="J67" s="63">
        <v>8963</v>
      </c>
      <c r="K67" s="63">
        <v>9229</v>
      </c>
      <c r="L67" s="63">
        <v>9338</v>
      </c>
      <c r="M67" s="63">
        <v>9330</v>
      </c>
      <c r="N67" s="63">
        <v>9494</v>
      </c>
      <c r="O67" s="63">
        <v>9706</v>
      </c>
      <c r="Q67" s="383" t="s">
        <v>537</v>
      </c>
    </row>
    <row r="68" spans="1:17">
      <c r="A68" s="383" t="s">
        <v>5433</v>
      </c>
      <c r="B68" s="383" t="s">
        <v>593</v>
      </c>
      <c r="C68" s="55" t="s">
        <v>7256</v>
      </c>
      <c r="D68" s="385">
        <v>8761</v>
      </c>
      <c r="E68" s="385">
        <v>8992</v>
      </c>
      <c r="F68" s="385">
        <v>9244</v>
      </c>
      <c r="G68" s="385">
        <v>9384</v>
      </c>
      <c r="H68" s="63">
        <v>9577</v>
      </c>
      <c r="I68" s="63">
        <v>9525</v>
      </c>
      <c r="J68" s="63">
        <v>9162</v>
      </c>
      <c r="K68" s="63">
        <v>9648</v>
      </c>
      <c r="L68" s="63">
        <v>9889</v>
      </c>
      <c r="M68" s="63">
        <v>9951</v>
      </c>
      <c r="N68" s="63">
        <v>9948</v>
      </c>
      <c r="O68" s="63">
        <v>10142</v>
      </c>
      <c r="Q68" s="383" t="s">
        <v>537</v>
      </c>
    </row>
    <row r="69" spans="1:17">
      <c r="A69" s="383" t="s">
        <v>5435</v>
      </c>
      <c r="B69" s="383" t="s">
        <v>594</v>
      </c>
      <c r="C69" s="55" t="s">
        <v>7257</v>
      </c>
      <c r="D69" s="385">
        <v>8716</v>
      </c>
      <c r="E69" s="385">
        <v>8670</v>
      </c>
      <c r="F69" s="385">
        <v>8687</v>
      </c>
      <c r="G69" s="385">
        <v>8680</v>
      </c>
      <c r="H69" s="63">
        <v>8748</v>
      </c>
      <c r="I69" s="63">
        <v>8604</v>
      </c>
      <c r="J69" s="63">
        <v>8193</v>
      </c>
      <c r="K69" s="63">
        <v>8411</v>
      </c>
      <c r="L69" s="63">
        <v>8542</v>
      </c>
      <c r="M69" s="63">
        <v>8508</v>
      </c>
      <c r="N69" s="63">
        <v>8623</v>
      </c>
      <c r="O69" s="63">
        <v>8753</v>
      </c>
      <c r="Q69" s="383" t="s">
        <v>535</v>
      </c>
    </row>
    <row r="70" spans="1:17">
      <c r="A70" s="383" t="s">
        <v>5436</v>
      </c>
      <c r="B70" s="383" t="s">
        <v>1269</v>
      </c>
      <c r="C70" s="55" t="s">
        <v>7258</v>
      </c>
      <c r="D70" s="385">
        <v>8361</v>
      </c>
      <c r="E70" s="385">
        <v>8315</v>
      </c>
      <c r="F70" s="385">
        <v>8378</v>
      </c>
      <c r="G70" s="385">
        <v>8426</v>
      </c>
      <c r="H70" s="63">
        <v>8337</v>
      </c>
      <c r="I70" s="63">
        <v>8090</v>
      </c>
      <c r="J70" s="63">
        <v>7928</v>
      </c>
      <c r="K70" s="63">
        <v>8223</v>
      </c>
      <c r="L70" s="63">
        <v>8324</v>
      </c>
      <c r="M70" s="63">
        <v>8372</v>
      </c>
      <c r="N70" s="63">
        <v>8444</v>
      </c>
      <c r="O70" s="63">
        <v>8609</v>
      </c>
      <c r="Q70" s="383" t="s">
        <v>533</v>
      </c>
    </row>
    <row r="71" spans="1:17">
      <c r="A71" s="383" t="s">
        <v>5437</v>
      </c>
      <c r="B71" s="383" t="s">
        <v>5102</v>
      </c>
      <c r="C71" s="55" t="s">
        <v>7259</v>
      </c>
      <c r="D71" s="385">
        <v>7661</v>
      </c>
      <c r="E71" s="385">
        <v>7692</v>
      </c>
      <c r="F71" s="385">
        <v>7826</v>
      </c>
      <c r="G71" s="385">
        <v>7778</v>
      </c>
      <c r="H71" s="63">
        <v>7896</v>
      </c>
      <c r="I71" s="63">
        <v>7787</v>
      </c>
      <c r="J71" s="63">
        <v>7314</v>
      </c>
      <c r="K71" s="63">
        <v>7504</v>
      </c>
      <c r="L71" s="63">
        <v>7620</v>
      </c>
      <c r="M71" s="63">
        <v>7726</v>
      </c>
      <c r="N71" s="63">
        <v>7711</v>
      </c>
      <c r="O71" s="63">
        <v>7793</v>
      </c>
      <c r="Q71" s="383" t="s">
        <v>533</v>
      </c>
    </row>
    <row r="72" spans="1:17">
      <c r="A72" s="383" t="s">
        <v>5439</v>
      </c>
      <c r="B72" s="383" t="s">
        <v>2641</v>
      </c>
      <c r="C72" s="55" t="s">
        <v>7260</v>
      </c>
      <c r="D72" s="385">
        <v>8347</v>
      </c>
      <c r="E72" s="385">
        <v>8394</v>
      </c>
      <c r="F72" s="385">
        <v>8564</v>
      </c>
      <c r="G72" s="385">
        <v>8754</v>
      </c>
      <c r="H72" s="63">
        <v>8888</v>
      </c>
      <c r="I72" s="63">
        <v>8761</v>
      </c>
      <c r="J72" s="63">
        <v>8378</v>
      </c>
      <c r="K72" s="63">
        <v>8654</v>
      </c>
      <c r="L72" s="63">
        <v>8770</v>
      </c>
      <c r="M72" s="63">
        <v>8675</v>
      </c>
      <c r="N72" s="63">
        <v>8636</v>
      </c>
      <c r="O72" s="63">
        <v>8787</v>
      </c>
      <c r="Q72" s="383" t="s">
        <v>535</v>
      </c>
    </row>
    <row r="73" spans="1:17">
      <c r="A73" s="383" t="s">
        <v>5441</v>
      </c>
      <c r="B73" s="383" t="s">
        <v>2642</v>
      </c>
      <c r="C73" s="55" t="s">
        <v>7261</v>
      </c>
      <c r="D73" s="385">
        <v>8514</v>
      </c>
      <c r="E73" s="385">
        <v>8565</v>
      </c>
      <c r="F73" s="385">
        <v>8860</v>
      </c>
      <c r="G73" s="385">
        <v>9013</v>
      </c>
      <c r="H73" s="63">
        <v>9188</v>
      </c>
      <c r="I73" s="63">
        <v>8961</v>
      </c>
      <c r="J73" s="63">
        <v>8430</v>
      </c>
      <c r="K73" s="63">
        <v>8699</v>
      </c>
      <c r="L73" s="63">
        <v>8900</v>
      </c>
      <c r="M73" s="63">
        <v>8930</v>
      </c>
      <c r="N73" s="63">
        <v>9072</v>
      </c>
      <c r="O73" s="63">
        <v>9263</v>
      </c>
      <c r="Q73" s="383" t="s">
        <v>535</v>
      </c>
    </row>
    <row r="74" spans="1:17">
      <c r="A74" s="383" t="s">
        <v>5886</v>
      </c>
      <c r="B74" s="383" t="s">
        <v>2643</v>
      </c>
      <c r="C74" s="55" t="s">
        <v>7262</v>
      </c>
      <c r="D74" s="386">
        <v>7608</v>
      </c>
      <c r="E74" s="386">
        <v>7533</v>
      </c>
      <c r="F74" s="386">
        <v>7596</v>
      </c>
      <c r="G74" s="386">
        <v>7617</v>
      </c>
      <c r="H74" s="63">
        <v>7485</v>
      </c>
      <c r="I74" s="63">
        <v>7349</v>
      </c>
      <c r="J74" s="63">
        <v>6981</v>
      </c>
      <c r="K74" s="63">
        <v>7255</v>
      </c>
      <c r="L74" s="63">
        <v>7356</v>
      </c>
      <c r="M74" s="63">
        <v>7343</v>
      </c>
      <c r="N74" s="63">
        <v>7354</v>
      </c>
      <c r="O74" s="63">
        <v>7458</v>
      </c>
      <c r="Q74" s="383" t="s">
        <v>535</v>
      </c>
    </row>
    <row r="75" spans="1:17">
      <c r="D75" s="386"/>
      <c r="E75" s="386"/>
      <c r="F75" s="386"/>
      <c r="G75" s="386"/>
      <c r="H75" s="386"/>
      <c r="I75" s="386"/>
      <c r="J75" s="386"/>
      <c r="K75" s="386"/>
      <c r="L75" s="386"/>
      <c r="M75" s="386"/>
      <c r="N75" s="386"/>
      <c r="O75" s="386"/>
    </row>
    <row r="76" spans="1:17">
      <c r="A76" s="383" t="s">
        <v>533</v>
      </c>
      <c r="D76" s="385">
        <f t="shared" ref="D76:I76" si="53">D54+D57+D58+D63+D64+D66+D70+D71</f>
        <v>64864</v>
      </c>
      <c r="E76" s="385">
        <f t="shared" si="53"/>
        <v>64732</v>
      </c>
      <c r="F76" s="385">
        <f t="shared" si="53"/>
        <v>65317</v>
      </c>
      <c r="G76" s="385">
        <f t="shared" si="53"/>
        <v>65674</v>
      </c>
      <c r="H76" s="385">
        <f t="shared" si="53"/>
        <v>65738</v>
      </c>
      <c r="I76" s="385">
        <f t="shared" si="53"/>
        <v>64170</v>
      </c>
      <c r="J76" s="385">
        <f t="shared" ref="J76:O76" si="54">J54+J57+J58+J63+J64+J66+J70+J71</f>
        <v>60767</v>
      </c>
      <c r="K76" s="385">
        <f t="shared" si="54"/>
        <v>62523</v>
      </c>
      <c r="L76" s="385">
        <f t="shared" si="54"/>
        <v>63374</v>
      </c>
      <c r="M76" s="385">
        <f t="shared" si="54"/>
        <v>63539</v>
      </c>
      <c r="N76" s="385">
        <f t="shared" si="54"/>
        <v>64229</v>
      </c>
      <c r="O76" s="385">
        <f t="shared" si="54"/>
        <v>65494</v>
      </c>
    </row>
    <row r="77" spans="1:17">
      <c r="A77" s="383" t="s">
        <v>535</v>
      </c>
      <c r="D77" s="385">
        <f t="shared" ref="D77:I77" si="55">D55+D56+D62+D65+D69+SUM(D72:D74)</f>
        <v>68011</v>
      </c>
      <c r="E77" s="385">
        <f t="shared" si="55"/>
        <v>68243</v>
      </c>
      <c r="F77" s="385">
        <f t="shared" si="55"/>
        <v>69321</v>
      </c>
      <c r="G77" s="385">
        <f t="shared" si="55"/>
        <v>69876</v>
      </c>
      <c r="H77" s="385">
        <f t="shared" si="55"/>
        <v>70307</v>
      </c>
      <c r="I77" s="385">
        <f t="shared" si="55"/>
        <v>68775</v>
      </c>
      <c r="J77" s="385">
        <f t="shared" ref="J77:O77" si="56">J55+J56+J62+J65+J69+SUM(J72:J74)</f>
        <v>65344</v>
      </c>
      <c r="K77" s="385">
        <f t="shared" si="56"/>
        <v>67432</v>
      </c>
      <c r="L77" s="385">
        <f t="shared" si="56"/>
        <v>68361</v>
      </c>
      <c r="M77" s="385">
        <f t="shared" si="56"/>
        <v>68109</v>
      </c>
      <c r="N77" s="385">
        <f t="shared" si="56"/>
        <v>68448</v>
      </c>
      <c r="O77" s="385">
        <f t="shared" si="56"/>
        <v>69690</v>
      </c>
    </row>
    <row r="78" spans="1:17">
      <c r="A78" s="383" t="s">
        <v>2644</v>
      </c>
      <c r="D78" s="385">
        <f t="shared" ref="D78:I78" si="57">D61+D67+D68</f>
        <v>25853</v>
      </c>
      <c r="E78" s="385">
        <f t="shared" si="57"/>
        <v>26058</v>
      </c>
      <c r="F78" s="385">
        <f t="shared" si="57"/>
        <v>26364</v>
      </c>
      <c r="G78" s="385">
        <f t="shared" si="57"/>
        <v>26667</v>
      </c>
      <c r="H78" s="385">
        <f t="shared" si="57"/>
        <v>27019</v>
      </c>
      <c r="I78" s="385">
        <f t="shared" si="57"/>
        <v>26907</v>
      </c>
      <c r="J78" s="385">
        <f t="shared" ref="J78:O78" si="58">J61+J67+J68</f>
        <v>26042</v>
      </c>
      <c r="K78" s="385">
        <f t="shared" si="58"/>
        <v>27069</v>
      </c>
      <c r="L78" s="385">
        <f t="shared" si="58"/>
        <v>27530</v>
      </c>
      <c r="M78" s="385">
        <f t="shared" si="58"/>
        <v>27644</v>
      </c>
      <c r="N78" s="385">
        <f t="shared" si="58"/>
        <v>27961</v>
      </c>
      <c r="O78" s="385">
        <f t="shared" si="58"/>
        <v>28444</v>
      </c>
    </row>
    <row r="79" spans="1:17">
      <c r="A79" s="126" t="s">
        <v>2645</v>
      </c>
      <c r="D79" s="385">
        <f t="shared" ref="D79:I79" si="59">D59+D60</f>
        <v>17083</v>
      </c>
      <c r="E79" s="385">
        <f t="shared" si="59"/>
        <v>16982</v>
      </c>
      <c r="F79" s="385">
        <f t="shared" si="59"/>
        <v>17260</v>
      </c>
      <c r="G79" s="385">
        <f t="shared" si="59"/>
        <v>17253</v>
      </c>
      <c r="H79" s="385">
        <f t="shared" si="59"/>
        <v>17149</v>
      </c>
      <c r="I79" s="385">
        <f t="shared" si="59"/>
        <v>16428</v>
      </c>
      <c r="J79" s="385">
        <f t="shared" ref="J79:O79" si="60">J59+J60</f>
        <v>15562</v>
      </c>
      <c r="K79" s="385">
        <f t="shared" si="60"/>
        <v>16256</v>
      </c>
      <c r="L79" s="385">
        <f t="shared" si="60"/>
        <v>16683</v>
      </c>
      <c r="M79" s="385">
        <f t="shared" si="60"/>
        <v>16884</v>
      </c>
      <c r="N79" s="385">
        <f t="shared" si="60"/>
        <v>17254</v>
      </c>
      <c r="O79" s="385">
        <f t="shared" si="60"/>
        <v>17506</v>
      </c>
    </row>
    <row r="80" spans="1:17">
      <c r="A80" s="383"/>
      <c r="D80" s="385"/>
      <c r="E80" s="385"/>
      <c r="F80" s="385"/>
      <c r="G80" s="385"/>
      <c r="H80" s="385"/>
      <c r="I80" s="385"/>
      <c r="J80" s="385"/>
      <c r="K80" s="385"/>
      <c r="L80" s="385"/>
      <c r="M80" s="385"/>
      <c r="N80" s="385"/>
      <c r="O80" s="385"/>
    </row>
    <row r="81" spans="1:17">
      <c r="A81" s="383" t="s">
        <v>2646</v>
      </c>
      <c r="D81" s="385"/>
      <c r="E81" s="385"/>
      <c r="F81" s="385"/>
      <c r="G81" s="385"/>
      <c r="H81" s="385"/>
      <c r="I81" s="385"/>
      <c r="J81" s="385"/>
      <c r="K81" s="385"/>
      <c r="L81" s="385"/>
      <c r="M81" s="385"/>
      <c r="N81" s="385"/>
      <c r="O81" s="385"/>
    </row>
    <row r="84" spans="1:17">
      <c r="E84" s="51" t="s">
        <v>1526</v>
      </c>
      <c r="F84" s="51"/>
      <c r="G84" s="51"/>
      <c r="H84" s="51"/>
      <c r="I84" s="51"/>
      <c r="J84" s="51"/>
      <c r="K84" s="51"/>
      <c r="L84" s="51"/>
      <c r="M84" s="51"/>
      <c r="N84" s="51"/>
      <c r="O84" s="51"/>
      <c r="P84" s="11"/>
      <c r="Q84" s="13" t="s">
        <v>9479</v>
      </c>
    </row>
    <row r="85" spans="1:17">
      <c r="D85" s="350">
        <v>2010</v>
      </c>
      <c r="E85" s="350">
        <v>2011</v>
      </c>
      <c r="F85" s="350">
        <v>2012</v>
      </c>
      <c r="G85" s="350">
        <v>2013</v>
      </c>
      <c r="H85" s="350">
        <v>2014</v>
      </c>
      <c r="I85" s="350">
        <v>2015</v>
      </c>
      <c r="J85" s="350">
        <v>2016</v>
      </c>
      <c r="K85" s="350">
        <v>2017</v>
      </c>
      <c r="L85" s="350">
        <v>2018</v>
      </c>
      <c r="M85" s="350">
        <v>2019</v>
      </c>
      <c r="N85" s="350">
        <v>2020</v>
      </c>
      <c r="O85" s="942" t="s">
        <v>14823</v>
      </c>
      <c r="Q85" s="13" t="s">
        <v>1527</v>
      </c>
    </row>
    <row r="86" spans="1:17">
      <c r="A86" s="383" t="s">
        <v>2647</v>
      </c>
      <c r="D86" s="385">
        <f>SUM(D87:D104)+D106+D107+D109+D110+D112+D113</f>
        <v>218109</v>
      </c>
      <c r="E86" s="385">
        <f t="shared" ref="E86:L86" si="61">SUM(E87:E104)+E106+E107+E109+E110+E112+E113</f>
        <v>220403</v>
      </c>
      <c r="F86" s="385">
        <f t="shared" si="61"/>
        <v>220639</v>
      </c>
      <c r="G86" s="385">
        <f t="shared" si="61"/>
        <v>221968</v>
      </c>
      <c r="H86" s="385">
        <f t="shared" si="61"/>
        <v>217226</v>
      </c>
      <c r="I86" s="385">
        <f t="shared" si="61"/>
        <v>206309</v>
      </c>
      <c r="J86" s="385">
        <f t="shared" si="61"/>
        <v>211267</v>
      </c>
      <c r="K86" s="385">
        <f t="shared" si="61"/>
        <v>215105</v>
      </c>
      <c r="L86" s="385">
        <f t="shared" si="61"/>
        <v>219058</v>
      </c>
      <c r="M86" s="385">
        <f>SUM(M87:M104)+M106+M107+M109+M110+M112+M113</f>
        <v>215403</v>
      </c>
      <c r="N86" s="385">
        <f>SUM(N87:N104)+N106+N107+N109+N110+N112+N113</f>
        <v>216250</v>
      </c>
      <c r="O86" s="385">
        <f>SUM(O87:O104)+O106+O107+O109+O110+O112+O113</f>
        <v>219008</v>
      </c>
    </row>
    <row r="87" spans="1:17">
      <c r="A87" s="383" t="s">
        <v>5387</v>
      </c>
      <c r="B87" s="383" t="s">
        <v>11146</v>
      </c>
      <c r="C87" s="55" t="s">
        <v>11147</v>
      </c>
      <c r="D87" s="385">
        <v>72040</v>
      </c>
      <c r="E87" s="385">
        <v>72855</v>
      </c>
      <c r="F87" s="385">
        <v>73234</v>
      </c>
      <c r="G87" s="385">
        <v>74073</v>
      </c>
      <c r="H87" s="56">
        <v>72375</v>
      </c>
      <c r="I87" s="56">
        <v>68608</v>
      </c>
      <c r="J87" s="58">
        <v>11142</v>
      </c>
      <c r="K87" s="58">
        <v>11420</v>
      </c>
      <c r="L87" s="58">
        <v>11674</v>
      </c>
      <c r="M87" s="58">
        <v>11319</v>
      </c>
      <c r="N87" s="58">
        <v>11338</v>
      </c>
      <c r="O87" s="58">
        <v>11505</v>
      </c>
      <c r="Q87" s="383" t="s">
        <v>1191</v>
      </c>
    </row>
    <row r="88" spans="1:17">
      <c r="A88" s="383" t="s">
        <v>5389</v>
      </c>
      <c r="B88" s="383" t="s">
        <v>2648</v>
      </c>
      <c r="C88" s="55" t="s">
        <v>11161</v>
      </c>
      <c r="D88" s="385">
        <v>73189</v>
      </c>
      <c r="E88" s="385">
        <v>73874</v>
      </c>
      <c r="F88" s="385">
        <v>73730</v>
      </c>
      <c r="G88" s="385">
        <v>73808</v>
      </c>
      <c r="H88" s="56">
        <v>71866</v>
      </c>
      <c r="I88" s="56">
        <v>68829</v>
      </c>
      <c r="J88" s="56">
        <v>10384</v>
      </c>
      <c r="K88" s="56">
        <v>10382</v>
      </c>
      <c r="L88" s="56">
        <v>10585</v>
      </c>
      <c r="M88" s="56">
        <v>10397</v>
      </c>
      <c r="N88" s="56">
        <v>10446</v>
      </c>
      <c r="O88" s="56">
        <v>10475</v>
      </c>
      <c r="Q88" s="383" t="s">
        <v>1189</v>
      </c>
    </row>
    <row r="89" spans="1:17">
      <c r="A89" s="383" t="s">
        <v>5391</v>
      </c>
      <c r="B89" s="383" t="s">
        <v>11148</v>
      </c>
      <c r="C89" s="55" t="s">
        <v>11162</v>
      </c>
      <c r="D89" s="385">
        <v>0</v>
      </c>
      <c r="E89" s="385">
        <v>0</v>
      </c>
      <c r="F89" s="385">
        <v>0</v>
      </c>
      <c r="G89" s="385">
        <v>0</v>
      </c>
      <c r="H89" s="58">
        <v>0</v>
      </c>
      <c r="I89" s="58">
        <v>0</v>
      </c>
      <c r="J89" s="56">
        <v>7028</v>
      </c>
      <c r="K89" s="56">
        <v>7003</v>
      </c>
      <c r="L89" s="56">
        <v>7096</v>
      </c>
      <c r="M89" s="56">
        <v>6917</v>
      </c>
      <c r="N89" s="56">
        <v>6782</v>
      </c>
      <c r="O89" s="56">
        <v>6813</v>
      </c>
      <c r="Q89" s="383" t="s">
        <v>1189</v>
      </c>
    </row>
    <row r="90" spans="1:17">
      <c r="A90" s="383" t="s">
        <v>5393</v>
      </c>
      <c r="B90" s="383" t="s">
        <v>2649</v>
      </c>
      <c r="C90" s="55" t="s">
        <v>11163</v>
      </c>
      <c r="D90" s="385">
        <v>0</v>
      </c>
      <c r="E90" s="385">
        <v>0</v>
      </c>
      <c r="F90" s="385">
        <v>0</v>
      </c>
      <c r="G90" s="385">
        <v>0</v>
      </c>
      <c r="H90" s="56">
        <v>0</v>
      </c>
      <c r="I90" s="56">
        <v>0</v>
      </c>
      <c r="J90" s="58">
        <v>12121</v>
      </c>
      <c r="K90" s="58">
        <v>12323</v>
      </c>
      <c r="L90" s="58">
        <v>12537</v>
      </c>
      <c r="M90" s="58">
        <v>12280</v>
      </c>
      <c r="N90" s="58">
        <v>12325</v>
      </c>
      <c r="O90" s="58">
        <v>12442</v>
      </c>
      <c r="Q90" s="383" t="s">
        <v>1191</v>
      </c>
    </row>
    <row r="91" spans="1:17">
      <c r="A91" s="383" t="s">
        <v>5394</v>
      </c>
      <c r="B91" s="383" t="s">
        <v>11149</v>
      </c>
      <c r="C91" s="55" t="s">
        <v>11164</v>
      </c>
      <c r="D91" s="385">
        <v>0</v>
      </c>
      <c r="E91" s="385">
        <v>0</v>
      </c>
      <c r="F91" s="385">
        <v>0</v>
      </c>
      <c r="G91" s="385">
        <v>0</v>
      </c>
      <c r="H91" s="58">
        <v>0</v>
      </c>
      <c r="I91" s="58">
        <v>0</v>
      </c>
      <c r="J91" s="56">
        <v>10961</v>
      </c>
      <c r="K91" s="56">
        <v>11232</v>
      </c>
      <c r="L91" s="56">
        <v>11442</v>
      </c>
      <c r="M91" s="56">
        <v>11323</v>
      </c>
      <c r="N91" s="56">
        <v>11315</v>
      </c>
      <c r="O91" s="56">
        <v>11476</v>
      </c>
      <c r="Q91" s="383" t="s">
        <v>1189</v>
      </c>
    </row>
    <row r="92" spans="1:17">
      <c r="A92" s="383" t="s">
        <v>5416</v>
      </c>
      <c r="B92" s="383" t="s">
        <v>11150</v>
      </c>
      <c r="C92" s="55" t="s">
        <v>11165</v>
      </c>
      <c r="D92" s="385">
        <v>72880</v>
      </c>
      <c r="E92" s="385">
        <v>73674</v>
      </c>
      <c r="F92" s="385">
        <v>73675</v>
      </c>
      <c r="G92" s="385">
        <v>74087</v>
      </c>
      <c r="H92" s="56">
        <v>72985</v>
      </c>
      <c r="I92" s="56">
        <v>68872</v>
      </c>
      <c r="J92" s="56">
        <v>11443</v>
      </c>
      <c r="K92" s="56">
        <v>11951</v>
      </c>
      <c r="L92" s="56">
        <v>12189</v>
      </c>
      <c r="M92" s="56">
        <v>12018</v>
      </c>
      <c r="N92" s="56">
        <v>12088</v>
      </c>
      <c r="O92" s="56">
        <v>12240</v>
      </c>
      <c r="Q92" s="383" t="s">
        <v>536</v>
      </c>
    </row>
    <row r="93" spans="1:17">
      <c r="A93" s="383" t="s">
        <v>5418</v>
      </c>
      <c r="B93" s="383" t="s">
        <v>11151</v>
      </c>
      <c r="C93" s="55" t="s">
        <v>11166</v>
      </c>
      <c r="D93" s="385">
        <v>0</v>
      </c>
      <c r="E93" s="385">
        <v>0</v>
      </c>
      <c r="F93" s="385">
        <v>0</v>
      </c>
      <c r="G93" s="385">
        <v>0</v>
      </c>
      <c r="H93" s="58">
        <v>0</v>
      </c>
      <c r="I93" s="58">
        <v>0</v>
      </c>
      <c r="J93" s="56">
        <v>7845</v>
      </c>
      <c r="K93" s="56">
        <v>7908</v>
      </c>
      <c r="L93" s="56">
        <v>7995</v>
      </c>
      <c r="M93" s="56">
        <v>7843</v>
      </c>
      <c r="N93" s="56">
        <v>7880</v>
      </c>
      <c r="O93" s="56">
        <v>7937</v>
      </c>
      <c r="Q93" s="383" t="s">
        <v>1189</v>
      </c>
    </row>
    <row r="94" spans="1:17">
      <c r="A94" s="383" t="s">
        <v>5420</v>
      </c>
      <c r="B94" s="383" t="s">
        <v>11152</v>
      </c>
      <c r="C94" s="55" t="s">
        <v>11167</v>
      </c>
      <c r="D94" s="385">
        <v>0</v>
      </c>
      <c r="E94" s="385">
        <v>0</v>
      </c>
      <c r="F94" s="385">
        <v>0</v>
      </c>
      <c r="G94" s="385">
        <v>0</v>
      </c>
      <c r="H94" s="58">
        <v>0</v>
      </c>
      <c r="I94" s="58">
        <v>0</v>
      </c>
      <c r="J94" s="56">
        <v>7729</v>
      </c>
      <c r="K94" s="56">
        <v>8141</v>
      </c>
      <c r="L94" s="56">
        <v>8217</v>
      </c>
      <c r="M94" s="56">
        <v>8139</v>
      </c>
      <c r="N94" s="56">
        <v>8116</v>
      </c>
      <c r="O94" s="56">
        <v>8325</v>
      </c>
      <c r="Q94" s="383" t="s">
        <v>536</v>
      </c>
    </row>
    <row r="95" spans="1:17">
      <c r="A95" s="383" t="s">
        <v>5422</v>
      </c>
      <c r="B95" s="383" t="s">
        <v>2650</v>
      </c>
      <c r="C95" s="55" t="s">
        <v>11168</v>
      </c>
      <c r="D95" s="385">
        <v>0</v>
      </c>
      <c r="E95" s="385">
        <v>0</v>
      </c>
      <c r="F95" s="385">
        <v>0</v>
      </c>
      <c r="G95" s="385">
        <v>0</v>
      </c>
      <c r="H95" s="58">
        <v>0</v>
      </c>
      <c r="I95" s="58">
        <v>0</v>
      </c>
      <c r="J95" s="56">
        <v>12233</v>
      </c>
      <c r="K95" s="56">
        <v>12774</v>
      </c>
      <c r="L95" s="56">
        <v>13221</v>
      </c>
      <c r="M95" s="56">
        <v>13248</v>
      </c>
      <c r="N95" s="56">
        <v>13589</v>
      </c>
      <c r="O95" s="56">
        <v>13806</v>
      </c>
      <c r="Q95" s="383" t="s">
        <v>536</v>
      </c>
    </row>
    <row r="96" spans="1:17">
      <c r="A96" s="383" t="s">
        <v>5424</v>
      </c>
      <c r="B96" s="383" t="s">
        <v>2651</v>
      </c>
      <c r="C96" s="55" t="s">
        <v>11169</v>
      </c>
      <c r="D96" s="385">
        <v>0</v>
      </c>
      <c r="E96" s="385">
        <v>0</v>
      </c>
      <c r="F96" s="385">
        <v>0</v>
      </c>
      <c r="G96" s="385">
        <v>0</v>
      </c>
      <c r="H96" s="58">
        <v>0</v>
      </c>
      <c r="I96" s="58">
        <v>0</v>
      </c>
      <c r="J96" s="56">
        <v>11324</v>
      </c>
      <c r="K96" s="56">
        <v>11473</v>
      </c>
      <c r="L96" s="56">
        <v>11559</v>
      </c>
      <c r="M96" s="56">
        <v>11376</v>
      </c>
      <c r="N96" s="56">
        <v>11479</v>
      </c>
      <c r="O96" s="56">
        <v>11576</v>
      </c>
      <c r="Q96" s="383" t="s">
        <v>536</v>
      </c>
    </row>
    <row r="97" spans="1:17">
      <c r="A97" s="383" t="s">
        <v>5426</v>
      </c>
      <c r="B97" s="383" t="s">
        <v>11153</v>
      </c>
      <c r="C97" s="55" t="s">
        <v>11170</v>
      </c>
      <c r="D97" s="385">
        <v>0</v>
      </c>
      <c r="E97" s="385">
        <v>0</v>
      </c>
      <c r="F97" s="385">
        <v>0</v>
      </c>
      <c r="G97" s="385">
        <v>0</v>
      </c>
      <c r="H97" s="58">
        <v>0</v>
      </c>
      <c r="I97" s="58">
        <v>0</v>
      </c>
      <c r="J97" s="56">
        <v>6751</v>
      </c>
      <c r="K97" s="56">
        <v>6840</v>
      </c>
      <c r="L97" s="56">
        <v>6920</v>
      </c>
      <c r="M97" s="56">
        <v>6616</v>
      </c>
      <c r="N97" s="56">
        <v>6603</v>
      </c>
      <c r="O97" s="56">
        <v>6679</v>
      </c>
      <c r="Q97" s="383" t="s">
        <v>1189</v>
      </c>
    </row>
    <row r="98" spans="1:17">
      <c r="A98" s="383" t="s">
        <v>5428</v>
      </c>
      <c r="B98" s="383" t="s">
        <v>2652</v>
      </c>
      <c r="C98" s="55" t="s">
        <v>11171</v>
      </c>
      <c r="D98" s="385">
        <v>0</v>
      </c>
      <c r="E98" s="385">
        <v>0</v>
      </c>
      <c r="F98" s="385">
        <v>0</v>
      </c>
      <c r="G98" s="385">
        <v>0</v>
      </c>
      <c r="H98" s="58">
        <v>0</v>
      </c>
      <c r="I98" s="58">
        <v>0</v>
      </c>
      <c r="J98" s="58">
        <v>11263</v>
      </c>
      <c r="K98" s="58">
        <v>11402</v>
      </c>
      <c r="L98" s="58">
        <v>11603</v>
      </c>
      <c r="M98" s="58">
        <v>11343</v>
      </c>
      <c r="N98" s="58">
        <v>11248</v>
      </c>
      <c r="O98" s="58">
        <v>11438</v>
      </c>
      <c r="Q98" s="383" t="s">
        <v>1191</v>
      </c>
    </row>
    <row r="99" spans="1:17">
      <c r="A99" s="383" t="s">
        <v>5429</v>
      </c>
      <c r="B99" s="383" t="s">
        <v>11154</v>
      </c>
      <c r="C99" s="55" t="s">
        <v>11172</v>
      </c>
      <c r="D99" s="385">
        <v>0</v>
      </c>
      <c r="E99" s="385">
        <v>0</v>
      </c>
      <c r="F99" s="385">
        <v>0</v>
      </c>
      <c r="G99" s="385">
        <v>0</v>
      </c>
      <c r="H99" s="58">
        <v>0</v>
      </c>
      <c r="I99" s="58">
        <v>0</v>
      </c>
      <c r="J99" s="58">
        <v>10922</v>
      </c>
      <c r="K99" s="58">
        <v>11150</v>
      </c>
      <c r="L99" s="58">
        <v>11346</v>
      </c>
      <c r="M99" s="58">
        <v>11237</v>
      </c>
      <c r="N99" s="58">
        <v>11377</v>
      </c>
      <c r="O99" s="58">
        <v>11524</v>
      </c>
      <c r="Q99" s="383" t="s">
        <v>1191</v>
      </c>
    </row>
    <row r="100" spans="1:17">
      <c r="A100" s="383" t="s">
        <v>5431</v>
      </c>
      <c r="B100" s="383" t="s">
        <v>11155</v>
      </c>
      <c r="C100" s="55" t="s">
        <v>11173</v>
      </c>
      <c r="D100" s="385">
        <v>0</v>
      </c>
      <c r="E100" s="385">
        <v>0</v>
      </c>
      <c r="F100" s="385">
        <v>0</v>
      </c>
      <c r="G100" s="385">
        <v>0</v>
      </c>
      <c r="H100" s="58">
        <v>0</v>
      </c>
      <c r="I100" s="58">
        <v>0</v>
      </c>
      <c r="J100" s="58">
        <v>8390</v>
      </c>
      <c r="K100" s="58">
        <v>8439</v>
      </c>
      <c r="L100" s="58">
        <v>8529</v>
      </c>
      <c r="M100" s="58">
        <v>8396</v>
      </c>
      <c r="N100" s="58">
        <v>8442</v>
      </c>
      <c r="O100" s="58">
        <v>8565</v>
      </c>
      <c r="Q100" s="383" t="s">
        <v>1191</v>
      </c>
    </row>
    <row r="101" spans="1:17">
      <c r="A101" s="383" t="s">
        <v>5433</v>
      </c>
      <c r="B101" s="383" t="s">
        <v>11156</v>
      </c>
      <c r="C101" s="55" t="s">
        <v>11174</v>
      </c>
      <c r="D101" s="385">
        <v>0</v>
      </c>
      <c r="E101" s="385">
        <v>0</v>
      </c>
      <c r="F101" s="385">
        <v>0</v>
      </c>
      <c r="G101" s="385">
        <v>0</v>
      </c>
      <c r="H101" s="58">
        <v>0</v>
      </c>
      <c r="I101" s="58">
        <v>0</v>
      </c>
      <c r="J101" s="56">
        <v>12842</v>
      </c>
      <c r="K101" s="56">
        <v>13038</v>
      </c>
      <c r="L101" s="56">
        <v>13237</v>
      </c>
      <c r="M101" s="56">
        <v>13289</v>
      </c>
      <c r="N101" s="56">
        <v>13418</v>
      </c>
      <c r="O101" s="56">
        <v>13549</v>
      </c>
      <c r="Q101" s="383" t="s">
        <v>536</v>
      </c>
    </row>
    <row r="102" spans="1:17">
      <c r="A102" s="383" t="s">
        <v>5435</v>
      </c>
      <c r="B102" s="383" t="s">
        <v>11472</v>
      </c>
      <c r="C102" s="55" t="s">
        <v>11175</v>
      </c>
      <c r="D102" s="385">
        <v>0</v>
      </c>
      <c r="E102" s="385">
        <v>0</v>
      </c>
      <c r="F102" s="385">
        <v>0</v>
      </c>
      <c r="G102" s="385">
        <v>0</v>
      </c>
      <c r="H102" s="58">
        <v>0</v>
      </c>
      <c r="I102" s="58">
        <v>0</v>
      </c>
      <c r="J102" s="58">
        <v>8865</v>
      </c>
      <c r="K102" s="58">
        <v>8968</v>
      </c>
      <c r="L102" s="58">
        <v>9011</v>
      </c>
      <c r="M102" s="58">
        <v>8847</v>
      </c>
      <c r="N102" s="58">
        <v>8846</v>
      </c>
      <c r="O102" s="58">
        <v>8992</v>
      </c>
      <c r="Q102" s="383" t="s">
        <v>1191</v>
      </c>
    </row>
    <row r="103" spans="1:17">
      <c r="A103" s="383" t="s">
        <v>5436</v>
      </c>
      <c r="B103" s="383" t="s">
        <v>11157</v>
      </c>
      <c r="C103" s="55" t="s">
        <v>11176</v>
      </c>
      <c r="D103" s="385">
        <v>0</v>
      </c>
      <c r="E103" s="385">
        <v>0</v>
      </c>
      <c r="F103" s="385">
        <v>0</v>
      </c>
      <c r="G103" s="385">
        <v>0</v>
      </c>
      <c r="H103" s="58">
        <v>0</v>
      </c>
      <c r="I103" s="58">
        <v>0</v>
      </c>
      <c r="J103" s="56">
        <v>2875</v>
      </c>
      <c r="K103" s="56">
        <v>2908</v>
      </c>
      <c r="L103" s="56">
        <v>2927</v>
      </c>
      <c r="M103" s="56">
        <v>2880</v>
      </c>
      <c r="N103" s="56">
        <v>2895</v>
      </c>
      <c r="O103" s="56">
        <v>2909</v>
      </c>
      <c r="Q103" s="383" t="s">
        <v>1189</v>
      </c>
    </row>
    <row r="104" spans="1:17" ht="15.75" thickBot="1">
      <c r="A104" s="383"/>
      <c r="B104" s="383"/>
      <c r="C104" s="55" t="s">
        <v>11176</v>
      </c>
      <c r="D104" s="393">
        <v>0</v>
      </c>
      <c r="E104" s="393">
        <v>0</v>
      </c>
      <c r="F104" s="393">
        <v>0</v>
      </c>
      <c r="G104" s="393">
        <v>0</v>
      </c>
      <c r="H104" s="394">
        <v>0</v>
      </c>
      <c r="I104" s="394">
        <v>0</v>
      </c>
      <c r="J104" s="58">
        <v>4194</v>
      </c>
      <c r="K104" s="58">
        <v>4217</v>
      </c>
      <c r="L104" s="58">
        <v>4272</v>
      </c>
      <c r="M104" s="58">
        <v>4223</v>
      </c>
      <c r="N104" s="58">
        <v>4260</v>
      </c>
      <c r="O104" s="58">
        <v>4364</v>
      </c>
      <c r="Q104" s="383" t="s">
        <v>1191</v>
      </c>
    </row>
    <row r="105" spans="1:17" ht="15.75" thickBot="1">
      <c r="A105" s="383"/>
      <c r="B105" s="383"/>
      <c r="C105" s="55" t="s">
        <v>11176</v>
      </c>
      <c r="D105" s="391">
        <f>D103+D104</f>
        <v>0</v>
      </c>
      <c r="E105" s="391">
        <f t="shared" ref="E105:L105" si="62">E103+E104</f>
        <v>0</v>
      </c>
      <c r="F105" s="391">
        <f t="shared" si="62"/>
        <v>0</v>
      </c>
      <c r="G105" s="391">
        <f t="shared" si="62"/>
        <v>0</v>
      </c>
      <c r="H105" s="391">
        <f t="shared" si="62"/>
        <v>0</v>
      </c>
      <c r="I105" s="391">
        <f t="shared" si="62"/>
        <v>0</v>
      </c>
      <c r="J105" s="391">
        <f t="shared" si="62"/>
        <v>7069</v>
      </c>
      <c r="K105" s="391">
        <f t="shared" si="62"/>
        <v>7125</v>
      </c>
      <c r="L105" s="391">
        <f t="shared" si="62"/>
        <v>7199</v>
      </c>
      <c r="M105" s="391">
        <f>M103+M104</f>
        <v>7103</v>
      </c>
      <c r="N105" s="391">
        <f>N103+N104</f>
        <v>7155</v>
      </c>
      <c r="O105" s="391">
        <f>O103+O104</f>
        <v>7273</v>
      </c>
      <c r="Q105" s="383"/>
    </row>
    <row r="106" spans="1:17">
      <c r="A106" s="383" t="s">
        <v>5437</v>
      </c>
      <c r="B106" s="383" t="s">
        <v>11158</v>
      </c>
      <c r="C106" s="55" t="s">
        <v>11177</v>
      </c>
      <c r="D106" s="395">
        <v>0</v>
      </c>
      <c r="E106" s="395">
        <v>0</v>
      </c>
      <c r="F106" s="395">
        <v>0</v>
      </c>
      <c r="G106" s="395">
        <v>0</v>
      </c>
      <c r="H106" s="864">
        <v>0</v>
      </c>
      <c r="I106" s="864">
        <v>0</v>
      </c>
      <c r="J106" s="56">
        <v>8711</v>
      </c>
      <c r="K106" s="56">
        <v>8923</v>
      </c>
      <c r="L106" s="58">
        <v>9076</v>
      </c>
      <c r="M106" s="58">
        <v>8964</v>
      </c>
      <c r="N106" s="58">
        <v>9121</v>
      </c>
      <c r="O106" s="58">
        <v>9242</v>
      </c>
      <c r="Q106" s="383" t="s">
        <v>536</v>
      </c>
    </row>
    <row r="107" spans="1:17" ht="15.75" thickBot="1">
      <c r="A107" s="383"/>
      <c r="B107" s="383"/>
      <c r="C107" s="55" t="s">
        <v>11177</v>
      </c>
      <c r="D107" s="393">
        <v>0</v>
      </c>
      <c r="E107" s="393">
        <v>0</v>
      </c>
      <c r="F107" s="393">
        <v>0</v>
      </c>
      <c r="G107" s="393">
        <v>0</v>
      </c>
      <c r="H107" s="394">
        <v>0</v>
      </c>
      <c r="I107" s="394">
        <v>0</v>
      </c>
      <c r="J107" s="58">
        <v>3440</v>
      </c>
      <c r="K107" s="58">
        <v>3511</v>
      </c>
      <c r="L107" s="56">
        <v>3641</v>
      </c>
      <c r="M107" s="56">
        <v>3557</v>
      </c>
      <c r="N107" s="56">
        <v>3512</v>
      </c>
      <c r="O107" s="56">
        <v>3524</v>
      </c>
      <c r="Q107" s="383" t="s">
        <v>1191</v>
      </c>
    </row>
    <row r="108" spans="1:17" ht="15.75" thickBot="1">
      <c r="A108" s="383"/>
      <c r="B108" s="383"/>
      <c r="C108" s="55" t="s">
        <v>11177</v>
      </c>
      <c r="D108" s="391">
        <f t="shared" ref="D108:O108" si="63">D106+D107</f>
        <v>0</v>
      </c>
      <c r="E108" s="391">
        <f t="shared" si="63"/>
        <v>0</v>
      </c>
      <c r="F108" s="391">
        <f t="shared" si="63"/>
        <v>0</v>
      </c>
      <c r="G108" s="391">
        <f t="shared" si="63"/>
        <v>0</v>
      </c>
      <c r="H108" s="391">
        <f t="shared" si="63"/>
        <v>0</v>
      </c>
      <c r="I108" s="391">
        <f t="shared" si="63"/>
        <v>0</v>
      </c>
      <c r="J108" s="391">
        <f t="shared" si="63"/>
        <v>12151</v>
      </c>
      <c r="K108" s="391">
        <f t="shared" si="63"/>
        <v>12434</v>
      </c>
      <c r="L108" s="391">
        <f t="shared" si="63"/>
        <v>12717</v>
      </c>
      <c r="M108" s="391">
        <f t="shared" si="63"/>
        <v>12521</v>
      </c>
      <c r="N108" s="391">
        <f t="shared" si="63"/>
        <v>12633</v>
      </c>
      <c r="O108" s="391">
        <f t="shared" si="63"/>
        <v>12766</v>
      </c>
    </row>
    <row r="109" spans="1:17">
      <c r="A109" s="383" t="s">
        <v>5439</v>
      </c>
      <c r="B109" s="383" t="s">
        <v>11473</v>
      </c>
      <c r="C109" s="55" t="s">
        <v>11178</v>
      </c>
      <c r="D109" s="395">
        <v>0</v>
      </c>
      <c r="E109" s="395">
        <v>0</v>
      </c>
      <c r="F109" s="395">
        <v>0</v>
      </c>
      <c r="G109" s="395">
        <v>0</v>
      </c>
      <c r="H109" s="864">
        <v>0</v>
      </c>
      <c r="I109" s="864">
        <v>0</v>
      </c>
      <c r="J109" s="56">
        <v>6448</v>
      </c>
      <c r="K109" s="56">
        <v>6597</v>
      </c>
      <c r="L109" s="56">
        <v>6704</v>
      </c>
      <c r="M109" s="56">
        <v>6615</v>
      </c>
      <c r="N109" s="56">
        <v>6645</v>
      </c>
      <c r="O109" s="56">
        <v>6687</v>
      </c>
      <c r="Q109" s="383" t="s">
        <v>536</v>
      </c>
    </row>
    <row r="110" spans="1:17" ht="15.75" thickBot="1">
      <c r="A110" s="383"/>
      <c r="B110" s="383"/>
      <c r="C110" s="55" t="s">
        <v>11178</v>
      </c>
      <c r="D110" s="393">
        <v>0</v>
      </c>
      <c r="E110" s="393">
        <v>0</v>
      </c>
      <c r="F110" s="393">
        <v>0</v>
      </c>
      <c r="G110" s="393">
        <v>0</v>
      </c>
      <c r="H110" s="394">
        <v>0</v>
      </c>
      <c r="I110" s="394">
        <v>0</v>
      </c>
      <c r="J110" s="56">
        <v>1665</v>
      </c>
      <c r="K110" s="56">
        <v>1888</v>
      </c>
      <c r="L110" s="56">
        <v>2068</v>
      </c>
      <c r="M110" s="56">
        <v>2057</v>
      </c>
      <c r="N110" s="56">
        <v>2088</v>
      </c>
      <c r="O110" s="56">
        <v>2136</v>
      </c>
      <c r="Q110" s="383" t="s">
        <v>1189</v>
      </c>
    </row>
    <row r="111" spans="1:17" ht="15.75" thickBot="1">
      <c r="A111" s="383"/>
      <c r="B111" s="383"/>
      <c r="C111" s="55" t="s">
        <v>11178</v>
      </c>
      <c r="D111" s="391">
        <f t="shared" ref="D111:O111" si="64">D109+D110</f>
        <v>0</v>
      </c>
      <c r="E111" s="391">
        <f t="shared" si="64"/>
        <v>0</v>
      </c>
      <c r="F111" s="391">
        <f t="shared" si="64"/>
        <v>0</v>
      </c>
      <c r="G111" s="391">
        <f t="shared" si="64"/>
        <v>0</v>
      </c>
      <c r="H111" s="391">
        <f t="shared" si="64"/>
        <v>0</v>
      </c>
      <c r="I111" s="391">
        <f t="shared" si="64"/>
        <v>0</v>
      </c>
      <c r="J111" s="391">
        <f t="shared" si="64"/>
        <v>8113</v>
      </c>
      <c r="K111" s="391">
        <f t="shared" si="64"/>
        <v>8485</v>
      </c>
      <c r="L111" s="391">
        <f t="shared" si="64"/>
        <v>8772</v>
      </c>
      <c r="M111" s="391">
        <f t="shared" si="64"/>
        <v>8672</v>
      </c>
      <c r="N111" s="391">
        <f t="shared" si="64"/>
        <v>8733</v>
      </c>
      <c r="O111" s="391">
        <f t="shared" si="64"/>
        <v>8823</v>
      </c>
      <c r="Q111" s="383"/>
    </row>
    <row r="112" spans="1:17">
      <c r="A112" s="383" t="s">
        <v>5441</v>
      </c>
      <c r="B112" s="383" t="s">
        <v>3229</v>
      </c>
      <c r="C112" s="55" t="s">
        <v>11179</v>
      </c>
      <c r="D112" s="385">
        <v>0</v>
      </c>
      <c r="E112" s="385">
        <v>0</v>
      </c>
      <c r="F112" s="385">
        <v>0</v>
      </c>
      <c r="G112" s="385">
        <v>0</v>
      </c>
      <c r="H112" s="56">
        <v>0</v>
      </c>
      <c r="I112" s="56">
        <v>0</v>
      </c>
      <c r="J112" s="56">
        <v>10517</v>
      </c>
      <c r="K112" s="56">
        <v>10567</v>
      </c>
      <c r="L112" s="56">
        <v>10983</v>
      </c>
      <c r="M112" s="56">
        <v>10762</v>
      </c>
      <c r="N112" s="56">
        <v>10775</v>
      </c>
      <c r="O112" s="56">
        <v>11001</v>
      </c>
      <c r="Q112" s="383" t="s">
        <v>1189</v>
      </c>
    </row>
    <row r="113" spans="1:22">
      <c r="A113" s="383" t="s">
        <v>5886</v>
      </c>
      <c r="B113" s="383" t="s">
        <v>11159</v>
      </c>
      <c r="C113" s="55" t="s">
        <v>11180</v>
      </c>
      <c r="D113" s="385">
        <v>0</v>
      </c>
      <c r="E113" s="385">
        <v>0</v>
      </c>
      <c r="F113" s="385">
        <v>0</v>
      </c>
      <c r="G113" s="385">
        <v>0</v>
      </c>
      <c r="H113" s="56">
        <v>0</v>
      </c>
      <c r="I113" s="56">
        <v>0</v>
      </c>
      <c r="J113" s="58">
        <v>12174</v>
      </c>
      <c r="K113" s="58">
        <v>12050</v>
      </c>
      <c r="L113" s="58">
        <v>12226</v>
      </c>
      <c r="M113" s="58">
        <v>11757</v>
      </c>
      <c r="N113" s="58">
        <v>11662</v>
      </c>
      <c r="O113" s="58">
        <v>11803</v>
      </c>
      <c r="Q113" s="383" t="s">
        <v>1189</v>
      </c>
    </row>
    <row r="114" spans="1:22">
      <c r="D114" s="386"/>
      <c r="E114" s="386"/>
      <c r="F114" s="386"/>
      <c r="G114" s="386"/>
      <c r="H114" s="386"/>
      <c r="I114" s="386"/>
      <c r="J114" s="386"/>
      <c r="K114" s="386"/>
      <c r="L114" s="386"/>
      <c r="M114" s="386"/>
      <c r="N114" s="386"/>
      <c r="O114" s="386"/>
    </row>
    <row r="115" spans="1:22">
      <c r="A115" s="383" t="s">
        <v>1189</v>
      </c>
      <c r="D115" s="385">
        <f t="shared" ref="D115:N115" si="65">D88+D89+D91+D93+D97+D103+D110+D112+D113</f>
        <v>73189</v>
      </c>
      <c r="E115" s="385">
        <f t="shared" si="65"/>
        <v>73874</v>
      </c>
      <c r="F115" s="385">
        <f t="shared" si="65"/>
        <v>73730</v>
      </c>
      <c r="G115" s="385">
        <f t="shared" si="65"/>
        <v>73808</v>
      </c>
      <c r="H115" s="385">
        <f t="shared" si="65"/>
        <v>71866</v>
      </c>
      <c r="I115" s="385">
        <f t="shared" si="65"/>
        <v>68829</v>
      </c>
      <c r="J115" s="385">
        <f t="shared" si="65"/>
        <v>70200</v>
      </c>
      <c r="K115" s="385">
        <f t="shared" si="65"/>
        <v>70778</v>
      </c>
      <c r="L115" s="385">
        <f t="shared" si="65"/>
        <v>72242</v>
      </c>
      <c r="M115" s="385">
        <f t="shared" si="65"/>
        <v>70552</v>
      </c>
      <c r="N115" s="385">
        <f t="shared" si="65"/>
        <v>70446</v>
      </c>
      <c r="O115" s="385">
        <f>O88+O89+O91+O93+O97+O103+O110+O112+O113</f>
        <v>71229</v>
      </c>
    </row>
    <row r="116" spans="1:22">
      <c r="A116" s="383" t="s">
        <v>1191</v>
      </c>
      <c r="D116" s="385">
        <f t="shared" ref="D116:N116" si="66">D87+D90+SUM(D98:D100)+D102+D104+D107</f>
        <v>72040</v>
      </c>
      <c r="E116" s="385">
        <f t="shared" si="66"/>
        <v>72855</v>
      </c>
      <c r="F116" s="385">
        <f t="shared" si="66"/>
        <v>73234</v>
      </c>
      <c r="G116" s="385">
        <f t="shared" si="66"/>
        <v>74073</v>
      </c>
      <c r="H116" s="385">
        <f t="shared" si="66"/>
        <v>72375</v>
      </c>
      <c r="I116" s="385">
        <f t="shared" si="66"/>
        <v>68608</v>
      </c>
      <c r="J116" s="385">
        <f t="shared" si="66"/>
        <v>70337</v>
      </c>
      <c r="K116" s="385">
        <f t="shared" si="66"/>
        <v>71430</v>
      </c>
      <c r="L116" s="385">
        <f t="shared" si="66"/>
        <v>72613</v>
      </c>
      <c r="M116" s="385">
        <f t="shared" si="66"/>
        <v>71202</v>
      </c>
      <c r="N116" s="385">
        <f t="shared" si="66"/>
        <v>71348</v>
      </c>
      <c r="O116" s="385">
        <f>O87+O90+SUM(O98:O100)+O102+O104+O107</f>
        <v>72354</v>
      </c>
    </row>
    <row r="117" spans="1:22">
      <c r="A117" s="383" t="s">
        <v>536</v>
      </c>
      <c r="D117" s="385">
        <f t="shared" ref="D117:N117" si="67">D92+SUM(D94:D96)+D101+D106+D109</f>
        <v>72880</v>
      </c>
      <c r="E117" s="385">
        <f t="shared" si="67"/>
        <v>73674</v>
      </c>
      <c r="F117" s="385">
        <f t="shared" si="67"/>
        <v>73675</v>
      </c>
      <c r="G117" s="385">
        <f t="shared" si="67"/>
        <v>74087</v>
      </c>
      <c r="H117" s="385">
        <f t="shared" si="67"/>
        <v>72985</v>
      </c>
      <c r="I117" s="385">
        <f t="shared" si="67"/>
        <v>68872</v>
      </c>
      <c r="J117" s="385">
        <f t="shared" si="67"/>
        <v>70730</v>
      </c>
      <c r="K117" s="385">
        <f t="shared" si="67"/>
        <v>72897</v>
      </c>
      <c r="L117" s="385">
        <f t="shared" si="67"/>
        <v>74203</v>
      </c>
      <c r="M117" s="385">
        <f t="shared" si="67"/>
        <v>73649</v>
      </c>
      <c r="N117" s="385">
        <f t="shared" si="67"/>
        <v>74456</v>
      </c>
      <c r="O117" s="385">
        <f>O92+SUM(O94:O96)+O101+O106+O109</f>
        <v>75425</v>
      </c>
    </row>
    <row r="118" spans="1:22">
      <c r="A118" s="383"/>
      <c r="D118" s="385"/>
      <c r="E118" s="385"/>
      <c r="F118" s="385"/>
      <c r="G118" s="385"/>
      <c r="H118" s="385"/>
      <c r="I118" s="385"/>
      <c r="J118" s="385"/>
      <c r="K118" s="385"/>
      <c r="L118" s="385"/>
      <c r="M118" s="385"/>
      <c r="N118" s="385"/>
      <c r="O118" s="385"/>
    </row>
    <row r="119" spans="1:22">
      <c r="A119" s="383" t="s">
        <v>11160</v>
      </c>
      <c r="D119" s="385"/>
      <c r="E119" s="385"/>
      <c r="F119" s="385"/>
      <c r="G119" s="385"/>
      <c r="H119" s="385"/>
      <c r="I119" s="385"/>
      <c r="J119" s="385"/>
      <c r="K119" s="385"/>
      <c r="L119" s="385"/>
      <c r="M119" s="385"/>
      <c r="N119" s="385"/>
      <c r="O119" s="385"/>
      <c r="Q119" s="56"/>
    </row>
    <row r="122" spans="1:22">
      <c r="E122" s="51" t="s">
        <v>1526</v>
      </c>
      <c r="F122" s="51"/>
      <c r="G122" s="51"/>
      <c r="H122" s="51"/>
      <c r="I122" s="51"/>
      <c r="J122" s="51"/>
      <c r="K122" s="51"/>
      <c r="L122" s="51"/>
      <c r="M122" s="51"/>
      <c r="N122" s="11"/>
      <c r="O122" s="11"/>
      <c r="P122" s="13"/>
      <c r="Q122" s="13" t="s">
        <v>9479</v>
      </c>
    </row>
    <row r="123" spans="1:22">
      <c r="D123" s="350">
        <v>2010</v>
      </c>
      <c r="E123" s="350">
        <v>2011</v>
      </c>
      <c r="F123" s="350">
        <v>2012</v>
      </c>
      <c r="G123" s="350">
        <v>2013</v>
      </c>
      <c r="H123" s="350">
        <v>2014</v>
      </c>
      <c r="I123" s="350">
        <v>2015</v>
      </c>
      <c r="J123" s="350">
        <v>2016</v>
      </c>
      <c r="K123" s="350">
        <v>2017</v>
      </c>
      <c r="L123" s="350">
        <v>2018</v>
      </c>
      <c r="M123" s="350">
        <v>2019</v>
      </c>
      <c r="N123" s="350">
        <v>2020</v>
      </c>
      <c r="O123" s="942" t="s">
        <v>14823</v>
      </c>
      <c r="P123" s="13"/>
      <c r="Q123" s="13" t="s">
        <v>1527</v>
      </c>
    </row>
    <row r="124" spans="1:22">
      <c r="A124" s="383" t="s">
        <v>2653</v>
      </c>
      <c r="D124" s="385">
        <f t="shared" ref="D124:N124" si="68">SUM(D125:D130,D132:D134,D136:D146,D148:D151,D153:D158)</f>
        <v>190076</v>
      </c>
      <c r="E124" s="385">
        <f t="shared" si="68"/>
        <v>191489</v>
      </c>
      <c r="F124" s="385">
        <f t="shared" si="68"/>
        <v>192390</v>
      </c>
      <c r="G124" s="385">
        <f t="shared" si="68"/>
        <v>194397</v>
      </c>
      <c r="H124" s="385">
        <f t="shared" si="68"/>
        <v>196100</v>
      </c>
      <c r="I124" s="385">
        <f t="shared" si="68"/>
        <v>195614</v>
      </c>
      <c r="J124" s="385">
        <f t="shared" si="68"/>
        <v>192118</v>
      </c>
      <c r="K124" s="385">
        <f t="shared" si="68"/>
        <v>194419</v>
      </c>
      <c r="L124" s="385">
        <f t="shared" si="68"/>
        <v>194140</v>
      </c>
      <c r="M124" s="385">
        <f t="shared" si="68"/>
        <v>191965</v>
      </c>
      <c r="N124" s="385">
        <f t="shared" si="68"/>
        <v>191778</v>
      </c>
      <c r="O124" s="385">
        <f>SUM(O125:O130,O132:O134,O136:O146,O148:O151,O153:O158)</f>
        <v>195236</v>
      </c>
      <c r="V124" s="385"/>
    </row>
    <row r="125" spans="1:22">
      <c r="A125" s="383" t="s">
        <v>5387</v>
      </c>
      <c r="B125" s="126" t="s">
        <v>14827</v>
      </c>
      <c r="C125" s="126" t="s">
        <v>14826</v>
      </c>
      <c r="D125" s="385">
        <v>72168</v>
      </c>
      <c r="E125" s="385">
        <v>73068</v>
      </c>
      <c r="F125" s="385">
        <v>73220</v>
      </c>
      <c r="G125" s="385">
        <v>73755</v>
      </c>
      <c r="H125" s="56">
        <v>74189</v>
      </c>
      <c r="I125" s="56">
        <v>74259</v>
      </c>
      <c r="J125" s="56">
        <v>73511</v>
      </c>
      <c r="K125" s="56">
        <v>74387</v>
      </c>
      <c r="L125" s="56">
        <v>74654</v>
      </c>
      <c r="M125" s="56">
        <v>73996</v>
      </c>
      <c r="N125" s="56">
        <v>74050</v>
      </c>
      <c r="O125" s="56">
        <v>9559</v>
      </c>
      <c r="P125" s="383"/>
      <c r="Q125" s="383" t="s">
        <v>539</v>
      </c>
    </row>
    <row r="126" spans="1:22">
      <c r="A126" s="383" t="s">
        <v>5389</v>
      </c>
      <c r="B126" s="126" t="s">
        <v>14829</v>
      </c>
      <c r="C126" s="126" t="s">
        <v>14828</v>
      </c>
      <c r="D126" s="385">
        <v>0</v>
      </c>
      <c r="E126" s="385">
        <v>0</v>
      </c>
      <c r="F126" s="385">
        <v>0</v>
      </c>
      <c r="G126" s="385">
        <v>0</v>
      </c>
      <c r="H126" s="385">
        <v>0</v>
      </c>
      <c r="I126" s="385">
        <v>0</v>
      </c>
      <c r="J126" s="385">
        <v>0</v>
      </c>
      <c r="K126" s="385">
        <v>0</v>
      </c>
      <c r="L126" s="385">
        <v>0</v>
      </c>
      <c r="M126" s="385">
        <v>0</v>
      </c>
      <c r="N126" s="385">
        <v>0</v>
      </c>
      <c r="O126" s="56">
        <v>7047</v>
      </c>
      <c r="P126" s="383"/>
      <c r="Q126" s="383" t="s">
        <v>539</v>
      </c>
    </row>
    <row r="127" spans="1:22">
      <c r="A127" s="383" t="s">
        <v>5391</v>
      </c>
      <c r="B127" s="126" t="s">
        <v>14831</v>
      </c>
      <c r="C127" s="126" t="s">
        <v>14830</v>
      </c>
      <c r="D127" s="385">
        <v>0</v>
      </c>
      <c r="E127" s="385">
        <v>0</v>
      </c>
      <c r="F127" s="385">
        <v>0</v>
      </c>
      <c r="G127" s="385">
        <v>0</v>
      </c>
      <c r="H127" s="385">
        <v>0</v>
      </c>
      <c r="I127" s="385">
        <v>0</v>
      </c>
      <c r="J127" s="385">
        <v>0</v>
      </c>
      <c r="K127" s="385">
        <v>0</v>
      </c>
      <c r="L127" s="385">
        <v>0</v>
      </c>
      <c r="M127" s="385">
        <v>0</v>
      </c>
      <c r="N127" s="385">
        <v>0</v>
      </c>
      <c r="O127" s="56">
        <v>6762</v>
      </c>
      <c r="P127" s="383"/>
      <c r="Q127" s="383" t="s">
        <v>539</v>
      </c>
    </row>
    <row r="128" spans="1:22">
      <c r="A128" s="383" t="s">
        <v>5393</v>
      </c>
      <c r="B128" s="126" t="s">
        <v>2654</v>
      </c>
      <c r="C128" s="126" t="s">
        <v>14832</v>
      </c>
      <c r="D128" s="385">
        <v>0</v>
      </c>
      <c r="E128" s="385">
        <v>0</v>
      </c>
      <c r="F128" s="385">
        <v>0</v>
      </c>
      <c r="G128" s="385">
        <v>0</v>
      </c>
      <c r="H128" s="385">
        <v>0</v>
      </c>
      <c r="I128" s="385">
        <v>0</v>
      </c>
      <c r="J128" s="385">
        <v>0</v>
      </c>
      <c r="K128" s="385">
        <v>0</v>
      </c>
      <c r="L128" s="385">
        <v>0</v>
      </c>
      <c r="M128" s="385">
        <v>0</v>
      </c>
      <c r="N128" s="385">
        <v>0</v>
      </c>
      <c r="O128" s="56">
        <v>9506</v>
      </c>
      <c r="P128" s="383"/>
      <c r="Q128" s="383" t="s">
        <v>541</v>
      </c>
    </row>
    <row r="129" spans="1:17">
      <c r="A129" s="383" t="s">
        <v>5394</v>
      </c>
      <c r="B129" s="126" t="s">
        <v>14834</v>
      </c>
      <c r="C129" s="126" t="s">
        <v>14833</v>
      </c>
      <c r="D129" s="385">
        <v>0</v>
      </c>
      <c r="E129" s="385">
        <v>0</v>
      </c>
      <c r="F129" s="385">
        <v>0</v>
      </c>
      <c r="G129" s="385">
        <v>0</v>
      </c>
      <c r="H129" s="385">
        <v>0</v>
      </c>
      <c r="I129" s="385">
        <v>0</v>
      </c>
      <c r="J129" s="385">
        <v>0</v>
      </c>
      <c r="K129" s="385">
        <v>0</v>
      </c>
      <c r="L129" s="385">
        <v>0</v>
      </c>
      <c r="M129" s="385">
        <v>0</v>
      </c>
      <c r="N129" s="385">
        <v>0</v>
      </c>
      <c r="O129" s="58">
        <v>2205</v>
      </c>
      <c r="P129" s="383"/>
      <c r="Q129" s="383" t="s">
        <v>539</v>
      </c>
    </row>
    <row r="130" spans="1:17" ht="15.75" thickBot="1">
      <c r="C130" s="126" t="s">
        <v>14833</v>
      </c>
      <c r="D130" s="385">
        <v>0</v>
      </c>
      <c r="E130" s="385">
        <v>0</v>
      </c>
      <c r="F130" s="385">
        <v>0</v>
      </c>
      <c r="G130" s="385">
        <v>0</v>
      </c>
      <c r="H130" s="385">
        <v>0</v>
      </c>
      <c r="I130" s="385">
        <v>0</v>
      </c>
      <c r="J130" s="385">
        <v>0</v>
      </c>
      <c r="K130" s="385">
        <v>0</v>
      </c>
      <c r="L130" s="385">
        <v>0</v>
      </c>
      <c r="M130" s="385">
        <v>0</v>
      </c>
      <c r="N130" s="385">
        <v>0</v>
      </c>
      <c r="O130" s="56">
        <v>5002</v>
      </c>
      <c r="P130" s="383"/>
      <c r="Q130" s="383" t="s">
        <v>2889</v>
      </c>
    </row>
    <row r="131" spans="1:17" ht="15.75" thickBot="1">
      <c r="C131" s="126" t="s">
        <v>14833</v>
      </c>
      <c r="D131" s="391">
        <f>D129+D130</f>
        <v>0</v>
      </c>
      <c r="E131" s="391">
        <f t="shared" ref="E131:O131" si="69">E129+E130</f>
        <v>0</v>
      </c>
      <c r="F131" s="391">
        <f t="shared" si="69"/>
        <v>0</v>
      </c>
      <c r="G131" s="391">
        <f t="shared" si="69"/>
        <v>0</v>
      </c>
      <c r="H131" s="391">
        <f t="shared" si="69"/>
        <v>0</v>
      </c>
      <c r="I131" s="391">
        <f t="shared" si="69"/>
        <v>0</v>
      </c>
      <c r="J131" s="391">
        <f t="shared" si="69"/>
        <v>0</v>
      </c>
      <c r="K131" s="391">
        <f t="shared" si="69"/>
        <v>0</v>
      </c>
      <c r="L131" s="391">
        <f t="shared" si="69"/>
        <v>0</v>
      </c>
      <c r="M131" s="391">
        <f t="shared" si="69"/>
        <v>0</v>
      </c>
      <c r="N131" s="391">
        <f t="shared" si="69"/>
        <v>0</v>
      </c>
      <c r="O131" s="391">
        <f t="shared" si="69"/>
        <v>7207</v>
      </c>
      <c r="P131" s="383"/>
    </row>
    <row r="132" spans="1:17">
      <c r="A132" s="383" t="s">
        <v>5416</v>
      </c>
      <c r="B132" s="126" t="s">
        <v>14836</v>
      </c>
      <c r="C132" s="126" t="s">
        <v>14835</v>
      </c>
      <c r="D132" s="385">
        <v>62977</v>
      </c>
      <c r="E132" s="385">
        <v>63131</v>
      </c>
      <c r="F132" s="385">
        <v>63464</v>
      </c>
      <c r="G132" s="385">
        <v>64156</v>
      </c>
      <c r="H132" s="58">
        <v>64425</v>
      </c>
      <c r="I132" s="58">
        <v>63843</v>
      </c>
      <c r="J132" s="58">
        <v>62017</v>
      </c>
      <c r="K132" s="58">
        <v>62714</v>
      </c>
      <c r="L132" s="58">
        <v>62058</v>
      </c>
      <c r="M132" s="58">
        <v>61218</v>
      </c>
      <c r="N132" s="58">
        <v>61119</v>
      </c>
      <c r="O132" s="58">
        <v>7545</v>
      </c>
      <c r="P132" s="383"/>
      <c r="Q132" s="383" t="s">
        <v>541</v>
      </c>
    </row>
    <row r="133" spans="1:17">
      <c r="A133" s="383" t="s">
        <v>5418</v>
      </c>
      <c r="B133" s="126" t="s">
        <v>14838</v>
      </c>
      <c r="C133" s="126" t="s">
        <v>14837</v>
      </c>
      <c r="D133" s="385">
        <v>0</v>
      </c>
      <c r="E133" s="385">
        <v>0</v>
      </c>
      <c r="F133" s="385">
        <v>0</v>
      </c>
      <c r="G133" s="385">
        <v>0</v>
      </c>
      <c r="H133" s="385">
        <v>0</v>
      </c>
      <c r="I133" s="385">
        <v>0</v>
      </c>
      <c r="J133" s="385">
        <v>0</v>
      </c>
      <c r="K133" s="385">
        <v>0</v>
      </c>
      <c r="L133" s="385">
        <v>0</v>
      </c>
      <c r="M133" s="385">
        <v>0</v>
      </c>
      <c r="N133" s="385">
        <v>0</v>
      </c>
      <c r="O133" s="56">
        <v>4943</v>
      </c>
      <c r="P133" s="383"/>
      <c r="Q133" s="383" t="s">
        <v>541</v>
      </c>
    </row>
    <row r="134" spans="1:17" ht="15.75" thickBot="1">
      <c r="C134" s="126" t="s">
        <v>14837</v>
      </c>
      <c r="D134" s="385">
        <v>0</v>
      </c>
      <c r="E134" s="385">
        <v>0</v>
      </c>
      <c r="F134" s="385">
        <v>0</v>
      </c>
      <c r="G134" s="385">
        <v>0</v>
      </c>
      <c r="H134" s="385">
        <v>0</v>
      </c>
      <c r="I134" s="385">
        <v>0</v>
      </c>
      <c r="J134" s="385">
        <v>0</v>
      </c>
      <c r="K134" s="385">
        <v>0</v>
      </c>
      <c r="L134" s="385">
        <v>0</v>
      </c>
      <c r="M134" s="385">
        <v>0</v>
      </c>
      <c r="N134" s="385">
        <v>0</v>
      </c>
      <c r="O134" s="56">
        <v>1645</v>
      </c>
      <c r="P134" s="383"/>
      <c r="Q134" s="383" t="s">
        <v>2889</v>
      </c>
    </row>
    <row r="135" spans="1:17" ht="15.75" thickBot="1">
      <c r="C135" s="126" t="s">
        <v>14837</v>
      </c>
      <c r="D135" s="391">
        <f>D133+D134</f>
        <v>0</v>
      </c>
      <c r="E135" s="391">
        <f t="shared" ref="E135:O135" si="70">E133+E134</f>
        <v>0</v>
      </c>
      <c r="F135" s="391">
        <f t="shared" si="70"/>
        <v>0</v>
      </c>
      <c r="G135" s="391">
        <f t="shared" si="70"/>
        <v>0</v>
      </c>
      <c r="H135" s="391">
        <f t="shared" si="70"/>
        <v>0</v>
      </c>
      <c r="I135" s="391">
        <f t="shared" si="70"/>
        <v>0</v>
      </c>
      <c r="J135" s="391">
        <f t="shared" si="70"/>
        <v>0</v>
      </c>
      <c r="K135" s="391">
        <f t="shared" si="70"/>
        <v>0</v>
      </c>
      <c r="L135" s="391">
        <f t="shared" si="70"/>
        <v>0</v>
      </c>
      <c r="M135" s="391">
        <f t="shared" si="70"/>
        <v>0</v>
      </c>
      <c r="N135" s="391">
        <f t="shared" si="70"/>
        <v>0</v>
      </c>
      <c r="O135" s="391">
        <f t="shared" si="70"/>
        <v>6588</v>
      </c>
      <c r="P135" s="383"/>
    </row>
    <row r="136" spans="1:17">
      <c r="A136" s="383" t="s">
        <v>5420</v>
      </c>
      <c r="B136" s="126" t="s">
        <v>2655</v>
      </c>
      <c r="C136" s="126" t="s">
        <v>14839</v>
      </c>
      <c r="D136" s="385">
        <v>0</v>
      </c>
      <c r="E136" s="385">
        <v>0</v>
      </c>
      <c r="F136" s="385">
        <v>0</v>
      </c>
      <c r="G136" s="385">
        <v>0</v>
      </c>
      <c r="H136" s="385">
        <v>0</v>
      </c>
      <c r="I136" s="385">
        <v>0</v>
      </c>
      <c r="J136" s="385">
        <v>0</v>
      </c>
      <c r="K136" s="385">
        <v>0</v>
      </c>
      <c r="L136" s="385">
        <v>0</v>
      </c>
      <c r="M136" s="385">
        <v>0</v>
      </c>
      <c r="N136" s="385">
        <v>0</v>
      </c>
      <c r="O136" s="58">
        <v>9176</v>
      </c>
      <c r="P136" s="383"/>
      <c r="Q136" s="383" t="s">
        <v>539</v>
      </c>
    </row>
    <row r="137" spans="1:17">
      <c r="A137" s="383" t="s">
        <v>5422</v>
      </c>
      <c r="B137" s="126" t="s">
        <v>14841</v>
      </c>
      <c r="C137" s="126" t="s">
        <v>14840</v>
      </c>
      <c r="D137" s="385">
        <v>0</v>
      </c>
      <c r="E137" s="385">
        <v>0</v>
      </c>
      <c r="F137" s="385">
        <v>0</v>
      </c>
      <c r="G137" s="385">
        <v>0</v>
      </c>
      <c r="H137" s="385">
        <v>0</v>
      </c>
      <c r="I137" s="385">
        <v>0</v>
      </c>
      <c r="J137" s="385">
        <v>0</v>
      </c>
      <c r="K137" s="385">
        <v>0</v>
      </c>
      <c r="L137" s="385">
        <v>0</v>
      </c>
      <c r="M137" s="385">
        <v>0</v>
      </c>
      <c r="N137" s="385">
        <v>0</v>
      </c>
      <c r="O137" s="56">
        <v>6087</v>
      </c>
      <c r="P137" s="383"/>
      <c r="Q137" s="383" t="s">
        <v>541</v>
      </c>
    </row>
    <row r="138" spans="1:17">
      <c r="A138" s="383" t="s">
        <v>5424</v>
      </c>
      <c r="B138" s="126" t="s">
        <v>14843</v>
      </c>
      <c r="C138" s="126" t="s">
        <v>14842</v>
      </c>
      <c r="D138" s="385">
        <v>0</v>
      </c>
      <c r="E138" s="385">
        <v>0</v>
      </c>
      <c r="F138" s="385">
        <v>0</v>
      </c>
      <c r="G138" s="385">
        <v>0</v>
      </c>
      <c r="H138" s="385">
        <v>0</v>
      </c>
      <c r="I138" s="385">
        <v>0</v>
      </c>
      <c r="J138" s="385">
        <v>0</v>
      </c>
      <c r="K138" s="385">
        <v>0</v>
      </c>
      <c r="L138" s="385">
        <v>0</v>
      </c>
      <c r="M138" s="385">
        <v>0</v>
      </c>
      <c r="N138" s="385">
        <v>0</v>
      </c>
      <c r="O138" s="58">
        <v>6320</v>
      </c>
      <c r="P138" s="383"/>
      <c r="Q138" s="383" t="s">
        <v>539</v>
      </c>
    </row>
    <row r="139" spans="1:17">
      <c r="A139" s="383" t="s">
        <v>5426</v>
      </c>
      <c r="B139" s="126" t="s">
        <v>2656</v>
      </c>
      <c r="C139" s="126" t="s">
        <v>14844</v>
      </c>
      <c r="D139" s="385">
        <v>54931</v>
      </c>
      <c r="E139" s="385">
        <v>55290</v>
      </c>
      <c r="F139" s="385">
        <v>55706</v>
      </c>
      <c r="G139" s="385">
        <v>56486</v>
      </c>
      <c r="H139" s="56">
        <v>57486</v>
      </c>
      <c r="I139" s="56">
        <v>57512</v>
      </c>
      <c r="J139" s="56">
        <v>56590</v>
      </c>
      <c r="K139" s="56">
        <v>57318</v>
      </c>
      <c r="L139" s="56">
        <v>57428</v>
      </c>
      <c r="M139" s="56">
        <v>56751</v>
      </c>
      <c r="N139" s="56">
        <v>56609</v>
      </c>
      <c r="O139" s="56">
        <v>9504</v>
      </c>
      <c r="P139" s="383"/>
      <c r="Q139" s="383" t="s">
        <v>2889</v>
      </c>
    </row>
    <row r="140" spans="1:17">
      <c r="A140" s="383" t="s">
        <v>5428</v>
      </c>
      <c r="B140" s="126" t="s">
        <v>2657</v>
      </c>
      <c r="C140" s="126" t="s">
        <v>14845</v>
      </c>
      <c r="D140" s="385">
        <v>0</v>
      </c>
      <c r="E140" s="385">
        <v>0</v>
      </c>
      <c r="F140" s="385">
        <v>0</v>
      </c>
      <c r="G140" s="385">
        <v>0</v>
      </c>
      <c r="H140" s="385">
        <v>0</v>
      </c>
      <c r="I140" s="385">
        <v>0</v>
      </c>
      <c r="J140" s="385">
        <v>0</v>
      </c>
      <c r="K140" s="385">
        <v>0</v>
      </c>
      <c r="L140" s="385">
        <v>0</v>
      </c>
      <c r="M140" s="385">
        <v>0</v>
      </c>
      <c r="N140" s="385">
        <v>0</v>
      </c>
      <c r="O140" s="56">
        <v>10529</v>
      </c>
      <c r="P140" s="383"/>
      <c r="Q140" s="383" t="s">
        <v>541</v>
      </c>
    </row>
    <row r="141" spans="1:17">
      <c r="A141" s="383" t="s">
        <v>5429</v>
      </c>
      <c r="B141" s="126" t="s">
        <v>14847</v>
      </c>
      <c r="C141" s="126" t="s">
        <v>14846</v>
      </c>
      <c r="D141" s="385">
        <v>0</v>
      </c>
      <c r="E141" s="385">
        <v>0</v>
      </c>
      <c r="F141" s="385">
        <v>0</v>
      </c>
      <c r="G141" s="385">
        <v>0</v>
      </c>
      <c r="H141" s="385">
        <v>0</v>
      </c>
      <c r="I141" s="385">
        <v>0</v>
      </c>
      <c r="J141" s="385">
        <v>0</v>
      </c>
      <c r="K141" s="385">
        <v>0</v>
      </c>
      <c r="L141" s="385">
        <v>0</v>
      </c>
      <c r="M141" s="385">
        <v>0</v>
      </c>
      <c r="N141" s="385">
        <v>0</v>
      </c>
      <c r="O141" s="58">
        <v>6204</v>
      </c>
      <c r="P141" s="383"/>
      <c r="Q141" s="383" t="s">
        <v>2889</v>
      </c>
    </row>
    <row r="142" spans="1:17">
      <c r="A142" s="383" t="s">
        <v>5431</v>
      </c>
      <c r="B142" s="126" t="s">
        <v>14849</v>
      </c>
      <c r="C142" s="126" t="s">
        <v>14848</v>
      </c>
      <c r="D142" s="385">
        <v>0</v>
      </c>
      <c r="E142" s="385">
        <v>0</v>
      </c>
      <c r="F142" s="385">
        <v>0</v>
      </c>
      <c r="G142" s="385">
        <v>0</v>
      </c>
      <c r="H142" s="385">
        <v>0</v>
      </c>
      <c r="I142" s="385">
        <v>0</v>
      </c>
      <c r="J142" s="385">
        <v>0</v>
      </c>
      <c r="K142" s="385">
        <v>0</v>
      </c>
      <c r="L142" s="385">
        <v>0</v>
      </c>
      <c r="M142" s="385">
        <v>0</v>
      </c>
      <c r="N142" s="385">
        <v>0</v>
      </c>
      <c r="O142" s="58">
        <v>6626</v>
      </c>
      <c r="P142" s="383"/>
      <c r="Q142" s="383" t="s">
        <v>539</v>
      </c>
    </row>
    <row r="143" spans="1:17">
      <c r="A143" s="383" t="s">
        <v>5433</v>
      </c>
      <c r="B143" s="126" t="s">
        <v>14851</v>
      </c>
      <c r="C143" s="126" t="s">
        <v>14850</v>
      </c>
      <c r="D143" s="385">
        <v>0</v>
      </c>
      <c r="E143" s="385">
        <v>0</v>
      </c>
      <c r="F143" s="385">
        <v>0</v>
      </c>
      <c r="G143" s="385">
        <v>0</v>
      </c>
      <c r="H143" s="385">
        <v>0</v>
      </c>
      <c r="I143" s="385">
        <v>0</v>
      </c>
      <c r="J143" s="385">
        <v>0</v>
      </c>
      <c r="K143" s="385">
        <v>0</v>
      </c>
      <c r="L143" s="385">
        <v>0</v>
      </c>
      <c r="M143" s="385">
        <v>0</v>
      </c>
      <c r="N143" s="385">
        <v>0</v>
      </c>
      <c r="O143" s="58">
        <v>6879</v>
      </c>
      <c r="P143" s="383"/>
      <c r="Q143" s="383" t="s">
        <v>2889</v>
      </c>
    </row>
    <row r="144" spans="1:17">
      <c r="A144" s="383" t="s">
        <v>5435</v>
      </c>
      <c r="B144" s="126" t="s">
        <v>14853</v>
      </c>
      <c r="C144" s="126" t="s">
        <v>14852</v>
      </c>
      <c r="D144" s="385">
        <v>0</v>
      </c>
      <c r="E144" s="385">
        <v>0</v>
      </c>
      <c r="F144" s="385">
        <v>0</v>
      </c>
      <c r="G144" s="385">
        <v>0</v>
      </c>
      <c r="H144" s="385">
        <v>0</v>
      </c>
      <c r="I144" s="385">
        <v>0</v>
      </c>
      <c r="J144" s="385">
        <v>0</v>
      </c>
      <c r="K144" s="385">
        <v>0</v>
      </c>
      <c r="L144" s="385">
        <v>0</v>
      </c>
      <c r="M144" s="385">
        <v>0</v>
      </c>
      <c r="N144" s="385">
        <v>0</v>
      </c>
      <c r="O144" s="58">
        <v>6880</v>
      </c>
      <c r="P144" s="383"/>
      <c r="Q144" s="383" t="s">
        <v>2889</v>
      </c>
    </row>
    <row r="145" spans="1:17">
      <c r="A145" s="383" t="s">
        <v>5436</v>
      </c>
      <c r="B145" s="126" t="s">
        <v>2658</v>
      </c>
      <c r="C145" s="126" t="s">
        <v>14854</v>
      </c>
      <c r="D145" s="385">
        <v>0</v>
      </c>
      <c r="E145" s="385">
        <v>0</v>
      </c>
      <c r="F145" s="385">
        <v>0</v>
      </c>
      <c r="G145" s="385">
        <v>0</v>
      </c>
      <c r="H145" s="385">
        <v>0</v>
      </c>
      <c r="I145" s="385">
        <v>0</v>
      </c>
      <c r="J145" s="385">
        <v>0</v>
      </c>
      <c r="K145" s="385">
        <v>0</v>
      </c>
      <c r="L145" s="385">
        <v>0</v>
      </c>
      <c r="M145" s="385">
        <v>0</v>
      </c>
      <c r="N145" s="385">
        <v>0</v>
      </c>
      <c r="O145" s="58">
        <v>3701</v>
      </c>
      <c r="P145" s="383"/>
      <c r="Q145" s="383" t="s">
        <v>539</v>
      </c>
    </row>
    <row r="146" spans="1:17" ht="15.75" thickBot="1">
      <c r="C146" s="126" t="s">
        <v>14854</v>
      </c>
      <c r="D146" s="385">
        <v>0</v>
      </c>
      <c r="E146" s="385">
        <v>0</v>
      </c>
      <c r="F146" s="385">
        <v>0</v>
      </c>
      <c r="G146" s="385">
        <v>0</v>
      </c>
      <c r="H146" s="385">
        <v>0</v>
      </c>
      <c r="I146" s="385">
        <v>0</v>
      </c>
      <c r="J146" s="385">
        <v>0</v>
      </c>
      <c r="K146" s="385">
        <v>0</v>
      </c>
      <c r="L146" s="385">
        <v>0</v>
      </c>
      <c r="M146" s="385">
        <v>0</v>
      </c>
      <c r="N146" s="385">
        <v>0</v>
      </c>
      <c r="O146" s="58">
        <v>1920</v>
      </c>
      <c r="P146" s="383"/>
      <c r="Q146" s="383" t="s">
        <v>541</v>
      </c>
    </row>
    <row r="147" spans="1:17" ht="15.75" thickBot="1">
      <c r="C147" s="126" t="s">
        <v>14854</v>
      </c>
      <c r="D147" s="391">
        <f>D145+D146</f>
        <v>0</v>
      </c>
      <c r="E147" s="391">
        <f t="shared" ref="E147:O147" si="71">E145+E146</f>
        <v>0</v>
      </c>
      <c r="F147" s="391">
        <f t="shared" si="71"/>
        <v>0</v>
      </c>
      <c r="G147" s="391">
        <f t="shared" si="71"/>
        <v>0</v>
      </c>
      <c r="H147" s="391">
        <f t="shared" si="71"/>
        <v>0</v>
      </c>
      <c r="I147" s="391">
        <f t="shared" si="71"/>
        <v>0</v>
      </c>
      <c r="J147" s="391">
        <f t="shared" si="71"/>
        <v>0</v>
      </c>
      <c r="K147" s="391">
        <f t="shared" si="71"/>
        <v>0</v>
      </c>
      <c r="L147" s="391">
        <f t="shared" si="71"/>
        <v>0</v>
      </c>
      <c r="M147" s="391">
        <f t="shared" si="71"/>
        <v>0</v>
      </c>
      <c r="N147" s="391">
        <f t="shared" si="71"/>
        <v>0</v>
      </c>
      <c r="O147" s="391">
        <f t="shared" si="71"/>
        <v>5621</v>
      </c>
      <c r="P147" s="383"/>
    </row>
    <row r="148" spans="1:17">
      <c r="A148" s="383" t="s">
        <v>5437</v>
      </c>
      <c r="B148" s="126" t="s">
        <v>2659</v>
      </c>
      <c r="C148" s="126" t="s">
        <v>14855</v>
      </c>
      <c r="D148" s="385">
        <v>0</v>
      </c>
      <c r="E148" s="385">
        <v>0</v>
      </c>
      <c r="F148" s="385">
        <v>0</v>
      </c>
      <c r="G148" s="385">
        <v>0</v>
      </c>
      <c r="H148" s="385">
        <v>0</v>
      </c>
      <c r="I148" s="385">
        <v>0</v>
      </c>
      <c r="J148" s="385">
        <v>0</v>
      </c>
      <c r="K148" s="385">
        <v>0</v>
      </c>
      <c r="L148" s="385">
        <v>0</v>
      </c>
      <c r="M148" s="385">
        <v>0</v>
      </c>
      <c r="N148" s="385">
        <v>0</v>
      </c>
      <c r="O148" s="58">
        <v>10067</v>
      </c>
      <c r="P148" s="383"/>
      <c r="Q148" s="383" t="s">
        <v>541</v>
      </c>
    </row>
    <row r="149" spans="1:17">
      <c r="A149" s="383" t="s">
        <v>5439</v>
      </c>
      <c r="B149" s="126" t="s">
        <v>2660</v>
      </c>
      <c r="C149" s="126" t="s">
        <v>14856</v>
      </c>
      <c r="D149" s="385">
        <v>0</v>
      </c>
      <c r="E149" s="385">
        <v>0</v>
      </c>
      <c r="F149" s="385">
        <v>0</v>
      </c>
      <c r="G149" s="385">
        <v>0</v>
      </c>
      <c r="H149" s="385">
        <v>0</v>
      </c>
      <c r="I149" s="385">
        <v>0</v>
      </c>
      <c r="J149" s="385">
        <v>0</v>
      </c>
      <c r="K149" s="385">
        <v>0</v>
      </c>
      <c r="L149" s="385">
        <v>0</v>
      </c>
      <c r="M149" s="385">
        <v>0</v>
      </c>
      <c r="N149" s="385">
        <v>0</v>
      </c>
      <c r="O149" s="58">
        <v>9814</v>
      </c>
      <c r="P149" s="383"/>
      <c r="Q149" s="383" t="s">
        <v>541</v>
      </c>
    </row>
    <row r="150" spans="1:17">
      <c r="A150" s="383" t="s">
        <v>5441</v>
      </c>
      <c r="B150" s="126" t="s">
        <v>3562</v>
      </c>
      <c r="C150" s="126" t="s">
        <v>14857</v>
      </c>
      <c r="D150" s="385">
        <v>0</v>
      </c>
      <c r="E150" s="385">
        <v>0</v>
      </c>
      <c r="F150" s="385">
        <v>0</v>
      </c>
      <c r="G150" s="385">
        <v>0</v>
      </c>
      <c r="H150" s="385">
        <v>0</v>
      </c>
      <c r="I150" s="385">
        <v>0</v>
      </c>
      <c r="J150" s="385">
        <v>0</v>
      </c>
      <c r="K150" s="385">
        <v>0</v>
      </c>
      <c r="L150" s="385">
        <v>0</v>
      </c>
      <c r="M150" s="385">
        <v>0</v>
      </c>
      <c r="N150" s="385">
        <v>0</v>
      </c>
      <c r="O150" s="58">
        <v>9378</v>
      </c>
      <c r="P150" s="383"/>
      <c r="Q150" s="383" t="s">
        <v>539</v>
      </c>
    </row>
    <row r="151" spans="1:17" ht="15.75" thickBot="1">
      <c r="A151" s="383"/>
      <c r="C151" s="126" t="s">
        <v>14857</v>
      </c>
      <c r="D151" s="385">
        <v>0</v>
      </c>
      <c r="E151" s="385">
        <v>0</v>
      </c>
      <c r="F151" s="385">
        <v>0</v>
      </c>
      <c r="G151" s="385">
        <v>0</v>
      </c>
      <c r="H151" s="385">
        <v>0</v>
      </c>
      <c r="I151" s="385">
        <v>0</v>
      </c>
      <c r="J151" s="385">
        <v>0</v>
      </c>
      <c r="K151" s="385">
        <v>0</v>
      </c>
      <c r="L151" s="385">
        <v>0</v>
      </c>
      <c r="M151" s="385">
        <v>0</v>
      </c>
      <c r="N151" s="385">
        <v>0</v>
      </c>
      <c r="O151" s="58">
        <v>621</v>
      </c>
      <c r="P151" s="383"/>
      <c r="Q151" s="383" t="s">
        <v>541</v>
      </c>
    </row>
    <row r="152" spans="1:17" ht="15.75" thickBot="1">
      <c r="A152" s="383"/>
      <c r="C152" s="126" t="s">
        <v>14857</v>
      </c>
      <c r="D152" s="391">
        <f>D150+D151</f>
        <v>0</v>
      </c>
      <c r="E152" s="391">
        <f t="shared" ref="E152:O152" si="72">E150+E151</f>
        <v>0</v>
      </c>
      <c r="F152" s="391">
        <f t="shared" si="72"/>
        <v>0</v>
      </c>
      <c r="G152" s="391">
        <f t="shared" si="72"/>
        <v>0</v>
      </c>
      <c r="H152" s="391">
        <f t="shared" si="72"/>
        <v>0</v>
      </c>
      <c r="I152" s="391">
        <f t="shared" si="72"/>
        <v>0</v>
      </c>
      <c r="J152" s="391">
        <f t="shared" si="72"/>
        <v>0</v>
      </c>
      <c r="K152" s="391">
        <f t="shared" si="72"/>
        <v>0</v>
      </c>
      <c r="L152" s="391">
        <f t="shared" si="72"/>
        <v>0</v>
      </c>
      <c r="M152" s="391">
        <f t="shared" si="72"/>
        <v>0</v>
      </c>
      <c r="N152" s="391">
        <f t="shared" si="72"/>
        <v>0</v>
      </c>
      <c r="O152" s="391">
        <f t="shared" si="72"/>
        <v>9999</v>
      </c>
      <c r="P152" s="383"/>
    </row>
    <row r="153" spans="1:17">
      <c r="A153" s="383" t="s">
        <v>5886</v>
      </c>
      <c r="B153" s="126" t="s">
        <v>14859</v>
      </c>
      <c r="C153" s="126" t="s">
        <v>14858</v>
      </c>
      <c r="D153" s="385">
        <v>0</v>
      </c>
      <c r="E153" s="385">
        <v>0</v>
      </c>
      <c r="F153" s="385">
        <v>0</v>
      </c>
      <c r="G153" s="385">
        <v>0</v>
      </c>
      <c r="H153" s="385">
        <v>0</v>
      </c>
      <c r="I153" s="385">
        <v>0</v>
      </c>
      <c r="J153" s="385">
        <v>0</v>
      </c>
      <c r="K153" s="385">
        <v>0</v>
      </c>
      <c r="L153" s="385">
        <v>0</v>
      </c>
      <c r="M153" s="385">
        <v>0</v>
      </c>
      <c r="N153" s="385">
        <v>0</v>
      </c>
      <c r="O153" s="58">
        <v>6336</v>
      </c>
      <c r="P153" s="383"/>
      <c r="Q153" s="383" t="s">
        <v>2889</v>
      </c>
    </row>
    <row r="154" spans="1:17">
      <c r="A154" s="993" t="s">
        <v>5888</v>
      </c>
      <c r="B154" s="126" t="s">
        <v>14861</v>
      </c>
      <c r="C154" s="126" t="s">
        <v>14860</v>
      </c>
      <c r="D154" s="385">
        <v>0</v>
      </c>
      <c r="E154" s="385">
        <v>0</v>
      </c>
      <c r="F154" s="385">
        <v>0</v>
      </c>
      <c r="G154" s="385">
        <v>0</v>
      </c>
      <c r="H154" s="385">
        <v>0</v>
      </c>
      <c r="I154" s="385">
        <v>0</v>
      </c>
      <c r="J154" s="385">
        <v>0</v>
      </c>
      <c r="K154" s="385">
        <v>0</v>
      </c>
      <c r="L154" s="385">
        <v>0</v>
      </c>
      <c r="M154" s="385">
        <v>0</v>
      </c>
      <c r="N154" s="385">
        <v>0</v>
      </c>
      <c r="O154" s="58">
        <v>7509</v>
      </c>
      <c r="P154" s="383"/>
      <c r="Q154" s="383" t="s">
        <v>539</v>
      </c>
    </row>
    <row r="155" spans="1:17">
      <c r="A155" s="993" t="s">
        <v>5889</v>
      </c>
      <c r="B155" s="126" t="s">
        <v>3563</v>
      </c>
      <c r="C155" s="126" t="s">
        <v>14862</v>
      </c>
      <c r="D155" s="385">
        <v>0</v>
      </c>
      <c r="E155" s="385">
        <v>0</v>
      </c>
      <c r="F155" s="385">
        <v>0</v>
      </c>
      <c r="G155" s="385">
        <v>0</v>
      </c>
      <c r="H155" s="385">
        <v>0</v>
      </c>
      <c r="I155" s="385">
        <v>0</v>
      </c>
      <c r="J155" s="385">
        <v>0</v>
      </c>
      <c r="K155" s="385">
        <v>0</v>
      </c>
      <c r="L155" s="385">
        <v>0</v>
      </c>
      <c r="M155" s="385">
        <v>0</v>
      </c>
      <c r="N155" s="385">
        <v>0</v>
      </c>
      <c r="O155" s="58">
        <v>7186</v>
      </c>
      <c r="P155" s="383"/>
      <c r="Q155" s="383" t="s">
        <v>539</v>
      </c>
    </row>
    <row r="156" spans="1:17">
      <c r="A156" s="993" t="s">
        <v>4431</v>
      </c>
      <c r="B156" s="126" t="s">
        <v>3564</v>
      </c>
      <c r="C156" s="126" t="s">
        <v>14863</v>
      </c>
      <c r="D156" s="385">
        <v>0</v>
      </c>
      <c r="E156" s="385">
        <v>0</v>
      </c>
      <c r="F156" s="385">
        <v>0</v>
      </c>
      <c r="G156" s="385">
        <v>0</v>
      </c>
      <c r="H156" s="385">
        <v>0</v>
      </c>
      <c r="I156" s="385">
        <v>0</v>
      </c>
      <c r="J156" s="385">
        <v>0</v>
      </c>
      <c r="K156" s="385">
        <v>0</v>
      </c>
      <c r="L156" s="385">
        <v>0</v>
      </c>
      <c r="M156" s="385">
        <v>0</v>
      </c>
      <c r="N156" s="385">
        <v>0</v>
      </c>
      <c r="O156" s="58">
        <v>6697</v>
      </c>
      <c r="P156" s="383"/>
      <c r="Q156" s="383" t="s">
        <v>2889</v>
      </c>
    </row>
    <row r="157" spans="1:17">
      <c r="A157" s="993" t="s">
        <v>4432</v>
      </c>
      <c r="B157" s="126" t="s">
        <v>14865</v>
      </c>
      <c r="C157" s="126" t="s">
        <v>14864</v>
      </c>
      <c r="D157" s="385">
        <v>0</v>
      </c>
      <c r="E157" s="385">
        <v>0</v>
      </c>
      <c r="F157" s="385">
        <v>0</v>
      </c>
      <c r="G157" s="385">
        <v>0</v>
      </c>
      <c r="H157" s="385">
        <v>0</v>
      </c>
      <c r="I157" s="385">
        <v>0</v>
      </c>
      <c r="J157" s="385">
        <v>0</v>
      </c>
      <c r="K157" s="385">
        <v>0</v>
      </c>
      <c r="L157" s="385">
        <v>0</v>
      </c>
      <c r="M157" s="385">
        <v>0</v>
      </c>
      <c r="N157" s="385">
        <v>0</v>
      </c>
      <c r="O157" s="58">
        <v>1271</v>
      </c>
      <c r="P157" s="383"/>
      <c r="Q157" s="383" t="s">
        <v>541</v>
      </c>
    </row>
    <row r="158" spans="1:17" ht="15.75" thickBot="1">
      <c r="A158" s="993"/>
      <c r="C158" s="126" t="s">
        <v>14864</v>
      </c>
      <c r="D158" s="385">
        <v>0</v>
      </c>
      <c r="E158" s="385">
        <v>0</v>
      </c>
      <c r="F158" s="385">
        <v>0</v>
      </c>
      <c r="G158" s="385">
        <v>0</v>
      </c>
      <c r="H158" s="385">
        <v>0</v>
      </c>
      <c r="I158" s="385">
        <v>0</v>
      </c>
      <c r="J158" s="385">
        <v>0</v>
      </c>
      <c r="K158" s="385">
        <v>0</v>
      </c>
      <c r="L158" s="385">
        <v>0</v>
      </c>
      <c r="M158" s="385">
        <v>0</v>
      </c>
      <c r="N158" s="385">
        <v>0</v>
      </c>
      <c r="O158" s="58">
        <v>8317</v>
      </c>
      <c r="P158" s="383"/>
      <c r="Q158" s="383" t="s">
        <v>2889</v>
      </c>
    </row>
    <row r="159" spans="1:17" ht="15.75" thickBot="1">
      <c r="A159" s="994"/>
      <c r="B159" s="383"/>
      <c r="C159" s="126" t="s">
        <v>14864</v>
      </c>
      <c r="D159" s="391">
        <f t="shared" ref="D159:O159" si="73">SUM(D157:D158)</f>
        <v>0</v>
      </c>
      <c r="E159" s="391">
        <f t="shared" si="73"/>
        <v>0</v>
      </c>
      <c r="F159" s="391">
        <f t="shared" si="73"/>
        <v>0</v>
      </c>
      <c r="G159" s="391">
        <f t="shared" si="73"/>
        <v>0</v>
      </c>
      <c r="H159" s="391">
        <f t="shared" si="73"/>
        <v>0</v>
      </c>
      <c r="I159" s="391">
        <f t="shared" si="73"/>
        <v>0</v>
      </c>
      <c r="J159" s="391">
        <f t="shared" si="73"/>
        <v>0</v>
      </c>
      <c r="K159" s="391">
        <f t="shared" si="73"/>
        <v>0</v>
      </c>
      <c r="L159" s="391">
        <f t="shared" si="73"/>
        <v>0</v>
      </c>
      <c r="M159" s="391">
        <f t="shared" si="73"/>
        <v>0</v>
      </c>
      <c r="N159" s="391">
        <f t="shared" si="73"/>
        <v>0</v>
      </c>
      <c r="O159" s="391">
        <f t="shared" si="73"/>
        <v>9588</v>
      </c>
      <c r="P159" s="383"/>
      <c r="Q159" s="383"/>
    </row>
    <row r="160" spans="1:17">
      <c r="D160" s="386"/>
      <c r="E160" s="386"/>
      <c r="F160" s="386"/>
      <c r="G160" s="386"/>
      <c r="H160" s="386"/>
      <c r="I160" s="386"/>
      <c r="J160" s="386"/>
      <c r="K160" s="386"/>
      <c r="L160" s="386"/>
      <c r="M160" s="386"/>
      <c r="N160" s="386"/>
      <c r="O160" s="386"/>
    </row>
    <row r="161" spans="1:17">
      <c r="A161" s="383" t="s">
        <v>539</v>
      </c>
      <c r="D161" s="385">
        <f t="shared" ref="D161:N161" si="74">SUM(D125:D127,D129,D136,D138,D142,D145,D150,D154:D155)</f>
        <v>72168</v>
      </c>
      <c r="E161" s="385">
        <f t="shared" si="74"/>
        <v>73068</v>
      </c>
      <c r="F161" s="385">
        <f t="shared" si="74"/>
        <v>73220</v>
      </c>
      <c r="G161" s="385">
        <f t="shared" si="74"/>
        <v>73755</v>
      </c>
      <c r="H161" s="385">
        <f t="shared" si="74"/>
        <v>74189</v>
      </c>
      <c r="I161" s="385">
        <f t="shared" si="74"/>
        <v>74259</v>
      </c>
      <c r="J161" s="385">
        <f t="shared" si="74"/>
        <v>73511</v>
      </c>
      <c r="K161" s="385">
        <f t="shared" si="74"/>
        <v>74387</v>
      </c>
      <c r="L161" s="385">
        <f t="shared" si="74"/>
        <v>74654</v>
      </c>
      <c r="M161" s="385">
        <f t="shared" si="74"/>
        <v>73996</v>
      </c>
      <c r="N161" s="385">
        <f t="shared" si="74"/>
        <v>74050</v>
      </c>
      <c r="O161" s="385">
        <f>SUM(O125:O127,O129,O136,O138,O142,O145,O150,O154:O155)</f>
        <v>75469</v>
      </c>
    </row>
    <row r="162" spans="1:17">
      <c r="A162" s="383" t="s">
        <v>541</v>
      </c>
      <c r="D162" s="385">
        <f t="shared" ref="D162:N162" si="75">SUM(D128,D132:D133,D137,D140,D146,D151,D148:D149,D157)</f>
        <v>62977</v>
      </c>
      <c r="E162" s="385">
        <f t="shared" si="75"/>
        <v>63131</v>
      </c>
      <c r="F162" s="385">
        <f t="shared" si="75"/>
        <v>63464</v>
      </c>
      <c r="G162" s="385">
        <f t="shared" si="75"/>
        <v>64156</v>
      </c>
      <c r="H162" s="385">
        <f t="shared" si="75"/>
        <v>64425</v>
      </c>
      <c r="I162" s="385">
        <f t="shared" si="75"/>
        <v>63843</v>
      </c>
      <c r="J162" s="385">
        <f t="shared" si="75"/>
        <v>62017</v>
      </c>
      <c r="K162" s="385">
        <f t="shared" si="75"/>
        <v>62714</v>
      </c>
      <c r="L162" s="385">
        <f t="shared" si="75"/>
        <v>62058</v>
      </c>
      <c r="M162" s="385">
        <f t="shared" si="75"/>
        <v>61218</v>
      </c>
      <c r="N162" s="385">
        <f t="shared" si="75"/>
        <v>61119</v>
      </c>
      <c r="O162" s="385">
        <f>SUM(O128,O132:O133,O137,O140,O146,O151,O148:O149,O157)</f>
        <v>62303</v>
      </c>
    </row>
    <row r="163" spans="1:17">
      <c r="A163" s="383" t="s">
        <v>2645</v>
      </c>
      <c r="D163" s="385">
        <f t="shared" ref="D163:N163" si="76">SUM(D130,D134,D139,D141,D143:D144,D153,D156,D158)</f>
        <v>54931</v>
      </c>
      <c r="E163" s="385">
        <f t="shared" si="76"/>
        <v>55290</v>
      </c>
      <c r="F163" s="385">
        <f t="shared" si="76"/>
        <v>55706</v>
      </c>
      <c r="G163" s="385">
        <f t="shared" si="76"/>
        <v>56486</v>
      </c>
      <c r="H163" s="385">
        <f t="shared" si="76"/>
        <v>57486</v>
      </c>
      <c r="I163" s="385">
        <f t="shared" si="76"/>
        <v>57512</v>
      </c>
      <c r="J163" s="385">
        <f t="shared" si="76"/>
        <v>56590</v>
      </c>
      <c r="K163" s="385">
        <f t="shared" si="76"/>
        <v>57318</v>
      </c>
      <c r="L163" s="385">
        <f t="shared" si="76"/>
        <v>57428</v>
      </c>
      <c r="M163" s="385">
        <f t="shared" si="76"/>
        <v>56751</v>
      </c>
      <c r="N163" s="385">
        <f t="shared" si="76"/>
        <v>56609</v>
      </c>
      <c r="O163" s="385">
        <f>SUM(O130,O134,O139,O141,O143:O144,O153,O156,O158)</f>
        <v>57464</v>
      </c>
    </row>
    <row r="164" spans="1:17">
      <c r="A164" s="383"/>
    </row>
    <row r="165" spans="1:17">
      <c r="A165" s="383" t="s">
        <v>14386</v>
      </c>
      <c r="D165" s="385"/>
      <c r="E165" s="385"/>
      <c r="F165" s="385"/>
      <c r="G165" s="385"/>
      <c r="H165" s="385"/>
      <c r="I165" s="385"/>
      <c r="J165" s="385"/>
      <c r="K165" s="385"/>
      <c r="L165" s="385"/>
      <c r="M165" s="385"/>
    </row>
    <row r="166" spans="1:17">
      <c r="A166" s="383" t="s">
        <v>14825</v>
      </c>
      <c r="B166" s="383"/>
      <c r="D166" s="396"/>
      <c r="E166" s="396"/>
      <c r="F166" s="396"/>
      <c r="G166" s="396"/>
      <c r="H166" s="396"/>
      <c r="I166" s="396"/>
      <c r="J166" s="396"/>
      <c r="K166" s="396"/>
      <c r="L166" s="396"/>
      <c r="M166" s="396"/>
    </row>
    <row r="167" spans="1:17">
      <c r="A167" s="383"/>
      <c r="B167" s="383"/>
      <c r="D167" s="396"/>
      <c r="E167" s="396"/>
      <c r="F167" s="396"/>
      <c r="G167" s="396"/>
      <c r="H167" s="396"/>
      <c r="I167" s="396"/>
      <c r="J167" s="396"/>
      <c r="K167" s="396"/>
      <c r="L167" s="396"/>
      <c r="M167" s="396"/>
    </row>
    <row r="168" spans="1:17">
      <c r="A168" s="1008" t="s">
        <v>16023</v>
      </c>
      <c r="B168" s="383"/>
      <c r="D168" s="396"/>
      <c r="E168" s="396"/>
      <c r="F168" s="396"/>
      <c r="G168" s="396"/>
      <c r="H168" s="396"/>
      <c r="I168" s="396"/>
      <c r="J168" s="396"/>
      <c r="K168" s="396"/>
      <c r="L168" s="396"/>
      <c r="M168" s="396"/>
    </row>
    <row r="169" spans="1:17">
      <c r="A169" s="167" t="s">
        <v>16099</v>
      </c>
      <c r="B169" s="383"/>
      <c r="D169" s="396"/>
      <c r="E169" s="396"/>
      <c r="F169" s="396"/>
      <c r="G169" s="396"/>
      <c r="H169" s="396"/>
      <c r="I169" s="396"/>
      <c r="J169" s="396"/>
      <c r="K169" s="396"/>
      <c r="L169" s="396"/>
      <c r="M169" s="396"/>
    </row>
    <row r="170" spans="1:17">
      <c r="A170" s="383"/>
      <c r="B170" s="383"/>
      <c r="D170" s="396"/>
      <c r="E170" s="396"/>
      <c r="F170" s="396"/>
      <c r="G170" s="396"/>
      <c r="H170" s="396"/>
      <c r="I170" s="396"/>
      <c r="J170" s="396"/>
      <c r="K170" s="396"/>
      <c r="L170" s="396"/>
      <c r="M170" s="396"/>
      <c r="N170" s="396"/>
      <c r="O170" s="396"/>
    </row>
    <row r="171" spans="1:17">
      <c r="A171" s="383"/>
      <c r="B171" s="383"/>
      <c r="D171" s="396"/>
      <c r="E171" s="396"/>
      <c r="F171" s="396"/>
      <c r="G171" s="396"/>
      <c r="H171" s="396"/>
      <c r="I171" s="396"/>
      <c r="J171" s="396"/>
      <c r="K171" s="396"/>
      <c r="L171" s="396"/>
      <c r="M171" s="396"/>
      <c r="N171" s="396"/>
      <c r="O171" s="396"/>
    </row>
    <row r="172" spans="1:17">
      <c r="E172" s="51" t="s">
        <v>1526</v>
      </c>
      <c r="F172" s="51"/>
      <c r="G172" s="51"/>
      <c r="H172" s="51"/>
      <c r="I172" s="51"/>
      <c r="J172" s="51"/>
      <c r="K172" s="51"/>
      <c r="L172" s="51"/>
      <c r="M172" s="51"/>
      <c r="N172" s="51"/>
      <c r="O172" s="51"/>
      <c r="P172" s="11"/>
      <c r="Q172" s="13" t="s">
        <v>9479</v>
      </c>
    </row>
    <row r="173" spans="1:17">
      <c r="D173" s="350">
        <v>2010</v>
      </c>
      <c r="E173" s="350">
        <v>2011</v>
      </c>
      <c r="F173" s="350">
        <v>2012</v>
      </c>
      <c r="G173" s="350">
        <v>2013</v>
      </c>
      <c r="H173" s="350">
        <v>2014</v>
      </c>
      <c r="I173" s="350">
        <v>2015</v>
      </c>
      <c r="J173" s="350">
        <v>2016</v>
      </c>
      <c r="K173" s="350">
        <v>2017</v>
      </c>
      <c r="L173" s="350">
        <v>2018</v>
      </c>
      <c r="M173" s="350">
        <v>2019</v>
      </c>
      <c r="N173" s="350">
        <v>2020</v>
      </c>
      <c r="O173" s="942" t="s">
        <v>14823</v>
      </c>
      <c r="Q173" s="13" t="s">
        <v>1527</v>
      </c>
    </row>
    <row r="174" spans="1:17">
      <c r="A174" s="383" t="s">
        <v>3565</v>
      </c>
      <c r="D174" s="385">
        <f>D175+D176+SUM(D178:D180)+SUM(D182:D186)+SUM(D188:D190)+SUM(D192:D194)+SUM(D196:D198)+SUM(D200:D203)+SUM(D205:D210)+SUM(D212:D220)</f>
        <v>378810</v>
      </c>
      <c r="E174" s="385">
        <f t="shared" ref="E174:J174" si="77">E175+E176+SUM(E178:E180)+SUM(E182:E186)+SUM(E188:E190)+SUM(E192:E194)+SUM(E196:E198)+SUM(E200:E203)+SUM(E205:E210)+SUM(E212:E220)</f>
        <v>386512</v>
      </c>
      <c r="F174" s="385">
        <f t="shared" si="77"/>
        <v>389856</v>
      </c>
      <c r="G174" s="385">
        <f t="shared" si="77"/>
        <v>396026</v>
      </c>
      <c r="H174" s="385">
        <f t="shared" si="77"/>
        <v>391377</v>
      </c>
      <c r="I174" s="385">
        <f t="shared" si="77"/>
        <v>385100</v>
      </c>
      <c r="J174" s="385">
        <f t="shared" si="77"/>
        <v>381430</v>
      </c>
      <c r="K174" s="385">
        <f>K175+K176+SUM(K178:K180)+SUM(K182:K186)+SUM(K188:K190)+SUM(K192:K194)+SUM(K196:K198)+SUM(K200:K203)+SUM(K205:K210)+SUM(K212:K217)+K219+K220</f>
        <v>396454</v>
      </c>
      <c r="L174" s="385">
        <f>L175+L176+SUM(L178:L180)+SUM(L182:L186)+SUM(L188:L190)+SUM(L192:L194)+SUM(L196:L198)+SUM(L200:L203)+SUM(L205:L210)+SUM(L212:L217)+L219+L220</f>
        <v>406654</v>
      </c>
      <c r="M174" s="385">
        <f>M175+M176+SUM(M178:M180)+SUM(M182:M186)+SUM(M188:M190)+SUM(M192:M194)+SUM(M196:M198)+SUM(M200:M203)+SUM(M205:M210)+SUM(M212:M217)+M219+M220</f>
        <v>391282</v>
      </c>
      <c r="N174" s="385">
        <f>N175+N176+SUM(N178:N180)+SUM(N182:N186)+SUM(N188:N190)+SUM(N192:N194)+SUM(N196:N198)+SUM(N200:N203)+SUM(N205:N210)+SUM(N212:N217)+N219+N220</f>
        <v>391397</v>
      </c>
      <c r="O174" s="385">
        <f>O175+O176+SUM(O178:O180)+SUM(O182:O186)+SUM(O188:O190)+SUM(O192:O194)+SUM(O196:O198)+SUM(O200:O203)+SUM(O205:O210)+SUM(O212:O217)+O219+O220</f>
        <v>412014</v>
      </c>
    </row>
    <row r="175" spans="1:17">
      <c r="A175" s="383" t="s">
        <v>5387</v>
      </c>
      <c r="B175" s="383" t="s">
        <v>11559</v>
      </c>
      <c r="C175" s="55" t="s">
        <v>11558</v>
      </c>
      <c r="D175" s="395">
        <v>0</v>
      </c>
      <c r="E175" s="395">
        <v>0</v>
      </c>
      <c r="F175" s="395">
        <v>0</v>
      </c>
      <c r="G175" s="395">
        <v>0</v>
      </c>
      <c r="H175" s="63">
        <v>0</v>
      </c>
      <c r="I175" s="63">
        <v>0</v>
      </c>
      <c r="J175" s="63">
        <v>0</v>
      </c>
      <c r="K175" s="63">
        <v>382</v>
      </c>
      <c r="L175" s="63">
        <v>377</v>
      </c>
      <c r="M175" s="63">
        <v>385</v>
      </c>
      <c r="N175" s="63">
        <v>385</v>
      </c>
      <c r="O175" s="63">
        <v>407</v>
      </c>
      <c r="Q175" s="383" t="s">
        <v>544</v>
      </c>
    </row>
    <row r="176" spans="1:17" ht="15.75" thickBot="1">
      <c r="A176" s="383"/>
      <c r="B176" s="383"/>
      <c r="C176" s="55" t="s">
        <v>11558</v>
      </c>
      <c r="D176" s="395">
        <v>0</v>
      </c>
      <c r="E176" s="395">
        <v>0</v>
      </c>
      <c r="F176" s="395">
        <v>0</v>
      </c>
      <c r="G176" s="395">
        <v>0</v>
      </c>
      <c r="H176" s="63">
        <v>0</v>
      </c>
      <c r="I176" s="63">
        <v>0</v>
      </c>
      <c r="J176" s="63">
        <v>0</v>
      </c>
      <c r="K176" s="63">
        <v>14173</v>
      </c>
      <c r="L176" s="63">
        <v>14200</v>
      </c>
      <c r="M176" s="63">
        <v>13550</v>
      </c>
      <c r="N176" s="63">
        <v>13551</v>
      </c>
      <c r="O176" s="63">
        <v>13875</v>
      </c>
      <c r="Q176" s="383" t="s">
        <v>545</v>
      </c>
    </row>
    <row r="177" spans="1:17" ht="15.75" thickBot="1">
      <c r="A177" s="383"/>
      <c r="B177" s="383"/>
      <c r="C177" s="55" t="s">
        <v>11558</v>
      </c>
      <c r="D177" s="391">
        <f>D175+D176</f>
        <v>0</v>
      </c>
      <c r="E177" s="391">
        <f t="shared" ref="E177:L177" si="78">E175+E176</f>
        <v>0</v>
      </c>
      <c r="F177" s="391">
        <f t="shared" si="78"/>
        <v>0</v>
      </c>
      <c r="G177" s="391">
        <f t="shared" si="78"/>
        <v>0</v>
      </c>
      <c r="H177" s="391">
        <f t="shared" si="78"/>
        <v>0</v>
      </c>
      <c r="I177" s="391">
        <f t="shared" si="78"/>
        <v>0</v>
      </c>
      <c r="J177" s="391">
        <f t="shared" si="78"/>
        <v>0</v>
      </c>
      <c r="K177" s="391">
        <f t="shared" si="78"/>
        <v>14555</v>
      </c>
      <c r="L177" s="391">
        <f t="shared" si="78"/>
        <v>14577</v>
      </c>
      <c r="M177" s="391">
        <f>M175+M176</f>
        <v>13935</v>
      </c>
      <c r="N177" s="391">
        <f>N175+N176</f>
        <v>13936</v>
      </c>
      <c r="O177" s="391">
        <f>O175+O176</f>
        <v>14282</v>
      </c>
      <c r="Q177" s="383"/>
    </row>
    <row r="178" spans="1:17">
      <c r="A178" s="383" t="s">
        <v>5389</v>
      </c>
      <c r="B178" s="383" t="s">
        <v>3566</v>
      </c>
      <c r="C178" s="55" t="s">
        <v>11560</v>
      </c>
      <c r="D178" s="385">
        <v>67559</v>
      </c>
      <c r="E178" s="385">
        <v>67792</v>
      </c>
      <c r="F178" s="385">
        <v>68196</v>
      </c>
      <c r="G178" s="385">
        <v>68718</v>
      </c>
      <c r="H178" s="63">
        <v>69002</v>
      </c>
      <c r="I178" s="63">
        <v>68537</v>
      </c>
      <c r="J178" s="63">
        <v>66987</v>
      </c>
      <c r="K178" s="63">
        <v>14093</v>
      </c>
      <c r="L178" s="63">
        <v>14117</v>
      </c>
      <c r="M178" s="63">
        <v>13466</v>
      </c>
      <c r="N178" s="63">
        <v>13468</v>
      </c>
      <c r="O178" s="63">
        <v>13707</v>
      </c>
      <c r="Q178" s="383" t="s">
        <v>546</v>
      </c>
    </row>
    <row r="179" spans="1:17">
      <c r="A179" s="383" t="s">
        <v>5391</v>
      </c>
      <c r="B179" s="383" t="s">
        <v>3567</v>
      </c>
      <c r="C179" s="55" t="s">
        <v>11561</v>
      </c>
      <c r="D179" s="395">
        <v>0</v>
      </c>
      <c r="E179" s="395">
        <v>0</v>
      </c>
      <c r="F179" s="395">
        <v>0</v>
      </c>
      <c r="G179" s="395">
        <v>0</v>
      </c>
      <c r="H179" s="63">
        <v>0</v>
      </c>
      <c r="I179" s="63">
        <v>0</v>
      </c>
      <c r="J179" s="63">
        <v>0</v>
      </c>
      <c r="K179" s="63">
        <v>967</v>
      </c>
      <c r="L179" s="63">
        <v>966</v>
      </c>
      <c r="M179" s="63">
        <v>904</v>
      </c>
      <c r="N179" s="63">
        <v>904</v>
      </c>
      <c r="O179" s="63">
        <v>940</v>
      </c>
      <c r="Q179" s="383" t="s">
        <v>545</v>
      </c>
    </row>
    <row r="180" spans="1:17" ht="15.75" thickBot="1">
      <c r="A180" s="383"/>
      <c r="B180" s="383"/>
      <c r="C180" s="55" t="s">
        <v>11561</v>
      </c>
      <c r="D180" s="395">
        <v>0</v>
      </c>
      <c r="E180" s="395">
        <v>0</v>
      </c>
      <c r="F180" s="395">
        <v>0</v>
      </c>
      <c r="G180" s="395">
        <v>0</v>
      </c>
      <c r="H180" s="63">
        <v>0</v>
      </c>
      <c r="I180" s="63">
        <v>0</v>
      </c>
      <c r="J180" s="63">
        <v>0</v>
      </c>
      <c r="K180" s="63">
        <v>12249</v>
      </c>
      <c r="L180" s="63">
        <v>12428</v>
      </c>
      <c r="M180" s="63">
        <v>11884</v>
      </c>
      <c r="N180" s="63">
        <v>11884</v>
      </c>
      <c r="O180" s="63">
        <v>12104</v>
      </c>
      <c r="Q180" s="383" t="s">
        <v>546</v>
      </c>
    </row>
    <row r="181" spans="1:17" ht="15.75" thickBot="1">
      <c r="A181" s="383"/>
      <c r="B181" s="383"/>
      <c r="C181" s="55" t="s">
        <v>11561</v>
      </c>
      <c r="D181" s="391">
        <f>D179+D180</f>
        <v>0</v>
      </c>
      <c r="E181" s="391">
        <f t="shared" ref="E181:L181" si="79">E179+E180</f>
        <v>0</v>
      </c>
      <c r="F181" s="391">
        <f t="shared" si="79"/>
        <v>0</v>
      </c>
      <c r="G181" s="391">
        <f t="shared" si="79"/>
        <v>0</v>
      </c>
      <c r="H181" s="391">
        <f t="shared" si="79"/>
        <v>0</v>
      </c>
      <c r="I181" s="391">
        <f t="shared" si="79"/>
        <v>0</v>
      </c>
      <c r="J181" s="391">
        <f t="shared" si="79"/>
        <v>0</v>
      </c>
      <c r="K181" s="391">
        <f t="shared" si="79"/>
        <v>13216</v>
      </c>
      <c r="L181" s="391">
        <f t="shared" si="79"/>
        <v>13394</v>
      </c>
      <c r="M181" s="391">
        <f>M179+M180</f>
        <v>12788</v>
      </c>
      <c r="N181" s="391">
        <f>N179+N180</f>
        <v>12788</v>
      </c>
      <c r="O181" s="391">
        <f>O179+O180</f>
        <v>13044</v>
      </c>
      <c r="Q181" s="383"/>
    </row>
    <row r="182" spans="1:17">
      <c r="A182" s="383" t="s">
        <v>5393</v>
      </c>
      <c r="B182" s="383" t="s">
        <v>11563</v>
      </c>
      <c r="C182" s="55" t="s">
        <v>11562</v>
      </c>
      <c r="D182" s="385">
        <v>65515</v>
      </c>
      <c r="E182" s="385">
        <v>69975</v>
      </c>
      <c r="F182" s="385">
        <v>71652</v>
      </c>
      <c r="G182" s="385">
        <v>74020</v>
      </c>
      <c r="H182" s="63">
        <v>70842</v>
      </c>
      <c r="I182" s="63">
        <v>68091</v>
      </c>
      <c r="J182" s="63">
        <v>67917</v>
      </c>
      <c r="K182" s="63">
        <v>16674</v>
      </c>
      <c r="L182" s="63">
        <v>19497</v>
      </c>
      <c r="M182" s="63">
        <v>18909</v>
      </c>
      <c r="N182" s="63">
        <v>18916</v>
      </c>
      <c r="O182" s="63">
        <v>21989</v>
      </c>
      <c r="Q182" s="383" t="s">
        <v>543</v>
      </c>
    </row>
    <row r="183" spans="1:17">
      <c r="A183" s="383" t="s">
        <v>5394</v>
      </c>
      <c r="B183" s="383" t="s">
        <v>3568</v>
      </c>
      <c r="C183" s="55" t="s">
        <v>11564</v>
      </c>
      <c r="D183" s="385">
        <v>68194</v>
      </c>
      <c r="E183" s="385">
        <v>69206</v>
      </c>
      <c r="F183" s="385">
        <v>69954</v>
      </c>
      <c r="G183" s="385">
        <v>71442</v>
      </c>
      <c r="H183" s="63">
        <v>70422</v>
      </c>
      <c r="I183" s="63">
        <v>69679</v>
      </c>
      <c r="J183" s="63">
        <v>67717</v>
      </c>
      <c r="K183" s="63">
        <v>13648</v>
      </c>
      <c r="L183" s="63">
        <v>13986</v>
      </c>
      <c r="M183" s="63">
        <v>13230</v>
      </c>
      <c r="N183" s="63">
        <v>13232</v>
      </c>
      <c r="O183" s="63">
        <v>14040</v>
      </c>
      <c r="Q183" s="383" t="s">
        <v>542</v>
      </c>
    </row>
    <row r="184" spans="1:17">
      <c r="A184" s="383" t="s">
        <v>5416</v>
      </c>
      <c r="B184" s="383" t="s">
        <v>953</v>
      </c>
      <c r="C184" s="55" t="s">
        <v>11565</v>
      </c>
      <c r="D184" s="385">
        <v>0</v>
      </c>
      <c r="E184" s="385">
        <v>0</v>
      </c>
      <c r="F184" s="385">
        <v>0</v>
      </c>
      <c r="G184" s="385">
        <v>0</v>
      </c>
      <c r="H184" s="63">
        <v>0</v>
      </c>
      <c r="I184" s="63">
        <v>0</v>
      </c>
      <c r="J184" s="63">
        <v>0</v>
      </c>
      <c r="K184" s="63">
        <v>7933</v>
      </c>
      <c r="L184" s="63">
        <v>9265</v>
      </c>
      <c r="M184" s="63">
        <v>12884</v>
      </c>
      <c r="N184" s="63">
        <v>12890</v>
      </c>
      <c r="O184" s="63">
        <v>15715</v>
      </c>
      <c r="Q184" s="383" t="s">
        <v>543</v>
      </c>
    </row>
    <row r="185" spans="1:17">
      <c r="A185" s="383" t="s">
        <v>5418</v>
      </c>
      <c r="B185" s="383" t="s">
        <v>11588</v>
      </c>
      <c r="C185" s="55" t="s">
        <v>11566</v>
      </c>
      <c r="D185" s="395">
        <v>0</v>
      </c>
      <c r="E185" s="395">
        <v>0</v>
      </c>
      <c r="F185" s="395">
        <v>0</v>
      </c>
      <c r="G185" s="395">
        <v>0</v>
      </c>
      <c r="H185" s="63">
        <v>0</v>
      </c>
      <c r="I185" s="63">
        <v>0</v>
      </c>
      <c r="J185" s="63">
        <v>0</v>
      </c>
      <c r="K185" s="63">
        <v>803</v>
      </c>
      <c r="L185" s="63">
        <v>920</v>
      </c>
      <c r="M185" s="63">
        <v>858</v>
      </c>
      <c r="N185" s="63">
        <v>859</v>
      </c>
      <c r="O185" s="63">
        <v>951</v>
      </c>
      <c r="Q185" s="383" t="s">
        <v>543</v>
      </c>
    </row>
    <row r="186" spans="1:17" ht="15.75" thickBot="1">
      <c r="A186" s="383"/>
      <c r="B186" s="383"/>
      <c r="C186" s="55" t="s">
        <v>11566</v>
      </c>
      <c r="D186" s="395">
        <v>0</v>
      </c>
      <c r="E186" s="395">
        <v>0</v>
      </c>
      <c r="F186" s="395">
        <v>0</v>
      </c>
      <c r="G186" s="395">
        <v>0</v>
      </c>
      <c r="H186" s="63">
        <v>0</v>
      </c>
      <c r="I186" s="63">
        <v>0</v>
      </c>
      <c r="J186" s="63">
        <v>0</v>
      </c>
      <c r="K186" s="63">
        <v>13494</v>
      </c>
      <c r="L186" s="63">
        <v>15076</v>
      </c>
      <c r="M186" s="63">
        <v>13471</v>
      </c>
      <c r="N186" s="63">
        <v>13487</v>
      </c>
      <c r="O186" s="63">
        <v>14617</v>
      </c>
      <c r="Q186" s="383" t="s">
        <v>544</v>
      </c>
    </row>
    <row r="187" spans="1:17" ht="15.75" thickBot="1">
      <c r="A187" s="383"/>
      <c r="B187" s="383"/>
      <c r="C187" s="55" t="s">
        <v>11566</v>
      </c>
      <c r="D187" s="391">
        <f>D185+D186</f>
        <v>0</v>
      </c>
      <c r="E187" s="391">
        <f t="shared" ref="E187:L187" si="80">E185+E186</f>
        <v>0</v>
      </c>
      <c r="F187" s="391">
        <f t="shared" si="80"/>
        <v>0</v>
      </c>
      <c r="G187" s="391">
        <f t="shared" si="80"/>
        <v>0</v>
      </c>
      <c r="H187" s="391">
        <f t="shared" si="80"/>
        <v>0</v>
      </c>
      <c r="I187" s="391">
        <f t="shared" si="80"/>
        <v>0</v>
      </c>
      <c r="J187" s="391">
        <f t="shared" si="80"/>
        <v>0</v>
      </c>
      <c r="K187" s="391">
        <f t="shared" si="80"/>
        <v>14297</v>
      </c>
      <c r="L187" s="391">
        <f t="shared" si="80"/>
        <v>15996</v>
      </c>
      <c r="M187" s="391">
        <f>M185+M186</f>
        <v>14329</v>
      </c>
      <c r="N187" s="391">
        <f>N185+N186</f>
        <v>14346</v>
      </c>
      <c r="O187" s="391">
        <f>O185+O186</f>
        <v>15568</v>
      </c>
      <c r="Q187" s="383"/>
    </row>
    <row r="188" spans="1:17">
      <c r="A188" s="383" t="s">
        <v>5420</v>
      </c>
      <c r="B188" s="383" t="s">
        <v>3569</v>
      </c>
      <c r="C188" s="55" t="s">
        <v>11567</v>
      </c>
      <c r="D188" s="385">
        <v>0</v>
      </c>
      <c r="E188" s="385">
        <v>0</v>
      </c>
      <c r="F188" s="385">
        <v>0</v>
      </c>
      <c r="G188" s="385">
        <v>0</v>
      </c>
      <c r="H188" s="63">
        <v>0</v>
      </c>
      <c r="I188" s="63">
        <v>0</v>
      </c>
      <c r="J188" s="63">
        <v>0</v>
      </c>
      <c r="K188" s="63">
        <v>12882</v>
      </c>
      <c r="L188" s="63">
        <v>13359</v>
      </c>
      <c r="M188" s="63">
        <v>12779</v>
      </c>
      <c r="N188" s="63">
        <v>12777</v>
      </c>
      <c r="O188" s="63">
        <v>13279</v>
      </c>
      <c r="Q188" s="383" t="s">
        <v>546</v>
      </c>
    </row>
    <row r="189" spans="1:17">
      <c r="A189" s="383" t="s">
        <v>5422</v>
      </c>
      <c r="B189" s="383" t="s">
        <v>11589</v>
      </c>
      <c r="C189" s="55" t="s">
        <v>11568</v>
      </c>
      <c r="D189" s="395">
        <v>0</v>
      </c>
      <c r="E189" s="395">
        <v>0</v>
      </c>
      <c r="F189" s="395">
        <v>0</v>
      </c>
      <c r="G189" s="395">
        <v>0</v>
      </c>
      <c r="H189" s="63">
        <v>0</v>
      </c>
      <c r="I189" s="63">
        <v>0</v>
      </c>
      <c r="J189" s="63">
        <v>0</v>
      </c>
      <c r="K189" s="63">
        <v>14847</v>
      </c>
      <c r="L189" s="63">
        <v>15062</v>
      </c>
      <c r="M189" s="63">
        <v>14458</v>
      </c>
      <c r="N189" s="63">
        <v>14458</v>
      </c>
      <c r="O189" s="63">
        <v>14926</v>
      </c>
      <c r="Q189" s="383" t="s">
        <v>544</v>
      </c>
    </row>
    <row r="190" spans="1:17" ht="15.75" thickBot="1">
      <c r="A190" s="383"/>
      <c r="B190" s="383"/>
      <c r="C190" s="55" t="s">
        <v>11568</v>
      </c>
      <c r="D190" s="395">
        <v>0</v>
      </c>
      <c r="E190" s="395">
        <v>0</v>
      </c>
      <c r="F190" s="395">
        <v>0</v>
      </c>
      <c r="G190" s="395">
        <v>0</v>
      </c>
      <c r="H190" s="63">
        <v>0</v>
      </c>
      <c r="I190" s="63">
        <v>0</v>
      </c>
      <c r="J190" s="63">
        <v>0</v>
      </c>
      <c r="K190" s="63">
        <v>212</v>
      </c>
      <c r="L190" s="63">
        <v>217</v>
      </c>
      <c r="M190" s="63">
        <v>204</v>
      </c>
      <c r="N190" s="63">
        <v>204</v>
      </c>
      <c r="O190" s="63">
        <v>211</v>
      </c>
      <c r="Q190" s="383" t="s">
        <v>545</v>
      </c>
    </row>
    <row r="191" spans="1:17" ht="15.75" thickBot="1">
      <c r="A191" s="383"/>
      <c r="B191" s="383"/>
      <c r="C191" s="55" t="s">
        <v>11568</v>
      </c>
      <c r="D191" s="391">
        <f>D189+D190</f>
        <v>0</v>
      </c>
      <c r="E191" s="391">
        <f t="shared" ref="E191:L191" si="81">E189+E190</f>
        <v>0</v>
      </c>
      <c r="F191" s="391">
        <f t="shared" si="81"/>
        <v>0</v>
      </c>
      <c r="G191" s="391">
        <f t="shared" si="81"/>
        <v>0</v>
      </c>
      <c r="H191" s="391">
        <f t="shared" si="81"/>
        <v>0</v>
      </c>
      <c r="I191" s="391">
        <f t="shared" si="81"/>
        <v>0</v>
      </c>
      <c r="J191" s="391">
        <f t="shared" si="81"/>
        <v>0</v>
      </c>
      <c r="K191" s="391">
        <f t="shared" si="81"/>
        <v>15059</v>
      </c>
      <c r="L191" s="391">
        <f t="shared" si="81"/>
        <v>15279</v>
      </c>
      <c r="M191" s="391">
        <f>M189+M190</f>
        <v>14662</v>
      </c>
      <c r="N191" s="391">
        <f>N189+N190</f>
        <v>14662</v>
      </c>
      <c r="O191" s="391">
        <f>O189+O190</f>
        <v>15137</v>
      </c>
      <c r="Q191" s="383"/>
    </row>
    <row r="192" spans="1:17">
      <c r="A192" s="383" t="s">
        <v>5424</v>
      </c>
      <c r="B192" s="383" t="s">
        <v>3570</v>
      </c>
      <c r="C192" s="55" t="s">
        <v>11569</v>
      </c>
      <c r="D192" s="385">
        <v>42775</v>
      </c>
      <c r="E192" s="385">
        <v>43075</v>
      </c>
      <c r="F192" s="385">
        <v>43191</v>
      </c>
      <c r="G192" s="385">
        <v>43505</v>
      </c>
      <c r="H192" s="63">
        <v>43169</v>
      </c>
      <c r="I192" s="63">
        <v>43012</v>
      </c>
      <c r="J192" s="63">
        <v>42537</v>
      </c>
      <c r="K192" s="63">
        <v>14615</v>
      </c>
      <c r="L192" s="63">
        <v>14650</v>
      </c>
      <c r="M192" s="63">
        <v>14053</v>
      </c>
      <c r="N192" s="63">
        <v>14055</v>
      </c>
      <c r="O192" s="63">
        <v>14227</v>
      </c>
      <c r="Q192" s="383" t="s">
        <v>537</v>
      </c>
    </row>
    <row r="193" spans="1:17">
      <c r="A193" s="383" t="s">
        <v>5426</v>
      </c>
      <c r="B193" s="383" t="s">
        <v>3571</v>
      </c>
      <c r="C193" s="55" t="s">
        <v>11570</v>
      </c>
      <c r="D193" s="395">
        <v>0</v>
      </c>
      <c r="E193" s="395">
        <v>0</v>
      </c>
      <c r="F193" s="395">
        <v>0</v>
      </c>
      <c r="G193" s="395">
        <v>0</v>
      </c>
      <c r="H193" s="63">
        <v>0</v>
      </c>
      <c r="I193" s="63">
        <v>0</v>
      </c>
      <c r="J193" s="63">
        <v>0</v>
      </c>
      <c r="K193" s="63">
        <v>2402</v>
      </c>
      <c r="L193" s="63">
        <v>2451</v>
      </c>
      <c r="M193" s="63">
        <v>2424</v>
      </c>
      <c r="N193" s="63">
        <v>2425</v>
      </c>
      <c r="O193" s="63">
        <v>2504</v>
      </c>
      <c r="Q193" s="383" t="s">
        <v>543</v>
      </c>
    </row>
    <row r="194" spans="1:17" ht="15.75" thickBot="1">
      <c r="A194" s="383"/>
      <c r="B194" s="383"/>
      <c r="C194" s="55" t="s">
        <v>11570</v>
      </c>
      <c r="D194" s="395">
        <v>0</v>
      </c>
      <c r="E194" s="395">
        <v>0</v>
      </c>
      <c r="F194" s="395">
        <v>0</v>
      </c>
      <c r="G194" s="395">
        <v>0</v>
      </c>
      <c r="H194" s="63">
        <v>0</v>
      </c>
      <c r="I194" s="63">
        <v>0</v>
      </c>
      <c r="J194" s="63">
        <v>0</v>
      </c>
      <c r="K194" s="63">
        <v>13744</v>
      </c>
      <c r="L194" s="63">
        <v>13949</v>
      </c>
      <c r="M194" s="63">
        <v>13046</v>
      </c>
      <c r="N194" s="63">
        <v>13054</v>
      </c>
      <c r="O194" s="63">
        <v>13690</v>
      </c>
      <c r="Q194" s="383" t="s">
        <v>544</v>
      </c>
    </row>
    <row r="195" spans="1:17" ht="15.75" thickBot="1">
      <c r="A195" s="383"/>
      <c r="B195" s="383"/>
      <c r="C195" s="55" t="s">
        <v>11570</v>
      </c>
      <c r="D195" s="391">
        <f>D193+D194</f>
        <v>0</v>
      </c>
      <c r="E195" s="391">
        <f t="shared" ref="E195:L195" si="82">E193+E194</f>
        <v>0</v>
      </c>
      <c r="F195" s="391">
        <f t="shared" si="82"/>
        <v>0</v>
      </c>
      <c r="G195" s="391">
        <f t="shared" si="82"/>
        <v>0</v>
      </c>
      <c r="H195" s="391">
        <f t="shared" si="82"/>
        <v>0</v>
      </c>
      <c r="I195" s="391">
        <f t="shared" si="82"/>
        <v>0</v>
      </c>
      <c r="J195" s="391">
        <f t="shared" si="82"/>
        <v>0</v>
      </c>
      <c r="K195" s="391">
        <f t="shared" si="82"/>
        <v>16146</v>
      </c>
      <c r="L195" s="391">
        <f t="shared" si="82"/>
        <v>16400</v>
      </c>
      <c r="M195" s="391">
        <f>M193+M194</f>
        <v>15470</v>
      </c>
      <c r="N195" s="391">
        <f>N193+N194</f>
        <v>15479</v>
      </c>
      <c r="O195" s="391">
        <f>O193+O194</f>
        <v>16194</v>
      </c>
      <c r="Q195" s="383"/>
    </row>
    <row r="196" spans="1:17">
      <c r="A196" s="383" t="s">
        <v>5428</v>
      </c>
      <c r="B196" s="383" t="s">
        <v>3572</v>
      </c>
      <c r="C196" s="55" t="s">
        <v>11571</v>
      </c>
      <c r="D196" s="385">
        <v>0</v>
      </c>
      <c r="E196" s="385">
        <v>0</v>
      </c>
      <c r="F196" s="385">
        <v>0</v>
      </c>
      <c r="G196" s="385">
        <v>0</v>
      </c>
      <c r="H196" s="63">
        <v>0</v>
      </c>
      <c r="I196" s="63">
        <v>0</v>
      </c>
      <c r="J196" s="63">
        <v>0</v>
      </c>
      <c r="K196" s="63">
        <v>14167</v>
      </c>
      <c r="L196" s="63">
        <v>14562</v>
      </c>
      <c r="M196" s="63">
        <v>13876</v>
      </c>
      <c r="N196" s="63">
        <v>13878</v>
      </c>
      <c r="O196" s="63">
        <v>14232</v>
      </c>
      <c r="Q196" s="383" t="s">
        <v>542</v>
      </c>
    </row>
    <row r="197" spans="1:17">
      <c r="A197" s="383" t="s">
        <v>5429</v>
      </c>
      <c r="B197" s="383" t="s">
        <v>2173</v>
      </c>
      <c r="C197" s="55" t="s">
        <v>11572</v>
      </c>
      <c r="D197" s="395">
        <v>0</v>
      </c>
      <c r="E197" s="395">
        <v>0</v>
      </c>
      <c r="F197" s="395">
        <v>0</v>
      </c>
      <c r="G197" s="395">
        <v>0</v>
      </c>
      <c r="H197" s="63">
        <v>0</v>
      </c>
      <c r="I197" s="63">
        <v>0</v>
      </c>
      <c r="J197" s="63">
        <v>0</v>
      </c>
      <c r="K197" s="63">
        <v>119</v>
      </c>
      <c r="L197" s="63">
        <v>131</v>
      </c>
      <c r="M197" s="63">
        <v>115</v>
      </c>
      <c r="N197" s="63">
        <v>115</v>
      </c>
      <c r="O197" s="63">
        <v>117</v>
      </c>
      <c r="Q197" s="383" t="s">
        <v>543</v>
      </c>
    </row>
    <row r="198" spans="1:17" ht="15.75" thickBot="1">
      <c r="A198" s="383"/>
      <c r="B198" s="383"/>
      <c r="C198" s="55" t="s">
        <v>11572</v>
      </c>
      <c r="D198" s="395">
        <v>0</v>
      </c>
      <c r="E198" s="395">
        <v>0</v>
      </c>
      <c r="F198" s="395">
        <v>0</v>
      </c>
      <c r="G198" s="395">
        <v>0</v>
      </c>
      <c r="H198" s="63">
        <v>0</v>
      </c>
      <c r="I198" s="63">
        <v>0</v>
      </c>
      <c r="J198" s="63">
        <v>0</v>
      </c>
      <c r="K198" s="63">
        <v>15451</v>
      </c>
      <c r="L198" s="63">
        <v>15175</v>
      </c>
      <c r="M198" s="63">
        <v>13544</v>
      </c>
      <c r="N198" s="63">
        <v>13552</v>
      </c>
      <c r="O198" s="63">
        <v>14882</v>
      </c>
      <c r="Q198" s="383" t="s">
        <v>544</v>
      </c>
    </row>
    <row r="199" spans="1:17" ht="15.75" thickBot="1">
      <c r="A199" s="383"/>
      <c r="B199" s="383"/>
      <c r="C199" s="55" t="s">
        <v>11572</v>
      </c>
      <c r="D199" s="391">
        <f>D197+D198</f>
        <v>0</v>
      </c>
      <c r="E199" s="391">
        <f t="shared" ref="E199:L199" si="83">E197+E198</f>
        <v>0</v>
      </c>
      <c r="F199" s="391">
        <f t="shared" si="83"/>
        <v>0</v>
      </c>
      <c r="G199" s="391">
        <f t="shared" si="83"/>
        <v>0</v>
      </c>
      <c r="H199" s="391">
        <f t="shared" si="83"/>
        <v>0</v>
      </c>
      <c r="I199" s="391">
        <f t="shared" si="83"/>
        <v>0</v>
      </c>
      <c r="J199" s="391">
        <f t="shared" si="83"/>
        <v>0</v>
      </c>
      <c r="K199" s="391">
        <f t="shared" si="83"/>
        <v>15570</v>
      </c>
      <c r="L199" s="391">
        <f t="shared" si="83"/>
        <v>15306</v>
      </c>
      <c r="M199" s="391">
        <f>M197+M198</f>
        <v>13659</v>
      </c>
      <c r="N199" s="391">
        <f>N197+N198</f>
        <v>13667</v>
      </c>
      <c r="O199" s="391">
        <f>O197+O198</f>
        <v>14999</v>
      </c>
      <c r="Q199" s="383"/>
    </row>
    <row r="200" spans="1:17">
      <c r="A200" s="383" t="s">
        <v>5431</v>
      </c>
      <c r="B200" s="383" t="s">
        <v>2174</v>
      </c>
      <c r="C200" s="55" t="s">
        <v>11573</v>
      </c>
      <c r="D200" s="385">
        <v>65904</v>
      </c>
      <c r="E200" s="385">
        <v>66432</v>
      </c>
      <c r="F200" s="385">
        <v>67068</v>
      </c>
      <c r="G200" s="385">
        <v>67911</v>
      </c>
      <c r="H200" s="63">
        <v>67646</v>
      </c>
      <c r="I200" s="63">
        <v>66987</v>
      </c>
      <c r="J200" s="63">
        <v>65857</v>
      </c>
      <c r="K200" s="63">
        <v>13832</v>
      </c>
      <c r="L200" s="63">
        <v>13985</v>
      </c>
      <c r="M200" s="63">
        <v>13180</v>
      </c>
      <c r="N200" s="63">
        <v>13186</v>
      </c>
      <c r="O200" s="63">
        <v>13789</v>
      </c>
      <c r="Q200" s="383" t="s">
        <v>545</v>
      </c>
    </row>
    <row r="201" spans="1:17">
      <c r="A201" s="383" t="s">
        <v>5433</v>
      </c>
      <c r="B201" s="383" t="s">
        <v>2175</v>
      </c>
      <c r="C201" s="55" t="s">
        <v>11574</v>
      </c>
      <c r="D201" s="385">
        <v>0</v>
      </c>
      <c r="E201" s="385">
        <v>0</v>
      </c>
      <c r="F201" s="385">
        <v>0</v>
      </c>
      <c r="G201" s="385">
        <v>0</v>
      </c>
      <c r="H201" s="63">
        <v>0</v>
      </c>
      <c r="I201" s="63">
        <v>0</v>
      </c>
      <c r="J201" s="63">
        <v>0</v>
      </c>
      <c r="K201" s="63">
        <v>13591</v>
      </c>
      <c r="L201" s="63">
        <v>13733</v>
      </c>
      <c r="M201" s="63">
        <v>13004</v>
      </c>
      <c r="N201" s="63">
        <v>13008</v>
      </c>
      <c r="O201" s="63">
        <v>13545</v>
      </c>
      <c r="Q201" s="383" t="s">
        <v>545</v>
      </c>
    </row>
    <row r="202" spans="1:17">
      <c r="A202" s="383" t="s">
        <v>5435</v>
      </c>
      <c r="B202" s="383" t="s">
        <v>1348</v>
      </c>
      <c r="C202" s="55" t="s">
        <v>11575</v>
      </c>
      <c r="D202" s="395">
        <v>0</v>
      </c>
      <c r="E202" s="395">
        <v>0</v>
      </c>
      <c r="F202" s="395">
        <v>0</v>
      </c>
      <c r="G202" s="395">
        <v>0</v>
      </c>
      <c r="H202" s="63">
        <v>0</v>
      </c>
      <c r="I202" s="63">
        <v>0</v>
      </c>
      <c r="J202" s="63">
        <v>0</v>
      </c>
      <c r="K202" s="63">
        <v>14135</v>
      </c>
      <c r="L202" s="63">
        <v>14332</v>
      </c>
      <c r="M202" s="63">
        <v>13454</v>
      </c>
      <c r="N202" s="63">
        <v>13458</v>
      </c>
      <c r="O202" s="63">
        <v>13858</v>
      </c>
      <c r="Q202" s="383" t="s">
        <v>542</v>
      </c>
    </row>
    <row r="203" spans="1:17" ht="15.75" thickBot="1">
      <c r="A203" s="383"/>
      <c r="B203" s="383"/>
      <c r="C203" s="55" t="s">
        <v>11575</v>
      </c>
      <c r="D203" s="395">
        <v>0</v>
      </c>
      <c r="E203" s="395">
        <v>0</v>
      </c>
      <c r="F203" s="395">
        <v>0</v>
      </c>
      <c r="G203" s="395">
        <v>0</v>
      </c>
      <c r="H203" s="63">
        <v>0</v>
      </c>
      <c r="I203" s="63">
        <v>0</v>
      </c>
      <c r="J203" s="63">
        <v>0</v>
      </c>
      <c r="K203" s="63">
        <v>807</v>
      </c>
      <c r="L203" s="63">
        <v>881</v>
      </c>
      <c r="M203" s="63">
        <v>835</v>
      </c>
      <c r="N203" s="63">
        <v>834</v>
      </c>
      <c r="O203" s="63">
        <v>954</v>
      </c>
      <c r="Q203" s="383" t="s">
        <v>543</v>
      </c>
    </row>
    <row r="204" spans="1:17" ht="15.75" thickBot="1">
      <c r="A204" s="383"/>
      <c r="B204" s="383"/>
      <c r="C204" s="55" t="s">
        <v>11575</v>
      </c>
      <c r="D204" s="391">
        <f>D202+D203</f>
        <v>0</v>
      </c>
      <c r="E204" s="391">
        <f t="shared" ref="E204:L204" si="84">E202+E203</f>
        <v>0</v>
      </c>
      <c r="F204" s="391">
        <f t="shared" si="84"/>
        <v>0</v>
      </c>
      <c r="G204" s="391">
        <f t="shared" si="84"/>
        <v>0</v>
      </c>
      <c r="H204" s="391">
        <f t="shared" si="84"/>
        <v>0</v>
      </c>
      <c r="I204" s="391">
        <f t="shared" si="84"/>
        <v>0</v>
      </c>
      <c r="J204" s="391">
        <f t="shared" si="84"/>
        <v>0</v>
      </c>
      <c r="K204" s="391">
        <f t="shared" si="84"/>
        <v>14942</v>
      </c>
      <c r="L204" s="391">
        <f t="shared" si="84"/>
        <v>15213</v>
      </c>
      <c r="M204" s="391">
        <f>M202+M203</f>
        <v>14289</v>
      </c>
      <c r="N204" s="391">
        <f>N202+N203</f>
        <v>14292</v>
      </c>
      <c r="O204" s="391">
        <f>O202+O203</f>
        <v>14812</v>
      </c>
      <c r="Q204" s="383"/>
    </row>
    <row r="205" spans="1:17">
      <c r="A205" s="383" t="s">
        <v>5436</v>
      </c>
      <c r="B205" s="383" t="s">
        <v>1349</v>
      </c>
      <c r="C205" s="55" t="s">
        <v>11576</v>
      </c>
      <c r="D205" s="385">
        <v>0</v>
      </c>
      <c r="E205" s="385">
        <v>0</v>
      </c>
      <c r="F205" s="385">
        <v>0</v>
      </c>
      <c r="G205" s="385">
        <v>0</v>
      </c>
      <c r="H205" s="63">
        <v>0</v>
      </c>
      <c r="I205" s="63">
        <v>0</v>
      </c>
      <c r="J205" s="63">
        <v>0</v>
      </c>
      <c r="K205" s="63">
        <v>13209</v>
      </c>
      <c r="L205" s="63">
        <v>13557</v>
      </c>
      <c r="M205" s="63">
        <v>13284</v>
      </c>
      <c r="N205" s="63">
        <v>13290</v>
      </c>
      <c r="O205" s="63">
        <v>14295</v>
      </c>
      <c r="Q205" s="383" t="s">
        <v>543</v>
      </c>
    </row>
    <row r="206" spans="1:17">
      <c r="A206" s="383" t="s">
        <v>5437</v>
      </c>
      <c r="B206" s="383" t="s">
        <v>1350</v>
      </c>
      <c r="C206" s="55" t="s">
        <v>11577</v>
      </c>
      <c r="D206" s="395">
        <v>0</v>
      </c>
      <c r="E206" s="395">
        <v>0</v>
      </c>
      <c r="F206" s="395">
        <v>0</v>
      </c>
      <c r="G206" s="395">
        <v>0</v>
      </c>
      <c r="H206" s="63">
        <v>0</v>
      </c>
      <c r="I206" s="63">
        <v>0</v>
      </c>
      <c r="J206" s="63">
        <v>0</v>
      </c>
      <c r="K206" s="63">
        <v>13728</v>
      </c>
      <c r="L206" s="63">
        <v>13906</v>
      </c>
      <c r="M206" s="63">
        <v>13452</v>
      </c>
      <c r="N206" s="63">
        <v>13454</v>
      </c>
      <c r="O206" s="63">
        <v>13856</v>
      </c>
      <c r="Q206" s="383" t="s">
        <v>546</v>
      </c>
    </row>
    <row r="207" spans="1:17">
      <c r="A207" s="383" t="s">
        <v>5439</v>
      </c>
      <c r="B207" s="383" t="s">
        <v>11590</v>
      </c>
      <c r="C207" s="55" t="s">
        <v>11578</v>
      </c>
      <c r="D207" s="385">
        <v>0</v>
      </c>
      <c r="E207" s="385">
        <v>0</v>
      </c>
      <c r="F207" s="385">
        <v>0</v>
      </c>
      <c r="G207" s="385">
        <v>0</v>
      </c>
      <c r="H207" s="63">
        <v>0</v>
      </c>
      <c r="I207" s="63">
        <v>0</v>
      </c>
      <c r="J207" s="63">
        <v>0</v>
      </c>
      <c r="K207" s="63">
        <v>14691</v>
      </c>
      <c r="L207" s="63">
        <v>15525</v>
      </c>
      <c r="M207" s="63">
        <v>14979</v>
      </c>
      <c r="N207" s="63">
        <v>14985</v>
      </c>
      <c r="O207" s="63">
        <v>16521</v>
      </c>
      <c r="Q207" s="383" t="s">
        <v>543</v>
      </c>
    </row>
    <row r="208" spans="1:17">
      <c r="A208" s="383" t="s">
        <v>5441</v>
      </c>
      <c r="B208" s="383" t="s">
        <v>11591</v>
      </c>
      <c r="C208" s="55" t="s">
        <v>11579</v>
      </c>
      <c r="D208" s="385">
        <v>0</v>
      </c>
      <c r="E208" s="385">
        <v>0</v>
      </c>
      <c r="F208" s="385">
        <v>0</v>
      </c>
      <c r="G208" s="385">
        <v>0</v>
      </c>
      <c r="H208" s="63">
        <v>0</v>
      </c>
      <c r="I208" s="63">
        <v>0</v>
      </c>
      <c r="J208" s="63">
        <v>0</v>
      </c>
      <c r="K208" s="63">
        <v>12753</v>
      </c>
      <c r="L208" s="63">
        <v>12872</v>
      </c>
      <c r="M208" s="63">
        <v>12703</v>
      </c>
      <c r="N208" s="63">
        <v>12708</v>
      </c>
      <c r="O208" s="63">
        <v>13275</v>
      </c>
      <c r="Q208" s="383" t="s">
        <v>545</v>
      </c>
    </row>
    <row r="209" spans="1:17">
      <c r="A209" s="383" t="s">
        <v>5886</v>
      </c>
      <c r="B209" s="383" t="s">
        <v>1351</v>
      </c>
      <c r="C209" s="55" t="s">
        <v>11580</v>
      </c>
      <c r="D209" s="385">
        <v>0</v>
      </c>
      <c r="E209" s="385">
        <v>0</v>
      </c>
      <c r="F209" s="385">
        <v>0</v>
      </c>
      <c r="G209" s="385">
        <v>0</v>
      </c>
      <c r="H209" s="63">
        <v>0</v>
      </c>
      <c r="I209" s="63">
        <v>0</v>
      </c>
      <c r="J209" s="63">
        <v>0</v>
      </c>
      <c r="K209" s="63">
        <v>12465</v>
      </c>
      <c r="L209" s="63">
        <v>12421</v>
      </c>
      <c r="M209" s="63">
        <v>11828</v>
      </c>
      <c r="N209" s="63">
        <v>11830</v>
      </c>
      <c r="O209" s="63">
        <v>11992</v>
      </c>
      <c r="Q209" s="383" t="s">
        <v>545</v>
      </c>
    </row>
    <row r="210" spans="1:17" ht="15.75" thickBot="1">
      <c r="A210" s="383"/>
      <c r="B210" s="383"/>
      <c r="C210" s="55" t="s">
        <v>11580</v>
      </c>
      <c r="D210" s="395">
        <v>0</v>
      </c>
      <c r="E210" s="395">
        <v>0</v>
      </c>
      <c r="F210" s="395">
        <v>0</v>
      </c>
      <c r="G210" s="395">
        <v>0</v>
      </c>
      <c r="H210" s="63">
        <v>0</v>
      </c>
      <c r="I210" s="63">
        <v>0</v>
      </c>
      <c r="J210" s="63">
        <v>0</v>
      </c>
      <c r="K210" s="63">
        <v>2385</v>
      </c>
      <c r="L210" s="63">
        <v>2404</v>
      </c>
      <c r="M210" s="63">
        <v>2312</v>
      </c>
      <c r="N210" s="63">
        <v>2312</v>
      </c>
      <c r="O210" s="63">
        <v>2339</v>
      </c>
      <c r="Q210" s="383" t="s">
        <v>546</v>
      </c>
    </row>
    <row r="211" spans="1:17" ht="15.75" thickBot="1">
      <c r="A211" s="383"/>
      <c r="B211" s="383"/>
      <c r="C211" s="55" t="s">
        <v>11580</v>
      </c>
      <c r="D211" s="391">
        <f>D209+D210</f>
        <v>0</v>
      </c>
      <c r="E211" s="391">
        <f t="shared" ref="E211:L211" si="85">E209+E210</f>
        <v>0</v>
      </c>
      <c r="F211" s="391">
        <f t="shared" si="85"/>
        <v>0</v>
      </c>
      <c r="G211" s="391">
        <f t="shared" si="85"/>
        <v>0</v>
      </c>
      <c r="H211" s="391">
        <f t="shared" si="85"/>
        <v>0</v>
      </c>
      <c r="I211" s="391">
        <f t="shared" si="85"/>
        <v>0</v>
      </c>
      <c r="J211" s="391">
        <f t="shared" si="85"/>
        <v>0</v>
      </c>
      <c r="K211" s="391">
        <f t="shared" si="85"/>
        <v>14850</v>
      </c>
      <c r="L211" s="391">
        <f t="shared" si="85"/>
        <v>14825</v>
      </c>
      <c r="M211" s="391">
        <f>M209+M210</f>
        <v>14140</v>
      </c>
      <c r="N211" s="391">
        <f>N209+N210</f>
        <v>14142</v>
      </c>
      <c r="O211" s="391">
        <f>O209+O210</f>
        <v>14331</v>
      </c>
      <c r="Q211" s="383"/>
    </row>
    <row r="212" spans="1:17">
      <c r="A212" s="383" t="s">
        <v>5888</v>
      </c>
      <c r="B212" s="383" t="s">
        <v>11592</v>
      </c>
      <c r="C212" s="55" t="s">
        <v>11581</v>
      </c>
      <c r="D212" s="386">
        <v>0</v>
      </c>
      <c r="E212" s="386">
        <v>0</v>
      </c>
      <c r="F212" s="386">
        <v>0</v>
      </c>
      <c r="G212" s="386">
        <v>0</v>
      </c>
      <c r="H212" s="63">
        <v>0</v>
      </c>
      <c r="I212" s="63">
        <v>0</v>
      </c>
      <c r="J212" s="63">
        <v>0</v>
      </c>
      <c r="K212" s="63">
        <v>14004</v>
      </c>
      <c r="L212" s="63">
        <v>14226</v>
      </c>
      <c r="M212" s="63">
        <v>13535</v>
      </c>
      <c r="N212" s="63">
        <v>13535</v>
      </c>
      <c r="O212" s="63">
        <v>13879</v>
      </c>
      <c r="Q212" s="383" t="s">
        <v>542</v>
      </c>
    </row>
    <row r="213" spans="1:17">
      <c r="A213" s="383" t="s">
        <v>5889</v>
      </c>
      <c r="B213" s="383" t="s">
        <v>1352</v>
      </c>
      <c r="C213" s="55" t="s">
        <v>11582</v>
      </c>
      <c r="D213" s="386">
        <v>0</v>
      </c>
      <c r="E213" s="386">
        <v>0</v>
      </c>
      <c r="F213" s="386">
        <v>0</v>
      </c>
      <c r="G213" s="386">
        <v>0</v>
      </c>
      <c r="H213" s="63">
        <v>0</v>
      </c>
      <c r="I213" s="63">
        <v>0</v>
      </c>
      <c r="J213" s="63">
        <v>0</v>
      </c>
      <c r="K213" s="63">
        <v>14141</v>
      </c>
      <c r="L213" s="63">
        <v>14253</v>
      </c>
      <c r="M213" s="63">
        <v>13784</v>
      </c>
      <c r="N213" s="63">
        <v>13785</v>
      </c>
      <c r="O213" s="63">
        <v>14191</v>
      </c>
      <c r="Q213" s="383" t="s">
        <v>542</v>
      </c>
    </row>
    <row r="214" spans="1:17">
      <c r="A214" s="383" t="s">
        <v>4431</v>
      </c>
      <c r="B214" s="383" t="s">
        <v>1353</v>
      </c>
      <c r="C214" s="55" t="s">
        <v>11583</v>
      </c>
      <c r="D214" s="386">
        <v>68863</v>
      </c>
      <c r="E214" s="386">
        <v>70032</v>
      </c>
      <c r="F214" s="386">
        <v>69795</v>
      </c>
      <c r="G214" s="386">
        <v>70430</v>
      </c>
      <c r="H214" s="63">
        <v>70296</v>
      </c>
      <c r="I214" s="63">
        <v>68794</v>
      </c>
      <c r="J214" s="63">
        <v>70415</v>
      </c>
      <c r="K214" s="63">
        <v>14899</v>
      </c>
      <c r="L214" s="63">
        <v>14980</v>
      </c>
      <c r="M214" s="63">
        <v>14376</v>
      </c>
      <c r="N214" s="63">
        <v>14382</v>
      </c>
      <c r="O214" s="63">
        <v>14739</v>
      </c>
      <c r="Q214" s="383" t="s">
        <v>544</v>
      </c>
    </row>
    <row r="215" spans="1:17">
      <c r="A215" s="383" t="s">
        <v>4432</v>
      </c>
      <c r="B215" s="383" t="s">
        <v>11593</v>
      </c>
      <c r="C215" s="55" t="s">
        <v>11584</v>
      </c>
      <c r="D215" s="386">
        <v>0</v>
      </c>
      <c r="E215" s="386">
        <v>0</v>
      </c>
      <c r="F215" s="386">
        <v>0</v>
      </c>
      <c r="G215" s="386">
        <v>0</v>
      </c>
      <c r="H215" s="63">
        <v>0</v>
      </c>
      <c r="I215" s="63">
        <v>0</v>
      </c>
      <c r="J215" s="63">
        <v>0</v>
      </c>
      <c r="K215" s="63">
        <v>14818</v>
      </c>
      <c r="L215" s="63">
        <v>14988</v>
      </c>
      <c r="M215" s="63">
        <v>14454</v>
      </c>
      <c r="N215" s="63">
        <v>14456</v>
      </c>
      <c r="O215" s="63">
        <v>14759</v>
      </c>
      <c r="Q215" s="383" t="s">
        <v>537</v>
      </c>
    </row>
    <row r="216" spans="1:17">
      <c r="A216" s="383" t="s">
        <v>4434</v>
      </c>
      <c r="B216" s="383" t="s">
        <v>1354</v>
      </c>
      <c r="C216" s="55" t="s">
        <v>11585</v>
      </c>
      <c r="D216" s="385">
        <v>0</v>
      </c>
      <c r="E216" s="385">
        <v>0</v>
      </c>
      <c r="F216" s="385">
        <v>0</v>
      </c>
      <c r="G216" s="385">
        <v>0</v>
      </c>
      <c r="H216" s="63">
        <v>0</v>
      </c>
      <c r="I216" s="63">
        <v>0</v>
      </c>
      <c r="J216" s="63">
        <v>0</v>
      </c>
      <c r="K216" s="63">
        <v>16065</v>
      </c>
      <c r="L216" s="63">
        <v>16263</v>
      </c>
      <c r="M216" s="63">
        <v>15087</v>
      </c>
      <c r="N216" s="63">
        <v>15100</v>
      </c>
      <c r="O216" s="63">
        <v>16220</v>
      </c>
      <c r="Q216" s="383" t="s">
        <v>543</v>
      </c>
    </row>
    <row r="217" spans="1:17" ht="15.75" thickBot="1">
      <c r="A217" s="383"/>
      <c r="B217" s="383"/>
      <c r="C217" s="55" t="s">
        <v>11585</v>
      </c>
      <c r="D217" s="395">
        <v>0</v>
      </c>
      <c r="E217" s="395">
        <v>0</v>
      </c>
      <c r="F217" s="395">
        <v>0</v>
      </c>
      <c r="G217" s="395">
        <v>0</v>
      </c>
      <c r="H217" s="63">
        <v>0</v>
      </c>
      <c r="I217" s="63">
        <v>0</v>
      </c>
      <c r="J217" s="63">
        <v>0</v>
      </c>
      <c r="K217" s="63">
        <v>4</v>
      </c>
      <c r="L217" s="63">
        <v>7</v>
      </c>
      <c r="M217" s="63">
        <v>5</v>
      </c>
      <c r="N217" s="63">
        <v>5</v>
      </c>
      <c r="O217" s="63">
        <v>8</v>
      </c>
      <c r="Q217" s="383" t="s">
        <v>544</v>
      </c>
    </row>
    <row r="218" spans="1:17" ht="15.75" thickBot="1">
      <c r="A218" s="383"/>
      <c r="B218" s="383"/>
      <c r="C218" s="55" t="s">
        <v>11585</v>
      </c>
      <c r="D218" s="391">
        <f>D216+D217</f>
        <v>0</v>
      </c>
      <c r="E218" s="391">
        <f t="shared" ref="E218:L218" si="86">E216+E217</f>
        <v>0</v>
      </c>
      <c r="F218" s="391">
        <f t="shared" si="86"/>
        <v>0</v>
      </c>
      <c r="G218" s="391">
        <f t="shared" si="86"/>
        <v>0</v>
      </c>
      <c r="H218" s="391">
        <f t="shared" si="86"/>
        <v>0</v>
      </c>
      <c r="I218" s="391">
        <f t="shared" si="86"/>
        <v>0</v>
      </c>
      <c r="J218" s="391">
        <f t="shared" si="86"/>
        <v>0</v>
      </c>
      <c r="K218" s="391">
        <f t="shared" si="86"/>
        <v>16069</v>
      </c>
      <c r="L218" s="391">
        <f t="shared" si="86"/>
        <v>16270</v>
      </c>
      <c r="M218" s="391">
        <f>M216+M217</f>
        <v>15092</v>
      </c>
      <c r="N218" s="391">
        <f>N216+N217</f>
        <v>15105</v>
      </c>
      <c r="O218" s="391">
        <f>O216+O217</f>
        <v>16228</v>
      </c>
      <c r="Q218" s="383"/>
    </row>
    <row r="219" spans="1:17">
      <c r="A219" s="383" t="s">
        <v>4533</v>
      </c>
      <c r="B219" s="383" t="s">
        <v>1355</v>
      </c>
      <c r="C219" s="55" t="s">
        <v>11586</v>
      </c>
      <c r="D219" s="386">
        <v>0</v>
      </c>
      <c r="E219" s="386">
        <v>0</v>
      </c>
      <c r="F219" s="386">
        <v>0</v>
      </c>
      <c r="G219" s="386">
        <v>0</v>
      </c>
      <c r="H219" s="63">
        <v>0</v>
      </c>
      <c r="I219" s="63">
        <v>0</v>
      </c>
      <c r="J219" s="63">
        <v>0</v>
      </c>
      <c r="K219" s="63">
        <v>14370</v>
      </c>
      <c r="L219" s="63">
        <v>14363</v>
      </c>
      <c r="M219" s="63">
        <v>13834</v>
      </c>
      <c r="N219" s="63">
        <v>13839</v>
      </c>
      <c r="O219" s="63">
        <v>13947</v>
      </c>
      <c r="Q219" s="383" t="s">
        <v>537</v>
      </c>
    </row>
    <row r="220" spans="1:17">
      <c r="A220" s="383" t="s">
        <v>4535</v>
      </c>
      <c r="B220" s="383" t="s">
        <v>5443</v>
      </c>
      <c r="C220" s="55" t="s">
        <v>11587</v>
      </c>
      <c r="D220" s="386">
        <v>0</v>
      </c>
      <c r="E220" s="386">
        <v>0</v>
      </c>
      <c r="F220" s="386">
        <v>0</v>
      </c>
      <c r="G220" s="386">
        <v>0</v>
      </c>
      <c r="H220" s="63">
        <v>0</v>
      </c>
      <c r="I220" s="63">
        <v>0</v>
      </c>
      <c r="J220" s="63">
        <v>0</v>
      </c>
      <c r="K220" s="63">
        <v>13702</v>
      </c>
      <c r="L220" s="63">
        <v>13570</v>
      </c>
      <c r="M220" s="63">
        <v>13136</v>
      </c>
      <c r="N220" s="63">
        <v>13136</v>
      </c>
      <c r="O220" s="63">
        <v>13434</v>
      </c>
      <c r="Q220" s="383" t="s">
        <v>546</v>
      </c>
    </row>
    <row r="221" spans="1:17">
      <c r="D221" s="386"/>
      <c r="E221" s="386"/>
      <c r="F221" s="386"/>
      <c r="G221" s="386"/>
      <c r="H221" s="386"/>
      <c r="I221" s="386"/>
      <c r="J221" s="386"/>
      <c r="K221" s="386"/>
      <c r="L221" s="386"/>
      <c r="M221" s="386"/>
      <c r="N221" s="386"/>
      <c r="O221" s="386"/>
    </row>
    <row r="222" spans="1:17">
      <c r="A222" s="383" t="s">
        <v>1356</v>
      </c>
      <c r="D222" s="385">
        <f t="shared" ref="D222:J222" si="87">D192+D215+D219</f>
        <v>42775</v>
      </c>
      <c r="E222" s="385">
        <f t="shared" si="87"/>
        <v>43075</v>
      </c>
      <c r="F222" s="385">
        <f t="shared" si="87"/>
        <v>43191</v>
      </c>
      <c r="G222" s="385">
        <f t="shared" si="87"/>
        <v>43505</v>
      </c>
      <c r="H222" s="385">
        <f t="shared" si="87"/>
        <v>43169</v>
      </c>
      <c r="I222" s="385">
        <f t="shared" si="87"/>
        <v>43012</v>
      </c>
      <c r="J222" s="385">
        <f t="shared" si="87"/>
        <v>42537</v>
      </c>
      <c r="K222" s="385">
        <f>K192+K215+K219</f>
        <v>43803</v>
      </c>
      <c r="L222" s="385">
        <f>L192+L215+L219</f>
        <v>44001</v>
      </c>
      <c r="M222" s="385">
        <f>M192+M215+M219</f>
        <v>42341</v>
      </c>
      <c r="N222" s="385">
        <f>N192+N215+N219</f>
        <v>42350</v>
      </c>
      <c r="O222" s="385">
        <f>O192+O215+O219</f>
        <v>42933</v>
      </c>
    </row>
    <row r="223" spans="1:17">
      <c r="A223" s="383" t="s">
        <v>542</v>
      </c>
      <c r="D223" s="385">
        <f t="shared" ref="D223:J223" si="88">D183+D196+D202+D212+D213</f>
        <v>68194</v>
      </c>
      <c r="E223" s="385">
        <f t="shared" si="88"/>
        <v>69206</v>
      </c>
      <c r="F223" s="385">
        <f t="shared" si="88"/>
        <v>69954</v>
      </c>
      <c r="G223" s="385">
        <f t="shared" si="88"/>
        <v>71442</v>
      </c>
      <c r="H223" s="385">
        <f t="shared" si="88"/>
        <v>70422</v>
      </c>
      <c r="I223" s="385">
        <f t="shared" si="88"/>
        <v>69679</v>
      </c>
      <c r="J223" s="385">
        <f t="shared" si="88"/>
        <v>67717</v>
      </c>
      <c r="K223" s="385">
        <f>K183+K196+K202+K212+K213</f>
        <v>70095</v>
      </c>
      <c r="L223" s="385">
        <f>L183+L196+L202+L212+L213</f>
        <v>71359</v>
      </c>
      <c r="M223" s="385">
        <f>M183+M196+M202+M212+M213</f>
        <v>67879</v>
      </c>
      <c r="N223" s="385">
        <f>N183+N196+N202+N212+N213</f>
        <v>67888</v>
      </c>
      <c r="O223" s="385">
        <f>O183+O196+O202+O212+O213</f>
        <v>70200</v>
      </c>
    </row>
    <row r="224" spans="1:17">
      <c r="A224" s="383" t="s">
        <v>543</v>
      </c>
      <c r="D224" s="385">
        <f t="shared" ref="D224:J224" si="89">D182+D184+D185+D193+D197+D203+D205+D207+D216</f>
        <v>65515</v>
      </c>
      <c r="E224" s="385">
        <f t="shared" si="89"/>
        <v>69975</v>
      </c>
      <c r="F224" s="385">
        <f t="shared" si="89"/>
        <v>71652</v>
      </c>
      <c r="G224" s="385">
        <f t="shared" si="89"/>
        <v>74020</v>
      </c>
      <c r="H224" s="385">
        <f t="shared" si="89"/>
        <v>70842</v>
      </c>
      <c r="I224" s="385">
        <f t="shared" si="89"/>
        <v>68091</v>
      </c>
      <c r="J224" s="385">
        <f t="shared" si="89"/>
        <v>67917</v>
      </c>
      <c r="K224" s="385">
        <f>K182+K184+K185+K193+K197+K203+K205+K207+K216</f>
        <v>72703</v>
      </c>
      <c r="L224" s="385">
        <f>L182+L184+L185+L193+L197+L203+L205+L207+L216</f>
        <v>78490</v>
      </c>
      <c r="M224" s="385">
        <f>M182+M184+M185+M193+M197+M203+M205+M207+M216</f>
        <v>79375</v>
      </c>
      <c r="N224" s="385">
        <f>N182+N184+N185+N193+N197+N203+N205+N207+N216</f>
        <v>79414</v>
      </c>
      <c r="O224" s="385">
        <f>O182+O184+O185+O193+O197+O203+O205+O207+O216</f>
        <v>89266</v>
      </c>
    </row>
    <row r="225" spans="1:16">
      <c r="A225" s="383" t="s">
        <v>544</v>
      </c>
      <c r="D225" s="385">
        <f t="shared" ref="D225:J225" si="90">D175+D186+D189+D194+D198+D214+D217</f>
        <v>68863</v>
      </c>
      <c r="E225" s="385">
        <f t="shared" si="90"/>
        <v>70032</v>
      </c>
      <c r="F225" s="385">
        <f t="shared" si="90"/>
        <v>69795</v>
      </c>
      <c r="G225" s="385">
        <f t="shared" si="90"/>
        <v>70430</v>
      </c>
      <c r="H225" s="385">
        <f t="shared" si="90"/>
        <v>70296</v>
      </c>
      <c r="I225" s="385">
        <f t="shared" si="90"/>
        <v>68794</v>
      </c>
      <c r="J225" s="385">
        <f t="shared" si="90"/>
        <v>70415</v>
      </c>
      <c r="K225" s="385">
        <f>K175+K186+K189+K194+K198+K214+K217</f>
        <v>72821</v>
      </c>
      <c r="L225" s="385">
        <f>L175+L186+L189+L194+L198+L214+L217</f>
        <v>74626</v>
      </c>
      <c r="M225" s="385">
        <f>M175+M186+M189+M194+M198+M214+M217</f>
        <v>69285</v>
      </c>
      <c r="N225" s="385">
        <f>N175+N186+N189+N194+N198+N214+N217</f>
        <v>69323</v>
      </c>
      <c r="O225" s="385">
        <f>O175+O186+O189+O194+O198+O214+O217</f>
        <v>73269</v>
      </c>
    </row>
    <row r="226" spans="1:16">
      <c r="A226" s="383" t="s">
        <v>545</v>
      </c>
      <c r="D226" s="385">
        <f t="shared" ref="D226:J226" si="91">D176+D179+D190+D200+D201+D208+D209</f>
        <v>65904</v>
      </c>
      <c r="E226" s="385">
        <f t="shared" si="91"/>
        <v>66432</v>
      </c>
      <c r="F226" s="385">
        <f t="shared" si="91"/>
        <v>67068</v>
      </c>
      <c r="G226" s="385">
        <f t="shared" si="91"/>
        <v>67911</v>
      </c>
      <c r="H226" s="385">
        <f t="shared" si="91"/>
        <v>67646</v>
      </c>
      <c r="I226" s="385">
        <f t="shared" si="91"/>
        <v>66987</v>
      </c>
      <c r="J226" s="385">
        <f t="shared" si="91"/>
        <v>65857</v>
      </c>
      <c r="K226" s="385">
        <f>K176+K179+K190+K200+K201+K208+K209</f>
        <v>67993</v>
      </c>
      <c r="L226" s="385">
        <f>L176+L179+L190+L200+L201+L208+L209</f>
        <v>68394</v>
      </c>
      <c r="M226" s="385">
        <f>M176+M179+M190+M200+M201+M208+M209</f>
        <v>65373</v>
      </c>
      <c r="N226" s="385">
        <f>N176+N179+N190+N200+N201+N208+N209</f>
        <v>65391</v>
      </c>
      <c r="O226" s="385">
        <f>O176+O179+O190+O200+O201+O208+O209</f>
        <v>67627</v>
      </c>
      <c r="P226" s="385"/>
    </row>
    <row r="227" spans="1:16">
      <c r="A227" s="383" t="s">
        <v>546</v>
      </c>
      <c r="D227" s="385">
        <f t="shared" ref="D227:J227" si="92">D178+D180+D188+D206+D210+D220</f>
        <v>67559</v>
      </c>
      <c r="E227" s="385">
        <f t="shared" si="92"/>
        <v>67792</v>
      </c>
      <c r="F227" s="385">
        <f t="shared" si="92"/>
        <v>68196</v>
      </c>
      <c r="G227" s="385">
        <f t="shared" si="92"/>
        <v>68718</v>
      </c>
      <c r="H227" s="385">
        <f t="shared" si="92"/>
        <v>69002</v>
      </c>
      <c r="I227" s="385">
        <f t="shared" si="92"/>
        <v>68537</v>
      </c>
      <c r="J227" s="385">
        <f t="shared" si="92"/>
        <v>66987</v>
      </c>
      <c r="K227" s="385">
        <f>K178+K180+K188+K206+K210+K220</f>
        <v>69039</v>
      </c>
      <c r="L227" s="385">
        <f>L178+L180+L188+L206+L210+L220</f>
        <v>69784</v>
      </c>
      <c r="M227" s="385">
        <f>M178+M180+M188+M206+M210+M220</f>
        <v>67029</v>
      </c>
      <c r="N227" s="385">
        <f>N178+N180+N188+N206+N210+N220</f>
        <v>67031</v>
      </c>
      <c r="O227" s="385">
        <f>O178+O180+O188+O206+O210+O220</f>
        <v>68719</v>
      </c>
    </row>
    <row r="229" spans="1:16">
      <c r="A229" s="126" t="s">
        <v>11594</v>
      </c>
    </row>
  </sheetData>
  <sortState ref="R125:V154">
    <sortCondition ref="S125:S154"/>
    <sortCondition ref="R125:R154"/>
  </sortState>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53:E53 D76:E79 F172:F173 F118:F121 F76:F85 G53:K53 D3:E25 F3:F25 G3:K25 D105:K105 D108:I108 D111:I111 D86:K86 J108 D177:K177 D181:K181 D187:K187 D191:K191 D195:K195 D199:K199 D204:K204 D211:K211 D174:K174 K108 K111 G76:K79 D218:K218 D222:K227 L172:L227 L3:L25 D27 D29:E40 D42:E48 F42:F53 G42:K48 L42:L105 F29:F40 G29:K40 L29:L40 L108 J111 L111:L114 L118:L121" unlockedFormula="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dimension ref="A1:Q70"/>
  <sheetViews>
    <sheetView showGridLines="0" zoomScale="90" zoomScaleNormal="90" workbookViewId="0">
      <selection activeCell="Q20" sqref="Q20"/>
    </sheetView>
  </sheetViews>
  <sheetFormatPr defaultColWidth="12.5703125" defaultRowHeight="15"/>
  <cols>
    <col min="1" max="1" width="4.85546875" style="125" customWidth="1"/>
    <col min="2" max="2" width="40.7109375" style="125" customWidth="1"/>
    <col min="3" max="3" width="11.5703125" style="125" customWidth="1"/>
    <col min="4" max="12" width="9.85546875" style="125" customWidth="1"/>
    <col min="13" max="15" width="10" style="125" customWidth="1"/>
    <col min="16" max="16" width="2.28515625" style="125" customWidth="1"/>
    <col min="17" max="17" width="37" style="125" customWidth="1"/>
    <col min="18" max="16384" width="12.5703125" style="125"/>
  </cols>
  <sheetData>
    <row r="1" spans="1:17">
      <c r="A1" s="375" t="s">
        <v>5719</v>
      </c>
      <c r="D1" s="376">
        <v>2010</v>
      </c>
      <c r="E1" s="376">
        <v>2011</v>
      </c>
      <c r="F1" s="376">
        <v>2012</v>
      </c>
      <c r="G1" s="376">
        <v>2013</v>
      </c>
      <c r="H1" s="376">
        <v>2014</v>
      </c>
      <c r="I1" s="376">
        <v>2015</v>
      </c>
      <c r="J1" s="376">
        <v>2016</v>
      </c>
      <c r="K1" s="376">
        <v>2017</v>
      </c>
      <c r="L1" s="376">
        <v>2018</v>
      </c>
      <c r="M1" s="376">
        <v>2019</v>
      </c>
      <c r="N1" s="376">
        <v>2020</v>
      </c>
      <c r="O1" s="941" t="s">
        <v>14823</v>
      </c>
    </row>
    <row r="3" spans="1:17">
      <c r="A3" s="375" t="s">
        <v>13</v>
      </c>
      <c r="D3" s="377">
        <f t="shared" ref="D3:L3" si="0">SUM(D25:D30,D32:D33,D35:D37,D39:D40,D42:D44,D46:D48,D50:D52,D54:D55,D57:D59,D61:D65)</f>
        <v>177545</v>
      </c>
      <c r="E3" s="377">
        <f t="shared" si="0"/>
        <v>180837</v>
      </c>
      <c r="F3" s="377">
        <f t="shared" si="0"/>
        <v>182976</v>
      </c>
      <c r="G3" s="377">
        <f t="shared" si="0"/>
        <v>183568</v>
      </c>
      <c r="H3" s="377">
        <f t="shared" si="0"/>
        <v>185487</v>
      </c>
      <c r="I3" s="377">
        <f t="shared" si="0"/>
        <v>181157</v>
      </c>
      <c r="J3" s="377">
        <f t="shared" si="0"/>
        <v>186580</v>
      </c>
      <c r="K3" s="377">
        <f t="shared" si="0"/>
        <v>185715</v>
      </c>
      <c r="L3" s="377">
        <f t="shared" si="0"/>
        <v>192561</v>
      </c>
      <c r="M3" s="377">
        <f>SUM(M25:M30,M32:M33,M35:M37,M39:M40,M42:M44,M46:M48,M50:M52,M54:M55,M57:M59,M61:M65)</f>
        <v>191459</v>
      </c>
      <c r="N3" s="377">
        <f>SUM(N25:N30,N32:N33,N35:N37,N39:N40,N42:N44,N46:N48,N50:N52,N54:N55,N57:N59,N61:N65)</f>
        <v>209571</v>
      </c>
      <c r="O3" s="377">
        <f>SUM(O25:O30,O32:O33,O35:O37,O39:O40,O42:O44,O46:O48,O50:O52,O54:O55,O57:O59,O61:O65)</f>
        <v>208424</v>
      </c>
    </row>
    <row r="5" spans="1:17">
      <c r="A5" s="375" t="s">
        <v>5720</v>
      </c>
      <c r="D5" s="377">
        <f t="shared" ref="D5:L5" si="1">D3/2</f>
        <v>88772.5</v>
      </c>
      <c r="E5" s="377">
        <f t="shared" si="1"/>
        <v>90418.5</v>
      </c>
      <c r="F5" s="377">
        <f t="shared" si="1"/>
        <v>91488</v>
      </c>
      <c r="G5" s="377">
        <f t="shared" si="1"/>
        <v>91784</v>
      </c>
      <c r="H5" s="377">
        <f t="shared" si="1"/>
        <v>92743.5</v>
      </c>
      <c r="I5" s="377">
        <f t="shared" si="1"/>
        <v>90578.5</v>
      </c>
      <c r="J5" s="377">
        <f t="shared" si="1"/>
        <v>93290</v>
      </c>
      <c r="K5" s="377">
        <f t="shared" si="1"/>
        <v>92857.5</v>
      </c>
      <c r="L5" s="377">
        <f t="shared" si="1"/>
        <v>96280.5</v>
      </c>
      <c r="M5" s="377">
        <f>M3/2</f>
        <v>95729.5</v>
      </c>
      <c r="N5" s="377">
        <f>N3/2</f>
        <v>104785.5</v>
      </c>
      <c r="O5" s="377">
        <f>O3/2</f>
        <v>104212</v>
      </c>
    </row>
    <row r="6" spans="1:17">
      <c r="D6" s="378"/>
      <c r="E6" s="378"/>
      <c r="F6" s="378"/>
      <c r="G6" s="378"/>
      <c r="H6" s="378"/>
      <c r="I6" s="378"/>
      <c r="J6" s="378"/>
      <c r="K6" s="378"/>
      <c r="L6" s="378"/>
      <c r="M6" s="378"/>
      <c r="N6" s="378"/>
      <c r="O6" s="378"/>
    </row>
    <row r="7" spans="1:17">
      <c r="A7" s="375" t="s">
        <v>609</v>
      </c>
      <c r="D7" s="377">
        <f t="shared" ref="D7:L7" si="2">SUM(D25,D28,D36,D42:D43,D46:D47,D51,D54,D58,D62,D64:D65)</f>
        <v>75838</v>
      </c>
      <c r="E7" s="377">
        <f t="shared" si="2"/>
        <v>77186</v>
      </c>
      <c r="F7" s="377">
        <f t="shared" si="2"/>
        <v>78459</v>
      </c>
      <c r="G7" s="377">
        <f t="shared" si="2"/>
        <v>79067</v>
      </c>
      <c r="H7" s="377">
        <f t="shared" si="2"/>
        <v>80467</v>
      </c>
      <c r="I7" s="377">
        <f t="shared" si="2"/>
        <v>78127</v>
      </c>
      <c r="J7" s="377">
        <f t="shared" si="2"/>
        <v>80174</v>
      </c>
      <c r="K7" s="377">
        <f t="shared" si="2"/>
        <v>80084</v>
      </c>
      <c r="L7" s="377">
        <f t="shared" si="2"/>
        <v>83643</v>
      </c>
      <c r="M7" s="377">
        <f>SUM(M25,M28,M36,M42:M43,M46:M47,M51,M54,M58,M62,M64:M65)</f>
        <v>85283</v>
      </c>
      <c r="N7" s="377">
        <f>SUM(N25,N28,N36,N42:N43,N46:N47,N51,N54,N58,N62,N64:N65)</f>
        <v>93146</v>
      </c>
      <c r="O7" s="377">
        <f>SUM(O25,O28,O36,O42:O43,O46:O47,O51,O54,O58,O62,O64:O65)</f>
        <v>92678</v>
      </c>
      <c r="Q7" s="375" t="s">
        <v>606</v>
      </c>
    </row>
    <row r="8" spans="1:17">
      <c r="D8" s="378"/>
      <c r="E8" s="378"/>
      <c r="F8" s="378"/>
      <c r="G8" s="378"/>
      <c r="H8" s="378"/>
      <c r="I8" s="378"/>
      <c r="J8" s="378"/>
      <c r="K8" s="378"/>
      <c r="L8" s="378"/>
      <c r="M8" s="378"/>
      <c r="N8" s="378"/>
      <c r="O8" s="378"/>
    </row>
    <row r="9" spans="1:17">
      <c r="A9" s="375" t="s">
        <v>610</v>
      </c>
      <c r="D9" s="377">
        <f t="shared" ref="D9:L9" si="3">SUM(D26:D27,D29,D32,D37,D39,D44,D48,D50,D52,D55,D57,D59,D61,D63)</f>
        <v>76967</v>
      </c>
      <c r="E9" s="377">
        <f t="shared" si="3"/>
        <v>78605</v>
      </c>
      <c r="F9" s="377">
        <f t="shared" si="3"/>
        <v>79172</v>
      </c>
      <c r="G9" s="377">
        <f t="shared" si="3"/>
        <v>79260</v>
      </c>
      <c r="H9" s="377">
        <f t="shared" si="3"/>
        <v>79764</v>
      </c>
      <c r="I9" s="377">
        <f t="shared" si="3"/>
        <v>78081</v>
      </c>
      <c r="J9" s="377">
        <f t="shared" si="3"/>
        <v>80375</v>
      </c>
      <c r="K9" s="377">
        <f t="shared" si="3"/>
        <v>79947</v>
      </c>
      <c r="L9" s="377">
        <f t="shared" si="3"/>
        <v>82759</v>
      </c>
      <c r="M9" s="377">
        <f>SUM(M26:M27,M29,M32,M37,M39,M44,M48,M50,M52,M55,M57,M59,M61,M63)</f>
        <v>80554</v>
      </c>
      <c r="N9" s="377">
        <f>SUM(N26:N27,N29,N32,N37,N39,N44,N48,N50,N52,N55,N57,N59,N61,N63)</f>
        <v>89135</v>
      </c>
      <c r="O9" s="377">
        <f>SUM(O26:O27,O29,O32,O37,O39,O44,O48,O50,O52,O55,O57,O59,O61,O63)</f>
        <v>88576</v>
      </c>
      <c r="Q9" s="375" t="s">
        <v>606</v>
      </c>
    </row>
    <row r="10" spans="1:17">
      <c r="D10" s="378"/>
      <c r="E10" s="378"/>
      <c r="F10" s="378"/>
      <c r="G10" s="378"/>
      <c r="H10" s="378"/>
      <c r="I10" s="378"/>
      <c r="J10" s="378"/>
      <c r="K10" s="378"/>
      <c r="L10" s="378"/>
      <c r="M10" s="378"/>
      <c r="N10" s="378"/>
      <c r="O10" s="378"/>
    </row>
    <row r="11" spans="1:17">
      <c r="A11" s="375" t="s">
        <v>604</v>
      </c>
      <c r="D11" s="377">
        <f>LAMBETH!D7</f>
        <v>46046</v>
      </c>
      <c r="E11" s="377">
        <f>LAMBETH!E7</f>
        <v>46477</v>
      </c>
      <c r="F11" s="377">
        <f>LAMBETH!F7</f>
        <v>46571</v>
      </c>
      <c r="G11" s="377">
        <f>LAMBETH!G7</f>
        <v>46651</v>
      </c>
      <c r="H11" s="377">
        <f>LAMBETH!H7</f>
        <v>47274</v>
      </c>
      <c r="I11" s="377">
        <f>LAMBETH!I7</f>
        <v>47294</v>
      </c>
      <c r="J11" s="377">
        <f>LAMBETH!J7</f>
        <v>46545</v>
      </c>
      <c r="K11" s="377">
        <f>LAMBETH!K7</f>
        <v>48087</v>
      </c>
      <c r="L11" s="377">
        <f>LAMBETH!L7</f>
        <v>48705</v>
      </c>
      <c r="M11" s="377">
        <f>LAMBETH!M7</f>
        <v>48244</v>
      </c>
      <c r="N11" s="377">
        <f>LAMBETH!N7</f>
        <v>52891</v>
      </c>
      <c r="O11" s="377">
        <f>LAMBETH!O7</f>
        <v>52461</v>
      </c>
      <c r="Q11" s="375" t="s">
        <v>605</v>
      </c>
    </row>
    <row r="12" spans="1:17" ht="15.75" thickBot="1">
      <c r="D12" s="379">
        <f t="shared" ref="D12:L12" si="4">SUM(D30,D33,D35,D40)</f>
        <v>24740</v>
      </c>
      <c r="E12" s="379">
        <f t="shared" si="4"/>
        <v>25046</v>
      </c>
      <c r="F12" s="379">
        <f t="shared" si="4"/>
        <v>25345</v>
      </c>
      <c r="G12" s="379">
        <f t="shared" si="4"/>
        <v>25241</v>
      </c>
      <c r="H12" s="379">
        <f t="shared" si="4"/>
        <v>25256</v>
      </c>
      <c r="I12" s="379">
        <f t="shared" si="4"/>
        <v>24949</v>
      </c>
      <c r="J12" s="379">
        <f t="shared" si="4"/>
        <v>26031</v>
      </c>
      <c r="K12" s="379">
        <f t="shared" si="4"/>
        <v>25684</v>
      </c>
      <c r="L12" s="379">
        <f t="shared" si="4"/>
        <v>26159</v>
      </c>
      <c r="M12" s="379">
        <f>SUM(M30,M33,M35,M40)</f>
        <v>25622</v>
      </c>
      <c r="N12" s="379">
        <f>SUM(N30,N33,N35,N40)</f>
        <v>27290</v>
      </c>
      <c r="O12" s="379">
        <f>SUM(O30,O33,O35,O40)</f>
        <v>27170</v>
      </c>
      <c r="Q12" s="375" t="s">
        <v>606</v>
      </c>
    </row>
    <row r="13" spans="1:17" ht="15.75" thickBot="1">
      <c r="D13" s="379">
        <f t="shared" ref="D13:L13" si="5">D11+D12</f>
        <v>70786</v>
      </c>
      <c r="E13" s="379">
        <f t="shared" si="5"/>
        <v>71523</v>
      </c>
      <c r="F13" s="379">
        <f t="shared" si="5"/>
        <v>71916</v>
      </c>
      <c r="G13" s="379">
        <f t="shared" si="5"/>
        <v>71892</v>
      </c>
      <c r="H13" s="379">
        <f t="shared" si="5"/>
        <v>72530</v>
      </c>
      <c r="I13" s="379">
        <f t="shared" si="5"/>
        <v>72243</v>
      </c>
      <c r="J13" s="379">
        <f t="shared" si="5"/>
        <v>72576</v>
      </c>
      <c r="K13" s="379">
        <f t="shared" si="5"/>
        <v>73771</v>
      </c>
      <c r="L13" s="379">
        <f t="shared" si="5"/>
        <v>74864</v>
      </c>
      <c r="M13" s="379">
        <f>M11+M12</f>
        <v>73866</v>
      </c>
      <c r="N13" s="379">
        <f>N11+N12</f>
        <v>80181</v>
      </c>
      <c r="O13" s="379">
        <f>O11+O12</f>
        <v>79631</v>
      </c>
    </row>
    <row r="14" spans="1:17">
      <c r="D14" s="378"/>
      <c r="E14" s="378"/>
      <c r="F14" s="378"/>
      <c r="G14" s="378"/>
      <c r="H14" s="378"/>
      <c r="I14" s="378"/>
      <c r="J14" s="378"/>
      <c r="K14" s="378"/>
      <c r="L14" s="378"/>
      <c r="M14" s="378"/>
      <c r="N14" s="378"/>
      <c r="O14" s="378"/>
    </row>
    <row r="15" spans="1:17">
      <c r="A15" s="375" t="s">
        <v>607</v>
      </c>
      <c r="D15" s="377">
        <f>LAMBETH!D11</f>
        <v>71902</v>
      </c>
      <c r="E15" s="377">
        <f>LAMBETH!E11</f>
        <v>71913</v>
      </c>
      <c r="F15" s="377">
        <f>LAMBETH!F11</f>
        <v>72460</v>
      </c>
      <c r="G15" s="377">
        <f>LAMBETH!G11</f>
        <v>72887</v>
      </c>
      <c r="H15" s="377">
        <f>LAMBETH!H11</f>
        <v>72622</v>
      </c>
      <c r="I15" s="377">
        <f>LAMBETH!I11</f>
        <v>72574</v>
      </c>
      <c r="J15" s="377">
        <f>LAMBETH!J11</f>
        <v>70286</v>
      </c>
      <c r="K15" s="377">
        <f>LAMBETH!K11</f>
        <v>73840</v>
      </c>
      <c r="L15" s="377">
        <f>LAMBETH!L11</f>
        <v>74414</v>
      </c>
      <c r="M15" s="377">
        <f>LAMBETH!M11</f>
        <v>73570</v>
      </c>
      <c r="N15" s="377">
        <f>LAMBETH!N11</f>
        <v>81910</v>
      </c>
      <c r="O15" s="377">
        <f>LAMBETH!O11</f>
        <v>80581</v>
      </c>
      <c r="Q15" s="375" t="s">
        <v>605</v>
      </c>
    </row>
    <row r="16" spans="1:17">
      <c r="D16" s="378"/>
      <c r="E16" s="378"/>
      <c r="F16" s="378"/>
      <c r="G16" s="378"/>
      <c r="H16" s="378"/>
      <c r="I16" s="378"/>
      <c r="J16" s="378"/>
      <c r="K16" s="378"/>
      <c r="L16" s="378"/>
      <c r="M16" s="378"/>
      <c r="N16" s="378"/>
      <c r="O16" s="378"/>
    </row>
    <row r="17" spans="1:17">
      <c r="A17" s="375" t="s">
        <v>608</v>
      </c>
      <c r="D17" s="377">
        <f>LAMBETH!D13</f>
        <v>71781</v>
      </c>
      <c r="E17" s="377">
        <f>LAMBETH!E13</f>
        <v>73274</v>
      </c>
      <c r="F17" s="377">
        <f>LAMBETH!F13</f>
        <v>74006</v>
      </c>
      <c r="G17" s="377">
        <f>LAMBETH!G13</f>
        <v>74009</v>
      </c>
      <c r="H17" s="377">
        <f>LAMBETH!H13</f>
        <v>73878</v>
      </c>
      <c r="I17" s="377">
        <f>LAMBETH!I13</f>
        <v>73708</v>
      </c>
      <c r="J17" s="377">
        <f>LAMBETH!J13</f>
        <v>71358</v>
      </c>
      <c r="K17" s="377">
        <f>LAMBETH!K13</f>
        <v>76234</v>
      </c>
      <c r="L17" s="377">
        <f>LAMBETH!L13</f>
        <v>77735</v>
      </c>
      <c r="M17" s="377">
        <f>LAMBETH!M13</f>
        <v>75055</v>
      </c>
      <c r="N17" s="377">
        <f>LAMBETH!N13</f>
        <v>85427</v>
      </c>
      <c r="O17" s="377">
        <f>LAMBETH!O13</f>
        <v>84390</v>
      </c>
      <c r="Q17" s="375" t="s">
        <v>605</v>
      </c>
    </row>
    <row r="18" spans="1:17">
      <c r="D18" s="378"/>
      <c r="E18" s="378"/>
      <c r="F18" s="378"/>
      <c r="G18" s="378"/>
      <c r="H18" s="378"/>
      <c r="I18" s="378"/>
      <c r="J18" s="378"/>
      <c r="K18" s="378"/>
      <c r="L18" s="378"/>
      <c r="M18" s="378"/>
      <c r="N18" s="378"/>
      <c r="O18" s="378"/>
    </row>
    <row r="19" spans="1:17">
      <c r="A19" s="375" t="s">
        <v>6796</v>
      </c>
      <c r="D19" s="377">
        <f t="shared" ref="D19:L19" si="6">D7+D9+D12</f>
        <v>177545</v>
      </c>
      <c r="E19" s="377">
        <f t="shared" si="6"/>
        <v>180837</v>
      </c>
      <c r="F19" s="377">
        <f t="shared" si="6"/>
        <v>182976</v>
      </c>
      <c r="G19" s="377">
        <f t="shared" si="6"/>
        <v>183568</v>
      </c>
      <c r="H19" s="377">
        <f t="shared" si="6"/>
        <v>185487</v>
      </c>
      <c r="I19" s="377">
        <f t="shared" si="6"/>
        <v>181157</v>
      </c>
      <c r="J19" s="377">
        <f t="shared" si="6"/>
        <v>186580</v>
      </c>
      <c r="K19" s="377">
        <f t="shared" si="6"/>
        <v>185715</v>
      </c>
      <c r="L19" s="377">
        <f t="shared" si="6"/>
        <v>192561</v>
      </c>
      <c r="M19" s="377">
        <f>M7+M9+M12</f>
        <v>191459</v>
      </c>
      <c r="N19" s="377">
        <f>N7+N9+N12</f>
        <v>209571</v>
      </c>
      <c r="O19" s="377">
        <f>O7+O9+O12</f>
        <v>208424</v>
      </c>
    </row>
    <row r="20" spans="1:17">
      <c r="D20" s="378"/>
      <c r="E20" s="378"/>
      <c r="F20" s="378"/>
      <c r="G20" s="378"/>
      <c r="H20" s="378"/>
      <c r="I20" s="378"/>
      <c r="J20" s="378"/>
      <c r="K20" s="378"/>
      <c r="L20" s="378"/>
      <c r="M20" s="378"/>
      <c r="N20" s="378"/>
      <c r="O20" s="378"/>
    </row>
    <row r="21" spans="1:17">
      <c r="A21" s="375" t="s">
        <v>6797</v>
      </c>
      <c r="D21" s="377">
        <f t="shared" ref="D21:L21" si="7">MAX(D7,D9,D13,D15,D17)-MIN(D7,D9,D13,D15,D17)</f>
        <v>6181</v>
      </c>
      <c r="E21" s="377">
        <f t="shared" si="7"/>
        <v>7082</v>
      </c>
      <c r="F21" s="377">
        <f t="shared" si="7"/>
        <v>7256</v>
      </c>
      <c r="G21" s="377">
        <f t="shared" si="7"/>
        <v>7368</v>
      </c>
      <c r="H21" s="377">
        <f t="shared" si="7"/>
        <v>7937</v>
      </c>
      <c r="I21" s="377">
        <f t="shared" si="7"/>
        <v>5884</v>
      </c>
      <c r="J21" s="377">
        <f t="shared" si="7"/>
        <v>10089</v>
      </c>
      <c r="K21" s="377">
        <f t="shared" si="7"/>
        <v>6313</v>
      </c>
      <c r="L21" s="377">
        <f t="shared" si="7"/>
        <v>9229</v>
      </c>
      <c r="M21" s="377">
        <f>MAX(M7,M9,M13,M15,M17)-MIN(M7,M9,M13,M15,M17)</f>
        <v>11713</v>
      </c>
      <c r="N21" s="377">
        <f>MAX(N7,N9,N13,N15,N17)-MIN(N7,N9,N13,N15,N17)</f>
        <v>12965</v>
      </c>
      <c r="O21" s="377">
        <f>MAX(O7,O9,O13,O15,O17)-MIN(O7,O9,O13,O15,O17)</f>
        <v>13047</v>
      </c>
    </row>
    <row r="22" spans="1:17">
      <c r="D22" s="378"/>
      <c r="E22" s="378"/>
      <c r="F22" s="378"/>
      <c r="G22" s="378"/>
      <c r="H22" s="378"/>
      <c r="I22" s="378"/>
      <c r="J22" s="378"/>
      <c r="K22" s="378"/>
      <c r="L22" s="378"/>
      <c r="M22" s="378"/>
      <c r="N22" s="378"/>
      <c r="O22" s="378"/>
    </row>
    <row r="23" spans="1:17">
      <c r="A23" s="375" t="s">
        <v>6800</v>
      </c>
      <c r="D23" s="377">
        <f t="shared" ref="D23:L23" si="8">STDEVP(D7,D9,D13,D15,D17)</f>
        <v>2463.7564327668429</v>
      </c>
      <c r="E23" s="377">
        <f t="shared" si="8"/>
        <v>2867.8840562337941</v>
      </c>
      <c r="F23" s="377">
        <f t="shared" si="8"/>
        <v>3036.9630620078347</v>
      </c>
      <c r="G23" s="377">
        <f t="shared" si="8"/>
        <v>3127.2978112101828</v>
      </c>
      <c r="H23" s="377">
        <f t="shared" si="8"/>
        <v>3520.4326097796561</v>
      </c>
      <c r="I23" s="377">
        <f t="shared" si="8"/>
        <v>2623.4412972277464</v>
      </c>
      <c r="J23" s="377">
        <f t="shared" si="8"/>
        <v>4404.8147475234409</v>
      </c>
      <c r="K23" s="377">
        <f t="shared" si="8"/>
        <v>2790.770029937974</v>
      </c>
      <c r="L23" s="377">
        <f t="shared" si="8"/>
        <v>3870.999922500645</v>
      </c>
      <c r="M23" s="377">
        <f>STDEVP(M7,M9,M13,M15,M17)</f>
        <v>4569.3275041301204</v>
      </c>
      <c r="N23" s="377">
        <f>STDEVP(N7,N9,N13,N15,N17)</f>
        <v>4728.6922251294809</v>
      </c>
      <c r="O23" s="377">
        <f>STDEVP(O7,O9,O13,O15,O17)</f>
        <v>4905.4813178728955</v>
      </c>
    </row>
    <row r="24" spans="1:17">
      <c r="D24" s="378"/>
      <c r="E24" s="378"/>
      <c r="F24" s="378"/>
      <c r="G24" s="378"/>
      <c r="H24" s="378"/>
      <c r="I24" s="378"/>
      <c r="J24" s="378"/>
      <c r="K24" s="378"/>
      <c r="L24" s="378"/>
    </row>
    <row r="25" spans="1:17">
      <c r="A25" s="375" t="s">
        <v>5387</v>
      </c>
      <c r="B25" s="375" t="s">
        <v>12455</v>
      </c>
      <c r="C25" s="55" t="s">
        <v>12469</v>
      </c>
      <c r="D25" s="380">
        <v>75838</v>
      </c>
      <c r="E25" s="380">
        <v>77186</v>
      </c>
      <c r="F25" s="380">
        <v>78459</v>
      </c>
      <c r="G25" s="380">
        <v>79067</v>
      </c>
      <c r="H25" s="380">
        <v>80467</v>
      </c>
      <c r="I25" s="380">
        <v>78127</v>
      </c>
      <c r="J25" s="380">
        <v>80174</v>
      </c>
      <c r="K25" s="380">
        <v>80084</v>
      </c>
      <c r="L25" s="380">
        <v>83643</v>
      </c>
      <c r="M25" s="380">
        <v>5607</v>
      </c>
      <c r="N25" s="380">
        <v>6360</v>
      </c>
      <c r="O25" s="380">
        <v>6347</v>
      </c>
      <c r="P25" s="375"/>
      <c r="Q25" s="375" t="s">
        <v>609</v>
      </c>
    </row>
    <row r="26" spans="1:17">
      <c r="A26" s="375" t="s">
        <v>5389</v>
      </c>
      <c r="B26" s="375" t="s">
        <v>14</v>
      </c>
      <c r="C26" s="55" t="s">
        <v>12470</v>
      </c>
      <c r="D26" s="380">
        <v>76967</v>
      </c>
      <c r="E26" s="380">
        <v>78605</v>
      </c>
      <c r="F26" s="380">
        <v>79172</v>
      </c>
      <c r="G26" s="380">
        <v>79260</v>
      </c>
      <c r="H26" s="380">
        <v>79764</v>
      </c>
      <c r="I26" s="380">
        <v>78081</v>
      </c>
      <c r="J26" s="380">
        <v>80375</v>
      </c>
      <c r="K26" s="380">
        <v>79947</v>
      </c>
      <c r="L26" s="380">
        <v>82759</v>
      </c>
      <c r="M26" s="380">
        <v>9080</v>
      </c>
      <c r="N26" s="380">
        <v>10265</v>
      </c>
      <c r="O26" s="380">
        <v>10254</v>
      </c>
      <c r="P26" s="375"/>
      <c r="Q26" s="375" t="s">
        <v>610</v>
      </c>
    </row>
    <row r="27" spans="1:17">
      <c r="A27" s="375" t="s">
        <v>5391</v>
      </c>
      <c r="B27" s="375" t="s">
        <v>12460</v>
      </c>
      <c r="C27" s="55" t="s">
        <v>12471</v>
      </c>
      <c r="D27" s="380">
        <v>0</v>
      </c>
      <c r="E27" s="380">
        <v>0</v>
      </c>
      <c r="F27" s="380">
        <v>0</v>
      </c>
      <c r="G27" s="380">
        <v>0</v>
      </c>
      <c r="H27" s="380">
        <v>0</v>
      </c>
      <c r="I27" s="380">
        <v>0</v>
      </c>
      <c r="J27" s="380">
        <v>0</v>
      </c>
      <c r="K27" s="380">
        <v>0</v>
      </c>
      <c r="L27" s="380">
        <v>0</v>
      </c>
      <c r="M27" s="380">
        <v>6362</v>
      </c>
      <c r="N27" s="380">
        <v>6942</v>
      </c>
      <c r="O27" s="380">
        <v>6933</v>
      </c>
      <c r="P27" s="375"/>
      <c r="Q27" s="375" t="s">
        <v>610</v>
      </c>
    </row>
    <row r="28" spans="1:17">
      <c r="A28" s="375" t="s">
        <v>5393</v>
      </c>
      <c r="B28" s="375" t="s">
        <v>1857</v>
      </c>
      <c r="C28" s="55" t="s">
        <v>12472</v>
      </c>
      <c r="D28" s="380">
        <v>0</v>
      </c>
      <c r="E28" s="380">
        <v>0</v>
      </c>
      <c r="F28" s="380">
        <v>0</v>
      </c>
      <c r="G28" s="380">
        <v>0</v>
      </c>
      <c r="H28" s="380">
        <v>0</v>
      </c>
      <c r="I28" s="380">
        <v>0</v>
      </c>
      <c r="J28" s="380">
        <v>0</v>
      </c>
      <c r="K28" s="380">
        <v>0</v>
      </c>
      <c r="L28" s="380">
        <v>0</v>
      </c>
      <c r="M28" s="380">
        <v>8779</v>
      </c>
      <c r="N28" s="380">
        <v>9921</v>
      </c>
      <c r="O28" s="380">
        <v>9861</v>
      </c>
      <c r="P28" s="375"/>
      <c r="Q28" s="375" t="s">
        <v>609</v>
      </c>
    </row>
    <row r="29" spans="1:17">
      <c r="A29" s="375" t="s">
        <v>5394</v>
      </c>
      <c r="B29" s="375" t="s">
        <v>12461</v>
      </c>
      <c r="C29" s="55" t="s">
        <v>12473</v>
      </c>
      <c r="D29" s="380">
        <v>0</v>
      </c>
      <c r="E29" s="380">
        <v>0</v>
      </c>
      <c r="F29" s="380">
        <v>0</v>
      </c>
      <c r="G29" s="380">
        <v>0</v>
      </c>
      <c r="H29" s="380">
        <v>0</v>
      </c>
      <c r="I29" s="380">
        <v>0</v>
      </c>
      <c r="J29" s="380">
        <v>0</v>
      </c>
      <c r="K29" s="380">
        <v>0</v>
      </c>
      <c r="L29" s="380">
        <v>0</v>
      </c>
      <c r="M29" s="380">
        <v>1927</v>
      </c>
      <c r="N29" s="380">
        <v>2041</v>
      </c>
      <c r="O29" s="380">
        <v>2033</v>
      </c>
      <c r="P29" s="375"/>
      <c r="Q29" s="375" t="s">
        <v>610</v>
      </c>
    </row>
    <row r="30" spans="1:17" ht="15.75" thickBot="1">
      <c r="B30" s="375"/>
      <c r="C30" s="55" t="s">
        <v>12473</v>
      </c>
      <c r="D30" s="380">
        <v>0</v>
      </c>
      <c r="E30" s="380">
        <v>0</v>
      </c>
      <c r="F30" s="380">
        <v>0</v>
      </c>
      <c r="G30" s="380">
        <v>0</v>
      </c>
      <c r="H30" s="380">
        <v>0</v>
      </c>
      <c r="I30" s="380">
        <v>0</v>
      </c>
      <c r="J30" s="380">
        <v>0</v>
      </c>
      <c r="K30" s="380">
        <v>0</v>
      </c>
      <c r="L30" s="380">
        <v>0</v>
      </c>
      <c r="M30" s="380">
        <v>4644</v>
      </c>
      <c r="N30" s="380">
        <v>4979</v>
      </c>
      <c r="O30" s="380">
        <v>4972</v>
      </c>
      <c r="P30" s="375"/>
      <c r="Q30" s="375" t="s">
        <v>604</v>
      </c>
    </row>
    <row r="31" spans="1:17" ht="15.75" thickBot="1">
      <c r="B31" s="375"/>
      <c r="C31" s="55" t="s">
        <v>12473</v>
      </c>
      <c r="D31" s="381">
        <f t="shared" ref="D31:M31" si="9">D29+D30</f>
        <v>0</v>
      </c>
      <c r="E31" s="381">
        <f t="shared" si="9"/>
        <v>0</v>
      </c>
      <c r="F31" s="381">
        <f t="shared" si="9"/>
        <v>0</v>
      </c>
      <c r="G31" s="381">
        <f t="shared" si="9"/>
        <v>0</v>
      </c>
      <c r="H31" s="381">
        <f t="shared" si="9"/>
        <v>0</v>
      </c>
      <c r="I31" s="381">
        <f t="shared" si="9"/>
        <v>0</v>
      </c>
      <c r="J31" s="381">
        <f t="shared" si="9"/>
        <v>0</v>
      </c>
      <c r="K31" s="381">
        <f t="shared" si="9"/>
        <v>0</v>
      </c>
      <c r="L31" s="381">
        <f t="shared" si="9"/>
        <v>0</v>
      </c>
      <c r="M31" s="381">
        <f t="shared" si="9"/>
        <v>6571</v>
      </c>
      <c r="N31" s="381">
        <f>N29+N30</f>
        <v>7020</v>
      </c>
      <c r="O31" s="381">
        <f>O29+O30</f>
        <v>7005</v>
      </c>
      <c r="P31" s="375"/>
      <c r="Q31" s="375"/>
    </row>
    <row r="32" spans="1:17">
      <c r="A32" s="375" t="s">
        <v>5416</v>
      </c>
      <c r="B32" s="375" t="s">
        <v>12462</v>
      </c>
      <c r="C32" s="55" t="s">
        <v>12474</v>
      </c>
      <c r="D32" s="380">
        <v>0</v>
      </c>
      <c r="E32" s="380">
        <v>0</v>
      </c>
      <c r="F32" s="380">
        <v>0</v>
      </c>
      <c r="G32" s="380">
        <v>0</v>
      </c>
      <c r="H32" s="380">
        <v>0</v>
      </c>
      <c r="I32" s="380">
        <v>0</v>
      </c>
      <c r="J32" s="380">
        <v>0</v>
      </c>
      <c r="K32" s="380">
        <v>0</v>
      </c>
      <c r="L32" s="380">
        <v>0</v>
      </c>
      <c r="M32" s="380">
        <v>192</v>
      </c>
      <c r="N32" s="380">
        <v>202</v>
      </c>
      <c r="O32" s="380">
        <v>201</v>
      </c>
      <c r="P32" s="375"/>
      <c r="Q32" s="375" t="s">
        <v>610</v>
      </c>
    </row>
    <row r="33" spans="1:17" ht="15.75" thickBot="1">
      <c r="B33" s="375"/>
      <c r="C33" s="55" t="s">
        <v>12474</v>
      </c>
      <c r="D33" s="380">
        <v>0</v>
      </c>
      <c r="E33" s="380">
        <v>0</v>
      </c>
      <c r="F33" s="380">
        <v>0</v>
      </c>
      <c r="G33" s="380">
        <v>0</v>
      </c>
      <c r="H33" s="380">
        <v>0</v>
      </c>
      <c r="I33" s="380">
        <v>0</v>
      </c>
      <c r="J33" s="380">
        <v>0</v>
      </c>
      <c r="K33" s="380">
        <v>0</v>
      </c>
      <c r="L33" s="380">
        <v>0</v>
      </c>
      <c r="M33" s="380">
        <v>7204</v>
      </c>
      <c r="N33" s="380">
        <v>7593</v>
      </c>
      <c r="O33" s="380">
        <v>7554</v>
      </c>
      <c r="P33" s="375"/>
      <c r="Q33" s="375" t="s">
        <v>604</v>
      </c>
    </row>
    <row r="34" spans="1:17" ht="15.75" thickBot="1">
      <c r="B34" s="375"/>
      <c r="C34" s="55" t="s">
        <v>12474</v>
      </c>
      <c r="D34" s="381">
        <f t="shared" ref="D34:M34" si="10">D32+D33</f>
        <v>0</v>
      </c>
      <c r="E34" s="381">
        <f t="shared" si="10"/>
        <v>0</v>
      </c>
      <c r="F34" s="381">
        <f t="shared" si="10"/>
        <v>0</v>
      </c>
      <c r="G34" s="381">
        <f t="shared" si="10"/>
        <v>0</v>
      </c>
      <c r="H34" s="381">
        <f t="shared" si="10"/>
        <v>0</v>
      </c>
      <c r="I34" s="381">
        <f t="shared" si="10"/>
        <v>0</v>
      </c>
      <c r="J34" s="381">
        <f t="shared" si="10"/>
        <v>0</v>
      </c>
      <c r="K34" s="381">
        <f t="shared" si="10"/>
        <v>0</v>
      </c>
      <c r="L34" s="381">
        <f t="shared" si="10"/>
        <v>0</v>
      </c>
      <c r="M34" s="381">
        <f t="shared" si="10"/>
        <v>7396</v>
      </c>
      <c r="N34" s="381">
        <f>N32+N33</f>
        <v>7795</v>
      </c>
      <c r="O34" s="381">
        <f>O32+O33</f>
        <v>7755</v>
      </c>
      <c r="P34" s="375"/>
      <c r="Q34" s="375"/>
    </row>
    <row r="35" spans="1:17">
      <c r="A35" s="375" t="s">
        <v>5418</v>
      </c>
      <c r="B35" s="375" t="s">
        <v>12466</v>
      </c>
      <c r="C35" s="55" t="s">
        <v>12475</v>
      </c>
      <c r="D35" s="380">
        <v>24740</v>
      </c>
      <c r="E35" s="380">
        <v>25046</v>
      </c>
      <c r="F35" s="380">
        <v>25345</v>
      </c>
      <c r="G35" s="380">
        <v>25241</v>
      </c>
      <c r="H35" s="380">
        <v>25256</v>
      </c>
      <c r="I35" s="380">
        <v>24949</v>
      </c>
      <c r="J35" s="380">
        <v>26031</v>
      </c>
      <c r="K35" s="380">
        <v>25684</v>
      </c>
      <c r="L35" s="380">
        <v>26159</v>
      </c>
      <c r="M35" s="380">
        <v>6861</v>
      </c>
      <c r="N35" s="380">
        <v>7211</v>
      </c>
      <c r="O35" s="380">
        <v>7165</v>
      </c>
      <c r="P35" s="375"/>
      <c r="Q35" s="375" t="s">
        <v>604</v>
      </c>
    </row>
    <row r="36" spans="1:17">
      <c r="A36" s="375" t="s">
        <v>5420</v>
      </c>
      <c r="B36" s="375" t="s">
        <v>1090</v>
      </c>
      <c r="C36" s="55" t="s">
        <v>12476</v>
      </c>
      <c r="D36" s="380">
        <v>0</v>
      </c>
      <c r="E36" s="380">
        <v>0</v>
      </c>
      <c r="F36" s="380">
        <v>0</v>
      </c>
      <c r="G36" s="380">
        <v>0</v>
      </c>
      <c r="H36" s="380">
        <v>0</v>
      </c>
      <c r="I36" s="380">
        <v>0</v>
      </c>
      <c r="J36" s="380">
        <v>0</v>
      </c>
      <c r="K36" s="380">
        <v>0</v>
      </c>
      <c r="L36" s="380">
        <v>0</v>
      </c>
      <c r="M36" s="380">
        <v>1609</v>
      </c>
      <c r="N36" s="380">
        <v>1752</v>
      </c>
      <c r="O36" s="380">
        <v>1749</v>
      </c>
      <c r="P36" s="375"/>
      <c r="Q36" s="375" t="s">
        <v>609</v>
      </c>
    </row>
    <row r="37" spans="1:17" ht="15.75" thickBot="1">
      <c r="B37" s="375"/>
      <c r="C37" s="55" t="s">
        <v>12476</v>
      </c>
      <c r="D37" s="380">
        <v>0</v>
      </c>
      <c r="E37" s="380">
        <v>0</v>
      </c>
      <c r="F37" s="380">
        <v>0</v>
      </c>
      <c r="G37" s="380">
        <v>0</v>
      </c>
      <c r="H37" s="380">
        <v>0</v>
      </c>
      <c r="I37" s="380">
        <v>0</v>
      </c>
      <c r="J37" s="380">
        <v>0</v>
      </c>
      <c r="K37" s="380">
        <v>0</v>
      </c>
      <c r="L37" s="380">
        <v>0</v>
      </c>
      <c r="M37" s="380">
        <v>5725</v>
      </c>
      <c r="N37" s="380">
        <v>5813</v>
      </c>
      <c r="O37" s="380">
        <v>5780</v>
      </c>
      <c r="P37" s="375"/>
      <c r="Q37" s="375" t="s">
        <v>610</v>
      </c>
    </row>
    <row r="38" spans="1:17" ht="15.75" thickBot="1">
      <c r="B38" s="375"/>
      <c r="C38" s="55" t="s">
        <v>12476</v>
      </c>
      <c r="D38" s="381">
        <f t="shared" ref="D38:M38" si="11">D36+D37</f>
        <v>0</v>
      </c>
      <c r="E38" s="381">
        <f t="shared" si="11"/>
        <v>0</v>
      </c>
      <c r="F38" s="381">
        <f t="shared" si="11"/>
        <v>0</v>
      </c>
      <c r="G38" s="381">
        <f t="shared" si="11"/>
        <v>0</v>
      </c>
      <c r="H38" s="381">
        <f t="shared" si="11"/>
        <v>0</v>
      </c>
      <c r="I38" s="381">
        <f t="shared" si="11"/>
        <v>0</v>
      </c>
      <c r="J38" s="381">
        <f t="shared" si="11"/>
        <v>0</v>
      </c>
      <c r="K38" s="381">
        <f t="shared" si="11"/>
        <v>0</v>
      </c>
      <c r="L38" s="381">
        <f t="shared" si="11"/>
        <v>0</v>
      </c>
      <c r="M38" s="381">
        <f t="shared" si="11"/>
        <v>7334</v>
      </c>
      <c r="N38" s="381">
        <f>N36+N37</f>
        <v>7565</v>
      </c>
      <c r="O38" s="381">
        <f>O36+O37</f>
        <v>7529</v>
      </c>
      <c r="P38" s="375"/>
      <c r="Q38" s="375"/>
    </row>
    <row r="39" spans="1:17">
      <c r="A39" s="375" t="s">
        <v>5422</v>
      </c>
      <c r="B39" s="375" t="s">
        <v>12463</v>
      </c>
      <c r="C39" s="55" t="s">
        <v>12477</v>
      </c>
      <c r="D39" s="380">
        <v>0</v>
      </c>
      <c r="E39" s="380">
        <v>0</v>
      </c>
      <c r="F39" s="380">
        <v>0</v>
      </c>
      <c r="G39" s="380">
        <v>0</v>
      </c>
      <c r="H39" s="380">
        <v>0</v>
      </c>
      <c r="I39" s="380">
        <v>0</v>
      </c>
      <c r="J39" s="380">
        <v>0</v>
      </c>
      <c r="K39" s="380">
        <v>0</v>
      </c>
      <c r="L39" s="380">
        <v>0</v>
      </c>
      <c r="M39" s="380">
        <v>2804</v>
      </c>
      <c r="N39" s="380">
        <v>3086</v>
      </c>
      <c r="O39" s="380">
        <v>3020</v>
      </c>
      <c r="P39" s="375"/>
      <c r="Q39" s="375" t="s">
        <v>610</v>
      </c>
    </row>
    <row r="40" spans="1:17" ht="15.75" thickBot="1">
      <c r="B40" s="375"/>
      <c r="C40" s="55" t="s">
        <v>12477</v>
      </c>
      <c r="D40" s="380">
        <v>0</v>
      </c>
      <c r="E40" s="380">
        <v>0</v>
      </c>
      <c r="F40" s="380">
        <v>0</v>
      </c>
      <c r="G40" s="380">
        <v>0</v>
      </c>
      <c r="H40" s="380">
        <v>0</v>
      </c>
      <c r="I40" s="380">
        <v>0</v>
      </c>
      <c r="J40" s="380">
        <v>0</v>
      </c>
      <c r="K40" s="380">
        <v>0</v>
      </c>
      <c r="L40" s="380">
        <v>0</v>
      </c>
      <c r="M40" s="380">
        <v>6913</v>
      </c>
      <c r="N40" s="380">
        <v>7507</v>
      </c>
      <c r="O40" s="380">
        <v>7479</v>
      </c>
      <c r="P40" s="375"/>
      <c r="Q40" s="375" t="s">
        <v>604</v>
      </c>
    </row>
    <row r="41" spans="1:17" ht="15.75" thickBot="1">
      <c r="B41" s="375"/>
      <c r="C41" s="55" t="s">
        <v>12477</v>
      </c>
      <c r="D41" s="381">
        <f t="shared" ref="D41:M41" si="12">D39+D40</f>
        <v>0</v>
      </c>
      <c r="E41" s="381">
        <f t="shared" si="12"/>
        <v>0</v>
      </c>
      <c r="F41" s="381">
        <f t="shared" si="12"/>
        <v>0</v>
      </c>
      <c r="G41" s="381">
        <f t="shared" si="12"/>
        <v>0</v>
      </c>
      <c r="H41" s="381">
        <f t="shared" si="12"/>
        <v>0</v>
      </c>
      <c r="I41" s="381">
        <f t="shared" si="12"/>
        <v>0</v>
      </c>
      <c r="J41" s="381">
        <f t="shared" si="12"/>
        <v>0</v>
      </c>
      <c r="K41" s="381">
        <f t="shared" si="12"/>
        <v>0</v>
      </c>
      <c r="L41" s="381">
        <f t="shared" si="12"/>
        <v>0</v>
      </c>
      <c r="M41" s="381">
        <f t="shared" si="12"/>
        <v>9717</v>
      </c>
      <c r="N41" s="381">
        <f>N39+N40</f>
        <v>10593</v>
      </c>
      <c r="O41" s="381">
        <f>O39+O40</f>
        <v>10499</v>
      </c>
      <c r="P41" s="375"/>
      <c r="Q41" s="375"/>
    </row>
    <row r="42" spans="1:17">
      <c r="A42" s="375" t="s">
        <v>5424</v>
      </c>
      <c r="B42" s="375" t="s">
        <v>12456</v>
      </c>
      <c r="C42" s="55" t="s">
        <v>12478</v>
      </c>
      <c r="D42" s="380">
        <v>0</v>
      </c>
      <c r="E42" s="380">
        <v>0</v>
      </c>
      <c r="F42" s="380">
        <v>0</v>
      </c>
      <c r="G42" s="380">
        <v>0</v>
      </c>
      <c r="H42" s="380">
        <v>0</v>
      </c>
      <c r="I42" s="380">
        <v>0</v>
      </c>
      <c r="J42" s="380">
        <v>0</v>
      </c>
      <c r="K42" s="380">
        <v>0</v>
      </c>
      <c r="L42" s="380">
        <v>0</v>
      </c>
      <c r="M42" s="380">
        <v>8767</v>
      </c>
      <c r="N42" s="380">
        <v>10026</v>
      </c>
      <c r="O42" s="380">
        <v>9936</v>
      </c>
      <c r="P42" s="375"/>
      <c r="Q42" s="375" t="s">
        <v>609</v>
      </c>
    </row>
    <row r="43" spans="1:17">
      <c r="A43" s="375" t="s">
        <v>5426</v>
      </c>
      <c r="B43" s="375" t="s">
        <v>1783</v>
      </c>
      <c r="C43" s="55" t="s">
        <v>12479</v>
      </c>
      <c r="D43" s="380">
        <v>0</v>
      </c>
      <c r="E43" s="380">
        <v>0</v>
      </c>
      <c r="F43" s="380">
        <v>0</v>
      </c>
      <c r="G43" s="380">
        <v>0</v>
      </c>
      <c r="H43" s="380">
        <v>0</v>
      </c>
      <c r="I43" s="380">
        <v>0</v>
      </c>
      <c r="J43" s="380">
        <v>0</v>
      </c>
      <c r="K43" s="380">
        <v>0</v>
      </c>
      <c r="L43" s="380">
        <v>0</v>
      </c>
      <c r="M43" s="380">
        <v>8427</v>
      </c>
      <c r="N43" s="380">
        <v>9132</v>
      </c>
      <c r="O43" s="380">
        <v>9087</v>
      </c>
      <c r="P43" s="375"/>
      <c r="Q43" s="375" t="s">
        <v>609</v>
      </c>
    </row>
    <row r="44" spans="1:17" ht="15.75" thickBot="1">
      <c r="B44" s="375"/>
      <c r="C44" s="55" t="s">
        <v>12479</v>
      </c>
      <c r="D44" s="380">
        <v>0</v>
      </c>
      <c r="E44" s="380">
        <v>0</v>
      </c>
      <c r="F44" s="380">
        <v>0</v>
      </c>
      <c r="G44" s="380">
        <v>0</v>
      </c>
      <c r="H44" s="380">
        <v>0</v>
      </c>
      <c r="I44" s="380">
        <v>0</v>
      </c>
      <c r="J44" s="380">
        <v>0</v>
      </c>
      <c r="K44" s="380">
        <v>0</v>
      </c>
      <c r="L44" s="380">
        <v>0</v>
      </c>
      <c r="M44" s="380">
        <v>588</v>
      </c>
      <c r="N44" s="380">
        <v>606</v>
      </c>
      <c r="O44" s="380">
        <v>607</v>
      </c>
      <c r="P44" s="375"/>
      <c r="Q44" s="375" t="s">
        <v>610</v>
      </c>
    </row>
    <row r="45" spans="1:17" ht="15.75" thickBot="1">
      <c r="B45" s="375"/>
      <c r="C45" s="55" t="s">
        <v>12479</v>
      </c>
      <c r="D45" s="381">
        <f t="shared" ref="D45:M45" si="13">D43+D44</f>
        <v>0</v>
      </c>
      <c r="E45" s="381">
        <f t="shared" si="13"/>
        <v>0</v>
      </c>
      <c r="F45" s="381">
        <f t="shared" si="13"/>
        <v>0</v>
      </c>
      <c r="G45" s="381">
        <f t="shared" si="13"/>
        <v>0</v>
      </c>
      <c r="H45" s="381">
        <f t="shared" si="13"/>
        <v>0</v>
      </c>
      <c r="I45" s="381">
        <f t="shared" si="13"/>
        <v>0</v>
      </c>
      <c r="J45" s="381">
        <f t="shared" si="13"/>
        <v>0</v>
      </c>
      <c r="K45" s="381">
        <f t="shared" si="13"/>
        <v>0</v>
      </c>
      <c r="L45" s="381">
        <f t="shared" si="13"/>
        <v>0</v>
      </c>
      <c r="M45" s="381">
        <f t="shared" si="13"/>
        <v>9015</v>
      </c>
      <c r="N45" s="381">
        <f>N43+N44</f>
        <v>9738</v>
      </c>
      <c r="O45" s="381">
        <f>O43+O44</f>
        <v>9694</v>
      </c>
      <c r="P45" s="375"/>
      <c r="Q45" s="375"/>
    </row>
    <row r="46" spans="1:17">
      <c r="A46" s="375" t="s">
        <v>5428</v>
      </c>
      <c r="B46" s="375" t="s">
        <v>12457</v>
      </c>
      <c r="C46" s="55" t="s">
        <v>12480</v>
      </c>
      <c r="D46" s="380">
        <v>0</v>
      </c>
      <c r="E46" s="380">
        <v>0</v>
      </c>
      <c r="F46" s="380">
        <v>0</v>
      </c>
      <c r="G46" s="380">
        <v>0</v>
      </c>
      <c r="H46" s="380">
        <v>0</v>
      </c>
      <c r="I46" s="380">
        <v>0</v>
      </c>
      <c r="J46" s="380">
        <v>0</v>
      </c>
      <c r="K46" s="380">
        <v>0</v>
      </c>
      <c r="L46" s="380">
        <v>0</v>
      </c>
      <c r="M46" s="380">
        <v>9690</v>
      </c>
      <c r="N46" s="380">
        <v>10532</v>
      </c>
      <c r="O46" s="380">
        <v>10471</v>
      </c>
      <c r="P46" s="375"/>
      <c r="Q46" s="375" t="s">
        <v>609</v>
      </c>
    </row>
    <row r="47" spans="1:17">
      <c r="A47" s="375" t="s">
        <v>5429</v>
      </c>
      <c r="B47" s="375" t="s">
        <v>12458</v>
      </c>
      <c r="C47" s="55" t="s">
        <v>12481</v>
      </c>
      <c r="D47" s="380">
        <v>0</v>
      </c>
      <c r="E47" s="380">
        <v>0</v>
      </c>
      <c r="F47" s="380">
        <v>0</v>
      </c>
      <c r="G47" s="380">
        <v>0</v>
      </c>
      <c r="H47" s="380">
        <v>0</v>
      </c>
      <c r="I47" s="380">
        <v>0</v>
      </c>
      <c r="J47" s="380">
        <v>0</v>
      </c>
      <c r="K47" s="380">
        <v>0</v>
      </c>
      <c r="L47" s="380">
        <v>0</v>
      </c>
      <c r="M47" s="380">
        <v>7147</v>
      </c>
      <c r="N47" s="380">
        <v>8392</v>
      </c>
      <c r="O47" s="380">
        <v>8389</v>
      </c>
      <c r="P47" s="375"/>
      <c r="Q47" s="375" t="s">
        <v>609</v>
      </c>
    </row>
    <row r="48" spans="1:17" ht="15.75" thickBot="1">
      <c r="B48" s="375"/>
      <c r="C48" s="55" t="s">
        <v>12481</v>
      </c>
      <c r="D48" s="380">
        <v>0</v>
      </c>
      <c r="E48" s="380">
        <v>0</v>
      </c>
      <c r="F48" s="380">
        <v>0</v>
      </c>
      <c r="G48" s="380">
        <v>0</v>
      </c>
      <c r="H48" s="380">
        <v>0</v>
      </c>
      <c r="I48" s="380">
        <v>0</v>
      </c>
      <c r="J48" s="380">
        <v>0</v>
      </c>
      <c r="K48" s="380">
        <v>0</v>
      </c>
      <c r="L48" s="380">
        <v>0</v>
      </c>
      <c r="M48" s="380">
        <v>865</v>
      </c>
      <c r="N48" s="380">
        <v>918</v>
      </c>
      <c r="O48" s="380">
        <v>914</v>
      </c>
      <c r="P48" s="375"/>
      <c r="Q48" s="375" t="s">
        <v>610</v>
      </c>
    </row>
    <row r="49" spans="1:17" ht="15.75" thickBot="1">
      <c r="B49" s="375"/>
      <c r="C49" s="55" t="s">
        <v>12481</v>
      </c>
      <c r="D49" s="381">
        <f t="shared" ref="D49:M49" si="14">D47+D48</f>
        <v>0</v>
      </c>
      <c r="E49" s="381">
        <f t="shared" si="14"/>
        <v>0</v>
      </c>
      <c r="F49" s="381">
        <f t="shared" si="14"/>
        <v>0</v>
      </c>
      <c r="G49" s="381">
        <f t="shared" si="14"/>
        <v>0</v>
      </c>
      <c r="H49" s="381">
        <f t="shared" si="14"/>
        <v>0</v>
      </c>
      <c r="I49" s="381">
        <f t="shared" si="14"/>
        <v>0</v>
      </c>
      <c r="J49" s="381">
        <f t="shared" si="14"/>
        <v>0</v>
      </c>
      <c r="K49" s="381">
        <f t="shared" si="14"/>
        <v>0</v>
      </c>
      <c r="L49" s="381">
        <f t="shared" si="14"/>
        <v>0</v>
      </c>
      <c r="M49" s="381">
        <f t="shared" si="14"/>
        <v>8012</v>
      </c>
      <c r="N49" s="381">
        <f>N47+N48</f>
        <v>9310</v>
      </c>
      <c r="O49" s="381">
        <f>O47+O48</f>
        <v>9303</v>
      </c>
      <c r="P49" s="375"/>
      <c r="Q49" s="375"/>
    </row>
    <row r="50" spans="1:17">
      <c r="A50" s="375" t="s">
        <v>5431</v>
      </c>
      <c r="B50" s="375" t="s">
        <v>12468</v>
      </c>
      <c r="C50" s="55" t="s">
        <v>12482</v>
      </c>
      <c r="D50" s="380">
        <v>0</v>
      </c>
      <c r="E50" s="380">
        <v>0</v>
      </c>
      <c r="F50" s="380">
        <v>0</v>
      </c>
      <c r="G50" s="380">
        <v>0</v>
      </c>
      <c r="H50" s="380">
        <v>0</v>
      </c>
      <c r="I50" s="380">
        <v>0</v>
      </c>
      <c r="J50" s="380">
        <v>0</v>
      </c>
      <c r="K50" s="380">
        <v>0</v>
      </c>
      <c r="L50" s="380">
        <v>0</v>
      </c>
      <c r="M50" s="380">
        <v>10336</v>
      </c>
      <c r="N50" s="380">
        <v>11270</v>
      </c>
      <c r="O50" s="380">
        <v>11187</v>
      </c>
      <c r="P50" s="375"/>
      <c r="Q50" s="375" t="s">
        <v>610</v>
      </c>
    </row>
    <row r="51" spans="1:17">
      <c r="A51" s="375" t="s">
        <v>5433</v>
      </c>
      <c r="B51" s="375" t="s">
        <v>12459</v>
      </c>
      <c r="C51" s="55" t="s">
        <v>12483</v>
      </c>
      <c r="D51" s="380">
        <v>0</v>
      </c>
      <c r="E51" s="380">
        <v>0</v>
      </c>
      <c r="F51" s="380">
        <v>0</v>
      </c>
      <c r="G51" s="380">
        <v>0</v>
      </c>
      <c r="H51" s="380">
        <v>0</v>
      </c>
      <c r="I51" s="380">
        <v>0</v>
      </c>
      <c r="J51" s="380">
        <v>0</v>
      </c>
      <c r="K51" s="380">
        <v>0</v>
      </c>
      <c r="L51" s="380">
        <v>0</v>
      </c>
      <c r="M51" s="380">
        <v>3333</v>
      </c>
      <c r="N51" s="380">
        <v>3537</v>
      </c>
      <c r="O51" s="380">
        <v>3551</v>
      </c>
      <c r="P51" s="375"/>
      <c r="Q51" s="375" t="s">
        <v>609</v>
      </c>
    </row>
    <row r="52" spans="1:17" ht="15.75" thickBot="1">
      <c r="B52" s="375"/>
      <c r="C52" s="55" t="s">
        <v>12483</v>
      </c>
      <c r="D52" s="380">
        <v>0</v>
      </c>
      <c r="E52" s="380">
        <v>0</v>
      </c>
      <c r="F52" s="380">
        <v>0</v>
      </c>
      <c r="G52" s="380">
        <v>0</v>
      </c>
      <c r="H52" s="380">
        <v>0</v>
      </c>
      <c r="I52" s="380">
        <v>0</v>
      </c>
      <c r="J52" s="380">
        <v>0</v>
      </c>
      <c r="K52" s="380">
        <v>0</v>
      </c>
      <c r="L52" s="380">
        <v>0</v>
      </c>
      <c r="M52" s="380">
        <v>7196</v>
      </c>
      <c r="N52" s="380">
        <v>7589</v>
      </c>
      <c r="O52" s="380">
        <v>7445</v>
      </c>
      <c r="P52" s="375"/>
      <c r="Q52" s="375" t="s">
        <v>610</v>
      </c>
    </row>
    <row r="53" spans="1:17" ht="15.75" thickBot="1">
      <c r="B53" s="375"/>
      <c r="C53" s="55" t="s">
        <v>12483</v>
      </c>
      <c r="D53" s="381">
        <f t="shared" ref="D53:M53" si="15">D51+D52</f>
        <v>0</v>
      </c>
      <c r="E53" s="381">
        <f t="shared" si="15"/>
        <v>0</v>
      </c>
      <c r="F53" s="381">
        <f t="shared" si="15"/>
        <v>0</v>
      </c>
      <c r="G53" s="381">
        <f t="shared" si="15"/>
        <v>0</v>
      </c>
      <c r="H53" s="381">
        <f t="shared" si="15"/>
        <v>0</v>
      </c>
      <c r="I53" s="381">
        <f t="shared" si="15"/>
        <v>0</v>
      </c>
      <c r="J53" s="381">
        <f t="shared" si="15"/>
        <v>0</v>
      </c>
      <c r="K53" s="381">
        <f t="shared" si="15"/>
        <v>0</v>
      </c>
      <c r="L53" s="381">
        <f t="shared" si="15"/>
        <v>0</v>
      </c>
      <c r="M53" s="381">
        <f t="shared" si="15"/>
        <v>10529</v>
      </c>
      <c r="N53" s="381">
        <f>N51+N52</f>
        <v>11126</v>
      </c>
      <c r="O53" s="381">
        <f>O51+O52</f>
        <v>10996</v>
      </c>
      <c r="P53" s="375"/>
      <c r="Q53" s="375"/>
    </row>
    <row r="54" spans="1:17">
      <c r="A54" s="375" t="s">
        <v>5435</v>
      </c>
      <c r="B54" s="375" t="s">
        <v>2465</v>
      </c>
      <c r="C54" s="55" t="s">
        <v>12484</v>
      </c>
      <c r="D54" s="380">
        <v>0</v>
      </c>
      <c r="E54" s="380">
        <v>0</v>
      </c>
      <c r="F54" s="380">
        <v>0</v>
      </c>
      <c r="G54" s="380">
        <v>0</v>
      </c>
      <c r="H54" s="380">
        <v>0</v>
      </c>
      <c r="I54" s="380">
        <v>0</v>
      </c>
      <c r="J54" s="380">
        <v>0</v>
      </c>
      <c r="K54" s="380">
        <v>0</v>
      </c>
      <c r="L54" s="380">
        <v>0</v>
      </c>
      <c r="M54" s="380">
        <v>1598</v>
      </c>
      <c r="N54" s="380">
        <v>0</v>
      </c>
      <c r="O54" s="380">
        <v>0</v>
      </c>
      <c r="P54" s="375"/>
      <c r="Q54" s="375" t="s">
        <v>609</v>
      </c>
    </row>
    <row r="55" spans="1:17" ht="15.75" thickBot="1">
      <c r="B55" s="375"/>
      <c r="C55" s="55" t="s">
        <v>12484</v>
      </c>
      <c r="D55" s="380">
        <v>0</v>
      </c>
      <c r="E55" s="380">
        <v>0</v>
      </c>
      <c r="F55" s="380">
        <v>0</v>
      </c>
      <c r="G55" s="380">
        <v>0</v>
      </c>
      <c r="H55" s="380">
        <v>0</v>
      </c>
      <c r="I55" s="380">
        <v>0</v>
      </c>
      <c r="J55" s="380">
        <v>0</v>
      </c>
      <c r="K55" s="380">
        <v>0</v>
      </c>
      <c r="L55" s="380">
        <v>0</v>
      </c>
      <c r="M55" s="380">
        <v>7609</v>
      </c>
      <c r="N55" s="380">
        <v>10004</v>
      </c>
      <c r="O55" s="380">
        <v>9994</v>
      </c>
      <c r="P55" s="375"/>
      <c r="Q55" s="375" t="s">
        <v>610</v>
      </c>
    </row>
    <row r="56" spans="1:17" ht="15.75" thickBot="1">
      <c r="B56" s="375"/>
      <c r="C56" s="55" t="s">
        <v>12484</v>
      </c>
      <c r="D56" s="381">
        <f t="shared" ref="D56:M56" si="16">D54+D55</f>
        <v>0</v>
      </c>
      <c r="E56" s="381">
        <f t="shared" si="16"/>
        <v>0</v>
      </c>
      <c r="F56" s="381">
        <f t="shared" si="16"/>
        <v>0</v>
      </c>
      <c r="G56" s="381">
        <f t="shared" si="16"/>
        <v>0</v>
      </c>
      <c r="H56" s="381">
        <f t="shared" si="16"/>
        <v>0</v>
      </c>
      <c r="I56" s="381">
        <f t="shared" si="16"/>
        <v>0</v>
      </c>
      <c r="J56" s="381">
        <f t="shared" si="16"/>
        <v>0</v>
      </c>
      <c r="K56" s="381">
        <f t="shared" si="16"/>
        <v>0</v>
      </c>
      <c r="L56" s="381">
        <f t="shared" si="16"/>
        <v>0</v>
      </c>
      <c r="M56" s="381">
        <f t="shared" si="16"/>
        <v>9207</v>
      </c>
      <c r="N56" s="381">
        <f>N54+N55</f>
        <v>10004</v>
      </c>
      <c r="O56" s="381">
        <f>O54+O55</f>
        <v>9994</v>
      </c>
      <c r="P56" s="375"/>
      <c r="Q56" s="375"/>
    </row>
    <row r="57" spans="1:17">
      <c r="A57" s="375" t="s">
        <v>5436</v>
      </c>
      <c r="B57" s="375" t="s">
        <v>1681</v>
      </c>
      <c r="C57" s="55" t="s">
        <v>12485</v>
      </c>
      <c r="D57" s="380">
        <v>0</v>
      </c>
      <c r="E57" s="380">
        <v>0</v>
      </c>
      <c r="F57" s="380">
        <v>0</v>
      </c>
      <c r="G57" s="380">
        <v>0</v>
      </c>
      <c r="H57" s="380">
        <v>0</v>
      </c>
      <c r="I57" s="380">
        <v>0</v>
      </c>
      <c r="J57" s="380">
        <v>0</v>
      </c>
      <c r="K57" s="380">
        <v>0</v>
      </c>
      <c r="L57" s="380">
        <v>0</v>
      </c>
      <c r="M57" s="380">
        <v>6896</v>
      </c>
      <c r="N57" s="380">
        <v>7380</v>
      </c>
      <c r="O57" s="380">
        <v>7341</v>
      </c>
      <c r="P57" s="375"/>
      <c r="Q57" s="375" t="s">
        <v>610</v>
      </c>
    </row>
    <row r="58" spans="1:17">
      <c r="A58" s="375" t="s">
        <v>5437</v>
      </c>
      <c r="B58" s="375" t="s">
        <v>1682</v>
      </c>
      <c r="C58" s="55" t="s">
        <v>12486</v>
      </c>
      <c r="D58" s="380">
        <v>0</v>
      </c>
      <c r="E58" s="380">
        <v>0</v>
      </c>
      <c r="F58" s="380">
        <v>0</v>
      </c>
      <c r="G58" s="380">
        <v>0</v>
      </c>
      <c r="H58" s="380">
        <v>0</v>
      </c>
      <c r="I58" s="380">
        <v>0</v>
      </c>
      <c r="J58" s="380">
        <v>0</v>
      </c>
      <c r="K58" s="380">
        <v>0</v>
      </c>
      <c r="L58" s="380">
        <v>0</v>
      </c>
      <c r="M58" s="380">
        <v>8253</v>
      </c>
      <c r="N58" s="380">
        <v>8937</v>
      </c>
      <c r="O58" s="380">
        <v>8940</v>
      </c>
      <c r="P58" s="375"/>
      <c r="Q58" s="375" t="s">
        <v>609</v>
      </c>
    </row>
    <row r="59" spans="1:17" ht="15.75" thickBot="1">
      <c r="B59" s="375"/>
      <c r="C59" s="55" t="s">
        <v>12486</v>
      </c>
      <c r="D59" s="380">
        <v>0</v>
      </c>
      <c r="E59" s="380">
        <v>0</v>
      </c>
      <c r="F59" s="380">
        <v>0</v>
      </c>
      <c r="G59" s="380">
        <v>0</v>
      </c>
      <c r="H59" s="380">
        <v>0</v>
      </c>
      <c r="I59" s="380">
        <v>0</v>
      </c>
      <c r="J59" s="380">
        <v>0</v>
      </c>
      <c r="K59" s="380">
        <v>0</v>
      </c>
      <c r="L59" s="380">
        <v>0</v>
      </c>
      <c r="M59" s="380">
        <v>676</v>
      </c>
      <c r="N59" s="380">
        <v>698</v>
      </c>
      <c r="O59" s="380">
        <v>700</v>
      </c>
      <c r="P59" s="375"/>
      <c r="Q59" s="375" t="s">
        <v>610</v>
      </c>
    </row>
    <row r="60" spans="1:17" ht="15.75" thickBot="1">
      <c r="B60" s="375"/>
      <c r="C60" s="55" t="s">
        <v>12486</v>
      </c>
      <c r="D60" s="381">
        <f t="shared" ref="D60:M60" si="17">D58+D59</f>
        <v>0</v>
      </c>
      <c r="E60" s="381">
        <f t="shared" si="17"/>
        <v>0</v>
      </c>
      <c r="F60" s="381">
        <f t="shared" si="17"/>
        <v>0</v>
      </c>
      <c r="G60" s="381">
        <f t="shared" si="17"/>
        <v>0</v>
      </c>
      <c r="H60" s="381">
        <f t="shared" si="17"/>
        <v>0</v>
      </c>
      <c r="I60" s="381">
        <f t="shared" si="17"/>
        <v>0</v>
      </c>
      <c r="J60" s="381">
        <f t="shared" si="17"/>
        <v>0</v>
      </c>
      <c r="K60" s="381">
        <f t="shared" si="17"/>
        <v>0</v>
      </c>
      <c r="L60" s="381">
        <f t="shared" si="17"/>
        <v>0</v>
      </c>
      <c r="M60" s="381">
        <f t="shared" si="17"/>
        <v>8929</v>
      </c>
      <c r="N60" s="381">
        <f>N58+N59</f>
        <v>9635</v>
      </c>
      <c r="O60" s="381">
        <f>O58+O59</f>
        <v>9640</v>
      </c>
      <c r="P60" s="375"/>
      <c r="Q60" s="375"/>
    </row>
    <row r="61" spans="1:17">
      <c r="A61" s="375" t="s">
        <v>5439</v>
      </c>
      <c r="B61" s="375" t="s">
        <v>12464</v>
      </c>
      <c r="C61" s="55" t="s">
        <v>12487</v>
      </c>
      <c r="D61" s="380">
        <v>0</v>
      </c>
      <c r="E61" s="380">
        <v>0</v>
      </c>
      <c r="F61" s="380">
        <v>0</v>
      </c>
      <c r="G61" s="380">
        <v>0</v>
      </c>
      <c r="H61" s="380">
        <v>0</v>
      </c>
      <c r="I61" s="380">
        <v>0</v>
      </c>
      <c r="J61" s="380">
        <v>0</v>
      </c>
      <c r="K61" s="380">
        <v>0</v>
      </c>
      <c r="L61" s="380">
        <v>0</v>
      </c>
      <c r="M61" s="380">
        <v>9851</v>
      </c>
      <c r="N61" s="380">
        <v>10856</v>
      </c>
      <c r="O61" s="380">
        <v>10774</v>
      </c>
      <c r="P61" s="375"/>
      <c r="Q61" s="375" t="s">
        <v>610</v>
      </c>
    </row>
    <row r="62" spans="1:17">
      <c r="A62" s="375" t="s">
        <v>5441</v>
      </c>
      <c r="B62" s="375" t="s">
        <v>5033</v>
      </c>
      <c r="C62" s="55" t="s">
        <v>12488</v>
      </c>
      <c r="D62" s="380">
        <v>0</v>
      </c>
      <c r="E62" s="380">
        <v>0</v>
      </c>
      <c r="F62" s="380">
        <v>0</v>
      </c>
      <c r="G62" s="380">
        <v>0</v>
      </c>
      <c r="H62" s="380">
        <v>0</v>
      </c>
      <c r="I62" s="380">
        <v>0</v>
      </c>
      <c r="J62" s="380">
        <v>0</v>
      </c>
      <c r="K62" s="380">
        <v>0</v>
      </c>
      <c r="L62" s="380">
        <v>0</v>
      </c>
      <c r="M62" s="380">
        <v>4761</v>
      </c>
      <c r="N62" s="380">
        <v>5575</v>
      </c>
      <c r="O62" s="380">
        <v>5444</v>
      </c>
      <c r="P62" s="375"/>
      <c r="Q62" s="375" t="s">
        <v>609</v>
      </c>
    </row>
    <row r="63" spans="1:17">
      <c r="A63" s="375" t="s">
        <v>5886</v>
      </c>
      <c r="B63" s="375" t="s">
        <v>12465</v>
      </c>
      <c r="C63" s="55" t="s">
        <v>12489</v>
      </c>
      <c r="D63" s="380">
        <v>0</v>
      </c>
      <c r="E63" s="380">
        <v>0</v>
      </c>
      <c r="F63" s="380">
        <v>0</v>
      </c>
      <c r="G63" s="380">
        <v>0</v>
      </c>
      <c r="H63" s="380">
        <v>0</v>
      </c>
      <c r="I63" s="380">
        <v>0</v>
      </c>
      <c r="J63" s="380">
        <v>0</v>
      </c>
      <c r="K63" s="380">
        <v>0</v>
      </c>
      <c r="L63" s="380">
        <v>0</v>
      </c>
      <c r="M63" s="380">
        <v>10447</v>
      </c>
      <c r="N63" s="380">
        <v>11465</v>
      </c>
      <c r="O63" s="380">
        <v>11393</v>
      </c>
      <c r="P63" s="375"/>
      <c r="Q63" s="375" t="s">
        <v>610</v>
      </c>
    </row>
    <row r="64" spans="1:17">
      <c r="A64" s="382" t="s">
        <v>5888</v>
      </c>
      <c r="B64" s="375" t="s">
        <v>1683</v>
      </c>
      <c r="C64" s="55" t="s">
        <v>12490</v>
      </c>
      <c r="D64" s="380">
        <v>0</v>
      </c>
      <c r="E64" s="380">
        <v>0</v>
      </c>
      <c r="F64" s="380">
        <v>0</v>
      </c>
      <c r="G64" s="380">
        <v>0</v>
      </c>
      <c r="H64" s="380">
        <v>0</v>
      </c>
      <c r="I64" s="380">
        <v>0</v>
      </c>
      <c r="J64" s="380">
        <v>0</v>
      </c>
      <c r="K64" s="380">
        <v>0</v>
      </c>
      <c r="L64" s="380">
        <v>0</v>
      </c>
      <c r="M64" s="380">
        <v>9581</v>
      </c>
      <c r="N64" s="380">
        <v>10223</v>
      </c>
      <c r="O64" s="380">
        <v>10211</v>
      </c>
      <c r="P64" s="375"/>
      <c r="Q64" s="375" t="s">
        <v>609</v>
      </c>
    </row>
    <row r="65" spans="1:17">
      <c r="A65" s="382" t="s">
        <v>5889</v>
      </c>
      <c r="B65" s="375" t="s">
        <v>5395</v>
      </c>
      <c r="C65" s="55" t="s">
        <v>12491</v>
      </c>
      <c r="D65" s="380">
        <v>0</v>
      </c>
      <c r="E65" s="380">
        <v>0</v>
      </c>
      <c r="F65" s="380">
        <v>0</v>
      </c>
      <c r="G65" s="380">
        <v>0</v>
      </c>
      <c r="H65" s="380">
        <v>0</v>
      </c>
      <c r="I65" s="380">
        <v>0</v>
      </c>
      <c r="J65" s="380">
        <v>0</v>
      </c>
      <c r="K65" s="380">
        <v>0</v>
      </c>
      <c r="L65" s="380">
        <v>0</v>
      </c>
      <c r="M65" s="380">
        <v>7731</v>
      </c>
      <c r="N65" s="380">
        <v>8759</v>
      </c>
      <c r="O65" s="380">
        <v>8692</v>
      </c>
      <c r="Q65" s="375" t="s">
        <v>609</v>
      </c>
    </row>
    <row r="66" spans="1:17">
      <c r="B66" s="375"/>
      <c r="C66" s="55"/>
      <c r="Q66" s="375"/>
    </row>
    <row r="67" spans="1:17">
      <c r="A67" s="125" t="s">
        <v>12198</v>
      </c>
      <c r="Q67" s="375"/>
    </row>
    <row r="68" spans="1:17">
      <c r="A68" s="125" t="s">
        <v>12467</v>
      </c>
      <c r="Q68" s="375"/>
    </row>
    <row r="69" spans="1:17">
      <c r="A69" s="125" t="s">
        <v>5396</v>
      </c>
      <c r="Q69" s="375"/>
    </row>
    <row r="70" spans="1:17">
      <c r="Q70" s="375"/>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&amp;C&amp;"Times New Roman,Regular"&amp;8&amp;P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dimension ref="A1:Q379"/>
  <sheetViews>
    <sheetView showGridLines="0" zoomScale="90" zoomScaleNormal="90" workbookViewId="0">
      <selection activeCell="Q366" sqref="Q366"/>
    </sheetView>
  </sheetViews>
  <sheetFormatPr defaultColWidth="12.5703125" defaultRowHeight="15"/>
  <cols>
    <col min="1" max="1" width="4.85546875" style="124" customWidth="1"/>
    <col min="2" max="2" width="45.7109375" style="124" customWidth="1"/>
    <col min="3" max="3" width="11.5703125" style="124" customWidth="1"/>
    <col min="4" max="15" width="10" style="124" customWidth="1"/>
    <col min="16" max="16" width="2.28515625" style="124" customWidth="1"/>
    <col min="17" max="17" width="33.140625" style="124" customWidth="1"/>
    <col min="18" max="16384" width="12.5703125" style="124"/>
  </cols>
  <sheetData>
    <row r="1" spans="1:17">
      <c r="A1" s="361" t="s">
        <v>6924</v>
      </c>
      <c r="D1" s="362">
        <v>2010</v>
      </c>
      <c r="E1" s="362">
        <v>2011</v>
      </c>
      <c r="F1" s="362">
        <v>2012</v>
      </c>
      <c r="G1" s="362">
        <v>2013</v>
      </c>
      <c r="H1" s="362">
        <v>2014</v>
      </c>
      <c r="I1" s="362">
        <v>2015</v>
      </c>
      <c r="J1" s="362">
        <v>2016</v>
      </c>
      <c r="K1" s="362">
        <v>2017</v>
      </c>
      <c r="L1" s="362">
        <v>2018</v>
      </c>
      <c r="M1" s="362">
        <v>2019</v>
      </c>
      <c r="N1" s="362">
        <v>2020</v>
      </c>
      <c r="O1" s="940" t="s">
        <v>14823</v>
      </c>
    </row>
    <row r="3" spans="1:17">
      <c r="A3" s="361" t="s">
        <v>1275</v>
      </c>
      <c r="C3" s="361"/>
      <c r="D3" s="363">
        <f t="shared" ref="D3:I3" si="0">SUM(D7:D14)</f>
        <v>652956</v>
      </c>
      <c r="E3" s="363">
        <f t="shared" si="0"/>
        <v>654692</v>
      </c>
      <c r="F3" s="363">
        <f t="shared" si="0"/>
        <v>656162</v>
      </c>
      <c r="G3" s="363">
        <f t="shared" si="0"/>
        <v>658541</v>
      </c>
      <c r="H3" s="363">
        <f t="shared" si="0"/>
        <v>654957</v>
      </c>
      <c r="I3" s="363">
        <f t="shared" si="0"/>
        <v>644338</v>
      </c>
      <c r="J3" s="363">
        <f t="shared" ref="J3:O3" si="1">SUM(J7:J14)</f>
        <v>635470</v>
      </c>
      <c r="K3" s="363">
        <f t="shared" si="1"/>
        <v>643243</v>
      </c>
      <c r="L3" s="363">
        <f t="shared" si="1"/>
        <v>647986</v>
      </c>
      <c r="M3" s="363">
        <f t="shared" si="1"/>
        <v>647744</v>
      </c>
      <c r="N3" s="363">
        <f t="shared" si="1"/>
        <v>658018</v>
      </c>
      <c r="O3" s="363">
        <f t="shared" si="1"/>
        <v>662546</v>
      </c>
    </row>
    <row r="4" spans="1:17" ht="15.75" thickBot="1">
      <c r="A4" s="361" t="s">
        <v>681</v>
      </c>
      <c r="C4" s="361"/>
      <c r="D4" s="364">
        <f t="shared" ref="D4:I4" si="2">D68</f>
        <v>185256</v>
      </c>
      <c r="E4" s="364">
        <f t="shared" si="2"/>
        <v>186441</v>
      </c>
      <c r="F4" s="364">
        <f t="shared" si="2"/>
        <v>187432</v>
      </c>
      <c r="G4" s="364">
        <f t="shared" si="2"/>
        <v>187103</v>
      </c>
      <c r="H4" s="364">
        <f t="shared" si="2"/>
        <v>186514</v>
      </c>
      <c r="I4" s="364">
        <f t="shared" si="2"/>
        <v>182238</v>
      </c>
      <c r="J4" s="364">
        <f t="shared" ref="J4:O4" si="3">J68</f>
        <v>179857</v>
      </c>
      <c r="K4" s="364">
        <f t="shared" si="3"/>
        <v>176234</v>
      </c>
      <c r="L4" s="364">
        <f t="shared" si="3"/>
        <v>180154</v>
      </c>
      <c r="M4" s="364">
        <f t="shared" si="3"/>
        <v>175362</v>
      </c>
      <c r="N4" s="364">
        <f t="shared" si="3"/>
        <v>170443</v>
      </c>
      <c r="O4" s="364">
        <f t="shared" si="3"/>
        <v>170346</v>
      </c>
    </row>
    <row r="5" spans="1:17" ht="15.75" thickBot="1">
      <c r="D5" s="364">
        <f t="shared" ref="D5:I5" si="4">D3+D4</f>
        <v>838212</v>
      </c>
      <c r="E5" s="364">
        <f t="shared" si="4"/>
        <v>841133</v>
      </c>
      <c r="F5" s="364">
        <f t="shared" si="4"/>
        <v>843594</v>
      </c>
      <c r="G5" s="364">
        <f t="shared" si="4"/>
        <v>845644</v>
      </c>
      <c r="H5" s="364">
        <f t="shared" si="4"/>
        <v>841471</v>
      </c>
      <c r="I5" s="364">
        <f t="shared" si="4"/>
        <v>826576</v>
      </c>
      <c r="J5" s="364">
        <f t="shared" ref="J5:O5" si="5">J3+J4</f>
        <v>815327</v>
      </c>
      <c r="K5" s="364">
        <f t="shared" si="5"/>
        <v>819477</v>
      </c>
      <c r="L5" s="364">
        <f t="shared" si="5"/>
        <v>828140</v>
      </c>
      <c r="M5" s="364">
        <f t="shared" si="5"/>
        <v>823106</v>
      </c>
      <c r="N5" s="364">
        <f t="shared" si="5"/>
        <v>828461</v>
      </c>
      <c r="O5" s="364">
        <f t="shared" si="5"/>
        <v>832892</v>
      </c>
    </row>
    <row r="6" spans="1:17">
      <c r="D6" s="363"/>
      <c r="E6" s="363"/>
      <c r="F6" s="363"/>
      <c r="G6" s="363"/>
      <c r="H6" s="363"/>
      <c r="I6" s="363"/>
      <c r="J6" s="363"/>
      <c r="K6" s="363"/>
      <c r="L6" s="363"/>
      <c r="M6" s="363"/>
      <c r="N6" s="363"/>
      <c r="O6" s="363"/>
    </row>
    <row r="7" spans="1:17">
      <c r="A7" s="361" t="s">
        <v>682</v>
      </c>
      <c r="C7" s="361"/>
      <c r="D7" s="363">
        <f t="shared" ref="D7:I7" si="6">D128</f>
        <v>74828</v>
      </c>
      <c r="E7" s="363">
        <f t="shared" si="6"/>
        <v>75680</v>
      </c>
      <c r="F7" s="363">
        <f t="shared" si="6"/>
        <v>75494</v>
      </c>
      <c r="G7" s="363">
        <f t="shared" si="6"/>
        <v>75539</v>
      </c>
      <c r="H7" s="363">
        <f t="shared" si="6"/>
        <v>75380</v>
      </c>
      <c r="I7" s="363">
        <f t="shared" si="6"/>
        <v>74146</v>
      </c>
      <c r="J7" s="363">
        <f t="shared" ref="J7:O7" si="7">J128</f>
        <v>73470</v>
      </c>
      <c r="K7" s="363">
        <f t="shared" si="7"/>
        <v>73801</v>
      </c>
      <c r="L7" s="363">
        <f t="shared" si="7"/>
        <v>73834</v>
      </c>
      <c r="M7" s="363">
        <f t="shared" si="7"/>
        <v>73510</v>
      </c>
      <c r="N7" s="363">
        <f t="shared" si="7"/>
        <v>73904</v>
      </c>
      <c r="O7" s="363">
        <f t="shared" si="7"/>
        <v>75582</v>
      </c>
      <c r="Q7" s="365"/>
    </row>
    <row r="8" spans="1:17">
      <c r="A8" s="361" t="s">
        <v>683</v>
      </c>
      <c r="C8" s="361"/>
      <c r="D8" s="363">
        <f t="shared" ref="D8:I8" si="8">D152</f>
        <v>83873</v>
      </c>
      <c r="E8" s="363">
        <f t="shared" si="8"/>
        <v>84149</v>
      </c>
      <c r="F8" s="363">
        <f t="shared" si="8"/>
        <v>84554</v>
      </c>
      <c r="G8" s="363">
        <f t="shared" si="8"/>
        <v>85098</v>
      </c>
      <c r="H8" s="363">
        <f t="shared" si="8"/>
        <v>84955</v>
      </c>
      <c r="I8" s="363">
        <f t="shared" si="8"/>
        <v>83823</v>
      </c>
      <c r="J8" s="363">
        <f t="shared" ref="J8:O8" si="9">J152</f>
        <v>81297</v>
      </c>
      <c r="K8" s="363">
        <f t="shared" si="9"/>
        <v>81468</v>
      </c>
      <c r="L8" s="363">
        <f t="shared" si="9"/>
        <v>82781</v>
      </c>
      <c r="M8" s="363">
        <f t="shared" si="9"/>
        <v>81858</v>
      </c>
      <c r="N8" s="363">
        <f t="shared" si="9"/>
        <v>84818</v>
      </c>
      <c r="O8" s="363">
        <f t="shared" si="9"/>
        <v>84788</v>
      </c>
      <c r="Q8" s="365"/>
    </row>
    <row r="9" spans="1:17">
      <c r="A9" s="361" t="s">
        <v>684</v>
      </c>
      <c r="C9" s="361"/>
      <c r="D9" s="363">
        <f t="shared" ref="D9:I9" si="10">D183</f>
        <v>77981</v>
      </c>
      <c r="E9" s="363">
        <f t="shared" si="10"/>
        <v>78644</v>
      </c>
      <c r="F9" s="363">
        <f t="shared" si="10"/>
        <v>79134</v>
      </c>
      <c r="G9" s="363">
        <f t="shared" si="10"/>
        <v>79959</v>
      </c>
      <c r="H9" s="363">
        <f t="shared" si="10"/>
        <v>80257</v>
      </c>
      <c r="I9" s="363">
        <f t="shared" si="10"/>
        <v>79688</v>
      </c>
      <c r="J9" s="363">
        <f t="shared" ref="J9:O9" si="11">J183</f>
        <v>77591</v>
      </c>
      <c r="K9" s="363">
        <f t="shared" si="11"/>
        <v>79473</v>
      </c>
      <c r="L9" s="363">
        <f t="shared" si="11"/>
        <v>78897</v>
      </c>
      <c r="M9" s="363">
        <f t="shared" si="11"/>
        <v>79328</v>
      </c>
      <c r="N9" s="363">
        <f t="shared" si="11"/>
        <v>83037</v>
      </c>
      <c r="O9" s="363">
        <f t="shared" si="11"/>
        <v>82515</v>
      </c>
      <c r="Q9" s="365"/>
    </row>
    <row r="10" spans="1:17">
      <c r="A10" s="361" t="s">
        <v>685</v>
      </c>
      <c r="C10" s="361"/>
      <c r="D10" s="363">
        <f t="shared" ref="D10:I10" si="12">D219</f>
        <v>97040</v>
      </c>
      <c r="E10" s="363">
        <f t="shared" si="12"/>
        <v>96728</v>
      </c>
      <c r="F10" s="363">
        <f t="shared" si="12"/>
        <v>97206</v>
      </c>
      <c r="G10" s="363">
        <f t="shared" si="12"/>
        <v>96829</v>
      </c>
      <c r="H10" s="363">
        <f t="shared" si="12"/>
        <v>96580</v>
      </c>
      <c r="I10" s="363">
        <f t="shared" si="12"/>
        <v>93590</v>
      </c>
      <c r="J10" s="363">
        <f t="shared" ref="J10:O10" si="13">J219</f>
        <v>89247</v>
      </c>
      <c r="K10" s="363">
        <f t="shared" si="13"/>
        <v>89525</v>
      </c>
      <c r="L10" s="363">
        <f t="shared" si="13"/>
        <v>92521</v>
      </c>
      <c r="M10" s="363">
        <f t="shared" si="13"/>
        <v>93893</v>
      </c>
      <c r="N10" s="363">
        <f t="shared" si="13"/>
        <v>95271</v>
      </c>
      <c r="O10" s="363">
        <f t="shared" si="13"/>
        <v>94317</v>
      </c>
      <c r="Q10" s="365"/>
    </row>
    <row r="11" spans="1:17">
      <c r="A11" s="361" t="s">
        <v>686</v>
      </c>
      <c r="C11" s="361"/>
      <c r="D11" s="363">
        <f t="shared" ref="D11:I11" si="14">D256</f>
        <v>85281</v>
      </c>
      <c r="E11" s="363">
        <f t="shared" si="14"/>
        <v>85860</v>
      </c>
      <c r="F11" s="363">
        <f t="shared" si="14"/>
        <v>86305</v>
      </c>
      <c r="G11" s="363">
        <f t="shared" si="14"/>
        <v>86657</v>
      </c>
      <c r="H11" s="363">
        <f t="shared" si="14"/>
        <v>86323</v>
      </c>
      <c r="I11" s="363">
        <f t="shared" si="14"/>
        <v>83366</v>
      </c>
      <c r="J11" s="363">
        <f t="shared" ref="J11:O11" si="15">J256</f>
        <v>83407</v>
      </c>
      <c r="K11" s="363">
        <f t="shared" si="15"/>
        <v>85099</v>
      </c>
      <c r="L11" s="363">
        <f t="shared" si="15"/>
        <v>85014</v>
      </c>
      <c r="M11" s="363">
        <f t="shared" si="15"/>
        <v>84855</v>
      </c>
      <c r="N11" s="363">
        <f t="shared" si="15"/>
        <v>84862</v>
      </c>
      <c r="O11" s="363">
        <f t="shared" si="15"/>
        <v>85773</v>
      </c>
      <c r="Q11" s="365"/>
    </row>
    <row r="12" spans="1:17">
      <c r="A12" s="361" t="s">
        <v>687</v>
      </c>
      <c r="C12" s="361"/>
      <c r="D12" s="363">
        <f t="shared" ref="D12:I12" si="16">D291</f>
        <v>98303</v>
      </c>
      <c r="E12" s="363">
        <f t="shared" si="16"/>
        <v>97459</v>
      </c>
      <c r="F12" s="363">
        <f t="shared" si="16"/>
        <v>97541</v>
      </c>
      <c r="G12" s="363">
        <f t="shared" si="16"/>
        <v>97914</v>
      </c>
      <c r="H12" s="363">
        <f t="shared" si="16"/>
        <v>95842</v>
      </c>
      <c r="I12" s="363">
        <f t="shared" si="16"/>
        <v>94986</v>
      </c>
      <c r="J12" s="363">
        <f t="shared" ref="J12:O12" si="17">J291</f>
        <v>95558</v>
      </c>
      <c r="K12" s="363">
        <f t="shared" si="17"/>
        <v>98652</v>
      </c>
      <c r="L12" s="363">
        <f t="shared" si="17"/>
        <v>99622</v>
      </c>
      <c r="M12" s="363">
        <f t="shared" si="17"/>
        <v>99824</v>
      </c>
      <c r="N12" s="363">
        <f t="shared" si="17"/>
        <v>100458</v>
      </c>
      <c r="O12" s="363">
        <f t="shared" si="17"/>
        <v>103829</v>
      </c>
      <c r="Q12" s="365"/>
    </row>
    <row r="13" spans="1:17">
      <c r="A13" s="361" t="s">
        <v>688</v>
      </c>
      <c r="C13" s="361"/>
      <c r="D13" s="363">
        <f t="shared" ref="D13:I13" si="18">D328</f>
        <v>77952</v>
      </c>
      <c r="E13" s="363">
        <f t="shared" si="18"/>
        <v>78034</v>
      </c>
      <c r="F13" s="363">
        <f t="shared" si="18"/>
        <v>78178</v>
      </c>
      <c r="G13" s="363">
        <f t="shared" si="18"/>
        <v>78413</v>
      </c>
      <c r="H13" s="363">
        <f t="shared" si="18"/>
        <v>78268</v>
      </c>
      <c r="I13" s="363">
        <f t="shared" si="18"/>
        <v>78277</v>
      </c>
      <c r="J13" s="363">
        <f t="shared" ref="J13:O13" si="19">J328</f>
        <v>78211</v>
      </c>
      <c r="K13" s="363">
        <f t="shared" si="19"/>
        <v>78206</v>
      </c>
      <c r="L13" s="363">
        <f t="shared" si="19"/>
        <v>78002</v>
      </c>
      <c r="M13" s="363">
        <f t="shared" si="19"/>
        <v>78783</v>
      </c>
      <c r="N13" s="363">
        <f t="shared" si="19"/>
        <v>79321</v>
      </c>
      <c r="O13" s="363">
        <f t="shared" si="19"/>
        <v>78999</v>
      </c>
      <c r="Q13" s="365"/>
    </row>
    <row r="14" spans="1:17">
      <c r="A14" s="361" t="s">
        <v>689</v>
      </c>
      <c r="C14" s="361"/>
      <c r="D14" s="363">
        <f t="shared" ref="D14:I14" si="20">D365</f>
        <v>57698</v>
      </c>
      <c r="E14" s="363">
        <f t="shared" si="20"/>
        <v>58138</v>
      </c>
      <c r="F14" s="363">
        <f t="shared" si="20"/>
        <v>57750</v>
      </c>
      <c r="G14" s="363">
        <f t="shared" si="20"/>
        <v>58132</v>
      </c>
      <c r="H14" s="363">
        <f t="shared" si="20"/>
        <v>57352</v>
      </c>
      <c r="I14" s="363">
        <f t="shared" si="20"/>
        <v>56462</v>
      </c>
      <c r="J14" s="363">
        <f t="shared" ref="J14:O14" si="21">J365</f>
        <v>56689</v>
      </c>
      <c r="K14" s="363">
        <f t="shared" si="21"/>
        <v>57019</v>
      </c>
      <c r="L14" s="363">
        <f t="shared" si="21"/>
        <v>57315</v>
      </c>
      <c r="M14" s="363">
        <f t="shared" si="21"/>
        <v>55693</v>
      </c>
      <c r="N14" s="363">
        <f t="shared" si="21"/>
        <v>56347</v>
      </c>
      <c r="O14" s="363">
        <f t="shared" si="21"/>
        <v>56743</v>
      </c>
      <c r="Q14" s="365"/>
    </row>
    <row r="16" spans="1:17">
      <c r="A16" s="361" t="s">
        <v>690</v>
      </c>
      <c r="D16" s="363">
        <f t="shared" ref="D16:I16" si="22">D3/9</f>
        <v>72550.666666666672</v>
      </c>
      <c r="E16" s="363">
        <f t="shared" si="22"/>
        <v>72743.555555555562</v>
      </c>
      <c r="F16" s="363">
        <f t="shared" si="22"/>
        <v>72906.888888888891</v>
      </c>
      <c r="G16" s="363">
        <f t="shared" si="22"/>
        <v>73171.222222222219</v>
      </c>
      <c r="H16" s="363">
        <f t="shared" si="22"/>
        <v>72773</v>
      </c>
      <c r="I16" s="363">
        <f t="shared" si="22"/>
        <v>71593.111111111109</v>
      </c>
      <c r="J16" s="363">
        <f t="shared" ref="J16:O16" si="23">J3/9</f>
        <v>70607.777777777781</v>
      </c>
      <c r="K16" s="363">
        <f t="shared" si="23"/>
        <v>71471.444444444438</v>
      </c>
      <c r="L16" s="363">
        <f t="shared" si="23"/>
        <v>71998.444444444438</v>
      </c>
      <c r="M16" s="363">
        <f t="shared" si="23"/>
        <v>71971.555555555562</v>
      </c>
      <c r="N16" s="363">
        <f t="shared" si="23"/>
        <v>73113.111111111109</v>
      </c>
      <c r="O16" s="363">
        <f t="shared" si="23"/>
        <v>73616.222222222219</v>
      </c>
    </row>
    <row r="17" spans="1:17">
      <c r="A17" s="361" t="s">
        <v>691</v>
      </c>
      <c r="D17" s="363">
        <f t="shared" ref="D17:I17" si="24">D4/3</f>
        <v>61752</v>
      </c>
      <c r="E17" s="363">
        <f t="shared" si="24"/>
        <v>62147</v>
      </c>
      <c r="F17" s="363">
        <f t="shared" si="24"/>
        <v>62477.333333333336</v>
      </c>
      <c r="G17" s="363">
        <f t="shared" si="24"/>
        <v>62367.666666666664</v>
      </c>
      <c r="H17" s="363">
        <f t="shared" si="24"/>
        <v>62171.333333333336</v>
      </c>
      <c r="I17" s="363">
        <f t="shared" si="24"/>
        <v>60746</v>
      </c>
      <c r="J17" s="363">
        <f t="shared" ref="J17:O17" si="25">J4/3</f>
        <v>59952.333333333336</v>
      </c>
      <c r="K17" s="363">
        <f t="shared" si="25"/>
        <v>58744.666666666664</v>
      </c>
      <c r="L17" s="363">
        <f t="shared" si="25"/>
        <v>60051.333333333336</v>
      </c>
      <c r="M17" s="363">
        <f t="shared" si="25"/>
        <v>58454</v>
      </c>
      <c r="N17" s="363">
        <f t="shared" si="25"/>
        <v>56814.333333333336</v>
      </c>
      <c r="O17" s="363">
        <f t="shared" si="25"/>
        <v>56782</v>
      </c>
    </row>
    <row r="18" spans="1:17">
      <c r="A18" s="361" t="s">
        <v>2489</v>
      </c>
      <c r="D18" s="363">
        <f t="shared" ref="D18:I18" si="26">D5/11</f>
        <v>76201.090909090912</v>
      </c>
      <c r="E18" s="363">
        <f t="shared" si="26"/>
        <v>76466.636363636368</v>
      </c>
      <c r="F18" s="363">
        <f t="shared" si="26"/>
        <v>76690.363636363632</v>
      </c>
      <c r="G18" s="363">
        <f t="shared" si="26"/>
        <v>76876.727272727279</v>
      </c>
      <c r="H18" s="363">
        <f t="shared" si="26"/>
        <v>76497.363636363632</v>
      </c>
      <c r="I18" s="363">
        <f t="shared" si="26"/>
        <v>75143.272727272721</v>
      </c>
      <c r="J18" s="363">
        <f t="shared" ref="J18:O18" si="27">J5/11</f>
        <v>74120.636363636368</v>
      </c>
      <c r="K18" s="363">
        <f t="shared" si="27"/>
        <v>74497.909090909088</v>
      </c>
      <c r="L18" s="363">
        <f t="shared" si="27"/>
        <v>75285.454545454544</v>
      </c>
      <c r="M18" s="363">
        <f t="shared" si="27"/>
        <v>74827.818181818177</v>
      </c>
      <c r="N18" s="363">
        <f t="shared" si="27"/>
        <v>75314.636363636368</v>
      </c>
      <c r="O18" s="363">
        <f t="shared" si="27"/>
        <v>75717.454545454544</v>
      </c>
    </row>
    <row r="19" spans="1:17">
      <c r="A19" s="361"/>
      <c r="D19" s="366"/>
      <c r="E19" s="366"/>
      <c r="F19" s="366"/>
      <c r="G19" s="366"/>
      <c r="H19" s="366"/>
      <c r="I19" s="366"/>
      <c r="J19" s="366"/>
      <c r="K19" s="366"/>
      <c r="L19" s="366"/>
      <c r="M19" s="366"/>
      <c r="N19" s="366"/>
      <c r="O19" s="366"/>
    </row>
    <row r="20" spans="1:17">
      <c r="A20" s="361" t="s">
        <v>692</v>
      </c>
      <c r="D20" s="363">
        <f t="shared" ref="D20:I20" si="28">D175</f>
        <v>75081</v>
      </c>
      <c r="E20" s="363">
        <f t="shared" si="28"/>
        <v>75302</v>
      </c>
      <c r="F20" s="363">
        <f t="shared" si="28"/>
        <v>75733</v>
      </c>
      <c r="G20" s="363">
        <f t="shared" si="28"/>
        <v>76230</v>
      </c>
      <c r="H20" s="363">
        <f t="shared" si="28"/>
        <v>76055</v>
      </c>
      <c r="I20" s="363">
        <f t="shared" si="28"/>
        <v>75039</v>
      </c>
      <c r="J20" s="363">
        <f t="shared" ref="J20:O20" si="29">J175</f>
        <v>72542</v>
      </c>
      <c r="K20" s="363">
        <f t="shared" si="29"/>
        <v>72559</v>
      </c>
      <c r="L20" s="363">
        <f t="shared" si="29"/>
        <v>73689</v>
      </c>
      <c r="M20" s="363">
        <f t="shared" si="29"/>
        <v>72803</v>
      </c>
      <c r="N20" s="363">
        <f t="shared" si="29"/>
        <v>75475</v>
      </c>
      <c r="O20" s="363">
        <f t="shared" si="29"/>
        <v>75460</v>
      </c>
      <c r="Q20" s="361" t="s">
        <v>693</v>
      </c>
    </row>
    <row r="21" spans="1:17">
      <c r="D21" s="363"/>
      <c r="E21" s="363"/>
      <c r="F21" s="363"/>
      <c r="G21" s="363"/>
      <c r="H21" s="363"/>
      <c r="I21" s="363"/>
      <c r="J21" s="363"/>
      <c r="K21" s="363"/>
      <c r="L21" s="363"/>
      <c r="M21" s="363"/>
      <c r="N21" s="363"/>
      <c r="O21" s="363"/>
    </row>
    <row r="22" spans="1:17">
      <c r="A22" s="361" t="s">
        <v>694</v>
      </c>
      <c r="D22" s="363">
        <f t="shared" ref="D22:I22" si="30">D145</f>
        <v>74828</v>
      </c>
      <c r="E22" s="363">
        <f t="shared" si="30"/>
        <v>75680</v>
      </c>
      <c r="F22" s="363">
        <f t="shared" si="30"/>
        <v>75494</v>
      </c>
      <c r="G22" s="363">
        <f t="shared" si="30"/>
        <v>75539</v>
      </c>
      <c r="H22" s="363">
        <f t="shared" si="30"/>
        <v>75380</v>
      </c>
      <c r="I22" s="363">
        <f t="shared" si="30"/>
        <v>74146</v>
      </c>
      <c r="J22" s="363">
        <f t="shared" ref="J22:O22" si="31">J145</f>
        <v>73470</v>
      </c>
      <c r="K22" s="363">
        <f t="shared" si="31"/>
        <v>73801</v>
      </c>
      <c r="L22" s="363">
        <f t="shared" si="31"/>
        <v>73834</v>
      </c>
      <c r="M22" s="363">
        <f t="shared" si="31"/>
        <v>73510</v>
      </c>
      <c r="N22" s="363">
        <f t="shared" si="31"/>
        <v>73904</v>
      </c>
      <c r="O22" s="363">
        <f t="shared" si="31"/>
        <v>75582</v>
      </c>
      <c r="Q22" s="361" t="s">
        <v>5305</v>
      </c>
    </row>
    <row r="23" spans="1:17">
      <c r="D23" s="363"/>
      <c r="E23" s="363"/>
      <c r="F23" s="363"/>
      <c r="G23" s="363"/>
      <c r="H23" s="363"/>
      <c r="I23" s="363"/>
      <c r="J23" s="363"/>
      <c r="K23" s="363"/>
      <c r="L23" s="363"/>
      <c r="M23" s="363"/>
      <c r="N23" s="363"/>
      <c r="O23" s="363"/>
    </row>
    <row r="24" spans="1:17">
      <c r="A24" s="361" t="s">
        <v>695</v>
      </c>
      <c r="D24" s="363">
        <f t="shared" ref="D24:I24" si="32">D176</f>
        <v>8792</v>
      </c>
      <c r="E24" s="363">
        <f t="shared" si="32"/>
        <v>8847</v>
      </c>
      <c r="F24" s="363">
        <f t="shared" si="32"/>
        <v>8821</v>
      </c>
      <c r="G24" s="363">
        <f t="shared" si="32"/>
        <v>8868</v>
      </c>
      <c r="H24" s="363">
        <f t="shared" si="32"/>
        <v>8900</v>
      </c>
      <c r="I24" s="363">
        <f t="shared" si="32"/>
        <v>8784</v>
      </c>
      <c r="J24" s="363">
        <f t="shared" ref="J24:O24" si="33">J176</f>
        <v>8755</v>
      </c>
      <c r="K24" s="363">
        <f t="shared" si="33"/>
        <v>8909</v>
      </c>
      <c r="L24" s="363">
        <f t="shared" si="33"/>
        <v>9092</v>
      </c>
      <c r="M24" s="363">
        <f t="shared" si="33"/>
        <v>9055</v>
      </c>
      <c r="N24" s="363">
        <f t="shared" si="33"/>
        <v>9343</v>
      </c>
      <c r="O24" s="363">
        <f t="shared" si="33"/>
        <v>9328</v>
      </c>
      <c r="Q24" s="361" t="s">
        <v>693</v>
      </c>
    </row>
    <row r="25" spans="1:17" ht="15.75" thickBot="1">
      <c r="D25" s="364">
        <f t="shared" ref="D25:I25" si="34">D211</f>
        <v>63712</v>
      </c>
      <c r="E25" s="364">
        <f t="shared" si="34"/>
        <v>64238</v>
      </c>
      <c r="F25" s="364">
        <f t="shared" si="34"/>
        <v>64623</v>
      </c>
      <c r="G25" s="364">
        <f t="shared" si="34"/>
        <v>65244</v>
      </c>
      <c r="H25" s="364">
        <f t="shared" si="34"/>
        <v>65467</v>
      </c>
      <c r="I25" s="364">
        <f t="shared" si="34"/>
        <v>65002</v>
      </c>
      <c r="J25" s="364">
        <f t="shared" ref="J25:O25" si="35">J211</f>
        <v>63283</v>
      </c>
      <c r="K25" s="364">
        <f t="shared" si="35"/>
        <v>64887</v>
      </c>
      <c r="L25" s="364">
        <f t="shared" si="35"/>
        <v>64394</v>
      </c>
      <c r="M25" s="364">
        <f t="shared" si="35"/>
        <v>64821</v>
      </c>
      <c r="N25" s="364">
        <f t="shared" si="35"/>
        <v>68027</v>
      </c>
      <c r="O25" s="364">
        <f t="shared" si="35"/>
        <v>67574</v>
      </c>
      <c r="Q25" s="361" t="s">
        <v>696</v>
      </c>
    </row>
    <row r="26" spans="1:17" ht="15.75" thickBot="1">
      <c r="D26" s="364">
        <f t="shared" ref="D26:I26" si="36">D24+D25</f>
        <v>72504</v>
      </c>
      <c r="E26" s="364">
        <f t="shared" si="36"/>
        <v>73085</v>
      </c>
      <c r="F26" s="364">
        <f t="shared" si="36"/>
        <v>73444</v>
      </c>
      <c r="G26" s="364">
        <f t="shared" si="36"/>
        <v>74112</v>
      </c>
      <c r="H26" s="364">
        <f t="shared" si="36"/>
        <v>74367</v>
      </c>
      <c r="I26" s="364">
        <f t="shared" si="36"/>
        <v>73786</v>
      </c>
      <c r="J26" s="364">
        <f t="shared" ref="J26:O26" si="37">J24+J25</f>
        <v>72038</v>
      </c>
      <c r="K26" s="364">
        <f t="shared" si="37"/>
        <v>73796</v>
      </c>
      <c r="L26" s="364">
        <f t="shared" si="37"/>
        <v>73486</v>
      </c>
      <c r="M26" s="364">
        <f t="shared" si="37"/>
        <v>73876</v>
      </c>
      <c r="N26" s="364">
        <f t="shared" si="37"/>
        <v>77370</v>
      </c>
      <c r="O26" s="364">
        <f t="shared" si="37"/>
        <v>76902</v>
      </c>
    </row>
    <row r="27" spans="1:17">
      <c r="D27" s="363"/>
      <c r="E27" s="363"/>
      <c r="F27" s="363"/>
      <c r="G27" s="363"/>
      <c r="H27" s="363"/>
      <c r="I27" s="363"/>
      <c r="J27" s="363"/>
      <c r="K27" s="363"/>
      <c r="L27" s="363"/>
      <c r="M27" s="363"/>
      <c r="N27" s="363"/>
      <c r="O27" s="363"/>
    </row>
    <row r="28" spans="1:17">
      <c r="A28" s="361" t="s">
        <v>2755</v>
      </c>
      <c r="D28" s="363">
        <f t="shared" ref="D28:I28" si="38">D246</f>
        <v>68819</v>
      </c>
      <c r="E28" s="363">
        <f t="shared" si="38"/>
        <v>68692</v>
      </c>
      <c r="F28" s="363">
        <f t="shared" si="38"/>
        <v>69154</v>
      </c>
      <c r="G28" s="363">
        <f t="shared" si="38"/>
        <v>68901</v>
      </c>
      <c r="H28" s="363">
        <f t="shared" si="38"/>
        <v>68782</v>
      </c>
      <c r="I28" s="363">
        <f t="shared" si="38"/>
        <v>65957</v>
      </c>
      <c r="J28" s="363">
        <f t="shared" ref="J28:O28" si="39">J246</f>
        <v>62936</v>
      </c>
      <c r="K28" s="363">
        <f t="shared" si="39"/>
        <v>62879</v>
      </c>
      <c r="L28" s="363">
        <f t="shared" si="39"/>
        <v>65173</v>
      </c>
      <c r="M28" s="363">
        <f t="shared" si="39"/>
        <v>65984</v>
      </c>
      <c r="N28" s="363">
        <f t="shared" si="39"/>
        <v>67204</v>
      </c>
      <c r="O28" s="363">
        <f t="shared" si="39"/>
        <v>66658</v>
      </c>
      <c r="Q28" s="361" t="s">
        <v>2756</v>
      </c>
    </row>
    <row r="29" spans="1:17">
      <c r="D29" s="363"/>
      <c r="E29" s="363"/>
      <c r="F29" s="363"/>
      <c r="G29" s="363"/>
      <c r="H29" s="363"/>
      <c r="I29" s="363"/>
      <c r="J29" s="363"/>
      <c r="K29" s="363"/>
      <c r="L29" s="363"/>
      <c r="M29" s="363"/>
      <c r="N29" s="363"/>
      <c r="O29" s="363"/>
    </row>
    <row r="30" spans="1:17">
      <c r="A30" s="361" t="s">
        <v>2757</v>
      </c>
      <c r="D30" s="363">
        <f t="shared" ref="D30:I30" si="40">D283</f>
        <v>73630</v>
      </c>
      <c r="E30" s="363">
        <f t="shared" si="40"/>
        <v>74189</v>
      </c>
      <c r="F30" s="363">
        <f t="shared" si="40"/>
        <v>74608</v>
      </c>
      <c r="G30" s="363">
        <f t="shared" si="40"/>
        <v>74945</v>
      </c>
      <c r="H30" s="363">
        <f t="shared" si="40"/>
        <v>74622</v>
      </c>
      <c r="I30" s="363">
        <f t="shared" si="40"/>
        <v>71956</v>
      </c>
      <c r="J30" s="363">
        <f t="shared" ref="J30:O30" si="41">J283</f>
        <v>72132</v>
      </c>
      <c r="K30" s="363">
        <f t="shared" si="41"/>
        <v>73660</v>
      </c>
      <c r="L30" s="363">
        <f t="shared" si="41"/>
        <v>73658</v>
      </c>
      <c r="M30" s="363">
        <f t="shared" si="41"/>
        <v>73286</v>
      </c>
      <c r="N30" s="363">
        <f t="shared" si="41"/>
        <v>73293</v>
      </c>
      <c r="O30" s="363">
        <f t="shared" si="41"/>
        <v>73895</v>
      </c>
      <c r="Q30" s="361" t="s">
        <v>2758</v>
      </c>
    </row>
    <row r="31" spans="1:17">
      <c r="D31" s="363"/>
      <c r="E31" s="363"/>
      <c r="F31" s="363"/>
      <c r="G31" s="363"/>
      <c r="H31" s="363"/>
      <c r="I31" s="363"/>
      <c r="J31" s="363"/>
      <c r="K31" s="363"/>
      <c r="L31" s="363"/>
      <c r="M31" s="363"/>
      <c r="N31" s="363"/>
      <c r="O31" s="363"/>
    </row>
    <row r="32" spans="1:17">
      <c r="A32" s="361" t="s">
        <v>2759</v>
      </c>
      <c r="D32" s="363">
        <f t="shared" ref="D32:I32" si="42">D284</f>
        <v>11651</v>
      </c>
      <c r="E32" s="363">
        <f t="shared" si="42"/>
        <v>11671</v>
      </c>
      <c r="F32" s="363">
        <f t="shared" si="42"/>
        <v>11697</v>
      </c>
      <c r="G32" s="363">
        <f t="shared" si="42"/>
        <v>11712</v>
      </c>
      <c r="H32" s="363">
        <f t="shared" si="42"/>
        <v>11701</v>
      </c>
      <c r="I32" s="363">
        <f t="shared" si="42"/>
        <v>11410</v>
      </c>
      <c r="J32" s="363">
        <f t="shared" ref="J32:O32" si="43">J284</f>
        <v>11275</v>
      </c>
      <c r="K32" s="363">
        <f t="shared" si="43"/>
        <v>11439</v>
      </c>
      <c r="L32" s="363">
        <f t="shared" si="43"/>
        <v>11356</v>
      </c>
      <c r="M32" s="363">
        <f t="shared" si="43"/>
        <v>11569</v>
      </c>
      <c r="N32" s="363">
        <f t="shared" si="43"/>
        <v>11569</v>
      </c>
      <c r="O32" s="363">
        <f t="shared" si="43"/>
        <v>11878</v>
      </c>
      <c r="Q32" s="361" t="s">
        <v>2758</v>
      </c>
    </row>
    <row r="33" spans="1:17" ht="15.75" thickBot="1">
      <c r="D33" s="364">
        <f t="shared" ref="D33:I33" si="44">D320</f>
        <v>58861</v>
      </c>
      <c r="E33" s="364">
        <f t="shared" si="44"/>
        <v>58161</v>
      </c>
      <c r="F33" s="364">
        <f t="shared" si="44"/>
        <v>58052</v>
      </c>
      <c r="G33" s="364">
        <f t="shared" si="44"/>
        <v>58185</v>
      </c>
      <c r="H33" s="364">
        <f t="shared" si="44"/>
        <v>56714</v>
      </c>
      <c r="I33" s="364">
        <f t="shared" si="44"/>
        <v>55962</v>
      </c>
      <c r="J33" s="364">
        <f t="shared" ref="J33:O33" si="45">J320</f>
        <v>56530</v>
      </c>
      <c r="K33" s="364">
        <f t="shared" si="45"/>
        <v>58576</v>
      </c>
      <c r="L33" s="364">
        <f t="shared" si="45"/>
        <v>59177</v>
      </c>
      <c r="M33" s="364">
        <f t="shared" si="45"/>
        <v>59279</v>
      </c>
      <c r="N33" s="364">
        <f t="shared" si="45"/>
        <v>59580</v>
      </c>
      <c r="O33" s="364">
        <f t="shared" si="45"/>
        <v>61730</v>
      </c>
      <c r="Q33" s="361" t="s">
        <v>2760</v>
      </c>
    </row>
    <row r="34" spans="1:17" ht="15.75" thickBot="1">
      <c r="D34" s="364">
        <f t="shared" ref="D34:I34" si="46">D32+D33</f>
        <v>70512</v>
      </c>
      <c r="E34" s="364">
        <f t="shared" si="46"/>
        <v>69832</v>
      </c>
      <c r="F34" s="364">
        <f t="shared" si="46"/>
        <v>69749</v>
      </c>
      <c r="G34" s="364">
        <f t="shared" si="46"/>
        <v>69897</v>
      </c>
      <c r="H34" s="364">
        <f t="shared" si="46"/>
        <v>68415</v>
      </c>
      <c r="I34" s="364">
        <f t="shared" si="46"/>
        <v>67372</v>
      </c>
      <c r="J34" s="364">
        <f t="shared" ref="J34:O34" si="47">J32+J33</f>
        <v>67805</v>
      </c>
      <c r="K34" s="364">
        <f t="shared" si="47"/>
        <v>70015</v>
      </c>
      <c r="L34" s="364">
        <f t="shared" si="47"/>
        <v>70533</v>
      </c>
      <c r="M34" s="364">
        <f t="shared" si="47"/>
        <v>70848</v>
      </c>
      <c r="N34" s="364">
        <f t="shared" si="47"/>
        <v>71149</v>
      </c>
      <c r="O34" s="364">
        <f t="shared" si="47"/>
        <v>73608</v>
      </c>
    </row>
    <row r="35" spans="1:17">
      <c r="D35" s="363"/>
      <c r="E35" s="363"/>
      <c r="F35" s="363"/>
      <c r="G35" s="363"/>
      <c r="H35" s="363"/>
      <c r="I35" s="363"/>
      <c r="J35" s="363"/>
      <c r="K35" s="363"/>
      <c r="L35" s="363"/>
      <c r="M35" s="363"/>
      <c r="N35" s="363"/>
      <c r="O35" s="363"/>
    </row>
    <row r="36" spans="1:17">
      <c r="A36" s="361" t="s">
        <v>2761</v>
      </c>
      <c r="D36" s="363">
        <f t="shared" ref="D36:I36" si="48">D247</f>
        <v>2784</v>
      </c>
      <c r="E36" s="363">
        <f t="shared" si="48"/>
        <v>2801</v>
      </c>
      <c r="F36" s="363">
        <f t="shared" si="48"/>
        <v>2763</v>
      </c>
      <c r="G36" s="363">
        <f t="shared" si="48"/>
        <v>2747</v>
      </c>
      <c r="H36" s="363">
        <f t="shared" si="48"/>
        <v>2769</v>
      </c>
      <c r="I36" s="363">
        <f t="shared" si="48"/>
        <v>2766</v>
      </c>
      <c r="J36" s="363">
        <f t="shared" ref="J36:O36" si="49">J247</f>
        <v>2679</v>
      </c>
      <c r="K36" s="363">
        <f t="shared" si="49"/>
        <v>2710</v>
      </c>
      <c r="L36" s="363">
        <f t="shared" si="49"/>
        <v>2775</v>
      </c>
      <c r="M36" s="363">
        <f t="shared" si="49"/>
        <v>2811</v>
      </c>
      <c r="N36" s="363">
        <f t="shared" si="49"/>
        <v>2831</v>
      </c>
      <c r="O36" s="363">
        <f t="shared" si="49"/>
        <v>2808</v>
      </c>
      <c r="Q36" s="361" t="s">
        <v>2756</v>
      </c>
    </row>
    <row r="37" spans="1:17" ht="15.75" thickBot="1">
      <c r="D37" s="364">
        <f t="shared" ref="D37:I37" si="50">D357</f>
        <v>59593</v>
      </c>
      <c r="E37" s="364">
        <f t="shared" si="50"/>
        <v>59656</v>
      </c>
      <c r="F37" s="364">
        <f t="shared" si="50"/>
        <v>59634</v>
      </c>
      <c r="G37" s="364">
        <f t="shared" si="50"/>
        <v>59793</v>
      </c>
      <c r="H37" s="364">
        <f t="shared" si="50"/>
        <v>59643</v>
      </c>
      <c r="I37" s="364">
        <f t="shared" si="50"/>
        <v>59650</v>
      </c>
      <c r="J37" s="364">
        <f t="shared" ref="J37:O37" si="51">J357</f>
        <v>59658</v>
      </c>
      <c r="K37" s="364">
        <f t="shared" si="51"/>
        <v>59820</v>
      </c>
      <c r="L37" s="364">
        <f t="shared" si="51"/>
        <v>59626</v>
      </c>
      <c r="M37" s="364">
        <f t="shared" si="51"/>
        <v>60106</v>
      </c>
      <c r="N37" s="364">
        <f t="shared" si="51"/>
        <v>60618</v>
      </c>
      <c r="O37" s="364">
        <f t="shared" si="51"/>
        <v>60348</v>
      </c>
      <c r="Q37" s="361" t="s">
        <v>2762</v>
      </c>
    </row>
    <row r="38" spans="1:17" ht="15.75" thickBot="1">
      <c r="D38" s="364">
        <f t="shared" ref="D38:I38" si="52">D36+D37</f>
        <v>62377</v>
      </c>
      <c r="E38" s="364">
        <f t="shared" si="52"/>
        <v>62457</v>
      </c>
      <c r="F38" s="364">
        <f t="shared" si="52"/>
        <v>62397</v>
      </c>
      <c r="G38" s="364">
        <f t="shared" si="52"/>
        <v>62540</v>
      </c>
      <c r="H38" s="364">
        <f t="shared" si="52"/>
        <v>62412</v>
      </c>
      <c r="I38" s="364">
        <f t="shared" si="52"/>
        <v>62416</v>
      </c>
      <c r="J38" s="364">
        <f t="shared" ref="J38:O38" si="53">J36+J37</f>
        <v>62337</v>
      </c>
      <c r="K38" s="364">
        <f t="shared" si="53"/>
        <v>62530</v>
      </c>
      <c r="L38" s="364">
        <f t="shared" si="53"/>
        <v>62401</v>
      </c>
      <c r="M38" s="364">
        <f t="shared" si="53"/>
        <v>62917</v>
      </c>
      <c r="N38" s="364">
        <f t="shared" si="53"/>
        <v>63449</v>
      </c>
      <c r="O38" s="364">
        <f t="shared" si="53"/>
        <v>63156</v>
      </c>
    </row>
    <row r="39" spans="1:17">
      <c r="D39" s="363"/>
      <c r="E39" s="363"/>
      <c r="F39" s="363"/>
      <c r="G39" s="363"/>
      <c r="H39" s="363"/>
      <c r="I39" s="363"/>
      <c r="J39" s="363"/>
      <c r="K39" s="363"/>
      <c r="L39" s="363"/>
      <c r="M39" s="363"/>
      <c r="N39" s="363"/>
      <c r="O39" s="363"/>
    </row>
    <row r="40" spans="1:17">
      <c r="A40" s="361" t="s">
        <v>2763</v>
      </c>
      <c r="D40" s="363">
        <f t="shared" ref="D40:I40" si="54">D119</f>
        <v>61083</v>
      </c>
      <c r="E40" s="363">
        <f t="shared" si="54"/>
        <v>61774</v>
      </c>
      <c r="F40" s="363">
        <f t="shared" si="54"/>
        <v>62483</v>
      </c>
      <c r="G40" s="363">
        <f t="shared" si="54"/>
        <v>61821</v>
      </c>
      <c r="H40" s="363">
        <f t="shared" si="54"/>
        <v>61561</v>
      </c>
      <c r="I40" s="363">
        <f t="shared" si="54"/>
        <v>59472</v>
      </c>
      <c r="J40" s="363">
        <f t="shared" ref="J40:O40" si="55">J119</f>
        <v>58259</v>
      </c>
      <c r="K40" s="363">
        <f t="shared" si="55"/>
        <v>56358</v>
      </c>
      <c r="L40" s="363">
        <f t="shared" si="55"/>
        <v>57802</v>
      </c>
      <c r="M40" s="363">
        <f t="shared" si="55"/>
        <v>55898</v>
      </c>
      <c r="N40" s="363">
        <f t="shared" si="55"/>
        <v>54286</v>
      </c>
      <c r="O40" s="363">
        <f t="shared" si="55"/>
        <v>54551</v>
      </c>
      <c r="Q40" s="361" t="s">
        <v>2764</v>
      </c>
    </row>
    <row r="41" spans="1:17">
      <c r="D41" s="363"/>
      <c r="E41" s="363"/>
      <c r="F41" s="363"/>
      <c r="G41" s="363"/>
      <c r="H41" s="363"/>
      <c r="I41" s="363"/>
      <c r="J41" s="363"/>
      <c r="K41" s="363"/>
      <c r="L41" s="363"/>
      <c r="M41" s="363"/>
      <c r="N41" s="363"/>
      <c r="O41" s="363"/>
    </row>
    <row r="42" spans="1:17">
      <c r="A42" s="361" t="s">
        <v>2765</v>
      </c>
      <c r="D42" s="363">
        <f t="shared" ref="D42:I42" si="56">D248</f>
        <v>16373</v>
      </c>
      <c r="E42" s="363">
        <f t="shared" si="56"/>
        <v>16182</v>
      </c>
      <c r="F42" s="363">
        <f t="shared" si="56"/>
        <v>16178</v>
      </c>
      <c r="G42" s="363">
        <f t="shared" si="56"/>
        <v>16050</v>
      </c>
      <c r="H42" s="363">
        <f t="shared" si="56"/>
        <v>15912</v>
      </c>
      <c r="I42" s="363">
        <f t="shared" si="56"/>
        <v>15783</v>
      </c>
      <c r="J42" s="363">
        <f t="shared" ref="J42:O42" si="57">J248</f>
        <v>14946</v>
      </c>
      <c r="K42" s="363">
        <f t="shared" si="57"/>
        <v>15147</v>
      </c>
      <c r="L42" s="363">
        <f t="shared" si="57"/>
        <v>15639</v>
      </c>
      <c r="M42" s="363">
        <f t="shared" si="57"/>
        <v>16013</v>
      </c>
      <c r="N42" s="363">
        <f t="shared" si="57"/>
        <v>16043</v>
      </c>
      <c r="O42" s="363">
        <f t="shared" si="57"/>
        <v>15741</v>
      </c>
      <c r="Q42" s="361" t="s">
        <v>2756</v>
      </c>
    </row>
    <row r="43" spans="1:17" ht="15.75" thickBot="1">
      <c r="D43" s="364">
        <f t="shared" ref="D43:I43" si="58">D120</f>
        <v>55872</v>
      </c>
      <c r="E43" s="364">
        <f t="shared" si="58"/>
        <v>56043</v>
      </c>
      <c r="F43" s="364">
        <f t="shared" si="58"/>
        <v>56107</v>
      </c>
      <c r="G43" s="364">
        <f t="shared" si="58"/>
        <v>56230</v>
      </c>
      <c r="H43" s="364">
        <f t="shared" si="58"/>
        <v>56421</v>
      </c>
      <c r="I43" s="364">
        <f t="shared" si="58"/>
        <v>55264</v>
      </c>
      <c r="J43" s="364">
        <f t="shared" ref="J43:O43" si="59">J120</f>
        <v>54763</v>
      </c>
      <c r="K43" s="364">
        <f t="shared" si="59"/>
        <v>53890</v>
      </c>
      <c r="L43" s="364">
        <f t="shared" si="59"/>
        <v>55103</v>
      </c>
      <c r="M43" s="364">
        <f t="shared" si="59"/>
        <v>53818</v>
      </c>
      <c r="N43" s="364">
        <f t="shared" si="59"/>
        <v>51998</v>
      </c>
      <c r="O43" s="364">
        <f t="shared" si="59"/>
        <v>51640</v>
      </c>
      <c r="Q43" s="361" t="s">
        <v>2764</v>
      </c>
    </row>
    <row r="44" spans="1:17" ht="15.75" thickBot="1">
      <c r="D44" s="364">
        <f t="shared" ref="D44:I44" si="60">D42+D43</f>
        <v>72245</v>
      </c>
      <c r="E44" s="364">
        <f t="shared" si="60"/>
        <v>72225</v>
      </c>
      <c r="F44" s="364">
        <f t="shared" si="60"/>
        <v>72285</v>
      </c>
      <c r="G44" s="364">
        <f t="shared" si="60"/>
        <v>72280</v>
      </c>
      <c r="H44" s="364">
        <f t="shared" si="60"/>
        <v>72333</v>
      </c>
      <c r="I44" s="364">
        <f t="shared" si="60"/>
        <v>71047</v>
      </c>
      <c r="J44" s="364">
        <f t="shared" ref="J44:O44" si="61">J42+J43</f>
        <v>69709</v>
      </c>
      <c r="K44" s="364">
        <f t="shared" si="61"/>
        <v>69037</v>
      </c>
      <c r="L44" s="364">
        <f t="shared" si="61"/>
        <v>70742</v>
      </c>
      <c r="M44" s="364">
        <f t="shared" si="61"/>
        <v>69831</v>
      </c>
      <c r="N44" s="364">
        <f t="shared" si="61"/>
        <v>68041</v>
      </c>
      <c r="O44" s="364">
        <f t="shared" si="61"/>
        <v>67381</v>
      </c>
    </row>
    <row r="45" spans="1:17">
      <c r="D45" s="363"/>
      <c r="E45" s="363"/>
      <c r="F45" s="363"/>
      <c r="G45" s="363"/>
      <c r="H45" s="363"/>
      <c r="I45" s="363"/>
      <c r="J45" s="363"/>
      <c r="K45" s="363"/>
      <c r="L45" s="363"/>
      <c r="M45" s="363"/>
      <c r="N45" s="363"/>
      <c r="O45" s="363"/>
    </row>
    <row r="46" spans="1:17">
      <c r="A46" s="361" t="s">
        <v>2766</v>
      </c>
      <c r="D46" s="363">
        <f t="shared" ref="D46:I46" si="62">D121</f>
        <v>68301</v>
      </c>
      <c r="E46" s="363">
        <f t="shared" si="62"/>
        <v>68624</v>
      </c>
      <c r="F46" s="363">
        <f t="shared" si="62"/>
        <v>68842</v>
      </c>
      <c r="G46" s="363">
        <f t="shared" si="62"/>
        <v>69052</v>
      </c>
      <c r="H46" s="363">
        <f t="shared" si="62"/>
        <v>68532</v>
      </c>
      <c r="I46" s="363">
        <f t="shared" si="62"/>
        <v>67502</v>
      </c>
      <c r="J46" s="363">
        <f t="shared" ref="J46:O46" si="63">J121</f>
        <v>66835</v>
      </c>
      <c r="K46" s="363">
        <f t="shared" si="63"/>
        <v>65986</v>
      </c>
      <c r="L46" s="363">
        <f t="shared" si="63"/>
        <v>67249</v>
      </c>
      <c r="M46" s="363">
        <f t="shared" si="63"/>
        <v>65646</v>
      </c>
      <c r="N46" s="363">
        <f t="shared" si="63"/>
        <v>64159</v>
      </c>
      <c r="O46" s="363">
        <f t="shared" si="63"/>
        <v>64155</v>
      </c>
      <c r="Q46" s="361" t="s">
        <v>2764</v>
      </c>
    </row>
    <row r="47" spans="1:17">
      <c r="D47" s="363"/>
      <c r="E47" s="363"/>
      <c r="F47" s="363"/>
      <c r="G47" s="363"/>
      <c r="H47" s="363"/>
      <c r="I47" s="363"/>
      <c r="J47" s="363"/>
      <c r="K47" s="363"/>
      <c r="L47" s="363"/>
      <c r="M47" s="363"/>
      <c r="N47" s="363"/>
      <c r="O47" s="363"/>
    </row>
    <row r="48" spans="1:17">
      <c r="A48" s="361" t="s">
        <v>2767</v>
      </c>
      <c r="D48" s="363">
        <f t="shared" ref="D48:I48" si="64">D249</f>
        <v>9064</v>
      </c>
      <c r="E48" s="363">
        <f t="shared" si="64"/>
        <v>9053</v>
      </c>
      <c r="F48" s="363">
        <f t="shared" si="64"/>
        <v>9111</v>
      </c>
      <c r="G48" s="363">
        <f t="shared" si="64"/>
        <v>9131</v>
      </c>
      <c r="H48" s="363">
        <f t="shared" si="64"/>
        <v>9117</v>
      </c>
      <c r="I48" s="363">
        <f t="shared" si="64"/>
        <v>9084</v>
      </c>
      <c r="J48" s="363">
        <f t="shared" ref="J48:O48" si="65">J249</f>
        <v>8686</v>
      </c>
      <c r="K48" s="363">
        <f t="shared" si="65"/>
        <v>8789</v>
      </c>
      <c r="L48" s="363">
        <f t="shared" si="65"/>
        <v>8934</v>
      </c>
      <c r="M48" s="363">
        <f t="shared" si="65"/>
        <v>9085</v>
      </c>
      <c r="N48" s="363">
        <f t="shared" si="65"/>
        <v>9193</v>
      </c>
      <c r="O48" s="363">
        <f t="shared" si="65"/>
        <v>9110</v>
      </c>
      <c r="Q48" s="361" t="s">
        <v>2756</v>
      </c>
    </row>
    <row r="49" spans="1:17">
      <c r="D49" s="363">
        <f t="shared" ref="D49:I49" si="66">D321</f>
        <v>39442</v>
      </c>
      <c r="E49" s="363">
        <f t="shared" si="66"/>
        <v>39298</v>
      </c>
      <c r="F49" s="363">
        <f t="shared" si="66"/>
        <v>39489</v>
      </c>
      <c r="G49" s="363">
        <f t="shared" si="66"/>
        <v>39729</v>
      </c>
      <c r="H49" s="363">
        <f t="shared" si="66"/>
        <v>39128</v>
      </c>
      <c r="I49" s="363">
        <f t="shared" si="66"/>
        <v>39024</v>
      </c>
      <c r="J49" s="363">
        <f t="shared" ref="J49:O49" si="67">J321</f>
        <v>39028</v>
      </c>
      <c r="K49" s="363">
        <f t="shared" si="67"/>
        <v>40076</v>
      </c>
      <c r="L49" s="363">
        <f t="shared" si="67"/>
        <v>40445</v>
      </c>
      <c r="M49" s="363">
        <f t="shared" si="67"/>
        <v>40545</v>
      </c>
      <c r="N49" s="363">
        <f t="shared" si="67"/>
        <v>40878</v>
      </c>
      <c r="O49" s="363">
        <f t="shared" si="67"/>
        <v>42099</v>
      </c>
      <c r="Q49" s="361" t="s">
        <v>2760</v>
      </c>
    </row>
    <row r="50" spans="1:17" ht="15.75" thickBot="1">
      <c r="D50" s="364">
        <f t="shared" ref="D50:I50" si="68">D358</f>
        <v>18359</v>
      </c>
      <c r="E50" s="364">
        <f t="shared" si="68"/>
        <v>18378</v>
      </c>
      <c r="F50" s="364">
        <f t="shared" si="68"/>
        <v>18544</v>
      </c>
      <c r="G50" s="364">
        <f t="shared" si="68"/>
        <v>18620</v>
      </c>
      <c r="H50" s="364">
        <f t="shared" si="68"/>
        <v>18625</v>
      </c>
      <c r="I50" s="364">
        <f t="shared" si="68"/>
        <v>18627</v>
      </c>
      <c r="J50" s="364">
        <f t="shared" ref="J50:O50" si="69">J358</f>
        <v>18553</v>
      </c>
      <c r="K50" s="364">
        <f t="shared" si="69"/>
        <v>18386</v>
      </c>
      <c r="L50" s="364">
        <f t="shared" si="69"/>
        <v>18376</v>
      </c>
      <c r="M50" s="364">
        <f t="shared" si="69"/>
        <v>18677</v>
      </c>
      <c r="N50" s="364">
        <f t="shared" si="69"/>
        <v>18703</v>
      </c>
      <c r="O50" s="364">
        <f t="shared" si="69"/>
        <v>18651</v>
      </c>
      <c r="Q50" s="361" t="s">
        <v>2762</v>
      </c>
    </row>
    <row r="51" spans="1:17" ht="15.75" thickBot="1">
      <c r="D51" s="364">
        <f t="shared" ref="D51:I51" si="70">SUM(D48:D50)</f>
        <v>66865</v>
      </c>
      <c r="E51" s="364">
        <f t="shared" si="70"/>
        <v>66729</v>
      </c>
      <c r="F51" s="364">
        <f t="shared" si="70"/>
        <v>67144</v>
      </c>
      <c r="G51" s="364">
        <f t="shared" si="70"/>
        <v>67480</v>
      </c>
      <c r="H51" s="364">
        <f t="shared" si="70"/>
        <v>66870</v>
      </c>
      <c r="I51" s="364">
        <f t="shared" si="70"/>
        <v>66735</v>
      </c>
      <c r="J51" s="364">
        <f t="shared" ref="J51:O51" si="71">SUM(J48:J50)</f>
        <v>66267</v>
      </c>
      <c r="K51" s="364">
        <f t="shared" si="71"/>
        <v>67251</v>
      </c>
      <c r="L51" s="364">
        <f t="shared" si="71"/>
        <v>67755</v>
      </c>
      <c r="M51" s="364">
        <f t="shared" si="71"/>
        <v>68307</v>
      </c>
      <c r="N51" s="364">
        <f t="shared" si="71"/>
        <v>68774</v>
      </c>
      <c r="O51" s="364">
        <f t="shared" si="71"/>
        <v>69860</v>
      </c>
    </row>
    <row r="52" spans="1:17">
      <c r="D52" s="363"/>
      <c r="E52" s="363"/>
      <c r="F52" s="363"/>
      <c r="G52" s="363"/>
      <c r="H52" s="363"/>
      <c r="I52" s="363"/>
      <c r="J52" s="363"/>
      <c r="K52" s="363"/>
      <c r="L52" s="363"/>
      <c r="M52" s="363"/>
      <c r="N52" s="363"/>
      <c r="O52" s="363"/>
    </row>
    <row r="53" spans="1:17">
      <c r="A53" s="361" t="s">
        <v>2768</v>
      </c>
      <c r="D53" s="363">
        <f t="shared" ref="D53:I53" si="72">D212</f>
        <v>14269</v>
      </c>
      <c r="E53" s="363">
        <f t="shared" si="72"/>
        <v>14406</v>
      </c>
      <c r="F53" s="363">
        <f t="shared" si="72"/>
        <v>14511</v>
      </c>
      <c r="G53" s="363">
        <f t="shared" si="72"/>
        <v>14715</v>
      </c>
      <c r="H53" s="363">
        <f t="shared" si="72"/>
        <v>14790</v>
      </c>
      <c r="I53" s="363">
        <f t="shared" si="72"/>
        <v>14686</v>
      </c>
      <c r="J53" s="363">
        <f t="shared" ref="J53:O53" si="73">J212</f>
        <v>14308</v>
      </c>
      <c r="K53" s="363">
        <f t="shared" si="73"/>
        <v>14586</v>
      </c>
      <c r="L53" s="363">
        <f t="shared" si="73"/>
        <v>14503</v>
      </c>
      <c r="M53" s="363">
        <f t="shared" si="73"/>
        <v>14507</v>
      </c>
      <c r="N53" s="363">
        <f t="shared" si="73"/>
        <v>15010</v>
      </c>
      <c r="O53" s="363">
        <f t="shared" si="73"/>
        <v>14941</v>
      </c>
      <c r="Q53" s="361" t="s">
        <v>696</v>
      </c>
    </row>
    <row r="54" spans="1:17" ht="15.75" thickBot="1">
      <c r="D54" s="364">
        <f t="shared" ref="D54:I54" si="74">D377</f>
        <v>57698</v>
      </c>
      <c r="E54" s="364">
        <f t="shared" si="74"/>
        <v>58138</v>
      </c>
      <c r="F54" s="364">
        <f t="shared" si="74"/>
        <v>57750</v>
      </c>
      <c r="G54" s="364">
        <f t="shared" si="74"/>
        <v>58132</v>
      </c>
      <c r="H54" s="364">
        <f t="shared" si="74"/>
        <v>57352</v>
      </c>
      <c r="I54" s="364">
        <f t="shared" si="74"/>
        <v>56462</v>
      </c>
      <c r="J54" s="364">
        <f t="shared" ref="J54:O54" si="75">J377</f>
        <v>56689</v>
      </c>
      <c r="K54" s="364">
        <f t="shared" si="75"/>
        <v>57019</v>
      </c>
      <c r="L54" s="364">
        <f t="shared" si="75"/>
        <v>57315</v>
      </c>
      <c r="M54" s="364">
        <f t="shared" si="75"/>
        <v>55693</v>
      </c>
      <c r="N54" s="364">
        <f t="shared" si="75"/>
        <v>56347</v>
      </c>
      <c r="O54" s="364">
        <f t="shared" si="75"/>
        <v>56743</v>
      </c>
      <c r="Q54" s="361" t="s">
        <v>3805</v>
      </c>
    </row>
    <row r="55" spans="1:17" ht="15.75" thickBot="1">
      <c r="D55" s="364">
        <f t="shared" ref="D55:I55" si="76">D53+D54</f>
        <v>71967</v>
      </c>
      <c r="E55" s="364">
        <f t="shared" si="76"/>
        <v>72544</v>
      </c>
      <c r="F55" s="364">
        <f t="shared" si="76"/>
        <v>72261</v>
      </c>
      <c r="G55" s="364">
        <f t="shared" si="76"/>
        <v>72847</v>
      </c>
      <c r="H55" s="364">
        <f t="shared" si="76"/>
        <v>72142</v>
      </c>
      <c r="I55" s="364">
        <f t="shared" si="76"/>
        <v>71148</v>
      </c>
      <c r="J55" s="364">
        <f t="shared" ref="J55:O55" si="77">J53+J54</f>
        <v>70997</v>
      </c>
      <c r="K55" s="364">
        <f t="shared" si="77"/>
        <v>71605</v>
      </c>
      <c r="L55" s="364">
        <f t="shared" si="77"/>
        <v>71818</v>
      </c>
      <c r="M55" s="364">
        <f t="shared" si="77"/>
        <v>70200</v>
      </c>
      <c r="N55" s="364">
        <f t="shared" si="77"/>
        <v>71357</v>
      </c>
      <c r="O55" s="364">
        <f t="shared" si="77"/>
        <v>71684</v>
      </c>
    </row>
    <row r="56" spans="1:17">
      <c r="D56" s="363"/>
      <c r="E56" s="363"/>
      <c r="F56" s="363"/>
      <c r="G56" s="363"/>
      <c r="H56" s="363"/>
      <c r="I56" s="363"/>
      <c r="J56" s="363"/>
      <c r="K56" s="363"/>
      <c r="L56" s="363"/>
      <c r="M56" s="363"/>
      <c r="N56" s="363"/>
      <c r="O56" s="363"/>
    </row>
    <row r="57" spans="1:17">
      <c r="A57" s="361" t="s">
        <v>6796</v>
      </c>
      <c r="D57" s="363">
        <f t="shared" ref="D57:I57" si="78">SUM(D20,D22,D26,D28,D30,D34,D38,D40,D44,D46,D51,D55)</f>
        <v>838212</v>
      </c>
      <c r="E57" s="363">
        <f t="shared" si="78"/>
        <v>841133</v>
      </c>
      <c r="F57" s="363">
        <f t="shared" si="78"/>
        <v>843594</v>
      </c>
      <c r="G57" s="363">
        <f t="shared" si="78"/>
        <v>845644</v>
      </c>
      <c r="H57" s="363">
        <f t="shared" si="78"/>
        <v>841471</v>
      </c>
      <c r="I57" s="363">
        <f t="shared" si="78"/>
        <v>826576</v>
      </c>
      <c r="J57" s="363">
        <f t="shared" ref="J57:O57" si="79">SUM(J20,J22,J26,J28,J30,J34,J38,J40,J44,J46,J51,J55)</f>
        <v>815327</v>
      </c>
      <c r="K57" s="363">
        <f t="shared" si="79"/>
        <v>819477</v>
      </c>
      <c r="L57" s="363">
        <f t="shared" si="79"/>
        <v>828140</v>
      </c>
      <c r="M57" s="363">
        <f t="shared" si="79"/>
        <v>823106</v>
      </c>
      <c r="N57" s="363">
        <f t="shared" si="79"/>
        <v>828461</v>
      </c>
      <c r="O57" s="363">
        <f t="shared" si="79"/>
        <v>832892</v>
      </c>
    </row>
    <row r="58" spans="1:17">
      <c r="D58" s="363"/>
      <c r="E58" s="363"/>
      <c r="F58" s="363"/>
      <c r="G58" s="363"/>
      <c r="H58" s="363"/>
      <c r="I58" s="363"/>
      <c r="J58" s="363"/>
      <c r="K58" s="363"/>
      <c r="L58" s="363"/>
      <c r="M58" s="363"/>
      <c r="N58" s="363"/>
      <c r="O58" s="363"/>
    </row>
    <row r="59" spans="1:17">
      <c r="A59" s="361" t="s">
        <v>6797</v>
      </c>
      <c r="D59" s="363">
        <f t="shared" ref="D59:I59" si="80">MAX(D20,D22,D26,D28,D30,D34,D38,D40,D44,D46,D51,D55)-MIN(D20,D22,D26,D28,D30,D34,D38,D40,D44,D46,D51,D55)</f>
        <v>13998</v>
      </c>
      <c r="E59" s="363">
        <f t="shared" si="80"/>
        <v>13906</v>
      </c>
      <c r="F59" s="363">
        <f t="shared" si="80"/>
        <v>13336</v>
      </c>
      <c r="G59" s="363">
        <f t="shared" si="80"/>
        <v>14409</v>
      </c>
      <c r="H59" s="363">
        <f t="shared" si="80"/>
        <v>14494</v>
      </c>
      <c r="I59" s="363">
        <f t="shared" si="80"/>
        <v>15567</v>
      </c>
      <c r="J59" s="363">
        <f t="shared" ref="J59:O59" si="81">MAX(J20,J22,J26,J28,J30,J34,J38,J40,J44,J46,J51,J55)-MIN(J20,J22,J26,J28,J30,J34,J38,J40,J44,J46,J51,J55)</f>
        <v>15211</v>
      </c>
      <c r="K59" s="363">
        <f t="shared" si="81"/>
        <v>17443</v>
      </c>
      <c r="L59" s="363">
        <f t="shared" si="81"/>
        <v>16032</v>
      </c>
      <c r="M59" s="363">
        <f t="shared" si="81"/>
        <v>17978</v>
      </c>
      <c r="N59" s="363">
        <f t="shared" si="81"/>
        <v>23084</v>
      </c>
      <c r="O59" s="363">
        <f t="shared" si="81"/>
        <v>22351</v>
      </c>
    </row>
    <row r="60" spans="1:17">
      <c r="D60" s="363"/>
      <c r="E60" s="363"/>
      <c r="F60" s="363"/>
      <c r="G60" s="363"/>
      <c r="H60" s="363"/>
      <c r="I60" s="363"/>
      <c r="J60" s="363"/>
      <c r="K60" s="363"/>
      <c r="L60" s="363"/>
      <c r="M60" s="363"/>
      <c r="N60" s="363"/>
      <c r="O60" s="363"/>
    </row>
    <row r="61" spans="1:17">
      <c r="A61" s="361" t="s">
        <v>6800</v>
      </c>
      <c r="D61" s="363">
        <f t="shared" ref="D61:I61" si="82">STDEVP(D20,D22,D26,D28,D30,D34,D38,D40,D44,D46,D51,D55)</f>
        <v>4370.4548962321987</v>
      </c>
      <c r="E61" s="363">
        <f t="shared" si="82"/>
        <v>4450.1869522214711</v>
      </c>
      <c r="F61" s="363">
        <f t="shared" si="82"/>
        <v>4377.8836496645272</v>
      </c>
      <c r="G61" s="363">
        <f t="shared" si="82"/>
        <v>4587.2957962422934</v>
      </c>
      <c r="H61" s="363">
        <f t="shared" si="82"/>
        <v>4660.4172641930782</v>
      </c>
      <c r="I61" s="363">
        <f t="shared" si="82"/>
        <v>4624.6261350393379</v>
      </c>
      <c r="J61" s="363">
        <f t="shared" ref="J61:O61" si="83">STDEVP(J20,J22,J26,J28,J30,J34,J38,J40,J44,J46,J51,J55)</f>
        <v>4589.7872401367604</v>
      </c>
      <c r="K61" s="363">
        <f t="shared" si="83"/>
        <v>5271.688204060757</v>
      </c>
      <c r="L61" s="363">
        <f t="shared" si="83"/>
        <v>4904.9595705661923</v>
      </c>
      <c r="M61" s="363">
        <f t="shared" si="83"/>
        <v>5082.5594246949604</v>
      </c>
      <c r="N61" s="363">
        <f t="shared" si="83"/>
        <v>6052.303837635347</v>
      </c>
      <c r="O61" s="363">
        <f t="shared" si="83"/>
        <v>6279.2373121440642</v>
      </c>
    </row>
    <row r="62" spans="1:17">
      <c r="A62" s="361"/>
      <c r="D62" s="363"/>
      <c r="E62" s="363"/>
      <c r="F62" s="363"/>
      <c r="G62" s="363"/>
      <c r="H62" s="363"/>
      <c r="I62" s="363"/>
      <c r="J62" s="363"/>
      <c r="K62" s="363"/>
      <c r="L62" s="363"/>
      <c r="M62" s="363"/>
      <c r="N62" s="363"/>
      <c r="O62" s="363"/>
    </row>
    <row r="63" spans="1:17">
      <c r="A63" s="361" t="s">
        <v>895</v>
      </c>
    </row>
    <row r="64" spans="1:17">
      <c r="A64" s="361"/>
    </row>
    <row r="65" spans="1:17">
      <c r="A65" s="17"/>
    </row>
    <row r="66" spans="1:17">
      <c r="E66" s="92" t="s">
        <v>1526</v>
      </c>
      <c r="F66" s="92"/>
      <c r="G66" s="92"/>
      <c r="H66" s="92"/>
      <c r="I66" s="92"/>
      <c r="J66" s="92"/>
      <c r="K66" s="92"/>
      <c r="L66" s="92"/>
      <c r="M66" s="92"/>
      <c r="N66" s="92"/>
      <c r="O66" s="92"/>
      <c r="P66" s="367"/>
      <c r="Q66" s="367" t="s">
        <v>9479</v>
      </c>
    </row>
    <row r="67" spans="1:17">
      <c r="D67" s="368">
        <v>2010</v>
      </c>
      <c r="E67" s="368">
        <v>2011</v>
      </c>
      <c r="F67" s="368">
        <v>2012</v>
      </c>
      <c r="G67" s="368">
        <v>2013</v>
      </c>
      <c r="H67" s="368">
        <v>2014</v>
      </c>
      <c r="I67" s="368">
        <v>2015</v>
      </c>
      <c r="J67" s="368">
        <v>2016</v>
      </c>
      <c r="K67" s="368">
        <v>2017</v>
      </c>
      <c r="L67" s="368">
        <v>2018</v>
      </c>
      <c r="M67" s="368">
        <v>2019</v>
      </c>
      <c r="N67" s="368">
        <v>2020</v>
      </c>
      <c r="O67" s="940" t="s">
        <v>14823</v>
      </c>
      <c r="P67" s="367"/>
      <c r="Q67" s="369" t="s">
        <v>1527</v>
      </c>
    </row>
    <row r="68" spans="1:17">
      <c r="A68" s="361" t="s">
        <v>681</v>
      </c>
      <c r="C68" s="361"/>
      <c r="D68" s="363">
        <f t="shared" ref="D68:K68" si="84">D69+D70+D72+D73+SUM(D75:D77)+SUM(D79:D89)+SUM(D91:D97)+SUM(D99:D113)+SUM(D115:D117)</f>
        <v>185256</v>
      </c>
      <c r="E68" s="363">
        <f t="shared" si="84"/>
        <v>186441</v>
      </c>
      <c r="F68" s="363">
        <f t="shared" si="84"/>
        <v>187432</v>
      </c>
      <c r="G68" s="363">
        <f t="shared" si="84"/>
        <v>187103</v>
      </c>
      <c r="H68" s="363">
        <f t="shared" si="84"/>
        <v>186514</v>
      </c>
      <c r="I68" s="363">
        <f t="shared" si="84"/>
        <v>182238</v>
      </c>
      <c r="J68" s="363">
        <f t="shared" si="84"/>
        <v>179857</v>
      </c>
      <c r="K68" s="363">
        <f t="shared" si="84"/>
        <v>176234</v>
      </c>
      <c r="L68" s="363">
        <f>L69+L70+L72+L73+SUM(L75:L77)+SUM(L79:L89)+SUM(L91:L97)+SUM(L99:L113)+SUM(L115:L117)</f>
        <v>180154</v>
      </c>
      <c r="M68" s="363">
        <f>M69+M70+M72+M73+SUM(M75:M77)+SUM(M79:M89)+SUM(M91:M97)+SUM(M99:M113)+SUM(M115:M117)</f>
        <v>175362</v>
      </c>
      <c r="N68" s="363">
        <f>N69+N70+N72+N73+SUM(N75:N77)+SUM(N79:N89)+SUM(N91:N97)+SUM(N99:N113)+SUM(N115:N117)</f>
        <v>170443</v>
      </c>
      <c r="O68" s="363">
        <f>O69+O70+O72+O73+SUM(O75:O77)+SUM(O79:O89)+SUM(O91:O97)+SUM(O99:O113)+SUM(O115:O117)</f>
        <v>170346</v>
      </c>
    </row>
    <row r="69" spans="1:17">
      <c r="A69" s="361" t="s">
        <v>5387</v>
      </c>
      <c r="B69" s="361" t="s">
        <v>9189</v>
      </c>
      <c r="C69" s="370" t="s">
        <v>9190</v>
      </c>
      <c r="D69" s="363">
        <v>0</v>
      </c>
      <c r="E69" s="363">
        <v>0</v>
      </c>
      <c r="F69" s="363">
        <v>7590</v>
      </c>
      <c r="G69" s="363">
        <v>7611</v>
      </c>
      <c r="H69" s="100">
        <v>7534</v>
      </c>
      <c r="I69" s="100">
        <v>7431</v>
      </c>
      <c r="J69" s="100">
        <v>7354</v>
      </c>
      <c r="K69" s="100">
        <v>7155</v>
      </c>
      <c r="L69" s="100">
        <v>7365</v>
      </c>
      <c r="M69" s="100">
        <v>7266</v>
      </c>
      <c r="N69" s="100">
        <v>6961</v>
      </c>
      <c r="O69" s="100">
        <v>6811</v>
      </c>
      <c r="Q69" s="361" t="s">
        <v>2763</v>
      </c>
    </row>
    <row r="70" spans="1:17" ht="15.75" thickBot="1">
      <c r="A70" s="361"/>
      <c r="B70" s="361"/>
      <c r="C70" s="370" t="s">
        <v>9190</v>
      </c>
      <c r="D70" s="363">
        <v>0</v>
      </c>
      <c r="E70" s="363">
        <v>0</v>
      </c>
      <c r="F70" s="363">
        <v>17</v>
      </c>
      <c r="G70" s="363">
        <v>14</v>
      </c>
      <c r="H70" s="100">
        <v>19</v>
      </c>
      <c r="I70" s="100">
        <v>19</v>
      </c>
      <c r="J70" s="100">
        <v>15</v>
      </c>
      <c r="K70" s="100">
        <v>15</v>
      </c>
      <c r="L70" s="100">
        <v>17</v>
      </c>
      <c r="M70" s="100">
        <v>15</v>
      </c>
      <c r="N70" s="100">
        <v>15</v>
      </c>
      <c r="O70" s="100">
        <v>16</v>
      </c>
      <c r="Q70" s="361" t="s">
        <v>2765</v>
      </c>
    </row>
    <row r="71" spans="1:17" ht="15.75" thickBot="1">
      <c r="A71" s="361"/>
      <c r="B71" s="361"/>
      <c r="C71" s="370" t="s">
        <v>9190</v>
      </c>
      <c r="D71" s="371">
        <f>D69+D70</f>
        <v>0</v>
      </c>
      <c r="E71" s="371">
        <f>E69+E70</f>
        <v>0</v>
      </c>
      <c r="F71" s="371">
        <f t="shared" ref="F71:L71" si="85">F69+F70</f>
        <v>7607</v>
      </c>
      <c r="G71" s="371">
        <f t="shared" si="85"/>
        <v>7625</v>
      </c>
      <c r="H71" s="371">
        <f t="shared" si="85"/>
        <v>7553</v>
      </c>
      <c r="I71" s="371">
        <f t="shared" si="85"/>
        <v>7450</v>
      </c>
      <c r="J71" s="371">
        <f t="shared" si="85"/>
        <v>7369</v>
      </c>
      <c r="K71" s="371">
        <f t="shared" si="85"/>
        <v>7170</v>
      </c>
      <c r="L71" s="371">
        <f t="shared" si="85"/>
        <v>7382</v>
      </c>
      <c r="M71" s="371">
        <f>M69+M70</f>
        <v>7281</v>
      </c>
      <c r="N71" s="371">
        <f>N69+N70</f>
        <v>6976</v>
      </c>
      <c r="O71" s="371">
        <f>O69+O70</f>
        <v>6827</v>
      </c>
      <c r="Q71" s="361"/>
    </row>
    <row r="72" spans="1:17">
      <c r="A72" s="361" t="s">
        <v>5389</v>
      </c>
      <c r="B72" s="361" t="s">
        <v>9191</v>
      </c>
      <c r="C72" s="370" t="s">
        <v>9192</v>
      </c>
      <c r="D72" s="363">
        <v>0</v>
      </c>
      <c r="E72" s="363">
        <v>0</v>
      </c>
      <c r="F72" s="363">
        <v>3801</v>
      </c>
      <c r="G72" s="363">
        <v>3820</v>
      </c>
      <c r="H72" s="100">
        <v>3794</v>
      </c>
      <c r="I72" s="100">
        <v>3762</v>
      </c>
      <c r="J72" s="100">
        <v>3738</v>
      </c>
      <c r="K72" s="100">
        <v>3648</v>
      </c>
      <c r="L72" s="100">
        <v>3689</v>
      </c>
      <c r="M72" s="100">
        <v>3667</v>
      </c>
      <c r="N72" s="100">
        <v>3597</v>
      </c>
      <c r="O72" s="100">
        <v>3626</v>
      </c>
      <c r="Q72" s="361" t="s">
        <v>2763</v>
      </c>
    </row>
    <row r="73" spans="1:17" ht="15.75" thickBot="1">
      <c r="A73" s="361"/>
      <c r="B73" s="361"/>
      <c r="C73" s="370" t="s">
        <v>9192</v>
      </c>
      <c r="D73" s="363">
        <v>0</v>
      </c>
      <c r="E73" s="363">
        <v>0</v>
      </c>
      <c r="F73" s="364">
        <v>9954</v>
      </c>
      <c r="G73" s="372">
        <v>9928</v>
      </c>
      <c r="H73" s="100">
        <v>9909</v>
      </c>
      <c r="I73" s="100">
        <v>9706</v>
      </c>
      <c r="J73" s="100">
        <v>9633</v>
      </c>
      <c r="K73" s="100">
        <v>9426</v>
      </c>
      <c r="L73" s="100">
        <v>9668</v>
      </c>
      <c r="M73" s="100">
        <v>9423</v>
      </c>
      <c r="N73" s="100">
        <v>9227</v>
      </c>
      <c r="O73" s="100">
        <v>9256</v>
      </c>
      <c r="Q73" s="361" t="s">
        <v>2765</v>
      </c>
    </row>
    <row r="74" spans="1:17" ht="15.75" thickBot="1">
      <c r="A74" s="361"/>
      <c r="B74" s="361"/>
      <c r="C74" s="370" t="s">
        <v>9192</v>
      </c>
      <c r="D74" s="371">
        <f>D72+D73</f>
        <v>0</v>
      </c>
      <c r="E74" s="371">
        <f>E72+E73</f>
        <v>0</v>
      </c>
      <c r="F74" s="371">
        <f t="shared" ref="F74:L74" si="86">F72+F73</f>
        <v>13755</v>
      </c>
      <c r="G74" s="371">
        <f t="shared" si="86"/>
        <v>13748</v>
      </c>
      <c r="H74" s="371">
        <f t="shared" si="86"/>
        <v>13703</v>
      </c>
      <c r="I74" s="371">
        <f t="shared" si="86"/>
        <v>13468</v>
      </c>
      <c r="J74" s="371">
        <f t="shared" si="86"/>
        <v>13371</v>
      </c>
      <c r="K74" s="371">
        <f t="shared" si="86"/>
        <v>13074</v>
      </c>
      <c r="L74" s="371">
        <f t="shared" si="86"/>
        <v>13357</v>
      </c>
      <c r="M74" s="371">
        <f>M72+M73</f>
        <v>13090</v>
      </c>
      <c r="N74" s="371">
        <f>N72+N73</f>
        <v>12824</v>
      </c>
      <c r="O74" s="371">
        <f>O72+O73</f>
        <v>12882</v>
      </c>
      <c r="Q74" s="361"/>
    </row>
    <row r="75" spans="1:17">
      <c r="A75" s="361" t="s">
        <v>5391</v>
      </c>
      <c r="B75" s="361" t="s">
        <v>9193</v>
      </c>
      <c r="C75" s="370" t="s">
        <v>9194</v>
      </c>
      <c r="D75" s="363">
        <v>61083</v>
      </c>
      <c r="E75" s="363">
        <v>61774</v>
      </c>
      <c r="F75" s="363">
        <v>7677</v>
      </c>
      <c r="G75" s="363">
        <v>7685</v>
      </c>
      <c r="H75" s="100">
        <v>7634</v>
      </c>
      <c r="I75" s="100">
        <v>7418</v>
      </c>
      <c r="J75" s="100">
        <v>7346</v>
      </c>
      <c r="K75" s="100">
        <v>7121</v>
      </c>
      <c r="L75" s="100">
        <v>7249</v>
      </c>
      <c r="M75" s="100">
        <v>7019</v>
      </c>
      <c r="N75" s="100">
        <v>6772</v>
      </c>
      <c r="O75" s="100">
        <v>6636</v>
      </c>
      <c r="Q75" s="361" t="s">
        <v>2763</v>
      </c>
    </row>
    <row r="76" spans="1:17">
      <c r="A76" s="361" t="s">
        <v>5393</v>
      </c>
      <c r="B76" s="361" t="s">
        <v>9195</v>
      </c>
      <c r="C76" s="370" t="s">
        <v>9196</v>
      </c>
      <c r="D76" s="363">
        <v>0</v>
      </c>
      <c r="E76" s="363">
        <v>0</v>
      </c>
      <c r="F76" s="363">
        <v>8361</v>
      </c>
      <c r="G76" s="363">
        <v>8370</v>
      </c>
      <c r="H76" s="100">
        <v>8280</v>
      </c>
      <c r="I76" s="100">
        <v>8046</v>
      </c>
      <c r="J76" s="100">
        <v>8058</v>
      </c>
      <c r="K76" s="100">
        <v>7817</v>
      </c>
      <c r="L76" s="100">
        <v>7892</v>
      </c>
      <c r="M76" s="100">
        <v>7665</v>
      </c>
      <c r="N76" s="100">
        <v>7183</v>
      </c>
      <c r="O76" s="100">
        <v>7129</v>
      </c>
      <c r="Q76" s="361" t="s">
        <v>2763</v>
      </c>
    </row>
    <row r="77" spans="1:17" ht="15.75" thickBot="1">
      <c r="A77" s="361"/>
      <c r="B77" s="361"/>
      <c r="C77" s="370" t="s">
        <v>9196</v>
      </c>
      <c r="D77" s="372">
        <v>0</v>
      </c>
      <c r="E77" s="372">
        <v>0</v>
      </c>
      <c r="F77" s="364">
        <v>43</v>
      </c>
      <c r="G77" s="372">
        <v>43</v>
      </c>
      <c r="H77" s="101">
        <v>56</v>
      </c>
      <c r="I77" s="101">
        <v>54</v>
      </c>
      <c r="J77" s="101">
        <v>43</v>
      </c>
      <c r="K77" s="101">
        <v>40</v>
      </c>
      <c r="L77" s="101">
        <v>36</v>
      </c>
      <c r="M77" s="101">
        <v>36</v>
      </c>
      <c r="N77" s="101">
        <v>36</v>
      </c>
      <c r="O77" s="101">
        <v>35</v>
      </c>
      <c r="Q77" s="361" t="s">
        <v>2765</v>
      </c>
    </row>
    <row r="78" spans="1:17" ht="15.75" thickBot="1">
      <c r="A78" s="361"/>
      <c r="B78" s="361"/>
      <c r="C78" s="370" t="s">
        <v>9196</v>
      </c>
      <c r="D78" s="371">
        <f>D76+D77</f>
        <v>0</v>
      </c>
      <c r="E78" s="371">
        <f>E76+E77</f>
        <v>0</v>
      </c>
      <c r="F78" s="371">
        <f t="shared" ref="F78:L78" si="87">F76+F77</f>
        <v>8404</v>
      </c>
      <c r="G78" s="371">
        <f t="shared" si="87"/>
        <v>8413</v>
      </c>
      <c r="H78" s="371">
        <f t="shared" si="87"/>
        <v>8336</v>
      </c>
      <c r="I78" s="371">
        <f t="shared" si="87"/>
        <v>8100</v>
      </c>
      <c r="J78" s="371">
        <f t="shared" si="87"/>
        <v>8101</v>
      </c>
      <c r="K78" s="371">
        <f t="shared" si="87"/>
        <v>7857</v>
      </c>
      <c r="L78" s="371">
        <f t="shared" si="87"/>
        <v>7928</v>
      </c>
      <c r="M78" s="371">
        <f>M76+M77</f>
        <v>7701</v>
      </c>
      <c r="N78" s="371">
        <f>N76+N77</f>
        <v>7219</v>
      </c>
      <c r="O78" s="371">
        <f>O76+O77</f>
        <v>7164</v>
      </c>
      <c r="Q78" s="361"/>
    </row>
    <row r="79" spans="1:17">
      <c r="A79" s="361" t="s">
        <v>5394</v>
      </c>
      <c r="B79" s="361" t="s">
        <v>9197</v>
      </c>
      <c r="C79" s="370" t="s">
        <v>9198</v>
      </c>
      <c r="D79" s="363">
        <v>68301</v>
      </c>
      <c r="E79" s="363">
        <v>68624</v>
      </c>
      <c r="F79" s="363">
        <v>4256</v>
      </c>
      <c r="G79" s="363">
        <v>4308</v>
      </c>
      <c r="H79" s="101">
        <v>4313</v>
      </c>
      <c r="I79" s="101">
        <v>4302</v>
      </c>
      <c r="J79" s="101">
        <v>4226</v>
      </c>
      <c r="K79" s="101">
        <v>4143</v>
      </c>
      <c r="L79" s="101">
        <v>4254</v>
      </c>
      <c r="M79" s="101">
        <v>4187</v>
      </c>
      <c r="N79" s="101">
        <v>4010</v>
      </c>
      <c r="O79" s="101">
        <v>3984</v>
      </c>
      <c r="Q79" s="361" t="s">
        <v>2766</v>
      </c>
    </row>
    <row r="80" spans="1:17">
      <c r="A80" s="361" t="s">
        <v>5416</v>
      </c>
      <c r="B80" s="361" t="s">
        <v>9199</v>
      </c>
      <c r="C80" s="370" t="s">
        <v>9200</v>
      </c>
      <c r="D80" s="372">
        <v>0</v>
      </c>
      <c r="E80" s="372">
        <v>0</v>
      </c>
      <c r="F80" s="372">
        <v>4218</v>
      </c>
      <c r="G80" s="372">
        <v>4262</v>
      </c>
      <c r="H80" s="101">
        <v>4231</v>
      </c>
      <c r="I80" s="101">
        <v>4159</v>
      </c>
      <c r="J80" s="101">
        <v>4140</v>
      </c>
      <c r="K80" s="101">
        <v>4106</v>
      </c>
      <c r="L80" s="101">
        <v>4392</v>
      </c>
      <c r="M80" s="101">
        <v>4388</v>
      </c>
      <c r="N80" s="101">
        <v>4441</v>
      </c>
      <c r="O80" s="101">
        <v>4526</v>
      </c>
      <c r="Q80" s="361" t="s">
        <v>2766</v>
      </c>
    </row>
    <row r="81" spans="1:17">
      <c r="A81" s="361" t="s">
        <v>5418</v>
      </c>
      <c r="B81" s="361" t="s">
        <v>9201</v>
      </c>
      <c r="C81" s="370" t="s">
        <v>9202</v>
      </c>
      <c r="D81" s="363">
        <v>0</v>
      </c>
      <c r="E81" s="363">
        <v>0</v>
      </c>
      <c r="F81" s="363">
        <v>4463</v>
      </c>
      <c r="G81" s="363">
        <v>4527</v>
      </c>
      <c r="H81" s="100">
        <v>4502</v>
      </c>
      <c r="I81" s="100">
        <v>4372</v>
      </c>
      <c r="J81" s="100">
        <v>4338</v>
      </c>
      <c r="K81" s="100">
        <v>4110</v>
      </c>
      <c r="L81" s="100">
        <v>4238</v>
      </c>
      <c r="M81" s="100">
        <v>3976</v>
      </c>
      <c r="N81" s="100">
        <v>3887</v>
      </c>
      <c r="O81" s="100">
        <v>3838</v>
      </c>
      <c r="Q81" s="361" t="s">
        <v>2763</v>
      </c>
    </row>
    <row r="82" spans="1:17">
      <c r="A82" s="361" t="s">
        <v>5420</v>
      </c>
      <c r="B82" s="361" t="s">
        <v>9203</v>
      </c>
      <c r="C82" s="370" t="s">
        <v>9204</v>
      </c>
      <c r="D82" s="363">
        <v>55872</v>
      </c>
      <c r="E82" s="363">
        <v>56043</v>
      </c>
      <c r="F82" s="363">
        <v>3960</v>
      </c>
      <c r="G82" s="363">
        <v>4017</v>
      </c>
      <c r="H82" s="101">
        <v>3990</v>
      </c>
      <c r="I82" s="101">
        <v>3940</v>
      </c>
      <c r="J82" s="101">
        <v>3906</v>
      </c>
      <c r="K82" s="101">
        <v>3831</v>
      </c>
      <c r="L82" s="101">
        <v>3872</v>
      </c>
      <c r="M82" s="101">
        <v>3777</v>
      </c>
      <c r="N82" s="101">
        <v>3659</v>
      </c>
      <c r="O82" s="101">
        <v>3629</v>
      </c>
      <c r="Q82" s="361" t="s">
        <v>2765</v>
      </c>
    </row>
    <row r="83" spans="1:17">
      <c r="A83" s="361" t="s">
        <v>5422</v>
      </c>
      <c r="B83" s="361" t="s">
        <v>9205</v>
      </c>
      <c r="C83" s="370" t="s">
        <v>9206</v>
      </c>
      <c r="D83" s="363">
        <v>0</v>
      </c>
      <c r="E83" s="363">
        <v>0</v>
      </c>
      <c r="F83" s="372">
        <v>4169</v>
      </c>
      <c r="G83" s="372">
        <v>4171</v>
      </c>
      <c r="H83" s="101">
        <v>4131</v>
      </c>
      <c r="I83" s="101">
        <v>3987</v>
      </c>
      <c r="J83" s="101">
        <v>4002</v>
      </c>
      <c r="K83" s="101">
        <v>3971</v>
      </c>
      <c r="L83" s="101">
        <v>4045</v>
      </c>
      <c r="M83" s="101">
        <v>3956</v>
      </c>
      <c r="N83" s="101">
        <v>3858</v>
      </c>
      <c r="O83" s="101">
        <v>3805</v>
      </c>
      <c r="Q83" s="361" t="s">
        <v>2766</v>
      </c>
    </row>
    <row r="84" spans="1:17">
      <c r="A84" s="361" t="s">
        <v>5424</v>
      </c>
      <c r="B84" s="361" t="s">
        <v>9207</v>
      </c>
      <c r="C84" s="370" t="s">
        <v>9208</v>
      </c>
      <c r="D84" s="363">
        <v>0</v>
      </c>
      <c r="E84" s="363">
        <v>0</v>
      </c>
      <c r="F84" s="363">
        <v>4142</v>
      </c>
      <c r="G84" s="363">
        <v>4088</v>
      </c>
      <c r="H84" s="101">
        <v>4106</v>
      </c>
      <c r="I84" s="101">
        <v>3867</v>
      </c>
      <c r="J84" s="101">
        <v>4009</v>
      </c>
      <c r="K84" s="101">
        <v>4104</v>
      </c>
      <c r="L84" s="101">
        <v>4261</v>
      </c>
      <c r="M84" s="101">
        <v>4147</v>
      </c>
      <c r="N84" s="101">
        <v>3917</v>
      </c>
      <c r="O84" s="101">
        <v>3910</v>
      </c>
      <c r="Q84" s="361" t="s">
        <v>2765</v>
      </c>
    </row>
    <row r="85" spans="1:17">
      <c r="A85" s="361" t="s">
        <v>5426</v>
      </c>
      <c r="B85" s="361" t="s">
        <v>9209</v>
      </c>
      <c r="C85" s="370" t="s">
        <v>9210</v>
      </c>
      <c r="D85" s="363">
        <v>0</v>
      </c>
      <c r="E85" s="363">
        <v>0</v>
      </c>
      <c r="F85" s="363">
        <v>4165</v>
      </c>
      <c r="G85" s="363">
        <v>4192</v>
      </c>
      <c r="H85" s="101">
        <v>4192</v>
      </c>
      <c r="I85" s="101">
        <v>4161</v>
      </c>
      <c r="J85" s="101">
        <v>4054</v>
      </c>
      <c r="K85" s="101">
        <v>3929</v>
      </c>
      <c r="L85" s="101">
        <v>4061</v>
      </c>
      <c r="M85" s="101">
        <v>3925</v>
      </c>
      <c r="N85" s="101">
        <v>3773</v>
      </c>
      <c r="O85" s="101">
        <v>3744</v>
      </c>
      <c r="Q85" s="361" t="s">
        <v>2765</v>
      </c>
    </row>
    <row r="86" spans="1:17">
      <c r="A86" s="361" t="s">
        <v>5428</v>
      </c>
      <c r="B86" s="361" t="s">
        <v>9211</v>
      </c>
      <c r="C86" s="370" t="s">
        <v>9212</v>
      </c>
      <c r="D86" s="363">
        <v>0</v>
      </c>
      <c r="E86" s="363">
        <v>0</v>
      </c>
      <c r="F86" s="372">
        <v>3859</v>
      </c>
      <c r="G86" s="372">
        <v>3827</v>
      </c>
      <c r="H86" s="101">
        <v>3905</v>
      </c>
      <c r="I86" s="101">
        <v>3857</v>
      </c>
      <c r="J86" s="101">
        <v>3793</v>
      </c>
      <c r="K86" s="101">
        <v>3709</v>
      </c>
      <c r="L86" s="101">
        <v>3774</v>
      </c>
      <c r="M86" s="101">
        <v>3676</v>
      </c>
      <c r="N86" s="101">
        <v>3601</v>
      </c>
      <c r="O86" s="101">
        <v>3639</v>
      </c>
      <c r="Q86" s="361" t="s">
        <v>2766</v>
      </c>
    </row>
    <row r="87" spans="1:17">
      <c r="A87" s="361" t="s">
        <v>5429</v>
      </c>
      <c r="B87" s="361" t="s">
        <v>9213</v>
      </c>
      <c r="C87" s="370" t="s">
        <v>9214</v>
      </c>
      <c r="D87" s="363">
        <v>0</v>
      </c>
      <c r="E87" s="363">
        <v>0</v>
      </c>
      <c r="F87" s="363">
        <v>3796</v>
      </c>
      <c r="G87" s="363">
        <v>3795</v>
      </c>
      <c r="H87" s="100">
        <v>3756</v>
      </c>
      <c r="I87" s="100">
        <v>3711</v>
      </c>
      <c r="J87" s="100">
        <v>3675</v>
      </c>
      <c r="K87" s="100">
        <v>3559</v>
      </c>
      <c r="L87" s="100">
        <v>3577</v>
      </c>
      <c r="M87" s="100">
        <v>3508</v>
      </c>
      <c r="N87" s="100">
        <v>3402</v>
      </c>
      <c r="O87" s="100">
        <v>3394</v>
      </c>
      <c r="Q87" s="361" t="s">
        <v>2763</v>
      </c>
    </row>
    <row r="88" spans="1:17">
      <c r="A88" s="361" t="s">
        <v>5431</v>
      </c>
      <c r="B88" s="361" t="s">
        <v>9215</v>
      </c>
      <c r="C88" s="370" t="s">
        <v>9216</v>
      </c>
      <c r="D88" s="363">
        <v>0</v>
      </c>
      <c r="E88" s="363">
        <v>0</v>
      </c>
      <c r="F88" s="363">
        <v>2849</v>
      </c>
      <c r="G88" s="363">
        <v>2852</v>
      </c>
      <c r="H88" s="100">
        <v>2764</v>
      </c>
      <c r="I88" s="100">
        <v>2604</v>
      </c>
      <c r="J88" s="100">
        <v>2632</v>
      </c>
      <c r="K88" s="100">
        <v>2616</v>
      </c>
      <c r="L88" s="100">
        <v>2692</v>
      </c>
      <c r="M88" s="100">
        <v>2568</v>
      </c>
      <c r="N88" s="100">
        <v>2487</v>
      </c>
      <c r="O88" s="100">
        <v>2487</v>
      </c>
      <c r="Q88" s="361" t="s">
        <v>2763</v>
      </c>
    </row>
    <row r="89" spans="1:17" ht="15.75" thickBot="1">
      <c r="A89" s="361"/>
      <c r="B89" s="361"/>
      <c r="C89" s="370" t="s">
        <v>9216</v>
      </c>
      <c r="D89" s="363">
        <v>0</v>
      </c>
      <c r="E89" s="363">
        <v>0</v>
      </c>
      <c r="F89" s="363">
        <v>1340</v>
      </c>
      <c r="G89" s="363">
        <v>1276</v>
      </c>
      <c r="H89" s="101">
        <v>1277</v>
      </c>
      <c r="I89" s="101">
        <v>1272</v>
      </c>
      <c r="J89" s="101">
        <v>1243</v>
      </c>
      <c r="K89" s="101">
        <v>1260</v>
      </c>
      <c r="L89" s="101">
        <v>1258</v>
      </c>
      <c r="M89" s="101">
        <v>1242</v>
      </c>
      <c r="N89" s="101">
        <v>1176</v>
      </c>
      <c r="O89" s="101">
        <v>1192</v>
      </c>
      <c r="Q89" s="361" t="s">
        <v>2765</v>
      </c>
    </row>
    <row r="90" spans="1:17" ht="15.75" thickBot="1">
      <c r="A90" s="361"/>
      <c r="B90" s="361"/>
      <c r="C90" s="370" t="s">
        <v>9216</v>
      </c>
      <c r="D90" s="371">
        <f>D88+D89</f>
        <v>0</v>
      </c>
      <c r="E90" s="371">
        <f>E88+E89</f>
        <v>0</v>
      </c>
      <c r="F90" s="371">
        <f t="shared" ref="F90:L90" si="88">F88+F89</f>
        <v>4189</v>
      </c>
      <c r="G90" s="371">
        <f t="shared" si="88"/>
        <v>4128</v>
      </c>
      <c r="H90" s="371">
        <f t="shared" si="88"/>
        <v>4041</v>
      </c>
      <c r="I90" s="371">
        <f t="shared" si="88"/>
        <v>3876</v>
      </c>
      <c r="J90" s="371">
        <f t="shared" si="88"/>
        <v>3875</v>
      </c>
      <c r="K90" s="371">
        <f t="shared" si="88"/>
        <v>3876</v>
      </c>
      <c r="L90" s="371">
        <f t="shared" si="88"/>
        <v>3950</v>
      </c>
      <c r="M90" s="371">
        <f>M88+M89</f>
        <v>3810</v>
      </c>
      <c r="N90" s="371">
        <f>N88+N89</f>
        <v>3663</v>
      </c>
      <c r="O90" s="371">
        <f>O88+O89</f>
        <v>3679</v>
      </c>
      <c r="Q90" s="361"/>
    </row>
    <row r="91" spans="1:17">
      <c r="A91" s="361" t="s">
        <v>5433</v>
      </c>
      <c r="B91" s="361" t="s">
        <v>9217</v>
      </c>
      <c r="C91" s="370" t="s">
        <v>9218</v>
      </c>
      <c r="D91" s="363">
        <v>0</v>
      </c>
      <c r="E91" s="363">
        <v>0</v>
      </c>
      <c r="F91" s="363">
        <v>4801</v>
      </c>
      <c r="G91" s="363">
        <v>4838</v>
      </c>
      <c r="H91" s="101">
        <v>4631</v>
      </c>
      <c r="I91" s="101">
        <v>4369</v>
      </c>
      <c r="J91" s="101">
        <v>4307</v>
      </c>
      <c r="K91" s="101">
        <v>4270</v>
      </c>
      <c r="L91" s="101">
        <v>4319</v>
      </c>
      <c r="M91" s="101">
        <v>4114</v>
      </c>
      <c r="N91" s="101">
        <v>4002</v>
      </c>
      <c r="O91" s="101">
        <v>3985</v>
      </c>
      <c r="Q91" s="361" t="s">
        <v>2766</v>
      </c>
    </row>
    <row r="92" spans="1:17">
      <c r="A92" s="361" t="s">
        <v>5435</v>
      </c>
      <c r="B92" s="361" t="s">
        <v>9219</v>
      </c>
      <c r="C92" s="370" t="s">
        <v>9220</v>
      </c>
      <c r="D92" s="363">
        <v>0</v>
      </c>
      <c r="E92" s="363">
        <v>0</v>
      </c>
      <c r="F92" s="363">
        <v>4540</v>
      </c>
      <c r="G92" s="363">
        <v>4493</v>
      </c>
      <c r="H92" s="101">
        <v>4314</v>
      </c>
      <c r="I92" s="101">
        <v>4068</v>
      </c>
      <c r="J92" s="101">
        <v>4073</v>
      </c>
      <c r="K92" s="101">
        <v>4028</v>
      </c>
      <c r="L92" s="101">
        <v>4101</v>
      </c>
      <c r="M92" s="101">
        <v>3984</v>
      </c>
      <c r="N92" s="101">
        <v>3804</v>
      </c>
      <c r="O92" s="101">
        <v>3774</v>
      </c>
      <c r="Q92" s="361" t="s">
        <v>2766</v>
      </c>
    </row>
    <row r="93" spans="1:17">
      <c r="A93" s="361" t="s">
        <v>5436</v>
      </c>
      <c r="B93" s="361" t="s">
        <v>9221</v>
      </c>
      <c r="C93" s="370" t="s">
        <v>9222</v>
      </c>
      <c r="D93" s="363">
        <v>0</v>
      </c>
      <c r="E93" s="363">
        <v>0</v>
      </c>
      <c r="F93" s="363">
        <v>4538</v>
      </c>
      <c r="G93" s="363">
        <v>4629</v>
      </c>
      <c r="H93" s="101">
        <v>4648</v>
      </c>
      <c r="I93" s="101">
        <v>4575</v>
      </c>
      <c r="J93" s="101">
        <v>4501</v>
      </c>
      <c r="K93" s="101">
        <v>4351</v>
      </c>
      <c r="L93" s="101">
        <v>4457</v>
      </c>
      <c r="M93" s="101">
        <v>4356</v>
      </c>
      <c r="N93" s="101">
        <v>4191</v>
      </c>
      <c r="O93" s="101">
        <v>4150</v>
      </c>
      <c r="Q93" s="361" t="s">
        <v>2765</v>
      </c>
    </row>
    <row r="94" spans="1:17">
      <c r="A94" s="361" t="s">
        <v>5437</v>
      </c>
      <c r="B94" s="361" t="s">
        <v>9223</v>
      </c>
      <c r="C94" s="370" t="s">
        <v>9224</v>
      </c>
      <c r="D94" s="363">
        <v>0</v>
      </c>
      <c r="E94" s="363">
        <v>0</v>
      </c>
      <c r="F94" s="363">
        <v>4295</v>
      </c>
      <c r="G94" s="363">
        <v>4359</v>
      </c>
      <c r="H94" s="101">
        <v>4448</v>
      </c>
      <c r="I94" s="101">
        <v>4335</v>
      </c>
      <c r="J94" s="101">
        <v>4314</v>
      </c>
      <c r="K94" s="101">
        <v>4278</v>
      </c>
      <c r="L94" s="101">
        <v>4445</v>
      </c>
      <c r="M94" s="101">
        <v>4369</v>
      </c>
      <c r="N94" s="101">
        <v>4275</v>
      </c>
      <c r="O94" s="101">
        <v>4149</v>
      </c>
      <c r="Q94" s="361" t="s">
        <v>2765</v>
      </c>
    </row>
    <row r="95" spans="1:17">
      <c r="A95" s="361" t="s">
        <v>5439</v>
      </c>
      <c r="B95" s="361" t="s">
        <v>9225</v>
      </c>
      <c r="C95" s="370" t="s">
        <v>9226</v>
      </c>
      <c r="D95" s="363">
        <v>0</v>
      </c>
      <c r="E95" s="363">
        <v>0</v>
      </c>
      <c r="F95" s="363">
        <v>8063</v>
      </c>
      <c r="G95" s="363">
        <v>8015</v>
      </c>
      <c r="H95" s="101">
        <v>8089</v>
      </c>
      <c r="I95" s="101">
        <v>8092</v>
      </c>
      <c r="J95" s="101">
        <v>7982</v>
      </c>
      <c r="K95" s="101">
        <v>7860</v>
      </c>
      <c r="L95" s="101">
        <v>8011</v>
      </c>
      <c r="M95" s="101">
        <v>7887</v>
      </c>
      <c r="N95" s="101">
        <v>7658</v>
      </c>
      <c r="O95" s="101">
        <v>7566</v>
      </c>
      <c r="Q95" s="361" t="s">
        <v>2765</v>
      </c>
    </row>
    <row r="96" spans="1:17">
      <c r="A96" s="361" t="s">
        <v>5441</v>
      </c>
      <c r="B96" s="361" t="s">
        <v>9382</v>
      </c>
      <c r="C96" s="370" t="s">
        <v>9227</v>
      </c>
      <c r="D96" s="363">
        <v>0</v>
      </c>
      <c r="E96" s="363">
        <v>0</v>
      </c>
      <c r="F96" s="363">
        <v>0</v>
      </c>
      <c r="G96" s="363">
        <v>0</v>
      </c>
      <c r="H96" s="101">
        <v>0</v>
      </c>
      <c r="I96" s="101">
        <v>0</v>
      </c>
      <c r="J96" s="101">
        <v>0</v>
      </c>
      <c r="K96" s="101">
        <v>0</v>
      </c>
      <c r="L96" s="101">
        <v>3</v>
      </c>
      <c r="M96" s="101">
        <v>4</v>
      </c>
      <c r="N96" s="101">
        <v>4</v>
      </c>
      <c r="O96" s="101">
        <v>4</v>
      </c>
      <c r="Q96" s="361" t="s">
        <v>2763</v>
      </c>
    </row>
    <row r="97" spans="1:17" ht="15.75" thickBot="1">
      <c r="A97" s="361"/>
      <c r="B97" s="361"/>
      <c r="C97" s="370" t="s">
        <v>9227</v>
      </c>
      <c r="D97" s="363">
        <v>0</v>
      </c>
      <c r="E97" s="363">
        <v>0</v>
      </c>
      <c r="F97" s="363">
        <v>9708</v>
      </c>
      <c r="G97" s="363">
        <v>9758</v>
      </c>
      <c r="H97" s="101">
        <v>9636</v>
      </c>
      <c r="I97" s="101">
        <v>9552</v>
      </c>
      <c r="J97" s="101">
        <v>9519</v>
      </c>
      <c r="K97" s="101">
        <v>9566</v>
      </c>
      <c r="L97" s="101">
        <v>9591</v>
      </c>
      <c r="M97" s="101">
        <v>9324</v>
      </c>
      <c r="N97" s="101">
        <v>9219</v>
      </c>
      <c r="O97" s="101">
        <v>9211</v>
      </c>
      <c r="Q97" s="361" t="s">
        <v>2766</v>
      </c>
    </row>
    <row r="98" spans="1:17" ht="15.75" thickBot="1">
      <c r="A98" s="361"/>
      <c r="B98" s="361"/>
      <c r="C98" s="370" t="s">
        <v>9227</v>
      </c>
      <c r="D98" s="371">
        <f>SUM(D96:D97)</f>
        <v>0</v>
      </c>
      <c r="E98" s="371">
        <f t="shared" ref="E98:L98" si="89">SUM(E96:E97)</f>
        <v>0</v>
      </c>
      <c r="F98" s="371">
        <f t="shared" si="89"/>
        <v>9708</v>
      </c>
      <c r="G98" s="371">
        <f t="shared" si="89"/>
        <v>9758</v>
      </c>
      <c r="H98" s="371">
        <f t="shared" si="89"/>
        <v>9636</v>
      </c>
      <c r="I98" s="371">
        <f t="shared" si="89"/>
        <v>9552</v>
      </c>
      <c r="J98" s="371">
        <f t="shared" si="89"/>
        <v>9519</v>
      </c>
      <c r="K98" s="371">
        <f t="shared" si="89"/>
        <v>9566</v>
      </c>
      <c r="L98" s="371">
        <f t="shared" si="89"/>
        <v>9594</v>
      </c>
      <c r="M98" s="371">
        <f>SUM(M96:M97)</f>
        <v>9328</v>
      </c>
      <c r="N98" s="371">
        <f>SUM(N96:N97)</f>
        <v>9223</v>
      </c>
      <c r="O98" s="371">
        <f>SUM(O96:O97)</f>
        <v>9215</v>
      </c>
      <c r="Q98" s="361"/>
    </row>
    <row r="99" spans="1:17">
      <c r="A99" s="361" t="s">
        <v>5886</v>
      </c>
      <c r="B99" s="361" t="s">
        <v>9228</v>
      </c>
      <c r="C99" s="370" t="s">
        <v>9229</v>
      </c>
      <c r="D99" s="363">
        <v>0</v>
      </c>
      <c r="E99" s="363">
        <v>0</v>
      </c>
      <c r="F99" s="363">
        <v>4810</v>
      </c>
      <c r="G99" s="363">
        <v>4058</v>
      </c>
      <c r="H99" s="100">
        <v>4245</v>
      </c>
      <c r="I99" s="100">
        <v>3420</v>
      </c>
      <c r="J99" s="100">
        <v>2507</v>
      </c>
      <c r="K99" s="100">
        <v>2153</v>
      </c>
      <c r="L99" s="100">
        <v>2332</v>
      </c>
      <c r="M99" s="100">
        <v>2013</v>
      </c>
      <c r="N99" s="100">
        <v>2212</v>
      </c>
      <c r="O99" s="100">
        <v>2690</v>
      </c>
      <c r="Q99" s="361" t="s">
        <v>2763</v>
      </c>
    </row>
    <row r="100" spans="1:17">
      <c r="A100" s="361" t="s">
        <v>5888</v>
      </c>
      <c r="B100" s="361" t="s">
        <v>9230</v>
      </c>
      <c r="C100" s="370" t="s">
        <v>9231</v>
      </c>
      <c r="D100" s="363">
        <v>0</v>
      </c>
      <c r="E100" s="363">
        <v>0</v>
      </c>
      <c r="F100" s="363">
        <v>4777</v>
      </c>
      <c r="G100" s="363">
        <v>4689</v>
      </c>
      <c r="H100" s="100">
        <v>4684</v>
      </c>
      <c r="I100" s="100">
        <v>4548</v>
      </c>
      <c r="J100" s="100">
        <v>4582</v>
      </c>
      <c r="K100" s="100">
        <v>4427</v>
      </c>
      <c r="L100" s="100">
        <v>4577</v>
      </c>
      <c r="M100" s="100">
        <v>4412</v>
      </c>
      <c r="N100" s="100">
        <v>4388</v>
      </c>
      <c r="O100" s="100">
        <v>4456</v>
      </c>
      <c r="Q100" s="361" t="s">
        <v>2763</v>
      </c>
    </row>
    <row r="101" spans="1:17">
      <c r="A101" s="361" t="s">
        <v>5889</v>
      </c>
      <c r="B101" s="361" t="s">
        <v>9232</v>
      </c>
      <c r="C101" s="370" t="s">
        <v>9233</v>
      </c>
      <c r="D101" s="363">
        <v>0</v>
      </c>
      <c r="E101" s="363">
        <v>0</v>
      </c>
      <c r="F101" s="363">
        <v>4502</v>
      </c>
      <c r="G101" s="363">
        <v>4525</v>
      </c>
      <c r="H101" s="101">
        <v>4524</v>
      </c>
      <c r="I101" s="101">
        <v>4499</v>
      </c>
      <c r="J101" s="101">
        <v>4438</v>
      </c>
      <c r="K101" s="101">
        <v>4362</v>
      </c>
      <c r="L101" s="101">
        <v>4410</v>
      </c>
      <c r="M101" s="101">
        <v>4310</v>
      </c>
      <c r="N101" s="101">
        <v>4165</v>
      </c>
      <c r="O101" s="101">
        <v>4124</v>
      </c>
      <c r="Q101" s="361" t="s">
        <v>2766</v>
      </c>
    </row>
    <row r="102" spans="1:17">
      <c r="A102" s="361" t="s">
        <v>4431</v>
      </c>
      <c r="B102" s="361" t="s">
        <v>9234</v>
      </c>
      <c r="C102" s="370" t="s">
        <v>9235</v>
      </c>
      <c r="D102" s="363">
        <v>0</v>
      </c>
      <c r="E102" s="363">
        <v>0</v>
      </c>
      <c r="F102" s="363">
        <v>3606</v>
      </c>
      <c r="G102" s="363">
        <v>3667</v>
      </c>
      <c r="H102" s="100">
        <v>3766</v>
      </c>
      <c r="I102" s="100">
        <v>3796</v>
      </c>
      <c r="J102" s="100">
        <v>3759</v>
      </c>
      <c r="K102" s="100">
        <v>3793</v>
      </c>
      <c r="L102" s="100">
        <v>3842</v>
      </c>
      <c r="M102" s="100">
        <v>3830</v>
      </c>
      <c r="N102" s="100">
        <v>3673</v>
      </c>
      <c r="O102" s="100">
        <v>3652</v>
      </c>
      <c r="Q102" s="361" t="s">
        <v>2763</v>
      </c>
    </row>
    <row r="103" spans="1:17">
      <c r="A103" s="361" t="s">
        <v>4432</v>
      </c>
      <c r="B103" s="361" t="s">
        <v>9236</v>
      </c>
      <c r="C103" s="370" t="s">
        <v>9237</v>
      </c>
      <c r="D103" s="363">
        <v>0</v>
      </c>
      <c r="E103" s="363">
        <v>0</v>
      </c>
      <c r="F103" s="363">
        <v>3955</v>
      </c>
      <c r="G103" s="363">
        <v>3920</v>
      </c>
      <c r="H103" s="101">
        <v>3832</v>
      </c>
      <c r="I103" s="101">
        <v>3736</v>
      </c>
      <c r="J103" s="101">
        <v>3766</v>
      </c>
      <c r="K103" s="101">
        <v>3747</v>
      </c>
      <c r="L103" s="101">
        <v>3822</v>
      </c>
      <c r="M103" s="101">
        <v>3709</v>
      </c>
      <c r="N103" s="101">
        <v>3803</v>
      </c>
      <c r="O103" s="101">
        <v>3765</v>
      </c>
      <c r="Q103" s="361" t="s">
        <v>2766</v>
      </c>
    </row>
    <row r="104" spans="1:17">
      <c r="A104" s="361" t="s">
        <v>4434</v>
      </c>
      <c r="B104" s="361" t="s">
        <v>9238</v>
      </c>
      <c r="C104" s="370" t="s">
        <v>9239</v>
      </c>
      <c r="D104" s="363">
        <v>0</v>
      </c>
      <c r="E104" s="363">
        <v>0</v>
      </c>
      <c r="F104" s="363">
        <v>4505</v>
      </c>
      <c r="G104" s="363">
        <v>4503</v>
      </c>
      <c r="H104" s="101">
        <v>4521</v>
      </c>
      <c r="I104" s="101">
        <v>4451</v>
      </c>
      <c r="J104" s="101">
        <v>4333</v>
      </c>
      <c r="K104" s="101">
        <v>4185</v>
      </c>
      <c r="L104" s="101">
        <v>4285</v>
      </c>
      <c r="M104" s="101">
        <v>4237</v>
      </c>
      <c r="N104" s="101">
        <v>4039</v>
      </c>
      <c r="O104" s="101">
        <v>4029</v>
      </c>
      <c r="Q104" s="361" t="s">
        <v>2765</v>
      </c>
    </row>
    <row r="105" spans="1:17">
      <c r="A105" s="361" t="s">
        <v>4533</v>
      </c>
      <c r="B105" s="361" t="s">
        <v>9240</v>
      </c>
      <c r="C105" s="370" t="s">
        <v>9241</v>
      </c>
      <c r="D105" s="363">
        <v>0</v>
      </c>
      <c r="E105" s="363">
        <v>0</v>
      </c>
      <c r="F105" s="363">
        <v>4125</v>
      </c>
      <c r="G105" s="363">
        <v>4127</v>
      </c>
      <c r="H105" s="101">
        <v>4089</v>
      </c>
      <c r="I105" s="101">
        <v>4066</v>
      </c>
      <c r="J105" s="101">
        <v>4023</v>
      </c>
      <c r="K105" s="101">
        <v>3971</v>
      </c>
      <c r="L105" s="101">
        <v>4002</v>
      </c>
      <c r="M105" s="101">
        <v>3917</v>
      </c>
      <c r="N105" s="101">
        <v>3738</v>
      </c>
      <c r="O105" s="101">
        <v>3748</v>
      </c>
      <c r="Q105" s="361" t="s">
        <v>2766</v>
      </c>
    </row>
    <row r="106" spans="1:17">
      <c r="A106" s="373" t="s">
        <v>4535</v>
      </c>
      <c r="B106" s="361" t="s">
        <v>9242</v>
      </c>
      <c r="C106" s="370" t="s">
        <v>9243</v>
      </c>
      <c r="D106" s="363">
        <v>0</v>
      </c>
      <c r="E106" s="363">
        <v>0</v>
      </c>
      <c r="F106" s="363">
        <v>4343</v>
      </c>
      <c r="G106" s="363">
        <v>4425</v>
      </c>
      <c r="H106" s="101">
        <v>4497</v>
      </c>
      <c r="I106" s="101">
        <v>4528</v>
      </c>
      <c r="J106" s="101">
        <v>4507</v>
      </c>
      <c r="K106" s="101">
        <v>4365</v>
      </c>
      <c r="L106" s="101">
        <v>4387</v>
      </c>
      <c r="M106" s="101">
        <v>4296</v>
      </c>
      <c r="N106" s="101">
        <v>4095</v>
      </c>
      <c r="O106" s="101">
        <v>4086</v>
      </c>
      <c r="Q106" s="361" t="s">
        <v>2766</v>
      </c>
    </row>
    <row r="107" spans="1:17">
      <c r="A107" s="373" t="s">
        <v>4537</v>
      </c>
      <c r="B107" s="361" t="s">
        <v>9244</v>
      </c>
      <c r="C107" s="370" t="s">
        <v>9245</v>
      </c>
      <c r="D107" s="363">
        <v>0</v>
      </c>
      <c r="E107" s="363">
        <v>0</v>
      </c>
      <c r="F107" s="363">
        <v>3969</v>
      </c>
      <c r="G107" s="363">
        <v>3992</v>
      </c>
      <c r="H107" s="101">
        <v>3981</v>
      </c>
      <c r="I107" s="101">
        <v>3971</v>
      </c>
      <c r="J107" s="101">
        <v>3886</v>
      </c>
      <c r="K107" s="101">
        <v>3812</v>
      </c>
      <c r="L107" s="101">
        <v>3893</v>
      </c>
      <c r="M107" s="101">
        <v>3799</v>
      </c>
      <c r="N107" s="101">
        <v>3711</v>
      </c>
      <c r="O107" s="101">
        <v>3748</v>
      </c>
      <c r="Q107" s="361" t="s">
        <v>2766</v>
      </c>
    </row>
    <row r="108" spans="1:17">
      <c r="A108" s="373" t="s">
        <v>4539</v>
      </c>
      <c r="B108" s="361" t="s">
        <v>9246</v>
      </c>
      <c r="C108" s="370" t="s">
        <v>9247</v>
      </c>
      <c r="D108" s="363">
        <v>0</v>
      </c>
      <c r="E108" s="363">
        <v>0</v>
      </c>
      <c r="F108" s="363">
        <v>4016</v>
      </c>
      <c r="G108" s="363">
        <v>4006</v>
      </c>
      <c r="H108" s="101">
        <v>4009</v>
      </c>
      <c r="I108" s="101">
        <v>3949</v>
      </c>
      <c r="J108" s="101">
        <v>3826</v>
      </c>
      <c r="K108" s="101">
        <v>3749</v>
      </c>
      <c r="L108" s="101">
        <v>3865</v>
      </c>
      <c r="M108" s="101">
        <v>3804</v>
      </c>
      <c r="N108" s="101">
        <v>3707</v>
      </c>
      <c r="O108" s="101">
        <v>3700</v>
      </c>
      <c r="Q108" s="361" t="s">
        <v>2766</v>
      </c>
    </row>
    <row r="109" spans="1:17">
      <c r="A109" s="373" t="s">
        <v>6158</v>
      </c>
      <c r="B109" s="361" t="s">
        <v>9248</v>
      </c>
      <c r="C109" s="370" t="s">
        <v>9249</v>
      </c>
      <c r="D109" s="363">
        <v>0</v>
      </c>
      <c r="E109" s="363">
        <v>0</v>
      </c>
      <c r="F109" s="363">
        <v>3891</v>
      </c>
      <c r="G109" s="363">
        <v>3946</v>
      </c>
      <c r="H109" s="101">
        <v>3961</v>
      </c>
      <c r="I109" s="101">
        <v>3836</v>
      </c>
      <c r="J109" s="101">
        <v>3779</v>
      </c>
      <c r="K109" s="101">
        <v>3821</v>
      </c>
      <c r="L109" s="101">
        <v>3818</v>
      </c>
      <c r="M109" s="101">
        <v>3682</v>
      </c>
      <c r="N109" s="101">
        <v>3628</v>
      </c>
      <c r="O109" s="101">
        <v>3631</v>
      </c>
      <c r="Q109" s="361" t="s">
        <v>2765</v>
      </c>
    </row>
    <row r="110" spans="1:17">
      <c r="A110" s="373" t="s">
        <v>6159</v>
      </c>
      <c r="B110" s="361" t="s">
        <v>9250</v>
      </c>
      <c r="C110" s="370" t="s">
        <v>9251</v>
      </c>
      <c r="D110" s="363">
        <v>0</v>
      </c>
      <c r="E110" s="363">
        <v>0</v>
      </c>
      <c r="F110" s="363">
        <v>5023</v>
      </c>
      <c r="G110" s="363">
        <v>5032</v>
      </c>
      <c r="H110" s="100">
        <v>4861</v>
      </c>
      <c r="I110" s="100">
        <v>4677</v>
      </c>
      <c r="J110" s="100">
        <v>4682</v>
      </c>
      <c r="K110" s="100">
        <v>4602</v>
      </c>
      <c r="L110" s="100">
        <v>4836</v>
      </c>
      <c r="M110" s="100">
        <v>4631</v>
      </c>
      <c r="N110" s="100">
        <v>4518</v>
      </c>
      <c r="O110" s="100">
        <v>4637</v>
      </c>
      <c r="Q110" s="361" t="s">
        <v>2763</v>
      </c>
    </row>
    <row r="111" spans="1:17">
      <c r="A111" s="373" t="s">
        <v>6160</v>
      </c>
      <c r="B111" s="361" t="s">
        <v>9252</v>
      </c>
      <c r="C111" s="370" t="s">
        <v>9253</v>
      </c>
      <c r="D111" s="363">
        <v>0</v>
      </c>
      <c r="E111" s="363">
        <v>0</v>
      </c>
      <c r="F111" s="363">
        <v>4576</v>
      </c>
      <c r="G111" s="363">
        <v>4562</v>
      </c>
      <c r="H111" s="101">
        <v>4534</v>
      </c>
      <c r="I111" s="101">
        <v>4516</v>
      </c>
      <c r="J111" s="101">
        <v>4405</v>
      </c>
      <c r="K111" s="101">
        <v>4308</v>
      </c>
      <c r="L111" s="101">
        <v>4353</v>
      </c>
      <c r="M111" s="101">
        <v>4234</v>
      </c>
      <c r="N111" s="101">
        <v>4103</v>
      </c>
      <c r="O111" s="101">
        <v>4128</v>
      </c>
      <c r="Q111" s="361" t="s">
        <v>2766</v>
      </c>
    </row>
    <row r="112" spans="1:17">
      <c r="A112" s="373" t="s">
        <v>6162</v>
      </c>
      <c r="B112" s="361" t="s">
        <v>9254</v>
      </c>
      <c r="C112" s="370" t="s">
        <v>9255</v>
      </c>
      <c r="D112" s="363">
        <v>0</v>
      </c>
      <c r="E112" s="363">
        <v>0</v>
      </c>
      <c r="F112" s="363">
        <v>908</v>
      </c>
      <c r="G112" s="363">
        <v>908</v>
      </c>
      <c r="H112" s="100">
        <v>904</v>
      </c>
      <c r="I112" s="100">
        <v>902</v>
      </c>
      <c r="J112" s="100">
        <v>900</v>
      </c>
      <c r="K112" s="100">
        <v>860</v>
      </c>
      <c r="L112" s="100">
        <v>884</v>
      </c>
      <c r="M112" s="100">
        <v>858</v>
      </c>
      <c r="N112" s="100">
        <v>836</v>
      </c>
      <c r="O112" s="100">
        <v>797</v>
      </c>
      <c r="Q112" s="361" t="s">
        <v>2763</v>
      </c>
    </row>
    <row r="113" spans="1:17" ht="15.75" thickBot="1">
      <c r="A113" s="373"/>
      <c r="B113" s="361"/>
      <c r="C113" s="370" t="s">
        <v>9255</v>
      </c>
      <c r="D113" s="363">
        <v>0</v>
      </c>
      <c r="E113" s="363">
        <v>0</v>
      </c>
      <c r="F113" s="363">
        <v>3103</v>
      </c>
      <c r="G113" s="363">
        <v>3135</v>
      </c>
      <c r="H113" s="101">
        <v>3129</v>
      </c>
      <c r="I113" s="101">
        <v>3093</v>
      </c>
      <c r="J113" s="101">
        <v>3036</v>
      </c>
      <c r="K113" s="101">
        <v>2958</v>
      </c>
      <c r="L113" s="101">
        <v>3026</v>
      </c>
      <c r="M113" s="101">
        <v>2952</v>
      </c>
      <c r="N113" s="101">
        <v>2856</v>
      </c>
      <c r="O113" s="101">
        <v>2751</v>
      </c>
      <c r="Q113" s="361" t="s">
        <v>2765</v>
      </c>
    </row>
    <row r="114" spans="1:17" ht="15.75" thickBot="1">
      <c r="A114" s="373"/>
      <c r="B114" s="361"/>
      <c r="C114" s="370" t="s">
        <v>9255</v>
      </c>
      <c r="D114" s="371">
        <f>D112+D113</f>
        <v>0</v>
      </c>
      <c r="E114" s="371">
        <f>E112+E113</f>
        <v>0</v>
      </c>
      <c r="F114" s="371">
        <f t="shared" ref="F114:L114" si="90">F112+F113</f>
        <v>4011</v>
      </c>
      <c r="G114" s="371">
        <f t="shared" si="90"/>
        <v>4043</v>
      </c>
      <c r="H114" s="371">
        <f t="shared" si="90"/>
        <v>4033</v>
      </c>
      <c r="I114" s="371">
        <f t="shared" si="90"/>
        <v>3995</v>
      </c>
      <c r="J114" s="371">
        <f t="shared" si="90"/>
        <v>3936</v>
      </c>
      <c r="K114" s="371">
        <f t="shared" si="90"/>
        <v>3818</v>
      </c>
      <c r="L114" s="371">
        <f t="shared" si="90"/>
        <v>3910</v>
      </c>
      <c r="M114" s="371">
        <f>M112+M113</f>
        <v>3810</v>
      </c>
      <c r="N114" s="371">
        <f>N112+N113</f>
        <v>3692</v>
      </c>
      <c r="O114" s="371">
        <f>O112+O113</f>
        <v>3548</v>
      </c>
      <c r="Q114" s="361"/>
    </row>
    <row r="115" spans="1:17">
      <c r="A115" s="373" t="s">
        <v>2157</v>
      </c>
      <c r="B115" s="361" t="s">
        <v>9256</v>
      </c>
      <c r="C115" s="370" t="s">
        <v>9257</v>
      </c>
      <c r="D115" s="363">
        <v>0</v>
      </c>
      <c r="E115" s="363">
        <v>0</v>
      </c>
      <c r="F115" s="363">
        <v>4822</v>
      </c>
      <c r="G115" s="363">
        <v>4807</v>
      </c>
      <c r="H115" s="100">
        <v>4837</v>
      </c>
      <c r="I115" s="100">
        <v>4785</v>
      </c>
      <c r="J115" s="100">
        <v>4688</v>
      </c>
      <c r="K115" s="100">
        <v>4497</v>
      </c>
      <c r="L115" s="100">
        <v>4626</v>
      </c>
      <c r="M115" s="100">
        <v>4481</v>
      </c>
      <c r="N115" s="100">
        <v>4366</v>
      </c>
      <c r="O115" s="100">
        <v>4394</v>
      </c>
      <c r="Q115" s="361" t="s">
        <v>2763</v>
      </c>
    </row>
    <row r="116" spans="1:17">
      <c r="A116" s="373" t="s">
        <v>2158</v>
      </c>
      <c r="B116" s="361" t="s">
        <v>2818</v>
      </c>
      <c r="C116" s="370" t="s">
        <v>9258</v>
      </c>
      <c r="D116" s="363">
        <v>0</v>
      </c>
      <c r="E116" s="363">
        <v>0</v>
      </c>
      <c r="F116" s="363">
        <v>4091</v>
      </c>
      <c r="G116" s="363">
        <v>4085</v>
      </c>
      <c r="H116" s="101">
        <v>4076</v>
      </c>
      <c r="I116" s="101">
        <v>3863</v>
      </c>
      <c r="J116" s="101">
        <v>3915</v>
      </c>
      <c r="K116" s="101">
        <v>3832</v>
      </c>
      <c r="L116" s="101">
        <v>3888</v>
      </c>
      <c r="M116" s="101">
        <v>3770</v>
      </c>
      <c r="N116" s="101">
        <v>3548</v>
      </c>
      <c r="O116" s="101">
        <v>3582</v>
      </c>
      <c r="Q116" s="361" t="s">
        <v>2765</v>
      </c>
    </row>
    <row r="117" spans="1:17">
      <c r="A117" s="373" t="s">
        <v>1838</v>
      </c>
      <c r="B117" s="361" t="s">
        <v>9259</v>
      </c>
      <c r="C117" s="370" t="s">
        <v>9260</v>
      </c>
      <c r="D117" s="363">
        <v>0</v>
      </c>
      <c r="E117" s="363">
        <v>0</v>
      </c>
      <c r="F117" s="363">
        <v>3805</v>
      </c>
      <c r="G117" s="363">
        <v>3838</v>
      </c>
      <c r="H117" s="101">
        <v>3905</v>
      </c>
      <c r="I117" s="101">
        <v>3943</v>
      </c>
      <c r="J117" s="101">
        <v>3924</v>
      </c>
      <c r="K117" s="101">
        <v>3879</v>
      </c>
      <c r="L117" s="101">
        <v>4041</v>
      </c>
      <c r="M117" s="101">
        <v>3948</v>
      </c>
      <c r="N117" s="101">
        <v>3902</v>
      </c>
      <c r="O117" s="101">
        <v>3932</v>
      </c>
      <c r="Q117" s="361" t="s">
        <v>2766</v>
      </c>
    </row>
    <row r="118" spans="1:17">
      <c r="A118" s="361"/>
      <c r="B118" s="361"/>
      <c r="C118" s="370"/>
      <c r="D118" s="363"/>
      <c r="E118" s="363"/>
      <c r="F118" s="363"/>
      <c r="G118" s="363"/>
      <c r="H118" s="363"/>
      <c r="I118" s="363"/>
      <c r="J118" s="363"/>
      <c r="K118" s="363"/>
      <c r="L118" s="363"/>
      <c r="M118" s="363"/>
      <c r="N118" s="363"/>
      <c r="O118" s="363"/>
    </row>
    <row r="119" spans="1:17">
      <c r="A119" s="361" t="s">
        <v>2763</v>
      </c>
      <c r="D119" s="363">
        <f t="shared" ref="D119:K119" si="91">D69+D72+D75+D76+D81+D87+D88+D96+D99+D100+D102+D110+D112+D115</f>
        <v>61083</v>
      </c>
      <c r="E119" s="363">
        <f t="shared" si="91"/>
        <v>61774</v>
      </c>
      <c r="F119" s="363">
        <f t="shared" si="91"/>
        <v>62483</v>
      </c>
      <c r="G119" s="363">
        <f t="shared" si="91"/>
        <v>61821</v>
      </c>
      <c r="H119" s="363">
        <f t="shared" si="91"/>
        <v>61561</v>
      </c>
      <c r="I119" s="363">
        <f t="shared" si="91"/>
        <v>59472</v>
      </c>
      <c r="J119" s="363">
        <f t="shared" si="91"/>
        <v>58259</v>
      </c>
      <c r="K119" s="363">
        <f t="shared" si="91"/>
        <v>56358</v>
      </c>
      <c r="L119" s="363">
        <f>L69+L72+L75+L76+L81+L87+L88+L96+L99+L100+L102+L110+L112+L115</f>
        <v>57802</v>
      </c>
      <c r="M119" s="363">
        <f>M69+M72+M75+M76+M81+M87+M88+M96+M99+M100+M102+M110+M112+M115</f>
        <v>55898</v>
      </c>
      <c r="N119" s="363">
        <f>N69+N72+N75+N76+N81+N87+N88+N96+N99+N100+N102+N110+N112+N115</f>
        <v>54286</v>
      </c>
      <c r="O119" s="363">
        <f>O69+O72+O75+O76+O81+O87+O88+O96+O99+O100+O102+O110+O112+O115</f>
        <v>54551</v>
      </c>
    </row>
    <row r="120" spans="1:17">
      <c r="A120" s="361" t="s">
        <v>2819</v>
      </c>
      <c r="D120" s="363">
        <f>D70+D73+D77+D82+D84+D85+D89+D93+D94+D95+D104+D109+D113+D116</f>
        <v>55872</v>
      </c>
      <c r="E120" s="363">
        <f>E70+E73+E77+E82+E84+E85+E89+E93+E94+E95+E104+E109+E113+E116</f>
        <v>56043</v>
      </c>
      <c r="F120" s="363">
        <f t="shared" ref="F120:K120" si="92">F70+F73+F77+F82+F84+F85+F89+F93+F94+F95+F104+F109+F113+F116</f>
        <v>56107</v>
      </c>
      <c r="G120" s="363">
        <f t="shared" si="92"/>
        <v>56230</v>
      </c>
      <c r="H120" s="363">
        <f t="shared" si="92"/>
        <v>56421</v>
      </c>
      <c r="I120" s="363">
        <f t="shared" si="92"/>
        <v>55264</v>
      </c>
      <c r="J120" s="363">
        <f t="shared" si="92"/>
        <v>54763</v>
      </c>
      <c r="K120" s="363">
        <f t="shared" si="92"/>
        <v>53890</v>
      </c>
      <c r="L120" s="363">
        <f>L70+L73+L77+L82+L84+L85+L89+L93+L94+L95+L104+L109+L113+L116</f>
        <v>55103</v>
      </c>
      <c r="M120" s="363">
        <f>M70+M73+M77+M82+M84+M85+M89+M93+M94+M95+M104+M109+M113+M116</f>
        <v>53818</v>
      </c>
      <c r="N120" s="363">
        <f>N70+N73+N77+N82+N84+N85+N89+N93+N94+N95+N104+N109+N113+N116</f>
        <v>51998</v>
      </c>
      <c r="O120" s="363">
        <f>O70+O73+O77+O82+O84+O85+O89+O93+O94+O95+O104+O109+O113+O116</f>
        <v>51640</v>
      </c>
    </row>
    <row r="121" spans="1:17">
      <c r="A121" s="361" t="s">
        <v>2766</v>
      </c>
      <c r="D121" s="363">
        <f t="shared" ref="D121:K121" si="93">D79+D80+D83+D86+D91+D92+D97+D101+D103+SUM(D105:D108)+D111+D117</f>
        <v>68301</v>
      </c>
      <c r="E121" s="363">
        <f t="shared" si="93"/>
        <v>68624</v>
      </c>
      <c r="F121" s="363">
        <f t="shared" si="93"/>
        <v>68842</v>
      </c>
      <c r="G121" s="363">
        <f t="shared" si="93"/>
        <v>69052</v>
      </c>
      <c r="H121" s="363">
        <f t="shared" si="93"/>
        <v>68532</v>
      </c>
      <c r="I121" s="363">
        <f t="shared" si="93"/>
        <v>67502</v>
      </c>
      <c r="J121" s="363">
        <f t="shared" si="93"/>
        <v>66835</v>
      </c>
      <c r="K121" s="363">
        <f t="shared" si="93"/>
        <v>65986</v>
      </c>
      <c r="L121" s="363">
        <f>L79+L80+L83+L86+L91+L92+L97+L101+L103+SUM(L105:L108)+L111+L117</f>
        <v>67249</v>
      </c>
      <c r="M121" s="363">
        <f>M79+M80+M83+M86+M91+M92+M97+M101+M103+SUM(M105:M108)+M111+M117</f>
        <v>65646</v>
      </c>
      <c r="N121" s="363">
        <f>N79+N80+N83+N86+N91+N92+N97+N101+N103+SUM(N105:N108)+N111+N117</f>
        <v>64159</v>
      </c>
      <c r="O121" s="363">
        <f>O79+O80+O83+O86+O91+O92+O97+O101+O103+SUM(O105:O108)+O111+O117</f>
        <v>64155</v>
      </c>
    </row>
    <row r="123" spans="1:17">
      <c r="A123" s="361" t="s">
        <v>9261</v>
      </c>
    </row>
    <row r="124" spans="1:17">
      <c r="A124" s="361"/>
    </row>
    <row r="125" spans="1:17">
      <c r="A125" s="361"/>
    </row>
    <row r="126" spans="1:17">
      <c r="E126" s="92" t="s">
        <v>1526</v>
      </c>
      <c r="F126" s="92"/>
      <c r="G126" s="92"/>
      <c r="H126" s="92"/>
      <c r="I126" s="92"/>
      <c r="J126" s="92"/>
      <c r="K126" s="92"/>
      <c r="L126" s="92"/>
      <c r="M126" s="92"/>
      <c r="N126" s="92"/>
      <c r="O126" s="92"/>
      <c r="P126" s="367"/>
      <c r="Q126" s="367" t="s">
        <v>9479</v>
      </c>
    </row>
    <row r="127" spans="1:17">
      <c r="D127" s="368">
        <v>2010</v>
      </c>
      <c r="E127" s="368">
        <v>2011</v>
      </c>
      <c r="F127" s="368">
        <v>2012</v>
      </c>
      <c r="G127" s="368">
        <v>2013</v>
      </c>
      <c r="H127" s="368">
        <v>2014</v>
      </c>
      <c r="I127" s="368">
        <v>2015</v>
      </c>
      <c r="J127" s="368">
        <v>2016</v>
      </c>
      <c r="K127" s="368">
        <v>2017</v>
      </c>
      <c r="L127" s="368">
        <v>2018</v>
      </c>
      <c r="M127" s="368">
        <v>2019</v>
      </c>
      <c r="N127" s="368">
        <v>2020</v>
      </c>
      <c r="O127" s="940" t="s">
        <v>14823</v>
      </c>
      <c r="P127" s="367"/>
      <c r="Q127" s="369" t="s">
        <v>1527</v>
      </c>
    </row>
    <row r="128" spans="1:17">
      <c r="A128" s="361" t="s">
        <v>712</v>
      </c>
      <c r="D128" s="363">
        <f t="shared" ref="D128:I128" si="94">SUM(D129:D143)</f>
        <v>74828</v>
      </c>
      <c r="E128" s="363">
        <f t="shared" si="94"/>
        <v>75680</v>
      </c>
      <c r="F128" s="363">
        <f t="shared" si="94"/>
        <v>75494</v>
      </c>
      <c r="G128" s="363">
        <f t="shared" si="94"/>
        <v>75539</v>
      </c>
      <c r="H128" s="363">
        <f t="shared" si="94"/>
        <v>75380</v>
      </c>
      <c r="I128" s="363">
        <f t="shared" si="94"/>
        <v>74146</v>
      </c>
      <c r="J128" s="363">
        <f t="shared" ref="J128:O128" si="95">SUM(J129:J143)</f>
        <v>73470</v>
      </c>
      <c r="K128" s="363">
        <f t="shared" si="95"/>
        <v>73801</v>
      </c>
      <c r="L128" s="363">
        <f t="shared" si="95"/>
        <v>73834</v>
      </c>
      <c r="M128" s="363">
        <f t="shared" si="95"/>
        <v>73510</v>
      </c>
      <c r="N128" s="363">
        <f t="shared" si="95"/>
        <v>73904</v>
      </c>
      <c r="O128" s="363">
        <f t="shared" si="95"/>
        <v>75582</v>
      </c>
    </row>
    <row r="129" spans="1:17">
      <c r="A129" s="361" t="s">
        <v>5387</v>
      </c>
      <c r="B129" s="361" t="s">
        <v>713</v>
      </c>
      <c r="C129" s="370" t="s">
        <v>8031</v>
      </c>
      <c r="D129" s="363">
        <v>5028</v>
      </c>
      <c r="E129" s="363">
        <v>5095</v>
      </c>
      <c r="F129" s="363">
        <v>5070</v>
      </c>
      <c r="G129" s="100">
        <v>5140</v>
      </c>
      <c r="H129" s="100">
        <v>5150</v>
      </c>
      <c r="I129" s="100">
        <v>5123</v>
      </c>
      <c r="J129" s="100">
        <v>5028</v>
      </c>
      <c r="K129" s="100">
        <v>5074</v>
      </c>
      <c r="L129" s="100">
        <v>5108</v>
      </c>
      <c r="M129" s="100">
        <v>5103</v>
      </c>
      <c r="N129" s="100">
        <v>5137</v>
      </c>
      <c r="O129" s="100">
        <v>5255</v>
      </c>
      <c r="Q129" s="361" t="s">
        <v>694</v>
      </c>
    </row>
    <row r="130" spans="1:17">
      <c r="A130" s="361" t="s">
        <v>5389</v>
      </c>
      <c r="B130" s="361" t="s">
        <v>714</v>
      </c>
      <c r="C130" s="370" t="s">
        <v>8032</v>
      </c>
      <c r="D130" s="363">
        <v>5516</v>
      </c>
      <c r="E130" s="363">
        <v>5581</v>
      </c>
      <c r="F130" s="363">
        <v>5518</v>
      </c>
      <c r="G130" s="100">
        <v>5465</v>
      </c>
      <c r="H130" s="100">
        <v>5325</v>
      </c>
      <c r="I130" s="100">
        <v>5189</v>
      </c>
      <c r="J130" s="100">
        <v>5128</v>
      </c>
      <c r="K130" s="100">
        <v>5165</v>
      </c>
      <c r="L130" s="100">
        <v>5209</v>
      </c>
      <c r="M130" s="100">
        <v>5173</v>
      </c>
      <c r="N130" s="100">
        <v>5193</v>
      </c>
      <c r="O130" s="100">
        <v>5312</v>
      </c>
      <c r="Q130" s="361" t="s">
        <v>694</v>
      </c>
    </row>
    <row r="131" spans="1:17">
      <c r="A131" s="361" t="s">
        <v>5391</v>
      </c>
      <c r="B131" s="361" t="s">
        <v>715</v>
      </c>
      <c r="C131" s="370" t="s">
        <v>8033</v>
      </c>
      <c r="D131" s="363">
        <v>5364</v>
      </c>
      <c r="E131" s="363">
        <v>5447</v>
      </c>
      <c r="F131" s="363">
        <v>5367</v>
      </c>
      <c r="G131" s="100">
        <v>5339</v>
      </c>
      <c r="H131" s="100">
        <v>5566</v>
      </c>
      <c r="I131" s="100">
        <v>5477</v>
      </c>
      <c r="J131" s="100">
        <v>5447</v>
      </c>
      <c r="K131" s="100">
        <v>5400</v>
      </c>
      <c r="L131" s="100">
        <v>5400</v>
      </c>
      <c r="M131" s="100">
        <v>5257</v>
      </c>
      <c r="N131" s="100">
        <v>5268</v>
      </c>
      <c r="O131" s="100">
        <v>5350</v>
      </c>
      <c r="Q131" s="361" t="s">
        <v>694</v>
      </c>
    </row>
    <row r="132" spans="1:17">
      <c r="A132" s="361" t="s">
        <v>5393</v>
      </c>
      <c r="B132" s="361" t="s">
        <v>716</v>
      </c>
      <c r="C132" s="370" t="s">
        <v>8034</v>
      </c>
      <c r="D132" s="363">
        <v>5539</v>
      </c>
      <c r="E132" s="363">
        <v>5735</v>
      </c>
      <c r="F132" s="363">
        <v>5807</v>
      </c>
      <c r="G132" s="100">
        <v>5788</v>
      </c>
      <c r="H132" s="100">
        <v>5844</v>
      </c>
      <c r="I132" s="100">
        <v>5764</v>
      </c>
      <c r="J132" s="100">
        <v>5734</v>
      </c>
      <c r="K132" s="100">
        <v>5771</v>
      </c>
      <c r="L132" s="100">
        <v>5775</v>
      </c>
      <c r="M132" s="100">
        <v>5795</v>
      </c>
      <c r="N132" s="100">
        <v>5786</v>
      </c>
      <c r="O132" s="100">
        <v>5940</v>
      </c>
      <c r="Q132" s="361" t="s">
        <v>694</v>
      </c>
    </row>
    <row r="133" spans="1:17">
      <c r="A133" s="361" t="s">
        <v>5394</v>
      </c>
      <c r="B133" s="361" t="s">
        <v>717</v>
      </c>
      <c r="C133" s="370" t="s">
        <v>8035</v>
      </c>
      <c r="D133" s="363">
        <v>5647</v>
      </c>
      <c r="E133" s="363">
        <v>5727</v>
      </c>
      <c r="F133" s="363">
        <v>5718</v>
      </c>
      <c r="G133" s="100">
        <v>5775</v>
      </c>
      <c r="H133" s="100">
        <v>5726</v>
      </c>
      <c r="I133" s="100">
        <v>5642</v>
      </c>
      <c r="J133" s="100">
        <v>5653</v>
      </c>
      <c r="K133" s="100">
        <v>5701</v>
      </c>
      <c r="L133" s="100">
        <v>5691</v>
      </c>
      <c r="M133" s="100">
        <v>5652</v>
      </c>
      <c r="N133" s="100">
        <v>5620</v>
      </c>
      <c r="O133" s="100">
        <v>5730</v>
      </c>
      <c r="Q133" s="361" t="s">
        <v>694</v>
      </c>
    </row>
    <row r="134" spans="1:17">
      <c r="A134" s="361" t="s">
        <v>5416</v>
      </c>
      <c r="B134" s="361" t="s">
        <v>718</v>
      </c>
      <c r="C134" s="370" t="s">
        <v>8036</v>
      </c>
      <c r="D134" s="363">
        <v>5354</v>
      </c>
      <c r="E134" s="363">
        <v>5382</v>
      </c>
      <c r="F134" s="363">
        <v>5360</v>
      </c>
      <c r="G134" s="100">
        <v>5352</v>
      </c>
      <c r="H134" s="100">
        <v>5323</v>
      </c>
      <c r="I134" s="100">
        <v>5267</v>
      </c>
      <c r="J134" s="100">
        <v>5178</v>
      </c>
      <c r="K134" s="100">
        <v>5222</v>
      </c>
      <c r="L134" s="100">
        <v>5173</v>
      </c>
      <c r="M134" s="100">
        <v>5099</v>
      </c>
      <c r="N134" s="100">
        <v>5091</v>
      </c>
      <c r="O134" s="100">
        <v>5194</v>
      </c>
      <c r="Q134" s="361" t="s">
        <v>694</v>
      </c>
    </row>
    <row r="135" spans="1:17">
      <c r="A135" s="361" t="s">
        <v>5418</v>
      </c>
      <c r="B135" s="361" t="s">
        <v>4587</v>
      </c>
      <c r="C135" s="370" t="s">
        <v>8037</v>
      </c>
      <c r="D135" s="363">
        <v>3431</v>
      </c>
      <c r="E135" s="363">
        <v>3434</v>
      </c>
      <c r="F135" s="363">
        <v>3489</v>
      </c>
      <c r="G135" s="100">
        <v>3503</v>
      </c>
      <c r="H135" s="100">
        <v>3462</v>
      </c>
      <c r="I135" s="100">
        <v>3348</v>
      </c>
      <c r="J135" s="100">
        <v>3308</v>
      </c>
      <c r="K135" s="100">
        <v>3306</v>
      </c>
      <c r="L135" s="100">
        <v>3290</v>
      </c>
      <c r="M135" s="100">
        <v>3239</v>
      </c>
      <c r="N135" s="100">
        <v>3209</v>
      </c>
      <c r="O135" s="100">
        <v>3279</v>
      </c>
      <c r="Q135" s="361" t="s">
        <v>694</v>
      </c>
    </row>
    <row r="136" spans="1:17">
      <c r="A136" s="361" t="s">
        <v>5420</v>
      </c>
      <c r="B136" s="361" t="s">
        <v>719</v>
      </c>
      <c r="C136" s="370" t="s">
        <v>8038</v>
      </c>
      <c r="D136" s="363">
        <v>5634</v>
      </c>
      <c r="E136" s="363">
        <v>5699</v>
      </c>
      <c r="F136" s="363">
        <v>5685</v>
      </c>
      <c r="G136" s="100">
        <v>5702</v>
      </c>
      <c r="H136" s="100">
        <v>5613</v>
      </c>
      <c r="I136" s="100">
        <v>5551</v>
      </c>
      <c r="J136" s="100">
        <v>5511</v>
      </c>
      <c r="K136" s="100">
        <v>5511</v>
      </c>
      <c r="L136" s="100">
        <v>5438</v>
      </c>
      <c r="M136" s="100">
        <v>5387</v>
      </c>
      <c r="N136" s="100">
        <v>5404</v>
      </c>
      <c r="O136" s="100">
        <v>5489</v>
      </c>
      <c r="Q136" s="361" t="s">
        <v>694</v>
      </c>
    </row>
    <row r="137" spans="1:17">
      <c r="A137" s="361" t="s">
        <v>5422</v>
      </c>
      <c r="B137" s="361" t="s">
        <v>720</v>
      </c>
      <c r="C137" s="370" t="s">
        <v>8039</v>
      </c>
      <c r="D137" s="363">
        <v>4989</v>
      </c>
      <c r="E137" s="363">
        <v>5010</v>
      </c>
      <c r="F137" s="363">
        <v>5020</v>
      </c>
      <c r="G137" s="100">
        <v>5023</v>
      </c>
      <c r="H137" s="100">
        <v>5018</v>
      </c>
      <c r="I137" s="100">
        <v>4941</v>
      </c>
      <c r="J137" s="100">
        <v>4825</v>
      </c>
      <c r="K137" s="100">
        <v>4763</v>
      </c>
      <c r="L137" s="100">
        <v>4755</v>
      </c>
      <c r="M137" s="100">
        <v>4753</v>
      </c>
      <c r="N137" s="100">
        <v>4749</v>
      </c>
      <c r="O137" s="100">
        <v>4845</v>
      </c>
      <c r="Q137" s="361" t="s">
        <v>694</v>
      </c>
    </row>
    <row r="138" spans="1:17">
      <c r="A138" s="361" t="s">
        <v>5424</v>
      </c>
      <c r="B138" s="361" t="s">
        <v>721</v>
      </c>
      <c r="C138" s="370" t="s">
        <v>8040</v>
      </c>
      <c r="D138" s="363">
        <v>3905</v>
      </c>
      <c r="E138" s="363">
        <v>3976</v>
      </c>
      <c r="F138" s="363">
        <v>3954</v>
      </c>
      <c r="G138" s="100">
        <v>3922</v>
      </c>
      <c r="H138" s="100">
        <v>3941</v>
      </c>
      <c r="I138" s="100">
        <v>3873</v>
      </c>
      <c r="J138" s="100">
        <v>3845</v>
      </c>
      <c r="K138" s="100">
        <v>3952</v>
      </c>
      <c r="L138" s="100">
        <v>4216</v>
      </c>
      <c r="M138" s="100">
        <v>4545</v>
      </c>
      <c r="N138" s="100">
        <v>4782</v>
      </c>
      <c r="O138" s="100">
        <v>4931</v>
      </c>
      <c r="Q138" s="361" t="s">
        <v>694</v>
      </c>
    </row>
    <row r="139" spans="1:17">
      <c r="A139" s="361" t="s">
        <v>5426</v>
      </c>
      <c r="B139" s="361" t="s">
        <v>722</v>
      </c>
      <c r="C139" s="370" t="s">
        <v>8041</v>
      </c>
      <c r="D139" s="363">
        <v>5494</v>
      </c>
      <c r="E139" s="363">
        <v>5548</v>
      </c>
      <c r="F139" s="363">
        <v>5525</v>
      </c>
      <c r="G139" s="100">
        <v>5492</v>
      </c>
      <c r="H139" s="100">
        <v>5418</v>
      </c>
      <c r="I139" s="100">
        <v>5293</v>
      </c>
      <c r="J139" s="100">
        <v>5220</v>
      </c>
      <c r="K139" s="100">
        <v>5274</v>
      </c>
      <c r="L139" s="100">
        <v>5274</v>
      </c>
      <c r="M139" s="100">
        <v>5171</v>
      </c>
      <c r="N139" s="100">
        <v>5169</v>
      </c>
      <c r="O139" s="100">
        <v>5259</v>
      </c>
      <c r="Q139" s="361" t="s">
        <v>694</v>
      </c>
    </row>
    <row r="140" spans="1:17">
      <c r="A140" s="361" t="s">
        <v>5428</v>
      </c>
      <c r="B140" s="361" t="s">
        <v>723</v>
      </c>
      <c r="C140" s="370" t="s">
        <v>8042</v>
      </c>
      <c r="D140" s="363">
        <v>4222</v>
      </c>
      <c r="E140" s="363">
        <v>4254</v>
      </c>
      <c r="F140" s="363">
        <v>4305</v>
      </c>
      <c r="G140" s="100">
        <v>4285</v>
      </c>
      <c r="H140" s="100">
        <v>4241</v>
      </c>
      <c r="I140" s="100">
        <v>4144</v>
      </c>
      <c r="J140" s="100">
        <v>4147</v>
      </c>
      <c r="K140" s="100">
        <v>4132</v>
      </c>
      <c r="L140" s="100">
        <v>4069</v>
      </c>
      <c r="M140" s="100">
        <v>4015</v>
      </c>
      <c r="N140" s="100">
        <v>4067</v>
      </c>
      <c r="O140" s="100">
        <v>4168</v>
      </c>
      <c r="Q140" s="361" t="s">
        <v>694</v>
      </c>
    </row>
    <row r="141" spans="1:17">
      <c r="A141" s="361" t="s">
        <v>5429</v>
      </c>
      <c r="B141" s="361" t="s">
        <v>724</v>
      </c>
      <c r="C141" s="370" t="s">
        <v>8043</v>
      </c>
      <c r="D141" s="363">
        <v>5814</v>
      </c>
      <c r="E141" s="363">
        <v>5818</v>
      </c>
      <c r="F141" s="363">
        <v>5738</v>
      </c>
      <c r="G141" s="100">
        <v>5749</v>
      </c>
      <c r="H141" s="100">
        <v>5771</v>
      </c>
      <c r="I141" s="100">
        <v>5656</v>
      </c>
      <c r="J141" s="100">
        <v>5647</v>
      </c>
      <c r="K141" s="100">
        <v>5731</v>
      </c>
      <c r="L141" s="100">
        <v>5731</v>
      </c>
      <c r="M141" s="100">
        <v>5742</v>
      </c>
      <c r="N141" s="100">
        <v>5814</v>
      </c>
      <c r="O141" s="100">
        <v>6016</v>
      </c>
      <c r="Q141" s="361" t="s">
        <v>694</v>
      </c>
    </row>
    <row r="142" spans="1:17">
      <c r="A142" s="361" t="s">
        <v>5431</v>
      </c>
      <c r="B142" s="361" t="s">
        <v>725</v>
      </c>
      <c r="C142" s="370" t="s">
        <v>8044</v>
      </c>
      <c r="D142" s="363">
        <v>3813</v>
      </c>
      <c r="E142" s="363">
        <v>3837</v>
      </c>
      <c r="F142" s="363">
        <v>3825</v>
      </c>
      <c r="G142" s="100">
        <v>3798</v>
      </c>
      <c r="H142" s="100">
        <v>3781</v>
      </c>
      <c r="I142" s="100">
        <v>3774</v>
      </c>
      <c r="J142" s="100">
        <v>3714</v>
      </c>
      <c r="K142" s="100">
        <v>3690</v>
      </c>
      <c r="L142" s="100">
        <v>3678</v>
      </c>
      <c r="M142" s="100">
        <v>3638</v>
      </c>
      <c r="N142" s="100">
        <v>3648</v>
      </c>
      <c r="O142" s="100">
        <v>3707</v>
      </c>
      <c r="Q142" s="361" t="s">
        <v>694</v>
      </c>
    </row>
    <row r="143" spans="1:17">
      <c r="A143" s="361" t="s">
        <v>5433</v>
      </c>
      <c r="B143" s="361" t="s">
        <v>726</v>
      </c>
      <c r="C143" s="370" t="s">
        <v>8045</v>
      </c>
      <c r="D143" s="363">
        <v>5078</v>
      </c>
      <c r="E143" s="363">
        <v>5137</v>
      </c>
      <c r="F143" s="363">
        <v>5113</v>
      </c>
      <c r="G143" s="100">
        <v>5206</v>
      </c>
      <c r="H143" s="100">
        <v>5201</v>
      </c>
      <c r="I143" s="100">
        <v>5104</v>
      </c>
      <c r="J143" s="100">
        <v>5085</v>
      </c>
      <c r="K143" s="100">
        <v>5109</v>
      </c>
      <c r="L143" s="100">
        <v>5027</v>
      </c>
      <c r="M143" s="100">
        <v>4941</v>
      </c>
      <c r="N143" s="100">
        <v>4967</v>
      </c>
      <c r="O143" s="100">
        <v>5107</v>
      </c>
      <c r="Q143" s="361" t="s">
        <v>694</v>
      </c>
    </row>
    <row r="144" spans="1:17">
      <c r="D144" s="363"/>
      <c r="E144" s="363"/>
      <c r="F144" s="363"/>
      <c r="G144" s="363"/>
      <c r="H144" s="363"/>
      <c r="I144" s="363"/>
      <c r="J144" s="363"/>
      <c r="K144" s="363"/>
      <c r="L144" s="363"/>
      <c r="M144" s="363"/>
      <c r="N144" s="363"/>
      <c r="O144" s="363"/>
    </row>
    <row r="145" spans="1:17">
      <c r="A145" s="361" t="s">
        <v>694</v>
      </c>
      <c r="D145" s="363">
        <f t="shared" ref="D145:I145" si="96">SUM(D129:D143)</f>
        <v>74828</v>
      </c>
      <c r="E145" s="363">
        <f t="shared" si="96"/>
        <v>75680</v>
      </c>
      <c r="F145" s="363">
        <f t="shared" si="96"/>
        <v>75494</v>
      </c>
      <c r="G145" s="363">
        <f t="shared" si="96"/>
        <v>75539</v>
      </c>
      <c r="H145" s="363">
        <f t="shared" si="96"/>
        <v>75380</v>
      </c>
      <c r="I145" s="363">
        <f t="shared" si="96"/>
        <v>74146</v>
      </c>
      <c r="J145" s="363">
        <f t="shared" ref="J145:O145" si="97">SUM(J129:J143)</f>
        <v>73470</v>
      </c>
      <c r="K145" s="363">
        <f t="shared" si="97"/>
        <v>73801</v>
      </c>
      <c r="L145" s="363">
        <f t="shared" si="97"/>
        <v>73834</v>
      </c>
      <c r="M145" s="363">
        <f t="shared" si="97"/>
        <v>73510</v>
      </c>
      <c r="N145" s="363">
        <f t="shared" si="97"/>
        <v>73904</v>
      </c>
      <c r="O145" s="363">
        <f t="shared" si="97"/>
        <v>75582</v>
      </c>
    </row>
    <row r="146" spans="1:17">
      <c r="A146" s="361"/>
      <c r="D146" s="363"/>
      <c r="E146" s="363"/>
      <c r="F146" s="363"/>
      <c r="G146" s="363"/>
      <c r="H146" s="363"/>
      <c r="I146" s="363"/>
      <c r="J146" s="363"/>
      <c r="K146" s="363"/>
      <c r="L146" s="363"/>
      <c r="M146" s="363"/>
      <c r="N146" s="363"/>
      <c r="O146" s="363"/>
    </row>
    <row r="147" spans="1:17">
      <c r="A147" s="361" t="s">
        <v>727</v>
      </c>
      <c r="D147" s="363"/>
      <c r="E147" s="363"/>
      <c r="F147" s="363"/>
      <c r="G147" s="363"/>
      <c r="H147" s="363"/>
      <c r="I147" s="363"/>
      <c r="J147" s="363"/>
      <c r="K147" s="363"/>
      <c r="L147" s="363"/>
      <c r="M147" s="363"/>
      <c r="N147" s="363"/>
      <c r="O147" s="363"/>
    </row>
    <row r="148" spans="1:17">
      <c r="A148" s="361"/>
      <c r="B148" s="361"/>
    </row>
    <row r="149" spans="1:17">
      <c r="A149" s="361"/>
      <c r="B149" s="361"/>
    </row>
    <row r="150" spans="1:17">
      <c r="E150" s="92" t="s">
        <v>1526</v>
      </c>
      <c r="F150" s="92"/>
      <c r="G150" s="92"/>
      <c r="H150" s="92"/>
      <c r="I150" s="92"/>
      <c r="J150" s="92"/>
      <c r="K150" s="92"/>
      <c r="L150" s="92"/>
      <c r="M150" s="92"/>
      <c r="N150" s="92"/>
      <c r="O150" s="92"/>
      <c r="P150" s="367"/>
      <c r="Q150" s="367" t="s">
        <v>9479</v>
      </c>
    </row>
    <row r="151" spans="1:17">
      <c r="D151" s="368">
        <v>2010</v>
      </c>
      <c r="E151" s="368">
        <v>2011</v>
      </c>
      <c r="F151" s="368">
        <v>2012</v>
      </c>
      <c r="G151" s="368">
        <v>2013</v>
      </c>
      <c r="H151" s="368">
        <v>2014</v>
      </c>
      <c r="I151" s="368">
        <v>2015</v>
      </c>
      <c r="J151" s="368">
        <v>2016</v>
      </c>
      <c r="K151" s="368">
        <v>2017</v>
      </c>
      <c r="L151" s="368">
        <v>2018</v>
      </c>
      <c r="M151" s="368">
        <v>2019</v>
      </c>
      <c r="N151" s="368">
        <v>2020</v>
      </c>
      <c r="O151" s="940" t="s">
        <v>14823</v>
      </c>
      <c r="P151" s="367"/>
      <c r="Q151" s="369" t="s">
        <v>1527</v>
      </c>
    </row>
    <row r="152" spans="1:17">
      <c r="A152" s="361" t="s">
        <v>1384</v>
      </c>
      <c r="D152" s="363">
        <f t="shared" ref="D152:I152" si="98">SUM(D153:D173)</f>
        <v>83873</v>
      </c>
      <c r="E152" s="363">
        <f t="shared" si="98"/>
        <v>84149</v>
      </c>
      <c r="F152" s="363">
        <f t="shared" si="98"/>
        <v>84554</v>
      </c>
      <c r="G152" s="363">
        <f t="shared" si="98"/>
        <v>85098</v>
      </c>
      <c r="H152" s="363">
        <f t="shared" si="98"/>
        <v>84955</v>
      </c>
      <c r="I152" s="363">
        <f t="shared" si="98"/>
        <v>83823</v>
      </c>
      <c r="J152" s="363">
        <f t="shared" ref="J152:O152" si="99">SUM(J153:J173)</f>
        <v>81297</v>
      </c>
      <c r="K152" s="363">
        <f t="shared" si="99"/>
        <v>81468</v>
      </c>
      <c r="L152" s="363">
        <f t="shared" si="99"/>
        <v>82781</v>
      </c>
      <c r="M152" s="363">
        <f t="shared" si="99"/>
        <v>81858</v>
      </c>
      <c r="N152" s="363">
        <f t="shared" si="99"/>
        <v>84818</v>
      </c>
      <c r="O152" s="363">
        <f t="shared" si="99"/>
        <v>84788</v>
      </c>
    </row>
    <row r="153" spans="1:17">
      <c r="A153" s="361" t="s">
        <v>5387</v>
      </c>
      <c r="B153" s="361" t="s">
        <v>6402</v>
      </c>
      <c r="C153" s="370" t="s">
        <v>8046</v>
      </c>
      <c r="D153" s="363">
        <v>2324</v>
      </c>
      <c r="E153" s="363">
        <v>2334</v>
      </c>
      <c r="F153" s="363">
        <v>2319</v>
      </c>
      <c r="G153" s="100">
        <v>2345</v>
      </c>
      <c r="H153" s="100">
        <v>2354</v>
      </c>
      <c r="I153" s="100">
        <v>2320</v>
      </c>
      <c r="J153" s="100">
        <v>2276</v>
      </c>
      <c r="K153" s="100">
        <v>2315</v>
      </c>
      <c r="L153" s="100">
        <v>2348</v>
      </c>
      <c r="M153" s="100">
        <v>2304</v>
      </c>
      <c r="N153" s="100">
        <v>2380</v>
      </c>
      <c r="O153" s="100">
        <v>2373</v>
      </c>
      <c r="Q153" s="361" t="s">
        <v>692</v>
      </c>
    </row>
    <row r="154" spans="1:17">
      <c r="A154" s="361" t="s">
        <v>5389</v>
      </c>
      <c r="B154" s="361" t="s">
        <v>5686</v>
      </c>
      <c r="C154" s="370" t="s">
        <v>8047</v>
      </c>
      <c r="D154" s="363">
        <v>4128</v>
      </c>
      <c r="E154" s="363">
        <v>4005</v>
      </c>
      <c r="F154" s="363">
        <v>3993</v>
      </c>
      <c r="G154" s="100">
        <v>4049</v>
      </c>
      <c r="H154" s="100">
        <v>3980</v>
      </c>
      <c r="I154" s="100">
        <v>3912</v>
      </c>
      <c r="J154" s="100">
        <v>3647</v>
      </c>
      <c r="K154" s="100">
        <v>3519</v>
      </c>
      <c r="L154" s="100">
        <v>3575</v>
      </c>
      <c r="M154" s="100">
        <v>3477</v>
      </c>
      <c r="N154" s="100">
        <v>3635</v>
      </c>
      <c r="O154" s="100">
        <v>3633</v>
      </c>
      <c r="Q154" s="361" t="s">
        <v>692</v>
      </c>
    </row>
    <row r="155" spans="1:17">
      <c r="A155" s="361" t="s">
        <v>5391</v>
      </c>
      <c r="B155" s="361" t="s">
        <v>1385</v>
      </c>
      <c r="C155" s="370" t="s">
        <v>8048</v>
      </c>
      <c r="D155" s="363">
        <v>2113</v>
      </c>
      <c r="E155" s="363">
        <v>2144</v>
      </c>
      <c r="F155" s="363">
        <v>2134</v>
      </c>
      <c r="G155" s="101">
        <v>2140</v>
      </c>
      <c r="H155" s="101">
        <v>2139</v>
      </c>
      <c r="I155" s="101">
        <v>2121</v>
      </c>
      <c r="J155" s="101">
        <v>2155</v>
      </c>
      <c r="K155" s="101">
        <v>2166</v>
      </c>
      <c r="L155" s="101">
        <v>2205</v>
      </c>
      <c r="M155" s="101">
        <v>2179</v>
      </c>
      <c r="N155" s="101">
        <v>2264</v>
      </c>
      <c r="O155" s="101">
        <v>2258</v>
      </c>
      <c r="Q155" s="361" t="s">
        <v>695</v>
      </c>
    </row>
    <row r="156" spans="1:17">
      <c r="A156" s="361" t="s">
        <v>5393</v>
      </c>
      <c r="B156" s="361" t="s">
        <v>3676</v>
      </c>
      <c r="C156" s="370" t="s">
        <v>8049</v>
      </c>
      <c r="D156" s="363">
        <v>5519</v>
      </c>
      <c r="E156" s="363">
        <v>5526</v>
      </c>
      <c r="F156" s="363">
        <v>5609</v>
      </c>
      <c r="G156" s="100">
        <v>5648</v>
      </c>
      <c r="H156" s="100">
        <v>5620</v>
      </c>
      <c r="I156" s="100">
        <v>5564</v>
      </c>
      <c r="J156" s="100">
        <v>5409</v>
      </c>
      <c r="K156" s="100">
        <v>5392</v>
      </c>
      <c r="L156" s="100">
        <v>5559</v>
      </c>
      <c r="M156" s="100">
        <v>5629</v>
      </c>
      <c r="N156" s="100">
        <v>6058</v>
      </c>
      <c r="O156" s="100">
        <v>6084</v>
      </c>
      <c r="Q156" s="361" t="s">
        <v>692</v>
      </c>
    </row>
    <row r="157" spans="1:17">
      <c r="A157" s="361" t="s">
        <v>5394</v>
      </c>
      <c r="B157" s="361" t="s">
        <v>1386</v>
      </c>
      <c r="C157" s="370" t="s">
        <v>8050</v>
      </c>
      <c r="D157" s="363">
        <v>4245</v>
      </c>
      <c r="E157" s="363">
        <v>4317</v>
      </c>
      <c r="F157" s="363">
        <v>4341</v>
      </c>
      <c r="G157" s="100">
        <v>4354</v>
      </c>
      <c r="H157" s="100">
        <v>4350</v>
      </c>
      <c r="I157" s="100">
        <v>4252</v>
      </c>
      <c r="J157" s="100">
        <v>4165</v>
      </c>
      <c r="K157" s="100">
        <v>4218</v>
      </c>
      <c r="L157" s="100">
        <v>4216</v>
      </c>
      <c r="M157" s="100">
        <v>4081</v>
      </c>
      <c r="N157" s="100">
        <v>4116</v>
      </c>
      <c r="O157" s="100">
        <v>4110</v>
      </c>
      <c r="Q157" s="361" t="s">
        <v>692</v>
      </c>
    </row>
    <row r="158" spans="1:17">
      <c r="A158" s="361" t="s">
        <v>5416</v>
      </c>
      <c r="B158" s="361" t="s">
        <v>1387</v>
      </c>
      <c r="C158" s="370" t="s">
        <v>8051</v>
      </c>
      <c r="D158" s="363">
        <v>2168</v>
      </c>
      <c r="E158" s="363">
        <v>2189</v>
      </c>
      <c r="F158" s="363">
        <v>2188</v>
      </c>
      <c r="G158" s="100">
        <v>2163</v>
      </c>
      <c r="H158" s="100">
        <v>2084</v>
      </c>
      <c r="I158" s="100">
        <v>2072</v>
      </c>
      <c r="J158" s="100">
        <v>1883</v>
      </c>
      <c r="K158" s="100">
        <v>1967</v>
      </c>
      <c r="L158" s="100">
        <v>2078</v>
      </c>
      <c r="M158" s="100">
        <v>2031</v>
      </c>
      <c r="N158" s="100">
        <v>2151</v>
      </c>
      <c r="O158" s="100">
        <v>2159</v>
      </c>
      <c r="Q158" s="361" t="s">
        <v>692</v>
      </c>
    </row>
    <row r="159" spans="1:17">
      <c r="A159" s="361" t="s">
        <v>5418</v>
      </c>
      <c r="B159" s="361" t="s">
        <v>1388</v>
      </c>
      <c r="C159" s="370" t="s">
        <v>8052</v>
      </c>
      <c r="D159" s="363">
        <v>2199</v>
      </c>
      <c r="E159" s="363">
        <v>2207</v>
      </c>
      <c r="F159" s="363">
        <v>2200</v>
      </c>
      <c r="G159" s="100">
        <v>2194</v>
      </c>
      <c r="H159" s="100">
        <v>2209</v>
      </c>
      <c r="I159" s="100">
        <v>2190</v>
      </c>
      <c r="J159" s="100">
        <v>2141</v>
      </c>
      <c r="K159" s="100">
        <v>2128</v>
      </c>
      <c r="L159" s="100">
        <v>2126</v>
      </c>
      <c r="M159" s="100">
        <v>2115</v>
      </c>
      <c r="N159" s="100">
        <v>2153</v>
      </c>
      <c r="O159" s="100">
        <v>2150</v>
      </c>
      <c r="Q159" s="361" t="s">
        <v>692</v>
      </c>
    </row>
    <row r="160" spans="1:17">
      <c r="A160" s="361" t="s">
        <v>5420</v>
      </c>
      <c r="B160" s="361" t="s">
        <v>5919</v>
      </c>
      <c r="C160" s="370" t="s">
        <v>8053</v>
      </c>
      <c r="D160" s="363">
        <v>2124</v>
      </c>
      <c r="E160" s="363">
        <v>2136</v>
      </c>
      <c r="F160" s="363">
        <v>2100</v>
      </c>
      <c r="G160" s="100">
        <v>2113</v>
      </c>
      <c r="H160" s="100">
        <v>2123</v>
      </c>
      <c r="I160" s="100">
        <v>2112</v>
      </c>
      <c r="J160" s="100">
        <v>2049</v>
      </c>
      <c r="K160" s="100">
        <v>2070</v>
      </c>
      <c r="L160" s="100">
        <v>2104</v>
      </c>
      <c r="M160" s="100">
        <v>2078</v>
      </c>
      <c r="N160" s="100">
        <v>2132</v>
      </c>
      <c r="O160" s="100">
        <v>2123</v>
      </c>
      <c r="Q160" s="361" t="s">
        <v>692</v>
      </c>
    </row>
    <row r="161" spans="1:17">
      <c r="A161" s="361" t="s">
        <v>5422</v>
      </c>
      <c r="B161" s="361" t="s">
        <v>1453</v>
      </c>
      <c r="C161" s="370" t="s">
        <v>8054</v>
      </c>
      <c r="D161" s="363">
        <v>4040</v>
      </c>
      <c r="E161" s="363">
        <v>4063</v>
      </c>
      <c r="F161" s="363">
        <v>4171</v>
      </c>
      <c r="G161" s="100">
        <v>4278</v>
      </c>
      <c r="H161" s="100">
        <v>4304</v>
      </c>
      <c r="I161" s="100">
        <v>4241</v>
      </c>
      <c r="J161" s="100">
        <v>4016</v>
      </c>
      <c r="K161" s="100">
        <v>4018</v>
      </c>
      <c r="L161" s="100">
        <v>4204</v>
      </c>
      <c r="M161" s="100">
        <v>4196</v>
      </c>
      <c r="N161" s="100">
        <v>4395</v>
      </c>
      <c r="O161" s="100">
        <v>4402</v>
      </c>
      <c r="Q161" s="361" t="s">
        <v>692</v>
      </c>
    </row>
    <row r="162" spans="1:17">
      <c r="A162" s="361" t="s">
        <v>5424</v>
      </c>
      <c r="B162" s="361" t="s">
        <v>6410</v>
      </c>
      <c r="C162" s="370" t="s">
        <v>8055</v>
      </c>
      <c r="D162" s="363">
        <v>4782</v>
      </c>
      <c r="E162" s="363">
        <v>4779</v>
      </c>
      <c r="F162" s="363">
        <v>4851</v>
      </c>
      <c r="G162" s="100">
        <v>4843</v>
      </c>
      <c r="H162" s="100">
        <v>4772</v>
      </c>
      <c r="I162" s="100">
        <v>4736</v>
      </c>
      <c r="J162" s="100">
        <v>4605</v>
      </c>
      <c r="K162" s="100">
        <v>4593</v>
      </c>
      <c r="L162" s="100">
        <v>4673</v>
      </c>
      <c r="M162" s="100">
        <v>4705</v>
      </c>
      <c r="N162" s="100">
        <v>5073</v>
      </c>
      <c r="O162" s="100">
        <v>5080</v>
      </c>
      <c r="Q162" s="361" t="s">
        <v>692</v>
      </c>
    </row>
    <row r="163" spans="1:17">
      <c r="A163" s="361" t="s">
        <v>5426</v>
      </c>
      <c r="B163" s="361" t="s">
        <v>1454</v>
      </c>
      <c r="C163" s="370" t="s">
        <v>8056</v>
      </c>
      <c r="D163" s="363">
        <v>6093</v>
      </c>
      <c r="E163" s="363">
        <v>6216</v>
      </c>
      <c r="F163" s="363">
        <v>6283</v>
      </c>
      <c r="G163" s="100">
        <v>6352</v>
      </c>
      <c r="H163" s="100">
        <v>6407</v>
      </c>
      <c r="I163" s="100">
        <v>6355</v>
      </c>
      <c r="J163" s="100">
        <v>6070</v>
      </c>
      <c r="K163" s="100">
        <v>6001</v>
      </c>
      <c r="L163" s="100">
        <v>6027</v>
      </c>
      <c r="M163" s="100">
        <v>5900</v>
      </c>
      <c r="N163" s="100">
        <v>6032</v>
      </c>
      <c r="O163" s="100">
        <v>6022</v>
      </c>
      <c r="Q163" s="361" t="s">
        <v>692</v>
      </c>
    </row>
    <row r="164" spans="1:17">
      <c r="A164" s="361" t="s">
        <v>5428</v>
      </c>
      <c r="B164" s="361" t="s">
        <v>1455</v>
      </c>
      <c r="C164" s="370" t="s">
        <v>8057</v>
      </c>
      <c r="D164" s="363">
        <v>4513</v>
      </c>
      <c r="E164" s="363">
        <v>4534</v>
      </c>
      <c r="F164" s="363">
        <v>4533</v>
      </c>
      <c r="G164" s="101">
        <v>4566</v>
      </c>
      <c r="H164" s="101">
        <v>4535</v>
      </c>
      <c r="I164" s="101">
        <v>4465</v>
      </c>
      <c r="J164" s="101">
        <v>4441</v>
      </c>
      <c r="K164" s="101">
        <v>4590</v>
      </c>
      <c r="L164" s="101">
        <v>4688</v>
      </c>
      <c r="M164" s="101">
        <v>4690</v>
      </c>
      <c r="N164" s="101">
        <v>4814</v>
      </c>
      <c r="O164" s="101">
        <v>4814</v>
      </c>
      <c r="Q164" s="361" t="s">
        <v>695</v>
      </c>
    </row>
    <row r="165" spans="1:17">
      <c r="A165" s="361" t="s">
        <v>5429</v>
      </c>
      <c r="B165" s="361" t="s">
        <v>1456</v>
      </c>
      <c r="C165" s="370" t="s">
        <v>8058</v>
      </c>
      <c r="D165" s="363">
        <v>2701</v>
      </c>
      <c r="E165" s="363">
        <v>2722</v>
      </c>
      <c r="F165" s="363">
        <v>2760</v>
      </c>
      <c r="G165" s="100">
        <v>2736</v>
      </c>
      <c r="H165" s="100">
        <v>2756</v>
      </c>
      <c r="I165" s="100">
        <v>2724</v>
      </c>
      <c r="J165" s="100">
        <v>2700</v>
      </c>
      <c r="K165" s="100">
        <v>2721</v>
      </c>
      <c r="L165" s="100">
        <v>2708</v>
      </c>
      <c r="M165" s="100">
        <v>2672</v>
      </c>
      <c r="N165" s="100">
        <v>2713</v>
      </c>
      <c r="O165" s="100">
        <v>2713</v>
      </c>
      <c r="Q165" s="361" t="s">
        <v>692</v>
      </c>
    </row>
    <row r="166" spans="1:17">
      <c r="A166" s="361" t="s">
        <v>5431</v>
      </c>
      <c r="B166" s="361" t="s">
        <v>1457</v>
      </c>
      <c r="C166" s="370" t="s">
        <v>8059</v>
      </c>
      <c r="D166" s="363">
        <v>4687</v>
      </c>
      <c r="E166" s="363">
        <v>4753</v>
      </c>
      <c r="F166" s="363">
        <v>4765</v>
      </c>
      <c r="G166" s="100">
        <v>4818</v>
      </c>
      <c r="H166" s="100">
        <v>4774</v>
      </c>
      <c r="I166" s="100">
        <v>4749</v>
      </c>
      <c r="J166" s="100">
        <v>4565</v>
      </c>
      <c r="K166" s="100">
        <v>4471</v>
      </c>
      <c r="L166" s="100">
        <v>4568</v>
      </c>
      <c r="M166" s="100">
        <v>4444</v>
      </c>
      <c r="N166" s="100">
        <v>4621</v>
      </c>
      <c r="O166" s="100">
        <v>4629</v>
      </c>
      <c r="Q166" s="361" t="s">
        <v>692</v>
      </c>
    </row>
    <row r="167" spans="1:17">
      <c r="A167" s="361" t="s">
        <v>5433</v>
      </c>
      <c r="B167" s="361" t="s">
        <v>1458</v>
      </c>
      <c r="C167" s="370" t="s">
        <v>8060</v>
      </c>
      <c r="D167" s="363">
        <v>5868</v>
      </c>
      <c r="E167" s="363">
        <v>5817</v>
      </c>
      <c r="F167" s="363">
        <v>5900</v>
      </c>
      <c r="G167" s="100">
        <v>5958</v>
      </c>
      <c r="H167" s="100">
        <v>5972</v>
      </c>
      <c r="I167" s="100">
        <v>5811</v>
      </c>
      <c r="J167" s="100">
        <v>5538</v>
      </c>
      <c r="K167" s="100">
        <v>5379</v>
      </c>
      <c r="L167" s="100">
        <v>5494</v>
      </c>
      <c r="M167" s="100">
        <v>5380</v>
      </c>
      <c r="N167" s="100">
        <v>5432</v>
      </c>
      <c r="O167" s="100">
        <v>5428</v>
      </c>
      <c r="Q167" s="361" t="s">
        <v>692</v>
      </c>
    </row>
    <row r="168" spans="1:17">
      <c r="A168" s="361" t="s">
        <v>5435</v>
      </c>
      <c r="B168" s="361" t="s">
        <v>1459</v>
      </c>
      <c r="C168" s="370" t="s">
        <v>8061</v>
      </c>
      <c r="D168" s="363">
        <v>6336</v>
      </c>
      <c r="E168" s="363">
        <v>6363</v>
      </c>
      <c r="F168" s="363">
        <v>6343</v>
      </c>
      <c r="G168" s="100">
        <v>6343</v>
      </c>
      <c r="H168" s="100">
        <v>6311</v>
      </c>
      <c r="I168" s="100">
        <v>6246</v>
      </c>
      <c r="J168" s="100">
        <v>6115</v>
      </c>
      <c r="K168" s="100">
        <v>6078</v>
      </c>
      <c r="L168" s="100">
        <v>6104</v>
      </c>
      <c r="M168" s="100">
        <v>6050</v>
      </c>
      <c r="N168" s="100">
        <v>6225</v>
      </c>
      <c r="O168" s="100">
        <v>6218</v>
      </c>
      <c r="Q168" s="361" t="s">
        <v>692</v>
      </c>
    </row>
    <row r="169" spans="1:17">
      <c r="A169" s="361" t="s">
        <v>5436</v>
      </c>
      <c r="B169" s="361" t="s">
        <v>3229</v>
      </c>
      <c r="C169" s="370" t="s">
        <v>8062</v>
      </c>
      <c r="D169" s="363">
        <v>5308</v>
      </c>
      <c r="E169" s="363">
        <v>5304</v>
      </c>
      <c r="F169" s="363">
        <v>5365</v>
      </c>
      <c r="G169" s="100">
        <v>5419</v>
      </c>
      <c r="H169" s="100">
        <v>5437</v>
      </c>
      <c r="I169" s="100">
        <v>5299</v>
      </c>
      <c r="J169" s="100">
        <v>5119</v>
      </c>
      <c r="K169" s="100">
        <v>5231</v>
      </c>
      <c r="L169" s="100">
        <v>5293</v>
      </c>
      <c r="M169" s="100">
        <v>5161</v>
      </c>
      <c r="N169" s="100">
        <v>5300</v>
      </c>
      <c r="O169" s="100">
        <v>5287</v>
      </c>
      <c r="Q169" s="361" t="s">
        <v>692</v>
      </c>
    </row>
    <row r="170" spans="1:17">
      <c r="A170" s="361" t="s">
        <v>5437</v>
      </c>
      <c r="B170" s="361" t="s">
        <v>1460</v>
      </c>
      <c r="C170" s="370" t="s">
        <v>8063</v>
      </c>
      <c r="D170" s="363">
        <v>4683</v>
      </c>
      <c r="E170" s="363">
        <v>4672</v>
      </c>
      <c r="F170" s="363">
        <v>4704</v>
      </c>
      <c r="G170" s="101">
        <v>4712</v>
      </c>
      <c r="H170" s="101">
        <v>4734</v>
      </c>
      <c r="I170" s="101">
        <v>4693</v>
      </c>
      <c r="J170" s="101">
        <v>4741</v>
      </c>
      <c r="K170" s="101">
        <v>4915</v>
      </c>
      <c r="L170" s="101">
        <v>5021</v>
      </c>
      <c r="M170" s="101">
        <v>5124</v>
      </c>
      <c r="N170" s="101">
        <v>5434</v>
      </c>
      <c r="O170" s="101">
        <v>5422</v>
      </c>
      <c r="Q170" s="361" t="s">
        <v>692</v>
      </c>
    </row>
    <row r="171" spans="1:17">
      <c r="A171" s="361" t="s">
        <v>5439</v>
      </c>
      <c r="B171" s="361" t="s">
        <v>2260</v>
      </c>
      <c r="C171" s="370" t="s">
        <v>8064</v>
      </c>
      <c r="D171" s="363">
        <v>1670</v>
      </c>
      <c r="E171" s="363">
        <v>1705</v>
      </c>
      <c r="F171" s="363">
        <v>1698</v>
      </c>
      <c r="G171" s="101">
        <v>1723</v>
      </c>
      <c r="H171" s="101">
        <v>1738</v>
      </c>
      <c r="I171" s="101">
        <v>1685</v>
      </c>
      <c r="J171" s="101">
        <v>1645</v>
      </c>
      <c r="K171" s="101">
        <v>1672</v>
      </c>
      <c r="L171" s="101">
        <v>1670</v>
      </c>
      <c r="M171" s="101">
        <v>1650</v>
      </c>
      <c r="N171" s="101">
        <v>1676</v>
      </c>
      <c r="O171" s="101">
        <v>1680</v>
      </c>
      <c r="Q171" s="361" t="s">
        <v>692</v>
      </c>
    </row>
    <row r="172" spans="1:17">
      <c r="A172" s="361" t="s">
        <v>5441</v>
      </c>
      <c r="B172" s="361" t="s">
        <v>1461</v>
      </c>
      <c r="C172" s="370" t="s">
        <v>8065</v>
      </c>
      <c r="D172" s="363">
        <v>6206</v>
      </c>
      <c r="E172" s="363">
        <v>6194</v>
      </c>
      <c r="F172" s="363">
        <v>6143</v>
      </c>
      <c r="G172" s="101">
        <v>6182</v>
      </c>
      <c r="H172" s="101">
        <v>6130</v>
      </c>
      <c r="I172" s="101">
        <v>6078</v>
      </c>
      <c r="J172" s="101">
        <v>5858</v>
      </c>
      <c r="K172" s="101">
        <v>5871</v>
      </c>
      <c r="L172" s="101">
        <v>5921</v>
      </c>
      <c r="M172" s="101">
        <v>5806</v>
      </c>
      <c r="N172" s="101">
        <v>5949</v>
      </c>
      <c r="O172" s="101">
        <v>5947</v>
      </c>
      <c r="Q172" s="361" t="s">
        <v>692</v>
      </c>
    </row>
    <row r="173" spans="1:17">
      <c r="A173" s="361" t="s">
        <v>5886</v>
      </c>
      <c r="B173" s="361" t="s">
        <v>1462</v>
      </c>
      <c r="C173" s="370" t="s">
        <v>8066</v>
      </c>
      <c r="D173" s="372">
        <v>2166</v>
      </c>
      <c r="E173" s="372">
        <v>2169</v>
      </c>
      <c r="F173" s="372">
        <v>2154</v>
      </c>
      <c r="G173" s="101">
        <v>2162</v>
      </c>
      <c r="H173" s="101">
        <v>2226</v>
      </c>
      <c r="I173" s="101">
        <v>2198</v>
      </c>
      <c r="J173" s="101">
        <v>2159</v>
      </c>
      <c r="K173" s="101">
        <v>2153</v>
      </c>
      <c r="L173" s="101">
        <v>2199</v>
      </c>
      <c r="M173" s="101">
        <v>2186</v>
      </c>
      <c r="N173" s="101">
        <v>2265</v>
      </c>
      <c r="O173" s="101">
        <v>2256</v>
      </c>
      <c r="Q173" s="361" t="s">
        <v>695</v>
      </c>
    </row>
    <row r="174" spans="1:17">
      <c r="A174" s="361"/>
      <c r="B174" s="361"/>
      <c r="D174" s="363"/>
      <c r="E174" s="363"/>
      <c r="F174" s="363"/>
      <c r="G174" s="363"/>
      <c r="H174" s="363"/>
      <c r="I174" s="363"/>
      <c r="J174" s="363"/>
      <c r="K174" s="363"/>
      <c r="L174" s="363"/>
      <c r="M174" s="363"/>
      <c r="N174" s="363"/>
      <c r="O174" s="363"/>
      <c r="Q174" s="361"/>
    </row>
    <row r="175" spans="1:17">
      <c r="A175" s="361" t="s">
        <v>692</v>
      </c>
      <c r="D175" s="363">
        <f t="shared" ref="D175:I175" si="100">D153+D154+SUM(D156:D163)+SUM(D165:D172)</f>
        <v>75081</v>
      </c>
      <c r="E175" s="363">
        <f t="shared" si="100"/>
        <v>75302</v>
      </c>
      <c r="F175" s="363">
        <f t="shared" si="100"/>
        <v>75733</v>
      </c>
      <c r="G175" s="363">
        <f t="shared" si="100"/>
        <v>76230</v>
      </c>
      <c r="H175" s="363">
        <f t="shared" si="100"/>
        <v>76055</v>
      </c>
      <c r="I175" s="363">
        <f t="shared" si="100"/>
        <v>75039</v>
      </c>
      <c r="J175" s="363">
        <f t="shared" ref="J175:O175" si="101">J153+J154+SUM(J156:J163)+SUM(J165:J172)</f>
        <v>72542</v>
      </c>
      <c r="K175" s="363">
        <f t="shared" si="101"/>
        <v>72559</v>
      </c>
      <c r="L175" s="363">
        <f t="shared" si="101"/>
        <v>73689</v>
      </c>
      <c r="M175" s="363">
        <f t="shared" si="101"/>
        <v>72803</v>
      </c>
      <c r="N175" s="363">
        <f t="shared" si="101"/>
        <v>75475</v>
      </c>
      <c r="O175" s="363">
        <f t="shared" si="101"/>
        <v>75460</v>
      </c>
    </row>
    <row r="176" spans="1:17">
      <c r="A176" s="361" t="s">
        <v>1463</v>
      </c>
      <c r="D176" s="363">
        <f t="shared" ref="D176:I176" si="102">D155+D164+D173</f>
        <v>8792</v>
      </c>
      <c r="E176" s="363">
        <f t="shared" si="102"/>
        <v>8847</v>
      </c>
      <c r="F176" s="363">
        <f t="shared" si="102"/>
        <v>8821</v>
      </c>
      <c r="G176" s="363">
        <f t="shared" si="102"/>
        <v>8868</v>
      </c>
      <c r="H176" s="363">
        <f t="shared" si="102"/>
        <v>8900</v>
      </c>
      <c r="I176" s="363">
        <f t="shared" si="102"/>
        <v>8784</v>
      </c>
      <c r="J176" s="363">
        <f t="shared" ref="J176:O176" si="103">J155+J164+J173</f>
        <v>8755</v>
      </c>
      <c r="K176" s="363">
        <f t="shared" si="103"/>
        <v>8909</v>
      </c>
      <c r="L176" s="363">
        <f t="shared" si="103"/>
        <v>9092</v>
      </c>
      <c r="M176" s="363">
        <f t="shared" si="103"/>
        <v>9055</v>
      </c>
      <c r="N176" s="363">
        <f t="shared" si="103"/>
        <v>9343</v>
      </c>
      <c r="O176" s="363">
        <f t="shared" si="103"/>
        <v>9328</v>
      </c>
    </row>
    <row r="177" spans="1:17">
      <c r="A177" s="361"/>
      <c r="D177" s="363"/>
      <c r="E177" s="363"/>
      <c r="F177" s="363"/>
      <c r="G177" s="363"/>
      <c r="H177" s="363"/>
      <c r="I177" s="363"/>
      <c r="J177" s="363"/>
      <c r="K177" s="363"/>
      <c r="L177" s="363"/>
      <c r="M177" s="363"/>
      <c r="N177" s="363"/>
      <c r="O177" s="363"/>
    </row>
    <row r="178" spans="1:17">
      <c r="A178" s="361" t="s">
        <v>1471</v>
      </c>
      <c r="D178" s="363"/>
      <c r="E178" s="363"/>
      <c r="F178" s="363"/>
      <c r="G178" s="363"/>
      <c r="H178" s="363"/>
      <c r="I178" s="363"/>
      <c r="J178" s="363"/>
      <c r="K178" s="363"/>
      <c r="L178" s="363"/>
      <c r="M178" s="363"/>
      <c r="N178" s="363"/>
      <c r="O178" s="363"/>
    </row>
    <row r="179" spans="1:17">
      <c r="A179" s="361"/>
      <c r="B179" s="361"/>
    </row>
    <row r="180" spans="1:17">
      <c r="A180" s="361"/>
      <c r="B180" s="361"/>
    </row>
    <row r="181" spans="1:17">
      <c r="E181" s="92" t="s">
        <v>1526</v>
      </c>
      <c r="F181" s="92"/>
      <c r="G181" s="92"/>
      <c r="H181" s="92"/>
      <c r="I181" s="92"/>
      <c r="J181" s="92"/>
      <c r="K181" s="92"/>
      <c r="L181" s="92"/>
      <c r="M181" s="92"/>
      <c r="N181" s="92"/>
      <c r="O181" s="92"/>
      <c r="P181" s="367"/>
      <c r="Q181" s="367" t="s">
        <v>9479</v>
      </c>
    </row>
    <row r="182" spans="1:17">
      <c r="D182" s="368">
        <v>2010</v>
      </c>
      <c r="E182" s="368">
        <v>2011</v>
      </c>
      <c r="F182" s="368">
        <v>2012</v>
      </c>
      <c r="G182" s="368">
        <v>2013</v>
      </c>
      <c r="H182" s="368">
        <v>2014</v>
      </c>
      <c r="I182" s="368">
        <v>2015</v>
      </c>
      <c r="J182" s="368">
        <v>2016</v>
      </c>
      <c r="K182" s="368">
        <v>2017</v>
      </c>
      <c r="L182" s="368">
        <v>2018</v>
      </c>
      <c r="M182" s="368">
        <v>2019</v>
      </c>
      <c r="N182" s="368">
        <v>2020</v>
      </c>
      <c r="O182" s="940" t="s">
        <v>14823</v>
      </c>
      <c r="P182" s="367"/>
      <c r="Q182" s="369" t="s">
        <v>1527</v>
      </c>
    </row>
    <row r="183" spans="1:17">
      <c r="A183" s="361" t="s">
        <v>1472</v>
      </c>
      <c r="D183" s="363">
        <f>SUM(D184:D196)+SUM(D198:D208)</f>
        <v>77981</v>
      </c>
      <c r="E183" s="363">
        <f t="shared" ref="E183:J183" si="104">SUM(E184:E196)+SUM(E198:E208)</f>
        <v>78644</v>
      </c>
      <c r="F183" s="363">
        <f t="shared" si="104"/>
        <v>79134</v>
      </c>
      <c r="G183" s="363">
        <f t="shared" si="104"/>
        <v>79959</v>
      </c>
      <c r="H183" s="363">
        <f t="shared" si="104"/>
        <v>80257</v>
      </c>
      <c r="I183" s="363">
        <f t="shared" si="104"/>
        <v>79688</v>
      </c>
      <c r="J183" s="363">
        <f t="shared" si="104"/>
        <v>77591</v>
      </c>
      <c r="K183" s="363">
        <f>SUM(K184:K196)+SUM(K198:K208)</f>
        <v>79473</v>
      </c>
      <c r="L183" s="363">
        <f>SUM(L184:L196)+SUM(L198:L208)</f>
        <v>78897</v>
      </c>
      <c r="M183" s="363">
        <f>SUM(M184:M196)+SUM(M198:M208)</f>
        <v>79328</v>
      </c>
      <c r="N183" s="363">
        <f>SUM(N184:N196)+SUM(N198:N208)</f>
        <v>83037</v>
      </c>
      <c r="O183" s="363">
        <f>SUM(O184:O196)+SUM(O198:O208)</f>
        <v>82515</v>
      </c>
    </row>
    <row r="184" spans="1:17">
      <c r="A184" s="361" t="s">
        <v>5387</v>
      </c>
      <c r="B184" s="361" t="s">
        <v>11183</v>
      </c>
      <c r="C184" s="370" t="s">
        <v>11182</v>
      </c>
      <c r="D184" s="363">
        <v>63712</v>
      </c>
      <c r="E184" s="363">
        <v>64238</v>
      </c>
      <c r="F184" s="363">
        <v>64623</v>
      </c>
      <c r="G184" s="363">
        <v>65244</v>
      </c>
      <c r="H184" s="100">
        <v>65467</v>
      </c>
      <c r="I184" s="100">
        <v>65002</v>
      </c>
      <c r="J184" s="100">
        <v>4510</v>
      </c>
      <c r="K184" s="100">
        <v>4633</v>
      </c>
      <c r="L184" s="100">
        <v>4615</v>
      </c>
      <c r="M184" s="100">
        <v>4713</v>
      </c>
      <c r="N184" s="100">
        <v>5076</v>
      </c>
      <c r="O184" s="100">
        <v>5032</v>
      </c>
      <c r="Q184" s="361" t="s">
        <v>695</v>
      </c>
    </row>
    <row r="185" spans="1:17">
      <c r="A185" s="361" t="s">
        <v>5389</v>
      </c>
      <c r="B185" s="361" t="s">
        <v>1473</v>
      </c>
      <c r="C185" s="370" t="s">
        <v>11188</v>
      </c>
      <c r="D185" s="363">
        <v>0</v>
      </c>
      <c r="E185" s="363">
        <v>0</v>
      </c>
      <c r="F185" s="363">
        <v>0</v>
      </c>
      <c r="G185" s="363">
        <v>0</v>
      </c>
      <c r="H185" s="100">
        <v>0</v>
      </c>
      <c r="I185" s="100">
        <v>0</v>
      </c>
      <c r="J185" s="100">
        <v>5693</v>
      </c>
      <c r="K185" s="100">
        <v>5981</v>
      </c>
      <c r="L185" s="100">
        <v>5930</v>
      </c>
      <c r="M185" s="100">
        <v>5949</v>
      </c>
      <c r="N185" s="100">
        <v>6171</v>
      </c>
      <c r="O185" s="100">
        <v>6130</v>
      </c>
      <c r="Q185" s="361" t="s">
        <v>695</v>
      </c>
    </row>
    <row r="186" spans="1:17">
      <c r="A186" s="361" t="s">
        <v>5391</v>
      </c>
      <c r="B186" s="361" t="s">
        <v>1474</v>
      </c>
      <c r="C186" s="370" t="s">
        <v>11189</v>
      </c>
      <c r="D186" s="363">
        <v>0</v>
      </c>
      <c r="E186" s="363">
        <v>0</v>
      </c>
      <c r="F186" s="363">
        <v>0</v>
      </c>
      <c r="G186" s="363">
        <v>0</v>
      </c>
      <c r="H186" s="100">
        <v>0</v>
      </c>
      <c r="I186" s="100">
        <v>0</v>
      </c>
      <c r="J186" s="100">
        <v>3447</v>
      </c>
      <c r="K186" s="100">
        <v>3506</v>
      </c>
      <c r="L186" s="100">
        <v>3432</v>
      </c>
      <c r="M186" s="100">
        <v>3398</v>
      </c>
      <c r="N186" s="100">
        <v>3470</v>
      </c>
      <c r="O186" s="100">
        <v>3446</v>
      </c>
      <c r="Q186" s="361" t="s">
        <v>695</v>
      </c>
    </row>
    <row r="187" spans="1:17">
      <c r="A187" s="361" t="s">
        <v>5393</v>
      </c>
      <c r="B187" s="361" t="s">
        <v>11184</v>
      </c>
      <c r="C187" s="370" t="s">
        <v>11190</v>
      </c>
      <c r="D187" s="363">
        <v>0</v>
      </c>
      <c r="E187" s="363">
        <v>0</v>
      </c>
      <c r="F187" s="363">
        <v>0</v>
      </c>
      <c r="G187" s="363">
        <v>0</v>
      </c>
      <c r="H187" s="100">
        <v>0</v>
      </c>
      <c r="I187" s="100">
        <v>0</v>
      </c>
      <c r="J187" s="100">
        <v>5065</v>
      </c>
      <c r="K187" s="100">
        <v>5131</v>
      </c>
      <c r="L187" s="100">
        <v>5097</v>
      </c>
      <c r="M187" s="100">
        <v>5097</v>
      </c>
      <c r="N187" s="100">
        <v>5188</v>
      </c>
      <c r="O187" s="100">
        <v>5147</v>
      </c>
      <c r="Q187" s="361" t="s">
        <v>695</v>
      </c>
    </row>
    <row r="188" spans="1:17">
      <c r="A188" s="361" t="s">
        <v>5394</v>
      </c>
      <c r="B188" s="361" t="s">
        <v>2273</v>
      </c>
      <c r="C188" s="370" t="s">
        <v>11191</v>
      </c>
      <c r="D188" s="363">
        <v>14269</v>
      </c>
      <c r="E188" s="363">
        <v>14406</v>
      </c>
      <c r="F188" s="363">
        <v>14511</v>
      </c>
      <c r="G188" s="363">
        <v>14715</v>
      </c>
      <c r="H188" s="101">
        <v>14790</v>
      </c>
      <c r="I188" s="101">
        <v>14686</v>
      </c>
      <c r="J188" s="101">
        <v>1762</v>
      </c>
      <c r="K188" s="101">
        <v>1757</v>
      </c>
      <c r="L188" s="101">
        <v>1721</v>
      </c>
      <c r="M188" s="101">
        <v>1691</v>
      </c>
      <c r="N188" s="101">
        <v>1798</v>
      </c>
      <c r="O188" s="101">
        <v>1790</v>
      </c>
      <c r="Q188" s="361" t="s">
        <v>2768</v>
      </c>
    </row>
    <row r="189" spans="1:17">
      <c r="A189" s="361" t="s">
        <v>5416</v>
      </c>
      <c r="B189" s="361" t="s">
        <v>3048</v>
      </c>
      <c r="C189" s="370" t="s">
        <v>11192</v>
      </c>
      <c r="D189" s="363">
        <v>0</v>
      </c>
      <c r="E189" s="363">
        <v>0</v>
      </c>
      <c r="F189" s="363">
        <v>0</v>
      </c>
      <c r="G189" s="363">
        <v>0</v>
      </c>
      <c r="H189" s="101">
        <v>0</v>
      </c>
      <c r="I189" s="101">
        <v>0</v>
      </c>
      <c r="J189" s="100">
        <v>3304</v>
      </c>
      <c r="K189" s="100">
        <v>3311</v>
      </c>
      <c r="L189" s="100">
        <v>3188</v>
      </c>
      <c r="M189" s="100">
        <v>3183</v>
      </c>
      <c r="N189" s="100">
        <v>3313</v>
      </c>
      <c r="O189" s="100">
        <v>3273</v>
      </c>
      <c r="Q189" s="361" t="s">
        <v>695</v>
      </c>
    </row>
    <row r="190" spans="1:17">
      <c r="A190" s="361" t="s">
        <v>5418</v>
      </c>
      <c r="B190" s="361" t="s">
        <v>3049</v>
      </c>
      <c r="C190" s="370" t="s">
        <v>11193</v>
      </c>
      <c r="D190" s="363">
        <v>0</v>
      </c>
      <c r="E190" s="363">
        <v>0</v>
      </c>
      <c r="F190" s="363">
        <v>0</v>
      </c>
      <c r="G190" s="363">
        <v>0</v>
      </c>
      <c r="H190" s="101">
        <v>0</v>
      </c>
      <c r="I190" s="101">
        <v>0</v>
      </c>
      <c r="J190" s="100">
        <v>3717</v>
      </c>
      <c r="K190" s="100">
        <v>3803</v>
      </c>
      <c r="L190" s="100">
        <v>3727</v>
      </c>
      <c r="M190" s="100">
        <v>3716</v>
      </c>
      <c r="N190" s="100">
        <v>3804</v>
      </c>
      <c r="O190" s="100">
        <v>3778</v>
      </c>
      <c r="Q190" s="361" t="s">
        <v>695</v>
      </c>
    </row>
    <row r="191" spans="1:17">
      <c r="A191" s="361" t="s">
        <v>5420</v>
      </c>
      <c r="B191" s="361" t="s">
        <v>3050</v>
      </c>
      <c r="C191" s="370" t="s">
        <v>11194</v>
      </c>
      <c r="D191" s="363">
        <v>0</v>
      </c>
      <c r="E191" s="363">
        <v>0</v>
      </c>
      <c r="F191" s="363">
        <v>0</v>
      </c>
      <c r="G191" s="363">
        <v>0</v>
      </c>
      <c r="H191" s="100">
        <v>0</v>
      </c>
      <c r="I191" s="100">
        <v>0</v>
      </c>
      <c r="J191" s="100">
        <v>2640</v>
      </c>
      <c r="K191" s="100">
        <v>2740</v>
      </c>
      <c r="L191" s="100">
        <v>2872</v>
      </c>
      <c r="M191" s="100">
        <v>3086</v>
      </c>
      <c r="N191" s="100">
        <v>3343</v>
      </c>
      <c r="O191" s="100">
        <v>3327</v>
      </c>
      <c r="Q191" s="361" t="s">
        <v>695</v>
      </c>
    </row>
    <row r="192" spans="1:17">
      <c r="A192" s="361" t="s">
        <v>5422</v>
      </c>
      <c r="B192" s="361" t="s">
        <v>11185</v>
      </c>
      <c r="C192" s="370" t="s">
        <v>11195</v>
      </c>
      <c r="D192" s="363">
        <v>0</v>
      </c>
      <c r="E192" s="363">
        <v>0</v>
      </c>
      <c r="F192" s="363">
        <v>0</v>
      </c>
      <c r="G192" s="363">
        <v>0</v>
      </c>
      <c r="H192" s="101">
        <v>0</v>
      </c>
      <c r="I192" s="101">
        <v>0</v>
      </c>
      <c r="J192" s="100">
        <v>1768</v>
      </c>
      <c r="K192" s="100">
        <v>1843</v>
      </c>
      <c r="L192" s="100">
        <v>1821</v>
      </c>
      <c r="M192" s="100">
        <v>1854</v>
      </c>
      <c r="N192" s="100">
        <v>1978</v>
      </c>
      <c r="O192" s="100">
        <v>1964</v>
      </c>
      <c r="Q192" s="361" t="s">
        <v>695</v>
      </c>
    </row>
    <row r="193" spans="1:17">
      <c r="A193" s="361" t="s">
        <v>5424</v>
      </c>
      <c r="B193" s="361" t="s">
        <v>3051</v>
      </c>
      <c r="C193" s="370" t="s">
        <v>11196</v>
      </c>
      <c r="D193" s="363">
        <v>0</v>
      </c>
      <c r="E193" s="363">
        <v>0</v>
      </c>
      <c r="F193" s="363">
        <v>0</v>
      </c>
      <c r="G193" s="363">
        <v>0</v>
      </c>
      <c r="H193" s="101">
        <v>0</v>
      </c>
      <c r="I193" s="101">
        <v>0</v>
      </c>
      <c r="J193" s="100">
        <v>3201</v>
      </c>
      <c r="K193" s="100">
        <v>3273</v>
      </c>
      <c r="L193" s="100">
        <v>3185</v>
      </c>
      <c r="M193" s="100">
        <v>3206</v>
      </c>
      <c r="N193" s="100">
        <v>3366</v>
      </c>
      <c r="O193" s="100">
        <v>3342</v>
      </c>
      <c r="Q193" s="361" t="s">
        <v>695</v>
      </c>
    </row>
    <row r="194" spans="1:17">
      <c r="A194" s="361" t="s">
        <v>5426</v>
      </c>
      <c r="B194" s="361" t="s">
        <v>3052</v>
      </c>
      <c r="C194" s="370" t="s">
        <v>11197</v>
      </c>
      <c r="D194" s="363">
        <v>0</v>
      </c>
      <c r="E194" s="363">
        <v>0</v>
      </c>
      <c r="F194" s="363">
        <v>0</v>
      </c>
      <c r="G194" s="363">
        <v>0</v>
      </c>
      <c r="H194" s="100">
        <v>0</v>
      </c>
      <c r="I194" s="100">
        <v>0</v>
      </c>
      <c r="J194" s="101">
        <v>3458</v>
      </c>
      <c r="K194" s="101">
        <v>3515</v>
      </c>
      <c r="L194" s="101">
        <v>3486</v>
      </c>
      <c r="M194" s="101">
        <v>3495</v>
      </c>
      <c r="N194" s="101">
        <v>3547</v>
      </c>
      <c r="O194" s="101">
        <v>3533</v>
      </c>
      <c r="Q194" s="361" t="s">
        <v>2768</v>
      </c>
    </row>
    <row r="195" spans="1:17">
      <c r="A195" s="361" t="s">
        <v>5428</v>
      </c>
      <c r="B195" s="361" t="s">
        <v>11186</v>
      </c>
      <c r="C195" s="370" t="s">
        <v>11198</v>
      </c>
      <c r="D195" s="363">
        <v>0</v>
      </c>
      <c r="E195" s="363">
        <v>0</v>
      </c>
      <c r="F195" s="363">
        <v>0</v>
      </c>
      <c r="G195" s="363">
        <v>0</v>
      </c>
      <c r="H195" s="100">
        <v>0</v>
      </c>
      <c r="I195" s="100">
        <v>0</v>
      </c>
      <c r="J195" s="100">
        <v>3062</v>
      </c>
      <c r="K195" s="100">
        <v>3138</v>
      </c>
      <c r="L195" s="100">
        <v>3154</v>
      </c>
      <c r="M195" s="100">
        <v>3106</v>
      </c>
      <c r="N195" s="100">
        <v>3174</v>
      </c>
      <c r="O195" s="100">
        <v>3158</v>
      </c>
      <c r="Q195" s="361" t="s">
        <v>695</v>
      </c>
    </row>
    <row r="196" spans="1:17" ht="15.75" thickBot="1">
      <c r="A196" s="361"/>
      <c r="B196" s="361"/>
      <c r="C196" s="370" t="s">
        <v>11198</v>
      </c>
      <c r="D196" s="364">
        <v>0</v>
      </c>
      <c r="E196" s="364">
        <v>0</v>
      </c>
      <c r="F196" s="364">
        <v>0</v>
      </c>
      <c r="G196" s="364">
        <v>0</v>
      </c>
      <c r="H196" s="102">
        <v>0</v>
      </c>
      <c r="I196" s="102">
        <v>0</v>
      </c>
      <c r="J196" s="101">
        <v>361</v>
      </c>
      <c r="K196" s="101">
        <v>353</v>
      </c>
      <c r="L196" s="101">
        <v>362</v>
      </c>
      <c r="M196" s="101">
        <v>350</v>
      </c>
      <c r="N196" s="101">
        <v>367</v>
      </c>
      <c r="O196" s="101">
        <v>365</v>
      </c>
      <c r="Q196" s="361" t="s">
        <v>2768</v>
      </c>
    </row>
    <row r="197" spans="1:17" ht="15.75" thickBot="1">
      <c r="A197" s="361"/>
      <c r="B197" s="361"/>
      <c r="C197" s="370" t="s">
        <v>11198</v>
      </c>
      <c r="D197" s="371">
        <f>D195+D196</f>
        <v>0</v>
      </c>
      <c r="E197" s="371">
        <f t="shared" ref="E197:L197" si="105">E195+E196</f>
        <v>0</v>
      </c>
      <c r="F197" s="371">
        <f t="shared" si="105"/>
        <v>0</v>
      </c>
      <c r="G197" s="371">
        <f t="shared" si="105"/>
        <v>0</v>
      </c>
      <c r="H197" s="371">
        <f t="shared" si="105"/>
        <v>0</v>
      </c>
      <c r="I197" s="371">
        <f t="shared" si="105"/>
        <v>0</v>
      </c>
      <c r="J197" s="371">
        <f t="shared" si="105"/>
        <v>3423</v>
      </c>
      <c r="K197" s="371">
        <f t="shared" si="105"/>
        <v>3491</v>
      </c>
      <c r="L197" s="371">
        <f t="shared" si="105"/>
        <v>3516</v>
      </c>
      <c r="M197" s="371">
        <f>M195+M196</f>
        <v>3456</v>
      </c>
      <c r="N197" s="371">
        <f>N195+N196</f>
        <v>3541</v>
      </c>
      <c r="O197" s="371">
        <f>O195+O196</f>
        <v>3523</v>
      </c>
      <c r="Q197" s="361"/>
    </row>
    <row r="198" spans="1:17">
      <c r="A198" s="361" t="s">
        <v>5429</v>
      </c>
      <c r="B198" s="361" t="s">
        <v>735</v>
      </c>
      <c r="C198" s="370" t="s">
        <v>11199</v>
      </c>
      <c r="D198" s="363">
        <v>0</v>
      </c>
      <c r="E198" s="363">
        <v>0</v>
      </c>
      <c r="F198" s="363">
        <v>0</v>
      </c>
      <c r="G198" s="363">
        <v>0</v>
      </c>
      <c r="H198" s="101">
        <v>0</v>
      </c>
      <c r="I198" s="101">
        <v>0</v>
      </c>
      <c r="J198" s="100">
        <v>3652</v>
      </c>
      <c r="K198" s="100">
        <v>3740</v>
      </c>
      <c r="L198" s="100">
        <v>3720</v>
      </c>
      <c r="M198" s="100">
        <v>3744</v>
      </c>
      <c r="N198" s="100">
        <v>3831</v>
      </c>
      <c r="O198" s="100">
        <v>3787</v>
      </c>
      <c r="Q198" s="361" t="s">
        <v>695</v>
      </c>
    </row>
    <row r="199" spans="1:17">
      <c r="A199" s="361" t="s">
        <v>5431</v>
      </c>
      <c r="B199" s="361" t="s">
        <v>3053</v>
      </c>
      <c r="C199" s="370" t="s">
        <v>11200</v>
      </c>
      <c r="D199" s="363">
        <v>0</v>
      </c>
      <c r="E199" s="363">
        <v>0</v>
      </c>
      <c r="F199" s="363">
        <v>0</v>
      </c>
      <c r="G199" s="363">
        <v>0</v>
      </c>
      <c r="H199" s="101">
        <v>0</v>
      </c>
      <c r="I199" s="101">
        <v>0</v>
      </c>
      <c r="J199" s="100">
        <v>4879</v>
      </c>
      <c r="K199" s="100">
        <v>5045</v>
      </c>
      <c r="L199" s="100">
        <v>5025</v>
      </c>
      <c r="M199" s="100">
        <v>5105</v>
      </c>
      <c r="N199" s="100">
        <v>5439</v>
      </c>
      <c r="O199" s="100">
        <v>5419</v>
      </c>
      <c r="Q199" s="361" t="s">
        <v>695</v>
      </c>
    </row>
    <row r="200" spans="1:17">
      <c r="A200" s="361" t="s">
        <v>5433</v>
      </c>
      <c r="B200" s="361" t="s">
        <v>11187</v>
      </c>
      <c r="C200" s="370" t="s">
        <v>11201</v>
      </c>
      <c r="D200" s="363">
        <v>0</v>
      </c>
      <c r="E200" s="363">
        <v>0</v>
      </c>
      <c r="F200" s="363">
        <v>0</v>
      </c>
      <c r="G200" s="363">
        <v>0</v>
      </c>
      <c r="H200" s="101">
        <v>0</v>
      </c>
      <c r="I200" s="101">
        <v>0</v>
      </c>
      <c r="J200" s="101">
        <v>3977</v>
      </c>
      <c r="K200" s="101">
        <v>4061</v>
      </c>
      <c r="L200" s="101">
        <v>4006</v>
      </c>
      <c r="M200" s="101">
        <v>3983</v>
      </c>
      <c r="N200" s="101">
        <v>4130</v>
      </c>
      <c r="O200" s="101">
        <v>4117</v>
      </c>
      <c r="Q200" s="361" t="s">
        <v>2768</v>
      </c>
    </row>
    <row r="201" spans="1:17">
      <c r="A201" s="361" t="s">
        <v>5435</v>
      </c>
      <c r="B201" s="361" t="s">
        <v>3054</v>
      </c>
      <c r="C201" s="370" t="s">
        <v>11205</v>
      </c>
      <c r="D201" s="363">
        <v>0</v>
      </c>
      <c r="E201" s="363">
        <v>0</v>
      </c>
      <c r="F201" s="363">
        <v>0</v>
      </c>
      <c r="G201" s="363">
        <v>0</v>
      </c>
      <c r="H201" s="101">
        <v>0</v>
      </c>
      <c r="I201" s="101">
        <v>0</v>
      </c>
      <c r="J201" s="100">
        <v>1694</v>
      </c>
      <c r="K201" s="100">
        <v>1719</v>
      </c>
      <c r="L201" s="100">
        <v>1742</v>
      </c>
      <c r="M201" s="100">
        <v>1709</v>
      </c>
      <c r="N201" s="100">
        <v>1785</v>
      </c>
      <c r="O201" s="100">
        <v>1767</v>
      </c>
      <c r="Q201" s="361" t="s">
        <v>695</v>
      </c>
    </row>
    <row r="202" spans="1:17">
      <c r="A202" s="361" t="s">
        <v>5436</v>
      </c>
      <c r="B202" s="361" t="s">
        <v>11202</v>
      </c>
      <c r="C202" s="370" t="s">
        <v>11206</v>
      </c>
      <c r="D202" s="363">
        <v>0</v>
      </c>
      <c r="E202" s="363">
        <v>0</v>
      </c>
      <c r="F202" s="363">
        <v>0</v>
      </c>
      <c r="G202" s="363">
        <v>0</v>
      </c>
      <c r="H202" s="101">
        <v>0</v>
      </c>
      <c r="I202" s="101">
        <v>0</v>
      </c>
      <c r="J202" s="101">
        <v>1535</v>
      </c>
      <c r="K202" s="101">
        <v>1566</v>
      </c>
      <c r="L202" s="101">
        <v>1548</v>
      </c>
      <c r="M202" s="101">
        <v>1564</v>
      </c>
      <c r="N202" s="101">
        <v>1566</v>
      </c>
      <c r="O202" s="101">
        <v>1553</v>
      </c>
      <c r="Q202" s="361" t="s">
        <v>2768</v>
      </c>
    </row>
    <row r="203" spans="1:17">
      <c r="A203" s="361" t="s">
        <v>5437</v>
      </c>
      <c r="B203" s="361" t="s">
        <v>4949</v>
      </c>
      <c r="C203" s="370" t="s">
        <v>11207</v>
      </c>
      <c r="D203" s="363">
        <v>0</v>
      </c>
      <c r="E203" s="363">
        <v>0</v>
      </c>
      <c r="F203" s="363">
        <v>0</v>
      </c>
      <c r="G203" s="363">
        <v>0</v>
      </c>
      <c r="H203" s="101">
        <v>0</v>
      </c>
      <c r="I203" s="101">
        <v>0</v>
      </c>
      <c r="J203" s="100">
        <v>4407</v>
      </c>
      <c r="K203" s="100">
        <v>4574</v>
      </c>
      <c r="L203" s="100">
        <v>4593</v>
      </c>
      <c r="M203" s="100">
        <v>4519</v>
      </c>
      <c r="N203" s="100">
        <v>4750</v>
      </c>
      <c r="O203" s="100">
        <v>4710</v>
      </c>
      <c r="Q203" s="361" t="s">
        <v>695</v>
      </c>
    </row>
    <row r="204" spans="1:17">
      <c r="A204" s="361" t="s">
        <v>5439</v>
      </c>
      <c r="B204" s="361" t="s">
        <v>3055</v>
      </c>
      <c r="C204" s="370" t="s">
        <v>11208</v>
      </c>
      <c r="D204" s="363">
        <v>0</v>
      </c>
      <c r="E204" s="363">
        <v>0</v>
      </c>
      <c r="F204" s="363">
        <v>0</v>
      </c>
      <c r="G204" s="363">
        <v>0</v>
      </c>
      <c r="H204" s="101">
        <v>0</v>
      </c>
      <c r="I204" s="101">
        <v>0</v>
      </c>
      <c r="J204" s="101">
        <v>1890</v>
      </c>
      <c r="K204" s="101">
        <v>1954</v>
      </c>
      <c r="L204" s="101">
        <v>1942</v>
      </c>
      <c r="M204" s="101">
        <v>1947</v>
      </c>
      <c r="N204" s="101">
        <v>1992</v>
      </c>
      <c r="O204" s="101">
        <v>1980</v>
      </c>
      <c r="Q204" s="361" t="s">
        <v>2768</v>
      </c>
    </row>
    <row r="205" spans="1:17">
      <c r="A205" s="361" t="s">
        <v>5441</v>
      </c>
      <c r="B205" s="361" t="s">
        <v>3056</v>
      </c>
      <c r="C205" s="370" t="s">
        <v>11209</v>
      </c>
      <c r="D205" s="363">
        <v>0</v>
      </c>
      <c r="E205" s="363">
        <v>0</v>
      </c>
      <c r="F205" s="363">
        <v>0</v>
      </c>
      <c r="G205" s="363">
        <v>0</v>
      </c>
      <c r="H205" s="101">
        <v>0</v>
      </c>
      <c r="I205" s="101">
        <v>0</v>
      </c>
      <c r="J205" s="100">
        <v>4725</v>
      </c>
      <c r="K205" s="100">
        <v>4793</v>
      </c>
      <c r="L205" s="100">
        <v>4730</v>
      </c>
      <c r="M205" s="100">
        <v>4738</v>
      </c>
      <c r="N205" s="100">
        <v>4964</v>
      </c>
      <c r="O205" s="100">
        <v>4918</v>
      </c>
      <c r="Q205" s="361" t="s">
        <v>695</v>
      </c>
    </row>
    <row r="206" spans="1:17">
      <c r="A206" s="361" t="s">
        <v>5886</v>
      </c>
      <c r="B206" s="361" t="s">
        <v>11203</v>
      </c>
      <c r="C206" s="370" t="s">
        <v>11210</v>
      </c>
      <c r="D206" s="363">
        <v>0</v>
      </c>
      <c r="E206" s="363">
        <v>0</v>
      </c>
      <c r="F206" s="363">
        <v>0</v>
      </c>
      <c r="G206" s="363">
        <v>0</v>
      </c>
      <c r="H206" s="101">
        <v>0</v>
      </c>
      <c r="I206" s="101">
        <v>0</v>
      </c>
      <c r="J206" s="101">
        <v>4850</v>
      </c>
      <c r="K206" s="101">
        <v>4929</v>
      </c>
      <c r="L206" s="101">
        <v>4841</v>
      </c>
      <c r="M206" s="101">
        <v>4829</v>
      </c>
      <c r="N206" s="101">
        <v>4973</v>
      </c>
      <c r="O206" s="101">
        <v>4953</v>
      </c>
      <c r="Q206" s="361" t="s">
        <v>695</v>
      </c>
    </row>
    <row r="207" spans="1:17">
      <c r="A207" s="361" t="s">
        <v>5888</v>
      </c>
      <c r="B207" s="361" t="s">
        <v>11204</v>
      </c>
      <c r="C207" s="370" t="s">
        <v>11211</v>
      </c>
      <c r="D207" s="363">
        <v>0</v>
      </c>
      <c r="E207" s="363">
        <v>0</v>
      </c>
      <c r="F207" s="363">
        <v>0</v>
      </c>
      <c r="G207" s="363">
        <v>0</v>
      </c>
      <c r="H207" s="101">
        <v>0</v>
      </c>
      <c r="I207" s="101">
        <v>0</v>
      </c>
      <c r="J207" s="101">
        <v>2669</v>
      </c>
      <c r="K207" s="101">
        <v>2728</v>
      </c>
      <c r="L207" s="101">
        <v>2722</v>
      </c>
      <c r="M207" s="101">
        <v>2869</v>
      </c>
      <c r="N207" s="101">
        <v>3402</v>
      </c>
      <c r="O207" s="101">
        <v>3423</v>
      </c>
      <c r="Q207" s="361" t="s">
        <v>695</v>
      </c>
    </row>
    <row r="208" spans="1:17" ht="15.75" thickBot="1">
      <c r="A208" s="361"/>
      <c r="B208" s="361"/>
      <c r="C208" s="370" t="s">
        <v>11211</v>
      </c>
      <c r="D208" s="363">
        <v>0</v>
      </c>
      <c r="E208" s="363">
        <v>0</v>
      </c>
      <c r="F208" s="363">
        <v>0</v>
      </c>
      <c r="G208" s="363">
        <v>0</v>
      </c>
      <c r="H208" s="101">
        <v>0</v>
      </c>
      <c r="I208" s="101">
        <v>0</v>
      </c>
      <c r="J208" s="101">
        <v>1325</v>
      </c>
      <c r="K208" s="101">
        <v>1380</v>
      </c>
      <c r="L208" s="101">
        <v>1438</v>
      </c>
      <c r="M208" s="101">
        <v>1477</v>
      </c>
      <c r="N208" s="101">
        <v>1610</v>
      </c>
      <c r="O208" s="101">
        <v>1603</v>
      </c>
      <c r="Q208" s="361" t="s">
        <v>2768</v>
      </c>
    </row>
    <row r="209" spans="1:17" ht="15.75" thickBot="1">
      <c r="A209" s="361"/>
      <c r="B209" s="361"/>
      <c r="C209" s="370" t="s">
        <v>11211</v>
      </c>
      <c r="D209" s="371">
        <f t="shared" ref="D209:O209" si="106">D207+D208</f>
        <v>0</v>
      </c>
      <c r="E209" s="371">
        <f t="shared" si="106"/>
        <v>0</v>
      </c>
      <c r="F209" s="371">
        <f t="shared" si="106"/>
        <v>0</v>
      </c>
      <c r="G209" s="371">
        <f t="shared" si="106"/>
        <v>0</v>
      </c>
      <c r="H209" s="371">
        <f t="shared" si="106"/>
        <v>0</v>
      </c>
      <c r="I209" s="371">
        <f t="shared" si="106"/>
        <v>0</v>
      </c>
      <c r="J209" s="371">
        <f t="shared" si="106"/>
        <v>3994</v>
      </c>
      <c r="K209" s="371">
        <f t="shared" si="106"/>
        <v>4108</v>
      </c>
      <c r="L209" s="371">
        <f t="shared" si="106"/>
        <v>4160</v>
      </c>
      <c r="M209" s="371">
        <f t="shared" si="106"/>
        <v>4346</v>
      </c>
      <c r="N209" s="371">
        <f t="shared" si="106"/>
        <v>5012</v>
      </c>
      <c r="O209" s="371">
        <f t="shared" si="106"/>
        <v>5026</v>
      </c>
      <c r="Q209" s="361"/>
    </row>
    <row r="210" spans="1:17">
      <c r="D210" s="363"/>
      <c r="E210" s="363"/>
      <c r="F210" s="363"/>
      <c r="G210" s="363"/>
      <c r="H210" s="363"/>
      <c r="I210" s="363"/>
      <c r="J210" s="363"/>
      <c r="K210" s="363"/>
      <c r="L210" s="363"/>
      <c r="M210" s="363"/>
      <c r="N210" s="363"/>
      <c r="O210" s="363"/>
    </row>
    <row r="211" spans="1:17">
      <c r="A211" s="361" t="s">
        <v>1463</v>
      </c>
      <c r="D211" s="363">
        <f>SUM(D184:D187)+SUM(D189:D193)+D195+D198+D199+D201+D203+SUM(D205:D207)</f>
        <v>63712</v>
      </c>
      <c r="E211" s="363">
        <f>SUM(E184:E187)+SUM(E189:E193)+E195+E198+E199+E201+E203+SUM(E205:E207)</f>
        <v>64238</v>
      </c>
      <c r="F211" s="363">
        <f>SUM(F184:F187)+SUM(F189:F193)+F195+F198+F199+F201+F203+SUM(F205:F207)</f>
        <v>64623</v>
      </c>
      <c r="G211" s="363">
        <f>SUM(G184:G187)+SUM(G189:G193)+G195+G198+G199+G201+G203+SUM(G205:G207)</f>
        <v>65244</v>
      </c>
      <c r="H211" s="363">
        <f>SUM(H184:H187)+SUM(H189:H193)+H195+H198+H199+H201+H203+SUM(H205:H207)</f>
        <v>65467</v>
      </c>
      <c r="I211" s="363">
        <f t="shared" ref="I211:N211" si="107">SUM(I184:I187)+SUM(I189:I193)+I195+I198+I199+I201+I203+SUM(I205:I207)</f>
        <v>65002</v>
      </c>
      <c r="J211" s="363">
        <f t="shared" si="107"/>
        <v>63283</v>
      </c>
      <c r="K211" s="363">
        <f t="shared" si="107"/>
        <v>64887</v>
      </c>
      <c r="L211" s="363">
        <f t="shared" si="107"/>
        <v>64394</v>
      </c>
      <c r="M211" s="363">
        <f t="shared" si="107"/>
        <v>64821</v>
      </c>
      <c r="N211" s="363">
        <f t="shared" si="107"/>
        <v>68027</v>
      </c>
      <c r="O211" s="363">
        <f>SUM(O184:O187)+SUM(O189:O193)+O195+O198+O199+O201+O203+SUM(O205:O207)</f>
        <v>67574</v>
      </c>
    </row>
    <row r="212" spans="1:17">
      <c r="A212" s="361" t="s">
        <v>1696</v>
      </c>
      <c r="D212" s="363">
        <f t="shared" ref="D212:I212" si="108">D188+D194+D196+D200+D202+D204+D208</f>
        <v>14269</v>
      </c>
      <c r="E212" s="363">
        <f t="shared" si="108"/>
        <v>14406</v>
      </c>
      <c r="F212" s="363">
        <f t="shared" si="108"/>
        <v>14511</v>
      </c>
      <c r="G212" s="363">
        <f t="shared" si="108"/>
        <v>14715</v>
      </c>
      <c r="H212" s="363">
        <f t="shared" si="108"/>
        <v>14790</v>
      </c>
      <c r="I212" s="363">
        <f t="shared" si="108"/>
        <v>14686</v>
      </c>
      <c r="J212" s="363">
        <f t="shared" ref="J212:O212" si="109">J188+J194+J196+J200+J202+J204+J208</f>
        <v>14308</v>
      </c>
      <c r="K212" s="363">
        <f t="shared" si="109"/>
        <v>14586</v>
      </c>
      <c r="L212" s="363">
        <f t="shared" si="109"/>
        <v>14503</v>
      </c>
      <c r="M212" s="363">
        <f t="shared" si="109"/>
        <v>14507</v>
      </c>
      <c r="N212" s="363">
        <f t="shared" si="109"/>
        <v>15010</v>
      </c>
      <c r="O212" s="363">
        <f t="shared" si="109"/>
        <v>14941</v>
      </c>
    </row>
    <row r="213" spans="1:17">
      <c r="A213" s="361"/>
      <c r="D213" s="363"/>
      <c r="E213" s="363"/>
      <c r="F213" s="363"/>
      <c r="G213" s="363"/>
      <c r="H213" s="363"/>
      <c r="I213" s="363"/>
      <c r="J213" s="363"/>
      <c r="K213" s="363"/>
      <c r="L213" s="363"/>
      <c r="M213" s="363"/>
      <c r="N213" s="363"/>
      <c r="O213" s="363"/>
    </row>
    <row r="214" spans="1:17">
      <c r="A214" s="361" t="s">
        <v>11181</v>
      </c>
      <c r="D214" s="363"/>
      <c r="E214" s="363"/>
      <c r="F214" s="363"/>
      <c r="G214" s="363"/>
      <c r="H214" s="363"/>
      <c r="I214" s="363"/>
      <c r="J214" s="363"/>
      <c r="K214" s="363"/>
      <c r="L214" s="363"/>
      <c r="M214" s="363"/>
      <c r="N214" s="363"/>
      <c r="O214" s="363"/>
    </row>
    <row r="215" spans="1:17">
      <c r="A215" s="361"/>
      <c r="B215" s="361"/>
    </row>
    <row r="216" spans="1:17">
      <c r="A216" s="361"/>
      <c r="B216" s="361"/>
    </row>
    <row r="217" spans="1:17">
      <c r="E217" s="92" t="s">
        <v>1526</v>
      </c>
      <c r="F217" s="92"/>
      <c r="G217" s="92"/>
      <c r="H217" s="92"/>
      <c r="I217" s="92"/>
      <c r="J217" s="92"/>
      <c r="K217" s="92"/>
      <c r="L217" s="92"/>
      <c r="M217" s="92"/>
      <c r="N217" s="92"/>
      <c r="O217" s="92"/>
      <c r="P217" s="367"/>
      <c r="Q217" s="367" t="s">
        <v>9479</v>
      </c>
    </row>
    <row r="218" spans="1:17">
      <c r="D218" s="368">
        <v>2010</v>
      </c>
      <c r="E218" s="368">
        <v>2011</v>
      </c>
      <c r="F218" s="368">
        <v>2012</v>
      </c>
      <c r="G218" s="368">
        <v>2013</v>
      </c>
      <c r="H218" s="368">
        <v>2014</v>
      </c>
      <c r="I218" s="368">
        <v>2015</v>
      </c>
      <c r="J218" s="368">
        <v>2016</v>
      </c>
      <c r="K218" s="368">
        <v>2017</v>
      </c>
      <c r="L218" s="368">
        <v>2018</v>
      </c>
      <c r="M218" s="368">
        <v>2019</v>
      </c>
      <c r="N218" s="368">
        <v>2020</v>
      </c>
      <c r="O218" s="940" t="s">
        <v>14823</v>
      </c>
      <c r="P218" s="367"/>
      <c r="Q218" s="369" t="s">
        <v>1527</v>
      </c>
    </row>
    <row r="219" spans="1:17">
      <c r="A219" s="361" t="s">
        <v>1697</v>
      </c>
      <c r="D219" s="363">
        <f t="shared" ref="D219:K219" si="110">SUM(D220:D231)+SUM(D233:D236)+SUM(D238:D244)</f>
        <v>97040</v>
      </c>
      <c r="E219" s="363">
        <f t="shared" si="110"/>
        <v>96728</v>
      </c>
      <c r="F219" s="363">
        <f t="shared" si="110"/>
        <v>97206</v>
      </c>
      <c r="G219" s="363">
        <f t="shared" si="110"/>
        <v>96829</v>
      </c>
      <c r="H219" s="363">
        <f t="shared" si="110"/>
        <v>96580</v>
      </c>
      <c r="I219" s="363">
        <f t="shared" si="110"/>
        <v>93590</v>
      </c>
      <c r="J219" s="363">
        <f t="shared" si="110"/>
        <v>89247</v>
      </c>
      <c r="K219" s="363">
        <f t="shared" si="110"/>
        <v>89525</v>
      </c>
      <c r="L219" s="363">
        <f>SUM(L220:L231)+SUM(L233:L236)+SUM(L238:L244)</f>
        <v>92521</v>
      </c>
      <c r="M219" s="363">
        <f>SUM(M220:M231)+SUM(M233:M236)+SUM(M238:M244)</f>
        <v>93893</v>
      </c>
      <c r="N219" s="363">
        <f>SUM(N220:N231)+SUM(N233:N236)+SUM(N238:N244)</f>
        <v>95271</v>
      </c>
      <c r="O219" s="363">
        <f>SUM(O220:O231)+SUM(O233:O236)+SUM(O238:O244)</f>
        <v>94317</v>
      </c>
    </row>
    <row r="220" spans="1:17">
      <c r="A220" s="361" t="s">
        <v>5387</v>
      </c>
      <c r="B220" s="361" t="s">
        <v>1876</v>
      </c>
      <c r="C220" s="124" t="s">
        <v>14801</v>
      </c>
      <c r="D220" s="363">
        <v>68819</v>
      </c>
      <c r="E220" s="363">
        <v>68692</v>
      </c>
      <c r="F220" s="363">
        <v>69154</v>
      </c>
      <c r="G220" s="95">
        <v>68901</v>
      </c>
      <c r="H220" s="95">
        <v>68782</v>
      </c>
      <c r="I220" s="95">
        <v>65957</v>
      </c>
      <c r="J220" s="95">
        <v>62936</v>
      </c>
      <c r="K220" s="95">
        <v>62879</v>
      </c>
      <c r="L220" s="95">
        <v>6552</v>
      </c>
      <c r="M220" s="95">
        <v>6637</v>
      </c>
      <c r="N220" s="95">
        <v>6688</v>
      </c>
      <c r="O220" s="95">
        <v>6616</v>
      </c>
      <c r="Q220" s="361" t="s">
        <v>2755</v>
      </c>
    </row>
    <row r="221" spans="1:17">
      <c r="A221" s="361" t="s">
        <v>5389</v>
      </c>
      <c r="B221" s="361" t="s">
        <v>4037</v>
      </c>
      <c r="C221" s="124" t="s">
        <v>14802</v>
      </c>
      <c r="D221" s="363">
        <v>0</v>
      </c>
      <c r="E221" s="363">
        <v>0</v>
      </c>
      <c r="F221" s="363">
        <v>0</v>
      </c>
      <c r="G221" s="363">
        <v>0</v>
      </c>
      <c r="H221" s="363">
        <v>0</v>
      </c>
      <c r="I221" s="363">
        <v>0</v>
      </c>
      <c r="J221" s="363">
        <v>0</v>
      </c>
      <c r="K221" s="363">
        <v>0</v>
      </c>
      <c r="L221" s="95">
        <v>6616</v>
      </c>
      <c r="M221" s="95">
        <v>6751</v>
      </c>
      <c r="N221" s="95">
        <v>6715</v>
      </c>
      <c r="O221" s="95">
        <v>6622</v>
      </c>
      <c r="Q221" s="361" t="s">
        <v>2755</v>
      </c>
    </row>
    <row r="222" spans="1:17">
      <c r="A222" s="361" t="s">
        <v>5391</v>
      </c>
      <c r="B222" s="361" t="s">
        <v>1699</v>
      </c>
      <c r="C222" s="124" t="s">
        <v>14803</v>
      </c>
      <c r="D222" s="363">
        <v>0</v>
      </c>
      <c r="E222" s="363">
        <v>0</v>
      </c>
      <c r="F222" s="363">
        <v>0</v>
      </c>
      <c r="G222" s="363">
        <v>0</v>
      </c>
      <c r="H222" s="363">
        <v>0</v>
      </c>
      <c r="I222" s="363">
        <v>0</v>
      </c>
      <c r="J222" s="363">
        <v>0</v>
      </c>
      <c r="K222" s="363">
        <v>0</v>
      </c>
      <c r="L222" s="95">
        <v>2243</v>
      </c>
      <c r="M222" s="95">
        <v>2265</v>
      </c>
      <c r="N222" s="95">
        <v>2282</v>
      </c>
      <c r="O222" s="95">
        <v>2243</v>
      </c>
      <c r="Q222" s="361" t="s">
        <v>2755</v>
      </c>
    </row>
    <row r="223" spans="1:17">
      <c r="A223" s="361" t="s">
        <v>5393</v>
      </c>
      <c r="B223" s="361" t="s">
        <v>12199</v>
      </c>
      <c r="C223" s="124" t="s">
        <v>14804</v>
      </c>
      <c r="D223" s="363">
        <v>0</v>
      </c>
      <c r="E223" s="363">
        <v>0</v>
      </c>
      <c r="F223" s="363">
        <v>0</v>
      </c>
      <c r="G223" s="363">
        <v>0</v>
      </c>
      <c r="H223" s="363">
        <v>0</v>
      </c>
      <c r="I223" s="363">
        <v>0</v>
      </c>
      <c r="J223" s="363">
        <v>0</v>
      </c>
      <c r="K223" s="363">
        <v>0</v>
      </c>
      <c r="L223" s="95">
        <v>4389</v>
      </c>
      <c r="M223" s="95">
        <v>4454</v>
      </c>
      <c r="N223" s="95">
        <v>4388</v>
      </c>
      <c r="O223" s="95">
        <v>4298</v>
      </c>
      <c r="Q223" s="361" t="s">
        <v>2755</v>
      </c>
    </row>
    <row r="224" spans="1:17">
      <c r="A224" s="361" t="s">
        <v>5394</v>
      </c>
      <c r="B224" s="361" t="s">
        <v>1700</v>
      </c>
      <c r="C224" s="124" t="s">
        <v>14805</v>
      </c>
      <c r="D224" s="363">
        <v>0</v>
      </c>
      <c r="E224" s="363">
        <v>0</v>
      </c>
      <c r="F224" s="363">
        <v>0</v>
      </c>
      <c r="G224" s="363">
        <v>0</v>
      </c>
      <c r="H224" s="363">
        <v>0</v>
      </c>
      <c r="I224" s="363">
        <v>0</v>
      </c>
      <c r="J224" s="363">
        <v>0</v>
      </c>
      <c r="K224" s="363">
        <v>0</v>
      </c>
      <c r="L224" s="95">
        <v>3878</v>
      </c>
      <c r="M224" s="95">
        <v>3950</v>
      </c>
      <c r="N224" s="95">
        <v>4015</v>
      </c>
      <c r="O224" s="95">
        <v>3997</v>
      </c>
      <c r="Q224" s="361" t="s">
        <v>2755</v>
      </c>
    </row>
    <row r="225" spans="1:17">
      <c r="A225" s="361" t="s">
        <v>5416</v>
      </c>
      <c r="B225" s="124" t="s">
        <v>12200</v>
      </c>
      <c r="C225" s="124" t="s">
        <v>14806</v>
      </c>
      <c r="D225" s="363">
        <v>0</v>
      </c>
      <c r="E225" s="363">
        <v>0</v>
      </c>
      <c r="F225" s="363">
        <v>0</v>
      </c>
      <c r="G225" s="363">
        <v>0</v>
      </c>
      <c r="H225" s="363">
        <v>0</v>
      </c>
      <c r="I225" s="363">
        <v>0</v>
      </c>
      <c r="J225" s="363">
        <v>0</v>
      </c>
      <c r="K225" s="363">
        <v>0</v>
      </c>
      <c r="L225" s="95">
        <v>4011</v>
      </c>
      <c r="M225" s="95">
        <v>4114</v>
      </c>
      <c r="N225" s="95">
        <v>4050</v>
      </c>
      <c r="O225" s="95">
        <v>3947</v>
      </c>
      <c r="Q225" s="361" t="s">
        <v>2755</v>
      </c>
    </row>
    <row r="226" spans="1:17">
      <c r="A226" s="361" t="s">
        <v>5418</v>
      </c>
      <c r="B226" s="361" t="s">
        <v>837</v>
      </c>
      <c r="C226" s="124" t="s">
        <v>14807</v>
      </c>
      <c r="D226" s="363">
        <v>0</v>
      </c>
      <c r="E226" s="363">
        <v>0</v>
      </c>
      <c r="F226" s="363">
        <v>0</v>
      </c>
      <c r="G226" s="363">
        <v>0</v>
      </c>
      <c r="H226" s="363">
        <v>0</v>
      </c>
      <c r="I226" s="363">
        <v>0</v>
      </c>
      <c r="J226" s="363">
        <v>0</v>
      </c>
      <c r="K226" s="363">
        <v>0</v>
      </c>
      <c r="L226" s="95">
        <v>1299</v>
      </c>
      <c r="M226" s="95">
        <v>755</v>
      </c>
      <c r="N226" s="95">
        <v>1519</v>
      </c>
      <c r="O226" s="95">
        <v>1920</v>
      </c>
      <c r="Q226" s="361" t="s">
        <v>2755</v>
      </c>
    </row>
    <row r="227" spans="1:17">
      <c r="A227" s="361" t="s">
        <v>5420</v>
      </c>
      <c r="B227" s="361" t="s">
        <v>12201</v>
      </c>
      <c r="C227" s="124" t="s">
        <v>14808</v>
      </c>
      <c r="D227" s="363">
        <v>16373</v>
      </c>
      <c r="E227" s="363">
        <v>16182</v>
      </c>
      <c r="F227" s="363">
        <v>16178</v>
      </c>
      <c r="G227" s="95">
        <v>16050</v>
      </c>
      <c r="H227" s="95">
        <v>15912</v>
      </c>
      <c r="I227" s="95">
        <v>15783</v>
      </c>
      <c r="J227" s="95">
        <v>14946</v>
      </c>
      <c r="K227" s="95">
        <v>15147</v>
      </c>
      <c r="L227" s="95">
        <v>7036</v>
      </c>
      <c r="M227" s="95">
        <v>7171</v>
      </c>
      <c r="N227" s="95">
        <v>7160</v>
      </c>
      <c r="O227" s="95">
        <v>7020</v>
      </c>
      <c r="Q227" s="361" t="s">
        <v>2765</v>
      </c>
    </row>
    <row r="228" spans="1:17">
      <c r="A228" s="361" t="s">
        <v>5422</v>
      </c>
      <c r="B228" s="361" t="s">
        <v>12202</v>
      </c>
      <c r="C228" s="124" t="s">
        <v>14809</v>
      </c>
      <c r="D228" s="363">
        <v>0</v>
      </c>
      <c r="E228" s="363">
        <v>0</v>
      </c>
      <c r="F228" s="363">
        <v>0</v>
      </c>
      <c r="G228" s="363">
        <v>0</v>
      </c>
      <c r="H228" s="363">
        <v>0</v>
      </c>
      <c r="I228" s="363">
        <v>0</v>
      </c>
      <c r="J228" s="363">
        <v>0</v>
      </c>
      <c r="K228" s="363">
        <v>0</v>
      </c>
      <c r="L228" s="95">
        <v>1944</v>
      </c>
      <c r="M228" s="95">
        <v>1998</v>
      </c>
      <c r="N228" s="95">
        <v>2026</v>
      </c>
      <c r="O228" s="95">
        <v>1981</v>
      </c>
      <c r="Q228" s="361" t="s">
        <v>2755</v>
      </c>
    </row>
    <row r="229" spans="1:17">
      <c r="A229" s="361" t="s">
        <v>5424</v>
      </c>
      <c r="B229" s="361" t="s">
        <v>12203</v>
      </c>
      <c r="C229" s="124" t="s">
        <v>14810</v>
      </c>
      <c r="D229" s="363">
        <v>9064</v>
      </c>
      <c r="E229" s="363">
        <v>9053</v>
      </c>
      <c r="F229" s="363">
        <v>9111</v>
      </c>
      <c r="G229" s="95">
        <v>9131</v>
      </c>
      <c r="H229" s="95">
        <v>9117</v>
      </c>
      <c r="I229" s="95">
        <v>9084</v>
      </c>
      <c r="J229" s="95">
        <v>8686</v>
      </c>
      <c r="K229" s="95">
        <v>8789</v>
      </c>
      <c r="L229" s="95">
        <v>3585</v>
      </c>
      <c r="M229" s="95">
        <v>3591</v>
      </c>
      <c r="N229" s="95">
        <v>3666</v>
      </c>
      <c r="O229" s="95">
        <v>3649</v>
      </c>
      <c r="Q229" s="361" t="s">
        <v>2767</v>
      </c>
    </row>
    <row r="230" spans="1:17">
      <c r="A230" s="361" t="s">
        <v>5426</v>
      </c>
      <c r="B230" s="361" t="s">
        <v>12204</v>
      </c>
      <c r="C230" s="124" t="s">
        <v>14811</v>
      </c>
      <c r="D230" s="363">
        <v>0</v>
      </c>
      <c r="E230" s="363">
        <v>0</v>
      </c>
      <c r="F230" s="363">
        <v>0</v>
      </c>
      <c r="G230" s="363">
        <v>0</v>
      </c>
      <c r="H230" s="363">
        <v>0</v>
      </c>
      <c r="I230" s="363">
        <v>0</v>
      </c>
      <c r="J230" s="363">
        <v>0</v>
      </c>
      <c r="K230" s="363">
        <v>0</v>
      </c>
      <c r="L230" s="95">
        <v>1020</v>
      </c>
      <c r="M230" s="95">
        <v>1020</v>
      </c>
      <c r="N230" s="95">
        <v>1043</v>
      </c>
      <c r="O230" s="95">
        <v>1031</v>
      </c>
      <c r="Q230" s="361" t="s">
        <v>2755</v>
      </c>
    </row>
    <row r="231" spans="1:17" ht="15.75" thickBot="1">
      <c r="A231" s="361"/>
      <c r="B231" s="361"/>
      <c r="C231" s="124" t="s">
        <v>14811</v>
      </c>
      <c r="D231" s="363">
        <v>0</v>
      </c>
      <c r="E231" s="363">
        <v>0</v>
      </c>
      <c r="F231" s="363">
        <v>0</v>
      </c>
      <c r="G231" s="363">
        <v>0</v>
      </c>
      <c r="H231" s="363">
        <v>0</v>
      </c>
      <c r="I231" s="363">
        <v>0</v>
      </c>
      <c r="J231" s="363">
        <v>0</v>
      </c>
      <c r="K231" s="363">
        <v>0</v>
      </c>
      <c r="L231" s="95">
        <v>3327</v>
      </c>
      <c r="M231" s="95">
        <v>3411</v>
      </c>
      <c r="N231" s="95">
        <v>3424</v>
      </c>
      <c r="O231" s="95">
        <v>3367</v>
      </c>
      <c r="Q231" s="361" t="s">
        <v>2767</v>
      </c>
    </row>
    <row r="232" spans="1:17" ht="15.75" thickBot="1">
      <c r="A232" s="361"/>
      <c r="B232" s="361"/>
      <c r="C232" s="124" t="s">
        <v>14811</v>
      </c>
      <c r="D232" s="371">
        <f>SUM(D230:D231)</f>
        <v>0</v>
      </c>
      <c r="E232" s="371">
        <f t="shared" ref="E232:L232" si="111">SUM(E230:E231)</f>
        <v>0</v>
      </c>
      <c r="F232" s="371">
        <f t="shared" si="111"/>
        <v>0</v>
      </c>
      <c r="G232" s="371">
        <f t="shared" si="111"/>
        <v>0</v>
      </c>
      <c r="H232" s="371">
        <f t="shared" si="111"/>
        <v>0</v>
      </c>
      <c r="I232" s="371">
        <f t="shared" si="111"/>
        <v>0</v>
      </c>
      <c r="J232" s="371">
        <f t="shared" si="111"/>
        <v>0</v>
      </c>
      <c r="K232" s="371">
        <f t="shared" si="111"/>
        <v>0</v>
      </c>
      <c r="L232" s="371">
        <f t="shared" si="111"/>
        <v>4347</v>
      </c>
      <c r="M232" s="371">
        <f>SUM(M230:M231)</f>
        <v>4431</v>
      </c>
      <c r="N232" s="371">
        <f>SUM(N230:N231)</f>
        <v>4467</v>
      </c>
      <c r="O232" s="371">
        <f>SUM(O230:O231)</f>
        <v>4398</v>
      </c>
      <c r="Q232" s="361"/>
    </row>
    <row r="233" spans="1:17">
      <c r="A233" s="361" t="s">
        <v>5428</v>
      </c>
      <c r="B233" s="361" t="s">
        <v>12205</v>
      </c>
      <c r="C233" s="124" t="s">
        <v>14812</v>
      </c>
      <c r="D233" s="363">
        <v>0</v>
      </c>
      <c r="E233" s="363">
        <v>0</v>
      </c>
      <c r="F233" s="363">
        <v>0</v>
      </c>
      <c r="G233" s="363">
        <v>0</v>
      </c>
      <c r="H233" s="363">
        <v>0</v>
      </c>
      <c r="I233" s="363">
        <v>0</v>
      </c>
      <c r="J233" s="363">
        <v>0</v>
      </c>
      <c r="K233" s="363">
        <v>0</v>
      </c>
      <c r="L233" s="95">
        <v>2022</v>
      </c>
      <c r="M233" s="95">
        <v>2083</v>
      </c>
      <c r="N233" s="95">
        <v>2103</v>
      </c>
      <c r="O233" s="95">
        <v>2094</v>
      </c>
      <c r="Q233" s="361" t="s">
        <v>2767</v>
      </c>
    </row>
    <row r="234" spans="1:17">
      <c r="A234" s="361" t="s">
        <v>5429</v>
      </c>
      <c r="B234" s="361" t="s">
        <v>2172</v>
      </c>
      <c r="C234" s="124" t="s">
        <v>14813</v>
      </c>
      <c r="D234" s="363">
        <v>0</v>
      </c>
      <c r="E234" s="363">
        <v>0</v>
      </c>
      <c r="F234" s="363">
        <v>0</v>
      </c>
      <c r="G234" s="363">
        <v>0</v>
      </c>
      <c r="H234" s="363">
        <v>0</v>
      </c>
      <c r="I234" s="363">
        <v>0</v>
      </c>
      <c r="J234" s="363">
        <v>0</v>
      </c>
      <c r="K234" s="363">
        <v>0</v>
      </c>
      <c r="L234" s="95">
        <v>6569</v>
      </c>
      <c r="M234" s="95">
        <v>6730</v>
      </c>
      <c r="N234" s="95">
        <v>6728</v>
      </c>
      <c r="O234" s="95">
        <v>6633</v>
      </c>
      <c r="Q234" s="361" t="s">
        <v>2755</v>
      </c>
    </row>
    <row r="235" spans="1:17">
      <c r="A235" s="361" t="s">
        <v>5431</v>
      </c>
      <c r="B235" s="361" t="s">
        <v>12206</v>
      </c>
      <c r="C235" s="124" t="s">
        <v>14814</v>
      </c>
      <c r="D235" s="363">
        <v>2784</v>
      </c>
      <c r="E235" s="363">
        <v>2801</v>
      </c>
      <c r="F235" s="363">
        <v>2763</v>
      </c>
      <c r="G235" s="95">
        <v>2747</v>
      </c>
      <c r="H235" s="95">
        <v>2769</v>
      </c>
      <c r="I235" s="95">
        <v>2766</v>
      </c>
      <c r="J235" s="95">
        <v>2679</v>
      </c>
      <c r="K235" s="95">
        <v>2710</v>
      </c>
      <c r="L235" s="95">
        <v>2775</v>
      </c>
      <c r="M235" s="95">
        <v>2811</v>
      </c>
      <c r="N235" s="95">
        <v>2831</v>
      </c>
      <c r="O235" s="95">
        <v>2808</v>
      </c>
      <c r="Q235" s="361" t="s">
        <v>2761</v>
      </c>
    </row>
    <row r="236" spans="1:17" ht="15.75" thickBot="1">
      <c r="A236" s="361"/>
      <c r="B236" s="361"/>
      <c r="C236" s="124" t="s">
        <v>14814</v>
      </c>
      <c r="D236" s="363">
        <v>0</v>
      </c>
      <c r="E236" s="363">
        <v>0</v>
      </c>
      <c r="F236" s="363">
        <v>0</v>
      </c>
      <c r="G236" s="95">
        <v>0</v>
      </c>
      <c r="H236" s="95">
        <v>0</v>
      </c>
      <c r="I236" s="95">
        <v>0</v>
      </c>
      <c r="J236" s="95">
        <v>0</v>
      </c>
      <c r="K236" s="95">
        <v>0</v>
      </c>
      <c r="L236" s="95">
        <v>1848</v>
      </c>
      <c r="M236" s="95">
        <v>1876</v>
      </c>
      <c r="N236" s="95">
        <v>1877</v>
      </c>
      <c r="O236" s="95">
        <v>1834</v>
      </c>
      <c r="Q236" s="361" t="s">
        <v>2765</v>
      </c>
    </row>
    <row r="237" spans="1:17" ht="15.75" thickBot="1">
      <c r="A237" s="361"/>
      <c r="B237" s="361"/>
      <c r="C237" s="124" t="s">
        <v>14814</v>
      </c>
      <c r="D237" s="371">
        <f>SUM(D235:D236)</f>
        <v>2784</v>
      </c>
      <c r="E237" s="371">
        <f t="shared" ref="E237:L237" si="112">SUM(E235:E236)</f>
        <v>2801</v>
      </c>
      <c r="F237" s="371">
        <f t="shared" si="112"/>
        <v>2763</v>
      </c>
      <c r="G237" s="371">
        <f t="shared" si="112"/>
        <v>2747</v>
      </c>
      <c r="H237" s="371">
        <f t="shared" si="112"/>
        <v>2769</v>
      </c>
      <c r="I237" s="371">
        <f t="shared" si="112"/>
        <v>2766</v>
      </c>
      <c r="J237" s="371">
        <f t="shared" si="112"/>
        <v>2679</v>
      </c>
      <c r="K237" s="371">
        <f t="shared" si="112"/>
        <v>2710</v>
      </c>
      <c r="L237" s="371">
        <f t="shared" si="112"/>
        <v>4623</v>
      </c>
      <c r="M237" s="371">
        <f>SUM(M235:M236)</f>
        <v>4687</v>
      </c>
      <c r="N237" s="371">
        <f>SUM(N235:N236)</f>
        <v>4708</v>
      </c>
      <c r="O237" s="371">
        <f>SUM(O235:O236)</f>
        <v>4642</v>
      </c>
      <c r="Q237" s="361"/>
    </row>
    <row r="238" spans="1:17">
      <c r="A238" s="361" t="s">
        <v>5433</v>
      </c>
      <c r="B238" s="361" t="s">
        <v>506</v>
      </c>
      <c r="C238" s="124" t="s">
        <v>14815</v>
      </c>
      <c r="D238" s="363">
        <v>0</v>
      </c>
      <c r="E238" s="363">
        <v>0</v>
      </c>
      <c r="F238" s="363">
        <v>0</v>
      </c>
      <c r="G238" s="363">
        <v>0</v>
      </c>
      <c r="H238" s="363">
        <v>0</v>
      </c>
      <c r="I238" s="363">
        <v>0</v>
      </c>
      <c r="J238" s="363">
        <v>0</v>
      </c>
      <c r="K238" s="363">
        <v>0</v>
      </c>
      <c r="L238" s="95">
        <v>4133</v>
      </c>
      <c r="M238" s="95">
        <v>4241</v>
      </c>
      <c r="N238" s="95">
        <v>4300</v>
      </c>
      <c r="O238" s="95">
        <v>4246</v>
      </c>
      <c r="Q238" s="361" t="s">
        <v>2755</v>
      </c>
    </row>
    <row r="239" spans="1:17">
      <c r="A239" s="361" t="s">
        <v>5435</v>
      </c>
      <c r="B239" s="361" t="s">
        <v>12207</v>
      </c>
      <c r="C239" s="124" t="s">
        <v>14816</v>
      </c>
      <c r="D239" s="363">
        <v>0</v>
      </c>
      <c r="E239" s="363">
        <v>0</v>
      </c>
      <c r="F239" s="363">
        <v>0</v>
      </c>
      <c r="G239" s="363">
        <v>0</v>
      </c>
      <c r="H239" s="363">
        <v>0</v>
      </c>
      <c r="I239" s="363">
        <v>0</v>
      </c>
      <c r="J239" s="363">
        <v>0</v>
      </c>
      <c r="K239" s="363">
        <v>0</v>
      </c>
      <c r="L239" s="95">
        <v>6755</v>
      </c>
      <c r="M239" s="95">
        <v>6966</v>
      </c>
      <c r="N239" s="95">
        <v>7006</v>
      </c>
      <c r="O239" s="95">
        <v>6887</v>
      </c>
      <c r="Q239" s="361" t="s">
        <v>2765</v>
      </c>
    </row>
    <row r="240" spans="1:17">
      <c r="A240" s="361" t="s">
        <v>5436</v>
      </c>
      <c r="B240" s="361" t="s">
        <v>2938</v>
      </c>
      <c r="C240" s="124" t="s">
        <v>14817</v>
      </c>
      <c r="D240" s="363">
        <v>0</v>
      </c>
      <c r="E240" s="363">
        <v>0</v>
      </c>
      <c r="F240" s="363">
        <v>0</v>
      </c>
      <c r="G240" s="363">
        <v>0</v>
      </c>
      <c r="H240" s="363">
        <v>0</v>
      </c>
      <c r="I240" s="363">
        <v>0</v>
      </c>
      <c r="J240" s="363">
        <v>0</v>
      </c>
      <c r="K240" s="363">
        <v>0</v>
      </c>
      <c r="L240" s="95">
        <v>3786</v>
      </c>
      <c r="M240" s="95">
        <v>3899</v>
      </c>
      <c r="N240" s="95">
        <v>4002</v>
      </c>
      <c r="O240" s="95">
        <v>3943</v>
      </c>
      <c r="Q240" s="361" t="s">
        <v>2755</v>
      </c>
    </row>
    <row r="241" spans="1:17">
      <c r="A241" s="361" t="s">
        <v>5437</v>
      </c>
      <c r="B241" s="361" t="s">
        <v>3229</v>
      </c>
      <c r="C241" s="124" t="s">
        <v>14818</v>
      </c>
      <c r="D241" s="363">
        <v>0</v>
      </c>
      <c r="E241" s="363">
        <v>0</v>
      </c>
      <c r="F241" s="363">
        <v>0</v>
      </c>
      <c r="G241" s="363">
        <v>0</v>
      </c>
      <c r="H241" s="363">
        <v>0</v>
      </c>
      <c r="I241" s="363">
        <v>0</v>
      </c>
      <c r="J241" s="363">
        <v>0</v>
      </c>
      <c r="K241" s="363">
        <v>0</v>
      </c>
      <c r="L241" s="95">
        <v>3543</v>
      </c>
      <c r="M241" s="95">
        <v>3731</v>
      </c>
      <c r="N241" s="95">
        <v>3994</v>
      </c>
      <c r="O241" s="95">
        <v>3947</v>
      </c>
      <c r="Q241" s="361" t="s">
        <v>2755</v>
      </c>
    </row>
    <row r="242" spans="1:17">
      <c r="A242" s="361" t="s">
        <v>5439</v>
      </c>
      <c r="B242" s="361" t="s">
        <v>12208</v>
      </c>
      <c r="C242" s="124" t="s">
        <v>14819</v>
      </c>
      <c r="D242" s="363">
        <v>0</v>
      </c>
      <c r="E242" s="363">
        <v>0</v>
      </c>
      <c r="F242" s="363">
        <v>0</v>
      </c>
      <c r="G242" s="363">
        <v>0</v>
      </c>
      <c r="H242" s="363">
        <v>0</v>
      </c>
      <c r="I242" s="363">
        <v>0</v>
      </c>
      <c r="J242" s="363">
        <v>0</v>
      </c>
      <c r="K242" s="363">
        <v>0</v>
      </c>
      <c r="L242" s="95">
        <v>4066</v>
      </c>
      <c r="M242" s="95">
        <v>4113</v>
      </c>
      <c r="N242" s="95">
        <v>4081</v>
      </c>
      <c r="O242" s="95">
        <v>4044</v>
      </c>
      <c r="Q242" s="361" t="s">
        <v>2755</v>
      </c>
    </row>
    <row r="243" spans="1:17">
      <c r="A243" s="361" t="s">
        <v>5441</v>
      </c>
      <c r="B243" s="361" t="s">
        <v>2939</v>
      </c>
      <c r="C243" s="124" t="s">
        <v>14820</v>
      </c>
      <c r="D243" s="363">
        <v>0</v>
      </c>
      <c r="E243" s="363">
        <v>0</v>
      </c>
      <c r="F243" s="363">
        <v>0</v>
      </c>
      <c r="G243" s="363">
        <v>0</v>
      </c>
      <c r="H243" s="363">
        <v>0</v>
      </c>
      <c r="I243" s="363">
        <v>0</v>
      </c>
      <c r="J243" s="363">
        <v>0</v>
      </c>
      <c r="K243" s="363">
        <v>0</v>
      </c>
      <c r="L243" s="95">
        <v>6475</v>
      </c>
      <c r="M243" s="95">
        <v>6599</v>
      </c>
      <c r="N243" s="95">
        <v>6651</v>
      </c>
      <c r="O243" s="95">
        <v>6546</v>
      </c>
      <c r="Q243" s="361" t="s">
        <v>2755</v>
      </c>
    </row>
    <row r="244" spans="1:17">
      <c r="A244" s="361" t="s">
        <v>5886</v>
      </c>
      <c r="B244" s="361" t="s">
        <v>2940</v>
      </c>
      <c r="C244" s="124" t="s">
        <v>14821</v>
      </c>
      <c r="D244" s="363">
        <v>0</v>
      </c>
      <c r="E244" s="363">
        <v>0</v>
      </c>
      <c r="F244" s="363">
        <v>0</v>
      </c>
      <c r="G244" s="363">
        <v>0</v>
      </c>
      <c r="H244" s="363">
        <v>0</v>
      </c>
      <c r="I244" s="363">
        <v>0</v>
      </c>
      <c r="J244" s="363">
        <v>0</v>
      </c>
      <c r="K244" s="363">
        <v>0</v>
      </c>
      <c r="L244" s="95">
        <v>4649</v>
      </c>
      <c r="M244" s="95">
        <v>4727</v>
      </c>
      <c r="N244" s="95">
        <v>4722</v>
      </c>
      <c r="O244" s="95">
        <v>4644</v>
      </c>
      <c r="Q244" s="361" t="s">
        <v>2755</v>
      </c>
    </row>
    <row r="245" spans="1:17">
      <c r="A245" s="361"/>
      <c r="B245" s="361"/>
      <c r="C245" s="370"/>
      <c r="D245" s="363"/>
      <c r="E245" s="363"/>
      <c r="F245" s="363"/>
      <c r="G245" s="95"/>
      <c r="H245" s="95"/>
      <c r="I245" s="95"/>
      <c r="J245" s="95"/>
      <c r="K245" s="95"/>
      <c r="L245" s="95"/>
      <c r="M245" s="95"/>
      <c r="N245" s="95"/>
      <c r="O245" s="95"/>
      <c r="Q245" s="361"/>
    </row>
    <row r="246" spans="1:17">
      <c r="A246" s="361" t="s">
        <v>2755</v>
      </c>
      <c r="D246" s="363">
        <f t="shared" ref="D246:L246" si="113">SUM(D220:D226)+D228+D230+D234+D238+SUM(D240:D244)</f>
        <v>68819</v>
      </c>
      <c r="E246" s="363">
        <f t="shared" si="113"/>
        <v>68692</v>
      </c>
      <c r="F246" s="363">
        <f t="shared" si="113"/>
        <v>69154</v>
      </c>
      <c r="G246" s="363">
        <f t="shared" si="113"/>
        <v>68901</v>
      </c>
      <c r="H246" s="363">
        <f t="shared" si="113"/>
        <v>68782</v>
      </c>
      <c r="I246" s="363">
        <f t="shared" si="113"/>
        <v>65957</v>
      </c>
      <c r="J246" s="363">
        <f t="shared" si="113"/>
        <v>62936</v>
      </c>
      <c r="K246" s="363">
        <f t="shared" si="113"/>
        <v>62879</v>
      </c>
      <c r="L246" s="363">
        <f t="shared" si="113"/>
        <v>65173</v>
      </c>
      <c r="M246" s="363">
        <f>SUM(M220:M226)+M228+M230+M234+M238+SUM(M240:M244)</f>
        <v>65984</v>
      </c>
      <c r="N246" s="363">
        <f>SUM(N220:N226)+N228+N230+N234+N238+SUM(N240:N244)</f>
        <v>67204</v>
      </c>
      <c r="O246" s="363">
        <f>SUM(O220:O226)+O228+O230+O234+O238+SUM(O240:O244)</f>
        <v>66658</v>
      </c>
    </row>
    <row r="247" spans="1:17" ht="16.5" customHeight="1">
      <c r="A247" s="361" t="s">
        <v>2941</v>
      </c>
      <c r="D247" s="363">
        <f t="shared" ref="D247:K247" si="114">D235</f>
        <v>2784</v>
      </c>
      <c r="E247" s="363">
        <f t="shared" si="114"/>
        <v>2801</v>
      </c>
      <c r="F247" s="363">
        <f t="shared" si="114"/>
        <v>2763</v>
      </c>
      <c r="G247" s="363">
        <f t="shared" si="114"/>
        <v>2747</v>
      </c>
      <c r="H247" s="363">
        <f t="shared" si="114"/>
        <v>2769</v>
      </c>
      <c r="I247" s="363">
        <f t="shared" si="114"/>
        <v>2766</v>
      </c>
      <c r="J247" s="363">
        <f t="shared" si="114"/>
        <v>2679</v>
      </c>
      <c r="K247" s="363">
        <f t="shared" si="114"/>
        <v>2710</v>
      </c>
      <c r="L247" s="363">
        <f>L235</f>
        <v>2775</v>
      </c>
      <c r="M247" s="363">
        <f>M235</f>
        <v>2811</v>
      </c>
      <c r="N247" s="363">
        <f>N235</f>
        <v>2831</v>
      </c>
      <c r="O247" s="363">
        <f>O235</f>
        <v>2808</v>
      </c>
    </row>
    <row r="248" spans="1:17" ht="16.5" customHeight="1">
      <c r="A248" s="361" t="s">
        <v>2819</v>
      </c>
      <c r="D248" s="363">
        <f t="shared" ref="D248:L248" si="115">D227+D236+D239</f>
        <v>16373</v>
      </c>
      <c r="E248" s="363">
        <f t="shared" si="115"/>
        <v>16182</v>
      </c>
      <c r="F248" s="363">
        <f t="shared" si="115"/>
        <v>16178</v>
      </c>
      <c r="G248" s="363">
        <f t="shared" si="115"/>
        <v>16050</v>
      </c>
      <c r="H248" s="363">
        <f t="shared" si="115"/>
        <v>15912</v>
      </c>
      <c r="I248" s="363">
        <f t="shared" si="115"/>
        <v>15783</v>
      </c>
      <c r="J248" s="363">
        <f t="shared" si="115"/>
        <v>14946</v>
      </c>
      <c r="K248" s="363">
        <f t="shared" si="115"/>
        <v>15147</v>
      </c>
      <c r="L248" s="363">
        <f t="shared" si="115"/>
        <v>15639</v>
      </c>
      <c r="M248" s="363">
        <f>M227+M236+M239</f>
        <v>16013</v>
      </c>
      <c r="N248" s="363">
        <f>N227+N236+N239</f>
        <v>16043</v>
      </c>
      <c r="O248" s="363">
        <f>O227+O236+O239</f>
        <v>15741</v>
      </c>
    </row>
    <row r="249" spans="1:17" ht="16.5" customHeight="1">
      <c r="A249" s="361" t="s">
        <v>2942</v>
      </c>
      <c r="D249" s="363">
        <f t="shared" ref="D249:L249" si="116">D229+D231+D233</f>
        <v>9064</v>
      </c>
      <c r="E249" s="363">
        <f t="shared" si="116"/>
        <v>9053</v>
      </c>
      <c r="F249" s="363">
        <f t="shared" si="116"/>
        <v>9111</v>
      </c>
      <c r="G249" s="363">
        <f t="shared" si="116"/>
        <v>9131</v>
      </c>
      <c r="H249" s="363">
        <f t="shared" si="116"/>
        <v>9117</v>
      </c>
      <c r="I249" s="363">
        <f t="shared" si="116"/>
        <v>9084</v>
      </c>
      <c r="J249" s="363">
        <f t="shared" si="116"/>
        <v>8686</v>
      </c>
      <c r="K249" s="363">
        <f t="shared" si="116"/>
        <v>8789</v>
      </c>
      <c r="L249" s="363">
        <f t="shared" si="116"/>
        <v>8934</v>
      </c>
      <c r="M249" s="363">
        <f>M229+M231+M233</f>
        <v>9085</v>
      </c>
      <c r="N249" s="363">
        <f>N229+N231+N233</f>
        <v>9193</v>
      </c>
      <c r="O249" s="363">
        <f>O229+O231+O233</f>
        <v>9110</v>
      </c>
    </row>
    <row r="250" spans="1:17" ht="16.5" customHeight="1">
      <c r="A250" s="361"/>
      <c r="D250" s="363"/>
      <c r="E250" s="363"/>
      <c r="F250" s="363"/>
      <c r="G250" s="363"/>
      <c r="H250" s="363"/>
      <c r="I250" s="363"/>
      <c r="J250" s="363"/>
      <c r="K250" s="363"/>
      <c r="L250" s="363"/>
      <c r="M250" s="363"/>
      <c r="N250" s="363"/>
      <c r="O250" s="363"/>
    </row>
    <row r="251" spans="1:17" ht="16.5" customHeight="1">
      <c r="A251" s="361" t="s">
        <v>12209</v>
      </c>
      <c r="D251" s="363"/>
      <c r="E251" s="363"/>
      <c r="F251" s="363"/>
      <c r="G251" s="363"/>
      <c r="H251" s="363"/>
      <c r="I251" s="363"/>
      <c r="J251" s="363"/>
      <c r="K251" s="363"/>
      <c r="L251" s="363"/>
      <c r="M251" s="363"/>
      <c r="N251" s="363"/>
      <c r="O251" s="363"/>
    </row>
    <row r="252" spans="1:17" ht="16.5" customHeight="1">
      <c r="A252" s="361"/>
      <c r="B252" s="361"/>
    </row>
    <row r="253" spans="1:17">
      <c r="A253" s="361"/>
      <c r="B253" s="361"/>
    </row>
    <row r="254" spans="1:17">
      <c r="E254" s="92" t="s">
        <v>1526</v>
      </c>
      <c r="F254" s="92"/>
      <c r="G254" s="92"/>
      <c r="H254" s="92"/>
      <c r="I254" s="92"/>
      <c r="J254" s="92"/>
      <c r="K254" s="92"/>
      <c r="L254" s="92"/>
      <c r="M254" s="92"/>
      <c r="N254" s="92"/>
      <c r="O254" s="92"/>
      <c r="P254" s="367"/>
      <c r="Q254" s="367" t="s">
        <v>9479</v>
      </c>
    </row>
    <row r="255" spans="1:17">
      <c r="D255" s="368">
        <v>2010</v>
      </c>
      <c r="E255" s="368">
        <v>2011</v>
      </c>
      <c r="F255" s="368">
        <v>2012</v>
      </c>
      <c r="G255" s="368">
        <v>2013</v>
      </c>
      <c r="H255" s="368">
        <v>2014</v>
      </c>
      <c r="I255" s="368">
        <v>2015</v>
      </c>
      <c r="J255" s="368">
        <v>2016</v>
      </c>
      <c r="K255" s="368">
        <v>2017</v>
      </c>
      <c r="L255" s="368">
        <v>2018</v>
      </c>
      <c r="M255" s="368">
        <v>2019</v>
      </c>
      <c r="N255" s="368">
        <v>2020</v>
      </c>
      <c r="O255" s="940" t="s">
        <v>14823</v>
      </c>
      <c r="P255" s="367"/>
      <c r="Q255" s="369" t="s">
        <v>1527</v>
      </c>
    </row>
    <row r="256" spans="1:17">
      <c r="A256" s="361" t="s">
        <v>1701</v>
      </c>
      <c r="D256" s="363">
        <f t="shared" ref="D256:I256" si="117">SUM(D257:D268)+SUM(D269:D281)</f>
        <v>85281</v>
      </c>
      <c r="E256" s="363">
        <f t="shared" si="117"/>
        <v>85860</v>
      </c>
      <c r="F256" s="363">
        <f t="shared" si="117"/>
        <v>86305</v>
      </c>
      <c r="G256" s="363">
        <f t="shared" si="117"/>
        <v>86657</v>
      </c>
      <c r="H256" s="363">
        <f t="shared" si="117"/>
        <v>86323</v>
      </c>
      <c r="I256" s="363">
        <f t="shared" si="117"/>
        <v>83366</v>
      </c>
      <c r="J256" s="363">
        <f t="shared" ref="J256:O256" si="118">SUM(J257:J268)+SUM(J269:J281)</f>
        <v>83407</v>
      </c>
      <c r="K256" s="363">
        <f t="shared" si="118"/>
        <v>85099</v>
      </c>
      <c r="L256" s="363">
        <f t="shared" si="118"/>
        <v>85014</v>
      </c>
      <c r="M256" s="363">
        <f t="shared" si="118"/>
        <v>84855</v>
      </c>
      <c r="N256" s="363">
        <f t="shared" si="118"/>
        <v>84862</v>
      </c>
      <c r="O256" s="363">
        <f t="shared" si="118"/>
        <v>85773</v>
      </c>
    </row>
    <row r="257" spans="1:17">
      <c r="A257" s="361" t="s">
        <v>5387</v>
      </c>
      <c r="B257" s="361" t="s">
        <v>1702</v>
      </c>
      <c r="C257" s="370" t="s">
        <v>8067</v>
      </c>
      <c r="D257" s="363">
        <v>3347</v>
      </c>
      <c r="E257" s="363">
        <v>3350</v>
      </c>
      <c r="F257" s="363">
        <v>3339</v>
      </c>
      <c r="G257" s="95">
        <v>3353</v>
      </c>
      <c r="H257" s="100">
        <v>3336</v>
      </c>
      <c r="I257" s="100">
        <v>3155</v>
      </c>
      <c r="J257" s="100">
        <v>3160</v>
      </c>
      <c r="K257" s="100">
        <v>3225</v>
      </c>
      <c r="L257" s="100">
        <v>3216</v>
      </c>
      <c r="M257" s="100">
        <v>3203</v>
      </c>
      <c r="N257" s="100">
        <v>3202</v>
      </c>
      <c r="O257" s="100">
        <v>3230</v>
      </c>
      <c r="Q257" s="361" t="s">
        <v>2757</v>
      </c>
    </row>
    <row r="258" spans="1:17">
      <c r="A258" s="361" t="s">
        <v>5389</v>
      </c>
      <c r="B258" s="361" t="s">
        <v>3081</v>
      </c>
      <c r="C258" s="370" t="s">
        <v>8068</v>
      </c>
      <c r="D258" s="363">
        <v>5450</v>
      </c>
      <c r="E258" s="363">
        <v>5482</v>
      </c>
      <c r="F258" s="363">
        <v>5493</v>
      </c>
      <c r="G258" s="95">
        <v>5514</v>
      </c>
      <c r="H258" s="100">
        <v>5436</v>
      </c>
      <c r="I258" s="100">
        <v>5427</v>
      </c>
      <c r="J258" s="100">
        <v>5374</v>
      </c>
      <c r="K258" s="100">
        <v>5425</v>
      </c>
      <c r="L258" s="100">
        <v>5396</v>
      </c>
      <c r="M258" s="100">
        <v>5333</v>
      </c>
      <c r="N258" s="100">
        <v>5332</v>
      </c>
      <c r="O258" s="100">
        <v>5393</v>
      </c>
      <c r="Q258" s="361" t="s">
        <v>2757</v>
      </c>
    </row>
    <row r="259" spans="1:17">
      <c r="A259" s="361" t="s">
        <v>5391</v>
      </c>
      <c r="B259" s="361" t="s">
        <v>3082</v>
      </c>
      <c r="C259" s="370" t="s">
        <v>8069</v>
      </c>
      <c r="D259" s="363">
        <v>3449</v>
      </c>
      <c r="E259" s="363">
        <v>3409</v>
      </c>
      <c r="F259" s="363">
        <v>3416</v>
      </c>
      <c r="G259" s="95">
        <v>3395</v>
      </c>
      <c r="H259" s="100">
        <v>3421</v>
      </c>
      <c r="I259" s="100">
        <v>3340</v>
      </c>
      <c r="J259" s="100">
        <v>3327</v>
      </c>
      <c r="K259" s="100">
        <v>3411</v>
      </c>
      <c r="L259" s="100">
        <v>3376</v>
      </c>
      <c r="M259" s="100">
        <v>3382</v>
      </c>
      <c r="N259" s="100">
        <v>3382</v>
      </c>
      <c r="O259" s="100">
        <v>3397</v>
      </c>
      <c r="Q259" s="361" t="s">
        <v>2757</v>
      </c>
    </row>
    <row r="260" spans="1:17">
      <c r="A260" s="361" t="s">
        <v>5393</v>
      </c>
      <c r="B260" s="361" t="s">
        <v>3083</v>
      </c>
      <c r="C260" s="370" t="s">
        <v>8070</v>
      </c>
      <c r="D260" s="363">
        <v>3044</v>
      </c>
      <c r="E260" s="363">
        <v>3038</v>
      </c>
      <c r="F260" s="363">
        <v>3033</v>
      </c>
      <c r="G260" s="95">
        <v>3036</v>
      </c>
      <c r="H260" s="100">
        <v>2995</v>
      </c>
      <c r="I260" s="100">
        <v>2910</v>
      </c>
      <c r="J260" s="100">
        <v>2908</v>
      </c>
      <c r="K260" s="100">
        <v>2965</v>
      </c>
      <c r="L260" s="100">
        <v>2964</v>
      </c>
      <c r="M260" s="100">
        <v>2937</v>
      </c>
      <c r="N260" s="100">
        <v>2937</v>
      </c>
      <c r="O260" s="100">
        <v>2918</v>
      </c>
      <c r="Q260" s="361" t="s">
        <v>2757</v>
      </c>
    </row>
    <row r="261" spans="1:17">
      <c r="A261" s="361" t="s">
        <v>5394</v>
      </c>
      <c r="B261" s="361" t="s">
        <v>3084</v>
      </c>
      <c r="C261" s="370" t="s">
        <v>8071</v>
      </c>
      <c r="D261" s="363">
        <v>3317</v>
      </c>
      <c r="E261" s="363">
        <v>3340</v>
      </c>
      <c r="F261" s="363">
        <v>3350</v>
      </c>
      <c r="G261" s="95">
        <v>3369</v>
      </c>
      <c r="H261" s="100">
        <v>3349</v>
      </c>
      <c r="I261" s="100">
        <v>3217</v>
      </c>
      <c r="J261" s="100">
        <v>3265</v>
      </c>
      <c r="K261" s="100">
        <v>3306</v>
      </c>
      <c r="L261" s="100">
        <v>3276</v>
      </c>
      <c r="M261" s="100">
        <v>3306</v>
      </c>
      <c r="N261" s="100">
        <v>3307</v>
      </c>
      <c r="O261" s="100">
        <v>3488</v>
      </c>
      <c r="Q261" s="361" t="s">
        <v>2757</v>
      </c>
    </row>
    <row r="262" spans="1:17">
      <c r="A262" s="361" t="s">
        <v>5416</v>
      </c>
      <c r="B262" s="361" t="s">
        <v>2237</v>
      </c>
      <c r="C262" s="370" t="s">
        <v>8072</v>
      </c>
      <c r="D262" s="363">
        <v>3332</v>
      </c>
      <c r="E262" s="363">
        <v>3366</v>
      </c>
      <c r="F262" s="363">
        <v>3383</v>
      </c>
      <c r="G262" s="95">
        <v>3326</v>
      </c>
      <c r="H262" s="100">
        <v>3299</v>
      </c>
      <c r="I262" s="100">
        <v>3134</v>
      </c>
      <c r="J262" s="100">
        <v>3135</v>
      </c>
      <c r="K262" s="100">
        <v>3213</v>
      </c>
      <c r="L262" s="100">
        <v>3231</v>
      </c>
      <c r="M262" s="100">
        <v>3158</v>
      </c>
      <c r="N262" s="100">
        <v>3158</v>
      </c>
      <c r="O262" s="100">
        <v>3160</v>
      </c>
      <c r="Q262" s="361" t="s">
        <v>2757</v>
      </c>
    </row>
    <row r="263" spans="1:17">
      <c r="A263" s="361" t="s">
        <v>5418</v>
      </c>
      <c r="B263" s="361" t="s">
        <v>2238</v>
      </c>
      <c r="C263" s="370" t="s">
        <v>8073</v>
      </c>
      <c r="D263" s="363">
        <v>3972</v>
      </c>
      <c r="E263" s="363">
        <v>3965</v>
      </c>
      <c r="F263" s="363">
        <v>3980</v>
      </c>
      <c r="G263" s="95">
        <v>4139</v>
      </c>
      <c r="H263" s="100">
        <v>4044</v>
      </c>
      <c r="I263" s="100">
        <v>3942</v>
      </c>
      <c r="J263" s="100">
        <v>4020</v>
      </c>
      <c r="K263" s="100">
        <v>3977</v>
      </c>
      <c r="L263" s="100">
        <v>3973</v>
      </c>
      <c r="M263" s="100">
        <v>3958</v>
      </c>
      <c r="N263" s="100">
        <v>3959</v>
      </c>
      <c r="O263" s="100">
        <v>3979</v>
      </c>
      <c r="Q263" s="361" t="s">
        <v>2757</v>
      </c>
    </row>
    <row r="264" spans="1:17">
      <c r="A264" s="361" t="s">
        <v>5420</v>
      </c>
      <c r="B264" s="361" t="s">
        <v>2239</v>
      </c>
      <c r="C264" s="370" t="s">
        <v>8074</v>
      </c>
      <c r="D264" s="363">
        <v>3751</v>
      </c>
      <c r="E264" s="363">
        <v>3759</v>
      </c>
      <c r="F264" s="363">
        <v>3833</v>
      </c>
      <c r="G264" s="95">
        <v>3807</v>
      </c>
      <c r="H264" s="100">
        <v>3811</v>
      </c>
      <c r="I264" s="100">
        <v>3626</v>
      </c>
      <c r="J264" s="100">
        <v>3663</v>
      </c>
      <c r="K264" s="100">
        <v>3741</v>
      </c>
      <c r="L264" s="100">
        <v>3749</v>
      </c>
      <c r="M264" s="100">
        <v>3680</v>
      </c>
      <c r="N264" s="100">
        <v>3680</v>
      </c>
      <c r="O264" s="100">
        <v>3699</v>
      </c>
      <c r="Q264" s="361" t="s">
        <v>2757</v>
      </c>
    </row>
    <row r="265" spans="1:17">
      <c r="A265" s="361" t="s">
        <v>5422</v>
      </c>
      <c r="B265" s="361" t="s">
        <v>2240</v>
      </c>
      <c r="C265" s="370" t="s">
        <v>8075</v>
      </c>
      <c r="D265" s="363">
        <v>3822</v>
      </c>
      <c r="E265" s="363">
        <v>3866</v>
      </c>
      <c r="F265" s="363">
        <v>3892</v>
      </c>
      <c r="G265" s="95">
        <v>3873</v>
      </c>
      <c r="H265" s="100">
        <v>3856</v>
      </c>
      <c r="I265" s="100">
        <v>3666</v>
      </c>
      <c r="J265" s="100">
        <v>3639</v>
      </c>
      <c r="K265" s="100">
        <v>3745</v>
      </c>
      <c r="L265" s="100">
        <v>3710</v>
      </c>
      <c r="M265" s="100">
        <v>3680</v>
      </c>
      <c r="N265" s="100">
        <v>3681</v>
      </c>
      <c r="O265" s="100">
        <v>3702</v>
      </c>
      <c r="Q265" s="361" t="s">
        <v>2757</v>
      </c>
    </row>
    <row r="266" spans="1:17">
      <c r="A266" s="361" t="s">
        <v>5424</v>
      </c>
      <c r="B266" s="361" t="s">
        <v>2241</v>
      </c>
      <c r="C266" s="370" t="s">
        <v>8076</v>
      </c>
      <c r="D266" s="363">
        <v>4871</v>
      </c>
      <c r="E266" s="363">
        <v>4972</v>
      </c>
      <c r="F266" s="363">
        <v>5002</v>
      </c>
      <c r="G266" s="95">
        <v>5045</v>
      </c>
      <c r="H266" s="100">
        <v>5025</v>
      </c>
      <c r="I266" s="100">
        <v>4873</v>
      </c>
      <c r="J266" s="100">
        <v>4936</v>
      </c>
      <c r="K266" s="100">
        <v>5107</v>
      </c>
      <c r="L266" s="100">
        <v>5041</v>
      </c>
      <c r="M266" s="100">
        <v>5049</v>
      </c>
      <c r="N266" s="100">
        <v>5049</v>
      </c>
      <c r="O266" s="100">
        <v>5081</v>
      </c>
      <c r="Q266" s="361" t="s">
        <v>2757</v>
      </c>
    </row>
    <row r="267" spans="1:17">
      <c r="A267" s="361" t="s">
        <v>5426</v>
      </c>
      <c r="B267" s="361" t="s">
        <v>2242</v>
      </c>
      <c r="C267" s="370" t="s">
        <v>8077</v>
      </c>
      <c r="D267" s="363">
        <v>1661</v>
      </c>
      <c r="E267" s="363">
        <v>1707</v>
      </c>
      <c r="F267" s="363">
        <v>1773</v>
      </c>
      <c r="G267" s="95">
        <v>1782</v>
      </c>
      <c r="H267" s="100">
        <v>1826</v>
      </c>
      <c r="I267" s="100">
        <v>1747</v>
      </c>
      <c r="J267" s="100">
        <v>1788</v>
      </c>
      <c r="K267" s="100">
        <v>1926</v>
      </c>
      <c r="L267" s="100">
        <v>2072</v>
      </c>
      <c r="M267" s="100">
        <v>2094</v>
      </c>
      <c r="N267" s="100">
        <v>2096</v>
      </c>
      <c r="O267" s="100">
        <v>2138</v>
      </c>
      <c r="Q267" s="361" t="s">
        <v>2757</v>
      </c>
    </row>
    <row r="268" spans="1:17">
      <c r="A268" s="361" t="s">
        <v>5428</v>
      </c>
      <c r="B268" s="361" t="s">
        <v>2243</v>
      </c>
      <c r="C268" s="370" t="s">
        <v>8078</v>
      </c>
      <c r="D268" s="372">
        <v>3643</v>
      </c>
      <c r="E268" s="372">
        <v>3781</v>
      </c>
      <c r="F268" s="372">
        <v>3862</v>
      </c>
      <c r="G268" s="95">
        <v>3919</v>
      </c>
      <c r="H268" s="100">
        <v>4043</v>
      </c>
      <c r="I268" s="100">
        <v>3762</v>
      </c>
      <c r="J268" s="100">
        <v>3835</v>
      </c>
      <c r="K268" s="100">
        <v>3918</v>
      </c>
      <c r="L268" s="100">
        <v>3952</v>
      </c>
      <c r="M268" s="100">
        <v>3954</v>
      </c>
      <c r="N268" s="100">
        <v>3955</v>
      </c>
      <c r="O268" s="100">
        <v>4040</v>
      </c>
      <c r="Q268" s="361" t="s">
        <v>2757</v>
      </c>
    </row>
    <row r="269" spans="1:17">
      <c r="A269" s="361" t="s">
        <v>5429</v>
      </c>
      <c r="B269" s="361" t="s">
        <v>2244</v>
      </c>
      <c r="C269" s="370" t="s">
        <v>8079</v>
      </c>
      <c r="D269" s="363">
        <v>5966</v>
      </c>
      <c r="E269" s="363">
        <v>6005</v>
      </c>
      <c r="F269" s="363">
        <v>6037</v>
      </c>
      <c r="G269" s="95">
        <v>6098</v>
      </c>
      <c r="H269" s="100">
        <v>6103</v>
      </c>
      <c r="I269" s="100">
        <v>5967</v>
      </c>
      <c r="J269" s="100">
        <v>5912</v>
      </c>
      <c r="K269" s="100">
        <v>6068</v>
      </c>
      <c r="L269" s="100">
        <v>6013</v>
      </c>
      <c r="M269" s="100">
        <v>5936</v>
      </c>
      <c r="N269" s="100">
        <v>5936</v>
      </c>
      <c r="O269" s="100">
        <v>5983</v>
      </c>
      <c r="Q269" s="361" t="s">
        <v>2757</v>
      </c>
    </row>
    <row r="270" spans="1:17">
      <c r="A270" s="361" t="s">
        <v>5431</v>
      </c>
      <c r="B270" s="361" t="s">
        <v>2245</v>
      </c>
      <c r="C270" s="370" t="s">
        <v>8080</v>
      </c>
      <c r="D270" s="363">
        <v>1840</v>
      </c>
      <c r="E270" s="363">
        <v>1847</v>
      </c>
      <c r="F270" s="363">
        <v>1856</v>
      </c>
      <c r="G270" s="95">
        <v>1858</v>
      </c>
      <c r="H270" s="100">
        <v>1872</v>
      </c>
      <c r="I270" s="100">
        <v>1851</v>
      </c>
      <c r="J270" s="100">
        <v>1805</v>
      </c>
      <c r="K270" s="100">
        <v>1824</v>
      </c>
      <c r="L270" s="100">
        <v>1841</v>
      </c>
      <c r="M270" s="100">
        <v>1790</v>
      </c>
      <c r="N270" s="100">
        <v>1791</v>
      </c>
      <c r="O270" s="100">
        <v>1804</v>
      </c>
      <c r="Q270" s="361" t="s">
        <v>2757</v>
      </c>
    </row>
    <row r="271" spans="1:17">
      <c r="A271" s="361" t="s">
        <v>5433</v>
      </c>
      <c r="B271" s="361" t="s">
        <v>853</v>
      </c>
      <c r="C271" s="370" t="s">
        <v>8081</v>
      </c>
      <c r="D271" s="363">
        <v>3032</v>
      </c>
      <c r="E271" s="363">
        <v>3085</v>
      </c>
      <c r="F271" s="363">
        <v>3109</v>
      </c>
      <c r="G271" s="95">
        <v>3081</v>
      </c>
      <c r="H271" s="101">
        <v>3100</v>
      </c>
      <c r="I271" s="101">
        <v>3002</v>
      </c>
      <c r="J271" s="101">
        <v>2949</v>
      </c>
      <c r="K271" s="101">
        <v>2973</v>
      </c>
      <c r="L271" s="101">
        <v>2958</v>
      </c>
      <c r="M271" s="101">
        <v>3015</v>
      </c>
      <c r="N271" s="101">
        <v>3056</v>
      </c>
      <c r="O271" s="101">
        <v>3069</v>
      </c>
      <c r="Q271" s="361" t="s">
        <v>2759</v>
      </c>
    </row>
    <row r="272" spans="1:17">
      <c r="A272" s="361" t="s">
        <v>5435</v>
      </c>
      <c r="B272" s="361" t="s">
        <v>854</v>
      </c>
      <c r="C272" s="370" t="s">
        <v>8082</v>
      </c>
      <c r="D272" s="363">
        <v>3565</v>
      </c>
      <c r="E272" s="363">
        <v>3550</v>
      </c>
      <c r="F272" s="363">
        <v>3562</v>
      </c>
      <c r="G272" s="95">
        <v>3560</v>
      </c>
      <c r="H272" s="101">
        <v>3519</v>
      </c>
      <c r="I272" s="101">
        <v>3415</v>
      </c>
      <c r="J272" s="101">
        <v>3377</v>
      </c>
      <c r="K272" s="101">
        <v>3435</v>
      </c>
      <c r="L272" s="101">
        <v>3473</v>
      </c>
      <c r="M272" s="101">
        <v>3565</v>
      </c>
      <c r="N272" s="101">
        <v>3524</v>
      </c>
      <c r="O272" s="101">
        <v>3730</v>
      </c>
      <c r="Q272" s="361" t="s">
        <v>2759</v>
      </c>
    </row>
    <row r="273" spans="1:17">
      <c r="A273" s="361" t="s">
        <v>5436</v>
      </c>
      <c r="B273" s="361" t="s">
        <v>4404</v>
      </c>
      <c r="C273" s="370" t="s">
        <v>8083</v>
      </c>
      <c r="D273" s="363">
        <v>1691</v>
      </c>
      <c r="E273" s="363">
        <v>1689</v>
      </c>
      <c r="F273" s="363">
        <v>1702</v>
      </c>
      <c r="G273" s="95">
        <v>1709</v>
      </c>
      <c r="H273" s="101">
        <v>1728</v>
      </c>
      <c r="I273" s="101">
        <v>1735</v>
      </c>
      <c r="J273" s="101">
        <v>1758</v>
      </c>
      <c r="K273" s="101">
        <v>1783</v>
      </c>
      <c r="L273" s="101">
        <v>1719</v>
      </c>
      <c r="M273" s="101">
        <v>1738</v>
      </c>
      <c r="N273" s="101">
        <v>1738</v>
      </c>
      <c r="O273" s="101">
        <v>1763</v>
      </c>
      <c r="Q273" s="361" t="s">
        <v>2759</v>
      </c>
    </row>
    <row r="274" spans="1:17">
      <c r="A274" s="361" t="s">
        <v>5437</v>
      </c>
      <c r="B274" s="361" t="s">
        <v>4405</v>
      </c>
      <c r="C274" s="370" t="s">
        <v>8084</v>
      </c>
      <c r="D274" s="363">
        <v>1608</v>
      </c>
      <c r="E274" s="363">
        <v>1597</v>
      </c>
      <c r="F274" s="363">
        <v>1603</v>
      </c>
      <c r="G274" s="95">
        <v>1600</v>
      </c>
      <c r="H274" s="100">
        <v>1584</v>
      </c>
      <c r="I274" s="100">
        <v>1520</v>
      </c>
      <c r="J274" s="100">
        <v>1530</v>
      </c>
      <c r="K274" s="100">
        <v>1607</v>
      </c>
      <c r="L274" s="100">
        <v>1574</v>
      </c>
      <c r="M274" s="100">
        <v>1587</v>
      </c>
      <c r="N274" s="100">
        <v>1587</v>
      </c>
      <c r="O274" s="100">
        <v>1605</v>
      </c>
      <c r="Q274" s="361" t="s">
        <v>2757</v>
      </c>
    </row>
    <row r="275" spans="1:17">
      <c r="A275" s="361" t="s">
        <v>5439</v>
      </c>
      <c r="B275" s="361" t="s">
        <v>4406</v>
      </c>
      <c r="C275" s="370" t="s">
        <v>8085</v>
      </c>
      <c r="D275" s="363">
        <v>1768</v>
      </c>
      <c r="E275" s="363">
        <v>1790</v>
      </c>
      <c r="F275" s="363">
        <v>1802</v>
      </c>
      <c r="G275" s="95">
        <v>1784</v>
      </c>
      <c r="H275" s="101">
        <v>1734</v>
      </c>
      <c r="I275" s="101">
        <v>1674</v>
      </c>
      <c r="J275" s="101">
        <v>1689</v>
      </c>
      <c r="K275" s="101">
        <v>1679</v>
      </c>
      <c r="L275" s="101">
        <v>1696</v>
      </c>
      <c r="M275" s="101">
        <v>1687</v>
      </c>
      <c r="N275" s="101">
        <v>1687</v>
      </c>
      <c r="O275" s="101">
        <v>1674</v>
      </c>
      <c r="Q275" s="361" t="s">
        <v>2757</v>
      </c>
    </row>
    <row r="276" spans="1:17">
      <c r="A276" s="361" t="s">
        <v>5441</v>
      </c>
      <c r="B276" s="361" t="s">
        <v>4407</v>
      </c>
      <c r="C276" s="370" t="s">
        <v>8086</v>
      </c>
      <c r="D276" s="363">
        <v>5025</v>
      </c>
      <c r="E276" s="363">
        <v>5059</v>
      </c>
      <c r="F276" s="363">
        <v>5000</v>
      </c>
      <c r="G276" s="95">
        <v>5005</v>
      </c>
      <c r="H276" s="101">
        <v>4903</v>
      </c>
      <c r="I276" s="101">
        <v>4710</v>
      </c>
      <c r="J276" s="101">
        <v>4657</v>
      </c>
      <c r="K276" s="101">
        <v>4782</v>
      </c>
      <c r="L276" s="101">
        <v>4779</v>
      </c>
      <c r="M276" s="101">
        <v>4755</v>
      </c>
      <c r="N276" s="101">
        <v>4755</v>
      </c>
      <c r="O276" s="101">
        <v>4773</v>
      </c>
      <c r="Q276" s="361" t="s">
        <v>2757</v>
      </c>
    </row>
    <row r="277" spans="1:17">
      <c r="A277" s="361" t="s">
        <v>5886</v>
      </c>
      <c r="B277" s="361" t="s">
        <v>4408</v>
      </c>
      <c r="C277" s="370" t="s">
        <v>8087</v>
      </c>
      <c r="D277" s="363">
        <v>1771</v>
      </c>
      <c r="E277" s="363">
        <v>1788</v>
      </c>
      <c r="F277" s="363">
        <v>1785</v>
      </c>
      <c r="G277" s="95">
        <v>1794</v>
      </c>
      <c r="H277" s="101">
        <v>1822</v>
      </c>
      <c r="I277" s="101">
        <v>1782</v>
      </c>
      <c r="J277" s="101">
        <v>1759</v>
      </c>
      <c r="K277" s="101">
        <v>1807</v>
      </c>
      <c r="L277" s="101">
        <v>1825</v>
      </c>
      <c r="M277" s="101">
        <v>1805</v>
      </c>
      <c r="N277" s="101">
        <v>1805</v>
      </c>
      <c r="O277" s="101">
        <v>1823</v>
      </c>
      <c r="Q277" s="361" t="s">
        <v>2757</v>
      </c>
    </row>
    <row r="278" spans="1:17">
      <c r="A278" s="361" t="s">
        <v>5888</v>
      </c>
      <c r="B278" s="361" t="s">
        <v>9475</v>
      </c>
      <c r="C278" s="370" t="s">
        <v>8088</v>
      </c>
      <c r="D278" s="363">
        <v>3363</v>
      </c>
      <c r="E278" s="363">
        <v>3347</v>
      </c>
      <c r="F278" s="363">
        <v>3324</v>
      </c>
      <c r="G278" s="95">
        <v>3362</v>
      </c>
      <c r="H278" s="101">
        <v>3354</v>
      </c>
      <c r="I278" s="101">
        <v>3258</v>
      </c>
      <c r="J278" s="101">
        <v>3191</v>
      </c>
      <c r="K278" s="101">
        <v>3248</v>
      </c>
      <c r="L278" s="101">
        <v>3206</v>
      </c>
      <c r="M278" s="101">
        <v>3251</v>
      </c>
      <c r="N278" s="101">
        <v>3251</v>
      </c>
      <c r="O278" s="101">
        <v>3316</v>
      </c>
      <c r="Q278" s="361" t="s">
        <v>2759</v>
      </c>
    </row>
    <row r="279" spans="1:17">
      <c r="A279" s="361" t="s">
        <v>5889</v>
      </c>
      <c r="B279" s="361" t="s">
        <v>4409</v>
      </c>
      <c r="C279" s="370" t="s">
        <v>8089</v>
      </c>
      <c r="D279" s="363">
        <v>5277</v>
      </c>
      <c r="E279" s="363">
        <v>5304</v>
      </c>
      <c r="F279" s="363">
        <v>5332</v>
      </c>
      <c r="G279" s="95">
        <v>5381</v>
      </c>
      <c r="H279" s="101">
        <v>5361</v>
      </c>
      <c r="I279" s="101">
        <v>5202</v>
      </c>
      <c r="J279" s="101">
        <v>5203</v>
      </c>
      <c r="K279" s="101">
        <v>5279</v>
      </c>
      <c r="L279" s="101">
        <v>5302</v>
      </c>
      <c r="M279" s="101">
        <v>5292</v>
      </c>
      <c r="N279" s="101">
        <v>5293</v>
      </c>
      <c r="O279" s="101">
        <v>5296</v>
      </c>
      <c r="Q279" s="361" t="s">
        <v>2757</v>
      </c>
    </row>
    <row r="280" spans="1:17">
      <c r="A280" s="361" t="s">
        <v>4431</v>
      </c>
      <c r="B280" s="361" t="s">
        <v>4410</v>
      </c>
      <c r="C280" s="370" t="s">
        <v>8090</v>
      </c>
      <c r="D280" s="363">
        <v>3181</v>
      </c>
      <c r="E280" s="363">
        <v>3210</v>
      </c>
      <c r="F280" s="363">
        <v>3231</v>
      </c>
      <c r="G280" s="95">
        <v>3237</v>
      </c>
      <c r="H280" s="101">
        <v>3240</v>
      </c>
      <c r="I280" s="101">
        <v>3027</v>
      </c>
      <c r="J280" s="101">
        <v>3119</v>
      </c>
      <c r="K280" s="101">
        <v>3195</v>
      </c>
      <c r="L280" s="101">
        <v>3193</v>
      </c>
      <c r="M280" s="101">
        <v>3199</v>
      </c>
      <c r="N280" s="101">
        <v>3199</v>
      </c>
      <c r="O280" s="101">
        <v>3225</v>
      </c>
      <c r="Q280" s="361" t="s">
        <v>2757</v>
      </c>
    </row>
    <row r="281" spans="1:17">
      <c r="A281" s="361" t="s">
        <v>4432</v>
      </c>
      <c r="B281" s="361" t="s">
        <v>4411</v>
      </c>
      <c r="C281" s="370" t="s">
        <v>8091</v>
      </c>
      <c r="D281" s="363">
        <v>3535</v>
      </c>
      <c r="E281" s="363">
        <v>3554</v>
      </c>
      <c r="F281" s="363">
        <v>3606</v>
      </c>
      <c r="G281" s="95">
        <v>3630</v>
      </c>
      <c r="H281" s="101">
        <v>3562</v>
      </c>
      <c r="I281" s="101">
        <v>3424</v>
      </c>
      <c r="J281" s="101">
        <v>3408</v>
      </c>
      <c r="K281" s="101">
        <v>3460</v>
      </c>
      <c r="L281" s="101">
        <v>3479</v>
      </c>
      <c r="M281" s="101">
        <v>3501</v>
      </c>
      <c r="N281" s="101">
        <v>3502</v>
      </c>
      <c r="O281" s="101">
        <v>3487</v>
      </c>
      <c r="Q281" s="361" t="s">
        <v>2757</v>
      </c>
    </row>
    <row r="282" spans="1:17">
      <c r="D282" s="363"/>
      <c r="E282" s="363"/>
      <c r="F282" s="363"/>
      <c r="G282" s="363"/>
      <c r="H282" s="363"/>
      <c r="I282" s="363"/>
      <c r="J282" s="363"/>
      <c r="K282" s="363"/>
      <c r="L282" s="363"/>
      <c r="M282" s="363"/>
      <c r="N282" s="363"/>
      <c r="O282" s="363"/>
    </row>
    <row r="283" spans="1:17">
      <c r="A283" s="361" t="s">
        <v>2757</v>
      </c>
      <c r="D283" s="363">
        <f t="shared" ref="D283:I283" si="119">SUM(D257:D267)+D268+D269+D270+SUM(D274:D277)+SUM(D279:D281)</f>
        <v>73630</v>
      </c>
      <c r="E283" s="363">
        <f t="shared" si="119"/>
        <v>74189</v>
      </c>
      <c r="F283" s="363">
        <f t="shared" si="119"/>
        <v>74608</v>
      </c>
      <c r="G283" s="363">
        <f t="shared" si="119"/>
        <v>74945</v>
      </c>
      <c r="H283" s="363">
        <f t="shared" si="119"/>
        <v>74622</v>
      </c>
      <c r="I283" s="363">
        <f t="shared" si="119"/>
        <v>71956</v>
      </c>
      <c r="J283" s="363">
        <f t="shared" ref="J283:O283" si="120">SUM(J257:J267)+J268+J269+J270+SUM(J274:J277)+SUM(J279:J281)</f>
        <v>72132</v>
      </c>
      <c r="K283" s="363">
        <f t="shared" si="120"/>
        <v>73660</v>
      </c>
      <c r="L283" s="363">
        <f t="shared" si="120"/>
        <v>73658</v>
      </c>
      <c r="M283" s="363">
        <f t="shared" si="120"/>
        <v>73286</v>
      </c>
      <c r="N283" s="363">
        <f t="shared" si="120"/>
        <v>73293</v>
      </c>
      <c r="O283" s="363">
        <f t="shared" si="120"/>
        <v>73895</v>
      </c>
    </row>
    <row r="284" spans="1:17">
      <c r="A284" s="361" t="s">
        <v>4412</v>
      </c>
      <c r="D284" s="363">
        <f t="shared" ref="D284:I284" si="121">SUM(D271:D273)+D278</f>
        <v>11651</v>
      </c>
      <c r="E284" s="363">
        <f t="shared" si="121"/>
        <v>11671</v>
      </c>
      <c r="F284" s="363">
        <f t="shared" si="121"/>
        <v>11697</v>
      </c>
      <c r="G284" s="363">
        <f t="shared" si="121"/>
        <v>11712</v>
      </c>
      <c r="H284" s="363">
        <f t="shared" si="121"/>
        <v>11701</v>
      </c>
      <c r="I284" s="363">
        <f t="shared" si="121"/>
        <v>11410</v>
      </c>
      <c r="J284" s="363">
        <f t="shared" ref="J284:O284" si="122">SUM(J271:J273)+J278</f>
        <v>11275</v>
      </c>
      <c r="K284" s="363">
        <f t="shared" si="122"/>
        <v>11439</v>
      </c>
      <c r="L284" s="363">
        <f t="shared" si="122"/>
        <v>11356</v>
      </c>
      <c r="M284" s="363">
        <f t="shared" si="122"/>
        <v>11569</v>
      </c>
      <c r="N284" s="363">
        <f t="shared" si="122"/>
        <v>11569</v>
      </c>
      <c r="O284" s="363">
        <f t="shared" si="122"/>
        <v>11878</v>
      </c>
    </row>
    <row r="285" spans="1:17">
      <c r="A285" s="361"/>
      <c r="D285" s="363"/>
      <c r="E285" s="363"/>
      <c r="F285" s="363"/>
      <c r="G285" s="363"/>
      <c r="H285" s="363"/>
      <c r="I285" s="363"/>
      <c r="J285" s="363"/>
      <c r="K285" s="363"/>
      <c r="L285" s="363"/>
      <c r="M285" s="363"/>
      <c r="N285" s="363"/>
      <c r="O285" s="363"/>
    </row>
    <row r="286" spans="1:17">
      <c r="A286" s="361" t="s">
        <v>1579</v>
      </c>
      <c r="D286" s="363"/>
      <c r="E286" s="363"/>
      <c r="F286" s="363"/>
      <c r="G286" s="363"/>
      <c r="H286" s="363"/>
      <c r="I286" s="363"/>
      <c r="J286" s="363"/>
      <c r="K286" s="363"/>
      <c r="L286" s="363"/>
      <c r="M286" s="363"/>
      <c r="N286" s="363"/>
      <c r="O286" s="363"/>
    </row>
    <row r="287" spans="1:17">
      <c r="A287" s="361"/>
      <c r="B287" s="361"/>
    </row>
    <row r="288" spans="1:17">
      <c r="A288" s="361"/>
      <c r="B288" s="361"/>
    </row>
    <row r="289" spans="1:17">
      <c r="E289" s="92" t="s">
        <v>1526</v>
      </c>
      <c r="F289" s="92"/>
      <c r="G289" s="92"/>
      <c r="H289" s="92"/>
      <c r="I289" s="92"/>
      <c r="J289" s="92"/>
      <c r="K289" s="92"/>
      <c r="L289" s="92"/>
      <c r="M289" s="92"/>
      <c r="N289" s="92"/>
      <c r="O289" s="92"/>
      <c r="P289" s="367"/>
      <c r="Q289" s="367" t="s">
        <v>9479</v>
      </c>
    </row>
    <row r="290" spans="1:17">
      <c r="D290" s="368">
        <v>2010</v>
      </c>
      <c r="E290" s="368">
        <v>2011</v>
      </c>
      <c r="F290" s="368">
        <v>2012</v>
      </c>
      <c r="G290" s="368">
        <v>2013</v>
      </c>
      <c r="H290" s="368">
        <v>2014</v>
      </c>
      <c r="I290" s="368">
        <v>2015</v>
      </c>
      <c r="J290" s="368">
        <v>2016</v>
      </c>
      <c r="K290" s="368">
        <v>2017</v>
      </c>
      <c r="L290" s="368">
        <v>2018</v>
      </c>
      <c r="M290" s="368">
        <v>2019</v>
      </c>
      <c r="N290" s="368">
        <v>2020</v>
      </c>
      <c r="O290" s="940" t="s">
        <v>14823</v>
      </c>
      <c r="P290" s="367"/>
      <c r="Q290" s="369" t="s">
        <v>1527</v>
      </c>
    </row>
    <row r="291" spans="1:17">
      <c r="A291" s="361" t="s">
        <v>687</v>
      </c>
      <c r="D291" s="363">
        <f>SUM(D292:D308)+SUM(D310:D314)+SUM(D316:D318)</f>
        <v>98303</v>
      </c>
      <c r="E291" s="363">
        <f t="shared" ref="E291:J291" si="123">SUM(E292:E308)+SUM(E310:E314)+SUM(E316:E318)</f>
        <v>97459</v>
      </c>
      <c r="F291" s="363">
        <f t="shared" si="123"/>
        <v>97541</v>
      </c>
      <c r="G291" s="363">
        <f t="shared" si="123"/>
        <v>97914</v>
      </c>
      <c r="H291" s="363">
        <f t="shared" si="123"/>
        <v>95842</v>
      </c>
      <c r="I291" s="363">
        <f t="shared" si="123"/>
        <v>94986</v>
      </c>
      <c r="J291" s="363">
        <f t="shared" si="123"/>
        <v>95558</v>
      </c>
      <c r="K291" s="363">
        <f>SUM(K292:K308)+SUM(K310:K314)+SUM(K316:K318)</f>
        <v>98652</v>
      </c>
      <c r="L291" s="363">
        <f>SUM(L292:L308)+SUM(L310:L314)+SUM(L316:L318)</f>
        <v>99622</v>
      </c>
      <c r="M291" s="363">
        <f>SUM(M292:M308)+SUM(M310:M314)+SUM(M316:M318)</f>
        <v>99824</v>
      </c>
      <c r="N291" s="363">
        <f>SUM(N292:N308)+SUM(N310:N314)+SUM(N316:N318)</f>
        <v>100458</v>
      </c>
      <c r="O291" s="363">
        <f>SUM(O292:O308)+SUM(O310:O314)+SUM(O316:O318)</f>
        <v>103829</v>
      </c>
    </row>
    <row r="292" spans="1:17">
      <c r="A292" s="361" t="s">
        <v>5387</v>
      </c>
      <c r="B292" s="361" t="s">
        <v>11214</v>
      </c>
      <c r="C292" s="370" t="s">
        <v>11212</v>
      </c>
      <c r="D292" s="363">
        <v>39442</v>
      </c>
      <c r="E292" s="363">
        <v>39298</v>
      </c>
      <c r="F292" s="363">
        <v>39489</v>
      </c>
      <c r="G292" s="363">
        <v>39729</v>
      </c>
      <c r="H292" s="95">
        <v>39128</v>
      </c>
      <c r="I292" s="95">
        <v>39024</v>
      </c>
      <c r="J292" s="95">
        <v>2164</v>
      </c>
      <c r="K292" s="95">
        <v>2202</v>
      </c>
      <c r="L292" s="95">
        <v>2177</v>
      </c>
      <c r="M292" s="95">
        <v>2191</v>
      </c>
      <c r="N292" s="95">
        <v>2175</v>
      </c>
      <c r="O292" s="95">
        <v>2231</v>
      </c>
      <c r="Q292" s="361" t="s">
        <v>2767</v>
      </c>
    </row>
    <row r="293" spans="1:17">
      <c r="A293" s="361" t="s">
        <v>5389</v>
      </c>
      <c r="B293" s="361" t="s">
        <v>1580</v>
      </c>
      <c r="C293" s="370" t="s">
        <v>11223</v>
      </c>
      <c r="D293" s="363">
        <v>58861</v>
      </c>
      <c r="E293" s="363">
        <v>58161</v>
      </c>
      <c r="F293" s="363">
        <v>58052</v>
      </c>
      <c r="G293" s="363">
        <v>58185</v>
      </c>
      <c r="H293" s="95">
        <v>56714</v>
      </c>
      <c r="I293" s="95">
        <v>55962</v>
      </c>
      <c r="J293" s="95">
        <v>4993</v>
      </c>
      <c r="K293" s="95">
        <v>5016</v>
      </c>
      <c r="L293" s="95">
        <v>5009</v>
      </c>
      <c r="M293" s="95">
        <v>4957</v>
      </c>
      <c r="N293" s="95">
        <v>4961</v>
      </c>
      <c r="O293" s="95">
        <v>5065</v>
      </c>
      <c r="Q293" s="361" t="s">
        <v>2759</v>
      </c>
    </row>
    <row r="294" spans="1:17">
      <c r="A294" s="361" t="s">
        <v>5391</v>
      </c>
      <c r="B294" s="361" t="s">
        <v>1581</v>
      </c>
      <c r="C294" s="370" t="s">
        <v>11224</v>
      </c>
      <c r="D294" s="372">
        <v>0</v>
      </c>
      <c r="E294" s="372">
        <v>0</v>
      </c>
      <c r="F294" s="372">
        <v>0</v>
      </c>
      <c r="G294" s="372">
        <v>0</v>
      </c>
      <c r="H294" s="95">
        <v>0</v>
      </c>
      <c r="I294" s="95">
        <v>0</v>
      </c>
      <c r="J294" s="95">
        <v>2629</v>
      </c>
      <c r="K294" s="95">
        <v>2840</v>
      </c>
      <c r="L294" s="95">
        <v>2871</v>
      </c>
      <c r="M294" s="95">
        <v>2839</v>
      </c>
      <c r="N294" s="95">
        <v>2807</v>
      </c>
      <c r="O294" s="95">
        <v>2958</v>
      </c>
      <c r="Q294" s="361" t="s">
        <v>2759</v>
      </c>
    </row>
    <row r="295" spans="1:17">
      <c r="A295" s="361" t="s">
        <v>5393</v>
      </c>
      <c r="B295" s="361" t="s">
        <v>1582</v>
      </c>
      <c r="C295" s="370" t="s">
        <v>11225</v>
      </c>
      <c r="D295" s="372">
        <v>0</v>
      </c>
      <c r="E295" s="372">
        <v>0</v>
      </c>
      <c r="F295" s="372">
        <v>0</v>
      </c>
      <c r="G295" s="372">
        <v>0</v>
      </c>
      <c r="H295" s="95">
        <v>0</v>
      </c>
      <c r="I295" s="95">
        <v>0</v>
      </c>
      <c r="J295" s="95">
        <v>4080</v>
      </c>
      <c r="K295" s="95">
        <v>4663</v>
      </c>
      <c r="L295" s="95">
        <v>4880</v>
      </c>
      <c r="M295" s="95">
        <v>4830</v>
      </c>
      <c r="N295" s="95">
        <v>4792</v>
      </c>
      <c r="O295" s="95">
        <v>5065</v>
      </c>
      <c r="Q295" s="361" t="s">
        <v>2759</v>
      </c>
    </row>
    <row r="296" spans="1:17">
      <c r="A296" s="361" t="s">
        <v>5394</v>
      </c>
      <c r="B296" s="361" t="s">
        <v>11215</v>
      </c>
      <c r="C296" s="370" t="s">
        <v>11226</v>
      </c>
      <c r="D296" s="372">
        <v>0</v>
      </c>
      <c r="E296" s="372">
        <v>0</v>
      </c>
      <c r="F296" s="372">
        <v>0</v>
      </c>
      <c r="G296" s="372">
        <v>0</v>
      </c>
      <c r="H296" s="95">
        <v>0</v>
      </c>
      <c r="I296" s="95">
        <v>0</v>
      </c>
      <c r="J296" s="95">
        <v>2334</v>
      </c>
      <c r="K296" s="95">
        <v>2440</v>
      </c>
      <c r="L296" s="95">
        <v>2506</v>
      </c>
      <c r="M296" s="95">
        <v>2568</v>
      </c>
      <c r="N296" s="95">
        <v>2654</v>
      </c>
      <c r="O296" s="95">
        <v>2749</v>
      </c>
      <c r="Q296" s="361" t="s">
        <v>2759</v>
      </c>
    </row>
    <row r="297" spans="1:17">
      <c r="A297" s="361" t="s">
        <v>5416</v>
      </c>
      <c r="B297" s="361" t="s">
        <v>1563</v>
      </c>
      <c r="C297" s="370" t="s">
        <v>11227</v>
      </c>
      <c r="D297" s="372">
        <v>0</v>
      </c>
      <c r="E297" s="372">
        <v>0</v>
      </c>
      <c r="F297" s="372">
        <v>0</v>
      </c>
      <c r="G297" s="372">
        <v>0</v>
      </c>
      <c r="H297" s="95">
        <v>0</v>
      </c>
      <c r="I297" s="95">
        <v>0</v>
      </c>
      <c r="J297" s="95">
        <v>5074</v>
      </c>
      <c r="K297" s="95">
        <v>5200</v>
      </c>
      <c r="L297" s="95">
        <v>5174</v>
      </c>
      <c r="M297" s="95">
        <v>5233</v>
      </c>
      <c r="N297" s="95">
        <v>5385</v>
      </c>
      <c r="O297" s="95">
        <v>5559</v>
      </c>
      <c r="Q297" s="361" t="s">
        <v>2767</v>
      </c>
    </row>
    <row r="298" spans="1:17">
      <c r="A298" s="361" t="s">
        <v>5418</v>
      </c>
      <c r="B298" s="361" t="s">
        <v>1564</v>
      </c>
      <c r="C298" s="370" t="s">
        <v>11228</v>
      </c>
      <c r="D298" s="372">
        <v>0</v>
      </c>
      <c r="E298" s="372">
        <v>0</v>
      </c>
      <c r="F298" s="372">
        <v>0</v>
      </c>
      <c r="G298" s="372">
        <v>0</v>
      </c>
      <c r="H298" s="95">
        <v>0</v>
      </c>
      <c r="I298" s="95">
        <v>0</v>
      </c>
      <c r="J298" s="95">
        <v>2071</v>
      </c>
      <c r="K298" s="95">
        <v>2208</v>
      </c>
      <c r="L298" s="95">
        <v>2370</v>
      </c>
      <c r="M298" s="95">
        <v>2320</v>
      </c>
      <c r="N298" s="95">
        <v>2336</v>
      </c>
      <c r="O298" s="95">
        <v>2451</v>
      </c>
      <c r="Q298" s="361" t="s">
        <v>2759</v>
      </c>
    </row>
    <row r="299" spans="1:17">
      <c r="A299" s="361" t="s">
        <v>5420</v>
      </c>
      <c r="B299" s="361" t="s">
        <v>1565</v>
      </c>
      <c r="C299" s="370" t="s">
        <v>11229</v>
      </c>
      <c r="D299" s="372">
        <v>0</v>
      </c>
      <c r="E299" s="372">
        <v>0</v>
      </c>
      <c r="F299" s="372">
        <v>0</v>
      </c>
      <c r="G299" s="372">
        <v>0</v>
      </c>
      <c r="H299" s="95">
        <v>0</v>
      </c>
      <c r="I299" s="95">
        <v>0</v>
      </c>
      <c r="J299" s="95">
        <v>4658</v>
      </c>
      <c r="K299" s="95">
        <v>4798</v>
      </c>
      <c r="L299" s="95">
        <v>4824</v>
      </c>
      <c r="M299" s="95">
        <v>4835</v>
      </c>
      <c r="N299" s="95">
        <v>4830</v>
      </c>
      <c r="O299" s="95">
        <v>4933</v>
      </c>
      <c r="Q299" s="361" t="s">
        <v>2767</v>
      </c>
    </row>
    <row r="300" spans="1:17">
      <c r="A300" s="361" t="s">
        <v>5422</v>
      </c>
      <c r="B300" s="361" t="s">
        <v>11216</v>
      </c>
      <c r="C300" s="370" t="s">
        <v>11230</v>
      </c>
      <c r="D300" s="372">
        <v>0</v>
      </c>
      <c r="E300" s="372">
        <v>0</v>
      </c>
      <c r="F300" s="372">
        <v>0</v>
      </c>
      <c r="G300" s="372">
        <v>0</v>
      </c>
      <c r="H300" s="95">
        <v>0</v>
      </c>
      <c r="I300" s="95">
        <v>0</v>
      </c>
      <c r="J300" s="95">
        <v>5177</v>
      </c>
      <c r="K300" s="95">
        <v>5314</v>
      </c>
      <c r="L300" s="95">
        <v>5467</v>
      </c>
      <c r="M300" s="95">
        <v>5467</v>
      </c>
      <c r="N300" s="95">
        <v>5508</v>
      </c>
      <c r="O300" s="95">
        <v>5633</v>
      </c>
      <c r="Q300" s="361" t="s">
        <v>2767</v>
      </c>
    </row>
    <row r="301" spans="1:17">
      <c r="A301" s="361" t="s">
        <v>5424</v>
      </c>
      <c r="B301" s="361" t="s">
        <v>11217</v>
      </c>
      <c r="C301" s="370" t="s">
        <v>11231</v>
      </c>
      <c r="D301" s="372">
        <v>0</v>
      </c>
      <c r="E301" s="372">
        <v>0</v>
      </c>
      <c r="F301" s="372">
        <v>0</v>
      </c>
      <c r="G301" s="372">
        <v>0</v>
      </c>
      <c r="H301" s="95">
        <v>0</v>
      </c>
      <c r="I301" s="95">
        <v>0</v>
      </c>
      <c r="J301" s="95">
        <v>5048</v>
      </c>
      <c r="K301" s="95">
        <v>5117</v>
      </c>
      <c r="L301" s="95">
        <v>5363</v>
      </c>
      <c r="M301" s="95">
        <v>5482</v>
      </c>
      <c r="N301" s="95">
        <v>5470</v>
      </c>
      <c r="O301" s="95">
        <v>5609</v>
      </c>
      <c r="Q301" s="361" t="s">
        <v>2759</v>
      </c>
    </row>
    <row r="302" spans="1:17">
      <c r="A302" s="361" t="s">
        <v>5426</v>
      </c>
      <c r="B302" s="361" t="s">
        <v>11218</v>
      </c>
      <c r="C302" s="370" t="s">
        <v>11232</v>
      </c>
      <c r="D302" s="372">
        <v>0</v>
      </c>
      <c r="E302" s="372">
        <v>0</v>
      </c>
      <c r="F302" s="372">
        <v>0</v>
      </c>
      <c r="G302" s="372">
        <v>0</v>
      </c>
      <c r="H302" s="95">
        <v>0</v>
      </c>
      <c r="I302" s="95">
        <v>0</v>
      </c>
      <c r="J302" s="95">
        <v>4769</v>
      </c>
      <c r="K302" s="95">
        <v>4930</v>
      </c>
      <c r="L302" s="95">
        <v>4849</v>
      </c>
      <c r="M302" s="95">
        <v>4820</v>
      </c>
      <c r="N302" s="95">
        <v>4757</v>
      </c>
      <c r="O302" s="95">
        <v>4911</v>
      </c>
      <c r="Q302" s="361" t="s">
        <v>2759</v>
      </c>
    </row>
    <row r="303" spans="1:17">
      <c r="A303" s="361" t="s">
        <v>5428</v>
      </c>
      <c r="B303" s="361" t="s">
        <v>980</v>
      </c>
      <c r="C303" s="370" t="s">
        <v>11233</v>
      </c>
      <c r="D303" s="372">
        <v>0</v>
      </c>
      <c r="E303" s="372">
        <v>0</v>
      </c>
      <c r="F303" s="372">
        <v>0</v>
      </c>
      <c r="G303" s="372">
        <v>0</v>
      </c>
      <c r="H303" s="95">
        <v>0</v>
      </c>
      <c r="I303" s="95">
        <v>0</v>
      </c>
      <c r="J303" s="95">
        <v>5334</v>
      </c>
      <c r="K303" s="95">
        <v>5435</v>
      </c>
      <c r="L303" s="95">
        <v>5368</v>
      </c>
      <c r="M303" s="95">
        <v>5360</v>
      </c>
      <c r="N303" s="95">
        <v>5365</v>
      </c>
      <c r="O303" s="95">
        <v>5495</v>
      </c>
      <c r="Q303" s="361" t="s">
        <v>2759</v>
      </c>
    </row>
    <row r="304" spans="1:17">
      <c r="A304" s="361" t="s">
        <v>5429</v>
      </c>
      <c r="B304" s="361" t="s">
        <v>981</v>
      </c>
      <c r="C304" s="370" t="s">
        <v>11234</v>
      </c>
      <c r="D304" s="372">
        <v>0</v>
      </c>
      <c r="E304" s="372">
        <v>0</v>
      </c>
      <c r="F304" s="372">
        <v>0</v>
      </c>
      <c r="G304" s="372">
        <v>0</v>
      </c>
      <c r="H304" s="95">
        <v>0</v>
      </c>
      <c r="I304" s="95">
        <v>0</v>
      </c>
      <c r="J304" s="95">
        <v>4282</v>
      </c>
      <c r="K304" s="95">
        <v>4379</v>
      </c>
      <c r="L304" s="95">
        <v>4318</v>
      </c>
      <c r="M304" s="95">
        <v>4227</v>
      </c>
      <c r="N304" s="95">
        <v>4252</v>
      </c>
      <c r="O304" s="95">
        <v>4406</v>
      </c>
      <c r="Q304" s="361" t="s">
        <v>2759</v>
      </c>
    </row>
    <row r="305" spans="1:17">
      <c r="A305" s="361" t="s">
        <v>5431</v>
      </c>
      <c r="B305" s="361" t="s">
        <v>5920</v>
      </c>
      <c r="C305" s="370" t="s">
        <v>11235</v>
      </c>
      <c r="D305" s="372">
        <v>0</v>
      </c>
      <c r="E305" s="372">
        <v>0</v>
      </c>
      <c r="F305" s="372">
        <v>0</v>
      </c>
      <c r="G305" s="372">
        <v>0</v>
      </c>
      <c r="H305" s="95">
        <v>0</v>
      </c>
      <c r="I305" s="95">
        <v>0</v>
      </c>
      <c r="J305" s="95">
        <v>5150</v>
      </c>
      <c r="K305" s="95">
        <v>5291</v>
      </c>
      <c r="L305" s="95">
        <v>5232</v>
      </c>
      <c r="M305" s="95">
        <v>5181</v>
      </c>
      <c r="N305" s="95">
        <v>5234</v>
      </c>
      <c r="O305" s="95">
        <v>5367</v>
      </c>
      <c r="Q305" s="361" t="s">
        <v>2759</v>
      </c>
    </row>
    <row r="306" spans="1:17">
      <c r="A306" s="361" t="s">
        <v>5433</v>
      </c>
      <c r="B306" s="361" t="s">
        <v>1400</v>
      </c>
      <c r="C306" s="370" t="s">
        <v>11236</v>
      </c>
      <c r="D306" s="372">
        <v>0</v>
      </c>
      <c r="E306" s="372">
        <v>0</v>
      </c>
      <c r="F306" s="372">
        <v>0</v>
      </c>
      <c r="G306" s="372">
        <v>0</v>
      </c>
      <c r="H306" s="95">
        <v>0</v>
      </c>
      <c r="I306" s="95">
        <v>0</v>
      </c>
      <c r="J306" s="95">
        <v>2438</v>
      </c>
      <c r="K306" s="95">
        <v>2479</v>
      </c>
      <c r="L306" s="95">
        <v>2430</v>
      </c>
      <c r="M306" s="95">
        <v>2439</v>
      </c>
      <c r="N306" s="95">
        <v>2402</v>
      </c>
      <c r="O306" s="95">
        <v>2447</v>
      </c>
      <c r="Q306" s="361" t="s">
        <v>2759</v>
      </c>
    </row>
    <row r="307" spans="1:17">
      <c r="A307" s="361" t="s">
        <v>5435</v>
      </c>
      <c r="B307" s="361" t="s">
        <v>982</v>
      </c>
      <c r="C307" s="370" t="s">
        <v>11237</v>
      </c>
      <c r="D307" s="363">
        <v>0</v>
      </c>
      <c r="E307" s="363">
        <v>0</v>
      </c>
      <c r="F307" s="363">
        <v>0</v>
      </c>
      <c r="G307" s="363">
        <v>0</v>
      </c>
      <c r="H307" s="95">
        <v>0</v>
      </c>
      <c r="I307" s="95">
        <v>0</v>
      </c>
      <c r="J307" s="95">
        <v>1120</v>
      </c>
      <c r="K307" s="95">
        <v>1215</v>
      </c>
      <c r="L307" s="95">
        <v>1387</v>
      </c>
      <c r="M307" s="95">
        <v>1590</v>
      </c>
      <c r="N307" s="95">
        <v>1730</v>
      </c>
      <c r="O307" s="95">
        <v>1922</v>
      </c>
      <c r="Q307" s="361" t="s">
        <v>2759</v>
      </c>
    </row>
    <row r="308" spans="1:17" ht="15.75" thickBot="1">
      <c r="A308" s="361"/>
      <c r="B308" s="361"/>
      <c r="C308" s="370" t="s">
        <v>11237</v>
      </c>
      <c r="D308" s="364">
        <v>0</v>
      </c>
      <c r="E308" s="364">
        <v>0</v>
      </c>
      <c r="F308" s="364">
        <v>0</v>
      </c>
      <c r="G308" s="364">
        <v>0</v>
      </c>
      <c r="H308" s="374">
        <v>0</v>
      </c>
      <c r="I308" s="374">
        <v>0</v>
      </c>
      <c r="J308" s="95">
        <v>3165</v>
      </c>
      <c r="K308" s="95">
        <v>3247</v>
      </c>
      <c r="L308" s="95">
        <v>3197</v>
      </c>
      <c r="M308" s="95">
        <v>3179</v>
      </c>
      <c r="N308" s="95">
        <v>3223</v>
      </c>
      <c r="O308" s="95">
        <v>3302</v>
      </c>
      <c r="Q308" s="361" t="s">
        <v>2767</v>
      </c>
    </row>
    <row r="309" spans="1:17" ht="15.75" thickBot="1">
      <c r="A309" s="361"/>
      <c r="B309" s="361"/>
      <c r="C309" s="370" t="s">
        <v>11237</v>
      </c>
      <c r="D309" s="371">
        <f>D307+D308</f>
        <v>0</v>
      </c>
      <c r="E309" s="371">
        <f t="shared" ref="E309:L309" si="124">E307+E308</f>
        <v>0</v>
      </c>
      <c r="F309" s="371">
        <f t="shared" si="124"/>
        <v>0</v>
      </c>
      <c r="G309" s="371">
        <f t="shared" si="124"/>
        <v>0</v>
      </c>
      <c r="H309" s="371">
        <f t="shared" si="124"/>
        <v>0</v>
      </c>
      <c r="I309" s="371">
        <f t="shared" si="124"/>
        <v>0</v>
      </c>
      <c r="J309" s="371">
        <f t="shared" si="124"/>
        <v>4285</v>
      </c>
      <c r="K309" s="371">
        <f t="shared" si="124"/>
        <v>4462</v>
      </c>
      <c r="L309" s="371">
        <f t="shared" si="124"/>
        <v>4584</v>
      </c>
      <c r="M309" s="371">
        <f>M307+M308</f>
        <v>4769</v>
      </c>
      <c r="N309" s="371">
        <f>N307+N308</f>
        <v>4953</v>
      </c>
      <c r="O309" s="371">
        <f>O307+O308</f>
        <v>5224</v>
      </c>
      <c r="Q309" s="361"/>
    </row>
    <row r="310" spans="1:17">
      <c r="A310" s="361" t="s">
        <v>5436</v>
      </c>
      <c r="B310" s="361" t="s">
        <v>983</v>
      </c>
      <c r="C310" s="370" t="s">
        <v>11238</v>
      </c>
      <c r="D310" s="372">
        <v>0</v>
      </c>
      <c r="E310" s="372">
        <v>0</v>
      </c>
      <c r="F310" s="372">
        <v>0</v>
      </c>
      <c r="G310" s="372">
        <v>0</v>
      </c>
      <c r="H310" s="95">
        <v>0</v>
      </c>
      <c r="I310" s="95">
        <v>0</v>
      </c>
      <c r="J310" s="95">
        <v>2411</v>
      </c>
      <c r="K310" s="95">
        <v>2483</v>
      </c>
      <c r="L310" s="95">
        <v>2453</v>
      </c>
      <c r="M310" s="95">
        <v>2472</v>
      </c>
      <c r="N310" s="95">
        <v>2483</v>
      </c>
      <c r="O310" s="95">
        <v>2574</v>
      </c>
      <c r="Q310" s="361" t="s">
        <v>2759</v>
      </c>
    </row>
    <row r="311" spans="1:17">
      <c r="A311" s="361" t="s">
        <v>5437</v>
      </c>
      <c r="B311" s="361" t="s">
        <v>984</v>
      </c>
      <c r="C311" s="370" t="s">
        <v>11239</v>
      </c>
      <c r="D311" s="372">
        <v>0</v>
      </c>
      <c r="E311" s="372">
        <v>0</v>
      </c>
      <c r="F311" s="372">
        <v>0</v>
      </c>
      <c r="G311" s="372">
        <v>0</v>
      </c>
      <c r="H311" s="95">
        <v>0</v>
      </c>
      <c r="I311" s="95">
        <v>0</v>
      </c>
      <c r="J311" s="95">
        <v>2364</v>
      </c>
      <c r="K311" s="95">
        <v>2425</v>
      </c>
      <c r="L311" s="95">
        <v>2416</v>
      </c>
      <c r="M311" s="95">
        <v>2410</v>
      </c>
      <c r="N311" s="95">
        <v>2494</v>
      </c>
      <c r="O311" s="95">
        <v>2627</v>
      </c>
      <c r="Q311" s="361" t="s">
        <v>2759</v>
      </c>
    </row>
    <row r="312" spans="1:17">
      <c r="A312" s="361" t="s">
        <v>5439</v>
      </c>
      <c r="B312" s="361" t="s">
        <v>11219</v>
      </c>
      <c r="C312" s="370" t="s">
        <v>11240</v>
      </c>
      <c r="D312" s="372">
        <v>0</v>
      </c>
      <c r="E312" s="372">
        <v>0</v>
      </c>
      <c r="F312" s="372">
        <v>0</v>
      </c>
      <c r="G312" s="372">
        <v>0</v>
      </c>
      <c r="H312" s="95">
        <v>0</v>
      </c>
      <c r="I312" s="95">
        <v>0</v>
      </c>
      <c r="J312" s="95">
        <v>7766</v>
      </c>
      <c r="K312" s="95">
        <v>7855</v>
      </c>
      <c r="L312" s="95">
        <v>7925</v>
      </c>
      <c r="M312" s="95">
        <v>7872</v>
      </c>
      <c r="N312" s="95">
        <v>7808</v>
      </c>
      <c r="O312" s="95">
        <v>8057</v>
      </c>
      <c r="Q312" s="361" t="s">
        <v>2767</v>
      </c>
    </row>
    <row r="313" spans="1:17">
      <c r="A313" s="361" t="s">
        <v>5441</v>
      </c>
      <c r="B313" s="361" t="s">
        <v>11220</v>
      </c>
      <c r="C313" s="370" t="s">
        <v>11241</v>
      </c>
      <c r="D313" s="363">
        <v>0</v>
      </c>
      <c r="E313" s="363">
        <v>0</v>
      </c>
      <c r="F313" s="363">
        <v>0</v>
      </c>
      <c r="G313" s="363">
        <v>0</v>
      </c>
      <c r="H313" s="95">
        <v>0</v>
      </c>
      <c r="I313" s="95">
        <v>0</v>
      </c>
      <c r="J313" s="95">
        <v>2826</v>
      </c>
      <c r="K313" s="95">
        <v>2886</v>
      </c>
      <c r="L313" s="95">
        <v>3007</v>
      </c>
      <c r="M313" s="95">
        <v>3119</v>
      </c>
      <c r="N313" s="95">
        <v>3185</v>
      </c>
      <c r="O313" s="95">
        <v>3320</v>
      </c>
      <c r="Q313" s="361" t="s">
        <v>2759</v>
      </c>
    </row>
    <row r="314" spans="1:17" ht="15.75" thickBot="1">
      <c r="A314" s="361"/>
      <c r="B314" s="361"/>
      <c r="C314" s="370" t="s">
        <v>11241</v>
      </c>
      <c r="D314" s="364">
        <v>0</v>
      </c>
      <c r="E314" s="364">
        <v>0</v>
      </c>
      <c r="F314" s="364">
        <v>0</v>
      </c>
      <c r="G314" s="364">
        <v>0</v>
      </c>
      <c r="H314" s="374">
        <v>0</v>
      </c>
      <c r="I314" s="374">
        <v>0</v>
      </c>
      <c r="J314" s="95">
        <v>1797</v>
      </c>
      <c r="K314" s="95">
        <v>1804</v>
      </c>
      <c r="L314" s="95">
        <v>1787</v>
      </c>
      <c r="M314" s="95">
        <v>1810</v>
      </c>
      <c r="N314" s="95">
        <v>1800</v>
      </c>
      <c r="O314" s="95">
        <v>1850</v>
      </c>
      <c r="Q314" s="361" t="s">
        <v>2767</v>
      </c>
    </row>
    <row r="315" spans="1:17" ht="15.75" thickBot="1">
      <c r="A315" s="361"/>
      <c r="B315" s="361"/>
      <c r="C315" s="370" t="s">
        <v>11241</v>
      </c>
      <c r="D315" s="371">
        <f t="shared" ref="D315:O315" si="125">D313+D314</f>
        <v>0</v>
      </c>
      <c r="E315" s="371">
        <f t="shared" si="125"/>
        <v>0</v>
      </c>
      <c r="F315" s="371">
        <f t="shared" si="125"/>
        <v>0</v>
      </c>
      <c r="G315" s="371">
        <f t="shared" si="125"/>
        <v>0</v>
      </c>
      <c r="H315" s="371">
        <f t="shared" si="125"/>
        <v>0</v>
      </c>
      <c r="I315" s="371">
        <f t="shared" si="125"/>
        <v>0</v>
      </c>
      <c r="J315" s="371">
        <f t="shared" si="125"/>
        <v>4623</v>
      </c>
      <c r="K315" s="371">
        <f t="shared" si="125"/>
        <v>4690</v>
      </c>
      <c r="L315" s="371">
        <f t="shared" si="125"/>
        <v>4794</v>
      </c>
      <c r="M315" s="371">
        <f t="shared" si="125"/>
        <v>4929</v>
      </c>
      <c r="N315" s="371">
        <f t="shared" si="125"/>
        <v>4985</v>
      </c>
      <c r="O315" s="371">
        <f t="shared" si="125"/>
        <v>5170</v>
      </c>
      <c r="Q315" s="361"/>
    </row>
    <row r="316" spans="1:17">
      <c r="A316" s="361" t="s">
        <v>5886</v>
      </c>
      <c r="B316" s="361" t="s">
        <v>11221</v>
      </c>
      <c r="C316" s="370" t="s">
        <v>11242</v>
      </c>
      <c r="D316" s="363">
        <v>0</v>
      </c>
      <c r="E316" s="363">
        <v>0</v>
      </c>
      <c r="F316" s="363">
        <v>0</v>
      </c>
      <c r="G316" s="363">
        <v>0</v>
      </c>
      <c r="H316" s="95">
        <v>0</v>
      </c>
      <c r="I316" s="95">
        <v>0</v>
      </c>
      <c r="J316" s="95">
        <v>4679</v>
      </c>
      <c r="K316" s="95">
        <v>4974</v>
      </c>
      <c r="L316" s="95">
        <v>5108</v>
      </c>
      <c r="M316" s="95">
        <v>5109</v>
      </c>
      <c r="N316" s="95">
        <v>5108</v>
      </c>
      <c r="O316" s="95">
        <v>5257</v>
      </c>
      <c r="Q316" s="361" t="s">
        <v>2767</v>
      </c>
    </row>
    <row r="317" spans="1:17">
      <c r="A317" s="361" t="s">
        <v>5888</v>
      </c>
      <c r="B317" s="361" t="s">
        <v>6140</v>
      </c>
      <c r="C317" s="370" t="s">
        <v>11243</v>
      </c>
      <c r="D317" s="372">
        <v>0</v>
      </c>
      <c r="E317" s="372">
        <v>0</v>
      </c>
      <c r="F317" s="372">
        <v>0</v>
      </c>
      <c r="G317" s="372">
        <v>0</v>
      </c>
      <c r="H317" s="95">
        <v>0</v>
      </c>
      <c r="I317" s="95">
        <v>0</v>
      </c>
      <c r="J317" s="95">
        <v>4548</v>
      </c>
      <c r="K317" s="95">
        <v>4682</v>
      </c>
      <c r="L317" s="95">
        <v>4786</v>
      </c>
      <c r="M317" s="95">
        <v>4849</v>
      </c>
      <c r="N317" s="95">
        <v>5041</v>
      </c>
      <c r="O317" s="95">
        <v>5277</v>
      </c>
      <c r="Q317" s="361" t="s">
        <v>2767</v>
      </c>
    </row>
    <row r="318" spans="1:17">
      <c r="A318" s="361" t="s">
        <v>5889</v>
      </c>
      <c r="B318" s="361" t="s">
        <v>11222</v>
      </c>
      <c r="C318" s="370" t="s">
        <v>11244</v>
      </c>
      <c r="D318" s="372">
        <v>0</v>
      </c>
      <c r="E318" s="372">
        <v>0</v>
      </c>
      <c r="F318" s="372">
        <v>0</v>
      </c>
      <c r="G318" s="372">
        <v>0</v>
      </c>
      <c r="H318" s="95">
        <v>0</v>
      </c>
      <c r="I318" s="95">
        <v>0</v>
      </c>
      <c r="J318" s="95">
        <v>4681</v>
      </c>
      <c r="K318" s="95">
        <v>4769</v>
      </c>
      <c r="L318" s="95">
        <v>4718</v>
      </c>
      <c r="M318" s="95">
        <v>4665</v>
      </c>
      <c r="N318" s="95">
        <v>4658</v>
      </c>
      <c r="O318" s="95">
        <v>4764</v>
      </c>
      <c r="Q318" s="361" t="s">
        <v>2759</v>
      </c>
    </row>
    <row r="319" spans="1:17">
      <c r="D319" s="363"/>
      <c r="E319" s="363"/>
      <c r="F319" s="363"/>
      <c r="G319" s="363"/>
      <c r="H319" s="363"/>
      <c r="I319" s="363"/>
      <c r="J319" s="363"/>
      <c r="K319" s="363"/>
      <c r="L319" s="363"/>
      <c r="M319" s="363"/>
      <c r="N319" s="363"/>
      <c r="O319" s="363"/>
    </row>
    <row r="320" spans="1:17">
      <c r="A320" s="361" t="s">
        <v>4412</v>
      </c>
      <c r="D320" s="363">
        <f t="shared" ref="D320:I320" si="126">SUM(D293:D296)+D298+SUM(D301:D307)+D310+D311+D313+D318</f>
        <v>58861</v>
      </c>
      <c r="E320" s="363">
        <f t="shared" si="126"/>
        <v>58161</v>
      </c>
      <c r="F320" s="363">
        <f t="shared" si="126"/>
        <v>58052</v>
      </c>
      <c r="G320" s="363">
        <f t="shared" si="126"/>
        <v>58185</v>
      </c>
      <c r="H320" s="363">
        <f t="shared" si="126"/>
        <v>56714</v>
      </c>
      <c r="I320" s="363">
        <f t="shared" si="126"/>
        <v>55962</v>
      </c>
      <c r="J320" s="363">
        <f t="shared" ref="J320:O320" si="127">SUM(J293:J296)+J298+SUM(J301:J307)+J310+J311+J313+J318</f>
        <v>56530</v>
      </c>
      <c r="K320" s="363">
        <f t="shared" si="127"/>
        <v>58576</v>
      </c>
      <c r="L320" s="363">
        <f t="shared" si="127"/>
        <v>59177</v>
      </c>
      <c r="M320" s="363">
        <f t="shared" si="127"/>
        <v>59279</v>
      </c>
      <c r="N320" s="363">
        <f t="shared" si="127"/>
        <v>59580</v>
      </c>
      <c r="O320" s="363">
        <f t="shared" si="127"/>
        <v>61730</v>
      </c>
    </row>
    <row r="321" spans="1:17">
      <c r="A321" s="361" t="s">
        <v>2942</v>
      </c>
      <c r="D321" s="363">
        <f t="shared" ref="D321:I321" si="128">D292+D297+D299+D300+D308+D312+D314+D316+D317</f>
        <v>39442</v>
      </c>
      <c r="E321" s="363">
        <f t="shared" si="128"/>
        <v>39298</v>
      </c>
      <c r="F321" s="363">
        <f t="shared" si="128"/>
        <v>39489</v>
      </c>
      <c r="G321" s="363">
        <f t="shared" si="128"/>
        <v>39729</v>
      </c>
      <c r="H321" s="363">
        <f t="shared" si="128"/>
        <v>39128</v>
      </c>
      <c r="I321" s="363">
        <f t="shared" si="128"/>
        <v>39024</v>
      </c>
      <c r="J321" s="363">
        <f t="shared" ref="J321:O321" si="129">J292+J297+J299+J300+J308+J312+J314+J316+J317</f>
        <v>39028</v>
      </c>
      <c r="K321" s="363">
        <f t="shared" si="129"/>
        <v>40076</v>
      </c>
      <c r="L321" s="363">
        <f t="shared" si="129"/>
        <v>40445</v>
      </c>
      <c r="M321" s="363">
        <f t="shared" si="129"/>
        <v>40545</v>
      </c>
      <c r="N321" s="363">
        <f t="shared" si="129"/>
        <v>40878</v>
      </c>
      <c r="O321" s="363">
        <f t="shared" si="129"/>
        <v>42099</v>
      </c>
    </row>
    <row r="323" spans="1:17">
      <c r="A323" s="361" t="s">
        <v>11213</v>
      </c>
    </row>
    <row r="324" spans="1:17">
      <c r="A324" s="361"/>
    </row>
    <row r="325" spans="1:17">
      <c r="A325" s="361"/>
    </row>
    <row r="326" spans="1:17">
      <c r="E326" s="92" t="s">
        <v>1526</v>
      </c>
      <c r="F326" s="92"/>
      <c r="G326" s="92"/>
      <c r="H326" s="92"/>
      <c r="I326" s="92"/>
      <c r="J326" s="92"/>
      <c r="K326" s="92"/>
      <c r="L326" s="92"/>
      <c r="M326" s="92"/>
      <c r="N326" s="92"/>
      <c r="O326" s="92"/>
      <c r="P326" s="367"/>
      <c r="Q326" s="367" t="s">
        <v>9479</v>
      </c>
    </row>
    <row r="327" spans="1:17">
      <c r="D327" s="368">
        <v>2010</v>
      </c>
      <c r="E327" s="368">
        <v>2011</v>
      </c>
      <c r="F327" s="368">
        <v>2012</v>
      </c>
      <c r="G327" s="368">
        <v>2013</v>
      </c>
      <c r="H327" s="368">
        <v>2014</v>
      </c>
      <c r="I327" s="368">
        <v>2015</v>
      </c>
      <c r="J327" s="368">
        <v>2016</v>
      </c>
      <c r="K327" s="368">
        <v>2017</v>
      </c>
      <c r="L327" s="368">
        <v>2018</v>
      </c>
      <c r="M327" s="368">
        <v>2019</v>
      </c>
      <c r="N327" s="368">
        <v>2020</v>
      </c>
      <c r="O327" s="940" t="s">
        <v>14823</v>
      </c>
      <c r="P327" s="367"/>
      <c r="Q327" s="369" t="s">
        <v>1527</v>
      </c>
    </row>
    <row r="328" spans="1:17">
      <c r="A328" s="361" t="s">
        <v>985</v>
      </c>
      <c r="D328" s="363">
        <f t="shared" ref="D328:I328" si="130">SUM(D329:D355)</f>
        <v>77952</v>
      </c>
      <c r="E328" s="363">
        <f t="shared" si="130"/>
        <v>78034</v>
      </c>
      <c r="F328" s="363">
        <f t="shared" si="130"/>
        <v>78178</v>
      </c>
      <c r="G328" s="363">
        <f t="shared" si="130"/>
        <v>78413</v>
      </c>
      <c r="H328" s="363">
        <f t="shared" si="130"/>
        <v>78268</v>
      </c>
      <c r="I328" s="363">
        <f t="shared" si="130"/>
        <v>78277</v>
      </c>
      <c r="J328" s="363">
        <f t="shared" ref="J328:O328" si="131">SUM(J329:J355)</f>
        <v>78211</v>
      </c>
      <c r="K328" s="363">
        <f t="shared" si="131"/>
        <v>78206</v>
      </c>
      <c r="L328" s="363">
        <f t="shared" si="131"/>
        <v>78002</v>
      </c>
      <c r="M328" s="363">
        <f t="shared" si="131"/>
        <v>78783</v>
      </c>
      <c r="N328" s="363">
        <f t="shared" si="131"/>
        <v>79321</v>
      </c>
      <c r="O328" s="363">
        <f t="shared" si="131"/>
        <v>78999</v>
      </c>
      <c r="P328" s="363"/>
    </row>
    <row r="329" spans="1:17">
      <c r="A329" s="361" t="s">
        <v>5387</v>
      </c>
      <c r="B329" s="361" t="s">
        <v>986</v>
      </c>
      <c r="C329" s="370" t="s">
        <v>8092</v>
      </c>
      <c r="D329" s="363">
        <v>1173</v>
      </c>
      <c r="E329" s="363">
        <v>1125</v>
      </c>
      <c r="F329" s="363">
        <v>1120</v>
      </c>
      <c r="G329" s="100">
        <v>1128</v>
      </c>
      <c r="H329" s="100">
        <v>1165</v>
      </c>
      <c r="I329" s="100">
        <v>1133</v>
      </c>
      <c r="J329" s="100">
        <v>1151</v>
      </c>
      <c r="K329" s="100">
        <v>1151</v>
      </c>
      <c r="L329" s="100">
        <v>1137</v>
      </c>
      <c r="M329" s="100">
        <v>1139</v>
      </c>
      <c r="N329" s="100">
        <v>1175</v>
      </c>
      <c r="O329" s="100">
        <v>1173</v>
      </c>
      <c r="Q329" s="361" t="s">
        <v>2761</v>
      </c>
    </row>
    <row r="330" spans="1:17">
      <c r="A330" s="361" t="s">
        <v>5389</v>
      </c>
      <c r="B330" s="361" t="s">
        <v>987</v>
      </c>
      <c r="C330" s="370" t="s">
        <v>8093</v>
      </c>
      <c r="D330" s="363">
        <v>1365</v>
      </c>
      <c r="E330" s="363">
        <v>1361</v>
      </c>
      <c r="F330" s="363">
        <v>1337</v>
      </c>
      <c r="G330" s="100">
        <v>1375</v>
      </c>
      <c r="H330" s="100">
        <v>1366</v>
      </c>
      <c r="I330" s="100">
        <v>1379</v>
      </c>
      <c r="J330" s="100">
        <v>1376</v>
      </c>
      <c r="K330" s="100">
        <v>1391</v>
      </c>
      <c r="L330" s="100">
        <v>1425</v>
      </c>
      <c r="M330" s="100">
        <v>1419</v>
      </c>
      <c r="N330" s="100">
        <v>1402</v>
      </c>
      <c r="O330" s="100">
        <v>1391</v>
      </c>
      <c r="Q330" s="361" t="s">
        <v>2761</v>
      </c>
    </row>
    <row r="331" spans="1:17">
      <c r="A331" s="361" t="s">
        <v>5391</v>
      </c>
      <c r="B331" s="361" t="s">
        <v>988</v>
      </c>
      <c r="C331" s="370" t="s">
        <v>8094</v>
      </c>
      <c r="D331" s="363">
        <v>4626</v>
      </c>
      <c r="E331" s="363">
        <v>4630</v>
      </c>
      <c r="F331" s="363">
        <v>4651</v>
      </c>
      <c r="G331" s="100">
        <v>4670</v>
      </c>
      <c r="H331" s="100">
        <v>4647</v>
      </c>
      <c r="I331" s="100">
        <v>4592</v>
      </c>
      <c r="J331" s="100">
        <v>4516</v>
      </c>
      <c r="K331" s="100">
        <v>4566</v>
      </c>
      <c r="L331" s="100">
        <v>4504</v>
      </c>
      <c r="M331" s="100">
        <v>4555</v>
      </c>
      <c r="N331" s="100">
        <v>4585</v>
      </c>
      <c r="O331" s="100">
        <v>4574</v>
      </c>
      <c r="Q331" s="361" t="s">
        <v>2761</v>
      </c>
    </row>
    <row r="332" spans="1:17">
      <c r="A332" s="361" t="s">
        <v>5393</v>
      </c>
      <c r="B332" s="361" t="s">
        <v>989</v>
      </c>
      <c r="C332" s="370" t="s">
        <v>8095</v>
      </c>
      <c r="D332" s="363">
        <v>1396</v>
      </c>
      <c r="E332" s="363">
        <v>1395</v>
      </c>
      <c r="F332" s="363">
        <v>1410</v>
      </c>
      <c r="G332" s="100">
        <v>1408</v>
      </c>
      <c r="H332" s="100">
        <v>1394</v>
      </c>
      <c r="I332" s="100">
        <v>1395</v>
      </c>
      <c r="J332" s="100">
        <v>1375</v>
      </c>
      <c r="K332" s="100">
        <v>1380</v>
      </c>
      <c r="L332" s="100">
        <v>1373</v>
      </c>
      <c r="M332" s="100">
        <v>1396</v>
      </c>
      <c r="N332" s="100">
        <v>1402</v>
      </c>
      <c r="O332" s="100">
        <v>1395</v>
      </c>
      <c r="Q332" s="361" t="s">
        <v>2761</v>
      </c>
    </row>
    <row r="333" spans="1:17">
      <c r="A333" s="361" t="s">
        <v>5394</v>
      </c>
      <c r="B333" s="361" t="s">
        <v>990</v>
      </c>
      <c r="C333" s="370" t="s">
        <v>8096</v>
      </c>
      <c r="D333" s="363">
        <v>4251</v>
      </c>
      <c r="E333" s="363">
        <v>4253</v>
      </c>
      <c r="F333" s="363">
        <v>4265</v>
      </c>
      <c r="G333" s="100">
        <v>4240</v>
      </c>
      <c r="H333" s="100">
        <v>4209</v>
      </c>
      <c r="I333" s="100">
        <v>4292</v>
      </c>
      <c r="J333" s="100">
        <v>4391</v>
      </c>
      <c r="K333" s="100">
        <v>4446</v>
      </c>
      <c r="L333" s="100">
        <v>4504</v>
      </c>
      <c r="M333" s="100">
        <v>4557</v>
      </c>
      <c r="N333" s="100">
        <v>4582</v>
      </c>
      <c r="O333" s="100">
        <v>4557</v>
      </c>
      <c r="Q333" s="361" t="s">
        <v>2761</v>
      </c>
    </row>
    <row r="334" spans="1:17">
      <c r="A334" s="361" t="s">
        <v>5416</v>
      </c>
      <c r="B334" s="361" t="s">
        <v>991</v>
      </c>
      <c r="C334" s="370" t="s">
        <v>8097</v>
      </c>
      <c r="D334" s="363">
        <v>1417</v>
      </c>
      <c r="E334" s="363">
        <v>1408</v>
      </c>
      <c r="F334" s="363">
        <v>1412</v>
      </c>
      <c r="G334" s="100">
        <v>1445</v>
      </c>
      <c r="H334" s="100">
        <v>1447</v>
      </c>
      <c r="I334" s="100">
        <v>1424</v>
      </c>
      <c r="J334" s="100">
        <v>1416</v>
      </c>
      <c r="K334" s="100">
        <v>1433</v>
      </c>
      <c r="L334" s="100">
        <v>1414</v>
      </c>
      <c r="M334" s="100">
        <v>1399</v>
      </c>
      <c r="N334" s="100">
        <v>1424</v>
      </c>
      <c r="O334" s="100">
        <v>1419</v>
      </c>
      <c r="Q334" s="361" t="s">
        <v>2761</v>
      </c>
    </row>
    <row r="335" spans="1:17">
      <c r="A335" s="361" t="s">
        <v>5418</v>
      </c>
      <c r="B335" s="361" t="s">
        <v>992</v>
      </c>
      <c r="C335" s="370" t="s">
        <v>8098</v>
      </c>
      <c r="D335" s="363">
        <v>4347</v>
      </c>
      <c r="E335" s="363">
        <v>4346</v>
      </c>
      <c r="F335" s="363">
        <v>4294</v>
      </c>
      <c r="G335" s="100">
        <v>4309</v>
      </c>
      <c r="H335" s="100">
        <v>4308</v>
      </c>
      <c r="I335" s="100">
        <v>4299</v>
      </c>
      <c r="J335" s="100">
        <v>4271</v>
      </c>
      <c r="K335" s="100">
        <v>4233</v>
      </c>
      <c r="L335" s="100">
        <v>4169</v>
      </c>
      <c r="M335" s="100">
        <v>4167</v>
      </c>
      <c r="N335" s="100">
        <v>4166</v>
      </c>
      <c r="O335" s="100">
        <v>4152</v>
      </c>
      <c r="Q335" s="361" t="s">
        <v>2761</v>
      </c>
    </row>
    <row r="336" spans="1:17">
      <c r="A336" s="361" t="s">
        <v>5420</v>
      </c>
      <c r="B336" s="361" t="s">
        <v>993</v>
      </c>
      <c r="C336" s="370" t="s">
        <v>8099</v>
      </c>
      <c r="D336" s="363">
        <v>4013</v>
      </c>
      <c r="E336" s="363">
        <v>4019</v>
      </c>
      <c r="F336" s="363">
        <v>3998</v>
      </c>
      <c r="G336" s="100">
        <v>4038</v>
      </c>
      <c r="H336" s="100">
        <v>4047</v>
      </c>
      <c r="I336" s="100">
        <v>4051</v>
      </c>
      <c r="J336" s="100">
        <v>4005</v>
      </c>
      <c r="K336" s="100">
        <v>4010</v>
      </c>
      <c r="L336" s="100">
        <v>3986</v>
      </c>
      <c r="M336" s="100">
        <v>4023</v>
      </c>
      <c r="N336" s="100">
        <v>4024</v>
      </c>
      <c r="O336" s="100">
        <v>4009</v>
      </c>
      <c r="Q336" s="361" t="s">
        <v>2761</v>
      </c>
    </row>
    <row r="337" spans="1:17">
      <c r="A337" s="361" t="s">
        <v>5422</v>
      </c>
      <c r="B337" s="361" t="s">
        <v>1769</v>
      </c>
      <c r="C337" s="370" t="s">
        <v>8100</v>
      </c>
      <c r="D337" s="363">
        <v>1419</v>
      </c>
      <c r="E337" s="363">
        <v>1428</v>
      </c>
      <c r="F337" s="363">
        <v>1420</v>
      </c>
      <c r="G337" s="100">
        <v>1425</v>
      </c>
      <c r="H337" s="100">
        <v>1420</v>
      </c>
      <c r="I337" s="100">
        <v>1408</v>
      </c>
      <c r="J337" s="100">
        <v>1412</v>
      </c>
      <c r="K337" s="100">
        <v>1433</v>
      </c>
      <c r="L337" s="100">
        <v>1436</v>
      </c>
      <c r="M337" s="100">
        <v>1447</v>
      </c>
      <c r="N337" s="100">
        <v>1459</v>
      </c>
      <c r="O337" s="100">
        <v>1461</v>
      </c>
      <c r="Q337" s="361" t="s">
        <v>2761</v>
      </c>
    </row>
    <row r="338" spans="1:17">
      <c r="A338" s="361" t="s">
        <v>5424</v>
      </c>
      <c r="B338" s="361" t="s">
        <v>1770</v>
      </c>
      <c r="C338" s="370" t="s">
        <v>8101</v>
      </c>
      <c r="D338" s="363">
        <v>2640</v>
      </c>
      <c r="E338" s="363">
        <v>2617</v>
      </c>
      <c r="F338" s="363">
        <v>2648</v>
      </c>
      <c r="G338" s="100">
        <v>2649</v>
      </c>
      <c r="H338" s="100">
        <v>2615</v>
      </c>
      <c r="I338" s="100">
        <v>2602</v>
      </c>
      <c r="J338" s="100">
        <v>2584</v>
      </c>
      <c r="K338" s="100">
        <v>2637</v>
      </c>
      <c r="L338" s="100">
        <v>2622</v>
      </c>
      <c r="M338" s="100">
        <v>2606</v>
      </c>
      <c r="N338" s="100">
        <v>2647</v>
      </c>
      <c r="O338" s="100">
        <v>2638</v>
      </c>
      <c r="Q338" s="361" t="s">
        <v>2761</v>
      </c>
    </row>
    <row r="339" spans="1:17">
      <c r="A339" s="361" t="s">
        <v>5426</v>
      </c>
      <c r="B339" s="361" t="s">
        <v>3129</v>
      </c>
      <c r="C339" s="370" t="s">
        <v>8102</v>
      </c>
      <c r="D339" s="363">
        <v>2782</v>
      </c>
      <c r="E339" s="363">
        <v>2768</v>
      </c>
      <c r="F339" s="363">
        <v>2818</v>
      </c>
      <c r="G339" s="101">
        <v>2786</v>
      </c>
      <c r="H339" s="101">
        <v>2807</v>
      </c>
      <c r="I339" s="101">
        <v>2794</v>
      </c>
      <c r="J339" s="101">
        <v>2771</v>
      </c>
      <c r="K339" s="101">
        <v>2683</v>
      </c>
      <c r="L339" s="101">
        <v>2705</v>
      </c>
      <c r="M339" s="101">
        <v>2792</v>
      </c>
      <c r="N339" s="101">
        <v>2820</v>
      </c>
      <c r="O339" s="101">
        <v>2822</v>
      </c>
      <c r="Q339" s="361" t="s">
        <v>2767</v>
      </c>
    </row>
    <row r="340" spans="1:17">
      <c r="A340" s="361" t="s">
        <v>5428</v>
      </c>
      <c r="B340" s="361" t="s">
        <v>3130</v>
      </c>
      <c r="C340" s="370" t="s">
        <v>8103</v>
      </c>
      <c r="D340" s="363">
        <v>2866</v>
      </c>
      <c r="E340" s="363">
        <v>2888</v>
      </c>
      <c r="F340" s="363">
        <v>2892</v>
      </c>
      <c r="G340" s="101">
        <v>2898</v>
      </c>
      <c r="H340" s="101">
        <v>2932</v>
      </c>
      <c r="I340" s="101">
        <v>2934</v>
      </c>
      <c r="J340" s="101">
        <v>2928</v>
      </c>
      <c r="K340" s="101">
        <v>2903</v>
      </c>
      <c r="L340" s="101">
        <v>2935</v>
      </c>
      <c r="M340" s="101">
        <v>2960</v>
      </c>
      <c r="N340" s="101">
        <v>2914</v>
      </c>
      <c r="O340" s="101">
        <v>2892</v>
      </c>
      <c r="Q340" s="361" t="s">
        <v>2767</v>
      </c>
    </row>
    <row r="341" spans="1:17">
      <c r="A341" s="361" t="s">
        <v>5429</v>
      </c>
      <c r="B341" s="361" t="s">
        <v>3131</v>
      </c>
      <c r="C341" s="370" t="s">
        <v>8104</v>
      </c>
      <c r="D341" s="363">
        <v>4018</v>
      </c>
      <c r="E341" s="363">
        <v>4026</v>
      </c>
      <c r="F341" s="363">
        <v>4064</v>
      </c>
      <c r="G341" s="101">
        <v>4113</v>
      </c>
      <c r="H341" s="101">
        <v>4124</v>
      </c>
      <c r="I341" s="101">
        <v>4102</v>
      </c>
      <c r="J341" s="101">
        <v>4060</v>
      </c>
      <c r="K341" s="101">
        <v>3996</v>
      </c>
      <c r="L341" s="101">
        <v>3966</v>
      </c>
      <c r="M341" s="101">
        <v>4028</v>
      </c>
      <c r="N341" s="101">
        <v>4056</v>
      </c>
      <c r="O341" s="101">
        <v>4051</v>
      </c>
      <c r="Q341" s="361" t="s">
        <v>2767</v>
      </c>
    </row>
    <row r="342" spans="1:17">
      <c r="A342" s="361" t="s">
        <v>5431</v>
      </c>
      <c r="B342" s="361" t="s">
        <v>3132</v>
      </c>
      <c r="C342" s="370" t="s">
        <v>8105</v>
      </c>
      <c r="D342" s="363">
        <v>4511</v>
      </c>
      <c r="E342" s="363">
        <v>4523</v>
      </c>
      <c r="F342" s="363">
        <v>4582</v>
      </c>
      <c r="G342" s="101">
        <v>4618</v>
      </c>
      <c r="H342" s="101">
        <v>4600</v>
      </c>
      <c r="I342" s="101">
        <v>4620</v>
      </c>
      <c r="J342" s="101">
        <v>4612</v>
      </c>
      <c r="K342" s="101">
        <v>4646</v>
      </c>
      <c r="L342" s="101">
        <v>4636</v>
      </c>
      <c r="M342" s="101">
        <v>4695</v>
      </c>
      <c r="N342" s="101">
        <v>4691</v>
      </c>
      <c r="O342" s="101">
        <v>4673</v>
      </c>
      <c r="Q342" s="361" t="s">
        <v>2767</v>
      </c>
    </row>
    <row r="343" spans="1:17">
      <c r="A343" s="361" t="s">
        <v>5433</v>
      </c>
      <c r="B343" s="361" t="s">
        <v>3133</v>
      </c>
      <c r="C343" s="370" t="s">
        <v>8106</v>
      </c>
      <c r="D343" s="363">
        <v>4245</v>
      </c>
      <c r="E343" s="363">
        <v>4321</v>
      </c>
      <c r="F343" s="363">
        <v>4308</v>
      </c>
      <c r="G343" s="100">
        <v>4343</v>
      </c>
      <c r="H343" s="100">
        <v>4340</v>
      </c>
      <c r="I343" s="100">
        <v>4354</v>
      </c>
      <c r="J343" s="100">
        <v>4358</v>
      </c>
      <c r="K343" s="100">
        <v>4322</v>
      </c>
      <c r="L343" s="100">
        <v>4367</v>
      </c>
      <c r="M343" s="100">
        <v>4409</v>
      </c>
      <c r="N343" s="100">
        <v>4446</v>
      </c>
      <c r="O343" s="100">
        <v>4423</v>
      </c>
      <c r="Q343" s="361" t="s">
        <v>2761</v>
      </c>
    </row>
    <row r="344" spans="1:17">
      <c r="A344" s="361" t="s">
        <v>5435</v>
      </c>
      <c r="B344" s="361" t="s">
        <v>1388</v>
      </c>
      <c r="C344" s="370" t="s">
        <v>8107</v>
      </c>
      <c r="D344" s="363">
        <v>2577</v>
      </c>
      <c r="E344" s="363">
        <v>2599</v>
      </c>
      <c r="F344" s="363">
        <v>2610</v>
      </c>
      <c r="G344" s="100">
        <v>2628</v>
      </c>
      <c r="H344" s="100">
        <v>2622</v>
      </c>
      <c r="I344" s="100">
        <v>2602</v>
      </c>
      <c r="J344" s="100">
        <v>2611</v>
      </c>
      <c r="K344" s="100">
        <v>2621</v>
      </c>
      <c r="L344" s="100">
        <v>2623</v>
      </c>
      <c r="M344" s="100">
        <v>2663</v>
      </c>
      <c r="N344" s="100">
        <v>2677</v>
      </c>
      <c r="O344" s="100">
        <v>2665</v>
      </c>
      <c r="Q344" s="361" t="s">
        <v>2761</v>
      </c>
    </row>
    <row r="345" spans="1:17">
      <c r="A345" s="361" t="s">
        <v>5436</v>
      </c>
      <c r="B345" s="361" t="s">
        <v>3038</v>
      </c>
      <c r="C345" s="370" t="s">
        <v>8108</v>
      </c>
      <c r="D345" s="363">
        <v>1268</v>
      </c>
      <c r="E345" s="363">
        <v>1263</v>
      </c>
      <c r="F345" s="363">
        <v>1268</v>
      </c>
      <c r="G345" s="100">
        <v>1261</v>
      </c>
      <c r="H345" s="100">
        <v>1276</v>
      </c>
      <c r="I345" s="100">
        <v>1282</v>
      </c>
      <c r="J345" s="100">
        <v>1275</v>
      </c>
      <c r="K345" s="100">
        <v>1298</v>
      </c>
      <c r="L345" s="100">
        <v>1295</v>
      </c>
      <c r="M345" s="100">
        <v>1314</v>
      </c>
      <c r="N345" s="100">
        <v>1343</v>
      </c>
      <c r="O345" s="100">
        <v>1326</v>
      </c>
      <c r="Q345" s="361" t="s">
        <v>2761</v>
      </c>
    </row>
    <row r="346" spans="1:17">
      <c r="A346" s="361" t="s">
        <v>5437</v>
      </c>
      <c r="B346" s="361" t="s">
        <v>3039</v>
      </c>
      <c r="C346" s="370" t="s">
        <v>8109</v>
      </c>
      <c r="D346" s="363">
        <v>4182</v>
      </c>
      <c r="E346" s="363">
        <v>4173</v>
      </c>
      <c r="F346" s="363">
        <v>4188</v>
      </c>
      <c r="G346" s="101">
        <v>4205</v>
      </c>
      <c r="H346" s="101">
        <v>4162</v>
      </c>
      <c r="I346" s="101">
        <v>4177</v>
      </c>
      <c r="J346" s="101">
        <v>4182</v>
      </c>
      <c r="K346" s="101">
        <v>4158</v>
      </c>
      <c r="L346" s="101">
        <v>4134</v>
      </c>
      <c r="M346" s="101">
        <v>4202</v>
      </c>
      <c r="N346" s="101">
        <v>4222</v>
      </c>
      <c r="O346" s="101">
        <v>4213</v>
      </c>
      <c r="Q346" s="361" t="s">
        <v>2767</v>
      </c>
    </row>
    <row r="347" spans="1:17">
      <c r="A347" s="361" t="s">
        <v>5439</v>
      </c>
      <c r="B347" s="361" t="s">
        <v>3040</v>
      </c>
      <c r="C347" s="370" t="s">
        <v>8110</v>
      </c>
      <c r="D347" s="363">
        <v>1457</v>
      </c>
      <c r="E347" s="363">
        <v>1456</v>
      </c>
      <c r="F347" s="363">
        <v>1457</v>
      </c>
      <c r="G347" s="100">
        <v>1459</v>
      </c>
      <c r="H347" s="100">
        <v>1463</v>
      </c>
      <c r="I347" s="100">
        <v>1475</v>
      </c>
      <c r="J347" s="100">
        <v>1485</v>
      </c>
      <c r="K347" s="100">
        <v>1478</v>
      </c>
      <c r="L347" s="100">
        <v>1489</v>
      </c>
      <c r="M347" s="100">
        <v>1493</v>
      </c>
      <c r="N347" s="100">
        <v>1511</v>
      </c>
      <c r="O347" s="100">
        <v>1501</v>
      </c>
      <c r="Q347" s="361" t="s">
        <v>2761</v>
      </c>
    </row>
    <row r="348" spans="1:17">
      <c r="A348" s="361" t="s">
        <v>5441</v>
      </c>
      <c r="B348" s="361" t="s">
        <v>3041</v>
      </c>
      <c r="C348" s="370" t="s">
        <v>8111</v>
      </c>
      <c r="D348" s="363">
        <v>1517</v>
      </c>
      <c r="E348" s="363">
        <v>1558</v>
      </c>
      <c r="F348" s="363">
        <v>1557</v>
      </c>
      <c r="G348" s="100">
        <v>1571</v>
      </c>
      <c r="H348" s="100">
        <v>1575</v>
      </c>
      <c r="I348" s="100">
        <v>1572</v>
      </c>
      <c r="J348" s="100">
        <v>1572</v>
      </c>
      <c r="K348" s="100">
        <v>1550</v>
      </c>
      <c r="L348" s="100">
        <v>1583</v>
      </c>
      <c r="M348" s="100">
        <v>1569</v>
      </c>
      <c r="N348" s="100">
        <v>1596</v>
      </c>
      <c r="O348" s="100">
        <v>1586</v>
      </c>
      <c r="Q348" s="361" t="s">
        <v>2761</v>
      </c>
    </row>
    <row r="349" spans="1:17">
      <c r="A349" s="361" t="s">
        <v>5886</v>
      </c>
      <c r="B349" s="361" t="s">
        <v>3042</v>
      </c>
      <c r="C349" s="370" t="s">
        <v>8112</v>
      </c>
      <c r="D349" s="363">
        <v>1518</v>
      </c>
      <c r="E349" s="363">
        <v>1521</v>
      </c>
      <c r="F349" s="363">
        <v>1497</v>
      </c>
      <c r="G349" s="101">
        <v>1525</v>
      </c>
      <c r="H349" s="101">
        <v>1527</v>
      </c>
      <c r="I349" s="101">
        <v>1523</v>
      </c>
      <c r="J349" s="101">
        <v>1540</v>
      </c>
      <c r="K349" s="101">
        <v>1528</v>
      </c>
      <c r="L349" s="101">
        <v>1517</v>
      </c>
      <c r="M349" s="101">
        <v>1546</v>
      </c>
      <c r="N349" s="101">
        <v>1533</v>
      </c>
      <c r="O349" s="101">
        <v>1527</v>
      </c>
      <c r="Q349" s="361" t="s">
        <v>2761</v>
      </c>
    </row>
    <row r="350" spans="1:17">
      <c r="A350" s="361" t="s">
        <v>5888</v>
      </c>
      <c r="B350" s="361" t="s">
        <v>3043</v>
      </c>
      <c r="C350" s="370" t="s">
        <v>8113</v>
      </c>
      <c r="D350" s="363">
        <v>3908</v>
      </c>
      <c r="E350" s="363">
        <v>3926</v>
      </c>
      <c r="F350" s="363">
        <v>3985</v>
      </c>
      <c r="G350" s="101">
        <v>3939</v>
      </c>
      <c r="H350" s="101">
        <v>3901</v>
      </c>
      <c r="I350" s="101">
        <v>3895</v>
      </c>
      <c r="J350" s="101">
        <v>3944</v>
      </c>
      <c r="K350" s="101">
        <v>3872</v>
      </c>
      <c r="L350" s="101">
        <v>3850</v>
      </c>
      <c r="M350" s="101">
        <v>3932</v>
      </c>
      <c r="N350" s="101">
        <v>4017</v>
      </c>
      <c r="O350" s="101">
        <v>4002</v>
      </c>
      <c r="Q350" s="361" t="s">
        <v>2761</v>
      </c>
    </row>
    <row r="351" spans="1:17">
      <c r="A351" s="361" t="s">
        <v>5889</v>
      </c>
      <c r="B351" s="361" t="s">
        <v>3044</v>
      </c>
      <c r="C351" s="370" t="s">
        <v>8114</v>
      </c>
      <c r="D351" s="363">
        <v>4135</v>
      </c>
      <c r="E351" s="363">
        <v>4080</v>
      </c>
      <c r="F351" s="363">
        <v>4025</v>
      </c>
      <c r="G351" s="101">
        <v>4037</v>
      </c>
      <c r="H351" s="101">
        <v>4046</v>
      </c>
      <c r="I351" s="101">
        <v>4083</v>
      </c>
      <c r="J351" s="101">
        <v>4110</v>
      </c>
      <c r="K351" s="101">
        <v>4161</v>
      </c>
      <c r="L351" s="101">
        <v>4107</v>
      </c>
      <c r="M351" s="101">
        <v>4176</v>
      </c>
      <c r="N351" s="101">
        <v>4219</v>
      </c>
      <c r="O351" s="101">
        <v>4208</v>
      </c>
      <c r="Q351" s="361" t="s">
        <v>2761</v>
      </c>
    </row>
    <row r="352" spans="1:17">
      <c r="A352" s="361" t="s">
        <v>4431</v>
      </c>
      <c r="B352" s="361" t="s">
        <v>3045</v>
      </c>
      <c r="C352" s="370" t="s">
        <v>8115</v>
      </c>
      <c r="D352" s="363">
        <v>4314</v>
      </c>
      <c r="E352" s="363">
        <v>4374</v>
      </c>
      <c r="F352" s="363">
        <v>4394</v>
      </c>
      <c r="G352" s="101">
        <v>4395</v>
      </c>
      <c r="H352" s="101">
        <v>4377</v>
      </c>
      <c r="I352" s="101">
        <v>4376</v>
      </c>
      <c r="J352" s="101">
        <v>4385</v>
      </c>
      <c r="K352" s="101">
        <v>4407</v>
      </c>
      <c r="L352" s="101">
        <v>4427</v>
      </c>
      <c r="M352" s="101">
        <v>4446</v>
      </c>
      <c r="N352" s="101">
        <v>4531</v>
      </c>
      <c r="O352" s="101">
        <v>4501</v>
      </c>
      <c r="Q352" s="361" t="s">
        <v>2761</v>
      </c>
    </row>
    <row r="353" spans="1:17">
      <c r="A353" s="361" t="s">
        <v>4432</v>
      </c>
      <c r="B353" s="361" t="s">
        <v>3046</v>
      </c>
      <c r="C353" s="370" t="s">
        <v>8116</v>
      </c>
      <c r="D353" s="363">
        <v>3767</v>
      </c>
      <c r="E353" s="363">
        <v>3775</v>
      </c>
      <c r="F353" s="363">
        <v>3785</v>
      </c>
      <c r="G353" s="101">
        <v>3773</v>
      </c>
      <c r="H353" s="101">
        <v>3774</v>
      </c>
      <c r="I353" s="101">
        <v>3775</v>
      </c>
      <c r="J353" s="101">
        <v>3752</v>
      </c>
      <c r="K353" s="101">
        <v>3760</v>
      </c>
      <c r="L353" s="101">
        <v>3661</v>
      </c>
      <c r="M353" s="101">
        <v>3686</v>
      </c>
      <c r="N353" s="101">
        <v>3690</v>
      </c>
      <c r="O353" s="101">
        <v>3672</v>
      </c>
      <c r="Q353" s="361" t="s">
        <v>2761</v>
      </c>
    </row>
    <row r="354" spans="1:17">
      <c r="A354" s="361" t="s">
        <v>4434</v>
      </c>
      <c r="B354" s="361" t="s">
        <v>3047</v>
      </c>
      <c r="C354" s="370" t="s">
        <v>8117</v>
      </c>
      <c r="D354" s="363">
        <v>1528</v>
      </c>
      <c r="E354" s="363">
        <v>1512</v>
      </c>
      <c r="F354" s="363">
        <v>1526</v>
      </c>
      <c r="G354" s="101">
        <v>1503</v>
      </c>
      <c r="H354" s="101">
        <v>1475</v>
      </c>
      <c r="I354" s="101">
        <v>1483</v>
      </c>
      <c r="J354" s="101">
        <v>1485</v>
      </c>
      <c r="K354" s="101">
        <v>1496</v>
      </c>
      <c r="L354" s="101">
        <v>1502</v>
      </c>
      <c r="M354" s="101">
        <v>1520</v>
      </c>
      <c r="N354" s="101">
        <v>1532</v>
      </c>
      <c r="O354" s="101">
        <v>1517</v>
      </c>
      <c r="Q354" s="361" t="s">
        <v>2761</v>
      </c>
    </row>
    <row r="355" spans="1:17">
      <c r="A355" s="361" t="s">
        <v>4533</v>
      </c>
      <c r="B355" s="361" t="s">
        <v>3014</v>
      </c>
      <c r="C355" s="370" t="s">
        <v>8118</v>
      </c>
      <c r="D355" s="363">
        <v>2712</v>
      </c>
      <c r="E355" s="363">
        <v>2689</v>
      </c>
      <c r="F355" s="363">
        <v>2667</v>
      </c>
      <c r="G355" s="101">
        <v>2672</v>
      </c>
      <c r="H355" s="101">
        <v>2649</v>
      </c>
      <c r="I355" s="101">
        <v>2655</v>
      </c>
      <c r="J355" s="101">
        <v>2644</v>
      </c>
      <c r="K355" s="101">
        <v>2647</v>
      </c>
      <c r="L355" s="101">
        <v>2635</v>
      </c>
      <c r="M355" s="101">
        <v>2644</v>
      </c>
      <c r="N355" s="101">
        <v>2657</v>
      </c>
      <c r="O355" s="101">
        <v>2651</v>
      </c>
      <c r="Q355" s="361" t="s">
        <v>2761</v>
      </c>
    </row>
    <row r="356" spans="1:17">
      <c r="D356" s="363"/>
      <c r="E356" s="363"/>
      <c r="F356" s="363"/>
      <c r="G356" s="363"/>
      <c r="H356" s="363"/>
      <c r="I356" s="363"/>
      <c r="J356" s="363"/>
      <c r="K356" s="363"/>
      <c r="L356" s="363"/>
      <c r="M356" s="363"/>
      <c r="N356" s="363"/>
      <c r="O356" s="363"/>
    </row>
    <row r="357" spans="1:17">
      <c r="A357" s="361" t="s">
        <v>2941</v>
      </c>
      <c r="D357" s="363">
        <f t="shared" ref="D357:I357" si="132">SUM(D329:D338)+SUM(D343:D345)+SUM(D347:D355)</f>
        <v>59593</v>
      </c>
      <c r="E357" s="363">
        <f t="shared" si="132"/>
        <v>59656</v>
      </c>
      <c r="F357" s="363">
        <f t="shared" si="132"/>
        <v>59634</v>
      </c>
      <c r="G357" s="363">
        <f t="shared" si="132"/>
        <v>59793</v>
      </c>
      <c r="H357" s="363">
        <f t="shared" si="132"/>
        <v>59643</v>
      </c>
      <c r="I357" s="363">
        <f t="shared" si="132"/>
        <v>59650</v>
      </c>
      <c r="J357" s="363">
        <f t="shared" ref="J357:O357" si="133">SUM(J329:J338)+SUM(J343:J345)+SUM(J347:J355)</f>
        <v>59658</v>
      </c>
      <c r="K357" s="363">
        <f t="shared" si="133"/>
        <v>59820</v>
      </c>
      <c r="L357" s="363">
        <f t="shared" si="133"/>
        <v>59626</v>
      </c>
      <c r="M357" s="363">
        <f t="shared" si="133"/>
        <v>60106</v>
      </c>
      <c r="N357" s="363">
        <f t="shared" si="133"/>
        <v>60618</v>
      </c>
      <c r="O357" s="363">
        <f t="shared" si="133"/>
        <v>60348</v>
      </c>
    </row>
    <row r="358" spans="1:17">
      <c r="A358" s="361" t="s">
        <v>2942</v>
      </c>
      <c r="D358" s="363">
        <f t="shared" ref="D358:I358" si="134">SUM(D339:D342)+D346</f>
        <v>18359</v>
      </c>
      <c r="E358" s="363">
        <f t="shared" si="134"/>
        <v>18378</v>
      </c>
      <c r="F358" s="363">
        <f t="shared" si="134"/>
        <v>18544</v>
      </c>
      <c r="G358" s="363">
        <f t="shared" si="134"/>
        <v>18620</v>
      </c>
      <c r="H358" s="363">
        <f t="shared" si="134"/>
        <v>18625</v>
      </c>
      <c r="I358" s="363">
        <f t="shared" si="134"/>
        <v>18627</v>
      </c>
      <c r="J358" s="363">
        <f t="shared" ref="J358:O358" si="135">SUM(J339:J342)+J346</f>
        <v>18553</v>
      </c>
      <c r="K358" s="363">
        <f t="shared" si="135"/>
        <v>18386</v>
      </c>
      <c r="L358" s="363">
        <f t="shared" si="135"/>
        <v>18376</v>
      </c>
      <c r="M358" s="363">
        <f t="shared" si="135"/>
        <v>18677</v>
      </c>
      <c r="N358" s="363">
        <f t="shared" si="135"/>
        <v>18703</v>
      </c>
      <c r="O358" s="363">
        <f t="shared" si="135"/>
        <v>18651</v>
      </c>
    </row>
    <row r="359" spans="1:17">
      <c r="A359" s="361"/>
      <c r="D359" s="363"/>
      <c r="E359" s="363"/>
      <c r="F359" s="363"/>
      <c r="G359" s="363"/>
      <c r="H359" s="363"/>
      <c r="I359" s="363"/>
      <c r="J359" s="363"/>
      <c r="K359" s="363"/>
      <c r="L359" s="363"/>
      <c r="M359" s="363"/>
      <c r="N359" s="363"/>
      <c r="O359" s="363"/>
    </row>
    <row r="360" spans="1:17">
      <c r="A360" s="361" t="s">
        <v>3015</v>
      </c>
      <c r="D360" s="363"/>
      <c r="E360" s="363"/>
      <c r="F360" s="363"/>
      <c r="G360" s="363"/>
      <c r="H360" s="363"/>
      <c r="I360" s="363"/>
      <c r="J360" s="363"/>
      <c r="K360" s="363"/>
      <c r="L360" s="363"/>
      <c r="M360" s="363"/>
      <c r="N360" s="363"/>
      <c r="O360" s="363"/>
    </row>
    <row r="361" spans="1:17">
      <c r="A361" s="361"/>
      <c r="B361" s="361"/>
    </row>
    <row r="362" spans="1:17">
      <c r="A362" s="361"/>
      <c r="B362" s="361"/>
    </row>
    <row r="363" spans="1:17">
      <c r="E363" s="92" t="s">
        <v>1526</v>
      </c>
      <c r="F363" s="92"/>
      <c r="G363" s="92"/>
      <c r="H363" s="92"/>
      <c r="I363" s="92"/>
      <c r="J363" s="92"/>
      <c r="K363" s="92"/>
      <c r="L363" s="92"/>
      <c r="M363" s="92"/>
      <c r="N363" s="92"/>
      <c r="O363" s="92"/>
      <c r="P363" s="367"/>
      <c r="Q363" s="367" t="s">
        <v>9479</v>
      </c>
    </row>
    <row r="364" spans="1:17">
      <c r="D364" s="368">
        <v>2010</v>
      </c>
      <c r="E364" s="368">
        <v>2011</v>
      </c>
      <c r="F364" s="368">
        <v>2012</v>
      </c>
      <c r="G364" s="368">
        <v>2013</v>
      </c>
      <c r="H364" s="368">
        <v>2014</v>
      </c>
      <c r="I364" s="368">
        <v>2015</v>
      </c>
      <c r="J364" s="368">
        <v>2016</v>
      </c>
      <c r="K364" s="368">
        <v>2017</v>
      </c>
      <c r="L364" s="368">
        <v>2018</v>
      </c>
      <c r="M364" s="368">
        <v>2019</v>
      </c>
      <c r="N364" s="368">
        <v>2020</v>
      </c>
      <c r="O364" s="940" t="s">
        <v>14823</v>
      </c>
      <c r="P364" s="367"/>
      <c r="Q364" s="369" t="s">
        <v>1527</v>
      </c>
    </row>
    <row r="365" spans="1:17">
      <c r="A365" s="361" t="s">
        <v>3016</v>
      </c>
      <c r="D365" s="363">
        <f t="shared" ref="D365:I365" si="136">SUM(D366:D375)</f>
        <v>57698</v>
      </c>
      <c r="E365" s="363">
        <f t="shared" si="136"/>
        <v>58138</v>
      </c>
      <c r="F365" s="363">
        <f t="shared" si="136"/>
        <v>57750</v>
      </c>
      <c r="G365" s="363">
        <f t="shared" si="136"/>
        <v>58132</v>
      </c>
      <c r="H365" s="363">
        <f t="shared" si="136"/>
        <v>57352</v>
      </c>
      <c r="I365" s="363">
        <f t="shared" si="136"/>
        <v>56462</v>
      </c>
      <c r="J365" s="363">
        <f t="shared" ref="J365:O365" si="137">SUM(J366:J375)</f>
        <v>56689</v>
      </c>
      <c r="K365" s="363">
        <f t="shared" si="137"/>
        <v>57019</v>
      </c>
      <c r="L365" s="363">
        <f t="shared" si="137"/>
        <v>57315</v>
      </c>
      <c r="M365" s="363">
        <f t="shared" si="137"/>
        <v>55693</v>
      </c>
      <c r="N365" s="363">
        <f t="shared" si="137"/>
        <v>56347</v>
      </c>
      <c r="O365" s="363">
        <f t="shared" si="137"/>
        <v>56743</v>
      </c>
    </row>
    <row r="366" spans="1:17">
      <c r="A366" s="361" t="s">
        <v>5387</v>
      </c>
      <c r="B366" s="361" t="s">
        <v>3017</v>
      </c>
      <c r="C366" s="370" t="s">
        <v>8119</v>
      </c>
      <c r="D366" s="363">
        <v>5966</v>
      </c>
      <c r="E366" s="363">
        <v>5937</v>
      </c>
      <c r="F366" s="363">
        <v>5868</v>
      </c>
      <c r="G366" s="95">
        <v>5894</v>
      </c>
      <c r="H366" s="95">
        <v>5826</v>
      </c>
      <c r="I366" s="100">
        <v>5688</v>
      </c>
      <c r="J366" s="100">
        <v>5756</v>
      </c>
      <c r="K366" s="100">
        <v>5800</v>
      </c>
      <c r="L366" s="100">
        <v>5781</v>
      </c>
      <c r="M366" s="100">
        <v>5713</v>
      </c>
      <c r="N366" s="100">
        <v>5875</v>
      </c>
      <c r="O366" s="100">
        <v>5981</v>
      </c>
      <c r="Q366" s="361" t="s">
        <v>2768</v>
      </c>
    </row>
    <row r="367" spans="1:17">
      <c r="A367" s="361" t="s">
        <v>5389</v>
      </c>
      <c r="B367" s="361" t="s">
        <v>3848</v>
      </c>
      <c r="C367" s="370" t="s">
        <v>8120</v>
      </c>
      <c r="D367" s="363">
        <v>5513</v>
      </c>
      <c r="E367" s="363">
        <v>5694</v>
      </c>
      <c r="F367" s="363">
        <v>5669</v>
      </c>
      <c r="G367" s="95">
        <v>5817</v>
      </c>
      <c r="H367" s="95">
        <v>5734</v>
      </c>
      <c r="I367" s="100">
        <v>5618</v>
      </c>
      <c r="J367" s="100">
        <v>5666</v>
      </c>
      <c r="K367" s="100">
        <v>5735</v>
      </c>
      <c r="L367" s="100">
        <v>5807</v>
      </c>
      <c r="M367" s="100">
        <v>5675</v>
      </c>
      <c r="N367" s="100">
        <v>5641</v>
      </c>
      <c r="O367" s="100">
        <v>5645</v>
      </c>
      <c r="Q367" s="361" t="s">
        <v>2768</v>
      </c>
    </row>
    <row r="368" spans="1:17">
      <c r="A368" s="361" t="s">
        <v>5391</v>
      </c>
      <c r="B368" s="361" t="s">
        <v>3018</v>
      </c>
      <c r="C368" s="370" t="s">
        <v>8121</v>
      </c>
      <c r="D368" s="363">
        <v>5762</v>
      </c>
      <c r="E368" s="363">
        <v>5821</v>
      </c>
      <c r="F368" s="363">
        <v>5800</v>
      </c>
      <c r="G368" s="95">
        <v>5823</v>
      </c>
      <c r="H368" s="95">
        <v>5741</v>
      </c>
      <c r="I368" s="100">
        <v>5585</v>
      </c>
      <c r="J368" s="100">
        <v>5680</v>
      </c>
      <c r="K368" s="100">
        <v>5700</v>
      </c>
      <c r="L368" s="100">
        <v>5702</v>
      </c>
      <c r="M368" s="100">
        <v>5462</v>
      </c>
      <c r="N368" s="100">
        <v>5499</v>
      </c>
      <c r="O368" s="100">
        <v>5490</v>
      </c>
      <c r="Q368" s="361" t="s">
        <v>2768</v>
      </c>
    </row>
    <row r="369" spans="1:17">
      <c r="A369" s="361" t="s">
        <v>5393</v>
      </c>
      <c r="B369" s="361" t="s">
        <v>5904</v>
      </c>
      <c r="C369" s="370" t="s">
        <v>8122</v>
      </c>
      <c r="D369" s="363">
        <v>5575</v>
      </c>
      <c r="E369" s="363">
        <v>5614</v>
      </c>
      <c r="F369" s="363">
        <v>5570</v>
      </c>
      <c r="G369" s="95">
        <v>5593</v>
      </c>
      <c r="H369" s="95">
        <v>5450</v>
      </c>
      <c r="I369" s="100">
        <v>5317</v>
      </c>
      <c r="J369" s="100">
        <v>5443</v>
      </c>
      <c r="K369" s="100">
        <v>5470</v>
      </c>
      <c r="L369" s="100">
        <v>5514</v>
      </c>
      <c r="M369" s="100">
        <v>5319</v>
      </c>
      <c r="N369" s="100">
        <v>5353</v>
      </c>
      <c r="O369" s="100">
        <v>5363</v>
      </c>
      <c r="Q369" s="361" t="s">
        <v>2768</v>
      </c>
    </row>
    <row r="370" spans="1:17">
      <c r="A370" s="361" t="s">
        <v>5394</v>
      </c>
      <c r="B370" s="361" t="s">
        <v>3019</v>
      </c>
      <c r="C370" s="370" t="s">
        <v>8123</v>
      </c>
      <c r="D370" s="363">
        <v>5539</v>
      </c>
      <c r="E370" s="363">
        <v>5622</v>
      </c>
      <c r="F370" s="363">
        <v>5530</v>
      </c>
      <c r="G370" s="95">
        <v>5615</v>
      </c>
      <c r="H370" s="95">
        <v>5520</v>
      </c>
      <c r="I370" s="100">
        <v>5534</v>
      </c>
      <c r="J370" s="100">
        <v>5519</v>
      </c>
      <c r="K370" s="100">
        <v>5516</v>
      </c>
      <c r="L370" s="100">
        <v>5524</v>
      </c>
      <c r="M370" s="100">
        <v>5298</v>
      </c>
      <c r="N370" s="100">
        <v>5299</v>
      </c>
      <c r="O370" s="100">
        <v>5285</v>
      </c>
      <c r="Q370" s="361" t="s">
        <v>2768</v>
      </c>
    </row>
    <row r="371" spans="1:17">
      <c r="A371" s="361" t="s">
        <v>5416</v>
      </c>
      <c r="B371" s="361" t="s">
        <v>3020</v>
      </c>
      <c r="C371" s="370" t="s">
        <v>8124</v>
      </c>
      <c r="D371" s="363">
        <v>5205</v>
      </c>
      <c r="E371" s="363">
        <v>5203</v>
      </c>
      <c r="F371" s="363">
        <v>5223</v>
      </c>
      <c r="G371" s="95">
        <v>5240</v>
      </c>
      <c r="H371" s="95">
        <v>5190</v>
      </c>
      <c r="I371" s="100">
        <v>5159</v>
      </c>
      <c r="J371" s="100">
        <v>5179</v>
      </c>
      <c r="K371" s="100">
        <v>5178</v>
      </c>
      <c r="L371" s="100">
        <v>5169</v>
      </c>
      <c r="M371" s="100">
        <v>5044</v>
      </c>
      <c r="N371" s="100">
        <v>5174</v>
      </c>
      <c r="O371" s="100">
        <v>5217</v>
      </c>
      <c r="Q371" s="361" t="s">
        <v>2768</v>
      </c>
    </row>
    <row r="372" spans="1:17">
      <c r="A372" s="361" t="s">
        <v>5418</v>
      </c>
      <c r="B372" s="361" t="s">
        <v>3021</v>
      </c>
      <c r="C372" s="370" t="s">
        <v>8125</v>
      </c>
      <c r="D372" s="363">
        <v>5482</v>
      </c>
      <c r="E372" s="363">
        <v>5488</v>
      </c>
      <c r="F372" s="363">
        <v>5464</v>
      </c>
      <c r="G372" s="95">
        <v>5467</v>
      </c>
      <c r="H372" s="95">
        <v>5416</v>
      </c>
      <c r="I372" s="100">
        <v>5348</v>
      </c>
      <c r="J372" s="100">
        <v>5372</v>
      </c>
      <c r="K372" s="100">
        <v>5446</v>
      </c>
      <c r="L372" s="100">
        <v>5457</v>
      </c>
      <c r="M372" s="100">
        <v>5390</v>
      </c>
      <c r="N372" s="100">
        <v>5555</v>
      </c>
      <c r="O372" s="100">
        <v>5664</v>
      </c>
      <c r="Q372" s="361" t="s">
        <v>2768</v>
      </c>
    </row>
    <row r="373" spans="1:17">
      <c r="A373" s="361" t="s">
        <v>5420</v>
      </c>
      <c r="B373" s="361" t="s">
        <v>3022</v>
      </c>
      <c r="C373" s="370" t="s">
        <v>8126</v>
      </c>
      <c r="D373" s="363">
        <v>5752</v>
      </c>
      <c r="E373" s="363">
        <v>5765</v>
      </c>
      <c r="F373" s="363">
        <v>5754</v>
      </c>
      <c r="G373" s="95">
        <v>5782</v>
      </c>
      <c r="H373" s="95">
        <v>5704</v>
      </c>
      <c r="I373" s="100">
        <v>5595</v>
      </c>
      <c r="J373" s="100">
        <v>5608</v>
      </c>
      <c r="K373" s="100">
        <v>5663</v>
      </c>
      <c r="L373" s="100">
        <v>5775</v>
      </c>
      <c r="M373" s="100">
        <v>5540</v>
      </c>
      <c r="N373" s="100">
        <v>5557</v>
      </c>
      <c r="O373" s="100">
        <v>5584</v>
      </c>
      <c r="Q373" s="361" t="s">
        <v>2768</v>
      </c>
    </row>
    <row r="374" spans="1:17">
      <c r="A374" s="361" t="s">
        <v>5422</v>
      </c>
      <c r="B374" s="361" t="s">
        <v>4186</v>
      </c>
      <c r="C374" s="370" t="s">
        <v>8127</v>
      </c>
      <c r="D374" s="363">
        <v>5943</v>
      </c>
      <c r="E374" s="363">
        <v>5958</v>
      </c>
      <c r="F374" s="363">
        <v>5941</v>
      </c>
      <c r="G374" s="95">
        <v>5994</v>
      </c>
      <c r="H374" s="95">
        <v>5914</v>
      </c>
      <c r="I374" s="100">
        <v>5894</v>
      </c>
      <c r="J374" s="100">
        <v>5843</v>
      </c>
      <c r="K374" s="100">
        <v>5828</v>
      </c>
      <c r="L374" s="100">
        <v>5860</v>
      </c>
      <c r="M374" s="100">
        <v>5715</v>
      </c>
      <c r="N374" s="100">
        <v>5712</v>
      </c>
      <c r="O374" s="100">
        <v>5738</v>
      </c>
      <c r="Q374" s="361" t="s">
        <v>2768</v>
      </c>
    </row>
    <row r="375" spans="1:17">
      <c r="A375" s="361" t="s">
        <v>5424</v>
      </c>
      <c r="B375" s="361" t="s">
        <v>3023</v>
      </c>
      <c r="C375" s="370" t="s">
        <v>8128</v>
      </c>
      <c r="D375" s="363">
        <v>6961</v>
      </c>
      <c r="E375" s="363">
        <v>7036</v>
      </c>
      <c r="F375" s="363">
        <v>6931</v>
      </c>
      <c r="G375" s="95">
        <v>6907</v>
      </c>
      <c r="H375" s="95">
        <v>6857</v>
      </c>
      <c r="I375" s="100">
        <v>6724</v>
      </c>
      <c r="J375" s="100">
        <v>6623</v>
      </c>
      <c r="K375" s="100">
        <v>6683</v>
      </c>
      <c r="L375" s="100">
        <v>6726</v>
      </c>
      <c r="M375" s="100">
        <v>6537</v>
      </c>
      <c r="N375" s="100">
        <v>6682</v>
      </c>
      <c r="O375" s="100">
        <v>6776</v>
      </c>
      <c r="Q375" s="361" t="s">
        <v>2768</v>
      </c>
    </row>
    <row r="376" spans="1:17">
      <c r="D376" s="363"/>
      <c r="E376" s="363"/>
      <c r="F376" s="363"/>
      <c r="G376" s="363"/>
      <c r="H376" s="363"/>
      <c r="I376" s="363"/>
      <c r="J376" s="363"/>
      <c r="K376" s="363"/>
      <c r="L376" s="363"/>
      <c r="M376" s="363"/>
      <c r="N376" s="363"/>
      <c r="O376" s="363"/>
    </row>
    <row r="377" spans="1:17">
      <c r="A377" s="361" t="s">
        <v>1696</v>
      </c>
      <c r="D377" s="363">
        <f t="shared" ref="D377:L377" si="138">SUM(D366:D375)</f>
        <v>57698</v>
      </c>
      <c r="E377" s="363">
        <f t="shared" si="138"/>
        <v>58138</v>
      </c>
      <c r="F377" s="363">
        <f t="shared" si="138"/>
        <v>57750</v>
      </c>
      <c r="G377" s="363">
        <f t="shared" si="138"/>
        <v>58132</v>
      </c>
      <c r="H377" s="363">
        <f t="shared" si="138"/>
        <v>57352</v>
      </c>
      <c r="I377" s="363">
        <f t="shared" si="138"/>
        <v>56462</v>
      </c>
      <c r="J377" s="363">
        <f t="shared" si="138"/>
        <v>56689</v>
      </c>
      <c r="K377" s="363">
        <f t="shared" si="138"/>
        <v>57019</v>
      </c>
      <c r="L377" s="363">
        <f t="shared" si="138"/>
        <v>57315</v>
      </c>
      <c r="M377" s="363">
        <f>SUM(M366:M375)</f>
        <v>55693</v>
      </c>
      <c r="N377" s="363">
        <f>SUM(N366:N375)</f>
        <v>56347</v>
      </c>
      <c r="O377" s="363">
        <f>SUM(O366:O375)</f>
        <v>56743</v>
      </c>
    </row>
    <row r="379" spans="1:17">
      <c r="A379" s="124" t="s">
        <v>3024</v>
      </c>
    </row>
  </sheetData>
  <phoneticPr fontId="6" type="noConversion"/>
  <printOptions gridLinesSet="0"/>
  <pageMargins left="0.78740157480314965" right="0" top="0.51181102362204722" bottom="0.51181102362204722" header="0.51181102362204722" footer="0.51181102362204722"/>
  <pageSetup paperSize="9" scale="68" orientation="portrait" r:id="rId1"/>
  <headerFooter alignWithMargins="0">
    <oddFooter>&amp;C&amp;"Times New Roman,Regular"&amp;8&amp;P of &amp;N</oddFooter>
  </headerFooter>
  <ignoredErrors>
    <ignoredError sqref="D377:K377 D365:K365 D283:D284 D256:K256 D152:K152 D175:D176 D328:K328 D357:D358 D145:K145 D128:K128 D3:D15 E175:E176 E357:E358 E283:E284 E3:E15 F175:F176 F283:F284 F357:F358 F3:F15 D114:F114 D90:K90 D69:F78 F47:F61 F44:F45 F41:F42 F40 F43 F46 G175:G176 G69:G78 G114:G118 G283:G284 G357:G358 G3:G15 D16:D17 E16:E17 F16:F17 G16:G17 D19:D61 E19:E61 F19:F39 G19:G61 D18:G18 H114:K114 H71:H78 H175:H176 H357:H358 H283:H284 H3:H15 H16:H61 I283:I284 I175:I176 I357:I358 I71:J71 I74:J74 I78:K78 I3:I61 D197:K197 D209:K209 D212:I212 D211:I211 D183:K183 D309:K309 D315:K315 D320:I321 D291:K291 J175:J176 J283:J284 J357:J358 J320:J321 J211:J212 J3:J61 K211:K212 K175:K176 K320:K321 K357:K358 K283:K284 K71:K74 K3:K61 D219:K219 L3:L97 D68:K68 L99:L377 G120 K120 J120 I120 H120 D120:F120 D119:K119 D121:K121" unlocked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dimension ref="A1:Q48"/>
  <sheetViews>
    <sheetView showGridLines="0" topLeftCell="A33" zoomScale="90" zoomScaleNormal="90" workbookViewId="0">
      <selection activeCell="P3" sqref="P3"/>
    </sheetView>
  </sheetViews>
  <sheetFormatPr defaultColWidth="12.5703125" defaultRowHeight="15"/>
  <cols>
    <col min="1" max="1" width="4.85546875" style="123" customWidth="1"/>
    <col min="2" max="2" width="35.85546875" style="123" customWidth="1"/>
    <col min="3" max="3" width="11.5703125" style="123" customWidth="1"/>
    <col min="4" max="15" width="10" style="123" customWidth="1"/>
    <col min="16" max="16" width="2.28515625" style="123" customWidth="1"/>
    <col min="17" max="17" width="33.28515625" style="123" customWidth="1"/>
    <col min="18" max="16384" width="12.5703125" style="123"/>
  </cols>
  <sheetData>
    <row r="1" spans="1:17">
      <c r="A1" s="356" t="s">
        <v>6924</v>
      </c>
      <c r="D1" s="357">
        <v>2010</v>
      </c>
      <c r="E1" s="357">
        <v>2011</v>
      </c>
      <c r="F1" s="357">
        <v>2012</v>
      </c>
      <c r="G1" s="357">
        <v>2013</v>
      </c>
      <c r="H1" s="357">
        <v>2014</v>
      </c>
      <c r="I1" s="357">
        <v>2015</v>
      </c>
      <c r="J1" s="357">
        <v>2016</v>
      </c>
      <c r="K1" s="357">
        <v>2017</v>
      </c>
      <c r="L1" s="357">
        <v>2018</v>
      </c>
      <c r="M1" s="357">
        <v>2019</v>
      </c>
      <c r="N1" s="357">
        <v>2020</v>
      </c>
      <c r="O1" s="939" t="s">
        <v>14823</v>
      </c>
    </row>
    <row r="3" spans="1:17">
      <c r="A3" s="356" t="s">
        <v>3025</v>
      </c>
      <c r="D3" s="358">
        <f t="shared" ref="D3:I3" si="0">SUM(D17:D42)</f>
        <v>140914</v>
      </c>
      <c r="E3" s="358">
        <f t="shared" si="0"/>
        <v>141854</v>
      </c>
      <c r="F3" s="358">
        <f t="shared" si="0"/>
        <v>142275</v>
      </c>
      <c r="G3" s="358">
        <f t="shared" si="0"/>
        <v>143110</v>
      </c>
      <c r="H3" s="358">
        <f t="shared" si="0"/>
        <v>143108</v>
      </c>
      <c r="I3" s="358">
        <f t="shared" si="0"/>
        <v>138618</v>
      </c>
      <c r="J3" s="358">
        <f t="shared" ref="J3:O3" si="1">SUM(J17:J42)</f>
        <v>137838</v>
      </c>
      <c r="K3" s="358">
        <f t="shared" si="1"/>
        <v>139921</v>
      </c>
      <c r="L3" s="358">
        <f t="shared" si="1"/>
        <v>139721</v>
      </c>
      <c r="M3" s="358">
        <f t="shared" si="1"/>
        <v>138634</v>
      </c>
      <c r="N3" s="358">
        <f t="shared" si="1"/>
        <v>142215</v>
      </c>
      <c r="O3" s="358">
        <f t="shared" si="1"/>
        <v>143781</v>
      </c>
    </row>
    <row r="4" spans="1:17">
      <c r="A4" s="76"/>
      <c r="B4" s="76"/>
      <c r="C4" s="76"/>
      <c r="D4" s="76"/>
      <c r="E4" s="76"/>
      <c r="F4" s="76"/>
      <c r="G4" s="76"/>
      <c r="H4" s="76"/>
      <c r="I4" s="76"/>
      <c r="J4" s="76"/>
      <c r="K4" s="76"/>
      <c r="L4" s="76"/>
      <c r="M4" s="76"/>
      <c r="N4" s="76"/>
      <c r="O4" s="76"/>
      <c r="P4" s="76"/>
      <c r="Q4" s="76"/>
    </row>
    <row r="5" spans="1:17">
      <c r="A5" s="356" t="s">
        <v>2476</v>
      </c>
      <c r="D5" s="359">
        <f t="shared" ref="D5:I5" si="2">D3/2</f>
        <v>70457</v>
      </c>
      <c r="E5" s="359">
        <f t="shared" si="2"/>
        <v>70927</v>
      </c>
      <c r="F5" s="359">
        <f t="shared" si="2"/>
        <v>71137.5</v>
      </c>
      <c r="G5" s="359">
        <f t="shared" si="2"/>
        <v>71555</v>
      </c>
      <c r="H5" s="359">
        <f t="shared" si="2"/>
        <v>71554</v>
      </c>
      <c r="I5" s="359">
        <f t="shared" si="2"/>
        <v>69309</v>
      </c>
      <c r="J5" s="359">
        <f t="shared" ref="J5:O5" si="3">J3/2</f>
        <v>68919</v>
      </c>
      <c r="K5" s="359">
        <f t="shared" si="3"/>
        <v>69960.5</v>
      </c>
      <c r="L5" s="359">
        <f t="shared" si="3"/>
        <v>69860.5</v>
      </c>
      <c r="M5" s="359">
        <f t="shared" si="3"/>
        <v>69317</v>
      </c>
      <c r="N5" s="359">
        <f t="shared" si="3"/>
        <v>71107.5</v>
      </c>
      <c r="O5" s="359">
        <f t="shared" si="3"/>
        <v>71890.5</v>
      </c>
    </row>
    <row r="6" spans="1:17">
      <c r="D6" s="360"/>
      <c r="E6" s="360"/>
      <c r="F6" s="360"/>
      <c r="G6" s="360"/>
      <c r="H6" s="360"/>
      <c r="I6" s="360"/>
      <c r="J6" s="360"/>
      <c r="K6" s="360"/>
      <c r="L6" s="360"/>
      <c r="M6" s="360"/>
      <c r="N6" s="360"/>
      <c r="O6" s="360"/>
    </row>
    <row r="7" spans="1:17">
      <c r="A7" s="356" t="s">
        <v>3026</v>
      </c>
      <c r="D7" s="359">
        <f t="shared" ref="D7:I7" si="4">SUM(D17:D21)+D26+SUM(D31:D35)+D37+D39+D41</f>
        <v>66990</v>
      </c>
      <c r="E7" s="359">
        <f t="shared" si="4"/>
        <v>67333</v>
      </c>
      <c r="F7" s="359">
        <f t="shared" si="4"/>
        <v>67600</v>
      </c>
      <c r="G7" s="359">
        <f t="shared" si="4"/>
        <v>67650</v>
      </c>
      <c r="H7" s="359">
        <f t="shared" si="4"/>
        <v>67408</v>
      </c>
      <c r="I7" s="359">
        <f t="shared" si="4"/>
        <v>64885</v>
      </c>
      <c r="J7" s="359">
        <f t="shared" ref="J7:O7" si="5">SUM(J17:J21)+J26+SUM(J31:J35)+J37+J39+J41</f>
        <v>64617</v>
      </c>
      <c r="K7" s="359">
        <f t="shared" si="5"/>
        <v>65594</v>
      </c>
      <c r="L7" s="359">
        <f t="shared" si="5"/>
        <v>65023</v>
      </c>
      <c r="M7" s="359">
        <f t="shared" si="5"/>
        <v>64326</v>
      </c>
      <c r="N7" s="359">
        <f t="shared" si="5"/>
        <v>65964</v>
      </c>
      <c r="O7" s="359">
        <f t="shared" si="5"/>
        <v>66780</v>
      </c>
      <c r="Q7" s="356" t="s">
        <v>3027</v>
      </c>
    </row>
    <row r="8" spans="1:17">
      <c r="D8" s="360"/>
      <c r="E8" s="360"/>
      <c r="F8" s="360"/>
      <c r="G8" s="360"/>
      <c r="H8" s="360"/>
      <c r="I8" s="360"/>
      <c r="J8" s="360"/>
      <c r="K8" s="360"/>
      <c r="L8" s="360"/>
      <c r="M8" s="360"/>
      <c r="N8" s="360"/>
      <c r="O8" s="360"/>
    </row>
    <row r="9" spans="1:17">
      <c r="A9" s="356" t="s">
        <v>4502</v>
      </c>
      <c r="D9" s="359">
        <f t="shared" ref="D9:I9" si="6">SUM(D22:D25)+SUM(D27:D30)+D36+D38+D40+D42</f>
        <v>73924</v>
      </c>
      <c r="E9" s="359">
        <f t="shared" si="6"/>
        <v>74521</v>
      </c>
      <c r="F9" s="359">
        <f t="shared" si="6"/>
        <v>74675</v>
      </c>
      <c r="G9" s="359">
        <f t="shared" si="6"/>
        <v>75460</v>
      </c>
      <c r="H9" s="359">
        <f t="shared" si="6"/>
        <v>75700</v>
      </c>
      <c r="I9" s="359">
        <f t="shared" si="6"/>
        <v>73733</v>
      </c>
      <c r="J9" s="359">
        <f t="shared" ref="J9:O9" si="7">SUM(J22:J25)+SUM(J27:J30)+J36+J38+J40+J42</f>
        <v>73221</v>
      </c>
      <c r="K9" s="359">
        <f t="shared" si="7"/>
        <v>74327</v>
      </c>
      <c r="L9" s="359">
        <f t="shared" si="7"/>
        <v>74698</v>
      </c>
      <c r="M9" s="359">
        <f t="shared" si="7"/>
        <v>74308</v>
      </c>
      <c r="N9" s="359">
        <f t="shared" si="7"/>
        <v>76251</v>
      </c>
      <c r="O9" s="359">
        <f t="shared" si="7"/>
        <v>77001</v>
      </c>
      <c r="Q9" s="356" t="s">
        <v>3027</v>
      </c>
    </row>
    <row r="10" spans="1:17">
      <c r="D10" s="360"/>
      <c r="E10" s="360"/>
      <c r="F10" s="360"/>
      <c r="G10" s="360"/>
      <c r="H10" s="360"/>
      <c r="I10" s="360"/>
      <c r="J10" s="360"/>
      <c r="K10" s="360"/>
      <c r="L10" s="360"/>
      <c r="M10" s="360"/>
      <c r="N10" s="360"/>
      <c r="O10" s="360"/>
    </row>
    <row r="11" spans="1:17">
      <c r="A11" s="356" t="s">
        <v>6796</v>
      </c>
      <c r="D11" s="359">
        <f t="shared" ref="D11:I11" si="8">D7+D9</f>
        <v>140914</v>
      </c>
      <c r="E11" s="359">
        <f t="shared" si="8"/>
        <v>141854</v>
      </c>
      <c r="F11" s="359">
        <f t="shared" si="8"/>
        <v>142275</v>
      </c>
      <c r="G11" s="359">
        <f t="shared" si="8"/>
        <v>143110</v>
      </c>
      <c r="H11" s="359">
        <f t="shared" si="8"/>
        <v>143108</v>
      </c>
      <c r="I11" s="359">
        <f t="shared" si="8"/>
        <v>138618</v>
      </c>
      <c r="J11" s="359">
        <f t="shared" ref="J11:O11" si="9">J7+J9</f>
        <v>137838</v>
      </c>
      <c r="K11" s="359">
        <f t="shared" si="9"/>
        <v>139921</v>
      </c>
      <c r="L11" s="359">
        <f t="shared" si="9"/>
        <v>139721</v>
      </c>
      <c r="M11" s="359">
        <f t="shared" si="9"/>
        <v>138634</v>
      </c>
      <c r="N11" s="359">
        <f t="shared" si="9"/>
        <v>142215</v>
      </c>
      <c r="O11" s="359">
        <f t="shared" si="9"/>
        <v>143781</v>
      </c>
    </row>
    <row r="12" spans="1:17">
      <c r="D12" s="360"/>
      <c r="E12" s="360"/>
      <c r="F12" s="360"/>
      <c r="G12" s="360"/>
      <c r="H12" s="360"/>
      <c r="I12" s="360"/>
      <c r="J12" s="360"/>
      <c r="K12" s="360"/>
      <c r="L12" s="360"/>
      <c r="M12" s="360"/>
      <c r="N12" s="360"/>
      <c r="O12" s="360"/>
    </row>
    <row r="13" spans="1:17">
      <c r="A13" s="356" t="s">
        <v>6797</v>
      </c>
      <c r="D13" s="359">
        <f t="shared" ref="D13:I13" si="10">MAX(D7,D9)-MIN(D7,D9)</f>
        <v>6934</v>
      </c>
      <c r="E13" s="359">
        <f t="shared" si="10"/>
        <v>7188</v>
      </c>
      <c r="F13" s="359">
        <f t="shared" si="10"/>
        <v>7075</v>
      </c>
      <c r="G13" s="359">
        <f t="shared" si="10"/>
        <v>7810</v>
      </c>
      <c r="H13" s="359">
        <f t="shared" si="10"/>
        <v>8292</v>
      </c>
      <c r="I13" s="359">
        <f t="shared" si="10"/>
        <v>8848</v>
      </c>
      <c r="J13" s="359">
        <f t="shared" ref="J13:O13" si="11">MAX(J7,J9)-MIN(J7,J9)</f>
        <v>8604</v>
      </c>
      <c r="K13" s="359">
        <f t="shared" si="11"/>
        <v>8733</v>
      </c>
      <c r="L13" s="359">
        <f t="shared" si="11"/>
        <v>9675</v>
      </c>
      <c r="M13" s="359">
        <f t="shared" si="11"/>
        <v>9982</v>
      </c>
      <c r="N13" s="359">
        <f t="shared" si="11"/>
        <v>10287</v>
      </c>
      <c r="O13" s="359">
        <f t="shared" si="11"/>
        <v>10221</v>
      </c>
    </row>
    <row r="14" spans="1:17">
      <c r="D14" s="360"/>
      <c r="E14" s="360"/>
      <c r="F14" s="360"/>
      <c r="G14" s="360"/>
      <c r="H14" s="360"/>
      <c r="I14" s="360"/>
      <c r="J14" s="360"/>
      <c r="K14" s="360"/>
      <c r="L14" s="360"/>
      <c r="M14" s="360"/>
      <c r="N14" s="360"/>
      <c r="O14" s="360"/>
    </row>
    <row r="15" spans="1:17">
      <c r="A15" s="356" t="s">
        <v>6800</v>
      </c>
      <c r="D15" s="359">
        <f t="shared" ref="D15:I15" si="12">STDEVP(D7,D9)</f>
        <v>3467</v>
      </c>
      <c r="E15" s="359">
        <f t="shared" si="12"/>
        <v>3594</v>
      </c>
      <c r="F15" s="359">
        <f t="shared" si="12"/>
        <v>3537.5</v>
      </c>
      <c r="G15" s="359">
        <f t="shared" si="12"/>
        <v>3905</v>
      </c>
      <c r="H15" s="359">
        <f t="shared" si="12"/>
        <v>4146</v>
      </c>
      <c r="I15" s="359">
        <f t="shared" si="12"/>
        <v>4424</v>
      </c>
      <c r="J15" s="359">
        <f t="shared" ref="J15:O15" si="13">STDEVP(J7,J9)</f>
        <v>4302</v>
      </c>
      <c r="K15" s="359">
        <f t="shared" si="13"/>
        <v>4366.5</v>
      </c>
      <c r="L15" s="359">
        <f t="shared" si="13"/>
        <v>4837.5</v>
      </c>
      <c r="M15" s="359">
        <f t="shared" si="13"/>
        <v>4991</v>
      </c>
      <c r="N15" s="359">
        <f t="shared" si="13"/>
        <v>5143.5</v>
      </c>
      <c r="O15" s="359">
        <f t="shared" si="13"/>
        <v>5110.5</v>
      </c>
    </row>
    <row r="17" spans="1:17">
      <c r="A17" s="356" t="s">
        <v>5387</v>
      </c>
      <c r="B17" s="356" t="s">
        <v>4503</v>
      </c>
      <c r="C17" s="55" t="s">
        <v>5828</v>
      </c>
      <c r="D17" s="359">
        <v>5260</v>
      </c>
      <c r="E17" s="359">
        <v>5267</v>
      </c>
      <c r="F17" s="359">
        <v>5319</v>
      </c>
      <c r="G17" s="359">
        <v>5332</v>
      </c>
      <c r="H17" s="56">
        <v>5257</v>
      </c>
      <c r="I17" s="56">
        <v>5094</v>
      </c>
      <c r="J17" s="56">
        <v>5136</v>
      </c>
      <c r="K17" s="56">
        <v>5292</v>
      </c>
      <c r="L17" s="56">
        <v>5190</v>
      </c>
      <c r="M17" s="56">
        <v>5081</v>
      </c>
      <c r="N17" s="56">
        <v>5282</v>
      </c>
      <c r="O17" s="56">
        <v>5323</v>
      </c>
      <c r="Q17" s="356" t="s">
        <v>3026</v>
      </c>
    </row>
    <row r="18" spans="1:17">
      <c r="A18" s="356" t="s">
        <v>5389</v>
      </c>
      <c r="B18" s="356" t="s">
        <v>3134</v>
      </c>
      <c r="C18" s="55" t="s">
        <v>6475</v>
      </c>
      <c r="D18" s="359">
        <v>5168</v>
      </c>
      <c r="E18" s="359">
        <v>5321</v>
      </c>
      <c r="F18" s="359">
        <v>5366</v>
      </c>
      <c r="G18" s="359">
        <v>5288</v>
      </c>
      <c r="H18" s="56">
        <v>5307</v>
      </c>
      <c r="I18" s="56">
        <v>5035</v>
      </c>
      <c r="J18" s="56">
        <v>4935</v>
      </c>
      <c r="K18" s="56">
        <v>4985</v>
      </c>
      <c r="L18" s="56">
        <v>4869</v>
      </c>
      <c r="M18" s="56">
        <v>4810</v>
      </c>
      <c r="N18" s="56">
        <v>4885</v>
      </c>
      <c r="O18" s="56">
        <v>4938</v>
      </c>
      <c r="Q18" s="356" t="s">
        <v>3026</v>
      </c>
    </row>
    <row r="19" spans="1:17">
      <c r="A19" s="356" t="s">
        <v>5391</v>
      </c>
      <c r="B19" s="356" t="s">
        <v>3135</v>
      </c>
      <c r="C19" s="55" t="s">
        <v>6476</v>
      </c>
      <c r="D19" s="359">
        <v>7335</v>
      </c>
      <c r="E19" s="359">
        <v>7324</v>
      </c>
      <c r="F19" s="359">
        <v>7318</v>
      </c>
      <c r="G19" s="359">
        <v>7264</v>
      </c>
      <c r="H19" s="56">
        <v>7185</v>
      </c>
      <c r="I19" s="56">
        <v>7069</v>
      </c>
      <c r="J19" s="56">
        <v>6943</v>
      </c>
      <c r="K19" s="56">
        <v>6996</v>
      </c>
      <c r="L19" s="56">
        <v>6931</v>
      </c>
      <c r="M19" s="56">
        <v>6873</v>
      </c>
      <c r="N19" s="56">
        <v>6948</v>
      </c>
      <c r="O19" s="56">
        <v>6987</v>
      </c>
      <c r="Q19" s="356" t="s">
        <v>3026</v>
      </c>
    </row>
    <row r="20" spans="1:17">
      <c r="A20" s="356" t="s">
        <v>5393</v>
      </c>
      <c r="B20" s="356" t="s">
        <v>3136</v>
      </c>
      <c r="C20" s="55" t="s">
        <v>6477</v>
      </c>
      <c r="D20" s="359">
        <v>4884</v>
      </c>
      <c r="E20" s="359">
        <v>4972</v>
      </c>
      <c r="F20" s="359">
        <v>4885</v>
      </c>
      <c r="G20" s="359">
        <v>4926</v>
      </c>
      <c r="H20" s="56">
        <v>4956</v>
      </c>
      <c r="I20" s="56">
        <v>4730</v>
      </c>
      <c r="J20" s="56">
        <v>4671</v>
      </c>
      <c r="K20" s="56">
        <v>4710</v>
      </c>
      <c r="L20" s="56">
        <v>4677</v>
      </c>
      <c r="M20" s="56">
        <v>4610</v>
      </c>
      <c r="N20" s="56">
        <v>4644</v>
      </c>
      <c r="O20" s="56">
        <v>4678</v>
      </c>
      <c r="Q20" s="356" t="s">
        <v>3026</v>
      </c>
    </row>
    <row r="21" spans="1:17">
      <c r="A21" s="356" t="s">
        <v>5394</v>
      </c>
      <c r="B21" s="356" t="s">
        <v>3137</v>
      </c>
      <c r="C21" s="55" t="s">
        <v>6478</v>
      </c>
      <c r="D21" s="359">
        <v>4850</v>
      </c>
      <c r="E21" s="359">
        <v>4828</v>
      </c>
      <c r="F21" s="359">
        <v>4766</v>
      </c>
      <c r="G21" s="359">
        <v>4778</v>
      </c>
      <c r="H21" s="56">
        <v>4660</v>
      </c>
      <c r="I21" s="56">
        <v>4588</v>
      </c>
      <c r="J21" s="56">
        <v>4521</v>
      </c>
      <c r="K21" s="56">
        <v>4573</v>
      </c>
      <c r="L21" s="56">
        <v>4484</v>
      </c>
      <c r="M21" s="56">
        <v>4453</v>
      </c>
      <c r="N21" s="56">
        <v>4483</v>
      </c>
      <c r="O21" s="56">
        <v>4506</v>
      </c>
      <c r="Q21" s="356" t="s">
        <v>3026</v>
      </c>
    </row>
    <row r="22" spans="1:17">
      <c r="A22" s="356" t="s">
        <v>5416</v>
      </c>
      <c r="B22" s="356" t="s">
        <v>3151</v>
      </c>
      <c r="C22" s="55" t="s">
        <v>6479</v>
      </c>
      <c r="D22" s="359">
        <v>5316</v>
      </c>
      <c r="E22" s="359">
        <v>5304</v>
      </c>
      <c r="F22" s="359">
        <v>5225</v>
      </c>
      <c r="G22" s="359">
        <v>5254</v>
      </c>
      <c r="H22" s="56">
        <v>5202</v>
      </c>
      <c r="I22" s="56">
        <v>5069</v>
      </c>
      <c r="J22" s="56">
        <v>5023</v>
      </c>
      <c r="K22" s="56">
        <v>5045</v>
      </c>
      <c r="L22" s="56">
        <v>4981</v>
      </c>
      <c r="M22" s="56">
        <v>4931</v>
      </c>
      <c r="N22" s="56">
        <v>4995</v>
      </c>
      <c r="O22" s="56">
        <v>5024</v>
      </c>
      <c r="Q22" s="356" t="s">
        <v>4502</v>
      </c>
    </row>
    <row r="23" spans="1:17">
      <c r="A23" s="356" t="s">
        <v>5418</v>
      </c>
      <c r="B23" s="356" t="s">
        <v>3152</v>
      </c>
      <c r="C23" s="55" t="s">
        <v>6480</v>
      </c>
      <c r="D23" s="359">
        <v>8274</v>
      </c>
      <c r="E23" s="359">
        <v>8288</v>
      </c>
      <c r="F23" s="359">
        <v>8369</v>
      </c>
      <c r="G23" s="359">
        <v>8354</v>
      </c>
      <c r="H23" s="58">
        <v>8283</v>
      </c>
      <c r="I23" s="58">
        <v>8105</v>
      </c>
      <c r="J23" s="58">
        <v>7912</v>
      </c>
      <c r="K23" s="58">
        <v>8059</v>
      </c>
      <c r="L23" s="58">
        <v>8124</v>
      </c>
      <c r="M23" s="58">
        <v>8026</v>
      </c>
      <c r="N23" s="58">
        <v>8269</v>
      </c>
      <c r="O23" s="58">
        <v>8305</v>
      </c>
      <c r="Q23" s="356" t="s">
        <v>4502</v>
      </c>
    </row>
    <row r="24" spans="1:17">
      <c r="A24" s="356" t="s">
        <v>5420</v>
      </c>
      <c r="B24" s="356" t="s">
        <v>2040</v>
      </c>
      <c r="C24" s="55" t="s">
        <v>6481</v>
      </c>
      <c r="D24" s="359">
        <v>4849</v>
      </c>
      <c r="E24" s="359">
        <v>4837</v>
      </c>
      <c r="F24" s="359">
        <v>4797</v>
      </c>
      <c r="G24" s="359">
        <v>4764</v>
      </c>
      <c r="H24" s="58">
        <v>4717</v>
      </c>
      <c r="I24" s="58">
        <v>4591</v>
      </c>
      <c r="J24" s="58">
        <v>4535</v>
      </c>
      <c r="K24" s="58">
        <v>4549</v>
      </c>
      <c r="L24" s="58">
        <v>4580</v>
      </c>
      <c r="M24" s="58">
        <v>4508</v>
      </c>
      <c r="N24" s="58">
        <v>4561</v>
      </c>
      <c r="O24" s="58">
        <v>4549</v>
      </c>
      <c r="Q24" s="356" t="s">
        <v>4502</v>
      </c>
    </row>
    <row r="25" spans="1:17">
      <c r="A25" s="356" t="s">
        <v>5422</v>
      </c>
      <c r="B25" s="356" t="s">
        <v>1725</v>
      </c>
      <c r="C25" s="55" t="s">
        <v>6482</v>
      </c>
      <c r="D25" s="359">
        <v>5344</v>
      </c>
      <c r="E25" s="359">
        <v>5324</v>
      </c>
      <c r="F25" s="359">
        <v>5344</v>
      </c>
      <c r="G25" s="359">
        <v>5293</v>
      </c>
      <c r="H25" s="58">
        <v>5300</v>
      </c>
      <c r="I25" s="58">
        <v>5222</v>
      </c>
      <c r="J25" s="58">
        <v>5133</v>
      </c>
      <c r="K25" s="58">
        <v>5184</v>
      </c>
      <c r="L25" s="58">
        <v>5154</v>
      </c>
      <c r="M25" s="58">
        <v>5101</v>
      </c>
      <c r="N25" s="58">
        <v>5154</v>
      </c>
      <c r="O25" s="58">
        <v>5163</v>
      </c>
      <c r="Q25" s="356" t="s">
        <v>4502</v>
      </c>
    </row>
    <row r="26" spans="1:17">
      <c r="A26" s="356" t="s">
        <v>5424</v>
      </c>
      <c r="B26" s="356" t="s">
        <v>11374</v>
      </c>
      <c r="C26" s="55" t="s">
        <v>6483</v>
      </c>
      <c r="D26" s="359">
        <v>4717</v>
      </c>
      <c r="E26" s="359">
        <v>4842</v>
      </c>
      <c r="F26" s="359">
        <v>4876</v>
      </c>
      <c r="G26" s="359">
        <v>4973</v>
      </c>
      <c r="H26" s="56">
        <v>4972</v>
      </c>
      <c r="I26" s="56">
        <v>4704</v>
      </c>
      <c r="J26" s="56">
        <v>4813</v>
      </c>
      <c r="K26" s="56">
        <v>5083</v>
      </c>
      <c r="L26" s="56">
        <v>5046</v>
      </c>
      <c r="M26" s="56">
        <v>4929</v>
      </c>
      <c r="N26" s="56">
        <v>5067</v>
      </c>
      <c r="O26" s="56">
        <v>5196</v>
      </c>
      <c r="Q26" s="356" t="s">
        <v>3026</v>
      </c>
    </row>
    <row r="27" spans="1:17">
      <c r="A27" s="356" t="s">
        <v>5426</v>
      </c>
      <c r="B27" s="356" t="s">
        <v>1726</v>
      </c>
      <c r="C27" s="55" t="s">
        <v>6484</v>
      </c>
      <c r="D27" s="359">
        <v>5490</v>
      </c>
      <c r="E27" s="359">
        <v>5480</v>
      </c>
      <c r="F27" s="359">
        <v>5446</v>
      </c>
      <c r="G27" s="359">
        <v>5467</v>
      </c>
      <c r="H27" s="58">
        <v>5425</v>
      </c>
      <c r="I27" s="58">
        <v>5348</v>
      </c>
      <c r="J27" s="58">
        <v>5256</v>
      </c>
      <c r="K27" s="58">
        <v>5226</v>
      </c>
      <c r="L27" s="58">
        <v>5234</v>
      </c>
      <c r="M27" s="58">
        <v>5187</v>
      </c>
      <c r="N27" s="58">
        <v>5216</v>
      </c>
      <c r="O27" s="58">
        <v>5269</v>
      </c>
      <c r="Q27" s="356" t="s">
        <v>4502</v>
      </c>
    </row>
    <row r="28" spans="1:17">
      <c r="A28" s="356" t="s">
        <v>5428</v>
      </c>
      <c r="B28" s="356" t="s">
        <v>1727</v>
      </c>
      <c r="C28" s="55" t="s">
        <v>6485</v>
      </c>
      <c r="D28" s="359">
        <v>7369</v>
      </c>
      <c r="E28" s="359">
        <v>7498</v>
      </c>
      <c r="F28" s="359">
        <v>7654</v>
      </c>
      <c r="G28" s="359">
        <v>7753</v>
      </c>
      <c r="H28" s="58">
        <v>7766</v>
      </c>
      <c r="I28" s="58">
        <v>7630</v>
      </c>
      <c r="J28" s="58">
        <v>7467</v>
      </c>
      <c r="K28" s="58">
        <v>7661</v>
      </c>
      <c r="L28" s="58">
        <v>7710</v>
      </c>
      <c r="M28" s="58">
        <v>7597</v>
      </c>
      <c r="N28" s="58">
        <v>7749</v>
      </c>
      <c r="O28" s="58">
        <v>7833</v>
      </c>
      <c r="Q28" s="356" t="s">
        <v>4502</v>
      </c>
    </row>
    <row r="29" spans="1:17">
      <c r="A29" s="356" t="s">
        <v>5429</v>
      </c>
      <c r="B29" s="356" t="s">
        <v>1728</v>
      </c>
      <c r="C29" s="55" t="s">
        <v>6486</v>
      </c>
      <c r="D29" s="359">
        <v>7330</v>
      </c>
      <c r="E29" s="359">
        <v>7457</v>
      </c>
      <c r="F29" s="359">
        <v>7564</v>
      </c>
      <c r="G29" s="359">
        <v>7759</v>
      </c>
      <c r="H29" s="58">
        <v>8042</v>
      </c>
      <c r="I29" s="58">
        <v>8074</v>
      </c>
      <c r="J29" s="58">
        <v>8184</v>
      </c>
      <c r="K29" s="58">
        <v>8609</v>
      </c>
      <c r="L29" s="58">
        <v>8894</v>
      </c>
      <c r="M29" s="58">
        <v>9031</v>
      </c>
      <c r="N29" s="58">
        <v>9392</v>
      </c>
      <c r="O29" s="58">
        <v>9479</v>
      </c>
      <c r="Q29" s="356" t="s">
        <v>4502</v>
      </c>
    </row>
    <row r="30" spans="1:17">
      <c r="A30" s="356" t="s">
        <v>5431</v>
      </c>
      <c r="B30" s="356" t="s">
        <v>1729</v>
      </c>
      <c r="C30" s="55" t="s">
        <v>6487</v>
      </c>
      <c r="D30" s="359">
        <v>7318</v>
      </c>
      <c r="E30" s="359">
        <v>7557</v>
      </c>
      <c r="F30" s="359">
        <v>7422</v>
      </c>
      <c r="G30" s="359">
        <v>7743</v>
      </c>
      <c r="H30" s="58">
        <v>7841</v>
      </c>
      <c r="I30" s="58">
        <v>7226</v>
      </c>
      <c r="J30" s="58">
        <v>7267</v>
      </c>
      <c r="K30" s="58">
        <v>7204</v>
      </c>
      <c r="L30" s="58">
        <v>7101</v>
      </c>
      <c r="M30" s="58">
        <v>6890</v>
      </c>
      <c r="N30" s="58">
        <v>7100</v>
      </c>
      <c r="O30" s="58">
        <v>7175</v>
      </c>
      <c r="Q30" s="356" t="s">
        <v>4502</v>
      </c>
    </row>
    <row r="31" spans="1:17">
      <c r="A31" s="356" t="s">
        <v>5433</v>
      </c>
      <c r="B31" s="356" t="s">
        <v>6583</v>
      </c>
      <c r="C31" s="55" t="s">
        <v>6488</v>
      </c>
      <c r="D31" s="359">
        <v>5013</v>
      </c>
      <c r="E31" s="359">
        <v>4954</v>
      </c>
      <c r="F31" s="359">
        <v>5065</v>
      </c>
      <c r="G31" s="359">
        <v>5058</v>
      </c>
      <c r="H31" s="56">
        <v>5048</v>
      </c>
      <c r="I31" s="56">
        <v>4803</v>
      </c>
      <c r="J31" s="56">
        <v>4771</v>
      </c>
      <c r="K31" s="56">
        <v>4783</v>
      </c>
      <c r="L31" s="56">
        <v>4741</v>
      </c>
      <c r="M31" s="56">
        <v>4568</v>
      </c>
      <c r="N31" s="56">
        <v>4631</v>
      </c>
      <c r="O31" s="56">
        <v>4651</v>
      </c>
      <c r="Q31" s="356" t="s">
        <v>3026</v>
      </c>
    </row>
    <row r="32" spans="1:17">
      <c r="A32" s="356" t="s">
        <v>5435</v>
      </c>
      <c r="B32" s="356" t="s">
        <v>1730</v>
      </c>
      <c r="C32" s="55" t="s">
        <v>6489</v>
      </c>
      <c r="D32" s="359">
        <v>2690</v>
      </c>
      <c r="E32" s="359">
        <v>2695</v>
      </c>
      <c r="F32" s="359">
        <v>2671</v>
      </c>
      <c r="G32" s="359">
        <v>2728</v>
      </c>
      <c r="H32" s="56">
        <v>2879</v>
      </c>
      <c r="I32" s="56">
        <v>2887</v>
      </c>
      <c r="J32" s="56">
        <v>2954</v>
      </c>
      <c r="K32" s="56">
        <v>3022</v>
      </c>
      <c r="L32" s="56">
        <v>3082</v>
      </c>
      <c r="M32" s="56">
        <v>3212</v>
      </c>
      <c r="N32" s="56">
        <v>3454</v>
      </c>
      <c r="O32" s="56">
        <v>3529</v>
      </c>
      <c r="Q32" s="356" t="s">
        <v>3026</v>
      </c>
    </row>
    <row r="33" spans="1:17">
      <c r="A33" s="356" t="s">
        <v>5436</v>
      </c>
      <c r="B33" s="356" t="s">
        <v>6693</v>
      </c>
      <c r="C33" s="55" t="s">
        <v>6490</v>
      </c>
      <c r="D33" s="359">
        <v>4981</v>
      </c>
      <c r="E33" s="359">
        <v>5036</v>
      </c>
      <c r="F33" s="359">
        <v>5097</v>
      </c>
      <c r="G33" s="359">
        <v>5070</v>
      </c>
      <c r="H33" s="56">
        <v>5020</v>
      </c>
      <c r="I33" s="56">
        <v>4803</v>
      </c>
      <c r="J33" s="56">
        <v>4767</v>
      </c>
      <c r="K33" s="56">
        <v>4807</v>
      </c>
      <c r="L33" s="56">
        <v>4692</v>
      </c>
      <c r="M33" s="56">
        <v>4706</v>
      </c>
      <c r="N33" s="56">
        <v>4828</v>
      </c>
      <c r="O33" s="56">
        <v>4889</v>
      </c>
      <c r="Q33" s="356" t="s">
        <v>3026</v>
      </c>
    </row>
    <row r="34" spans="1:17">
      <c r="A34" s="356" t="s">
        <v>5437</v>
      </c>
      <c r="B34" s="356" t="s">
        <v>6694</v>
      </c>
      <c r="C34" s="55" t="s">
        <v>6491</v>
      </c>
      <c r="D34" s="359">
        <v>5014</v>
      </c>
      <c r="E34" s="359">
        <v>4896</v>
      </c>
      <c r="F34" s="359">
        <v>4845</v>
      </c>
      <c r="G34" s="359">
        <v>4763</v>
      </c>
      <c r="H34" s="56">
        <v>4661</v>
      </c>
      <c r="I34" s="56">
        <v>4488</v>
      </c>
      <c r="J34" s="56">
        <v>4517</v>
      </c>
      <c r="K34" s="56">
        <v>4589</v>
      </c>
      <c r="L34" s="56">
        <v>4650</v>
      </c>
      <c r="M34" s="56">
        <v>4610</v>
      </c>
      <c r="N34" s="56">
        <v>4723</v>
      </c>
      <c r="O34" s="56">
        <v>4795</v>
      </c>
      <c r="Q34" s="356" t="s">
        <v>3026</v>
      </c>
    </row>
    <row r="35" spans="1:17">
      <c r="A35" s="356" t="s">
        <v>5439</v>
      </c>
      <c r="B35" s="356" t="s">
        <v>6469</v>
      </c>
      <c r="C35" s="55" t="s">
        <v>6492</v>
      </c>
      <c r="D35" s="359">
        <v>5175</v>
      </c>
      <c r="E35" s="359">
        <v>5206</v>
      </c>
      <c r="F35" s="359">
        <v>5232</v>
      </c>
      <c r="G35" s="359">
        <v>5199</v>
      </c>
      <c r="H35" s="56">
        <v>5183</v>
      </c>
      <c r="I35" s="56">
        <v>5084</v>
      </c>
      <c r="J35" s="56">
        <v>5062</v>
      </c>
      <c r="K35" s="56">
        <v>5105</v>
      </c>
      <c r="L35" s="56">
        <v>5075</v>
      </c>
      <c r="M35" s="56">
        <v>4972</v>
      </c>
      <c r="N35" s="56">
        <v>5041</v>
      </c>
      <c r="O35" s="56">
        <v>5042</v>
      </c>
      <c r="Q35" s="356" t="s">
        <v>3026</v>
      </c>
    </row>
    <row r="36" spans="1:17">
      <c r="A36" s="356" t="s">
        <v>5441</v>
      </c>
      <c r="B36" s="356" t="s">
        <v>1731</v>
      </c>
      <c r="C36" s="55" t="s">
        <v>6493</v>
      </c>
      <c r="D36" s="359">
        <v>4859</v>
      </c>
      <c r="E36" s="359">
        <v>4953</v>
      </c>
      <c r="F36" s="359">
        <v>5054</v>
      </c>
      <c r="G36" s="359">
        <v>5089</v>
      </c>
      <c r="H36" s="58">
        <v>5132</v>
      </c>
      <c r="I36" s="58">
        <v>4973</v>
      </c>
      <c r="J36" s="58">
        <v>5117</v>
      </c>
      <c r="K36" s="58">
        <v>5324</v>
      </c>
      <c r="L36" s="58">
        <v>5480</v>
      </c>
      <c r="M36" s="58">
        <v>5521</v>
      </c>
      <c r="N36" s="58">
        <v>5736</v>
      </c>
      <c r="O36" s="58">
        <v>5861</v>
      </c>
      <c r="Q36" s="356" t="s">
        <v>4502</v>
      </c>
    </row>
    <row r="37" spans="1:17">
      <c r="A37" s="356" t="s">
        <v>5886</v>
      </c>
      <c r="B37" s="356" t="s">
        <v>1732</v>
      </c>
      <c r="C37" s="55" t="s">
        <v>6494</v>
      </c>
      <c r="D37" s="359">
        <v>5169</v>
      </c>
      <c r="E37" s="359">
        <v>5156</v>
      </c>
      <c r="F37" s="359">
        <v>5223</v>
      </c>
      <c r="G37" s="359">
        <v>5288</v>
      </c>
      <c r="H37" s="56">
        <v>5169</v>
      </c>
      <c r="I37" s="56">
        <v>4943</v>
      </c>
      <c r="J37" s="56">
        <v>4922</v>
      </c>
      <c r="K37" s="56">
        <v>5002</v>
      </c>
      <c r="L37" s="56">
        <v>4958</v>
      </c>
      <c r="M37" s="56">
        <v>4864</v>
      </c>
      <c r="N37" s="56">
        <v>4909</v>
      </c>
      <c r="O37" s="56">
        <v>4978</v>
      </c>
      <c r="Q37" s="356" t="s">
        <v>3026</v>
      </c>
    </row>
    <row r="38" spans="1:17">
      <c r="A38" s="356" t="s">
        <v>5888</v>
      </c>
      <c r="B38" s="356" t="s">
        <v>1003</v>
      </c>
      <c r="C38" s="55" t="s">
        <v>6495</v>
      </c>
      <c r="D38" s="359">
        <v>4777</v>
      </c>
      <c r="E38" s="359">
        <v>4835</v>
      </c>
      <c r="F38" s="359">
        <v>4853</v>
      </c>
      <c r="G38" s="359">
        <v>4876</v>
      </c>
      <c r="H38" s="58">
        <v>4910</v>
      </c>
      <c r="I38" s="58">
        <v>4784</v>
      </c>
      <c r="J38" s="58">
        <v>4740</v>
      </c>
      <c r="K38" s="58">
        <v>4749</v>
      </c>
      <c r="L38" s="58">
        <v>4654</v>
      </c>
      <c r="M38" s="58">
        <v>4665</v>
      </c>
      <c r="N38" s="58">
        <v>4741</v>
      </c>
      <c r="O38" s="58">
        <v>4771</v>
      </c>
      <c r="Q38" s="356" t="s">
        <v>4502</v>
      </c>
    </row>
    <row r="39" spans="1:17">
      <c r="A39" s="356" t="s">
        <v>5889</v>
      </c>
      <c r="B39" s="356" t="s">
        <v>1004</v>
      </c>
      <c r="C39" s="55" t="s">
        <v>6496</v>
      </c>
      <c r="D39" s="359">
        <v>4120</v>
      </c>
      <c r="E39" s="359">
        <v>4206</v>
      </c>
      <c r="F39" s="359">
        <v>4283</v>
      </c>
      <c r="G39" s="359">
        <v>4268</v>
      </c>
      <c r="H39" s="56">
        <v>4391</v>
      </c>
      <c r="I39" s="56">
        <v>3991</v>
      </c>
      <c r="J39" s="56">
        <v>3971</v>
      </c>
      <c r="K39" s="56">
        <v>3999</v>
      </c>
      <c r="L39" s="56">
        <v>3970</v>
      </c>
      <c r="M39" s="56">
        <v>3938</v>
      </c>
      <c r="N39" s="56">
        <v>4210</v>
      </c>
      <c r="O39" s="56">
        <v>4406</v>
      </c>
      <c r="Q39" s="356" t="s">
        <v>3026</v>
      </c>
    </row>
    <row r="40" spans="1:17">
      <c r="A40" s="356" t="s">
        <v>4431</v>
      </c>
      <c r="B40" s="356" t="s">
        <v>3863</v>
      </c>
      <c r="C40" s="55" t="s">
        <v>6497</v>
      </c>
      <c r="D40" s="359">
        <v>5222</v>
      </c>
      <c r="E40" s="359">
        <v>5232</v>
      </c>
      <c r="F40" s="359">
        <v>5227</v>
      </c>
      <c r="G40" s="359">
        <v>5377</v>
      </c>
      <c r="H40" s="58">
        <v>5421</v>
      </c>
      <c r="I40" s="58">
        <v>5298</v>
      </c>
      <c r="J40" s="58">
        <v>5202</v>
      </c>
      <c r="K40" s="58">
        <v>5206</v>
      </c>
      <c r="L40" s="58">
        <v>5132</v>
      </c>
      <c r="M40" s="58">
        <v>5028</v>
      </c>
      <c r="N40" s="58">
        <v>5072</v>
      </c>
      <c r="O40" s="58">
        <v>5115</v>
      </c>
      <c r="Q40" s="356" t="s">
        <v>4502</v>
      </c>
    </row>
    <row r="41" spans="1:17">
      <c r="A41" s="356" t="s">
        <v>4432</v>
      </c>
      <c r="B41" s="356" t="s">
        <v>1005</v>
      </c>
      <c r="C41" s="55" t="s">
        <v>6498</v>
      </c>
      <c r="D41" s="359">
        <v>2614</v>
      </c>
      <c r="E41" s="359">
        <v>2630</v>
      </c>
      <c r="F41" s="359">
        <v>2654</v>
      </c>
      <c r="G41" s="359">
        <v>2715</v>
      </c>
      <c r="H41" s="56">
        <v>2720</v>
      </c>
      <c r="I41" s="56">
        <v>2666</v>
      </c>
      <c r="J41" s="56">
        <v>2634</v>
      </c>
      <c r="K41" s="56">
        <v>2648</v>
      </c>
      <c r="L41" s="56">
        <v>2658</v>
      </c>
      <c r="M41" s="56">
        <v>2700</v>
      </c>
      <c r="N41" s="56">
        <v>2859</v>
      </c>
      <c r="O41" s="56">
        <v>2862</v>
      </c>
      <c r="Q41" s="356" t="s">
        <v>3026</v>
      </c>
    </row>
    <row r="42" spans="1:17">
      <c r="A42" s="356" t="s">
        <v>4434</v>
      </c>
      <c r="B42" s="356" t="s">
        <v>1006</v>
      </c>
      <c r="C42" s="55" t="s">
        <v>6499</v>
      </c>
      <c r="D42" s="360">
        <v>7776</v>
      </c>
      <c r="E42" s="360">
        <v>7756</v>
      </c>
      <c r="F42" s="360">
        <v>7720</v>
      </c>
      <c r="G42" s="360">
        <v>7731</v>
      </c>
      <c r="H42" s="58">
        <v>7661</v>
      </c>
      <c r="I42" s="58">
        <v>7413</v>
      </c>
      <c r="J42" s="58">
        <v>7385</v>
      </c>
      <c r="K42" s="58">
        <v>7511</v>
      </c>
      <c r="L42" s="58">
        <v>7654</v>
      </c>
      <c r="M42" s="58">
        <v>7823</v>
      </c>
      <c r="N42" s="58">
        <v>8266</v>
      </c>
      <c r="O42" s="58">
        <v>8457</v>
      </c>
      <c r="Q42" s="356" t="s">
        <v>4502</v>
      </c>
    </row>
    <row r="43" spans="1:17">
      <c r="D43" s="360"/>
      <c r="E43" s="360"/>
      <c r="F43" s="360"/>
      <c r="G43" s="360"/>
      <c r="H43" s="360"/>
      <c r="I43" s="360"/>
      <c r="J43" s="360"/>
      <c r="K43" s="360"/>
      <c r="L43" s="360"/>
    </row>
    <row r="44" spans="1:17">
      <c r="A44" s="356" t="s">
        <v>1007</v>
      </c>
    </row>
    <row r="48" spans="1:17">
      <c r="A48" s="356"/>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3:D4 E3:E4 F3:F4 G3:G4 D5:D15 E5:E15 F5:F15 G5:G15 H3:H4 H5:H15 I3:I15 J3:J15 K3:K15 L3:L15" unlockedFormula="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ransitionEvaluation="1"/>
  <dimension ref="A1:Q247"/>
  <sheetViews>
    <sheetView showGridLines="0" zoomScale="90" zoomScaleNormal="90" workbookViewId="0">
      <selection activeCell="R147" sqref="R147"/>
    </sheetView>
  </sheetViews>
  <sheetFormatPr defaultColWidth="12.5703125" defaultRowHeight="15"/>
  <cols>
    <col min="1" max="1" width="4.85546875" style="122" customWidth="1"/>
    <col min="2" max="2" width="36.28515625" style="122" customWidth="1"/>
    <col min="3" max="3" width="11.5703125" style="122" customWidth="1"/>
    <col min="4" max="15" width="10" style="122" customWidth="1"/>
    <col min="16" max="16" width="2.28515625" style="122" customWidth="1"/>
    <col min="17" max="17" width="35.85546875" style="122" customWidth="1"/>
    <col min="18" max="16384" width="12.5703125" style="122"/>
  </cols>
  <sheetData>
    <row r="1" spans="1:17">
      <c r="A1" s="342" t="s">
        <v>6924</v>
      </c>
      <c r="D1" s="343">
        <v>2010</v>
      </c>
      <c r="E1" s="343">
        <v>2011</v>
      </c>
      <c r="F1" s="343">
        <v>2012</v>
      </c>
      <c r="G1" s="343">
        <v>2013</v>
      </c>
      <c r="H1" s="343">
        <v>2014</v>
      </c>
      <c r="I1" s="343">
        <v>2015</v>
      </c>
      <c r="J1" s="343">
        <v>2016</v>
      </c>
      <c r="K1" s="343">
        <v>2017</v>
      </c>
      <c r="L1" s="343">
        <v>2018</v>
      </c>
      <c r="M1" s="343">
        <v>2019</v>
      </c>
      <c r="N1" s="343">
        <v>2020</v>
      </c>
      <c r="O1" s="938" t="s">
        <v>14823</v>
      </c>
    </row>
    <row r="3" spans="1:17">
      <c r="A3" s="342" t="s">
        <v>2414</v>
      </c>
      <c r="D3" s="344">
        <f>SUM(D5:D9)</f>
        <v>540234</v>
      </c>
      <c r="E3" s="344">
        <f t="shared" ref="E3:N3" si="0">SUM(E5:E9)</f>
        <v>542492</v>
      </c>
      <c r="F3" s="344">
        <f t="shared" si="0"/>
        <v>545498</v>
      </c>
      <c r="G3" s="344">
        <f t="shared" si="0"/>
        <v>547291</v>
      </c>
      <c r="H3" s="344">
        <f t="shared" si="0"/>
        <v>542550</v>
      </c>
      <c r="I3" s="344">
        <f t="shared" si="0"/>
        <v>536556</v>
      </c>
      <c r="J3" s="344">
        <f t="shared" si="0"/>
        <v>526217</v>
      </c>
      <c r="K3" s="344">
        <f t="shared" si="0"/>
        <v>545536</v>
      </c>
      <c r="L3" s="344">
        <f t="shared" si="0"/>
        <v>548393</v>
      </c>
      <c r="M3" s="344">
        <f t="shared" si="0"/>
        <v>546831</v>
      </c>
      <c r="N3" s="344">
        <f t="shared" si="0"/>
        <v>562170</v>
      </c>
      <c r="O3" s="344">
        <f>SUM(O5:O9)</f>
        <v>557535</v>
      </c>
    </row>
    <row r="4" spans="1:17">
      <c r="D4" s="345"/>
      <c r="E4" s="345"/>
      <c r="F4" s="345"/>
      <c r="G4" s="345"/>
      <c r="H4" s="345"/>
      <c r="I4" s="345"/>
      <c r="J4" s="345"/>
      <c r="K4" s="345"/>
      <c r="L4" s="345"/>
      <c r="M4" s="345"/>
      <c r="N4" s="345"/>
      <c r="O4" s="345"/>
    </row>
    <row r="5" spans="1:17">
      <c r="A5" s="342" t="s">
        <v>1008</v>
      </c>
      <c r="C5" s="342"/>
      <c r="D5" s="344">
        <f t="shared" ref="D5:I5" si="1">D43</f>
        <v>69365</v>
      </c>
      <c r="E5" s="344">
        <f t="shared" si="1"/>
        <v>69609</v>
      </c>
      <c r="F5" s="344">
        <f t="shared" si="1"/>
        <v>69910</v>
      </c>
      <c r="G5" s="344">
        <f t="shared" si="1"/>
        <v>70307</v>
      </c>
      <c r="H5" s="344">
        <f t="shared" si="1"/>
        <v>70322</v>
      </c>
      <c r="I5" s="344">
        <f t="shared" si="1"/>
        <v>69094</v>
      </c>
      <c r="J5" s="344">
        <f t="shared" ref="J5:O5" si="2">J43</f>
        <v>68206</v>
      </c>
      <c r="K5" s="344">
        <f t="shared" si="2"/>
        <v>71175</v>
      </c>
      <c r="L5" s="344">
        <f t="shared" si="2"/>
        <v>71840</v>
      </c>
      <c r="M5" s="344">
        <f t="shared" si="2"/>
        <v>70966</v>
      </c>
      <c r="N5" s="344">
        <f t="shared" si="2"/>
        <v>73184</v>
      </c>
      <c r="O5" s="344">
        <f t="shared" si="2"/>
        <v>71070</v>
      </c>
      <c r="Q5" s="346"/>
    </row>
    <row r="6" spans="1:17">
      <c r="A6" s="342" t="s">
        <v>13040</v>
      </c>
      <c r="C6" s="342"/>
      <c r="D6" s="344">
        <f>D76</f>
        <v>185085</v>
      </c>
      <c r="E6" s="344">
        <f t="shared" ref="E6:N6" si="3">E76</f>
        <v>185080</v>
      </c>
      <c r="F6" s="344">
        <f t="shared" si="3"/>
        <v>185769</v>
      </c>
      <c r="G6" s="344">
        <f t="shared" si="3"/>
        <v>186417</v>
      </c>
      <c r="H6" s="344">
        <f t="shared" si="3"/>
        <v>183505</v>
      </c>
      <c r="I6" s="344">
        <f t="shared" si="3"/>
        <v>183728</v>
      </c>
      <c r="J6" s="344">
        <f t="shared" si="3"/>
        <v>181747</v>
      </c>
      <c r="K6" s="344">
        <f t="shared" si="3"/>
        <v>186262</v>
      </c>
      <c r="L6" s="344">
        <f t="shared" si="3"/>
        <v>188152</v>
      </c>
      <c r="M6" s="344">
        <f t="shared" si="3"/>
        <v>189160</v>
      </c>
      <c r="N6" s="344">
        <f t="shared" si="3"/>
        <v>192264</v>
      </c>
      <c r="O6" s="344">
        <f>O76</f>
        <v>192165</v>
      </c>
      <c r="Q6" s="346"/>
    </row>
    <row r="7" spans="1:17">
      <c r="A7" s="342" t="s">
        <v>1009</v>
      </c>
      <c r="C7" s="342"/>
      <c r="D7" s="344">
        <f t="shared" ref="D7:I7" si="4">D120</f>
        <v>94748</v>
      </c>
      <c r="E7" s="344">
        <f t="shared" si="4"/>
        <v>93141</v>
      </c>
      <c r="F7" s="344">
        <f t="shared" si="4"/>
        <v>94517</v>
      </c>
      <c r="G7" s="344">
        <f t="shared" si="4"/>
        <v>94107</v>
      </c>
      <c r="H7" s="344">
        <f t="shared" si="4"/>
        <v>93983</v>
      </c>
      <c r="I7" s="344">
        <f t="shared" si="4"/>
        <v>90508</v>
      </c>
      <c r="J7" s="344">
        <f t="shared" ref="J7:O7" si="5">J120</f>
        <v>87527</v>
      </c>
      <c r="K7" s="344">
        <f t="shared" si="5"/>
        <v>89624</v>
      </c>
      <c r="L7" s="344">
        <f t="shared" si="5"/>
        <v>90544</v>
      </c>
      <c r="M7" s="344">
        <f t="shared" si="5"/>
        <v>90000</v>
      </c>
      <c r="N7" s="344">
        <f t="shared" si="5"/>
        <v>92413</v>
      </c>
      <c r="O7" s="344">
        <f t="shared" si="5"/>
        <v>92505</v>
      </c>
      <c r="Q7" s="346"/>
    </row>
    <row r="8" spans="1:17">
      <c r="A8" s="342" t="s">
        <v>1010</v>
      </c>
      <c r="C8" s="342"/>
      <c r="D8" s="344">
        <f t="shared" ref="D8:I8" si="6">D146</f>
        <v>74950</v>
      </c>
      <c r="E8" s="344">
        <f t="shared" si="6"/>
        <v>75670</v>
      </c>
      <c r="F8" s="344">
        <f t="shared" si="6"/>
        <v>76313</v>
      </c>
      <c r="G8" s="344">
        <f t="shared" si="6"/>
        <v>76721</v>
      </c>
      <c r="H8" s="344">
        <f t="shared" si="6"/>
        <v>76808</v>
      </c>
      <c r="I8" s="344">
        <f t="shared" si="6"/>
        <v>76023</v>
      </c>
      <c r="J8" s="344">
        <f t="shared" ref="J8:O8" si="7">J146</f>
        <v>76018</v>
      </c>
      <c r="K8" s="344">
        <f t="shared" si="7"/>
        <v>79484</v>
      </c>
      <c r="L8" s="344">
        <f t="shared" si="7"/>
        <v>80113</v>
      </c>
      <c r="M8" s="344">
        <f t="shared" si="7"/>
        <v>79391</v>
      </c>
      <c r="N8" s="344">
        <f t="shared" si="7"/>
        <v>82410</v>
      </c>
      <c r="O8" s="344">
        <f t="shared" si="7"/>
        <v>79884</v>
      </c>
      <c r="Q8" s="346"/>
    </row>
    <row r="9" spans="1:17">
      <c r="A9" s="122" t="s">
        <v>12986</v>
      </c>
      <c r="D9" s="344">
        <f>D190</f>
        <v>116086</v>
      </c>
      <c r="E9" s="344">
        <f t="shared" ref="E9:N9" si="8">E190</f>
        <v>118992</v>
      </c>
      <c r="F9" s="344">
        <f t="shared" si="8"/>
        <v>118989</v>
      </c>
      <c r="G9" s="344">
        <f t="shared" si="8"/>
        <v>119739</v>
      </c>
      <c r="H9" s="344">
        <f t="shared" si="8"/>
        <v>117932</v>
      </c>
      <c r="I9" s="344">
        <f t="shared" si="8"/>
        <v>117203</v>
      </c>
      <c r="J9" s="344">
        <f t="shared" si="8"/>
        <v>112719</v>
      </c>
      <c r="K9" s="344">
        <f t="shared" si="8"/>
        <v>118991</v>
      </c>
      <c r="L9" s="344">
        <f t="shared" si="8"/>
        <v>117744</v>
      </c>
      <c r="M9" s="344">
        <f t="shared" si="8"/>
        <v>117314</v>
      </c>
      <c r="N9" s="344">
        <f t="shared" si="8"/>
        <v>121899</v>
      </c>
      <c r="O9" s="344">
        <f>O190</f>
        <v>121911</v>
      </c>
      <c r="Q9" s="346"/>
    </row>
    <row r="11" spans="1:17">
      <c r="A11" s="342" t="s">
        <v>6216</v>
      </c>
      <c r="D11" s="344">
        <f>D3/7</f>
        <v>77176.28571428571</v>
      </c>
      <c r="E11" s="344">
        <f t="shared" ref="E11:N11" si="9">E3/7</f>
        <v>77498.857142857145</v>
      </c>
      <c r="F11" s="344">
        <f t="shared" si="9"/>
        <v>77928.28571428571</v>
      </c>
      <c r="G11" s="344">
        <f t="shared" si="9"/>
        <v>78184.428571428565</v>
      </c>
      <c r="H11" s="344">
        <f t="shared" si="9"/>
        <v>77507.142857142855</v>
      </c>
      <c r="I11" s="344">
        <f t="shared" si="9"/>
        <v>76650.857142857145</v>
      </c>
      <c r="J11" s="344">
        <f t="shared" si="9"/>
        <v>75173.857142857145</v>
      </c>
      <c r="K11" s="344">
        <f t="shared" si="9"/>
        <v>77933.71428571429</v>
      </c>
      <c r="L11" s="344">
        <f t="shared" si="9"/>
        <v>78341.857142857145</v>
      </c>
      <c r="M11" s="344">
        <f t="shared" si="9"/>
        <v>78118.71428571429</v>
      </c>
      <c r="N11" s="344">
        <f t="shared" si="9"/>
        <v>80310</v>
      </c>
      <c r="O11" s="344">
        <f>O3/7</f>
        <v>79647.857142857145</v>
      </c>
    </row>
    <row r="12" spans="1:17">
      <c r="D12" s="345"/>
      <c r="E12" s="345"/>
      <c r="F12" s="345"/>
      <c r="G12" s="345"/>
      <c r="H12" s="345"/>
      <c r="I12" s="345"/>
      <c r="J12" s="345"/>
      <c r="K12" s="345"/>
      <c r="L12" s="345"/>
      <c r="M12" s="345"/>
      <c r="N12" s="345"/>
      <c r="O12" s="345"/>
    </row>
    <row r="13" spans="1:17">
      <c r="A13" s="342" t="s">
        <v>3154</v>
      </c>
      <c r="D13" s="344">
        <f t="shared" ref="D13:I13" si="10">D182</f>
        <v>45939</v>
      </c>
      <c r="E13" s="344">
        <f t="shared" si="10"/>
        <v>46455</v>
      </c>
      <c r="F13" s="344">
        <f t="shared" si="10"/>
        <v>46936</v>
      </c>
      <c r="G13" s="344">
        <f t="shared" si="10"/>
        <v>47266</v>
      </c>
      <c r="H13" s="344">
        <f t="shared" si="10"/>
        <v>47276</v>
      </c>
      <c r="I13" s="344">
        <f t="shared" si="10"/>
        <v>46690</v>
      </c>
      <c r="J13" s="344">
        <f t="shared" ref="J13:O13" si="11">J182</f>
        <v>46806</v>
      </c>
      <c r="K13" s="344">
        <f t="shared" si="11"/>
        <v>48893</v>
      </c>
      <c r="L13" s="344">
        <f t="shared" si="11"/>
        <v>49380</v>
      </c>
      <c r="M13" s="344">
        <f t="shared" si="11"/>
        <v>48916</v>
      </c>
      <c r="N13" s="344">
        <f t="shared" si="11"/>
        <v>50787</v>
      </c>
      <c r="O13" s="344">
        <f t="shared" si="11"/>
        <v>49143</v>
      </c>
      <c r="Q13" s="342" t="s">
        <v>3155</v>
      </c>
    </row>
    <row r="14" spans="1:17" ht="15.75" thickBot="1">
      <c r="D14" s="347">
        <f t="shared" ref="D14:M14" si="12">D243</f>
        <v>38649</v>
      </c>
      <c r="E14" s="347">
        <f t="shared" si="12"/>
        <v>39478</v>
      </c>
      <c r="F14" s="347">
        <f t="shared" si="12"/>
        <v>39098</v>
      </c>
      <c r="G14" s="347">
        <f t="shared" si="12"/>
        <v>39172</v>
      </c>
      <c r="H14" s="347">
        <f t="shared" si="12"/>
        <v>38539</v>
      </c>
      <c r="I14" s="347">
        <f t="shared" si="12"/>
        <v>38276</v>
      </c>
      <c r="J14" s="347">
        <f t="shared" si="12"/>
        <v>36671</v>
      </c>
      <c r="K14" s="347">
        <f t="shared" si="12"/>
        <v>38320</v>
      </c>
      <c r="L14" s="347">
        <f t="shared" si="12"/>
        <v>37810</v>
      </c>
      <c r="M14" s="347">
        <f t="shared" si="12"/>
        <v>37458</v>
      </c>
      <c r="N14" s="347">
        <f>N243</f>
        <v>39089</v>
      </c>
      <c r="O14" s="347">
        <f>O243</f>
        <v>39095</v>
      </c>
      <c r="Q14" s="342" t="s">
        <v>12987</v>
      </c>
    </row>
    <row r="15" spans="1:17" ht="15.75" thickBot="1">
      <c r="D15" s="347">
        <f t="shared" ref="D15:I15" si="13">SUM(D13:D14)</f>
        <v>84588</v>
      </c>
      <c r="E15" s="347">
        <f t="shared" si="13"/>
        <v>85933</v>
      </c>
      <c r="F15" s="347">
        <f t="shared" si="13"/>
        <v>86034</v>
      </c>
      <c r="G15" s="347">
        <f t="shared" si="13"/>
        <v>86438</v>
      </c>
      <c r="H15" s="347">
        <f t="shared" si="13"/>
        <v>85815</v>
      </c>
      <c r="I15" s="347">
        <f t="shared" si="13"/>
        <v>84966</v>
      </c>
      <c r="J15" s="347">
        <f t="shared" ref="J15:O15" si="14">SUM(J13:J14)</f>
        <v>83477</v>
      </c>
      <c r="K15" s="347">
        <f t="shared" si="14"/>
        <v>87213</v>
      </c>
      <c r="L15" s="347">
        <f t="shared" si="14"/>
        <v>87190</v>
      </c>
      <c r="M15" s="347">
        <f t="shared" si="14"/>
        <v>86374</v>
      </c>
      <c r="N15" s="347">
        <f t="shared" si="14"/>
        <v>89876</v>
      </c>
      <c r="O15" s="347">
        <f t="shared" si="14"/>
        <v>88238</v>
      </c>
    </row>
    <row r="16" spans="1:17">
      <c r="D16" s="345"/>
      <c r="E16" s="345"/>
      <c r="F16" s="345"/>
      <c r="G16" s="345"/>
      <c r="H16" s="345"/>
      <c r="I16" s="345"/>
      <c r="J16" s="345"/>
      <c r="K16" s="345"/>
      <c r="L16" s="345"/>
      <c r="M16" s="345"/>
      <c r="N16" s="345"/>
      <c r="O16" s="345"/>
    </row>
    <row r="17" spans="1:17">
      <c r="A17" s="342" t="s">
        <v>3156</v>
      </c>
      <c r="D17" s="344">
        <f t="shared" ref="D17:I17" si="15">D138</f>
        <v>18218</v>
      </c>
      <c r="E17" s="344">
        <f t="shared" si="15"/>
        <v>17946</v>
      </c>
      <c r="F17" s="344">
        <f t="shared" si="15"/>
        <v>18033</v>
      </c>
      <c r="G17" s="344">
        <f t="shared" si="15"/>
        <v>17992</v>
      </c>
      <c r="H17" s="344">
        <f t="shared" si="15"/>
        <v>17891</v>
      </c>
      <c r="I17" s="344">
        <f t="shared" si="15"/>
        <v>17375</v>
      </c>
      <c r="J17" s="344">
        <f t="shared" ref="J17:O17" si="16">J138</f>
        <v>16825</v>
      </c>
      <c r="K17" s="344">
        <f t="shared" si="16"/>
        <v>17035</v>
      </c>
      <c r="L17" s="344">
        <f t="shared" si="16"/>
        <v>17067</v>
      </c>
      <c r="M17" s="344">
        <f t="shared" si="16"/>
        <v>17007</v>
      </c>
      <c r="N17" s="344">
        <f t="shared" si="16"/>
        <v>17395</v>
      </c>
      <c r="O17" s="344">
        <f t="shared" si="16"/>
        <v>17388</v>
      </c>
      <c r="Q17" s="342" t="s">
        <v>2311</v>
      </c>
    </row>
    <row r="18" spans="1:17">
      <c r="D18" s="344">
        <f t="shared" ref="D18:I18" si="17">D183</f>
        <v>29011</v>
      </c>
      <c r="E18" s="344">
        <f t="shared" si="17"/>
        <v>29215</v>
      </c>
      <c r="F18" s="344">
        <f t="shared" si="17"/>
        <v>29377</v>
      </c>
      <c r="G18" s="344">
        <f t="shared" si="17"/>
        <v>29455</v>
      </c>
      <c r="H18" s="344">
        <f t="shared" si="17"/>
        <v>29532</v>
      </c>
      <c r="I18" s="344">
        <f t="shared" si="17"/>
        <v>29333</v>
      </c>
      <c r="J18" s="344">
        <f t="shared" ref="J18:O18" si="18">J183</f>
        <v>29212</v>
      </c>
      <c r="K18" s="344">
        <f t="shared" si="18"/>
        <v>30591</v>
      </c>
      <c r="L18" s="344">
        <f t="shared" si="18"/>
        <v>30733</v>
      </c>
      <c r="M18" s="344">
        <f t="shared" si="18"/>
        <v>30475</v>
      </c>
      <c r="N18" s="344">
        <f t="shared" si="18"/>
        <v>31623</v>
      </c>
      <c r="O18" s="344">
        <f t="shared" si="18"/>
        <v>30741</v>
      </c>
      <c r="Q18" s="342" t="s">
        <v>3155</v>
      </c>
    </row>
    <row r="19" spans="1:17" ht="15.75" thickBot="1">
      <c r="D19" s="347">
        <f>D111</f>
        <v>28908</v>
      </c>
      <c r="E19" s="347">
        <f t="shared" ref="E19:N19" si="19">E111</f>
        <v>29016</v>
      </c>
      <c r="F19" s="347">
        <f t="shared" si="19"/>
        <v>29143</v>
      </c>
      <c r="G19" s="347">
        <f t="shared" si="19"/>
        <v>29392</v>
      </c>
      <c r="H19" s="347">
        <f t="shared" si="19"/>
        <v>28460</v>
      </c>
      <c r="I19" s="347">
        <f t="shared" si="19"/>
        <v>28796</v>
      </c>
      <c r="J19" s="347">
        <f t="shared" si="19"/>
        <v>28661</v>
      </c>
      <c r="K19" s="347">
        <f t="shared" si="19"/>
        <v>29423</v>
      </c>
      <c r="L19" s="347">
        <f t="shared" si="19"/>
        <v>29687</v>
      </c>
      <c r="M19" s="347">
        <f t="shared" si="19"/>
        <v>29801</v>
      </c>
      <c r="N19" s="347">
        <f t="shared" si="19"/>
        <v>30653</v>
      </c>
      <c r="O19" s="347">
        <f>O111</f>
        <v>30646</v>
      </c>
      <c r="P19" s="348"/>
      <c r="Q19" s="342" t="s">
        <v>13041</v>
      </c>
    </row>
    <row r="20" spans="1:17" ht="15.75" thickBot="1">
      <c r="D20" s="347">
        <f t="shared" ref="D20:I20" si="20">SUM(D17:D19)</f>
        <v>76137</v>
      </c>
      <c r="E20" s="347">
        <f t="shared" si="20"/>
        <v>76177</v>
      </c>
      <c r="F20" s="347">
        <f t="shared" si="20"/>
        <v>76553</v>
      </c>
      <c r="G20" s="347">
        <f t="shared" si="20"/>
        <v>76839</v>
      </c>
      <c r="H20" s="347">
        <f t="shared" si="20"/>
        <v>75883</v>
      </c>
      <c r="I20" s="347">
        <f t="shared" si="20"/>
        <v>75504</v>
      </c>
      <c r="J20" s="347">
        <f t="shared" ref="J20:O20" si="21">SUM(J17:J19)</f>
        <v>74698</v>
      </c>
      <c r="K20" s="347">
        <f t="shared" si="21"/>
        <v>77049</v>
      </c>
      <c r="L20" s="347">
        <f t="shared" si="21"/>
        <v>77487</v>
      </c>
      <c r="M20" s="347">
        <f t="shared" si="21"/>
        <v>77283</v>
      </c>
      <c r="N20" s="347">
        <f t="shared" si="21"/>
        <v>79671</v>
      </c>
      <c r="O20" s="347">
        <f t="shared" si="21"/>
        <v>78775</v>
      </c>
    </row>
    <row r="21" spans="1:17">
      <c r="D21" s="345"/>
      <c r="E21" s="345"/>
      <c r="F21" s="345"/>
      <c r="G21" s="345"/>
      <c r="H21" s="345"/>
      <c r="I21" s="345"/>
      <c r="J21" s="345"/>
      <c r="K21" s="345"/>
      <c r="L21" s="345"/>
      <c r="M21" s="345"/>
      <c r="N21" s="345"/>
      <c r="O21" s="345"/>
    </row>
    <row r="22" spans="1:17">
      <c r="A22" s="342" t="s">
        <v>2313</v>
      </c>
      <c r="D22" s="344">
        <f t="shared" ref="D22:I22" si="22">D139</f>
        <v>76530</v>
      </c>
      <c r="E22" s="344">
        <f t="shared" si="22"/>
        <v>75195</v>
      </c>
      <c r="F22" s="344">
        <f t="shared" si="22"/>
        <v>76484</v>
      </c>
      <c r="G22" s="344">
        <f t="shared" si="22"/>
        <v>76115</v>
      </c>
      <c r="H22" s="344">
        <f t="shared" si="22"/>
        <v>76092</v>
      </c>
      <c r="I22" s="344">
        <f t="shared" si="22"/>
        <v>73133</v>
      </c>
      <c r="J22" s="344">
        <f t="shared" ref="J22:O22" si="23">J139</f>
        <v>70702</v>
      </c>
      <c r="K22" s="344">
        <f t="shared" si="23"/>
        <v>72589</v>
      </c>
      <c r="L22" s="344">
        <f t="shared" si="23"/>
        <v>73477</v>
      </c>
      <c r="M22" s="344">
        <f t="shared" si="23"/>
        <v>72993</v>
      </c>
      <c r="N22" s="344">
        <f t="shared" si="23"/>
        <v>75018</v>
      </c>
      <c r="O22" s="344">
        <f t="shared" si="23"/>
        <v>75117</v>
      </c>
      <c r="Q22" s="342" t="s">
        <v>2311</v>
      </c>
    </row>
    <row r="23" spans="1:17">
      <c r="D23" s="345"/>
      <c r="E23" s="345"/>
      <c r="F23" s="345"/>
      <c r="G23" s="345"/>
      <c r="H23" s="345"/>
      <c r="I23" s="345"/>
      <c r="J23" s="345"/>
      <c r="K23" s="345"/>
      <c r="L23" s="345"/>
      <c r="M23" s="345"/>
      <c r="N23" s="345"/>
      <c r="O23" s="345"/>
    </row>
    <row r="24" spans="1:17">
      <c r="A24" s="342" t="s">
        <v>2314</v>
      </c>
      <c r="D24" s="344">
        <f t="shared" ref="D24:I24" si="24">D69</f>
        <v>69365</v>
      </c>
      <c r="E24" s="344">
        <f t="shared" si="24"/>
        <v>69609</v>
      </c>
      <c r="F24" s="344">
        <f t="shared" si="24"/>
        <v>69910</v>
      </c>
      <c r="G24" s="344">
        <f t="shared" si="24"/>
        <v>70307</v>
      </c>
      <c r="H24" s="344">
        <f t="shared" si="24"/>
        <v>70322</v>
      </c>
      <c r="I24" s="344">
        <f t="shared" si="24"/>
        <v>69094</v>
      </c>
      <c r="J24" s="344">
        <f t="shared" ref="J24:O24" si="25">J69</f>
        <v>68206</v>
      </c>
      <c r="K24" s="344">
        <f t="shared" si="25"/>
        <v>71175</v>
      </c>
      <c r="L24" s="344">
        <f t="shared" si="25"/>
        <v>71840</v>
      </c>
      <c r="M24" s="344">
        <f t="shared" si="25"/>
        <v>70966</v>
      </c>
      <c r="N24" s="344">
        <f t="shared" si="25"/>
        <v>73184</v>
      </c>
      <c r="O24" s="344">
        <f t="shared" si="25"/>
        <v>71070</v>
      </c>
      <c r="Q24" s="342" t="s">
        <v>2411</v>
      </c>
    </row>
    <row r="25" spans="1:17" ht="15.75" thickBot="1">
      <c r="D25" s="347">
        <f t="shared" ref="D25:M25" si="26">D244</f>
        <v>3276</v>
      </c>
      <c r="E25" s="347">
        <f t="shared" si="26"/>
        <v>3356</v>
      </c>
      <c r="F25" s="347">
        <f t="shared" si="26"/>
        <v>3325</v>
      </c>
      <c r="G25" s="347">
        <f t="shared" si="26"/>
        <v>3374</v>
      </c>
      <c r="H25" s="347">
        <f t="shared" si="26"/>
        <v>3332</v>
      </c>
      <c r="I25" s="347">
        <f t="shared" si="26"/>
        <v>3361</v>
      </c>
      <c r="J25" s="347">
        <f t="shared" si="26"/>
        <v>3239</v>
      </c>
      <c r="K25" s="347">
        <f t="shared" si="26"/>
        <v>3473</v>
      </c>
      <c r="L25" s="347">
        <f t="shared" si="26"/>
        <v>3415</v>
      </c>
      <c r="M25" s="347">
        <f t="shared" si="26"/>
        <v>3365</v>
      </c>
      <c r="N25" s="347">
        <f>N244</f>
        <v>3422</v>
      </c>
      <c r="O25" s="347">
        <f>O244</f>
        <v>3422</v>
      </c>
      <c r="Q25" s="342" t="s">
        <v>12987</v>
      </c>
    </row>
    <row r="26" spans="1:17" ht="15.75" thickBot="1">
      <c r="D26" s="347">
        <f t="shared" ref="D26:I26" si="27">D24+D25</f>
        <v>72641</v>
      </c>
      <c r="E26" s="347">
        <f t="shared" si="27"/>
        <v>72965</v>
      </c>
      <c r="F26" s="347">
        <f t="shared" si="27"/>
        <v>73235</v>
      </c>
      <c r="G26" s="347">
        <f t="shared" si="27"/>
        <v>73681</v>
      </c>
      <c r="H26" s="347">
        <f t="shared" si="27"/>
        <v>73654</v>
      </c>
      <c r="I26" s="347">
        <f t="shared" si="27"/>
        <v>72455</v>
      </c>
      <c r="J26" s="347">
        <f t="shared" ref="J26:O26" si="28">J24+J25</f>
        <v>71445</v>
      </c>
      <c r="K26" s="347">
        <f t="shared" si="28"/>
        <v>74648</v>
      </c>
      <c r="L26" s="347">
        <f t="shared" si="28"/>
        <v>75255</v>
      </c>
      <c r="M26" s="347">
        <f t="shared" si="28"/>
        <v>74331</v>
      </c>
      <c r="N26" s="347">
        <f t="shared" si="28"/>
        <v>76606</v>
      </c>
      <c r="O26" s="347">
        <f t="shared" si="28"/>
        <v>74492</v>
      </c>
    </row>
    <row r="27" spans="1:17">
      <c r="D27" s="345"/>
      <c r="E27" s="345"/>
      <c r="F27" s="345"/>
      <c r="G27" s="345"/>
      <c r="H27" s="345"/>
      <c r="I27" s="345"/>
      <c r="J27" s="345"/>
      <c r="K27" s="345"/>
      <c r="L27" s="345"/>
      <c r="M27" s="345"/>
      <c r="N27" s="345"/>
      <c r="O27" s="345"/>
    </row>
    <row r="28" spans="1:17">
      <c r="A28" s="342" t="s">
        <v>2315</v>
      </c>
      <c r="D28" s="344">
        <f>D112</f>
        <v>77142</v>
      </c>
      <c r="E28" s="344">
        <f t="shared" ref="E28:N28" si="29">E112</f>
        <v>76932</v>
      </c>
      <c r="F28" s="344">
        <f t="shared" si="29"/>
        <v>77481</v>
      </c>
      <c r="G28" s="344">
        <f t="shared" si="29"/>
        <v>77909</v>
      </c>
      <c r="H28" s="344">
        <f t="shared" si="29"/>
        <v>75313</v>
      </c>
      <c r="I28" s="344">
        <f t="shared" si="29"/>
        <v>76019</v>
      </c>
      <c r="J28" s="344">
        <f t="shared" si="29"/>
        <v>75678</v>
      </c>
      <c r="K28" s="344">
        <f t="shared" si="29"/>
        <v>77671</v>
      </c>
      <c r="L28" s="344">
        <f t="shared" si="29"/>
        <v>78528</v>
      </c>
      <c r="M28" s="344">
        <f t="shared" si="29"/>
        <v>76934</v>
      </c>
      <c r="N28" s="344">
        <f t="shared" si="29"/>
        <v>80512</v>
      </c>
      <c r="O28" s="344">
        <f>O112</f>
        <v>80449</v>
      </c>
      <c r="Q28" s="342" t="s">
        <v>2312</v>
      </c>
    </row>
    <row r="29" spans="1:17">
      <c r="D29" s="344"/>
      <c r="E29" s="344"/>
      <c r="F29" s="344"/>
      <c r="G29" s="344"/>
      <c r="H29" s="344"/>
      <c r="I29" s="344"/>
      <c r="J29" s="344"/>
      <c r="K29" s="344"/>
      <c r="L29" s="344"/>
      <c r="M29" s="344"/>
      <c r="N29" s="344"/>
      <c r="O29" s="344"/>
    </row>
    <row r="30" spans="1:17">
      <c r="A30" s="342" t="s">
        <v>2317</v>
      </c>
      <c r="D30" s="344">
        <f>D113</f>
        <v>79035</v>
      </c>
      <c r="E30" s="344">
        <f t="shared" ref="E30:N30" si="30">E113</f>
        <v>79132</v>
      </c>
      <c r="F30" s="344">
        <f t="shared" si="30"/>
        <v>79145</v>
      </c>
      <c r="G30" s="344">
        <f t="shared" si="30"/>
        <v>79116</v>
      </c>
      <c r="H30" s="344">
        <f t="shared" si="30"/>
        <v>79732</v>
      </c>
      <c r="I30" s="344">
        <f t="shared" si="30"/>
        <v>78913</v>
      </c>
      <c r="J30" s="344">
        <f t="shared" si="30"/>
        <v>77408</v>
      </c>
      <c r="K30" s="344">
        <f t="shared" si="30"/>
        <v>79168</v>
      </c>
      <c r="L30" s="344">
        <f t="shared" si="30"/>
        <v>79937</v>
      </c>
      <c r="M30" s="344">
        <f t="shared" si="30"/>
        <v>82425</v>
      </c>
      <c r="N30" s="344">
        <f t="shared" si="30"/>
        <v>81099</v>
      </c>
      <c r="O30" s="344">
        <f>O113</f>
        <v>81070</v>
      </c>
      <c r="Q30" s="342" t="s">
        <v>2316</v>
      </c>
    </row>
    <row r="31" spans="1:17">
      <c r="D31" s="345"/>
      <c r="E31" s="345"/>
      <c r="F31" s="345"/>
      <c r="G31" s="345"/>
      <c r="H31" s="345"/>
      <c r="I31" s="345"/>
      <c r="J31" s="345"/>
      <c r="K31" s="345"/>
      <c r="L31" s="345"/>
      <c r="M31" s="345"/>
      <c r="N31" s="345"/>
      <c r="O31" s="345"/>
    </row>
    <row r="32" spans="1:17">
      <c r="A32" s="342" t="s">
        <v>2318</v>
      </c>
      <c r="D32" s="344">
        <f>D245</f>
        <v>74161</v>
      </c>
      <c r="E32" s="344">
        <f t="shared" ref="E32:N32" si="31">E245</f>
        <v>76158</v>
      </c>
      <c r="F32" s="344">
        <f t="shared" si="31"/>
        <v>76566</v>
      </c>
      <c r="G32" s="344">
        <f t="shared" si="31"/>
        <v>77193</v>
      </c>
      <c r="H32" s="344">
        <f t="shared" si="31"/>
        <v>76061</v>
      </c>
      <c r="I32" s="344">
        <f t="shared" si="31"/>
        <v>75566</v>
      </c>
      <c r="J32" s="344">
        <f t="shared" si="31"/>
        <v>72809</v>
      </c>
      <c r="K32" s="344">
        <f t="shared" si="31"/>
        <v>77198</v>
      </c>
      <c r="L32" s="344">
        <f t="shared" si="31"/>
        <v>76519</v>
      </c>
      <c r="M32" s="344">
        <f t="shared" si="31"/>
        <v>76491</v>
      </c>
      <c r="N32" s="344">
        <f t="shared" si="31"/>
        <v>79388</v>
      </c>
      <c r="O32" s="344">
        <f>O245</f>
        <v>79394</v>
      </c>
      <c r="Q32" s="342" t="s">
        <v>12988</v>
      </c>
    </row>
    <row r="33" spans="1:17">
      <c r="D33" s="345"/>
      <c r="E33" s="345"/>
      <c r="F33" s="345"/>
      <c r="G33" s="345"/>
      <c r="H33" s="345"/>
      <c r="I33" s="345"/>
      <c r="J33" s="345"/>
      <c r="K33" s="345"/>
      <c r="L33" s="345"/>
      <c r="M33" s="345"/>
      <c r="N33" s="345"/>
      <c r="O33" s="345"/>
    </row>
    <row r="34" spans="1:17">
      <c r="A34" s="342" t="s">
        <v>6796</v>
      </c>
      <c r="D34" s="344">
        <f>D15+D20+D22+D26+D28+D30+D32</f>
        <v>540234</v>
      </c>
      <c r="E34" s="344">
        <f t="shared" ref="E34:N34" si="32">E15+E20+E22+E26+E28+E30+E32</f>
        <v>542492</v>
      </c>
      <c r="F34" s="344">
        <f t="shared" si="32"/>
        <v>545498</v>
      </c>
      <c r="G34" s="344">
        <f t="shared" si="32"/>
        <v>547291</v>
      </c>
      <c r="H34" s="344">
        <f t="shared" si="32"/>
        <v>542550</v>
      </c>
      <c r="I34" s="344">
        <f t="shared" si="32"/>
        <v>536556</v>
      </c>
      <c r="J34" s="344">
        <f t="shared" si="32"/>
        <v>526217</v>
      </c>
      <c r="K34" s="344">
        <f t="shared" si="32"/>
        <v>545536</v>
      </c>
      <c r="L34" s="344">
        <f t="shared" si="32"/>
        <v>548393</v>
      </c>
      <c r="M34" s="344">
        <f t="shared" si="32"/>
        <v>546831</v>
      </c>
      <c r="N34" s="344">
        <f t="shared" si="32"/>
        <v>562170</v>
      </c>
      <c r="O34" s="344">
        <f>O15+O20+O22+O26+O28+O30+O32</f>
        <v>557535</v>
      </c>
    </row>
    <row r="35" spans="1:17">
      <c r="D35" s="345"/>
      <c r="E35" s="345"/>
      <c r="F35" s="345"/>
      <c r="G35" s="345"/>
      <c r="H35" s="345"/>
      <c r="I35" s="345"/>
      <c r="J35" s="345"/>
      <c r="K35" s="345"/>
      <c r="L35" s="345"/>
      <c r="M35" s="345"/>
      <c r="N35" s="345"/>
      <c r="O35" s="345"/>
    </row>
    <row r="36" spans="1:17">
      <c r="A36" s="342" t="s">
        <v>6797</v>
      </c>
      <c r="D36" s="344">
        <f>MAX(D15,D20,D22,D26,D28,D30,D32)-MIN(D15,D20,D22,D26,D28,D30,D32)</f>
        <v>11947</v>
      </c>
      <c r="E36" s="344">
        <f t="shared" ref="E36:N36" si="33">MAX(E15,E20,E22,E26,E28,E30,E32)-MIN(E15,E20,E22,E26,E28,E30,E32)</f>
        <v>12968</v>
      </c>
      <c r="F36" s="344">
        <f t="shared" si="33"/>
        <v>12799</v>
      </c>
      <c r="G36" s="344">
        <f t="shared" si="33"/>
        <v>12757</v>
      </c>
      <c r="H36" s="344">
        <f t="shared" si="33"/>
        <v>12161</v>
      </c>
      <c r="I36" s="344">
        <f t="shared" si="33"/>
        <v>12511</v>
      </c>
      <c r="J36" s="344">
        <f t="shared" si="33"/>
        <v>12775</v>
      </c>
      <c r="K36" s="344">
        <f t="shared" si="33"/>
        <v>14624</v>
      </c>
      <c r="L36" s="344">
        <f t="shared" si="33"/>
        <v>13713</v>
      </c>
      <c r="M36" s="344">
        <f t="shared" si="33"/>
        <v>13381</v>
      </c>
      <c r="N36" s="344">
        <f t="shared" si="33"/>
        <v>14858</v>
      </c>
      <c r="O36" s="344">
        <f>MAX(O15,O20,O22,O26,O28,O30,O32)-MIN(O15,O20,O22,O26,O28,O30,O32)</f>
        <v>13746</v>
      </c>
    </row>
    <row r="37" spans="1:17">
      <c r="D37" s="345"/>
      <c r="E37" s="345"/>
      <c r="F37" s="345"/>
      <c r="G37" s="345"/>
      <c r="H37" s="345"/>
      <c r="I37" s="345"/>
      <c r="J37" s="345"/>
      <c r="K37" s="345"/>
      <c r="L37" s="345"/>
      <c r="M37" s="345"/>
      <c r="N37" s="345"/>
      <c r="O37" s="345"/>
    </row>
    <row r="38" spans="1:17">
      <c r="A38" s="342" t="s">
        <v>6800</v>
      </c>
      <c r="D38" s="344">
        <f>STDEVP(D15,D20,D22,D26,D28,D30,D32)</f>
        <v>3576.6717855045758</v>
      </c>
      <c r="E38" s="344">
        <f t="shared" ref="E38:N38" si="34">STDEVP(E15,E20,E22,E26,E28,E30,E32)</f>
        <v>3845.8153669585713</v>
      </c>
      <c r="F38" s="344">
        <f t="shared" si="34"/>
        <v>3688.654176343055</v>
      </c>
      <c r="G38" s="344">
        <f t="shared" si="34"/>
        <v>3711.4040414893761</v>
      </c>
      <c r="H38" s="344">
        <f t="shared" si="34"/>
        <v>3786.50330322134</v>
      </c>
      <c r="I38" s="344">
        <f t="shared" si="34"/>
        <v>3912.0850643896292</v>
      </c>
      <c r="J38" s="344">
        <f t="shared" si="34"/>
        <v>4033.9382893704483</v>
      </c>
      <c r="K38" s="344">
        <f t="shared" si="34"/>
        <v>4282.5811213828156</v>
      </c>
      <c r="L38" s="344">
        <f t="shared" si="34"/>
        <v>4107.7952525332485</v>
      </c>
      <c r="M38" s="344">
        <f t="shared" si="34"/>
        <v>4343.5499870262711</v>
      </c>
      <c r="N38" s="344">
        <f t="shared" si="34"/>
        <v>4394.070127537143</v>
      </c>
      <c r="O38" s="344">
        <f>STDEVP(O15,O20,O22,O26,O28,O30,O32)</f>
        <v>4215.4939865952138</v>
      </c>
    </row>
    <row r="39" spans="1:17">
      <c r="A39" s="342"/>
      <c r="D39" s="349"/>
      <c r="E39" s="349"/>
      <c r="F39" s="349"/>
      <c r="G39" s="349"/>
      <c r="H39" s="349"/>
      <c r="I39" s="349"/>
      <c r="J39" s="349"/>
      <c r="K39" s="349"/>
      <c r="L39" s="349"/>
      <c r="M39" s="349"/>
      <c r="N39" s="349"/>
      <c r="O39" s="349"/>
    </row>
    <row r="40" spans="1:17">
      <c r="A40" s="342"/>
      <c r="D40" s="349"/>
      <c r="E40" s="349"/>
      <c r="F40" s="349"/>
      <c r="G40" s="349"/>
      <c r="H40" s="349"/>
      <c r="I40" s="349"/>
      <c r="J40" s="349"/>
      <c r="K40" s="349"/>
      <c r="L40" s="349"/>
      <c r="M40" s="349"/>
      <c r="N40" s="349"/>
      <c r="O40" s="349"/>
    </row>
    <row r="41" spans="1:17">
      <c r="E41" s="51" t="s">
        <v>1526</v>
      </c>
      <c r="F41" s="51"/>
      <c r="G41" s="51"/>
      <c r="H41" s="51"/>
      <c r="I41" s="51"/>
      <c r="J41" s="51"/>
      <c r="K41" s="51"/>
      <c r="L41" s="51"/>
      <c r="M41" s="51"/>
      <c r="N41" s="51"/>
      <c r="O41" s="51"/>
      <c r="P41" s="11"/>
      <c r="Q41" s="11" t="s">
        <v>9479</v>
      </c>
    </row>
    <row r="42" spans="1:17">
      <c r="D42" s="350">
        <v>2010</v>
      </c>
      <c r="E42" s="350">
        <v>2011</v>
      </c>
      <c r="F42" s="350">
        <v>2012</v>
      </c>
      <c r="G42" s="350">
        <v>2013</v>
      </c>
      <c r="H42" s="350">
        <v>2014</v>
      </c>
      <c r="I42" s="350">
        <v>2015</v>
      </c>
      <c r="J42" s="350">
        <v>2016</v>
      </c>
      <c r="K42" s="350">
        <v>2017</v>
      </c>
      <c r="L42" s="350">
        <v>2018</v>
      </c>
      <c r="M42" s="350">
        <v>2019</v>
      </c>
      <c r="N42" s="350">
        <v>2020</v>
      </c>
      <c r="O42" s="938" t="s">
        <v>14823</v>
      </c>
      <c r="P42" s="11"/>
      <c r="Q42" s="13" t="s">
        <v>1527</v>
      </c>
    </row>
    <row r="43" spans="1:17">
      <c r="A43" s="342" t="s">
        <v>2319</v>
      </c>
      <c r="C43" s="342"/>
      <c r="D43" s="344">
        <f t="shared" ref="D43:N43" si="35">SUM(D44:D67)</f>
        <v>69365</v>
      </c>
      <c r="E43" s="344">
        <f t="shared" si="35"/>
        <v>69609</v>
      </c>
      <c r="F43" s="344">
        <f t="shared" si="35"/>
        <v>69910</v>
      </c>
      <c r="G43" s="344">
        <f t="shared" si="35"/>
        <v>70307</v>
      </c>
      <c r="H43" s="344">
        <f t="shared" si="35"/>
        <v>70322</v>
      </c>
      <c r="I43" s="344">
        <f t="shared" si="35"/>
        <v>69094</v>
      </c>
      <c r="J43" s="344">
        <f t="shared" si="35"/>
        <v>68206</v>
      </c>
      <c r="K43" s="344">
        <f t="shared" si="35"/>
        <v>71175</v>
      </c>
      <c r="L43" s="344">
        <f t="shared" si="35"/>
        <v>71840</v>
      </c>
      <c r="M43" s="344">
        <f t="shared" si="35"/>
        <v>70966</v>
      </c>
      <c r="N43" s="344">
        <f t="shared" si="35"/>
        <v>73184</v>
      </c>
      <c r="O43" s="344">
        <f>SUM(O44:O67)</f>
        <v>71070</v>
      </c>
    </row>
    <row r="44" spans="1:17">
      <c r="A44" s="342" t="s">
        <v>5387</v>
      </c>
      <c r="B44" s="122" t="s">
        <v>13337</v>
      </c>
      <c r="C44" s="122" t="s">
        <v>13336</v>
      </c>
      <c r="D44" s="345">
        <v>69365</v>
      </c>
      <c r="E44" s="345">
        <v>69609</v>
      </c>
      <c r="F44" s="345">
        <v>69910</v>
      </c>
      <c r="G44" s="56">
        <v>70307</v>
      </c>
      <c r="H44" s="56">
        <v>70322</v>
      </c>
      <c r="I44" s="56">
        <v>69094</v>
      </c>
      <c r="J44" s="56">
        <v>68206</v>
      </c>
      <c r="K44" s="56">
        <v>71175</v>
      </c>
      <c r="L44" s="56">
        <v>71840</v>
      </c>
      <c r="M44" s="56">
        <v>70966</v>
      </c>
      <c r="N44" s="56">
        <v>2252</v>
      </c>
      <c r="O44" s="56">
        <v>2188</v>
      </c>
      <c r="Q44" s="342" t="s">
        <v>2314</v>
      </c>
    </row>
    <row r="45" spans="1:17">
      <c r="A45" s="342" t="s">
        <v>5389</v>
      </c>
      <c r="B45" s="122" t="s">
        <v>13339</v>
      </c>
      <c r="C45" s="122" t="s">
        <v>13338</v>
      </c>
      <c r="D45" s="345">
        <v>0</v>
      </c>
      <c r="E45" s="345">
        <v>0</v>
      </c>
      <c r="F45" s="345">
        <v>0</v>
      </c>
      <c r="G45" s="345">
        <v>0</v>
      </c>
      <c r="H45" s="345">
        <v>0</v>
      </c>
      <c r="I45" s="345">
        <v>0</v>
      </c>
      <c r="J45" s="345">
        <v>0</v>
      </c>
      <c r="K45" s="345">
        <v>0</v>
      </c>
      <c r="L45" s="345">
        <v>0</v>
      </c>
      <c r="M45" s="345">
        <v>0</v>
      </c>
      <c r="N45" s="56">
        <v>2306</v>
      </c>
      <c r="O45" s="56">
        <v>2258</v>
      </c>
      <c r="Q45" s="342" t="s">
        <v>2314</v>
      </c>
    </row>
    <row r="46" spans="1:17">
      <c r="A46" s="342" t="s">
        <v>5391</v>
      </c>
      <c r="B46" s="122" t="s">
        <v>13341</v>
      </c>
      <c r="C46" s="122" t="s">
        <v>13340</v>
      </c>
      <c r="D46" s="345">
        <v>0</v>
      </c>
      <c r="E46" s="345">
        <v>0</v>
      </c>
      <c r="F46" s="345">
        <v>0</v>
      </c>
      <c r="G46" s="345">
        <v>0</v>
      </c>
      <c r="H46" s="345">
        <v>0</v>
      </c>
      <c r="I46" s="345">
        <v>0</v>
      </c>
      <c r="J46" s="345">
        <v>0</v>
      </c>
      <c r="K46" s="345">
        <v>0</v>
      </c>
      <c r="L46" s="345">
        <v>0</v>
      </c>
      <c r="M46" s="345">
        <v>0</v>
      </c>
      <c r="N46" s="56">
        <v>2120</v>
      </c>
      <c r="O46" s="56">
        <v>2066</v>
      </c>
      <c r="Q46" s="342" t="s">
        <v>2314</v>
      </c>
    </row>
    <row r="47" spans="1:17">
      <c r="A47" s="342" t="s">
        <v>5393</v>
      </c>
      <c r="B47" s="122" t="s">
        <v>2320</v>
      </c>
      <c r="C47" s="122" t="s">
        <v>13342</v>
      </c>
      <c r="D47" s="345">
        <v>0</v>
      </c>
      <c r="E47" s="345">
        <v>0</v>
      </c>
      <c r="F47" s="345">
        <v>0</v>
      </c>
      <c r="G47" s="345">
        <v>0</v>
      </c>
      <c r="H47" s="345">
        <v>0</v>
      </c>
      <c r="I47" s="345">
        <v>0</v>
      </c>
      <c r="J47" s="345">
        <v>0</v>
      </c>
      <c r="K47" s="345">
        <v>0</v>
      </c>
      <c r="L47" s="345">
        <v>0</v>
      </c>
      <c r="M47" s="345">
        <v>0</v>
      </c>
      <c r="N47" s="56">
        <v>2619</v>
      </c>
      <c r="O47" s="56">
        <v>2540</v>
      </c>
      <c r="Q47" s="342" t="s">
        <v>2314</v>
      </c>
    </row>
    <row r="48" spans="1:17">
      <c r="A48" s="342" t="s">
        <v>5394</v>
      </c>
      <c r="B48" s="122" t="s">
        <v>13344</v>
      </c>
      <c r="C48" s="122" t="s">
        <v>13343</v>
      </c>
      <c r="D48" s="345">
        <v>0</v>
      </c>
      <c r="E48" s="345">
        <v>0</v>
      </c>
      <c r="F48" s="345">
        <v>0</v>
      </c>
      <c r="G48" s="345">
        <v>0</v>
      </c>
      <c r="H48" s="345">
        <v>0</v>
      </c>
      <c r="I48" s="345">
        <v>0</v>
      </c>
      <c r="J48" s="345">
        <v>0</v>
      </c>
      <c r="K48" s="345">
        <v>0</v>
      </c>
      <c r="L48" s="345">
        <v>0</v>
      </c>
      <c r="M48" s="345">
        <v>0</v>
      </c>
      <c r="N48" s="56">
        <v>2351</v>
      </c>
      <c r="O48" s="56">
        <v>2265</v>
      </c>
      <c r="Q48" s="342" t="s">
        <v>2314</v>
      </c>
    </row>
    <row r="49" spans="1:17">
      <c r="A49" s="342" t="s">
        <v>5416</v>
      </c>
      <c r="B49" s="122" t="s">
        <v>13346</v>
      </c>
      <c r="C49" s="122" t="s">
        <v>13345</v>
      </c>
      <c r="D49" s="345">
        <v>0</v>
      </c>
      <c r="E49" s="345">
        <v>0</v>
      </c>
      <c r="F49" s="345">
        <v>0</v>
      </c>
      <c r="G49" s="345">
        <v>0</v>
      </c>
      <c r="H49" s="345">
        <v>0</v>
      </c>
      <c r="I49" s="345">
        <v>0</v>
      </c>
      <c r="J49" s="345">
        <v>0</v>
      </c>
      <c r="K49" s="345">
        <v>0</v>
      </c>
      <c r="L49" s="345">
        <v>0</v>
      </c>
      <c r="M49" s="345">
        <v>0</v>
      </c>
      <c r="N49" s="56">
        <v>2461</v>
      </c>
      <c r="O49" s="56">
        <v>2419</v>
      </c>
      <c r="Q49" s="342" t="s">
        <v>2314</v>
      </c>
    </row>
    <row r="50" spans="1:17">
      <c r="A50" s="342" t="s">
        <v>5418</v>
      </c>
      <c r="B50" s="122" t="s">
        <v>2321</v>
      </c>
      <c r="C50" s="122" t="s">
        <v>13347</v>
      </c>
      <c r="D50" s="345">
        <v>0</v>
      </c>
      <c r="E50" s="345">
        <v>0</v>
      </c>
      <c r="F50" s="345">
        <v>0</v>
      </c>
      <c r="G50" s="345">
        <v>0</v>
      </c>
      <c r="H50" s="345">
        <v>0</v>
      </c>
      <c r="I50" s="345">
        <v>0</v>
      </c>
      <c r="J50" s="345">
        <v>0</v>
      </c>
      <c r="K50" s="345">
        <v>0</v>
      </c>
      <c r="L50" s="345">
        <v>0</v>
      </c>
      <c r="M50" s="345">
        <v>0</v>
      </c>
      <c r="N50" s="56">
        <v>5029</v>
      </c>
      <c r="O50" s="56">
        <v>4869</v>
      </c>
      <c r="Q50" s="342" t="s">
        <v>2314</v>
      </c>
    </row>
    <row r="51" spans="1:17">
      <c r="A51" s="342" t="s">
        <v>5420</v>
      </c>
      <c r="B51" s="122" t="s">
        <v>13349</v>
      </c>
      <c r="C51" s="122" t="s">
        <v>13348</v>
      </c>
      <c r="D51" s="345">
        <v>0</v>
      </c>
      <c r="E51" s="345">
        <v>0</v>
      </c>
      <c r="F51" s="345">
        <v>0</v>
      </c>
      <c r="G51" s="345">
        <v>0</v>
      </c>
      <c r="H51" s="345">
        <v>0</v>
      </c>
      <c r="I51" s="345">
        <v>0</v>
      </c>
      <c r="J51" s="345">
        <v>0</v>
      </c>
      <c r="K51" s="345">
        <v>0</v>
      </c>
      <c r="L51" s="345">
        <v>0</v>
      </c>
      <c r="M51" s="345">
        <v>0</v>
      </c>
      <c r="N51" s="56">
        <v>2664</v>
      </c>
      <c r="O51" s="56">
        <v>2605</v>
      </c>
      <c r="Q51" s="342" t="s">
        <v>2314</v>
      </c>
    </row>
    <row r="52" spans="1:17">
      <c r="A52" s="342" t="s">
        <v>5422</v>
      </c>
      <c r="B52" s="122" t="s">
        <v>13351</v>
      </c>
      <c r="C52" s="122" t="s">
        <v>13350</v>
      </c>
      <c r="D52" s="345">
        <v>0</v>
      </c>
      <c r="E52" s="345">
        <v>0</v>
      </c>
      <c r="F52" s="345">
        <v>0</v>
      </c>
      <c r="G52" s="345">
        <v>0</v>
      </c>
      <c r="H52" s="345">
        <v>0</v>
      </c>
      <c r="I52" s="345">
        <v>0</v>
      </c>
      <c r="J52" s="345">
        <v>0</v>
      </c>
      <c r="K52" s="345">
        <v>0</v>
      </c>
      <c r="L52" s="345">
        <v>0</v>
      </c>
      <c r="M52" s="345">
        <v>0</v>
      </c>
      <c r="N52" s="56">
        <v>2375</v>
      </c>
      <c r="O52" s="56">
        <v>2315</v>
      </c>
      <c r="Q52" s="342" t="s">
        <v>2314</v>
      </c>
    </row>
    <row r="53" spans="1:17">
      <c r="A53" s="342" t="s">
        <v>5424</v>
      </c>
      <c r="B53" s="122" t="s">
        <v>13353</v>
      </c>
      <c r="C53" s="122" t="s">
        <v>13352</v>
      </c>
      <c r="D53" s="345">
        <v>0</v>
      </c>
      <c r="E53" s="345">
        <v>0</v>
      </c>
      <c r="F53" s="345">
        <v>0</v>
      </c>
      <c r="G53" s="345">
        <v>0</v>
      </c>
      <c r="H53" s="345">
        <v>0</v>
      </c>
      <c r="I53" s="345">
        <v>0</v>
      </c>
      <c r="J53" s="345">
        <v>0</v>
      </c>
      <c r="K53" s="345">
        <v>0</v>
      </c>
      <c r="L53" s="345">
        <v>0</v>
      </c>
      <c r="M53" s="345">
        <v>0</v>
      </c>
      <c r="N53" s="56">
        <v>1971</v>
      </c>
      <c r="O53" s="56">
        <v>1920</v>
      </c>
      <c r="Q53" s="342" t="s">
        <v>2314</v>
      </c>
    </row>
    <row r="54" spans="1:17">
      <c r="A54" s="342" t="s">
        <v>5426</v>
      </c>
      <c r="B54" s="122" t="s">
        <v>13355</v>
      </c>
      <c r="C54" s="122" t="s">
        <v>13354</v>
      </c>
      <c r="D54" s="345">
        <v>0</v>
      </c>
      <c r="E54" s="345">
        <v>0</v>
      </c>
      <c r="F54" s="345">
        <v>0</v>
      </c>
      <c r="G54" s="345">
        <v>0</v>
      </c>
      <c r="H54" s="345">
        <v>0</v>
      </c>
      <c r="I54" s="345">
        <v>0</v>
      </c>
      <c r="J54" s="345">
        <v>0</v>
      </c>
      <c r="K54" s="345">
        <v>0</v>
      </c>
      <c r="L54" s="345">
        <v>0</v>
      </c>
      <c r="M54" s="345">
        <v>0</v>
      </c>
      <c r="N54" s="56">
        <v>7236</v>
      </c>
      <c r="O54" s="56">
        <v>7017</v>
      </c>
      <c r="Q54" s="342" t="s">
        <v>2314</v>
      </c>
    </row>
    <row r="55" spans="1:17">
      <c r="A55" s="342" t="s">
        <v>5428</v>
      </c>
      <c r="B55" s="122" t="s">
        <v>2322</v>
      </c>
      <c r="C55" s="122" t="s">
        <v>13356</v>
      </c>
      <c r="D55" s="345">
        <v>0</v>
      </c>
      <c r="E55" s="345">
        <v>0</v>
      </c>
      <c r="F55" s="345">
        <v>0</v>
      </c>
      <c r="G55" s="345">
        <v>0</v>
      </c>
      <c r="H55" s="345">
        <v>0</v>
      </c>
      <c r="I55" s="345">
        <v>0</v>
      </c>
      <c r="J55" s="345">
        <v>0</v>
      </c>
      <c r="K55" s="345">
        <v>0</v>
      </c>
      <c r="L55" s="345">
        <v>0</v>
      </c>
      <c r="M55" s="345">
        <v>0</v>
      </c>
      <c r="N55" s="56">
        <v>2131</v>
      </c>
      <c r="O55" s="56">
        <v>2055</v>
      </c>
      <c r="Q55" s="342" t="s">
        <v>2314</v>
      </c>
    </row>
    <row r="56" spans="1:17">
      <c r="A56" s="342" t="s">
        <v>5429</v>
      </c>
      <c r="B56" s="122" t="s">
        <v>2323</v>
      </c>
      <c r="C56" s="122" t="s">
        <v>13357</v>
      </c>
      <c r="D56" s="345">
        <v>0</v>
      </c>
      <c r="E56" s="345">
        <v>0</v>
      </c>
      <c r="F56" s="345">
        <v>0</v>
      </c>
      <c r="G56" s="345">
        <v>0</v>
      </c>
      <c r="H56" s="345">
        <v>0</v>
      </c>
      <c r="I56" s="345">
        <v>0</v>
      </c>
      <c r="J56" s="345">
        <v>0</v>
      </c>
      <c r="K56" s="345">
        <v>0</v>
      </c>
      <c r="L56" s="345">
        <v>0</v>
      </c>
      <c r="M56" s="345">
        <v>0</v>
      </c>
      <c r="N56" s="56">
        <v>4586</v>
      </c>
      <c r="O56" s="56">
        <v>4470</v>
      </c>
      <c r="Q56" s="342" t="s">
        <v>2314</v>
      </c>
    </row>
    <row r="57" spans="1:17">
      <c r="A57" s="342" t="s">
        <v>5431</v>
      </c>
      <c r="B57" s="122" t="s">
        <v>3116</v>
      </c>
      <c r="C57" s="122" t="s">
        <v>13358</v>
      </c>
      <c r="D57" s="345">
        <v>0</v>
      </c>
      <c r="E57" s="345">
        <v>0</v>
      </c>
      <c r="F57" s="345">
        <v>0</v>
      </c>
      <c r="G57" s="345">
        <v>0</v>
      </c>
      <c r="H57" s="345">
        <v>0</v>
      </c>
      <c r="I57" s="345">
        <v>0</v>
      </c>
      <c r="J57" s="345">
        <v>0</v>
      </c>
      <c r="K57" s="345">
        <v>0</v>
      </c>
      <c r="L57" s="345">
        <v>0</v>
      </c>
      <c r="M57" s="345">
        <v>0</v>
      </c>
      <c r="N57" s="56">
        <v>4287</v>
      </c>
      <c r="O57" s="56">
        <v>4176</v>
      </c>
      <c r="Q57" s="342" t="s">
        <v>2314</v>
      </c>
    </row>
    <row r="58" spans="1:17">
      <c r="A58" s="342" t="s">
        <v>5433</v>
      </c>
      <c r="B58" s="122" t="s">
        <v>3117</v>
      </c>
      <c r="C58" s="122" t="s">
        <v>13359</v>
      </c>
      <c r="D58" s="345">
        <v>0</v>
      </c>
      <c r="E58" s="345">
        <v>0</v>
      </c>
      <c r="F58" s="345">
        <v>0</v>
      </c>
      <c r="G58" s="345">
        <v>0</v>
      </c>
      <c r="H58" s="345">
        <v>0</v>
      </c>
      <c r="I58" s="345">
        <v>0</v>
      </c>
      <c r="J58" s="345">
        <v>0</v>
      </c>
      <c r="K58" s="345">
        <v>0</v>
      </c>
      <c r="L58" s="345">
        <v>0</v>
      </c>
      <c r="M58" s="345">
        <v>0</v>
      </c>
      <c r="N58" s="56">
        <v>4804</v>
      </c>
      <c r="O58" s="56">
        <v>4665</v>
      </c>
      <c r="Q58" s="342" t="s">
        <v>2314</v>
      </c>
    </row>
    <row r="59" spans="1:17">
      <c r="A59" s="342" t="s">
        <v>5435</v>
      </c>
      <c r="B59" s="122" t="s">
        <v>13361</v>
      </c>
      <c r="C59" s="122" t="s">
        <v>13360</v>
      </c>
      <c r="D59" s="345">
        <v>0</v>
      </c>
      <c r="E59" s="345">
        <v>0</v>
      </c>
      <c r="F59" s="345">
        <v>0</v>
      </c>
      <c r="G59" s="345">
        <v>0</v>
      </c>
      <c r="H59" s="345">
        <v>0</v>
      </c>
      <c r="I59" s="345">
        <v>0</v>
      </c>
      <c r="J59" s="345">
        <v>0</v>
      </c>
      <c r="K59" s="345">
        <v>0</v>
      </c>
      <c r="L59" s="345">
        <v>0</v>
      </c>
      <c r="M59" s="345">
        <v>0</v>
      </c>
      <c r="N59" s="58">
        <v>2245</v>
      </c>
      <c r="O59" s="58">
        <v>2203</v>
      </c>
      <c r="Q59" s="342" t="s">
        <v>2314</v>
      </c>
    </row>
    <row r="60" spans="1:17">
      <c r="A60" s="342" t="s">
        <v>5436</v>
      </c>
      <c r="B60" s="122" t="s">
        <v>13363</v>
      </c>
      <c r="C60" s="122" t="s">
        <v>13362</v>
      </c>
      <c r="D60" s="345">
        <v>0</v>
      </c>
      <c r="E60" s="345">
        <v>0</v>
      </c>
      <c r="F60" s="345">
        <v>0</v>
      </c>
      <c r="G60" s="345">
        <v>0</v>
      </c>
      <c r="H60" s="345">
        <v>0</v>
      </c>
      <c r="I60" s="345">
        <v>0</v>
      </c>
      <c r="J60" s="345">
        <v>0</v>
      </c>
      <c r="K60" s="345">
        <v>0</v>
      </c>
      <c r="L60" s="345">
        <v>0</v>
      </c>
      <c r="M60" s="345">
        <v>0</v>
      </c>
      <c r="N60" s="58">
        <v>2134</v>
      </c>
      <c r="O60" s="58">
        <v>2073</v>
      </c>
      <c r="Q60" s="342" t="s">
        <v>2314</v>
      </c>
    </row>
    <row r="61" spans="1:17">
      <c r="A61" s="342" t="s">
        <v>5437</v>
      </c>
      <c r="B61" s="122" t="s">
        <v>13365</v>
      </c>
      <c r="C61" s="122" t="s">
        <v>13364</v>
      </c>
      <c r="D61" s="345">
        <v>0</v>
      </c>
      <c r="E61" s="345">
        <v>0</v>
      </c>
      <c r="F61" s="345">
        <v>0</v>
      </c>
      <c r="G61" s="345">
        <v>0</v>
      </c>
      <c r="H61" s="345">
        <v>0</v>
      </c>
      <c r="I61" s="345">
        <v>0</v>
      </c>
      <c r="J61" s="345">
        <v>0</v>
      </c>
      <c r="K61" s="345">
        <v>0</v>
      </c>
      <c r="L61" s="345">
        <v>0</v>
      </c>
      <c r="M61" s="345">
        <v>0</v>
      </c>
      <c r="N61" s="58">
        <v>2168</v>
      </c>
      <c r="O61" s="58">
        <v>2114</v>
      </c>
      <c r="Q61" s="342" t="s">
        <v>2314</v>
      </c>
    </row>
    <row r="62" spans="1:17">
      <c r="A62" s="342" t="s">
        <v>5439</v>
      </c>
      <c r="B62" s="122" t="s">
        <v>13367</v>
      </c>
      <c r="C62" s="122" t="s">
        <v>13366</v>
      </c>
      <c r="D62" s="345">
        <v>0</v>
      </c>
      <c r="E62" s="345">
        <v>0</v>
      </c>
      <c r="F62" s="345">
        <v>0</v>
      </c>
      <c r="G62" s="345">
        <v>0</v>
      </c>
      <c r="H62" s="345">
        <v>0</v>
      </c>
      <c r="I62" s="345">
        <v>0</v>
      </c>
      <c r="J62" s="345">
        <v>0</v>
      </c>
      <c r="K62" s="345">
        <v>0</v>
      </c>
      <c r="L62" s="345">
        <v>0</v>
      </c>
      <c r="M62" s="345">
        <v>0</v>
      </c>
      <c r="N62" s="58">
        <v>4421</v>
      </c>
      <c r="O62" s="58">
        <v>4263</v>
      </c>
      <c r="Q62" s="342" t="s">
        <v>2314</v>
      </c>
    </row>
    <row r="63" spans="1:17">
      <c r="A63" s="342" t="s">
        <v>5441</v>
      </c>
      <c r="B63" s="122" t="s">
        <v>13369</v>
      </c>
      <c r="C63" s="122" t="s">
        <v>13368</v>
      </c>
      <c r="D63" s="345">
        <v>0</v>
      </c>
      <c r="E63" s="345">
        <v>0</v>
      </c>
      <c r="F63" s="345">
        <v>0</v>
      </c>
      <c r="G63" s="345">
        <v>0</v>
      </c>
      <c r="H63" s="345">
        <v>0</v>
      </c>
      <c r="I63" s="345">
        <v>0</v>
      </c>
      <c r="J63" s="345">
        <v>0</v>
      </c>
      <c r="K63" s="345">
        <v>0</v>
      </c>
      <c r="L63" s="345">
        <v>0</v>
      </c>
      <c r="M63" s="345">
        <v>0</v>
      </c>
      <c r="N63" s="58">
        <v>2472</v>
      </c>
      <c r="O63" s="58">
        <v>2375</v>
      </c>
      <c r="Q63" s="342" t="s">
        <v>2314</v>
      </c>
    </row>
    <row r="64" spans="1:17">
      <c r="A64" s="342" t="s">
        <v>5886</v>
      </c>
      <c r="B64" s="122" t="s">
        <v>13371</v>
      </c>
      <c r="C64" s="122" t="s">
        <v>13370</v>
      </c>
      <c r="D64" s="345">
        <v>0</v>
      </c>
      <c r="E64" s="345">
        <v>0</v>
      </c>
      <c r="F64" s="345">
        <v>0</v>
      </c>
      <c r="G64" s="345">
        <v>0</v>
      </c>
      <c r="H64" s="345">
        <v>0</v>
      </c>
      <c r="I64" s="345">
        <v>0</v>
      </c>
      <c r="J64" s="345">
        <v>0</v>
      </c>
      <c r="K64" s="345">
        <v>0</v>
      </c>
      <c r="L64" s="345">
        <v>0</v>
      </c>
      <c r="M64" s="345">
        <v>0</v>
      </c>
      <c r="N64" s="58">
        <v>2030</v>
      </c>
      <c r="O64" s="58">
        <v>1972</v>
      </c>
      <c r="Q64" s="342" t="s">
        <v>2314</v>
      </c>
    </row>
    <row r="65" spans="1:17">
      <c r="A65" s="342" t="s">
        <v>5888</v>
      </c>
      <c r="B65" s="122" t="s">
        <v>13373</v>
      </c>
      <c r="C65" s="122" t="s">
        <v>13372</v>
      </c>
      <c r="D65" s="345">
        <v>0</v>
      </c>
      <c r="E65" s="345">
        <v>0</v>
      </c>
      <c r="F65" s="345">
        <v>0</v>
      </c>
      <c r="G65" s="345">
        <v>0</v>
      </c>
      <c r="H65" s="345">
        <v>0</v>
      </c>
      <c r="I65" s="345">
        <v>0</v>
      </c>
      <c r="J65" s="345">
        <v>0</v>
      </c>
      <c r="K65" s="345">
        <v>0</v>
      </c>
      <c r="L65" s="345">
        <v>0</v>
      </c>
      <c r="M65" s="345">
        <v>0</v>
      </c>
      <c r="N65" s="58">
        <v>4250</v>
      </c>
      <c r="O65" s="58">
        <v>4093</v>
      </c>
      <c r="Q65" s="342" t="s">
        <v>2314</v>
      </c>
    </row>
    <row r="66" spans="1:17">
      <c r="A66" s="342" t="s">
        <v>5889</v>
      </c>
      <c r="B66" s="122" t="s">
        <v>13375</v>
      </c>
      <c r="C66" s="122" t="s">
        <v>13374</v>
      </c>
      <c r="D66" s="345">
        <v>0</v>
      </c>
      <c r="E66" s="345">
        <v>0</v>
      </c>
      <c r="F66" s="345">
        <v>0</v>
      </c>
      <c r="G66" s="345">
        <v>0</v>
      </c>
      <c r="H66" s="345">
        <v>0</v>
      </c>
      <c r="I66" s="345">
        <v>0</v>
      </c>
      <c r="J66" s="345">
        <v>0</v>
      </c>
      <c r="K66" s="345">
        <v>0</v>
      </c>
      <c r="L66" s="345">
        <v>0</v>
      </c>
      <c r="M66" s="345">
        <v>0</v>
      </c>
      <c r="N66" s="58">
        <v>1980</v>
      </c>
      <c r="O66" s="58">
        <v>1927</v>
      </c>
      <c r="Q66" s="342" t="s">
        <v>2314</v>
      </c>
    </row>
    <row r="67" spans="1:17">
      <c r="A67" s="342" t="s">
        <v>4431</v>
      </c>
      <c r="B67" s="122" t="s">
        <v>13377</v>
      </c>
      <c r="C67" s="122" t="s">
        <v>13376</v>
      </c>
      <c r="D67" s="345">
        <v>0</v>
      </c>
      <c r="E67" s="345">
        <v>0</v>
      </c>
      <c r="F67" s="345">
        <v>0</v>
      </c>
      <c r="G67" s="345">
        <v>0</v>
      </c>
      <c r="H67" s="345">
        <v>0</v>
      </c>
      <c r="I67" s="345">
        <v>0</v>
      </c>
      <c r="J67" s="345">
        <v>0</v>
      </c>
      <c r="K67" s="345">
        <v>0</v>
      </c>
      <c r="L67" s="345">
        <v>0</v>
      </c>
      <c r="M67" s="345">
        <v>0</v>
      </c>
      <c r="N67" s="58">
        <v>2292</v>
      </c>
      <c r="O67" s="58">
        <v>2222</v>
      </c>
      <c r="Q67" s="342" t="s">
        <v>2314</v>
      </c>
    </row>
    <row r="68" spans="1:17">
      <c r="D68" s="345"/>
      <c r="E68" s="345"/>
      <c r="F68" s="345"/>
      <c r="G68" s="345"/>
      <c r="H68" s="345"/>
      <c r="I68" s="345"/>
      <c r="J68" s="345"/>
      <c r="K68" s="345"/>
      <c r="L68" s="345"/>
      <c r="M68" s="345"/>
      <c r="N68" s="345"/>
      <c r="O68" s="345"/>
    </row>
    <row r="69" spans="1:17" ht="16.5" customHeight="1">
      <c r="A69" s="342" t="s">
        <v>3118</v>
      </c>
      <c r="D69" s="344">
        <f t="shared" ref="D69:N69" si="36">SUM(D44:D67)</f>
        <v>69365</v>
      </c>
      <c r="E69" s="344">
        <f t="shared" si="36"/>
        <v>69609</v>
      </c>
      <c r="F69" s="344">
        <f t="shared" si="36"/>
        <v>69910</v>
      </c>
      <c r="G69" s="344">
        <f t="shared" si="36"/>
        <v>70307</v>
      </c>
      <c r="H69" s="344">
        <f t="shared" si="36"/>
        <v>70322</v>
      </c>
      <c r="I69" s="344">
        <f t="shared" si="36"/>
        <v>69094</v>
      </c>
      <c r="J69" s="344">
        <f t="shared" si="36"/>
        <v>68206</v>
      </c>
      <c r="K69" s="344">
        <f t="shared" si="36"/>
        <v>71175</v>
      </c>
      <c r="L69" s="344">
        <f t="shared" si="36"/>
        <v>71840</v>
      </c>
      <c r="M69" s="344">
        <f t="shared" si="36"/>
        <v>70966</v>
      </c>
      <c r="N69" s="344">
        <f t="shared" si="36"/>
        <v>73184</v>
      </c>
      <c r="O69" s="344">
        <f>SUM(O44:O67)</f>
        <v>71070</v>
      </c>
    </row>
    <row r="70" spans="1:17" ht="16.5" customHeight="1">
      <c r="A70" s="342"/>
      <c r="D70" s="344"/>
      <c r="E70" s="344"/>
      <c r="F70" s="344"/>
      <c r="G70" s="344"/>
      <c r="H70" s="344"/>
      <c r="I70" s="344"/>
      <c r="J70" s="344"/>
      <c r="K70" s="344"/>
      <c r="L70" s="344"/>
      <c r="M70" s="344"/>
      <c r="N70" s="344"/>
      <c r="O70" s="344"/>
    </row>
    <row r="71" spans="1:17" ht="16.5" customHeight="1">
      <c r="A71" s="342" t="s">
        <v>13378</v>
      </c>
      <c r="D71" s="344"/>
      <c r="E71" s="344"/>
      <c r="F71" s="344"/>
      <c r="G71" s="344"/>
      <c r="H71" s="344"/>
      <c r="I71" s="344"/>
      <c r="J71" s="344"/>
      <c r="K71" s="344"/>
      <c r="L71" s="344"/>
      <c r="M71" s="344"/>
      <c r="N71" s="344"/>
      <c r="O71" s="344"/>
    </row>
    <row r="72" spans="1:17" ht="16.5" customHeight="1">
      <c r="D72" s="344"/>
      <c r="E72" s="344"/>
      <c r="F72" s="344"/>
      <c r="G72" s="344"/>
      <c r="H72" s="344"/>
      <c r="I72" s="344"/>
      <c r="J72" s="344"/>
      <c r="K72" s="344"/>
      <c r="L72" s="344"/>
      <c r="M72" s="344"/>
      <c r="N72" s="344"/>
      <c r="O72" s="344"/>
    </row>
    <row r="73" spans="1:17" ht="16.5" customHeight="1">
      <c r="D73" s="344"/>
      <c r="E73" s="344"/>
      <c r="F73" s="344"/>
      <c r="G73" s="344"/>
      <c r="H73" s="344"/>
      <c r="I73" s="344"/>
      <c r="J73" s="344"/>
      <c r="K73" s="344"/>
      <c r="L73" s="344"/>
      <c r="M73" s="344"/>
      <c r="N73" s="344"/>
      <c r="O73" s="344"/>
    </row>
    <row r="74" spans="1:17" ht="16.5" customHeight="1">
      <c r="E74" s="51" t="s">
        <v>1526</v>
      </c>
      <c r="F74" s="51"/>
      <c r="G74" s="51"/>
      <c r="H74" s="51"/>
      <c r="I74" s="51"/>
      <c r="J74" s="51"/>
      <c r="K74" s="51"/>
      <c r="L74" s="51"/>
      <c r="M74" s="51"/>
      <c r="N74" s="51"/>
      <c r="O74" s="51"/>
      <c r="P74" s="11"/>
      <c r="Q74" s="11" t="s">
        <v>9479</v>
      </c>
    </row>
    <row r="75" spans="1:17" ht="16.5" customHeight="1">
      <c r="D75" s="350">
        <v>2010</v>
      </c>
      <c r="E75" s="350">
        <v>2011</v>
      </c>
      <c r="F75" s="350">
        <v>2012</v>
      </c>
      <c r="G75" s="350">
        <v>2013</v>
      </c>
      <c r="H75" s="350">
        <v>2014</v>
      </c>
      <c r="I75" s="350">
        <v>2015</v>
      </c>
      <c r="J75" s="350">
        <v>2016</v>
      </c>
      <c r="K75" s="350">
        <v>2017</v>
      </c>
      <c r="L75" s="350">
        <v>2018</v>
      </c>
      <c r="M75" s="350">
        <v>2019</v>
      </c>
      <c r="N75" s="350">
        <v>2020</v>
      </c>
      <c r="O75" s="938" t="s">
        <v>14823</v>
      </c>
      <c r="P75" s="11"/>
      <c r="Q75" s="13" t="s">
        <v>1527</v>
      </c>
    </row>
    <row r="76" spans="1:17" ht="16.5" customHeight="1">
      <c r="A76" s="342" t="s">
        <v>13008</v>
      </c>
      <c r="C76" s="342"/>
      <c r="D76" s="344">
        <f>SUM(D77:D88,D90:D106,D108:D109)</f>
        <v>185085</v>
      </c>
      <c r="E76" s="344">
        <f t="shared" ref="E76:N76" si="37">SUM(E77:E88,E90:E106,E108:E109)</f>
        <v>185080</v>
      </c>
      <c r="F76" s="344">
        <f t="shared" si="37"/>
        <v>185769</v>
      </c>
      <c r="G76" s="344">
        <f t="shared" si="37"/>
        <v>186417</v>
      </c>
      <c r="H76" s="344">
        <f t="shared" si="37"/>
        <v>183505</v>
      </c>
      <c r="I76" s="344">
        <f t="shared" si="37"/>
        <v>183728</v>
      </c>
      <c r="J76" s="344">
        <f t="shared" si="37"/>
        <v>181747</v>
      </c>
      <c r="K76" s="344">
        <f t="shared" si="37"/>
        <v>186262</v>
      </c>
      <c r="L76" s="344">
        <f t="shared" si="37"/>
        <v>188152</v>
      </c>
      <c r="M76" s="344">
        <f t="shared" si="37"/>
        <v>189160</v>
      </c>
      <c r="N76" s="344">
        <f t="shared" si="37"/>
        <v>192264</v>
      </c>
      <c r="O76" s="344">
        <f>SUM(O77:O88,O90:O106,O108:O109)</f>
        <v>192165</v>
      </c>
    </row>
    <row r="77" spans="1:17" ht="16.5" customHeight="1">
      <c r="A77" s="122" t="s">
        <v>5387</v>
      </c>
      <c r="B77" s="122" t="s">
        <v>12990</v>
      </c>
      <c r="C77" s="122" t="s">
        <v>13009</v>
      </c>
      <c r="D77" s="345">
        <v>77142</v>
      </c>
      <c r="E77" s="345">
        <v>76932</v>
      </c>
      <c r="F77" s="345">
        <v>77481</v>
      </c>
      <c r="G77" s="345">
        <v>77909</v>
      </c>
      <c r="H77" s="345">
        <v>75313</v>
      </c>
      <c r="I77" s="345">
        <v>76019</v>
      </c>
      <c r="J77" s="345">
        <v>75678</v>
      </c>
      <c r="K77" s="345">
        <v>77671</v>
      </c>
      <c r="L77" s="345">
        <v>78528</v>
      </c>
      <c r="M77" s="345">
        <v>76934</v>
      </c>
      <c r="N77" s="344">
        <v>9528</v>
      </c>
      <c r="O77" s="344">
        <v>9511</v>
      </c>
      <c r="Q77" s="344" t="s">
        <v>2315</v>
      </c>
    </row>
    <row r="78" spans="1:17" ht="16.5" customHeight="1">
      <c r="A78" s="122" t="s">
        <v>5389</v>
      </c>
      <c r="B78" s="122" t="s">
        <v>12991</v>
      </c>
      <c r="C78" s="122" t="s">
        <v>13010</v>
      </c>
      <c r="D78" s="345">
        <v>79035</v>
      </c>
      <c r="E78" s="345">
        <v>79132</v>
      </c>
      <c r="F78" s="345">
        <v>79145</v>
      </c>
      <c r="G78" s="345">
        <v>79116</v>
      </c>
      <c r="H78" s="345">
        <v>79732</v>
      </c>
      <c r="I78" s="345">
        <v>78913</v>
      </c>
      <c r="J78" s="345">
        <v>77408</v>
      </c>
      <c r="K78" s="345">
        <v>79168</v>
      </c>
      <c r="L78" s="345">
        <v>79937</v>
      </c>
      <c r="M78" s="345">
        <v>82425</v>
      </c>
      <c r="N78" s="344">
        <v>11907</v>
      </c>
      <c r="O78" s="344">
        <v>11889</v>
      </c>
      <c r="Q78" s="344" t="s">
        <v>2317</v>
      </c>
    </row>
    <row r="79" spans="1:17" ht="16.5" customHeight="1">
      <c r="A79" s="122" t="s">
        <v>5391</v>
      </c>
      <c r="B79" s="122" t="s">
        <v>12992</v>
      </c>
      <c r="C79" s="122" t="s">
        <v>13011</v>
      </c>
      <c r="D79" s="345">
        <v>0</v>
      </c>
      <c r="E79" s="345">
        <v>0</v>
      </c>
      <c r="F79" s="345">
        <v>0</v>
      </c>
      <c r="G79" s="345">
        <v>0</v>
      </c>
      <c r="H79" s="345">
        <v>0</v>
      </c>
      <c r="I79" s="345">
        <v>0</v>
      </c>
      <c r="J79" s="345">
        <v>0</v>
      </c>
      <c r="K79" s="345">
        <v>0</v>
      </c>
      <c r="L79" s="345">
        <v>0</v>
      </c>
      <c r="M79" s="345">
        <v>0</v>
      </c>
      <c r="N79" s="344">
        <v>6886</v>
      </c>
      <c r="O79" s="344">
        <v>6881</v>
      </c>
      <c r="Q79" s="344" t="s">
        <v>2317</v>
      </c>
    </row>
    <row r="80" spans="1:17" ht="16.5" customHeight="1">
      <c r="A80" s="122" t="s">
        <v>5393</v>
      </c>
      <c r="B80" s="122" t="s">
        <v>12993</v>
      </c>
      <c r="C80" s="122" t="s">
        <v>13012</v>
      </c>
      <c r="D80" s="345">
        <v>28908</v>
      </c>
      <c r="E80" s="345">
        <v>29016</v>
      </c>
      <c r="F80" s="345">
        <v>29143</v>
      </c>
      <c r="G80" s="345">
        <v>29392</v>
      </c>
      <c r="H80" s="345">
        <v>28460</v>
      </c>
      <c r="I80" s="345">
        <v>28796</v>
      </c>
      <c r="J80" s="345">
        <v>28661</v>
      </c>
      <c r="K80" s="345">
        <v>29423</v>
      </c>
      <c r="L80" s="345">
        <v>29687</v>
      </c>
      <c r="M80" s="345">
        <v>29801</v>
      </c>
      <c r="N80" s="344">
        <v>6714</v>
      </c>
      <c r="O80" s="344">
        <v>6719</v>
      </c>
      <c r="Q80" s="344" t="s">
        <v>3156</v>
      </c>
    </row>
    <row r="81" spans="1:17" ht="16.5" customHeight="1">
      <c r="A81" s="122" t="s">
        <v>5394</v>
      </c>
      <c r="B81" s="122" t="s">
        <v>12994</v>
      </c>
      <c r="C81" s="122" t="s">
        <v>13013</v>
      </c>
      <c r="D81" s="345">
        <v>0</v>
      </c>
      <c r="E81" s="345">
        <v>0</v>
      </c>
      <c r="F81" s="345">
        <v>0</v>
      </c>
      <c r="G81" s="345">
        <v>0</v>
      </c>
      <c r="H81" s="345">
        <v>0</v>
      </c>
      <c r="I81" s="345">
        <v>0</v>
      </c>
      <c r="J81" s="345">
        <v>0</v>
      </c>
      <c r="K81" s="345">
        <v>0</v>
      </c>
      <c r="L81" s="345">
        <v>0</v>
      </c>
      <c r="M81" s="345">
        <v>0</v>
      </c>
      <c r="N81" s="344">
        <v>7951</v>
      </c>
      <c r="O81" s="344">
        <v>7960</v>
      </c>
      <c r="Q81" s="344" t="s">
        <v>2317</v>
      </c>
    </row>
    <row r="82" spans="1:17" ht="16.5" customHeight="1">
      <c r="A82" s="122" t="s">
        <v>5416</v>
      </c>
      <c r="B82" s="122" t="s">
        <v>1204</v>
      </c>
      <c r="C82" s="122" t="s">
        <v>13014</v>
      </c>
      <c r="D82" s="345">
        <v>0</v>
      </c>
      <c r="E82" s="345">
        <v>0</v>
      </c>
      <c r="F82" s="345">
        <v>0</v>
      </c>
      <c r="G82" s="345">
        <v>0</v>
      </c>
      <c r="H82" s="345">
        <v>0</v>
      </c>
      <c r="I82" s="345">
        <v>0</v>
      </c>
      <c r="J82" s="345">
        <v>0</v>
      </c>
      <c r="K82" s="345">
        <v>0</v>
      </c>
      <c r="L82" s="345">
        <v>0</v>
      </c>
      <c r="M82" s="345">
        <v>0</v>
      </c>
      <c r="N82" s="344">
        <v>7536</v>
      </c>
      <c r="O82" s="344">
        <v>7526</v>
      </c>
      <c r="Q82" s="344" t="s">
        <v>2317</v>
      </c>
    </row>
    <row r="83" spans="1:17" ht="16.5" customHeight="1">
      <c r="A83" s="122" t="s">
        <v>5418</v>
      </c>
      <c r="B83" s="122" t="s">
        <v>11245</v>
      </c>
      <c r="C83" s="122" t="s">
        <v>13015</v>
      </c>
      <c r="D83" s="345">
        <v>0</v>
      </c>
      <c r="E83" s="345">
        <v>0</v>
      </c>
      <c r="F83" s="345">
        <v>0</v>
      </c>
      <c r="G83" s="345">
        <v>0</v>
      </c>
      <c r="H83" s="345">
        <v>0</v>
      </c>
      <c r="I83" s="345">
        <v>0</v>
      </c>
      <c r="J83" s="345">
        <v>0</v>
      </c>
      <c r="K83" s="345">
        <v>0</v>
      </c>
      <c r="L83" s="345">
        <v>0</v>
      </c>
      <c r="M83" s="345">
        <v>0</v>
      </c>
      <c r="N83" s="344">
        <v>3669</v>
      </c>
      <c r="O83" s="344">
        <v>3661</v>
      </c>
      <c r="Q83" s="344" t="s">
        <v>2315</v>
      </c>
    </row>
    <row r="84" spans="1:17" ht="16.5" customHeight="1">
      <c r="A84" s="122" t="s">
        <v>5420</v>
      </c>
      <c r="B84" s="122" t="s">
        <v>12995</v>
      </c>
      <c r="C84" s="122" t="s">
        <v>13016</v>
      </c>
      <c r="D84" s="345">
        <v>0</v>
      </c>
      <c r="E84" s="345">
        <v>0</v>
      </c>
      <c r="F84" s="345">
        <v>0</v>
      </c>
      <c r="G84" s="345">
        <v>0</v>
      </c>
      <c r="H84" s="345">
        <v>0</v>
      </c>
      <c r="I84" s="345">
        <v>0</v>
      </c>
      <c r="J84" s="345">
        <v>0</v>
      </c>
      <c r="K84" s="345">
        <v>0</v>
      </c>
      <c r="L84" s="345">
        <v>0</v>
      </c>
      <c r="M84" s="345">
        <v>0</v>
      </c>
      <c r="N84" s="344">
        <v>10185</v>
      </c>
      <c r="O84" s="344">
        <v>10168</v>
      </c>
      <c r="Q84" s="344" t="s">
        <v>2315</v>
      </c>
    </row>
    <row r="85" spans="1:17" ht="16.5" customHeight="1">
      <c r="A85" s="122" t="s">
        <v>5422</v>
      </c>
      <c r="B85" s="122" t="s">
        <v>3298</v>
      </c>
      <c r="C85" s="122" t="s">
        <v>13017</v>
      </c>
      <c r="D85" s="345">
        <v>0</v>
      </c>
      <c r="E85" s="345">
        <v>0</v>
      </c>
      <c r="F85" s="345">
        <v>0</v>
      </c>
      <c r="G85" s="345">
        <v>0</v>
      </c>
      <c r="H85" s="345">
        <v>0</v>
      </c>
      <c r="I85" s="345">
        <v>0</v>
      </c>
      <c r="J85" s="345">
        <v>0</v>
      </c>
      <c r="K85" s="345">
        <v>0</v>
      </c>
      <c r="L85" s="345">
        <v>0</v>
      </c>
      <c r="M85" s="345">
        <v>0</v>
      </c>
      <c r="N85" s="344">
        <v>6761</v>
      </c>
      <c r="O85" s="344">
        <v>6760</v>
      </c>
      <c r="Q85" s="344" t="s">
        <v>3156</v>
      </c>
    </row>
    <row r="86" spans="1:17" ht="16.5" customHeight="1">
      <c r="A86" s="122" t="s">
        <v>5424</v>
      </c>
      <c r="B86" s="122" t="s">
        <v>12996</v>
      </c>
      <c r="C86" s="122" t="s">
        <v>13018</v>
      </c>
      <c r="D86" s="345">
        <v>0</v>
      </c>
      <c r="E86" s="345">
        <v>0</v>
      </c>
      <c r="F86" s="345">
        <v>0</v>
      </c>
      <c r="G86" s="345">
        <v>0</v>
      </c>
      <c r="H86" s="345">
        <v>0</v>
      </c>
      <c r="I86" s="345">
        <v>0</v>
      </c>
      <c r="J86" s="345">
        <v>0</v>
      </c>
      <c r="K86" s="345">
        <v>0</v>
      </c>
      <c r="L86" s="345">
        <v>0</v>
      </c>
      <c r="M86" s="345">
        <v>0</v>
      </c>
      <c r="N86" s="344">
        <v>7835</v>
      </c>
      <c r="O86" s="344">
        <v>7841</v>
      </c>
      <c r="Q86" s="344" t="s">
        <v>2317</v>
      </c>
    </row>
    <row r="87" spans="1:17" ht="16.5" customHeight="1">
      <c r="A87" s="122" t="s">
        <v>5426</v>
      </c>
      <c r="B87" s="122" t="s">
        <v>12997</v>
      </c>
      <c r="C87" s="122" t="s">
        <v>13019</v>
      </c>
      <c r="D87" s="345">
        <v>0</v>
      </c>
      <c r="E87" s="345">
        <v>0</v>
      </c>
      <c r="F87" s="345">
        <v>0</v>
      </c>
      <c r="G87" s="345">
        <v>0</v>
      </c>
      <c r="H87" s="345">
        <v>0</v>
      </c>
      <c r="I87" s="345">
        <v>0</v>
      </c>
      <c r="J87" s="345">
        <v>0</v>
      </c>
      <c r="K87" s="345">
        <v>0</v>
      </c>
      <c r="L87" s="345">
        <v>0</v>
      </c>
      <c r="M87" s="345">
        <v>0</v>
      </c>
      <c r="N87" s="344">
        <v>6382</v>
      </c>
      <c r="O87" s="344">
        <v>6383</v>
      </c>
      <c r="Q87" s="344" t="s">
        <v>2315</v>
      </c>
    </row>
    <row r="88" spans="1:17" ht="16.5" customHeight="1" thickBot="1">
      <c r="C88" s="122" t="s">
        <v>13019</v>
      </c>
      <c r="D88" s="351">
        <v>0</v>
      </c>
      <c r="E88" s="351">
        <v>0</v>
      </c>
      <c r="F88" s="351">
        <v>0</v>
      </c>
      <c r="G88" s="351">
        <v>0</v>
      </c>
      <c r="H88" s="351">
        <v>0</v>
      </c>
      <c r="I88" s="351">
        <v>0</v>
      </c>
      <c r="J88" s="351">
        <v>0</v>
      </c>
      <c r="K88" s="351">
        <v>0</v>
      </c>
      <c r="L88" s="351">
        <v>0</v>
      </c>
      <c r="M88" s="351">
        <v>0</v>
      </c>
      <c r="N88" s="351">
        <v>222</v>
      </c>
      <c r="O88" s="351">
        <v>222</v>
      </c>
      <c r="Q88" s="344" t="s">
        <v>2317</v>
      </c>
    </row>
    <row r="89" spans="1:17" ht="16.5" customHeight="1" thickBot="1">
      <c r="C89" s="122" t="s">
        <v>13019</v>
      </c>
      <c r="D89" s="352">
        <f t="shared" ref="D89:N89" si="38">D87+D88</f>
        <v>0</v>
      </c>
      <c r="E89" s="352">
        <f t="shared" si="38"/>
        <v>0</v>
      </c>
      <c r="F89" s="352">
        <f t="shared" si="38"/>
        <v>0</v>
      </c>
      <c r="G89" s="352">
        <f t="shared" si="38"/>
        <v>0</v>
      </c>
      <c r="H89" s="352">
        <f t="shared" si="38"/>
        <v>0</v>
      </c>
      <c r="I89" s="352">
        <f t="shared" si="38"/>
        <v>0</v>
      </c>
      <c r="J89" s="352">
        <f t="shared" si="38"/>
        <v>0</v>
      </c>
      <c r="K89" s="352">
        <f t="shared" si="38"/>
        <v>0</v>
      </c>
      <c r="L89" s="352">
        <f t="shared" si="38"/>
        <v>0</v>
      </c>
      <c r="M89" s="352">
        <f t="shared" si="38"/>
        <v>0</v>
      </c>
      <c r="N89" s="352">
        <f t="shared" si="38"/>
        <v>6604</v>
      </c>
      <c r="O89" s="352">
        <f>O87+O88</f>
        <v>6605</v>
      </c>
      <c r="Q89" s="344"/>
    </row>
    <row r="90" spans="1:17" ht="16.5" customHeight="1">
      <c r="A90" s="122" t="s">
        <v>5428</v>
      </c>
      <c r="B90" s="122" t="s">
        <v>12998</v>
      </c>
      <c r="C90" s="122" t="s">
        <v>13020</v>
      </c>
      <c r="D90" s="345">
        <v>0</v>
      </c>
      <c r="E90" s="345">
        <v>0</v>
      </c>
      <c r="F90" s="345">
        <v>0</v>
      </c>
      <c r="G90" s="345">
        <v>0</v>
      </c>
      <c r="H90" s="345">
        <v>0</v>
      </c>
      <c r="I90" s="345">
        <v>0</v>
      </c>
      <c r="J90" s="345">
        <v>0</v>
      </c>
      <c r="K90" s="345">
        <v>0</v>
      </c>
      <c r="L90" s="345">
        <v>0</v>
      </c>
      <c r="M90" s="345">
        <v>0</v>
      </c>
      <c r="N90" s="344">
        <v>11149</v>
      </c>
      <c r="O90" s="344">
        <v>11147</v>
      </c>
      <c r="Q90" s="344" t="s">
        <v>2317</v>
      </c>
    </row>
    <row r="91" spans="1:17" ht="16.5" customHeight="1">
      <c r="A91" s="122" t="s">
        <v>5429</v>
      </c>
      <c r="B91" s="122" t="s">
        <v>12999</v>
      </c>
      <c r="C91" s="122" t="s">
        <v>13021</v>
      </c>
      <c r="D91" s="345">
        <v>0</v>
      </c>
      <c r="E91" s="345">
        <v>0</v>
      </c>
      <c r="F91" s="345">
        <v>0</v>
      </c>
      <c r="G91" s="345">
        <v>0</v>
      </c>
      <c r="H91" s="345">
        <v>0</v>
      </c>
      <c r="I91" s="345">
        <v>0</v>
      </c>
      <c r="J91" s="345">
        <v>0</v>
      </c>
      <c r="K91" s="345">
        <v>0</v>
      </c>
      <c r="L91" s="345">
        <v>0</v>
      </c>
      <c r="M91" s="345">
        <v>0</v>
      </c>
      <c r="N91" s="344">
        <v>3254</v>
      </c>
      <c r="O91" s="344">
        <v>3257</v>
      </c>
      <c r="Q91" s="344" t="s">
        <v>2315</v>
      </c>
    </row>
    <row r="92" spans="1:17" ht="16.5" customHeight="1">
      <c r="A92" s="122" t="s">
        <v>5431</v>
      </c>
      <c r="B92" s="122" t="s">
        <v>13000</v>
      </c>
      <c r="C92" s="122" t="s">
        <v>13022</v>
      </c>
      <c r="D92" s="345">
        <v>0</v>
      </c>
      <c r="E92" s="345">
        <v>0</v>
      </c>
      <c r="F92" s="345">
        <v>0</v>
      </c>
      <c r="G92" s="345">
        <v>0</v>
      </c>
      <c r="H92" s="345">
        <v>0</v>
      </c>
      <c r="I92" s="345">
        <v>0</v>
      </c>
      <c r="J92" s="345">
        <v>0</v>
      </c>
      <c r="K92" s="345">
        <v>0</v>
      </c>
      <c r="L92" s="345">
        <v>0</v>
      </c>
      <c r="M92" s="345">
        <v>0</v>
      </c>
      <c r="N92" s="344">
        <v>11165</v>
      </c>
      <c r="O92" s="344">
        <v>11149</v>
      </c>
      <c r="Q92" s="344" t="s">
        <v>3156</v>
      </c>
    </row>
    <row r="93" spans="1:17" ht="16.5" customHeight="1">
      <c r="A93" s="122" t="s">
        <v>5433</v>
      </c>
      <c r="B93" s="122" t="s">
        <v>1205</v>
      </c>
      <c r="C93" s="122" t="s">
        <v>13023</v>
      </c>
      <c r="D93" s="345">
        <v>0</v>
      </c>
      <c r="E93" s="345">
        <v>0</v>
      </c>
      <c r="F93" s="345">
        <v>0</v>
      </c>
      <c r="G93" s="345">
        <v>0</v>
      </c>
      <c r="H93" s="345">
        <v>0</v>
      </c>
      <c r="I93" s="345">
        <v>0</v>
      </c>
      <c r="J93" s="345">
        <v>0</v>
      </c>
      <c r="K93" s="345">
        <v>0</v>
      </c>
      <c r="L93" s="345">
        <v>0</v>
      </c>
      <c r="M93" s="345">
        <v>0</v>
      </c>
      <c r="N93" s="344">
        <v>3548</v>
      </c>
      <c r="O93" s="344">
        <v>3549</v>
      </c>
      <c r="Q93" s="344" t="s">
        <v>2317</v>
      </c>
    </row>
    <row r="94" spans="1:17" ht="16.5" customHeight="1">
      <c r="A94" s="122" t="s">
        <v>5435</v>
      </c>
      <c r="B94" s="122" t="s">
        <v>13001</v>
      </c>
      <c r="C94" s="122" t="s">
        <v>13024</v>
      </c>
      <c r="D94" s="345">
        <v>0</v>
      </c>
      <c r="E94" s="345">
        <v>0</v>
      </c>
      <c r="F94" s="345">
        <v>0</v>
      </c>
      <c r="G94" s="345">
        <v>0</v>
      </c>
      <c r="H94" s="345">
        <v>0</v>
      </c>
      <c r="I94" s="345">
        <v>0</v>
      </c>
      <c r="J94" s="345">
        <v>0</v>
      </c>
      <c r="K94" s="345">
        <v>0</v>
      </c>
      <c r="L94" s="345">
        <v>0</v>
      </c>
      <c r="M94" s="345">
        <v>0</v>
      </c>
      <c r="N94" s="344">
        <v>10512</v>
      </c>
      <c r="O94" s="344">
        <v>10508</v>
      </c>
      <c r="Q94" s="344" t="s">
        <v>2317</v>
      </c>
    </row>
    <row r="95" spans="1:17" ht="16.5" customHeight="1">
      <c r="A95" s="122" t="s">
        <v>5436</v>
      </c>
      <c r="B95" s="122" t="s">
        <v>4630</v>
      </c>
      <c r="C95" s="122" t="s">
        <v>13025</v>
      </c>
      <c r="D95" s="345">
        <v>0</v>
      </c>
      <c r="E95" s="345">
        <v>0</v>
      </c>
      <c r="F95" s="345">
        <v>0</v>
      </c>
      <c r="G95" s="345">
        <v>0</v>
      </c>
      <c r="H95" s="345">
        <v>0</v>
      </c>
      <c r="I95" s="345">
        <v>0</v>
      </c>
      <c r="J95" s="345">
        <v>0</v>
      </c>
      <c r="K95" s="345">
        <v>0</v>
      </c>
      <c r="L95" s="345">
        <v>0</v>
      </c>
      <c r="M95" s="345">
        <v>0</v>
      </c>
      <c r="N95" s="344">
        <v>2917</v>
      </c>
      <c r="O95" s="344">
        <v>2919</v>
      </c>
      <c r="Q95" s="344" t="s">
        <v>2317</v>
      </c>
    </row>
    <row r="96" spans="1:17" ht="16.5" customHeight="1">
      <c r="A96" s="122" t="s">
        <v>5437</v>
      </c>
      <c r="B96" s="122" t="s">
        <v>13002</v>
      </c>
      <c r="C96" s="122" t="s">
        <v>13026</v>
      </c>
      <c r="D96" s="345">
        <v>0</v>
      </c>
      <c r="E96" s="345">
        <v>0</v>
      </c>
      <c r="F96" s="345">
        <v>0</v>
      </c>
      <c r="G96" s="345">
        <v>0</v>
      </c>
      <c r="H96" s="345">
        <v>0</v>
      </c>
      <c r="I96" s="345">
        <v>0</v>
      </c>
      <c r="J96" s="345">
        <v>0</v>
      </c>
      <c r="K96" s="345">
        <v>0</v>
      </c>
      <c r="L96" s="345">
        <v>0</v>
      </c>
      <c r="M96" s="345">
        <v>0</v>
      </c>
      <c r="N96" s="344">
        <v>6214</v>
      </c>
      <c r="O96" s="344">
        <v>6215</v>
      </c>
      <c r="Q96" s="344" t="s">
        <v>2315</v>
      </c>
    </row>
    <row r="97" spans="1:17" ht="16.5" customHeight="1">
      <c r="A97" s="122" t="s">
        <v>5439</v>
      </c>
      <c r="B97" s="122" t="s">
        <v>5956</v>
      </c>
      <c r="C97" s="122" t="s">
        <v>13027</v>
      </c>
      <c r="D97" s="345">
        <v>0</v>
      </c>
      <c r="E97" s="345">
        <v>0</v>
      </c>
      <c r="F97" s="345">
        <v>0</v>
      </c>
      <c r="G97" s="345">
        <v>0</v>
      </c>
      <c r="H97" s="345">
        <v>0</v>
      </c>
      <c r="I97" s="345">
        <v>0</v>
      </c>
      <c r="J97" s="345">
        <v>0</v>
      </c>
      <c r="K97" s="345">
        <v>0</v>
      </c>
      <c r="L97" s="345">
        <v>0</v>
      </c>
      <c r="M97" s="345">
        <v>0</v>
      </c>
      <c r="N97" s="344">
        <v>3483</v>
      </c>
      <c r="O97" s="344">
        <v>3489</v>
      </c>
      <c r="Q97" s="344" t="s">
        <v>2315</v>
      </c>
    </row>
    <row r="98" spans="1:17" ht="16.5" customHeight="1">
      <c r="A98" s="122" t="s">
        <v>5441</v>
      </c>
      <c r="B98" s="122" t="s">
        <v>13003</v>
      </c>
      <c r="C98" s="122" t="s">
        <v>13028</v>
      </c>
      <c r="D98" s="345">
        <v>0</v>
      </c>
      <c r="E98" s="345">
        <v>0</v>
      </c>
      <c r="F98" s="345">
        <v>0</v>
      </c>
      <c r="G98" s="345">
        <v>0</v>
      </c>
      <c r="H98" s="345">
        <v>0</v>
      </c>
      <c r="I98" s="345">
        <v>0</v>
      </c>
      <c r="J98" s="345">
        <v>0</v>
      </c>
      <c r="K98" s="345">
        <v>0</v>
      </c>
      <c r="L98" s="345">
        <v>0</v>
      </c>
      <c r="M98" s="345">
        <v>0</v>
      </c>
      <c r="N98" s="344">
        <v>7719</v>
      </c>
      <c r="O98" s="344">
        <v>7713</v>
      </c>
      <c r="Q98" s="344" t="s">
        <v>2315</v>
      </c>
    </row>
    <row r="99" spans="1:17" ht="16.5" customHeight="1">
      <c r="A99" s="122" t="s">
        <v>5886</v>
      </c>
      <c r="B99" s="122" t="s">
        <v>1206</v>
      </c>
      <c r="C99" s="122" t="s">
        <v>13029</v>
      </c>
      <c r="D99" s="345">
        <v>0</v>
      </c>
      <c r="E99" s="345">
        <v>0</v>
      </c>
      <c r="F99" s="345">
        <v>0</v>
      </c>
      <c r="G99" s="345">
        <v>0</v>
      </c>
      <c r="H99" s="345">
        <v>0</v>
      </c>
      <c r="I99" s="345">
        <v>0</v>
      </c>
      <c r="J99" s="345">
        <v>0</v>
      </c>
      <c r="K99" s="345">
        <v>0</v>
      </c>
      <c r="L99" s="345">
        <v>0</v>
      </c>
      <c r="M99" s="345">
        <v>0</v>
      </c>
      <c r="N99" s="344">
        <v>10636</v>
      </c>
      <c r="O99" s="344">
        <v>10628</v>
      </c>
      <c r="Q99" s="344" t="s">
        <v>2317</v>
      </c>
    </row>
    <row r="100" spans="1:17" ht="16.5" customHeight="1">
      <c r="A100" s="122" t="s">
        <v>5888</v>
      </c>
      <c r="B100" s="122" t="s">
        <v>13004</v>
      </c>
      <c r="C100" s="122" t="s">
        <v>13030</v>
      </c>
      <c r="D100" s="345">
        <v>0</v>
      </c>
      <c r="E100" s="345">
        <v>0</v>
      </c>
      <c r="F100" s="345">
        <v>0</v>
      </c>
      <c r="G100" s="345">
        <v>0</v>
      </c>
      <c r="H100" s="345">
        <v>0</v>
      </c>
      <c r="I100" s="345">
        <v>0</v>
      </c>
      <c r="J100" s="345">
        <v>0</v>
      </c>
      <c r="K100" s="345">
        <v>0</v>
      </c>
      <c r="L100" s="345">
        <v>0</v>
      </c>
      <c r="M100" s="345">
        <v>0</v>
      </c>
      <c r="N100" s="344">
        <v>3889</v>
      </c>
      <c r="O100" s="344">
        <v>3887</v>
      </c>
      <c r="Q100" s="344" t="s">
        <v>2315</v>
      </c>
    </row>
    <row r="101" spans="1:17" ht="16.5" customHeight="1">
      <c r="A101" s="122" t="s">
        <v>5889</v>
      </c>
      <c r="B101" s="122" t="s">
        <v>13032</v>
      </c>
      <c r="C101" s="122" t="s">
        <v>13031</v>
      </c>
      <c r="D101" s="345">
        <v>0</v>
      </c>
      <c r="E101" s="345">
        <v>0</v>
      </c>
      <c r="F101" s="345">
        <v>0</v>
      </c>
      <c r="G101" s="345">
        <v>0</v>
      </c>
      <c r="H101" s="345">
        <v>0</v>
      </c>
      <c r="I101" s="345">
        <v>0</v>
      </c>
      <c r="J101" s="345">
        <v>0</v>
      </c>
      <c r="K101" s="345">
        <v>0</v>
      </c>
      <c r="L101" s="345">
        <v>0</v>
      </c>
      <c r="M101" s="345">
        <v>0</v>
      </c>
      <c r="N101" s="344">
        <v>3556</v>
      </c>
      <c r="O101" s="344">
        <v>3557</v>
      </c>
      <c r="Q101" s="344" t="s">
        <v>3156</v>
      </c>
    </row>
    <row r="102" spans="1:17" ht="16.5" customHeight="1">
      <c r="A102" s="122" t="s">
        <v>4431</v>
      </c>
      <c r="B102" s="122" t="s">
        <v>1823</v>
      </c>
      <c r="C102" s="122" t="s">
        <v>13033</v>
      </c>
      <c r="D102" s="345">
        <v>0</v>
      </c>
      <c r="E102" s="345">
        <v>0</v>
      </c>
      <c r="F102" s="345">
        <v>0</v>
      </c>
      <c r="G102" s="345">
        <v>0</v>
      </c>
      <c r="H102" s="345">
        <v>0</v>
      </c>
      <c r="I102" s="345">
        <v>0</v>
      </c>
      <c r="J102" s="345">
        <v>0</v>
      </c>
      <c r="K102" s="345">
        <v>0</v>
      </c>
      <c r="L102" s="345">
        <v>0</v>
      </c>
      <c r="M102" s="345">
        <v>0</v>
      </c>
      <c r="N102" s="344">
        <v>3348</v>
      </c>
      <c r="O102" s="344">
        <v>3344</v>
      </c>
      <c r="Q102" s="344" t="s">
        <v>2315</v>
      </c>
    </row>
    <row r="103" spans="1:17" ht="16.5" customHeight="1">
      <c r="A103" s="122" t="s">
        <v>4432</v>
      </c>
      <c r="B103" s="122" t="s">
        <v>13005</v>
      </c>
      <c r="C103" s="122" t="s">
        <v>13034</v>
      </c>
      <c r="D103" s="345">
        <v>0</v>
      </c>
      <c r="E103" s="345">
        <v>0</v>
      </c>
      <c r="F103" s="345">
        <v>0</v>
      </c>
      <c r="G103" s="345">
        <v>0</v>
      </c>
      <c r="H103" s="345">
        <v>0</v>
      </c>
      <c r="I103" s="345">
        <v>0</v>
      </c>
      <c r="J103" s="345">
        <v>0</v>
      </c>
      <c r="K103" s="345">
        <v>0</v>
      </c>
      <c r="L103" s="345">
        <v>0</v>
      </c>
      <c r="M103" s="345">
        <v>0</v>
      </c>
      <c r="N103" s="344">
        <v>3218</v>
      </c>
      <c r="O103" s="344">
        <v>3212</v>
      </c>
      <c r="Q103" s="344" t="s">
        <v>2315</v>
      </c>
    </row>
    <row r="104" spans="1:17" ht="16.5" customHeight="1">
      <c r="A104" s="122" t="s">
        <v>4434</v>
      </c>
      <c r="B104" s="122" t="s">
        <v>13006</v>
      </c>
      <c r="C104" s="122" t="s">
        <v>13035</v>
      </c>
      <c r="D104" s="345">
        <v>0</v>
      </c>
      <c r="E104" s="345">
        <v>0</v>
      </c>
      <c r="F104" s="345">
        <v>0</v>
      </c>
      <c r="G104" s="345">
        <v>0</v>
      </c>
      <c r="H104" s="345">
        <v>0</v>
      </c>
      <c r="I104" s="345">
        <v>0</v>
      </c>
      <c r="J104" s="345">
        <v>0</v>
      </c>
      <c r="K104" s="345">
        <v>0</v>
      </c>
      <c r="L104" s="345">
        <v>0</v>
      </c>
      <c r="M104" s="345">
        <v>0</v>
      </c>
      <c r="N104" s="344">
        <v>8393</v>
      </c>
      <c r="O104" s="344">
        <v>8392</v>
      </c>
      <c r="Q104" s="344" t="s">
        <v>2315</v>
      </c>
    </row>
    <row r="105" spans="1:17" ht="16.5" customHeight="1">
      <c r="A105" s="122" t="s">
        <v>4533</v>
      </c>
      <c r="B105" s="122" t="s">
        <v>1824</v>
      </c>
      <c r="C105" s="122" t="s">
        <v>13036</v>
      </c>
      <c r="D105" s="345">
        <v>0</v>
      </c>
      <c r="E105" s="345">
        <v>0</v>
      </c>
      <c r="F105" s="345">
        <v>0</v>
      </c>
      <c r="G105" s="345">
        <v>0</v>
      </c>
      <c r="H105" s="345">
        <v>0</v>
      </c>
      <c r="I105" s="345">
        <v>0</v>
      </c>
      <c r="J105" s="345">
        <v>0</v>
      </c>
      <c r="K105" s="345">
        <v>0</v>
      </c>
      <c r="L105" s="345">
        <v>0</v>
      </c>
      <c r="M105" s="345">
        <v>0</v>
      </c>
      <c r="N105" s="344">
        <v>2457</v>
      </c>
      <c r="O105" s="344">
        <v>2461</v>
      </c>
      <c r="Q105" s="344" t="s">
        <v>3156</v>
      </c>
    </row>
    <row r="106" spans="1:17" ht="16.5" customHeight="1" thickBot="1">
      <c r="C106" s="122" t="s">
        <v>13036</v>
      </c>
      <c r="D106" s="351">
        <v>0</v>
      </c>
      <c r="E106" s="351">
        <v>0</v>
      </c>
      <c r="F106" s="351">
        <v>0</v>
      </c>
      <c r="G106" s="351">
        <v>0</v>
      </c>
      <c r="H106" s="351">
        <v>0</v>
      </c>
      <c r="I106" s="351">
        <v>0</v>
      </c>
      <c r="J106" s="351">
        <v>0</v>
      </c>
      <c r="K106" s="351">
        <v>0</v>
      </c>
      <c r="L106" s="351">
        <v>0</v>
      </c>
      <c r="M106" s="351">
        <v>0</v>
      </c>
      <c r="N106" s="351">
        <v>1411</v>
      </c>
      <c r="O106" s="351">
        <v>1403</v>
      </c>
      <c r="Q106" s="344" t="s">
        <v>2315</v>
      </c>
    </row>
    <row r="107" spans="1:17" ht="16.5" customHeight="1" thickBot="1">
      <c r="C107" s="122" t="s">
        <v>13036</v>
      </c>
      <c r="D107" s="352">
        <f t="shared" ref="D107:N107" si="39">D105+D106</f>
        <v>0</v>
      </c>
      <c r="E107" s="352">
        <f t="shared" si="39"/>
        <v>0</v>
      </c>
      <c r="F107" s="352">
        <f t="shared" si="39"/>
        <v>0</v>
      </c>
      <c r="G107" s="352">
        <f t="shared" si="39"/>
        <v>0</v>
      </c>
      <c r="H107" s="352">
        <f t="shared" si="39"/>
        <v>0</v>
      </c>
      <c r="I107" s="352">
        <f t="shared" si="39"/>
        <v>0</v>
      </c>
      <c r="J107" s="352">
        <f t="shared" si="39"/>
        <v>0</v>
      </c>
      <c r="K107" s="352">
        <f t="shared" si="39"/>
        <v>0</v>
      </c>
      <c r="L107" s="352">
        <f t="shared" si="39"/>
        <v>0</v>
      </c>
      <c r="M107" s="352">
        <f t="shared" si="39"/>
        <v>0</v>
      </c>
      <c r="N107" s="352">
        <f t="shared" si="39"/>
        <v>3868</v>
      </c>
      <c r="O107" s="352">
        <f>O105+O106</f>
        <v>3864</v>
      </c>
    </row>
    <row r="108" spans="1:17" ht="16.5" customHeight="1">
      <c r="A108" s="122" t="s">
        <v>4535</v>
      </c>
      <c r="B108" s="122" t="s">
        <v>11246</v>
      </c>
      <c r="C108" s="122" t="s">
        <v>13037</v>
      </c>
      <c r="D108" s="345">
        <v>0</v>
      </c>
      <c r="E108" s="345">
        <v>0</v>
      </c>
      <c r="F108" s="345">
        <v>0</v>
      </c>
      <c r="G108" s="345">
        <v>0</v>
      </c>
      <c r="H108" s="345">
        <v>0</v>
      </c>
      <c r="I108" s="345">
        <v>0</v>
      </c>
      <c r="J108" s="345">
        <v>0</v>
      </c>
      <c r="K108" s="345">
        <v>0</v>
      </c>
      <c r="L108" s="345">
        <v>0</v>
      </c>
      <c r="M108" s="345">
        <v>0</v>
      </c>
      <c r="N108" s="344">
        <v>6369</v>
      </c>
      <c r="O108" s="344">
        <v>6358</v>
      </c>
      <c r="Q108" s="344" t="s">
        <v>2315</v>
      </c>
    </row>
    <row r="109" spans="1:17" ht="16.5" customHeight="1">
      <c r="A109" s="122" t="s">
        <v>4537</v>
      </c>
      <c r="B109" s="122" t="s">
        <v>13007</v>
      </c>
      <c r="C109" s="122" t="s">
        <v>13038</v>
      </c>
      <c r="D109" s="345">
        <v>0</v>
      </c>
      <c r="E109" s="345">
        <v>0</v>
      </c>
      <c r="F109" s="345">
        <v>0</v>
      </c>
      <c r="G109" s="345">
        <v>0</v>
      </c>
      <c r="H109" s="345">
        <v>0</v>
      </c>
      <c r="I109" s="345">
        <v>0</v>
      </c>
      <c r="J109" s="345">
        <v>0</v>
      </c>
      <c r="K109" s="345">
        <v>0</v>
      </c>
      <c r="L109" s="345">
        <v>0</v>
      </c>
      <c r="M109" s="345">
        <v>0</v>
      </c>
      <c r="N109" s="344">
        <v>3450</v>
      </c>
      <c r="O109" s="344">
        <v>3456</v>
      </c>
      <c r="Q109" s="344" t="s">
        <v>2315</v>
      </c>
    </row>
    <row r="110" spans="1:17" ht="16.5" customHeight="1">
      <c r="D110" s="344"/>
      <c r="E110" s="344"/>
      <c r="F110" s="344"/>
      <c r="G110" s="344"/>
      <c r="H110" s="344"/>
      <c r="I110" s="344"/>
      <c r="J110" s="344"/>
      <c r="K110" s="344"/>
      <c r="L110" s="344"/>
      <c r="M110" s="344"/>
      <c r="N110" s="344"/>
      <c r="O110" s="344"/>
    </row>
    <row r="111" spans="1:17" ht="16.5" customHeight="1">
      <c r="A111" s="122" t="s">
        <v>1832</v>
      </c>
      <c r="D111" s="344">
        <f t="shared" ref="D111:M111" si="40">SUM(D80,D85,D92,D101,D105)</f>
        <v>28908</v>
      </c>
      <c r="E111" s="344">
        <f t="shared" si="40"/>
        <v>29016</v>
      </c>
      <c r="F111" s="344">
        <f t="shared" si="40"/>
        <v>29143</v>
      </c>
      <c r="G111" s="344">
        <f t="shared" si="40"/>
        <v>29392</v>
      </c>
      <c r="H111" s="344">
        <f t="shared" si="40"/>
        <v>28460</v>
      </c>
      <c r="I111" s="344">
        <f t="shared" si="40"/>
        <v>28796</v>
      </c>
      <c r="J111" s="344">
        <f t="shared" si="40"/>
        <v>28661</v>
      </c>
      <c r="K111" s="344">
        <f t="shared" si="40"/>
        <v>29423</v>
      </c>
      <c r="L111" s="344">
        <f t="shared" si="40"/>
        <v>29687</v>
      </c>
      <c r="M111" s="344">
        <f t="shared" si="40"/>
        <v>29801</v>
      </c>
      <c r="N111" s="344">
        <f>SUM(N80,N85,N92,N101,N105)</f>
        <v>30653</v>
      </c>
      <c r="O111" s="344">
        <f>SUM(O80,O85,O92,O101,O105)</f>
        <v>30646</v>
      </c>
    </row>
    <row r="112" spans="1:17" ht="16.5" customHeight="1">
      <c r="A112" s="122" t="s">
        <v>2315</v>
      </c>
      <c r="D112" s="344">
        <f t="shared" ref="D112:M112" si="41">SUM(D77,D83:D84,D87,D91,D96:D98,D100,D102:D104,D106,D108:D109)</f>
        <v>77142</v>
      </c>
      <c r="E112" s="344">
        <f t="shared" si="41"/>
        <v>76932</v>
      </c>
      <c r="F112" s="344">
        <f t="shared" si="41"/>
        <v>77481</v>
      </c>
      <c r="G112" s="344">
        <f t="shared" si="41"/>
        <v>77909</v>
      </c>
      <c r="H112" s="344">
        <f t="shared" si="41"/>
        <v>75313</v>
      </c>
      <c r="I112" s="344">
        <f t="shared" si="41"/>
        <v>76019</v>
      </c>
      <c r="J112" s="344">
        <f t="shared" si="41"/>
        <v>75678</v>
      </c>
      <c r="K112" s="344">
        <f t="shared" si="41"/>
        <v>77671</v>
      </c>
      <c r="L112" s="344">
        <f t="shared" si="41"/>
        <v>78528</v>
      </c>
      <c r="M112" s="344">
        <f t="shared" si="41"/>
        <v>76934</v>
      </c>
      <c r="N112" s="344">
        <f>SUM(N77,N83:N84,N87,N91,N96:N98,N100,N102:N104,N106,N108:N109)</f>
        <v>80512</v>
      </c>
      <c r="O112" s="344">
        <f>SUM(O77,O83:O84,O87,O91,O96:O98,O100,O102:O104,O106,O108:O109)</f>
        <v>80449</v>
      </c>
    </row>
    <row r="113" spans="1:17" ht="16.5" customHeight="1">
      <c r="A113" s="122" t="s">
        <v>2317</v>
      </c>
      <c r="D113" s="344">
        <f t="shared" ref="D113:M113" si="42">SUM(D78:D79,D81:D82,D86,D88,D90,D93:D95,D99)</f>
        <v>79035</v>
      </c>
      <c r="E113" s="344">
        <f t="shared" si="42"/>
        <v>79132</v>
      </c>
      <c r="F113" s="344">
        <f t="shared" si="42"/>
        <v>79145</v>
      </c>
      <c r="G113" s="344">
        <f t="shared" si="42"/>
        <v>79116</v>
      </c>
      <c r="H113" s="344">
        <f t="shared" si="42"/>
        <v>79732</v>
      </c>
      <c r="I113" s="344">
        <f t="shared" si="42"/>
        <v>78913</v>
      </c>
      <c r="J113" s="344">
        <f t="shared" si="42"/>
        <v>77408</v>
      </c>
      <c r="K113" s="344">
        <f t="shared" si="42"/>
        <v>79168</v>
      </c>
      <c r="L113" s="344">
        <f t="shared" si="42"/>
        <v>79937</v>
      </c>
      <c r="M113" s="344">
        <f t="shared" si="42"/>
        <v>82425</v>
      </c>
      <c r="N113" s="344">
        <f>SUM(N78:N79,N81:N82,N86,N88,N90,N93:N95,N99)</f>
        <v>81099</v>
      </c>
      <c r="O113" s="344">
        <f>SUM(O78:O79,O81:O82,O86,O88,O90,O93:O95,O99)</f>
        <v>81070</v>
      </c>
    </row>
    <row r="114" spans="1:17" ht="16.5" customHeight="1">
      <c r="D114" s="344"/>
      <c r="E114" s="344"/>
      <c r="F114" s="344"/>
      <c r="G114" s="344"/>
      <c r="H114" s="344"/>
      <c r="I114" s="344"/>
      <c r="J114" s="344"/>
      <c r="K114" s="344"/>
      <c r="L114" s="344"/>
      <c r="M114" s="344"/>
      <c r="N114" s="344"/>
      <c r="O114" s="344"/>
    </row>
    <row r="115" spans="1:17" ht="16.5" customHeight="1">
      <c r="A115" s="342" t="s">
        <v>13039</v>
      </c>
      <c r="D115" s="344"/>
      <c r="E115" s="344"/>
      <c r="F115" s="344"/>
      <c r="G115" s="344"/>
      <c r="H115" s="344"/>
      <c r="I115" s="344"/>
      <c r="J115" s="344"/>
      <c r="K115" s="344"/>
      <c r="L115" s="344"/>
      <c r="M115" s="344"/>
      <c r="N115" s="344"/>
      <c r="O115" s="344"/>
    </row>
    <row r="116" spans="1:17" ht="16.5" customHeight="1">
      <c r="A116" s="342"/>
      <c r="B116" s="342"/>
      <c r="D116" s="353"/>
      <c r="E116" s="353"/>
      <c r="F116" s="353"/>
      <c r="G116" s="353"/>
      <c r="H116" s="353"/>
      <c r="I116" s="353"/>
      <c r="J116" s="353"/>
      <c r="K116" s="353"/>
      <c r="L116" s="353"/>
      <c r="M116" s="353"/>
      <c r="N116" s="353"/>
      <c r="O116" s="353"/>
    </row>
    <row r="117" spans="1:17" ht="16.5" customHeight="1">
      <c r="A117" s="342"/>
      <c r="B117" s="342"/>
      <c r="D117" s="353"/>
      <c r="E117" s="353"/>
      <c r="F117" s="353"/>
      <c r="G117" s="353"/>
      <c r="H117" s="353"/>
      <c r="I117" s="353"/>
      <c r="J117" s="353"/>
      <c r="K117" s="353"/>
      <c r="L117" s="353"/>
      <c r="M117" s="353"/>
      <c r="N117" s="353"/>
      <c r="O117" s="353"/>
    </row>
    <row r="118" spans="1:17" ht="15.75" customHeight="1">
      <c r="E118" s="51" t="s">
        <v>1526</v>
      </c>
      <c r="F118" s="51"/>
      <c r="G118" s="51"/>
      <c r="H118" s="51"/>
      <c r="I118" s="51"/>
      <c r="J118" s="51"/>
      <c r="K118" s="51"/>
      <c r="L118" s="51"/>
      <c r="M118" s="51"/>
      <c r="N118" s="51"/>
      <c r="O118" s="51"/>
      <c r="P118" s="11"/>
      <c r="Q118" s="11" t="s">
        <v>9479</v>
      </c>
    </row>
    <row r="119" spans="1:17">
      <c r="D119" s="350">
        <v>2010</v>
      </c>
      <c r="E119" s="350">
        <v>2011</v>
      </c>
      <c r="F119" s="350">
        <v>2012</v>
      </c>
      <c r="G119" s="350">
        <v>2013</v>
      </c>
      <c r="H119" s="350">
        <v>2014</v>
      </c>
      <c r="I119" s="350">
        <v>2015</v>
      </c>
      <c r="J119" s="350">
        <v>2016</v>
      </c>
      <c r="K119" s="350">
        <v>2017</v>
      </c>
      <c r="L119" s="350">
        <v>2018</v>
      </c>
      <c r="M119" s="350">
        <v>2019</v>
      </c>
      <c r="N119" s="350">
        <v>2020</v>
      </c>
      <c r="O119" s="938" t="s">
        <v>14823</v>
      </c>
      <c r="P119" s="11"/>
      <c r="Q119" s="13" t="s">
        <v>1527</v>
      </c>
    </row>
    <row r="120" spans="1:17">
      <c r="A120" s="342" t="s">
        <v>2453</v>
      </c>
      <c r="D120" s="344">
        <f t="shared" ref="D120:I120" si="43">SUM(D121:D136)</f>
        <v>94748</v>
      </c>
      <c r="E120" s="344">
        <f t="shared" si="43"/>
        <v>93141</v>
      </c>
      <c r="F120" s="344">
        <f t="shared" si="43"/>
        <v>94517</v>
      </c>
      <c r="G120" s="344">
        <f t="shared" si="43"/>
        <v>94107</v>
      </c>
      <c r="H120" s="344">
        <f t="shared" si="43"/>
        <v>93983</v>
      </c>
      <c r="I120" s="344">
        <f t="shared" si="43"/>
        <v>90508</v>
      </c>
      <c r="J120" s="344">
        <f t="shared" ref="J120:O120" si="44">SUM(J121:J136)</f>
        <v>87527</v>
      </c>
      <c r="K120" s="344">
        <f t="shared" si="44"/>
        <v>89624</v>
      </c>
      <c r="L120" s="344">
        <f t="shared" si="44"/>
        <v>90544</v>
      </c>
      <c r="M120" s="344">
        <f t="shared" si="44"/>
        <v>90000</v>
      </c>
      <c r="N120" s="344">
        <f t="shared" si="44"/>
        <v>92413</v>
      </c>
      <c r="O120" s="344">
        <f t="shared" si="44"/>
        <v>92505</v>
      </c>
      <c r="P120" s="353"/>
    </row>
    <row r="121" spans="1:17">
      <c r="A121" s="342" t="s">
        <v>5387</v>
      </c>
      <c r="B121" s="342" t="s">
        <v>5771</v>
      </c>
      <c r="C121" s="55" t="s">
        <v>8699</v>
      </c>
      <c r="D121" s="345">
        <v>6004</v>
      </c>
      <c r="E121" s="345">
        <v>5730</v>
      </c>
      <c r="F121" s="345">
        <v>6013</v>
      </c>
      <c r="G121" s="56">
        <v>5662</v>
      </c>
      <c r="H121" s="56">
        <v>6086</v>
      </c>
      <c r="I121" s="56">
        <v>5714</v>
      </c>
      <c r="J121" s="56">
        <v>5618</v>
      </c>
      <c r="K121" s="56">
        <v>5879</v>
      </c>
      <c r="L121" s="56">
        <v>6025</v>
      </c>
      <c r="M121" s="56">
        <v>5940</v>
      </c>
      <c r="N121" s="56">
        <v>6317</v>
      </c>
      <c r="O121" s="56">
        <v>6429</v>
      </c>
      <c r="Q121" s="342" t="s">
        <v>2313</v>
      </c>
    </row>
    <row r="122" spans="1:17">
      <c r="A122" s="342" t="s">
        <v>5389</v>
      </c>
      <c r="B122" s="342" t="s">
        <v>1819</v>
      </c>
      <c r="C122" s="55" t="s">
        <v>8700</v>
      </c>
      <c r="D122" s="345">
        <v>5772</v>
      </c>
      <c r="E122" s="345">
        <v>5636</v>
      </c>
      <c r="F122" s="345">
        <v>5649</v>
      </c>
      <c r="G122" s="56">
        <v>5709</v>
      </c>
      <c r="H122" s="56">
        <v>5669</v>
      </c>
      <c r="I122" s="56">
        <v>5580</v>
      </c>
      <c r="J122" s="56">
        <v>5434</v>
      </c>
      <c r="K122" s="56">
        <v>5541</v>
      </c>
      <c r="L122" s="56">
        <v>5624</v>
      </c>
      <c r="M122" s="56">
        <v>5578</v>
      </c>
      <c r="N122" s="56">
        <v>5696</v>
      </c>
      <c r="O122" s="56">
        <v>5690</v>
      </c>
      <c r="Q122" s="342" t="s">
        <v>2313</v>
      </c>
    </row>
    <row r="123" spans="1:17">
      <c r="A123" s="342" t="s">
        <v>5391</v>
      </c>
      <c r="B123" s="342" t="s">
        <v>1974</v>
      </c>
      <c r="C123" s="55" t="s">
        <v>8701</v>
      </c>
      <c r="D123" s="345">
        <v>5913</v>
      </c>
      <c r="E123" s="345">
        <v>5928</v>
      </c>
      <c r="F123" s="345">
        <v>6038</v>
      </c>
      <c r="G123" s="56">
        <v>5891</v>
      </c>
      <c r="H123" s="56">
        <v>5849</v>
      </c>
      <c r="I123" s="56">
        <v>5555</v>
      </c>
      <c r="J123" s="56">
        <v>5223</v>
      </c>
      <c r="K123" s="56">
        <v>5489</v>
      </c>
      <c r="L123" s="56">
        <v>5566</v>
      </c>
      <c r="M123" s="56">
        <v>5486</v>
      </c>
      <c r="N123" s="56">
        <v>5646</v>
      </c>
      <c r="O123" s="56">
        <v>5642</v>
      </c>
      <c r="Q123" s="342" t="s">
        <v>2313</v>
      </c>
    </row>
    <row r="124" spans="1:17">
      <c r="A124" s="342" t="s">
        <v>5393</v>
      </c>
      <c r="B124" s="342" t="s">
        <v>1820</v>
      </c>
      <c r="C124" s="55" t="s">
        <v>8702</v>
      </c>
      <c r="D124" s="345">
        <v>5899</v>
      </c>
      <c r="E124" s="345">
        <v>5976</v>
      </c>
      <c r="F124" s="345">
        <v>5905</v>
      </c>
      <c r="G124" s="56">
        <v>5873</v>
      </c>
      <c r="H124" s="56">
        <v>5834</v>
      </c>
      <c r="I124" s="56">
        <v>5731</v>
      </c>
      <c r="J124" s="56">
        <v>5582</v>
      </c>
      <c r="K124" s="56">
        <v>5605</v>
      </c>
      <c r="L124" s="56">
        <v>5612</v>
      </c>
      <c r="M124" s="56">
        <v>5626</v>
      </c>
      <c r="N124" s="56">
        <v>5705</v>
      </c>
      <c r="O124" s="56">
        <v>5714</v>
      </c>
      <c r="Q124" s="342" t="s">
        <v>3156</v>
      </c>
    </row>
    <row r="125" spans="1:17">
      <c r="A125" s="342" t="s">
        <v>5394</v>
      </c>
      <c r="B125" s="342" t="s">
        <v>1821</v>
      </c>
      <c r="C125" s="55" t="s">
        <v>8703</v>
      </c>
      <c r="D125" s="345">
        <v>6154</v>
      </c>
      <c r="E125" s="345">
        <v>6180</v>
      </c>
      <c r="F125" s="345">
        <v>6145</v>
      </c>
      <c r="G125" s="56">
        <v>6168</v>
      </c>
      <c r="H125" s="56">
        <v>6141</v>
      </c>
      <c r="I125" s="56">
        <v>5963</v>
      </c>
      <c r="J125" s="56">
        <v>5747</v>
      </c>
      <c r="K125" s="56">
        <v>5852</v>
      </c>
      <c r="L125" s="56">
        <v>5873</v>
      </c>
      <c r="M125" s="56">
        <v>5825</v>
      </c>
      <c r="N125" s="56">
        <v>5958</v>
      </c>
      <c r="O125" s="56">
        <v>5934</v>
      </c>
      <c r="Q125" s="342" t="s">
        <v>2313</v>
      </c>
    </row>
    <row r="126" spans="1:17">
      <c r="A126" s="342" t="s">
        <v>5416</v>
      </c>
      <c r="B126" s="342" t="s">
        <v>1822</v>
      </c>
      <c r="C126" s="55" t="s">
        <v>8704</v>
      </c>
      <c r="D126" s="345">
        <v>5820</v>
      </c>
      <c r="E126" s="345">
        <v>5901</v>
      </c>
      <c r="F126" s="345">
        <v>5971</v>
      </c>
      <c r="G126" s="56">
        <v>5924</v>
      </c>
      <c r="H126" s="56">
        <v>5735</v>
      </c>
      <c r="I126" s="56">
        <v>5375</v>
      </c>
      <c r="J126" s="56">
        <v>5191</v>
      </c>
      <c r="K126" s="56">
        <v>5386</v>
      </c>
      <c r="L126" s="56">
        <v>5529</v>
      </c>
      <c r="M126" s="56">
        <v>5466</v>
      </c>
      <c r="N126" s="56">
        <v>5619</v>
      </c>
      <c r="O126" s="56">
        <v>5618</v>
      </c>
      <c r="Q126" s="342" t="s">
        <v>2313</v>
      </c>
    </row>
    <row r="127" spans="1:17">
      <c r="A127" s="342" t="s">
        <v>5418</v>
      </c>
      <c r="B127" s="342" t="s">
        <v>1827</v>
      </c>
      <c r="C127" s="55" t="s">
        <v>8705</v>
      </c>
      <c r="D127" s="345">
        <v>5427</v>
      </c>
      <c r="E127" s="345">
        <v>5323</v>
      </c>
      <c r="F127" s="345">
        <v>5509</v>
      </c>
      <c r="G127" s="56">
        <v>5542</v>
      </c>
      <c r="H127" s="56">
        <v>5571</v>
      </c>
      <c r="I127" s="56">
        <v>5287</v>
      </c>
      <c r="J127" s="56">
        <v>5040</v>
      </c>
      <c r="K127" s="56">
        <v>5111</v>
      </c>
      <c r="L127" s="56">
        <v>5224</v>
      </c>
      <c r="M127" s="56">
        <v>5119</v>
      </c>
      <c r="N127" s="56">
        <v>5372</v>
      </c>
      <c r="O127" s="56">
        <v>5380</v>
      </c>
      <c r="Q127" s="342" t="s">
        <v>2313</v>
      </c>
    </row>
    <row r="128" spans="1:17">
      <c r="A128" s="342" t="s">
        <v>5420</v>
      </c>
      <c r="B128" s="342" t="s">
        <v>1828</v>
      </c>
      <c r="C128" s="55" t="s">
        <v>8706</v>
      </c>
      <c r="D128" s="345">
        <v>6271</v>
      </c>
      <c r="E128" s="345">
        <v>6036</v>
      </c>
      <c r="F128" s="345">
        <v>6233</v>
      </c>
      <c r="G128" s="56">
        <v>6254</v>
      </c>
      <c r="H128" s="56">
        <v>6237</v>
      </c>
      <c r="I128" s="56">
        <v>5994</v>
      </c>
      <c r="J128" s="56">
        <v>5796</v>
      </c>
      <c r="K128" s="56">
        <v>6034</v>
      </c>
      <c r="L128" s="56">
        <v>6216</v>
      </c>
      <c r="M128" s="56">
        <v>6196</v>
      </c>
      <c r="N128" s="56">
        <v>6297</v>
      </c>
      <c r="O128" s="56">
        <v>6273</v>
      </c>
      <c r="Q128" s="342" t="s">
        <v>2313</v>
      </c>
    </row>
    <row r="129" spans="1:17">
      <c r="A129" s="342" t="s">
        <v>5422</v>
      </c>
      <c r="B129" s="342" t="s">
        <v>1829</v>
      </c>
      <c r="C129" s="55" t="s">
        <v>8707</v>
      </c>
      <c r="D129" s="345">
        <v>6105</v>
      </c>
      <c r="E129" s="345">
        <v>6112</v>
      </c>
      <c r="F129" s="345">
        <v>6091</v>
      </c>
      <c r="G129" s="56">
        <v>6122</v>
      </c>
      <c r="H129" s="56">
        <v>6145</v>
      </c>
      <c r="I129" s="56">
        <v>6056</v>
      </c>
      <c r="J129" s="56">
        <v>5862</v>
      </c>
      <c r="K129" s="56">
        <v>5982</v>
      </c>
      <c r="L129" s="56">
        <v>6018</v>
      </c>
      <c r="M129" s="56">
        <v>6046</v>
      </c>
      <c r="N129" s="56">
        <v>6167</v>
      </c>
      <c r="O129" s="56">
        <v>6177</v>
      </c>
      <c r="Q129" s="342" t="s">
        <v>2313</v>
      </c>
    </row>
    <row r="130" spans="1:17">
      <c r="A130" s="342" t="s">
        <v>5424</v>
      </c>
      <c r="B130" s="342" t="s">
        <v>4949</v>
      </c>
      <c r="C130" s="55" t="s">
        <v>8708</v>
      </c>
      <c r="D130" s="345">
        <v>6445</v>
      </c>
      <c r="E130" s="345">
        <v>6384</v>
      </c>
      <c r="F130" s="345">
        <v>6558</v>
      </c>
      <c r="G130" s="56">
        <v>5379</v>
      </c>
      <c r="H130" s="56">
        <v>6508</v>
      </c>
      <c r="I130" s="56">
        <v>6368</v>
      </c>
      <c r="J130" s="56">
        <v>6054</v>
      </c>
      <c r="K130" s="56">
        <v>6102</v>
      </c>
      <c r="L130" s="56">
        <v>6182</v>
      </c>
      <c r="M130" s="56">
        <v>6209</v>
      </c>
      <c r="N130" s="56">
        <v>6432</v>
      </c>
      <c r="O130" s="56">
        <v>6461</v>
      </c>
      <c r="Q130" s="342" t="s">
        <v>2313</v>
      </c>
    </row>
    <row r="131" spans="1:17">
      <c r="A131" s="342" t="s">
        <v>5426</v>
      </c>
      <c r="B131" s="342" t="s">
        <v>928</v>
      </c>
      <c r="C131" s="55" t="s">
        <v>8709</v>
      </c>
      <c r="D131" s="354">
        <v>5943</v>
      </c>
      <c r="E131" s="354">
        <v>5904</v>
      </c>
      <c r="F131" s="354">
        <v>5952</v>
      </c>
      <c r="G131" s="56">
        <v>6439</v>
      </c>
      <c r="H131" s="56">
        <v>6028</v>
      </c>
      <c r="I131" s="56">
        <v>5916</v>
      </c>
      <c r="J131" s="56">
        <v>5912</v>
      </c>
      <c r="K131" s="56">
        <v>6111</v>
      </c>
      <c r="L131" s="56">
        <v>6202</v>
      </c>
      <c r="M131" s="56">
        <v>6099</v>
      </c>
      <c r="N131" s="56">
        <v>6250</v>
      </c>
      <c r="O131" s="56">
        <v>6263</v>
      </c>
      <c r="Q131" s="342" t="s">
        <v>2313</v>
      </c>
    </row>
    <row r="132" spans="1:17">
      <c r="A132" s="342" t="s">
        <v>5428</v>
      </c>
      <c r="B132" s="342" t="s">
        <v>1830</v>
      </c>
      <c r="C132" s="55" t="s">
        <v>8710</v>
      </c>
      <c r="D132" s="345">
        <v>5380</v>
      </c>
      <c r="E132" s="345">
        <v>5346</v>
      </c>
      <c r="F132" s="345">
        <v>5384</v>
      </c>
      <c r="G132" s="56">
        <v>6001</v>
      </c>
      <c r="H132" s="56">
        <v>5326</v>
      </c>
      <c r="I132" s="56">
        <v>5179</v>
      </c>
      <c r="J132" s="56">
        <v>5003</v>
      </c>
      <c r="K132" s="56">
        <v>5013</v>
      </c>
      <c r="L132" s="56">
        <v>4921</v>
      </c>
      <c r="M132" s="56">
        <v>4954</v>
      </c>
      <c r="N132" s="56">
        <v>5025</v>
      </c>
      <c r="O132" s="56">
        <v>4998</v>
      </c>
      <c r="Q132" s="342" t="s">
        <v>2313</v>
      </c>
    </row>
    <row r="133" spans="1:17">
      <c r="A133" s="342" t="s">
        <v>5429</v>
      </c>
      <c r="B133" s="342" t="s">
        <v>1831</v>
      </c>
      <c r="C133" s="55" t="s">
        <v>8711</v>
      </c>
      <c r="D133" s="345">
        <v>5385</v>
      </c>
      <c r="E133" s="345">
        <v>5296</v>
      </c>
      <c r="F133" s="345">
        <v>5358</v>
      </c>
      <c r="G133" s="56">
        <v>5292</v>
      </c>
      <c r="H133" s="56">
        <v>5273</v>
      </c>
      <c r="I133" s="56">
        <v>5068</v>
      </c>
      <c r="J133" s="56">
        <v>4910</v>
      </c>
      <c r="K133" s="56">
        <v>4955</v>
      </c>
      <c r="L133" s="56">
        <v>4931</v>
      </c>
      <c r="M133" s="56">
        <v>4956</v>
      </c>
      <c r="N133" s="56">
        <v>4988</v>
      </c>
      <c r="O133" s="56">
        <v>4987</v>
      </c>
      <c r="Q133" s="342" t="s">
        <v>2313</v>
      </c>
    </row>
    <row r="134" spans="1:17">
      <c r="A134" s="342" t="s">
        <v>5431</v>
      </c>
      <c r="B134" s="342" t="s">
        <v>3148</v>
      </c>
      <c r="C134" s="55" t="s">
        <v>8712</v>
      </c>
      <c r="D134" s="345">
        <v>5911</v>
      </c>
      <c r="E134" s="345">
        <v>5419</v>
      </c>
      <c r="F134" s="345">
        <v>5583</v>
      </c>
      <c r="G134" s="58">
        <v>5732</v>
      </c>
      <c r="H134" s="58">
        <v>5524</v>
      </c>
      <c r="I134" s="58">
        <v>5078</v>
      </c>
      <c r="J134" s="58">
        <v>4912</v>
      </c>
      <c r="K134" s="58">
        <v>5134</v>
      </c>
      <c r="L134" s="58">
        <v>5166</v>
      </c>
      <c r="M134" s="58">
        <v>5119</v>
      </c>
      <c r="N134" s="58">
        <v>5251</v>
      </c>
      <c r="O134" s="58">
        <v>5265</v>
      </c>
      <c r="Q134" s="342" t="s">
        <v>2313</v>
      </c>
    </row>
    <row r="135" spans="1:17">
      <c r="A135" s="342" t="s">
        <v>5433</v>
      </c>
      <c r="B135" s="342" t="s">
        <v>2983</v>
      </c>
      <c r="C135" s="55" t="s">
        <v>8713</v>
      </c>
      <c r="D135" s="345">
        <v>6289</v>
      </c>
      <c r="E135" s="345">
        <v>6063</v>
      </c>
      <c r="F135" s="345">
        <v>6217</v>
      </c>
      <c r="G135" s="56">
        <v>6194</v>
      </c>
      <c r="H135" s="56">
        <v>6201</v>
      </c>
      <c r="I135" s="56">
        <v>5947</v>
      </c>
      <c r="J135" s="56">
        <v>5655</v>
      </c>
      <c r="K135" s="56">
        <v>5784</v>
      </c>
      <c r="L135" s="56">
        <v>5792</v>
      </c>
      <c r="M135" s="56">
        <v>5783</v>
      </c>
      <c r="N135" s="56">
        <v>5906</v>
      </c>
      <c r="O135" s="56">
        <v>5893</v>
      </c>
      <c r="Q135" s="342" t="s">
        <v>3156</v>
      </c>
    </row>
    <row r="136" spans="1:17">
      <c r="A136" s="342" t="s">
        <v>5435</v>
      </c>
      <c r="B136" s="342" t="s">
        <v>1203</v>
      </c>
      <c r="C136" s="55" t="s">
        <v>8714</v>
      </c>
      <c r="D136" s="345">
        <v>6030</v>
      </c>
      <c r="E136" s="345">
        <v>5907</v>
      </c>
      <c r="F136" s="345">
        <v>5911</v>
      </c>
      <c r="G136" s="56">
        <v>5925</v>
      </c>
      <c r="H136" s="56">
        <v>5856</v>
      </c>
      <c r="I136" s="56">
        <v>5697</v>
      </c>
      <c r="J136" s="56">
        <v>5588</v>
      </c>
      <c r="K136" s="56">
        <v>5646</v>
      </c>
      <c r="L136" s="56">
        <v>5663</v>
      </c>
      <c r="M136" s="56">
        <v>5598</v>
      </c>
      <c r="N136" s="56">
        <v>5784</v>
      </c>
      <c r="O136" s="56">
        <v>5781</v>
      </c>
      <c r="Q136" s="342" t="s">
        <v>3156</v>
      </c>
    </row>
    <row r="137" spans="1:17">
      <c r="D137" s="345"/>
      <c r="E137" s="345"/>
      <c r="F137" s="345"/>
      <c r="G137" s="345"/>
      <c r="H137" s="345"/>
      <c r="I137" s="345"/>
      <c r="J137" s="345"/>
      <c r="K137" s="345"/>
      <c r="L137" s="345"/>
      <c r="M137" s="345"/>
      <c r="N137" s="345"/>
      <c r="O137" s="345"/>
    </row>
    <row r="138" spans="1:17">
      <c r="A138" s="342" t="s">
        <v>1832</v>
      </c>
      <c r="D138" s="344">
        <f t="shared" ref="D138:I138" si="45">D124+D135+D136</f>
        <v>18218</v>
      </c>
      <c r="E138" s="344">
        <f t="shared" si="45"/>
        <v>17946</v>
      </c>
      <c r="F138" s="344">
        <f t="shared" si="45"/>
        <v>18033</v>
      </c>
      <c r="G138" s="344">
        <f t="shared" si="45"/>
        <v>17992</v>
      </c>
      <c r="H138" s="344">
        <f t="shared" si="45"/>
        <v>17891</v>
      </c>
      <c r="I138" s="344">
        <f t="shared" si="45"/>
        <v>17375</v>
      </c>
      <c r="J138" s="344">
        <f t="shared" ref="J138:O138" si="46">J124+J135+J136</f>
        <v>16825</v>
      </c>
      <c r="K138" s="344">
        <f t="shared" si="46"/>
        <v>17035</v>
      </c>
      <c r="L138" s="344">
        <f t="shared" si="46"/>
        <v>17067</v>
      </c>
      <c r="M138" s="344">
        <f t="shared" si="46"/>
        <v>17007</v>
      </c>
      <c r="N138" s="344">
        <f t="shared" si="46"/>
        <v>17395</v>
      </c>
      <c r="O138" s="344">
        <f t="shared" si="46"/>
        <v>17388</v>
      </c>
    </row>
    <row r="139" spans="1:17">
      <c r="A139" s="342" t="s">
        <v>2313</v>
      </c>
      <c r="D139" s="344">
        <f t="shared" ref="D139:I139" si="47">SUM(D121:D123)+D125+D126+SUM(D127:D134)</f>
        <v>76530</v>
      </c>
      <c r="E139" s="344">
        <f t="shared" si="47"/>
        <v>75195</v>
      </c>
      <c r="F139" s="344">
        <f t="shared" si="47"/>
        <v>76484</v>
      </c>
      <c r="G139" s="344">
        <f t="shared" si="47"/>
        <v>76115</v>
      </c>
      <c r="H139" s="344">
        <f t="shared" si="47"/>
        <v>76092</v>
      </c>
      <c r="I139" s="344">
        <f t="shared" si="47"/>
        <v>73133</v>
      </c>
      <c r="J139" s="344">
        <f t="shared" ref="J139:O139" si="48">SUM(J121:J123)+J125+J126+SUM(J127:J134)</f>
        <v>70702</v>
      </c>
      <c r="K139" s="344">
        <f t="shared" si="48"/>
        <v>72589</v>
      </c>
      <c r="L139" s="344">
        <f t="shared" si="48"/>
        <v>73477</v>
      </c>
      <c r="M139" s="344">
        <f t="shared" si="48"/>
        <v>72993</v>
      </c>
      <c r="N139" s="344">
        <f t="shared" si="48"/>
        <v>75018</v>
      </c>
      <c r="O139" s="344">
        <f t="shared" si="48"/>
        <v>75117</v>
      </c>
    </row>
    <row r="140" spans="1:17">
      <c r="A140" s="342"/>
      <c r="D140" s="344"/>
      <c r="E140" s="344"/>
      <c r="F140" s="344"/>
      <c r="G140" s="344"/>
      <c r="H140" s="344"/>
      <c r="I140" s="344"/>
      <c r="J140" s="344"/>
      <c r="K140" s="344"/>
      <c r="L140" s="344"/>
      <c r="M140" s="344"/>
      <c r="N140" s="344"/>
      <c r="O140" s="344"/>
    </row>
    <row r="141" spans="1:17">
      <c r="A141" s="342" t="s">
        <v>1014</v>
      </c>
      <c r="D141" s="344"/>
      <c r="E141" s="344"/>
      <c r="F141" s="344"/>
      <c r="G141" s="344"/>
      <c r="H141" s="344"/>
      <c r="I141" s="344"/>
      <c r="J141" s="344"/>
      <c r="K141" s="344"/>
      <c r="L141" s="344"/>
      <c r="M141" s="344"/>
      <c r="N141" s="344"/>
      <c r="O141" s="344"/>
    </row>
    <row r="142" spans="1:17">
      <c r="A142" s="342"/>
      <c r="B142" s="342"/>
      <c r="D142" s="353"/>
      <c r="E142" s="353"/>
      <c r="F142" s="353"/>
      <c r="G142" s="353"/>
      <c r="H142" s="353"/>
      <c r="I142" s="353"/>
      <c r="J142" s="353"/>
      <c r="K142" s="353"/>
      <c r="L142" s="353"/>
      <c r="M142" s="353"/>
      <c r="N142" s="353"/>
      <c r="O142" s="353"/>
    </row>
    <row r="143" spans="1:17">
      <c r="A143" s="342"/>
      <c r="B143" s="342"/>
      <c r="D143" s="353"/>
      <c r="E143" s="353"/>
      <c r="F143" s="353"/>
      <c r="G143" s="353"/>
      <c r="H143" s="353"/>
      <c r="I143" s="353"/>
      <c r="J143" s="353"/>
      <c r="K143" s="353"/>
      <c r="L143" s="353"/>
      <c r="M143" s="353"/>
      <c r="N143" s="353"/>
      <c r="O143" s="353"/>
    </row>
    <row r="144" spans="1:17">
      <c r="E144" s="51" t="s">
        <v>1526</v>
      </c>
      <c r="F144" s="51"/>
      <c r="G144" s="51"/>
      <c r="H144" s="51"/>
      <c r="I144" s="51"/>
      <c r="J144" s="51"/>
      <c r="K144" s="51"/>
      <c r="L144" s="51"/>
      <c r="M144" s="51"/>
      <c r="N144" s="51"/>
      <c r="O144" s="51"/>
      <c r="P144" s="11"/>
      <c r="Q144" s="11" t="s">
        <v>9479</v>
      </c>
    </row>
    <row r="145" spans="1:17">
      <c r="D145" s="350">
        <v>2010</v>
      </c>
      <c r="E145" s="350">
        <v>2011</v>
      </c>
      <c r="F145" s="350">
        <v>2012</v>
      </c>
      <c r="G145" s="350">
        <v>2013</v>
      </c>
      <c r="H145" s="350">
        <v>2014</v>
      </c>
      <c r="I145" s="350">
        <v>2015</v>
      </c>
      <c r="J145" s="350">
        <v>2016</v>
      </c>
      <c r="K145" s="350">
        <v>2017</v>
      </c>
      <c r="L145" s="350">
        <v>2018</v>
      </c>
      <c r="M145" s="350">
        <v>2019</v>
      </c>
      <c r="N145" s="350">
        <v>2020</v>
      </c>
      <c r="O145" s="938" t="s">
        <v>14823</v>
      </c>
      <c r="P145" s="11"/>
      <c r="Q145" s="13" t="s">
        <v>1527</v>
      </c>
    </row>
    <row r="146" spans="1:17">
      <c r="A146" s="342" t="s">
        <v>1015</v>
      </c>
      <c r="D146" s="344">
        <f t="shared" ref="D146:M146" si="49">SUM(D147:D148,D150:D151,D153:D163,D165:D169,D171:D180)</f>
        <v>74950</v>
      </c>
      <c r="E146" s="344">
        <f t="shared" si="49"/>
        <v>75670</v>
      </c>
      <c r="F146" s="344">
        <f t="shared" si="49"/>
        <v>76313</v>
      </c>
      <c r="G146" s="344">
        <f t="shared" si="49"/>
        <v>76721</v>
      </c>
      <c r="H146" s="344">
        <f t="shared" si="49"/>
        <v>76808</v>
      </c>
      <c r="I146" s="344">
        <f t="shared" si="49"/>
        <v>76023</v>
      </c>
      <c r="J146" s="344">
        <f t="shared" si="49"/>
        <v>76018</v>
      </c>
      <c r="K146" s="344">
        <f t="shared" si="49"/>
        <v>79484</v>
      </c>
      <c r="L146" s="344">
        <f t="shared" si="49"/>
        <v>80113</v>
      </c>
      <c r="M146" s="344">
        <f t="shared" si="49"/>
        <v>79391</v>
      </c>
      <c r="N146" s="344">
        <f>SUM(N147:N148,N150:N151,N153:N163,N165:N169,N171:N180)</f>
        <v>82410</v>
      </c>
      <c r="O146" s="344">
        <f>SUM(O147:O148,O150:O151,O153:O163,O165:O169,O171:O180)</f>
        <v>79884</v>
      </c>
    </row>
    <row r="147" spans="1:17">
      <c r="A147" s="342" t="s">
        <v>5387</v>
      </c>
      <c r="B147" s="342" t="s">
        <v>12414</v>
      </c>
      <c r="C147" s="55" t="s">
        <v>13265</v>
      </c>
      <c r="D147" s="345">
        <v>0</v>
      </c>
      <c r="E147" s="345">
        <v>0</v>
      </c>
      <c r="F147" s="345">
        <v>0</v>
      </c>
      <c r="G147" s="345">
        <v>0</v>
      </c>
      <c r="H147" s="56">
        <v>0</v>
      </c>
      <c r="I147" s="56">
        <v>0</v>
      </c>
      <c r="J147" s="56">
        <v>0</v>
      </c>
      <c r="K147" s="56">
        <v>0</v>
      </c>
      <c r="L147" s="56">
        <v>0</v>
      </c>
      <c r="M147" s="56">
        <v>0</v>
      </c>
      <c r="N147" s="56">
        <v>1881</v>
      </c>
      <c r="O147" s="56">
        <v>1831</v>
      </c>
      <c r="Q147" s="342" t="s">
        <v>13305</v>
      </c>
    </row>
    <row r="148" spans="1:17" ht="15.75" thickBot="1">
      <c r="A148" s="342"/>
      <c r="B148" s="342"/>
      <c r="C148" s="55" t="s">
        <v>13265</v>
      </c>
      <c r="D148" s="345">
        <v>0</v>
      </c>
      <c r="E148" s="345">
        <v>0</v>
      </c>
      <c r="F148" s="345">
        <v>0</v>
      </c>
      <c r="G148" s="345">
        <v>0</v>
      </c>
      <c r="H148" s="345">
        <v>0</v>
      </c>
      <c r="I148" s="345">
        <v>0</v>
      </c>
      <c r="J148" s="345">
        <v>0</v>
      </c>
      <c r="K148" s="345">
        <v>0</v>
      </c>
      <c r="L148" s="345">
        <v>0</v>
      </c>
      <c r="M148" s="345">
        <v>0</v>
      </c>
      <c r="N148" s="345">
        <v>471</v>
      </c>
      <c r="O148" s="345">
        <v>462</v>
      </c>
      <c r="Q148" s="342" t="s">
        <v>3156</v>
      </c>
    </row>
    <row r="149" spans="1:17" ht="15.75" thickBot="1">
      <c r="A149" s="342"/>
      <c r="B149" s="342"/>
      <c r="C149" s="55" t="s">
        <v>13265</v>
      </c>
      <c r="D149" s="352">
        <f t="shared" ref="D149:N149" si="50">D147+D148</f>
        <v>0</v>
      </c>
      <c r="E149" s="352">
        <f t="shared" si="50"/>
        <v>0</v>
      </c>
      <c r="F149" s="352">
        <f t="shared" si="50"/>
        <v>0</v>
      </c>
      <c r="G149" s="352">
        <f t="shared" si="50"/>
        <v>0</v>
      </c>
      <c r="H149" s="352">
        <f t="shared" si="50"/>
        <v>0</v>
      </c>
      <c r="I149" s="352">
        <f t="shared" si="50"/>
        <v>0</v>
      </c>
      <c r="J149" s="352">
        <f t="shared" si="50"/>
        <v>0</v>
      </c>
      <c r="K149" s="352">
        <f t="shared" si="50"/>
        <v>0</v>
      </c>
      <c r="L149" s="352">
        <f t="shared" si="50"/>
        <v>0</v>
      </c>
      <c r="M149" s="352">
        <f t="shared" si="50"/>
        <v>0</v>
      </c>
      <c r="N149" s="352">
        <f t="shared" si="50"/>
        <v>2352</v>
      </c>
      <c r="O149" s="352">
        <f>O147+O148</f>
        <v>2293</v>
      </c>
      <c r="Q149" s="342"/>
    </row>
    <row r="150" spans="1:17">
      <c r="A150" s="342" t="s">
        <v>5389</v>
      </c>
      <c r="B150" s="342" t="s">
        <v>13267</v>
      </c>
      <c r="C150" s="55" t="s">
        <v>13266</v>
      </c>
      <c r="D150" s="345">
        <v>0</v>
      </c>
      <c r="E150" s="345">
        <v>0</v>
      </c>
      <c r="F150" s="345">
        <v>0</v>
      </c>
      <c r="G150" s="345">
        <v>0</v>
      </c>
      <c r="H150" s="56">
        <v>0</v>
      </c>
      <c r="I150" s="56">
        <v>0</v>
      </c>
      <c r="J150" s="56">
        <v>0</v>
      </c>
      <c r="K150" s="56">
        <v>0</v>
      </c>
      <c r="L150" s="56">
        <v>0</v>
      </c>
      <c r="M150" s="56">
        <v>0</v>
      </c>
      <c r="N150" s="56">
        <v>1657</v>
      </c>
      <c r="O150" s="56">
        <v>1600</v>
      </c>
      <c r="Q150" s="342" t="s">
        <v>13305</v>
      </c>
    </row>
    <row r="151" spans="1:17" ht="15.75" thickBot="1">
      <c r="A151" s="342"/>
      <c r="B151" s="342"/>
      <c r="C151" s="55" t="s">
        <v>13266</v>
      </c>
      <c r="D151" s="345">
        <v>0</v>
      </c>
      <c r="E151" s="345">
        <v>0</v>
      </c>
      <c r="F151" s="345">
        <v>0</v>
      </c>
      <c r="G151" s="345">
        <v>0</v>
      </c>
      <c r="H151" s="345">
        <v>0</v>
      </c>
      <c r="I151" s="345">
        <v>0</v>
      </c>
      <c r="J151" s="345">
        <v>0</v>
      </c>
      <c r="K151" s="345">
        <v>0</v>
      </c>
      <c r="L151" s="345">
        <v>0</v>
      </c>
      <c r="M151" s="345">
        <v>0</v>
      </c>
      <c r="N151" s="345">
        <v>888</v>
      </c>
      <c r="O151" s="345">
        <v>871</v>
      </c>
      <c r="Q151" s="342" t="s">
        <v>3156</v>
      </c>
    </row>
    <row r="152" spans="1:17" ht="15.75" thickBot="1">
      <c r="A152" s="342"/>
      <c r="B152" s="342"/>
      <c r="C152" s="55" t="s">
        <v>13266</v>
      </c>
      <c r="D152" s="352">
        <f t="shared" ref="D152:N152" si="51">D150+D151</f>
        <v>0</v>
      </c>
      <c r="E152" s="352">
        <f t="shared" si="51"/>
        <v>0</v>
      </c>
      <c r="F152" s="352">
        <f t="shared" si="51"/>
        <v>0</v>
      </c>
      <c r="G152" s="352">
        <f t="shared" si="51"/>
        <v>0</v>
      </c>
      <c r="H152" s="352">
        <f t="shared" si="51"/>
        <v>0</v>
      </c>
      <c r="I152" s="352">
        <f t="shared" si="51"/>
        <v>0</v>
      </c>
      <c r="J152" s="352">
        <f t="shared" si="51"/>
        <v>0</v>
      </c>
      <c r="K152" s="352">
        <f t="shared" si="51"/>
        <v>0</v>
      </c>
      <c r="L152" s="352">
        <f t="shared" si="51"/>
        <v>0</v>
      </c>
      <c r="M152" s="352">
        <f t="shared" si="51"/>
        <v>0</v>
      </c>
      <c r="N152" s="352">
        <f t="shared" si="51"/>
        <v>2545</v>
      </c>
      <c r="O152" s="352">
        <f>O150+O151</f>
        <v>2471</v>
      </c>
      <c r="Q152" s="342"/>
    </row>
    <row r="153" spans="1:17">
      <c r="A153" s="342" t="s">
        <v>5391</v>
      </c>
      <c r="B153" s="342" t="s">
        <v>13269</v>
      </c>
      <c r="C153" s="55" t="s">
        <v>13268</v>
      </c>
      <c r="D153" s="345">
        <v>29011</v>
      </c>
      <c r="E153" s="345">
        <v>29215</v>
      </c>
      <c r="F153" s="345">
        <v>29377</v>
      </c>
      <c r="G153" s="345">
        <v>29455</v>
      </c>
      <c r="H153" s="58">
        <v>29532</v>
      </c>
      <c r="I153" s="58">
        <v>29333</v>
      </c>
      <c r="J153" s="58">
        <v>29212</v>
      </c>
      <c r="K153" s="58">
        <v>30591</v>
      </c>
      <c r="L153" s="58">
        <v>30733</v>
      </c>
      <c r="M153" s="58">
        <v>30475</v>
      </c>
      <c r="N153" s="58">
        <v>2709</v>
      </c>
      <c r="O153" s="58">
        <v>2653</v>
      </c>
      <c r="Q153" s="342" t="s">
        <v>3156</v>
      </c>
    </row>
    <row r="154" spans="1:17">
      <c r="A154" s="342" t="s">
        <v>5393</v>
      </c>
      <c r="B154" s="342" t="s">
        <v>13271</v>
      </c>
      <c r="C154" s="55" t="s">
        <v>13270</v>
      </c>
      <c r="D154" s="345">
        <v>0</v>
      </c>
      <c r="E154" s="345">
        <v>0</v>
      </c>
      <c r="F154" s="345">
        <v>0</v>
      </c>
      <c r="G154" s="345">
        <v>0</v>
      </c>
      <c r="H154" s="58">
        <v>0</v>
      </c>
      <c r="I154" s="58">
        <v>0</v>
      </c>
      <c r="J154" s="58">
        <v>0</v>
      </c>
      <c r="K154" s="58">
        <v>0</v>
      </c>
      <c r="L154" s="58">
        <v>0</v>
      </c>
      <c r="M154" s="58">
        <v>0</v>
      </c>
      <c r="N154" s="58">
        <v>2096</v>
      </c>
      <c r="O154" s="58">
        <v>2028</v>
      </c>
      <c r="Q154" s="342" t="s">
        <v>3156</v>
      </c>
    </row>
    <row r="155" spans="1:17">
      <c r="A155" s="342" t="s">
        <v>5394</v>
      </c>
      <c r="B155" s="342" t="s">
        <v>5506</v>
      </c>
      <c r="C155" s="55" t="s">
        <v>13272</v>
      </c>
      <c r="D155" s="345">
        <v>45939</v>
      </c>
      <c r="E155" s="345">
        <v>46455</v>
      </c>
      <c r="F155" s="345">
        <v>46936</v>
      </c>
      <c r="G155" s="345">
        <v>47266</v>
      </c>
      <c r="H155" s="58">
        <v>47276</v>
      </c>
      <c r="I155" s="58">
        <v>46690</v>
      </c>
      <c r="J155" s="58">
        <v>46806</v>
      </c>
      <c r="K155" s="58">
        <v>48893</v>
      </c>
      <c r="L155" s="58">
        <v>49380</v>
      </c>
      <c r="M155" s="58">
        <v>48916</v>
      </c>
      <c r="N155" s="58">
        <v>4733</v>
      </c>
      <c r="O155" s="58">
        <v>4579</v>
      </c>
      <c r="Q155" s="342" t="s">
        <v>13305</v>
      </c>
    </row>
    <row r="156" spans="1:17">
      <c r="A156" s="342" t="s">
        <v>5416</v>
      </c>
      <c r="B156" s="342" t="s">
        <v>13274</v>
      </c>
      <c r="C156" s="55" t="s">
        <v>13273</v>
      </c>
      <c r="D156" s="345">
        <v>0</v>
      </c>
      <c r="E156" s="345">
        <v>0</v>
      </c>
      <c r="F156" s="345">
        <v>0</v>
      </c>
      <c r="G156" s="345">
        <v>0</v>
      </c>
      <c r="H156" s="58">
        <v>0</v>
      </c>
      <c r="I156" s="58">
        <v>0</v>
      </c>
      <c r="J156" s="58">
        <v>0</v>
      </c>
      <c r="K156" s="58">
        <v>0</v>
      </c>
      <c r="L156" s="58">
        <v>0</v>
      </c>
      <c r="M156" s="58">
        <v>0</v>
      </c>
      <c r="N156" s="58">
        <v>4798</v>
      </c>
      <c r="O156" s="58">
        <v>4683</v>
      </c>
      <c r="Q156" s="342" t="s">
        <v>3156</v>
      </c>
    </row>
    <row r="157" spans="1:17">
      <c r="A157" s="342" t="s">
        <v>5418</v>
      </c>
      <c r="B157" s="342" t="s">
        <v>13276</v>
      </c>
      <c r="C157" s="55" t="s">
        <v>13275</v>
      </c>
      <c r="D157" s="345">
        <v>0</v>
      </c>
      <c r="E157" s="345">
        <v>0</v>
      </c>
      <c r="F157" s="345">
        <v>0</v>
      </c>
      <c r="G157" s="345">
        <v>0</v>
      </c>
      <c r="H157" s="56">
        <v>0</v>
      </c>
      <c r="I157" s="56">
        <v>0</v>
      </c>
      <c r="J157" s="56">
        <v>0</v>
      </c>
      <c r="K157" s="56">
        <v>0</v>
      </c>
      <c r="L157" s="56">
        <v>0</v>
      </c>
      <c r="M157" s="56">
        <v>0</v>
      </c>
      <c r="N157" s="56">
        <v>4884</v>
      </c>
      <c r="O157" s="56">
        <v>4705</v>
      </c>
      <c r="Q157" s="342" t="s">
        <v>13305</v>
      </c>
    </row>
    <row r="158" spans="1:17">
      <c r="A158" s="342" t="s">
        <v>5420</v>
      </c>
      <c r="B158" s="342" t="s">
        <v>1016</v>
      </c>
      <c r="C158" s="55" t="s">
        <v>13277</v>
      </c>
      <c r="D158" s="345">
        <v>0</v>
      </c>
      <c r="E158" s="345">
        <v>0</v>
      </c>
      <c r="F158" s="345">
        <v>0</v>
      </c>
      <c r="G158" s="345">
        <v>0</v>
      </c>
      <c r="H158" s="58">
        <v>0</v>
      </c>
      <c r="I158" s="58">
        <v>0</v>
      </c>
      <c r="J158" s="58">
        <v>0</v>
      </c>
      <c r="K158" s="58">
        <v>0</v>
      </c>
      <c r="L158" s="58">
        <v>0</v>
      </c>
      <c r="M158" s="58">
        <v>0</v>
      </c>
      <c r="N158" s="58">
        <v>2553</v>
      </c>
      <c r="O158" s="58">
        <v>2474</v>
      </c>
      <c r="Q158" s="342" t="s">
        <v>3156</v>
      </c>
    </row>
    <row r="159" spans="1:17">
      <c r="A159" s="342" t="s">
        <v>5422</v>
      </c>
      <c r="B159" s="342" t="s">
        <v>13279</v>
      </c>
      <c r="C159" s="55" t="s">
        <v>13278</v>
      </c>
      <c r="D159" s="345">
        <v>0</v>
      </c>
      <c r="E159" s="345">
        <v>0</v>
      </c>
      <c r="F159" s="345">
        <v>0</v>
      </c>
      <c r="G159" s="345">
        <v>0</v>
      </c>
      <c r="H159" s="58">
        <v>0</v>
      </c>
      <c r="I159" s="58">
        <v>0</v>
      </c>
      <c r="J159" s="58">
        <v>0</v>
      </c>
      <c r="K159" s="58">
        <v>0</v>
      </c>
      <c r="L159" s="58">
        <v>0</v>
      </c>
      <c r="M159" s="58">
        <v>0</v>
      </c>
      <c r="N159" s="58">
        <v>5116</v>
      </c>
      <c r="O159" s="58">
        <v>4958</v>
      </c>
      <c r="Q159" s="342" t="s">
        <v>13305</v>
      </c>
    </row>
    <row r="160" spans="1:17">
      <c r="A160" s="342" t="s">
        <v>5424</v>
      </c>
      <c r="B160" s="342" t="s">
        <v>1017</v>
      </c>
      <c r="C160" s="55" t="s">
        <v>13280</v>
      </c>
      <c r="D160" s="345">
        <v>0</v>
      </c>
      <c r="E160" s="345">
        <v>0</v>
      </c>
      <c r="F160" s="345">
        <v>0</v>
      </c>
      <c r="G160" s="345">
        <v>0</v>
      </c>
      <c r="H160" s="56">
        <v>0</v>
      </c>
      <c r="I160" s="56">
        <v>0</v>
      </c>
      <c r="J160" s="56">
        <v>0</v>
      </c>
      <c r="K160" s="56">
        <v>0</v>
      </c>
      <c r="L160" s="56">
        <v>0</v>
      </c>
      <c r="M160" s="56">
        <v>0</v>
      </c>
      <c r="N160" s="56">
        <v>2333</v>
      </c>
      <c r="O160" s="56">
        <v>2250</v>
      </c>
      <c r="Q160" s="342" t="s">
        <v>3156</v>
      </c>
    </row>
    <row r="161" spans="1:17">
      <c r="A161" s="342" t="s">
        <v>5426</v>
      </c>
      <c r="B161" s="342" t="s">
        <v>1018</v>
      </c>
      <c r="C161" s="55" t="s">
        <v>13281</v>
      </c>
      <c r="D161" s="345">
        <v>0</v>
      </c>
      <c r="E161" s="345">
        <v>0</v>
      </c>
      <c r="F161" s="345">
        <v>0</v>
      </c>
      <c r="G161" s="345">
        <v>0</v>
      </c>
      <c r="H161" s="56">
        <v>0</v>
      </c>
      <c r="I161" s="56">
        <v>0</v>
      </c>
      <c r="J161" s="56">
        <v>0</v>
      </c>
      <c r="K161" s="56">
        <v>0</v>
      </c>
      <c r="L161" s="56">
        <v>0</v>
      </c>
      <c r="M161" s="56">
        <v>0</v>
      </c>
      <c r="N161" s="56">
        <v>2423</v>
      </c>
      <c r="O161" s="56">
        <v>2355</v>
      </c>
      <c r="Q161" s="342" t="s">
        <v>3156</v>
      </c>
    </row>
    <row r="162" spans="1:17">
      <c r="A162" s="342" t="s">
        <v>5428</v>
      </c>
      <c r="B162" s="342" t="s">
        <v>1019</v>
      </c>
      <c r="C162" s="55" t="s">
        <v>13282</v>
      </c>
      <c r="D162" s="345">
        <v>0</v>
      </c>
      <c r="E162" s="345">
        <v>0</v>
      </c>
      <c r="F162" s="345">
        <v>0</v>
      </c>
      <c r="G162" s="345">
        <v>0</v>
      </c>
      <c r="H162" s="58">
        <v>0</v>
      </c>
      <c r="I162" s="58">
        <v>0</v>
      </c>
      <c r="J162" s="58">
        <v>0</v>
      </c>
      <c r="K162" s="58">
        <v>0</v>
      </c>
      <c r="L162" s="58">
        <v>0</v>
      </c>
      <c r="M162" s="58">
        <v>0</v>
      </c>
      <c r="N162" s="58">
        <v>2370</v>
      </c>
      <c r="O162" s="58">
        <v>2306</v>
      </c>
      <c r="Q162" s="342" t="s">
        <v>13305</v>
      </c>
    </row>
    <row r="163" spans="1:17" ht="15.75" thickBot="1">
      <c r="A163" s="342"/>
      <c r="B163" s="342"/>
      <c r="C163" s="55" t="s">
        <v>13282</v>
      </c>
      <c r="D163" s="345">
        <v>0</v>
      </c>
      <c r="E163" s="345">
        <v>0</v>
      </c>
      <c r="F163" s="345">
        <v>0</v>
      </c>
      <c r="G163" s="345">
        <v>0</v>
      </c>
      <c r="H163" s="345">
        <v>0</v>
      </c>
      <c r="I163" s="345">
        <v>0</v>
      </c>
      <c r="J163" s="345">
        <v>0</v>
      </c>
      <c r="K163" s="345">
        <v>0</v>
      </c>
      <c r="L163" s="345">
        <v>0</v>
      </c>
      <c r="M163" s="345">
        <v>0</v>
      </c>
      <c r="N163" s="345">
        <v>283</v>
      </c>
      <c r="O163" s="345">
        <v>276</v>
      </c>
      <c r="Q163" s="342" t="s">
        <v>3156</v>
      </c>
    </row>
    <row r="164" spans="1:17" ht="15.75" thickBot="1">
      <c r="A164" s="342"/>
      <c r="B164" s="342"/>
      <c r="C164" s="55" t="s">
        <v>13282</v>
      </c>
      <c r="D164" s="352">
        <f t="shared" ref="D164:N164" si="52">D162+D163</f>
        <v>0</v>
      </c>
      <c r="E164" s="352">
        <f t="shared" si="52"/>
        <v>0</v>
      </c>
      <c r="F164" s="352">
        <f t="shared" si="52"/>
        <v>0</v>
      </c>
      <c r="G164" s="352">
        <f t="shared" si="52"/>
        <v>0</v>
      </c>
      <c r="H164" s="352">
        <f t="shared" si="52"/>
        <v>0</v>
      </c>
      <c r="I164" s="352">
        <f t="shared" si="52"/>
        <v>0</v>
      </c>
      <c r="J164" s="352">
        <f t="shared" si="52"/>
        <v>0</v>
      </c>
      <c r="K164" s="352">
        <f t="shared" si="52"/>
        <v>0</v>
      </c>
      <c r="L164" s="352">
        <f t="shared" si="52"/>
        <v>0</v>
      </c>
      <c r="M164" s="352">
        <f t="shared" si="52"/>
        <v>0</v>
      </c>
      <c r="N164" s="352">
        <f t="shared" si="52"/>
        <v>2653</v>
      </c>
      <c r="O164" s="352">
        <f>O162+O163</f>
        <v>2582</v>
      </c>
      <c r="Q164" s="342"/>
    </row>
    <row r="165" spans="1:17">
      <c r="A165" s="342" t="s">
        <v>5429</v>
      </c>
      <c r="B165" s="342" t="s">
        <v>13284</v>
      </c>
      <c r="C165" s="55" t="s">
        <v>13283</v>
      </c>
      <c r="D165" s="345">
        <v>0</v>
      </c>
      <c r="E165" s="345">
        <v>0</v>
      </c>
      <c r="F165" s="345">
        <v>0</v>
      </c>
      <c r="G165" s="345">
        <v>0</v>
      </c>
      <c r="H165" s="58">
        <v>0</v>
      </c>
      <c r="I165" s="58">
        <v>0</v>
      </c>
      <c r="J165" s="58">
        <v>0</v>
      </c>
      <c r="K165" s="58">
        <v>0</v>
      </c>
      <c r="L165" s="58">
        <v>0</v>
      </c>
      <c r="M165" s="58">
        <v>0</v>
      </c>
      <c r="N165" s="58">
        <v>4516</v>
      </c>
      <c r="O165" s="58">
        <v>4424</v>
      </c>
      <c r="Q165" s="342" t="s">
        <v>13305</v>
      </c>
    </row>
    <row r="166" spans="1:17">
      <c r="A166" s="342" t="s">
        <v>5431</v>
      </c>
      <c r="B166" s="342" t="s">
        <v>13286</v>
      </c>
      <c r="C166" s="55" t="s">
        <v>13285</v>
      </c>
      <c r="D166" s="345">
        <v>0</v>
      </c>
      <c r="E166" s="345">
        <v>0</v>
      </c>
      <c r="F166" s="345">
        <v>0</v>
      </c>
      <c r="G166" s="345">
        <v>0</v>
      </c>
      <c r="H166" s="58">
        <v>0</v>
      </c>
      <c r="I166" s="58">
        <v>0</v>
      </c>
      <c r="J166" s="58">
        <v>0</v>
      </c>
      <c r="K166" s="58">
        <v>0</v>
      </c>
      <c r="L166" s="58">
        <v>0</v>
      </c>
      <c r="M166" s="58">
        <v>0</v>
      </c>
      <c r="N166" s="58">
        <v>2370</v>
      </c>
      <c r="O166" s="58">
        <v>2292</v>
      </c>
      <c r="Q166" s="342" t="s">
        <v>3156</v>
      </c>
    </row>
    <row r="167" spans="1:17">
      <c r="A167" s="342" t="s">
        <v>5433</v>
      </c>
      <c r="B167" s="342" t="s">
        <v>1020</v>
      </c>
      <c r="C167" s="55" t="s">
        <v>13287</v>
      </c>
      <c r="D167" s="345">
        <v>0</v>
      </c>
      <c r="E167" s="345">
        <v>0</v>
      </c>
      <c r="F167" s="345">
        <v>0</v>
      </c>
      <c r="G167" s="345">
        <v>0</v>
      </c>
      <c r="H167" s="56">
        <v>0</v>
      </c>
      <c r="I167" s="56">
        <v>0</v>
      </c>
      <c r="J167" s="56">
        <v>0</v>
      </c>
      <c r="K167" s="56">
        <v>0</v>
      </c>
      <c r="L167" s="56">
        <v>0</v>
      </c>
      <c r="M167" s="56">
        <v>0</v>
      </c>
      <c r="N167" s="56">
        <v>2496</v>
      </c>
      <c r="O167" s="56">
        <v>2425</v>
      </c>
      <c r="Q167" s="342" t="s">
        <v>3156</v>
      </c>
    </row>
    <row r="168" spans="1:17">
      <c r="A168" s="342" t="s">
        <v>5435</v>
      </c>
      <c r="B168" s="342" t="s">
        <v>1021</v>
      </c>
      <c r="C168" s="55" t="s">
        <v>13288</v>
      </c>
      <c r="D168" s="345">
        <v>0</v>
      </c>
      <c r="E168" s="345">
        <v>0</v>
      </c>
      <c r="F168" s="345">
        <v>0</v>
      </c>
      <c r="G168" s="345">
        <v>0</v>
      </c>
      <c r="H168" s="56">
        <v>0</v>
      </c>
      <c r="I168" s="56">
        <v>0</v>
      </c>
      <c r="J168" s="56">
        <v>0</v>
      </c>
      <c r="K168" s="56">
        <v>0</v>
      </c>
      <c r="L168" s="56">
        <v>0</v>
      </c>
      <c r="M168" s="56">
        <v>0</v>
      </c>
      <c r="N168" s="56">
        <v>4202</v>
      </c>
      <c r="O168" s="56">
        <v>4061</v>
      </c>
      <c r="Q168" s="342" t="s">
        <v>13305</v>
      </c>
    </row>
    <row r="169" spans="1:17" ht="15.75" thickBot="1">
      <c r="A169" s="342"/>
      <c r="B169" s="342"/>
      <c r="C169" s="55" t="s">
        <v>13288</v>
      </c>
      <c r="D169" s="345">
        <v>0</v>
      </c>
      <c r="E169" s="345">
        <v>0</v>
      </c>
      <c r="F169" s="345">
        <v>0</v>
      </c>
      <c r="G169" s="345">
        <v>0</v>
      </c>
      <c r="H169" s="345">
        <v>0</v>
      </c>
      <c r="I169" s="345">
        <v>0</v>
      </c>
      <c r="J169" s="345">
        <v>0</v>
      </c>
      <c r="K169" s="345">
        <v>0</v>
      </c>
      <c r="L169" s="345">
        <v>0</v>
      </c>
      <c r="M169" s="345">
        <v>0</v>
      </c>
      <c r="N169" s="345">
        <v>865</v>
      </c>
      <c r="O169" s="345">
        <v>847</v>
      </c>
      <c r="Q169" s="342" t="s">
        <v>3156</v>
      </c>
    </row>
    <row r="170" spans="1:17" ht="15.75" thickBot="1">
      <c r="A170" s="342"/>
      <c r="B170" s="342"/>
      <c r="C170" s="55" t="s">
        <v>13288</v>
      </c>
      <c r="D170" s="352">
        <f t="shared" ref="D170:N170" si="53">D168+D169</f>
        <v>0</v>
      </c>
      <c r="E170" s="352">
        <f t="shared" si="53"/>
        <v>0</v>
      </c>
      <c r="F170" s="352">
        <f t="shared" si="53"/>
        <v>0</v>
      </c>
      <c r="G170" s="352">
        <f t="shared" si="53"/>
        <v>0</v>
      </c>
      <c r="H170" s="352">
        <f t="shared" si="53"/>
        <v>0</v>
      </c>
      <c r="I170" s="352">
        <f t="shared" si="53"/>
        <v>0</v>
      </c>
      <c r="J170" s="352">
        <f t="shared" si="53"/>
        <v>0</v>
      </c>
      <c r="K170" s="352">
        <f t="shared" si="53"/>
        <v>0</v>
      </c>
      <c r="L170" s="352">
        <f t="shared" si="53"/>
        <v>0</v>
      </c>
      <c r="M170" s="352">
        <f t="shared" si="53"/>
        <v>0</v>
      </c>
      <c r="N170" s="352">
        <f t="shared" si="53"/>
        <v>5067</v>
      </c>
      <c r="O170" s="352">
        <f>O168+O169</f>
        <v>4908</v>
      </c>
      <c r="Q170" s="342"/>
    </row>
    <row r="171" spans="1:17">
      <c r="A171" s="342" t="s">
        <v>5436</v>
      </c>
      <c r="B171" s="342" t="s">
        <v>1022</v>
      </c>
      <c r="C171" s="55" t="s">
        <v>13289</v>
      </c>
      <c r="D171" s="345">
        <v>0</v>
      </c>
      <c r="E171" s="345">
        <v>0</v>
      </c>
      <c r="F171" s="345">
        <v>0</v>
      </c>
      <c r="G171" s="345">
        <v>0</v>
      </c>
      <c r="H171" s="58">
        <v>0</v>
      </c>
      <c r="I171" s="58">
        <v>0</v>
      </c>
      <c r="J171" s="58">
        <v>0</v>
      </c>
      <c r="K171" s="58">
        <v>0</v>
      </c>
      <c r="L171" s="58">
        <v>0</v>
      </c>
      <c r="M171" s="58">
        <v>0</v>
      </c>
      <c r="N171" s="58">
        <v>2280</v>
      </c>
      <c r="O171" s="58">
        <v>2211</v>
      </c>
      <c r="Q171" s="342" t="s">
        <v>13305</v>
      </c>
    </row>
    <row r="172" spans="1:17">
      <c r="A172" s="342" t="s">
        <v>5437</v>
      </c>
      <c r="B172" s="342" t="s">
        <v>518</v>
      </c>
      <c r="C172" s="55" t="s">
        <v>13290</v>
      </c>
      <c r="D172" s="345">
        <v>0</v>
      </c>
      <c r="E172" s="345">
        <v>0</v>
      </c>
      <c r="F172" s="345">
        <v>0</v>
      </c>
      <c r="G172" s="345">
        <v>0</v>
      </c>
      <c r="H172" s="56">
        <v>0</v>
      </c>
      <c r="I172" s="56">
        <v>0</v>
      </c>
      <c r="J172" s="56">
        <v>0</v>
      </c>
      <c r="K172" s="56">
        <v>0</v>
      </c>
      <c r="L172" s="56">
        <v>0</v>
      </c>
      <c r="M172" s="56">
        <v>0</v>
      </c>
      <c r="N172" s="56">
        <v>2323</v>
      </c>
      <c r="O172" s="56">
        <v>2264</v>
      </c>
      <c r="Q172" s="342" t="s">
        <v>3156</v>
      </c>
    </row>
    <row r="173" spans="1:17">
      <c r="A173" s="342" t="s">
        <v>5439</v>
      </c>
      <c r="B173" s="342" t="s">
        <v>519</v>
      </c>
      <c r="C173" s="55" t="s">
        <v>13291</v>
      </c>
      <c r="D173" s="345">
        <v>0</v>
      </c>
      <c r="E173" s="345">
        <v>0</v>
      </c>
      <c r="F173" s="345">
        <v>0</v>
      </c>
      <c r="G173" s="345">
        <v>0</v>
      </c>
      <c r="H173" s="56">
        <v>0</v>
      </c>
      <c r="I173" s="56">
        <v>0</v>
      </c>
      <c r="J173" s="56">
        <v>0</v>
      </c>
      <c r="K173" s="56">
        <v>0</v>
      </c>
      <c r="L173" s="56">
        <v>0</v>
      </c>
      <c r="M173" s="56">
        <v>0</v>
      </c>
      <c r="N173" s="56">
        <v>2542</v>
      </c>
      <c r="O173" s="56">
        <v>2469</v>
      </c>
      <c r="Q173" s="342" t="s">
        <v>13305</v>
      </c>
    </row>
    <row r="174" spans="1:17">
      <c r="A174" s="342" t="s">
        <v>5441</v>
      </c>
      <c r="B174" s="342" t="s">
        <v>13293</v>
      </c>
      <c r="C174" s="55" t="s">
        <v>13292</v>
      </c>
      <c r="D174" s="345">
        <v>0</v>
      </c>
      <c r="E174" s="345">
        <v>0</v>
      </c>
      <c r="F174" s="345">
        <v>0</v>
      </c>
      <c r="G174" s="345">
        <v>0</v>
      </c>
      <c r="H174" s="56">
        <v>0</v>
      </c>
      <c r="I174" s="56">
        <v>0</v>
      </c>
      <c r="J174" s="56">
        <v>0</v>
      </c>
      <c r="K174" s="56">
        <v>0</v>
      </c>
      <c r="L174" s="56">
        <v>0</v>
      </c>
      <c r="M174" s="56">
        <v>0</v>
      </c>
      <c r="N174" s="56">
        <v>2451</v>
      </c>
      <c r="O174" s="56">
        <v>2362</v>
      </c>
      <c r="Q174" s="342" t="s">
        <v>13305</v>
      </c>
    </row>
    <row r="175" spans="1:17">
      <c r="A175" s="342" t="s">
        <v>5886</v>
      </c>
      <c r="B175" s="342" t="s">
        <v>6728</v>
      </c>
      <c r="C175" s="55" t="s">
        <v>13294</v>
      </c>
      <c r="D175" s="345">
        <v>0</v>
      </c>
      <c r="E175" s="345">
        <v>0</v>
      </c>
      <c r="F175" s="345">
        <v>0</v>
      </c>
      <c r="G175" s="345">
        <v>0</v>
      </c>
      <c r="H175" s="56">
        <v>0</v>
      </c>
      <c r="I175" s="56">
        <v>0</v>
      </c>
      <c r="J175" s="56">
        <v>0</v>
      </c>
      <c r="K175" s="56">
        <v>0</v>
      </c>
      <c r="L175" s="56">
        <v>0</v>
      </c>
      <c r="M175" s="56">
        <v>0</v>
      </c>
      <c r="N175" s="56">
        <v>2363</v>
      </c>
      <c r="O175" s="56">
        <v>2264</v>
      </c>
      <c r="Q175" s="342" t="s">
        <v>13305</v>
      </c>
    </row>
    <row r="176" spans="1:17">
      <c r="A176" s="342" t="s">
        <v>5888</v>
      </c>
      <c r="B176" s="342" t="s">
        <v>13296</v>
      </c>
      <c r="C176" s="55" t="s">
        <v>13295</v>
      </c>
      <c r="D176" s="345">
        <v>0</v>
      </c>
      <c r="E176" s="345">
        <v>0</v>
      </c>
      <c r="F176" s="345">
        <v>0</v>
      </c>
      <c r="G176" s="345">
        <v>0</v>
      </c>
      <c r="H176" s="56">
        <v>0</v>
      </c>
      <c r="I176" s="56">
        <v>0</v>
      </c>
      <c r="J176" s="56">
        <v>0</v>
      </c>
      <c r="K176" s="56">
        <v>0</v>
      </c>
      <c r="L176" s="56">
        <v>0</v>
      </c>
      <c r="M176" s="56">
        <v>0</v>
      </c>
      <c r="N176" s="56">
        <v>2438</v>
      </c>
      <c r="O176" s="56">
        <v>2366</v>
      </c>
      <c r="Q176" s="342" t="s">
        <v>3156</v>
      </c>
    </row>
    <row r="177" spans="1:17">
      <c r="A177" s="342" t="s">
        <v>5889</v>
      </c>
      <c r="B177" s="342" t="s">
        <v>13298</v>
      </c>
      <c r="C177" s="55" t="s">
        <v>13297</v>
      </c>
      <c r="D177" s="345">
        <v>0</v>
      </c>
      <c r="E177" s="345">
        <v>0</v>
      </c>
      <c r="F177" s="345">
        <v>0</v>
      </c>
      <c r="G177" s="345">
        <v>0</v>
      </c>
      <c r="H177" s="56">
        <v>0</v>
      </c>
      <c r="I177" s="56">
        <v>0</v>
      </c>
      <c r="J177" s="56">
        <v>0</v>
      </c>
      <c r="K177" s="56">
        <v>0</v>
      </c>
      <c r="L177" s="56">
        <v>0</v>
      </c>
      <c r="M177" s="56">
        <v>0</v>
      </c>
      <c r="N177" s="56">
        <v>4367</v>
      </c>
      <c r="O177" s="56">
        <v>4179</v>
      </c>
      <c r="Q177" s="342" t="s">
        <v>13305</v>
      </c>
    </row>
    <row r="178" spans="1:17">
      <c r="A178" s="342" t="s">
        <v>4431</v>
      </c>
      <c r="B178" s="342" t="s">
        <v>13300</v>
      </c>
      <c r="C178" s="55" t="s">
        <v>13299</v>
      </c>
      <c r="D178" s="345">
        <v>0</v>
      </c>
      <c r="E178" s="345">
        <v>0</v>
      </c>
      <c r="F178" s="345">
        <v>0</v>
      </c>
      <c r="G178" s="345">
        <v>0</v>
      </c>
      <c r="H178" s="56">
        <v>0</v>
      </c>
      <c r="I178" s="56">
        <v>0</v>
      </c>
      <c r="J178" s="56">
        <v>0</v>
      </c>
      <c r="K178" s="56">
        <v>0</v>
      </c>
      <c r="L178" s="56">
        <v>0</v>
      </c>
      <c r="M178" s="56">
        <v>0</v>
      </c>
      <c r="N178" s="56">
        <v>2577</v>
      </c>
      <c r="O178" s="56">
        <v>2495</v>
      </c>
      <c r="Q178" s="342" t="s">
        <v>3156</v>
      </c>
    </row>
    <row r="179" spans="1:17">
      <c r="A179" s="342" t="s">
        <v>4432</v>
      </c>
      <c r="B179" s="342" t="s">
        <v>13302</v>
      </c>
      <c r="C179" s="55" t="s">
        <v>13301</v>
      </c>
      <c r="D179" s="345">
        <v>0</v>
      </c>
      <c r="E179" s="345">
        <v>0</v>
      </c>
      <c r="F179" s="345">
        <v>0</v>
      </c>
      <c r="G179" s="345">
        <v>0</v>
      </c>
      <c r="H179" s="58">
        <v>0</v>
      </c>
      <c r="I179" s="58">
        <v>0</v>
      </c>
      <c r="J179" s="58">
        <v>0</v>
      </c>
      <c r="K179" s="58">
        <v>0</v>
      </c>
      <c r="L179" s="58">
        <v>0</v>
      </c>
      <c r="M179" s="58">
        <v>0</v>
      </c>
      <c r="N179" s="58">
        <v>4751</v>
      </c>
      <c r="O179" s="58">
        <v>4622</v>
      </c>
      <c r="Q179" s="342" t="s">
        <v>13305</v>
      </c>
    </row>
    <row r="180" spans="1:17">
      <c r="A180" s="342" t="s">
        <v>4434</v>
      </c>
      <c r="B180" s="342" t="s">
        <v>13304</v>
      </c>
      <c r="C180" s="55" t="s">
        <v>13303</v>
      </c>
      <c r="D180" s="345">
        <v>0</v>
      </c>
      <c r="E180" s="345">
        <v>0</v>
      </c>
      <c r="F180" s="345">
        <v>0</v>
      </c>
      <c r="G180" s="345">
        <v>0</v>
      </c>
      <c r="H180" s="58">
        <v>0</v>
      </c>
      <c r="I180" s="58">
        <v>0</v>
      </c>
      <c r="J180" s="58">
        <v>0</v>
      </c>
      <c r="K180" s="58">
        <v>0</v>
      </c>
      <c r="L180" s="58">
        <v>0</v>
      </c>
      <c r="M180" s="58">
        <v>0</v>
      </c>
      <c r="N180" s="58">
        <v>2674</v>
      </c>
      <c r="O180" s="58">
        <v>2572</v>
      </c>
      <c r="Q180" s="342" t="s">
        <v>13305</v>
      </c>
    </row>
    <row r="181" spans="1:17">
      <c r="D181" s="345"/>
      <c r="E181" s="345"/>
      <c r="F181" s="345"/>
      <c r="G181" s="345"/>
      <c r="H181" s="345"/>
      <c r="I181" s="345"/>
      <c r="J181" s="345"/>
      <c r="K181" s="345"/>
      <c r="L181" s="345"/>
      <c r="M181" s="345"/>
      <c r="N181" s="345"/>
      <c r="O181" s="345"/>
    </row>
    <row r="182" spans="1:17">
      <c r="A182" s="342" t="s">
        <v>520</v>
      </c>
      <c r="D182" s="344">
        <f t="shared" ref="D182:M182" si="54">SUM(D147,D150,D155,D157,D159,D162,D165,D168,D171,D173:D175,D177,D179:D180)</f>
        <v>45939</v>
      </c>
      <c r="E182" s="344">
        <f t="shared" si="54"/>
        <v>46455</v>
      </c>
      <c r="F182" s="344">
        <f t="shared" si="54"/>
        <v>46936</v>
      </c>
      <c r="G182" s="344">
        <f t="shared" si="54"/>
        <v>47266</v>
      </c>
      <c r="H182" s="344">
        <f t="shared" si="54"/>
        <v>47276</v>
      </c>
      <c r="I182" s="344">
        <f t="shared" si="54"/>
        <v>46690</v>
      </c>
      <c r="J182" s="344">
        <f t="shared" si="54"/>
        <v>46806</v>
      </c>
      <c r="K182" s="344">
        <f t="shared" si="54"/>
        <v>48893</v>
      </c>
      <c r="L182" s="344">
        <f t="shared" si="54"/>
        <v>49380</v>
      </c>
      <c r="M182" s="344">
        <f t="shared" si="54"/>
        <v>48916</v>
      </c>
      <c r="N182" s="344">
        <f>SUM(N147,N150,N155,N157,N159,N162,N165,N168,N171,N173:N175,N177,N179:N180)</f>
        <v>50787</v>
      </c>
      <c r="O182" s="344">
        <f>SUM(O147,O150,O155,O157,O159,O162,O165,O168,O171,O173:O175,O177,O179:O180)</f>
        <v>49143</v>
      </c>
    </row>
    <row r="183" spans="1:17">
      <c r="A183" s="342" t="s">
        <v>1832</v>
      </c>
      <c r="D183" s="344">
        <f t="shared" ref="D183:M183" si="55">SUM(D148,D151,D153:D154,D156,D158,D160:D161,D163,D166:D167,D169,D172,D176,D178)</f>
        <v>29011</v>
      </c>
      <c r="E183" s="344">
        <f t="shared" si="55"/>
        <v>29215</v>
      </c>
      <c r="F183" s="344">
        <f t="shared" si="55"/>
        <v>29377</v>
      </c>
      <c r="G183" s="344">
        <f t="shared" si="55"/>
        <v>29455</v>
      </c>
      <c r="H183" s="344">
        <f t="shared" si="55"/>
        <v>29532</v>
      </c>
      <c r="I183" s="344">
        <f t="shared" si="55"/>
        <v>29333</v>
      </c>
      <c r="J183" s="344">
        <f t="shared" si="55"/>
        <v>29212</v>
      </c>
      <c r="K183" s="344">
        <f t="shared" si="55"/>
        <v>30591</v>
      </c>
      <c r="L183" s="344">
        <f t="shared" si="55"/>
        <v>30733</v>
      </c>
      <c r="M183" s="344">
        <f t="shared" si="55"/>
        <v>30475</v>
      </c>
      <c r="N183" s="344">
        <f>SUM(N148,N151,N153:N154,N156,N158,N160:N161,N163,N166:N167,N169,N172,N176,N178)</f>
        <v>31623</v>
      </c>
      <c r="O183" s="344">
        <f>SUM(O148,O151,O153:O154,O156,O158,O160:O161,O163,O166:O167,O169,O172,O176,O178)</f>
        <v>30741</v>
      </c>
    </row>
    <row r="184" spans="1:17">
      <c r="A184" s="342"/>
      <c r="D184" s="344"/>
      <c r="E184" s="344"/>
      <c r="F184" s="344"/>
      <c r="G184" s="344"/>
      <c r="H184" s="344"/>
      <c r="I184" s="344"/>
      <c r="J184" s="344"/>
      <c r="K184" s="344"/>
      <c r="L184" s="344"/>
      <c r="M184" s="344"/>
      <c r="N184" s="344"/>
      <c r="O184" s="344"/>
    </row>
    <row r="185" spans="1:17">
      <c r="A185" s="342" t="s">
        <v>13306</v>
      </c>
      <c r="D185" s="344"/>
      <c r="E185" s="344"/>
      <c r="F185" s="344"/>
      <c r="G185" s="344"/>
      <c r="H185" s="344"/>
      <c r="I185" s="344"/>
      <c r="J185" s="344"/>
      <c r="K185" s="344"/>
      <c r="L185" s="344"/>
      <c r="M185" s="344"/>
      <c r="N185" s="344"/>
      <c r="O185" s="344"/>
    </row>
    <row r="186" spans="1:17">
      <c r="A186" s="342"/>
      <c r="B186" s="342"/>
      <c r="D186" s="353"/>
      <c r="E186" s="353"/>
      <c r="F186" s="353"/>
      <c r="G186" s="353"/>
      <c r="H186" s="353"/>
      <c r="I186" s="353"/>
      <c r="J186" s="353"/>
      <c r="K186" s="353"/>
      <c r="L186" s="353"/>
      <c r="M186" s="353"/>
      <c r="N186" s="353"/>
      <c r="O186" s="353"/>
    </row>
    <row r="188" spans="1:17">
      <c r="E188" s="51" t="s">
        <v>1526</v>
      </c>
      <c r="F188" s="51"/>
      <c r="G188" s="51"/>
      <c r="H188" s="51"/>
      <c r="I188" s="51"/>
      <c r="J188" s="51"/>
      <c r="K188" s="51"/>
      <c r="L188" s="51"/>
      <c r="M188" s="51"/>
      <c r="N188" s="51"/>
      <c r="O188" s="51"/>
      <c r="P188" s="11"/>
      <c r="Q188" s="11" t="s">
        <v>9479</v>
      </c>
    </row>
    <row r="189" spans="1:17">
      <c r="D189" s="350">
        <v>2010</v>
      </c>
      <c r="E189" s="350">
        <v>2011</v>
      </c>
      <c r="F189" s="350">
        <v>2012</v>
      </c>
      <c r="G189" s="350">
        <v>2013</v>
      </c>
      <c r="H189" s="350">
        <v>2014</v>
      </c>
      <c r="I189" s="350">
        <v>2015</v>
      </c>
      <c r="J189" s="350">
        <v>2016</v>
      </c>
      <c r="K189" s="350">
        <v>2017</v>
      </c>
      <c r="L189" s="350">
        <v>2018</v>
      </c>
      <c r="M189" s="350">
        <v>2019</v>
      </c>
      <c r="N189" s="350">
        <v>2020</v>
      </c>
      <c r="O189" s="938" t="s">
        <v>14823</v>
      </c>
      <c r="P189" s="11"/>
      <c r="Q189" s="13" t="s">
        <v>1527</v>
      </c>
    </row>
    <row r="190" spans="1:17">
      <c r="A190" s="122" t="s">
        <v>12920</v>
      </c>
      <c r="D190" s="345">
        <f t="shared" ref="D190:N190" si="56">SUM(D191:D200,D202:D211,D213:D222,D224:D229,D230:D239,D241)</f>
        <v>116086</v>
      </c>
      <c r="E190" s="345">
        <f t="shared" si="56"/>
        <v>118992</v>
      </c>
      <c r="F190" s="345">
        <f t="shared" si="56"/>
        <v>118989</v>
      </c>
      <c r="G190" s="345">
        <f t="shared" si="56"/>
        <v>119739</v>
      </c>
      <c r="H190" s="345">
        <f t="shared" si="56"/>
        <v>117932</v>
      </c>
      <c r="I190" s="345">
        <f t="shared" si="56"/>
        <v>117203</v>
      </c>
      <c r="J190" s="345">
        <f t="shared" si="56"/>
        <v>112719</v>
      </c>
      <c r="K190" s="345">
        <f t="shared" si="56"/>
        <v>118991</v>
      </c>
      <c r="L190" s="345">
        <f t="shared" si="56"/>
        <v>117744</v>
      </c>
      <c r="M190" s="345">
        <f t="shared" si="56"/>
        <v>117314</v>
      </c>
      <c r="N190" s="345">
        <f t="shared" si="56"/>
        <v>121899</v>
      </c>
      <c r="O190" s="345">
        <f>SUM(O191:O200,O202:O211,O213:O222,O224:O229,O230:O239,O241)</f>
        <v>121911</v>
      </c>
    </row>
    <row r="191" spans="1:17">
      <c r="A191" s="342" t="s">
        <v>5387</v>
      </c>
      <c r="B191" s="122" t="s">
        <v>521</v>
      </c>
      <c r="C191" s="122" t="s">
        <v>12921</v>
      </c>
      <c r="D191" s="345">
        <v>38649</v>
      </c>
      <c r="E191" s="345">
        <v>39478</v>
      </c>
      <c r="F191" s="345">
        <v>39098</v>
      </c>
      <c r="G191" s="345">
        <v>39172</v>
      </c>
      <c r="H191" s="345">
        <v>38539</v>
      </c>
      <c r="I191" s="345">
        <v>38276</v>
      </c>
      <c r="J191" s="345">
        <v>36671</v>
      </c>
      <c r="K191" s="345">
        <v>38320</v>
      </c>
      <c r="L191" s="345">
        <v>37810</v>
      </c>
      <c r="M191" s="345">
        <v>37458</v>
      </c>
      <c r="N191" s="345">
        <v>3746</v>
      </c>
      <c r="O191" s="345">
        <v>3747</v>
      </c>
      <c r="Q191" s="342" t="s">
        <v>3154</v>
      </c>
    </row>
    <row r="192" spans="1:17">
      <c r="A192" s="342" t="s">
        <v>5389</v>
      </c>
      <c r="B192" s="122" t="s">
        <v>522</v>
      </c>
      <c r="C192" s="122" t="s">
        <v>12922</v>
      </c>
      <c r="D192" s="345">
        <v>74161</v>
      </c>
      <c r="E192" s="345">
        <v>76158</v>
      </c>
      <c r="F192" s="345">
        <v>76566</v>
      </c>
      <c r="G192" s="345">
        <v>77193</v>
      </c>
      <c r="H192" s="345">
        <v>76061</v>
      </c>
      <c r="I192" s="345">
        <v>75566</v>
      </c>
      <c r="J192" s="345">
        <v>72809</v>
      </c>
      <c r="K192" s="345">
        <v>77198</v>
      </c>
      <c r="L192" s="345">
        <v>76519</v>
      </c>
      <c r="M192" s="345">
        <v>76491</v>
      </c>
      <c r="N192" s="345">
        <v>2124</v>
      </c>
      <c r="O192" s="345">
        <v>2125</v>
      </c>
      <c r="Q192" s="122" t="s">
        <v>2318</v>
      </c>
    </row>
    <row r="193" spans="1:17">
      <c r="A193" s="342" t="s">
        <v>5391</v>
      </c>
      <c r="B193" s="122" t="s">
        <v>523</v>
      </c>
      <c r="C193" s="122" t="s">
        <v>12923</v>
      </c>
      <c r="D193" s="345">
        <v>0</v>
      </c>
      <c r="E193" s="345">
        <v>0</v>
      </c>
      <c r="F193" s="345">
        <v>0</v>
      </c>
      <c r="G193" s="345">
        <v>0</v>
      </c>
      <c r="H193" s="345">
        <v>0</v>
      </c>
      <c r="I193" s="345">
        <v>0</v>
      </c>
      <c r="J193" s="345">
        <v>0</v>
      </c>
      <c r="K193" s="345">
        <v>0</v>
      </c>
      <c r="L193" s="345">
        <v>0</v>
      </c>
      <c r="M193" s="345">
        <v>0</v>
      </c>
      <c r="N193" s="345">
        <v>2237</v>
      </c>
      <c r="O193" s="345">
        <v>2237</v>
      </c>
      <c r="Q193" s="122" t="s">
        <v>2318</v>
      </c>
    </row>
    <row r="194" spans="1:17">
      <c r="A194" s="342" t="s">
        <v>5393</v>
      </c>
      <c r="B194" s="122" t="s">
        <v>524</v>
      </c>
      <c r="C194" s="122" t="s">
        <v>12924</v>
      </c>
      <c r="D194" s="345">
        <v>0</v>
      </c>
      <c r="E194" s="345">
        <v>0</v>
      </c>
      <c r="F194" s="345">
        <v>0</v>
      </c>
      <c r="G194" s="345">
        <v>0</v>
      </c>
      <c r="H194" s="345">
        <v>0</v>
      </c>
      <c r="I194" s="345">
        <v>0</v>
      </c>
      <c r="J194" s="345">
        <v>0</v>
      </c>
      <c r="K194" s="345">
        <v>0</v>
      </c>
      <c r="L194" s="345">
        <v>0</v>
      </c>
      <c r="M194" s="345">
        <v>0</v>
      </c>
      <c r="N194" s="345">
        <v>1992</v>
      </c>
      <c r="O194" s="345">
        <v>1992</v>
      </c>
      <c r="Q194" s="122" t="s">
        <v>2318</v>
      </c>
    </row>
    <row r="195" spans="1:17">
      <c r="A195" s="342" t="s">
        <v>5394</v>
      </c>
      <c r="B195" s="122" t="s">
        <v>12926</v>
      </c>
      <c r="C195" s="122" t="s">
        <v>12925</v>
      </c>
      <c r="D195" s="345">
        <v>0</v>
      </c>
      <c r="E195" s="345">
        <v>0</v>
      </c>
      <c r="F195" s="345">
        <v>0</v>
      </c>
      <c r="G195" s="345">
        <v>0</v>
      </c>
      <c r="H195" s="345">
        <v>0</v>
      </c>
      <c r="I195" s="345">
        <v>0</v>
      </c>
      <c r="J195" s="345">
        <v>0</v>
      </c>
      <c r="K195" s="345">
        <v>0</v>
      </c>
      <c r="L195" s="345">
        <v>0</v>
      </c>
      <c r="M195" s="345">
        <v>0</v>
      </c>
      <c r="N195" s="345">
        <v>2062</v>
      </c>
      <c r="O195" s="345">
        <v>2062</v>
      </c>
      <c r="Q195" s="122" t="s">
        <v>2318</v>
      </c>
    </row>
    <row r="196" spans="1:17">
      <c r="A196" s="342" t="s">
        <v>5416</v>
      </c>
      <c r="B196" s="122" t="s">
        <v>3119</v>
      </c>
      <c r="C196" s="122" t="s">
        <v>12927</v>
      </c>
      <c r="D196" s="345">
        <v>0</v>
      </c>
      <c r="E196" s="345">
        <v>0</v>
      </c>
      <c r="F196" s="345">
        <v>0</v>
      </c>
      <c r="G196" s="345">
        <v>0</v>
      </c>
      <c r="H196" s="345">
        <v>0</v>
      </c>
      <c r="I196" s="345">
        <v>0</v>
      </c>
      <c r="J196" s="345">
        <v>0</v>
      </c>
      <c r="K196" s="345">
        <v>0</v>
      </c>
      <c r="L196" s="345">
        <v>0</v>
      </c>
      <c r="M196" s="345">
        <v>0</v>
      </c>
      <c r="N196" s="345">
        <v>2133</v>
      </c>
      <c r="O196" s="345">
        <v>2133</v>
      </c>
      <c r="Q196" s="122" t="s">
        <v>2318</v>
      </c>
    </row>
    <row r="197" spans="1:17">
      <c r="A197" s="342" t="s">
        <v>5418</v>
      </c>
      <c r="B197" s="122" t="s">
        <v>3120</v>
      </c>
      <c r="C197" s="122" t="s">
        <v>12928</v>
      </c>
      <c r="D197" s="345">
        <v>0</v>
      </c>
      <c r="E197" s="345">
        <v>0</v>
      </c>
      <c r="F197" s="345">
        <v>0</v>
      </c>
      <c r="G197" s="345">
        <v>0</v>
      </c>
      <c r="H197" s="345">
        <v>0</v>
      </c>
      <c r="I197" s="345">
        <v>0</v>
      </c>
      <c r="J197" s="345">
        <v>0</v>
      </c>
      <c r="K197" s="345">
        <v>0</v>
      </c>
      <c r="L197" s="345">
        <v>0</v>
      </c>
      <c r="M197" s="345">
        <v>0</v>
      </c>
      <c r="N197" s="345">
        <v>2163</v>
      </c>
      <c r="O197" s="345">
        <v>2163</v>
      </c>
      <c r="Q197" s="122" t="s">
        <v>2318</v>
      </c>
    </row>
    <row r="198" spans="1:17">
      <c r="A198" s="342" t="s">
        <v>5420</v>
      </c>
      <c r="B198" s="122" t="s">
        <v>12930</v>
      </c>
      <c r="C198" s="122" t="s">
        <v>12929</v>
      </c>
      <c r="D198" s="345">
        <v>0</v>
      </c>
      <c r="E198" s="345">
        <v>0</v>
      </c>
      <c r="F198" s="345">
        <v>0</v>
      </c>
      <c r="G198" s="345">
        <v>0</v>
      </c>
      <c r="H198" s="345">
        <v>0</v>
      </c>
      <c r="I198" s="345">
        <v>0</v>
      </c>
      <c r="J198" s="345">
        <v>0</v>
      </c>
      <c r="K198" s="345">
        <v>0</v>
      </c>
      <c r="L198" s="345">
        <v>0</v>
      </c>
      <c r="M198" s="345">
        <v>0</v>
      </c>
      <c r="N198" s="345">
        <v>2207</v>
      </c>
      <c r="O198" s="345">
        <v>2209</v>
      </c>
      <c r="Q198" s="122" t="s">
        <v>2318</v>
      </c>
    </row>
    <row r="199" spans="1:17">
      <c r="A199" s="342" t="s">
        <v>5422</v>
      </c>
      <c r="B199" s="122" t="s">
        <v>12932</v>
      </c>
      <c r="C199" s="122" t="s">
        <v>12931</v>
      </c>
      <c r="D199" s="345">
        <v>3276</v>
      </c>
      <c r="E199" s="345">
        <v>3356</v>
      </c>
      <c r="F199" s="345">
        <v>3325</v>
      </c>
      <c r="G199" s="345">
        <v>3374</v>
      </c>
      <c r="H199" s="345">
        <v>3332</v>
      </c>
      <c r="I199" s="345">
        <v>3361</v>
      </c>
      <c r="J199" s="345">
        <v>3239</v>
      </c>
      <c r="K199" s="345">
        <v>3473</v>
      </c>
      <c r="L199" s="345">
        <v>3415</v>
      </c>
      <c r="M199" s="345">
        <v>3365</v>
      </c>
      <c r="N199" s="345">
        <v>2751</v>
      </c>
      <c r="O199" s="345">
        <v>2751</v>
      </c>
      <c r="Q199" s="122" t="s">
        <v>2314</v>
      </c>
    </row>
    <row r="200" spans="1:17" ht="15.75" thickBot="1">
      <c r="C200" s="122" t="s">
        <v>12931</v>
      </c>
      <c r="D200" s="345">
        <v>0</v>
      </c>
      <c r="E200" s="345">
        <v>0</v>
      </c>
      <c r="F200" s="345">
        <v>0</v>
      </c>
      <c r="G200" s="345">
        <v>0</v>
      </c>
      <c r="H200" s="345">
        <v>0</v>
      </c>
      <c r="I200" s="345">
        <v>0</v>
      </c>
      <c r="J200" s="345">
        <v>0</v>
      </c>
      <c r="K200" s="345">
        <v>0</v>
      </c>
      <c r="L200" s="345">
        <v>0</v>
      </c>
      <c r="M200" s="345">
        <v>0</v>
      </c>
      <c r="N200" s="345">
        <v>3476</v>
      </c>
      <c r="O200" s="345">
        <v>3476</v>
      </c>
      <c r="Q200" s="122" t="s">
        <v>2318</v>
      </c>
    </row>
    <row r="201" spans="1:17" ht="15.75" thickBot="1">
      <c r="C201" s="122" t="s">
        <v>12931</v>
      </c>
      <c r="D201" s="352">
        <f t="shared" ref="D201:N201" si="57">D199+D200</f>
        <v>3276</v>
      </c>
      <c r="E201" s="352">
        <f t="shared" si="57"/>
        <v>3356</v>
      </c>
      <c r="F201" s="352">
        <f t="shared" si="57"/>
        <v>3325</v>
      </c>
      <c r="G201" s="352">
        <f t="shared" si="57"/>
        <v>3374</v>
      </c>
      <c r="H201" s="352">
        <f t="shared" si="57"/>
        <v>3332</v>
      </c>
      <c r="I201" s="352">
        <f t="shared" si="57"/>
        <v>3361</v>
      </c>
      <c r="J201" s="352">
        <f t="shared" si="57"/>
        <v>3239</v>
      </c>
      <c r="K201" s="352">
        <f t="shared" si="57"/>
        <v>3473</v>
      </c>
      <c r="L201" s="352">
        <f t="shared" si="57"/>
        <v>3415</v>
      </c>
      <c r="M201" s="352">
        <f t="shared" si="57"/>
        <v>3365</v>
      </c>
      <c r="N201" s="352">
        <f t="shared" si="57"/>
        <v>6227</v>
      </c>
      <c r="O201" s="352">
        <f>O199+O200</f>
        <v>6227</v>
      </c>
    </row>
    <row r="202" spans="1:17">
      <c r="A202" s="342" t="s">
        <v>5424</v>
      </c>
      <c r="B202" s="122" t="s">
        <v>1854</v>
      </c>
      <c r="C202" s="122" t="s">
        <v>12933</v>
      </c>
      <c r="D202" s="345">
        <v>0</v>
      </c>
      <c r="E202" s="345">
        <v>0</v>
      </c>
      <c r="F202" s="345">
        <v>0</v>
      </c>
      <c r="G202" s="345">
        <v>0</v>
      </c>
      <c r="H202" s="345">
        <v>0</v>
      </c>
      <c r="I202" s="345">
        <v>0</v>
      </c>
      <c r="J202" s="345">
        <v>0</v>
      </c>
      <c r="K202" s="345">
        <v>0</v>
      </c>
      <c r="L202" s="345">
        <v>0</v>
      </c>
      <c r="M202" s="345">
        <v>0</v>
      </c>
      <c r="N202" s="345">
        <v>1717</v>
      </c>
      <c r="O202" s="345">
        <v>1718</v>
      </c>
      <c r="Q202" s="342" t="s">
        <v>3154</v>
      </c>
    </row>
    <row r="203" spans="1:17">
      <c r="A203" s="342" t="s">
        <v>5426</v>
      </c>
      <c r="B203" s="122" t="s">
        <v>2450</v>
      </c>
      <c r="C203" s="122" t="s">
        <v>12934</v>
      </c>
      <c r="D203" s="345">
        <v>0</v>
      </c>
      <c r="E203" s="345">
        <v>0</v>
      </c>
      <c r="F203" s="345">
        <v>0</v>
      </c>
      <c r="G203" s="345">
        <v>0</v>
      </c>
      <c r="H203" s="345">
        <v>0</v>
      </c>
      <c r="I203" s="345">
        <v>0</v>
      </c>
      <c r="J203" s="345">
        <v>0</v>
      </c>
      <c r="K203" s="345">
        <v>0</v>
      </c>
      <c r="L203" s="345">
        <v>0</v>
      </c>
      <c r="M203" s="345">
        <v>0</v>
      </c>
      <c r="N203" s="345">
        <v>1682</v>
      </c>
      <c r="O203" s="345">
        <v>1682</v>
      </c>
      <c r="Q203" s="122" t="s">
        <v>2318</v>
      </c>
    </row>
    <row r="204" spans="1:17">
      <c r="A204" s="342" t="s">
        <v>5428</v>
      </c>
      <c r="B204" s="122" t="s">
        <v>12936</v>
      </c>
      <c r="C204" s="122" t="s">
        <v>12935</v>
      </c>
      <c r="D204" s="345">
        <v>0</v>
      </c>
      <c r="E204" s="345">
        <v>0</v>
      </c>
      <c r="F204" s="345">
        <v>0</v>
      </c>
      <c r="G204" s="345">
        <v>0</v>
      </c>
      <c r="H204" s="345">
        <v>0</v>
      </c>
      <c r="I204" s="345">
        <v>0</v>
      </c>
      <c r="J204" s="345">
        <v>0</v>
      </c>
      <c r="K204" s="345">
        <v>0</v>
      </c>
      <c r="L204" s="345">
        <v>0</v>
      </c>
      <c r="M204" s="345">
        <v>0</v>
      </c>
      <c r="N204" s="345">
        <v>2264</v>
      </c>
      <c r="O204" s="345">
        <v>2264</v>
      </c>
      <c r="Q204" s="122" t="s">
        <v>2318</v>
      </c>
    </row>
    <row r="205" spans="1:17">
      <c r="A205" s="342" t="s">
        <v>5429</v>
      </c>
      <c r="B205" s="122" t="s">
        <v>551</v>
      </c>
      <c r="C205" s="122" t="s">
        <v>12937</v>
      </c>
      <c r="D205" s="345">
        <v>0</v>
      </c>
      <c r="E205" s="345">
        <v>0</v>
      </c>
      <c r="F205" s="345">
        <v>0</v>
      </c>
      <c r="G205" s="345">
        <v>0</v>
      </c>
      <c r="H205" s="345">
        <v>0</v>
      </c>
      <c r="I205" s="345">
        <v>0</v>
      </c>
      <c r="J205" s="345">
        <v>0</v>
      </c>
      <c r="K205" s="345">
        <v>0</v>
      </c>
      <c r="L205" s="345">
        <v>0</v>
      </c>
      <c r="M205" s="345">
        <v>0</v>
      </c>
      <c r="N205" s="345">
        <v>2602</v>
      </c>
      <c r="O205" s="345">
        <v>2602</v>
      </c>
      <c r="Q205" s="122" t="s">
        <v>2318</v>
      </c>
    </row>
    <row r="206" spans="1:17">
      <c r="A206" s="342" t="s">
        <v>5431</v>
      </c>
      <c r="B206" s="122" t="s">
        <v>552</v>
      </c>
      <c r="C206" s="122" t="s">
        <v>12938</v>
      </c>
      <c r="D206" s="345">
        <v>0</v>
      </c>
      <c r="E206" s="345">
        <v>0</v>
      </c>
      <c r="F206" s="345">
        <v>0</v>
      </c>
      <c r="G206" s="345">
        <v>0</v>
      </c>
      <c r="H206" s="345">
        <v>0</v>
      </c>
      <c r="I206" s="345">
        <v>0</v>
      </c>
      <c r="J206" s="345">
        <v>0</v>
      </c>
      <c r="K206" s="345">
        <v>0</v>
      </c>
      <c r="L206" s="345">
        <v>0</v>
      </c>
      <c r="M206" s="345">
        <v>0</v>
      </c>
      <c r="N206" s="345">
        <v>3149</v>
      </c>
      <c r="O206" s="345">
        <v>3150</v>
      </c>
      <c r="Q206" s="122" t="s">
        <v>2318</v>
      </c>
    </row>
    <row r="207" spans="1:17">
      <c r="A207" s="342" t="s">
        <v>5433</v>
      </c>
      <c r="B207" s="122" t="s">
        <v>112</v>
      </c>
      <c r="C207" s="122" t="s">
        <v>12939</v>
      </c>
      <c r="D207" s="345">
        <v>0</v>
      </c>
      <c r="E207" s="345">
        <v>0</v>
      </c>
      <c r="F207" s="345">
        <v>0</v>
      </c>
      <c r="G207" s="345">
        <v>0</v>
      </c>
      <c r="H207" s="345">
        <v>0</v>
      </c>
      <c r="I207" s="345">
        <v>0</v>
      </c>
      <c r="J207" s="345">
        <v>0</v>
      </c>
      <c r="K207" s="345">
        <v>0</v>
      </c>
      <c r="L207" s="345">
        <v>0</v>
      </c>
      <c r="M207" s="345">
        <v>0</v>
      </c>
      <c r="N207" s="345">
        <v>4031</v>
      </c>
      <c r="O207" s="345">
        <v>4032</v>
      </c>
      <c r="Q207" s="122" t="s">
        <v>2318</v>
      </c>
    </row>
    <row r="208" spans="1:17">
      <c r="A208" s="342" t="s">
        <v>5435</v>
      </c>
      <c r="B208" s="122" t="s">
        <v>12941</v>
      </c>
      <c r="C208" s="122" t="s">
        <v>12940</v>
      </c>
      <c r="D208" s="345">
        <v>0</v>
      </c>
      <c r="E208" s="345">
        <v>0</v>
      </c>
      <c r="F208" s="345">
        <v>0</v>
      </c>
      <c r="G208" s="345">
        <v>0</v>
      </c>
      <c r="H208" s="345">
        <v>0</v>
      </c>
      <c r="I208" s="345">
        <v>0</v>
      </c>
      <c r="J208" s="345">
        <v>0</v>
      </c>
      <c r="K208" s="345">
        <v>0</v>
      </c>
      <c r="L208" s="345">
        <v>0</v>
      </c>
      <c r="M208" s="345">
        <v>0</v>
      </c>
      <c r="N208" s="345">
        <v>1874</v>
      </c>
      <c r="O208" s="345">
        <v>1874</v>
      </c>
      <c r="Q208" s="122" t="s">
        <v>2318</v>
      </c>
    </row>
    <row r="209" spans="1:17">
      <c r="A209" s="342" t="s">
        <v>5436</v>
      </c>
      <c r="B209" s="122" t="s">
        <v>113</v>
      </c>
      <c r="C209" s="122" t="s">
        <v>12942</v>
      </c>
      <c r="D209" s="345">
        <v>0</v>
      </c>
      <c r="E209" s="345">
        <v>0</v>
      </c>
      <c r="F209" s="345">
        <v>0</v>
      </c>
      <c r="G209" s="345">
        <v>0</v>
      </c>
      <c r="H209" s="345">
        <v>0</v>
      </c>
      <c r="I209" s="345">
        <v>0</v>
      </c>
      <c r="J209" s="345">
        <v>0</v>
      </c>
      <c r="K209" s="345">
        <v>0</v>
      </c>
      <c r="L209" s="345">
        <v>0</v>
      </c>
      <c r="M209" s="345">
        <v>0</v>
      </c>
      <c r="N209" s="345">
        <v>4128</v>
      </c>
      <c r="O209" s="345">
        <v>4128</v>
      </c>
      <c r="Q209" s="122" t="s">
        <v>2318</v>
      </c>
    </row>
    <row r="210" spans="1:17">
      <c r="A210" s="342" t="s">
        <v>5437</v>
      </c>
      <c r="B210" s="122" t="s">
        <v>12944</v>
      </c>
      <c r="C210" s="122" t="s">
        <v>12943</v>
      </c>
      <c r="D210" s="345">
        <v>0</v>
      </c>
      <c r="E210" s="345">
        <v>0</v>
      </c>
      <c r="F210" s="345">
        <v>0</v>
      </c>
      <c r="G210" s="345">
        <v>0</v>
      </c>
      <c r="H210" s="345">
        <v>0</v>
      </c>
      <c r="I210" s="345">
        <v>0</v>
      </c>
      <c r="J210" s="345">
        <v>0</v>
      </c>
      <c r="K210" s="345">
        <v>0</v>
      </c>
      <c r="L210" s="345">
        <v>0</v>
      </c>
      <c r="M210" s="345">
        <v>0</v>
      </c>
      <c r="N210" s="345">
        <v>1788</v>
      </c>
      <c r="O210" s="345">
        <v>1788</v>
      </c>
      <c r="Q210" s="342" t="s">
        <v>3154</v>
      </c>
    </row>
    <row r="211" spans="1:17" ht="15.75" thickBot="1">
      <c r="C211" s="122" t="s">
        <v>12943</v>
      </c>
      <c r="D211" s="351">
        <v>0</v>
      </c>
      <c r="E211" s="351">
        <v>0</v>
      </c>
      <c r="F211" s="351">
        <v>0</v>
      </c>
      <c r="G211" s="351">
        <v>0</v>
      </c>
      <c r="H211" s="351">
        <v>0</v>
      </c>
      <c r="I211" s="351">
        <v>0</v>
      </c>
      <c r="J211" s="351">
        <v>0</v>
      </c>
      <c r="K211" s="351">
        <v>0</v>
      </c>
      <c r="L211" s="351">
        <v>0</v>
      </c>
      <c r="M211" s="351">
        <v>0</v>
      </c>
      <c r="N211" s="351">
        <v>252</v>
      </c>
      <c r="O211" s="351">
        <v>252</v>
      </c>
      <c r="Q211" s="122" t="s">
        <v>2318</v>
      </c>
    </row>
    <row r="212" spans="1:17" ht="15.75" thickBot="1">
      <c r="C212" s="122" t="s">
        <v>12943</v>
      </c>
      <c r="D212" s="352">
        <f t="shared" ref="D212:N212" si="58">D210+D211</f>
        <v>0</v>
      </c>
      <c r="E212" s="352">
        <f t="shared" si="58"/>
        <v>0</v>
      </c>
      <c r="F212" s="352">
        <f t="shared" si="58"/>
        <v>0</v>
      </c>
      <c r="G212" s="352">
        <f t="shared" si="58"/>
        <v>0</v>
      </c>
      <c r="H212" s="352">
        <f t="shared" si="58"/>
        <v>0</v>
      </c>
      <c r="I212" s="352">
        <f t="shared" si="58"/>
        <v>0</v>
      </c>
      <c r="J212" s="352">
        <f t="shared" si="58"/>
        <v>0</v>
      </c>
      <c r="K212" s="352">
        <f t="shared" si="58"/>
        <v>0</v>
      </c>
      <c r="L212" s="352">
        <f t="shared" si="58"/>
        <v>0</v>
      </c>
      <c r="M212" s="352">
        <f t="shared" si="58"/>
        <v>0</v>
      </c>
      <c r="N212" s="352">
        <f t="shared" si="58"/>
        <v>2040</v>
      </c>
      <c r="O212" s="352">
        <f>O210+O211</f>
        <v>2040</v>
      </c>
    </row>
    <row r="213" spans="1:17">
      <c r="A213" s="342" t="s">
        <v>5439</v>
      </c>
      <c r="B213" s="122" t="s">
        <v>2451</v>
      </c>
      <c r="C213" s="122" t="s">
        <v>12945</v>
      </c>
      <c r="D213" s="345">
        <v>0</v>
      </c>
      <c r="E213" s="345">
        <v>0</v>
      </c>
      <c r="F213" s="345">
        <v>0</v>
      </c>
      <c r="G213" s="345">
        <v>0</v>
      </c>
      <c r="H213" s="345">
        <v>0</v>
      </c>
      <c r="I213" s="345">
        <v>0</v>
      </c>
      <c r="J213" s="345">
        <v>0</v>
      </c>
      <c r="K213" s="345">
        <v>0</v>
      </c>
      <c r="L213" s="345">
        <v>0</v>
      </c>
      <c r="M213" s="345">
        <v>0</v>
      </c>
      <c r="N213" s="345">
        <v>3292</v>
      </c>
      <c r="O213" s="345">
        <v>3293</v>
      </c>
      <c r="Q213" s="122" t="s">
        <v>2318</v>
      </c>
    </row>
    <row r="214" spans="1:17">
      <c r="A214" s="342" t="s">
        <v>5441</v>
      </c>
      <c r="B214" s="122" t="s">
        <v>1152</v>
      </c>
      <c r="C214" s="122" t="s">
        <v>12946</v>
      </c>
      <c r="D214" s="345">
        <v>0</v>
      </c>
      <c r="E214" s="345">
        <v>0</v>
      </c>
      <c r="F214" s="345">
        <v>0</v>
      </c>
      <c r="G214" s="345">
        <v>0</v>
      </c>
      <c r="H214" s="345">
        <v>0</v>
      </c>
      <c r="I214" s="345">
        <v>0</v>
      </c>
      <c r="J214" s="345">
        <v>0</v>
      </c>
      <c r="K214" s="345">
        <v>0</v>
      </c>
      <c r="L214" s="345">
        <v>0</v>
      </c>
      <c r="M214" s="345">
        <v>0</v>
      </c>
      <c r="N214" s="345">
        <v>1720</v>
      </c>
      <c r="O214" s="345">
        <v>1720</v>
      </c>
      <c r="Q214" s="122" t="s">
        <v>2318</v>
      </c>
    </row>
    <row r="215" spans="1:17">
      <c r="A215" s="342" t="s">
        <v>5886</v>
      </c>
      <c r="B215" s="122" t="s">
        <v>12948</v>
      </c>
      <c r="C215" s="122" t="s">
        <v>12947</v>
      </c>
      <c r="D215" s="345">
        <v>0</v>
      </c>
      <c r="E215" s="345">
        <v>0</v>
      </c>
      <c r="F215" s="345">
        <v>0</v>
      </c>
      <c r="G215" s="345">
        <v>0</v>
      </c>
      <c r="H215" s="345">
        <v>0</v>
      </c>
      <c r="I215" s="345">
        <v>0</v>
      </c>
      <c r="J215" s="345">
        <v>0</v>
      </c>
      <c r="K215" s="345">
        <v>0</v>
      </c>
      <c r="L215" s="345">
        <v>0</v>
      </c>
      <c r="M215" s="345">
        <v>0</v>
      </c>
      <c r="N215" s="345">
        <v>2192</v>
      </c>
      <c r="O215" s="345">
        <v>2192</v>
      </c>
      <c r="Q215" s="122" t="s">
        <v>2318</v>
      </c>
    </row>
    <row r="216" spans="1:17">
      <c r="A216" s="342" t="s">
        <v>5888</v>
      </c>
      <c r="B216" s="122" t="s">
        <v>2452</v>
      </c>
      <c r="C216" s="122" t="s">
        <v>12949</v>
      </c>
      <c r="D216" s="345">
        <v>0</v>
      </c>
      <c r="E216" s="345">
        <v>0</v>
      </c>
      <c r="F216" s="345">
        <v>0</v>
      </c>
      <c r="G216" s="345">
        <v>0</v>
      </c>
      <c r="H216" s="345">
        <v>0</v>
      </c>
      <c r="I216" s="345">
        <v>0</v>
      </c>
      <c r="J216" s="345">
        <v>0</v>
      </c>
      <c r="K216" s="345">
        <v>0</v>
      </c>
      <c r="L216" s="345">
        <v>0</v>
      </c>
      <c r="M216" s="345">
        <v>0</v>
      </c>
      <c r="N216" s="345">
        <v>4020</v>
      </c>
      <c r="O216" s="345">
        <v>4019</v>
      </c>
      <c r="Q216" s="122" t="s">
        <v>2318</v>
      </c>
    </row>
    <row r="217" spans="1:17">
      <c r="A217" s="342" t="s">
        <v>5889</v>
      </c>
      <c r="B217" s="122" t="s">
        <v>5920</v>
      </c>
      <c r="C217" s="122" t="s">
        <v>12950</v>
      </c>
      <c r="D217" s="345">
        <v>0</v>
      </c>
      <c r="E217" s="345">
        <v>0</v>
      </c>
      <c r="F217" s="345">
        <v>0</v>
      </c>
      <c r="G217" s="345">
        <v>0</v>
      </c>
      <c r="H217" s="345">
        <v>0</v>
      </c>
      <c r="I217" s="345">
        <v>0</v>
      </c>
      <c r="J217" s="345">
        <v>0</v>
      </c>
      <c r="K217" s="345">
        <v>0</v>
      </c>
      <c r="L217" s="345">
        <v>0</v>
      </c>
      <c r="M217" s="345">
        <v>0</v>
      </c>
      <c r="N217" s="345">
        <v>1982</v>
      </c>
      <c r="O217" s="345">
        <v>1982</v>
      </c>
      <c r="Q217" s="122" t="s">
        <v>2318</v>
      </c>
    </row>
    <row r="218" spans="1:17">
      <c r="A218" s="342" t="s">
        <v>4431</v>
      </c>
      <c r="B218" s="122" t="s">
        <v>12952</v>
      </c>
      <c r="C218" s="122" t="s">
        <v>12951</v>
      </c>
      <c r="D218" s="345">
        <v>0</v>
      </c>
      <c r="E218" s="345">
        <v>0</v>
      </c>
      <c r="F218" s="345">
        <v>0</v>
      </c>
      <c r="G218" s="345">
        <v>0</v>
      </c>
      <c r="H218" s="345">
        <v>0</v>
      </c>
      <c r="I218" s="345">
        <v>0</v>
      </c>
      <c r="J218" s="345">
        <v>0</v>
      </c>
      <c r="K218" s="345">
        <v>0</v>
      </c>
      <c r="L218" s="345">
        <v>0</v>
      </c>
      <c r="M218" s="345">
        <v>0</v>
      </c>
      <c r="N218" s="345">
        <v>1959</v>
      </c>
      <c r="O218" s="345">
        <v>1959</v>
      </c>
      <c r="Q218" s="122" t="s">
        <v>2318</v>
      </c>
    </row>
    <row r="219" spans="1:17">
      <c r="A219" s="342" t="s">
        <v>4432</v>
      </c>
      <c r="B219" s="122" t="s">
        <v>12954</v>
      </c>
      <c r="C219" s="122" t="s">
        <v>12953</v>
      </c>
      <c r="D219" s="345">
        <v>0</v>
      </c>
      <c r="E219" s="345">
        <v>0</v>
      </c>
      <c r="F219" s="345">
        <v>0</v>
      </c>
      <c r="G219" s="345">
        <v>0</v>
      </c>
      <c r="H219" s="345">
        <v>0</v>
      </c>
      <c r="I219" s="345">
        <v>0</v>
      </c>
      <c r="J219" s="345">
        <v>0</v>
      </c>
      <c r="K219" s="345">
        <v>0</v>
      </c>
      <c r="L219" s="345">
        <v>0</v>
      </c>
      <c r="M219" s="345">
        <v>0</v>
      </c>
      <c r="N219" s="345">
        <v>2096</v>
      </c>
      <c r="O219" s="345">
        <v>2096</v>
      </c>
      <c r="Q219" s="122" t="s">
        <v>2318</v>
      </c>
    </row>
    <row r="220" spans="1:17">
      <c r="A220" s="342" t="s">
        <v>4434</v>
      </c>
      <c r="B220" s="122" t="s">
        <v>12956</v>
      </c>
      <c r="C220" s="122" t="s">
        <v>12955</v>
      </c>
      <c r="D220" s="345">
        <v>0</v>
      </c>
      <c r="E220" s="345">
        <v>0</v>
      </c>
      <c r="F220" s="345">
        <v>0</v>
      </c>
      <c r="G220" s="345">
        <v>0</v>
      </c>
      <c r="H220" s="345">
        <v>0</v>
      </c>
      <c r="I220" s="345">
        <v>0</v>
      </c>
      <c r="J220" s="345">
        <v>0</v>
      </c>
      <c r="K220" s="345">
        <v>0</v>
      </c>
      <c r="L220" s="345">
        <v>0</v>
      </c>
      <c r="M220" s="345">
        <v>0</v>
      </c>
      <c r="N220" s="345">
        <v>1653</v>
      </c>
      <c r="O220" s="345">
        <v>1653</v>
      </c>
      <c r="Q220" s="122" t="s">
        <v>2318</v>
      </c>
    </row>
    <row r="221" spans="1:17">
      <c r="A221" s="342" t="s">
        <v>4533</v>
      </c>
      <c r="B221" s="122" t="s">
        <v>1153</v>
      </c>
      <c r="C221" s="122" t="s">
        <v>12957</v>
      </c>
      <c r="D221" s="345">
        <v>0</v>
      </c>
      <c r="E221" s="345">
        <v>0</v>
      </c>
      <c r="F221" s="345">
        <v>0</v>
      </c>
      <c r="G221" s="345">
        <v>0</v>
      </c>
      <c r="H221" s="345">
        <v>0</v>
      </c>
      <c r="I221" s="345">
        <v>0</v>
      </c>
      <c r="J221" s="345">
        <v>0</v>
      </c>
      <c r="K221" s="345">
        <v>0</v>
      </c>
      <c r="L221" s="345">
        <v>0</v>
      </c>
      <c r="M221" s="345">
        <v>0</v>
      </c>
      <c r="N221" s="345">
        <v>4285</v>
      </c>
      <c r="O221" s="345">
        <v>4285</v>
      </c>
      <c r="Q221" s="342" t="s">
        <v>3154</v>
      </c>
    </row>
    <row r="222" spans="1:17" ht="15.75" thickBot="1">
      <c r="C222" s="122" t="s">
        <v>12957</v>
      </c>
      <c r="D222" s="345">
        <v>0</v>
      </c>
      <c r="E222" s="345">
        <v>0</v>
      </c>
      <c r="F222" s="345">
        <v>0</v>
      </c>
      <c r="G222" s="345">
        <v>0</v>
      </c>
      <c r="H222" s="345">
        <v>0</v>
      </c>
      <c r="I222" s="345">
        <v>0</v>
      </c>
      <c r="J222" s="345">
        <v>0</v>
      </c>
      <c r="K222" s="345">
        <v>0</v>
      </c>
      <c r="L222" s="345">
        <v>0</v>
      </c>
      <c r="M222" s="345">
        <v>0</v>
      </c>
      <c r="N222" s="345">
        <v>1</v>
      </c>
      <c r="O222" s="345">
        <v>1</v>
      </c>
      <c r="Q222" s="122" t="s">
        <v>2318</v>
      </c>
    </row>
    <row r="223" spans="1:17" ht="15.75" thickBot="1">
      <c r="C223" s="122" t="s">
        <v>12957</v>
      </c>
      <c r="D223" s="352">
        <f t="shared" ref="D223:N223" si="59">D221+D222</f>
        <v>0</v>
      </c>
      <c r="E223" s="352">
        <f t="shared" si="59"/>
        <v>0</v>
      </c>
      <c r="F223" s="352">
        <f t="shared" si="59"/>
        <v>0</v>
      </c>
      <c r="G223" s="352">
        <f t="shared" si="59"/>
        <v>0</v>
      </c>
      <c r="H223" s="352">
        <f t="shared" si="59"/>
        <v>0</v>
      </c>
      <c r="I223" s="352">
        <f t="shared" si="59"/>
        <v>0</v>
      </c>
      <c r="J223" s="352">
        <f t="shared" si="59"/>
        <v>0</v>
      </c>
      <c r="K223" s="352">
        <f t="shared" si="59"/>
        <v>0</v>
      </c>
      <c r="L223" s="352">
        <f t="shared" si="59"/>
        <v>0</v>
      </c>
      <c r="M223" s="352">
        <f t="shared" si="59"/>
        <v>0</v>
      </c>
      <c r="N223" s="352">
        <f t="shared" si="59"/>
        <v>4286</v>
      </c>
      <c r="O223" s="352">
        <f>O221+O222</f>
        <v>4286</v>
      </c>
    </row>
    <row r="224" spans="1:17">
      <c r="A224" s="342" t="s">
        <v>4535</v>
      </c>
      <c r="B224" s="122" t="s">
        <v>1154</v>
      </c>
      <c r="C224" s="122" t="s">
        <v>12958</v>
      </c>
      <c r="D224" s="345">
        <v>0</v>
      </c>
      <c r="E224" s="345">
        <v>0</v>
      </c>
      <c r="F224" s="345">
        <v>0</v>
      </c>
      <c r="G224" s="345">
        <v>0</v>
      </c>
      <c r="H224" s="345">
        <v>0</v>
      </c>
      <c r="I224" s="345">
        <v>0</v>
      </c>
      <c r="J224" s="345">
        <v>0</v>
      </c>
      <c r="K224" s="345">
        <v>0</v>
      </c>
      <c r="L224" s="345">
        <v>0</v>
      </c>
      <c r="M224" s="345">
        <v>0</v>
      </c>
      <c r="N224" s="345">
        <v>5596</v>
      </c>
      <c r="O224" s="345">
        <v>5597</v>
      </c>
      <c r="Q224" s="122" t="s">
        <v>3154</v>
      </c>
    </row>
    <row r="225" spans="1:17">
      <c r="A225" s="342" t="s">
        <v>4537</v>
      </c>
      <c r="B225" s="122" t="s">
        <v>12960</v>
      </c>
      <c r="C225" s="122" t="s">
        <v>12959</v>
      </c>
      <c r="D225" s="345">
        <v>0</v>
      </c>
      <c r="E225" s="345">
        <v>0</v>
      </c>
      <c r="F225" s="345">
        <v>0</v>
      </c>
      <c r="G225" s="345">
        <v>0</v>
      </c>
      <c r="H225" s="345">
        <v>0</v>
      </c>
      <c r="I225" s="345">
        <v>0</v>
      </c>
      <c r="J225" s="345">
        <v>0</v>
      </c>
      <c r="K225" s="345">
        <v>0</v>
      </c>
      <c r="L225" s="345">
        <v>0</v>
      </c>
      <c r="M225" s="345">
        <v>0</v>
      </c>
      <c r="N225" s="345">
        <v>3711</v>
      </c>
      <c r="O225" s="345">
        <v>3711</v>
      </c>
      <c r="Q225" s="122" t="s">
        <v>2318</v>
      </c>
    </row>
    <row r="226" spans="1:17">
      <c r="A226" s="342" t="s">
        <v>4539</v>
      </c>
      <c r="B226" s="122" t="s">
        <v>12962</v>
      </c>
      <c r="C226" s="122" t="s">
        <v>12961</v>
      </c>
      <c r="D226" s="345">
        <v>0</v>
      </c>
      <c r="E226" s="345">
        <v>0</v>
      </c>
      <c r="F226" s="345">
        <v>0</v>
      </c>
      <c r="G226" s="345">
        <v>0</v>
      </c>
      <c r="H226" s="345">
        <v>0</v>
      </c>
      <c r="I226" s="345">
        <v>0</v>
      </c>
      <c r="J226" s="345">
        <v>0</v>
      </c>
      <c r="K226" s="345">
        <v>0</v>
      </c>
      <c r="L226" s="345">
        <v>0</v>
      </c>
      <c r="M226" s="345">
        <v>0</v>
      </c>
      <c r="N226" s="345">
        <v>3223</v>
      </c>
      <c r="O226" s="345">
        <v>3223</v>
      </c>
      <c r="Q226" s="122" t="s">
        <v>2318</v>
      </c>
    </row>
    <row r="227" spans="1:17">
      <c r="A227" s="342" t="s">
        <v>6158</v>
      </c>
      <c r="B227" s="122" t="s">
        <v>12964</v>
      </c>
      <c r="C227" s="122" t="s">
        <v>12963</v>
      </c>
      <c r="D227" s="345">
        <v>0</v>
      </c>
      <c r="E227" s="345">
        <v>0</v>
      </c>
      <c r="F227" s="345">
        <v>0</v>
      </c>
      <c r="G227" s="345">
        <v>0</v>
      </c>
      <c r="H227" s="345">
        <v>0</v>
      </c>
      <c r="I227" s="345">
        <v>0</v>
      </c>
      <c r="J227" s="345">
        <v>0</v>
      </c>
      <c r="K227" s="345">
        <v>0</v>
      </c>
      <c r="L227" s="345">
        <v>0</v>
      </c>
      <c r="M227" s="345">
        <v>0</v>
      </c>
      <c r="N227" s="345">
        <v>3625</v>
      </c>
      <c r="O227" s="345">
        <v>3625</v>
      </c>
      <c r="Q227" s="122" t="s">
        <v>2318</v>
      </c>
    </row>
    <row r="228" spans="1:17">
      <c r="A228" s="355" t="s">
        <v>6159</v>
      </c>
      <c r="B228" s="122" t="s">
        <v>12966</v>
      </c>
      <c r="C228" s="122" t="s">
        <v>12965</v>
      </c>
      <c r="D228" s="345">
        <v>0</v>
      </c>
      <c r="E228" s="345">
        <v>0</v>
      </c>
      <c r="F228" s="345">
        <v>0</v>
      </c>
      <c r="G228" s="345">
        <v>0</v>
      </c>
      <c r="H228" s="345">
        <v>0</v>
      </c>
      <c r="I228" s="345">
        <v>0</v>
      </c>
      <c r="J228" s="345">
        <v>0</v>
      </c>
      <c r="K228" s="345">
        <v>0</v>
      </c>
      <c r="L228" s="345">
        <v>0</v>
      </c>
      <c r="M228" s="345">
        <v>0</v>
      </c>
      <c r="N228" s="345">
        <v>2047</v>
      </c>
      <c r="O228" s="345">
        <v>2047</v>
      </c>
      <c r="Q228" s="342" t="s">
        <v>3154</v>
      </c>
    </row>
    <row r="229" spans="1:17">
      <c r="A229" s="355" t="s">
        <v>6160</v>
      </c>
      <c r="B229" s="122" t="s">
        <v>1155</v>
      </c>
      <c r="C229" s="122" t="s">
        <v>12967</v>
      </c>
      <c r="D229" s="345">
        <v>0</v>
      </c>
      <c r="E229" s="345">
        <v>0</v>
      </c>
      <c r="F229" s="345">
        <v>0</v>
      </c>
      <c r="G229" s="345">
        <v>0</v>
      </c>
      <c r="H229" s="345">
        <v>0</v>
      </c>
      <c r="I229" s="345">
        <v>0</v>
      </c>
      <c r="J229" s="345">
        <v>0</v>
      </c>
      <c r="K229" s="345">
        <v>0</v>
      </c>
      <c r="L229" s="345">
        <v>0</v>
      </c>
      <c r="M229" s="345">
        <v>0</v>
      </c>
      <c r="N229" s="345">
        <v>2332</v>
      </c>
      <c r="O229" s="345">
        <v>2332</v>
      </c>
      <c r="Q229" s="122" t="s">
        <v>2318</v>
      </c>
    </row>
    <row r="230" spans="1:17">
      <c r="A230" s="355" t="s">
        <v>6162</v>
      </c>
      <c r="B230" s="122" t="s">
        <v>1156</v>
      </c>
      <c r="C230" s="122" t="s">
        <v>12968</v>
      </c>
      <c r="D230" s="345">
        <v>0</v>
      </c>
      <c r="E230" s="345">
        <v>0</v>
      </c>
      <c r="F230" s="345">
        <v>0</v>
      </c>
      <c r="G230" s="345">
        <v>0</v>
      </c>
      <c r="H230" s="345">
        <v>0</v>
      </c>
      <c r="I230" s="345">
        <v>0</v>
      </c>
      <c r="J230" s="345">
        <v>0</v>
      </c>
      <c r="K230" s="345">
        <v>0</v>
      </c>
      <c r="L230" s="345">
        <v>0</v>
      </c>
      <c r="M230" s="345">
        <v>0</v>
      </c>
      <c r="N230" s="345">
        <v>1930</v>
      </c>
      <c r="O230" s="345">
        <v>1930</v>
      </c>
      <c r="Q230" s="342" t="s">
        <v>3154</v>
      </c>
    </row>
    <row r="231" spans="1:17">
      <c r="A231" s="355" t="s">
        <v>2157</v>
      </c>
      <c r="B231" s="122" t="s">
        <v>1157</v>
      </c>
      <c r="C231" s="122" t="s">
        <v>12969</v>
      </c>
      <c r="D231" s="345">
        <v>0</v>
      </c>
      <c r="E231" s="345">
        <v>0</v>
      </c>
      <c r="F231" s="345">
        <v>0</v>
      </c>
      <c r="G231" s="345">
        <v>0</v>
      </c>
      <c r="H231" s="345">
        <v>0</v>
      </c>
      <c r="I231" s="345">
        <v>0</v>
      </c>
      <c r="J231" s="345">
        <v>0</v>
      </c>
      <c r="K231" s="345">
        <v>0</v>
      </c>
      <c r="L231" s="345">
        <v>0</v>
      </c>
      <c r="M231" s="345">
        <v>0</v>
      </c>
      <c r="N231" s="345">
        <v>3236</v>
      </c>
      <c r="O231" s="345">
        <v>3236</v>
      </c>
      <c r="Q231" s="342" t="s">
        <v>3154</v>
      </c>
    </row>
    <row r="232" spans="1:17">
      <c r="A232" s="355" t="s">
        <v>2158</v>
      </c>
      <c r="B232" s="122" t="s">
        <v>1248</v>
      </c>
      <c r="C232" s="122" t="s">
        <v>12970</v>
      </c>
      <c r="D232" s="345">
        <v>0</v>
      </c>
      <c r="E232" s="345">
        <v>0</v>
      </c>
      <c r="F232" s="345">
        <v>0</v>
      </c>
      <c r="G232" s="345">
        <v>0</v>
      </c>
      <c r="H232" s="345">
        <v>0</v>
      </c>
      <c r="I232" s="345">
        <v>0</v>
      </c>
      <c r="J232" s="345">
        <v>0</v>
      </c>
      <c r="K232" s="345">
        <v>0</v>
      </c>
      <c r="L232" s="345">
        <v>0</v>
      </c>
      <c r="M232" s="345">
        <v>0</v>
      </c>
      <c r="N232" s="345">
        <v>3230</v>
      </c>
      <c r="O232" s="345">
        <v>3230</v>
      </c>
      <c r="Q232" s="342" t="s">
        <v>3154</v>
      </c>
    </row>
    <row r="233" spans="1:17">
      <c r="A233" s="355" t="s">
        <v>1838</v>
      </c>
      <c r="B233" s="122" t="s">
        <v>5580</v>
      </c>
      <c r="C233" s="122" t="s">
        <v>12971</v>
      </c>
      <c r="D233" s="345">
        <v>0</v>
      </c>
      <c r="E233" s="345">
        <v>0</v>
      </c>
      <c r="F233" s="345">
        <v>0</v>
      </c>
      <c r="G233" s="345">
        <v>0</v>
      </c>
      <c r="H233" s="345">
        <v>0</v>
      </c>
      <c r="I233" s="345">
        <v>0</v>
      </c>
      <c r="J233" s="345">
        <v>0</v>
      </c>
      <c r="K233" s="345">
        <v>0</v>
      </c>
      <c r="L233" s="345">
        <v>0</v>
      </c>
      <c r="M233" s="345">
        <v>0</v>
      </c>
      <c r="N233" s="345">
        <v>2278</v>
      </c>
      <c r="O233" s="345">
        <v>2278</v>
      </c>
      <c r="Q233" s="122" t="s">
        <v>2318</v>
      </c>
    </row>
    <row r="234" spans="1:17">
      <c r="A234" s="355" t="s">
        <v>1839</v>
      </c>
      <c r="B234" s="122" t="s">
        <v>12973</v>
      </c>
      <c r="C234" s="122" t="s">
        <v>12972</v>
      </c>
      <c r="D234" s="345">
        <v>0</v>
      </c>
      <c r="E234" s="345">
        <v>0</v>
      </c>
      <c r="F234" s="345">
        <v>0</v>
      </c>
      <c r="G234" s="345">
        <v>0</v>
      </c>
      <c r="H234" s="345">
        <v>0</v>
      </c>
      <c r="I234" s="345">
        <v>0</v>
      </c>
      <c r="J234" s="345">
        <v>0</v>
      </c>
      <c r="K234" s="345">
        <v>0</v>
      </c>
      <c r="L234" s="345">
        <v>0</v>
      </c>
      <c r="M234" s="345">
        <v>0</v>
      </c>
      <c r="N234" s="345">
        <v>3380</v>
      </c>
      <c r="O234" s="345">
        <v>3380</v>
      </c>
      <c r="Q234" s="342" t="s">
        <v>3154</v>
      </c>
    </row>
    <row r="235" spans="1:17">
      <c r="A235" s="355" t="s">
        <v>1841</v>
      </c>
      <c r="B235" s="122" t="s">
        <v>12975</v>
      </c>
      <c r="C235" s="122" t="s">
        <v>12974</v>
      </c>
      <c r="D235" s="345">
        <v>0</v>
      </c>
      <c r="E235" s="345">
        <v>0</v>
      </c>
      <c r="F235" s="345">
        <v>0</v>
      </c>
      <c r="G235" s="345">
        <v>0</v>
      </c>
      <c r="H235" s="345">
        <v>0</v>
      </c>
      <c r="I235" s="345">
        <v>0</v>
      </c>
      <c r="J235" s="345">
        <v>0</v>
      </c>
      <c r="K235" s="345">
        <v>0</v>
      </c>
      <c r="L235" s="345">
        <v>0</v>
      </c>
      <c r="M235" s="345">
        <v>0</v>
      </c>
      <c r="N235" s="345">
        <v>3598</v>
      </c>
      <c r="O235" s="345">
        <v>3599</v>
      </c>
      <c r="Q235" s="122" t="s">
        <v>2318</v>
      </c>
    </row>
    <row r="236" spans="1:17">
      <c r="A236" s="355" t="s">
        <v>513</v>
      </c>
      <c r="B236" s="122" t="s">
        <v>12977</v>
      </c>
      <c r="C236" s="122" t="s">
        <v>12976</v>
      </c>
      <c r="D236" s="345">
        <v>0</v>
      </c>
      <c r="E236" s="345">
        <v>0</v>
      </c>
      <c r="F236" s="345">
        <v>0</v>
      </c>
      <c r="G236" s="345">
        <v>0</v>
      </c>
      <c r="H236" s="345">
        <v>0</v>
      </c>
      <c r="I236" s="345">
        <v>0</v>
      </c>
      <c r="J236" s="345">
        <v>0</v>
      </c>
      <c r="K236" s="345">
        <v>0</v>
      </c>
      <c r="L236" s="345">
        <v>0</v>
      </c>
      <c r="M236" s="345">
        <v>0</v>
      </c>
      <c r="N236" s="345">
        <v>4227</v>
      </c>
      <c r="O236" s="345">
        <v>4228</v>
      </c>
      <c r="Q236" s="342" t="s">
        <v>3154</v>
      </c>
    </row>
    <row r="237" spans="1:17">
      <c r="A237" s="355" t="s">
        <v>12982</v>
      </c>
      <c r="B237" s="122" t="s">
        <v>3148</v>
      </c>
      <c r="C237" s="122" t="s">
        <v>12978</v>
      </c>
      <c r="D237" s="345">
        <v>0</v>
      </c>
      <c r="E237" s="345">
        <v>0</v>
      </c>
      <c r="F237" s="345">
        <v>0</v>
      </c>
      <c r="G237" s="345">
        <v>0</v>
      </c>
      <c r="H237" s="345">
        <v>0</v>
      </c>
      <c r="I237" s="345">
        <v>0</v>
      </c>
      <c r="J237" s="345">
        <v>0</v>
      </c>
      <c r="K237" s="345">
        <v>0</v>
      </c>
      <c r="L237" s="345">
        <v>0</v>
      </c>
      <c r="M237" s="345">
        <v>0</v>
      </c>
      <c r="N237" s="345">
        <v>3907</v>
      </c>
      <c r="O237" s="345">
        <v>3909</v>
      </c>
      <c r="Q237" s="342" t="s">
        <v>3154</v>
      </c>
    </row>
    <row r="238" spans="1:17">
      <c r="A238" s="355" t="s">
        <v>12983</v>
      </c>
      <c r="B238" s="122" t="s">
        <v>12980</v>
      </c>
      <c r="C238" s="122" t="s">
        <v>12979</v>
      </c>
      <c r="D238" s="345">
        <v>0</v>
      </c>
      <c r="E238" s="345">
        <v>0</v>
      </c>
      <c r="F238" s="345">
        <v>0</v>
      </c>
      <c r="G238" s="345">
        <v>0</v>
      </c>
      <c r="H238" s="345">
        <v>0</v>
      </c>
      <c r="I238" s="345">
        <v>0</v>
      </c>
      <c r="J238" s="345">
        <v>0</v>
      </c>
      <c r="K238" s="345">
        <v>0</v>
      </c>
      <c r="L238" s="345">
        <v>0</v>
      </c>
      <c r="M238" s="345">
        <v>0</v>
      </c>
      <c r="N238" s="345">
        <v>671</v>
      </c>
      <c r="O238" s="345">
        <v>671</v>
      </c>
      <c r="Q238" s="122" t="s">
        <v>2314</v>
      </c>
    </row>
    <row r="239" spans="1:17" ht="15.75" thickBot="1">
      <c r="C239" s="122" t="s">
        <v>12979</v>
      </c>
      <c r="D239" s="351">
        <v>0</v>
      </c>
      <c r="E239" s="351">
        <v>0</v>
      </c>
      <c r="F239" s="351">
        <v>0</v>
      </c>
      <c r="G239" s="351">
        <v>0</v>
      </c>
      <c r="H239" s="351">
        <v>0</v>
      </c>
      <c r="I239" s="351">
        <v>0</v>
      </c>
      <c r="J239" s="351">
        <v>0</v>
      </c>
      <c r="K239" s="351">
        <v>0</v>
      </c>
      <c r="L239" s="351">
        <v>0</v>
      </c>
      <c r="M239" s="351">
        <v>0</v>
      </c>
      <c r="N239" s="351">
        <v>1404</v>
      </c>
      <c r="O239" s="351">
        <v>1404</v>
      </c>
      <c r="Q239" s="122" t="s">
        <v>2318</v>
      </c>
    </row>
    <row r="240" spans="1:17" ht="15.75" thickBot="1">
      <c r="C240" s="122" t="s">
        <v>12979</v>
      </c>
      <c r="D240" s="352">
        <f t="shared" ref="D240:O240" si="60">D238+D239</f>
        <v>0</v>
      </c>
      <c r="E240" s="352">
        <f t="shared" si="60"/>
        <v>0</v>
      </c>
      <c r="F240" s="352">
        <f t="shared" si="60"/>
        <v>0</v>
      </c>
      <c r="G240" s="352">
        <f t="shared" si="60"/>
        <v>0</v>
      </c>
      <c r="H240" s="352">
        <f t="shared" si="60"/>
        <v>0</v>
      </c>
      <c r="I240" s="352">
        <f t="shared" si="60"/>
        <v>0</v>
      </c>
      <c r="J240" s="352">
        <f t="shared" si="60"/>
        <v>0</v>
      </c>
      <c r="K240" s="352">
        <f t="shared" si="60"/>
        <v>0</v>
      </c>
      <c r="L240" s="352">
        <f t="shared" si="60"/>
        <v>0</v>
      </c>
      <c r="M240" s="352">
        <f t="shared" si="60"/>
        <v>0</v>
      </c>
      <c r="N240" s="352">
        <f t="shared" si="60"/>
        <v>2075</v>
      </c>
      <c r="O240" s="352">
        <f t="shared" si="60"/>
        <v>2075</v>
      </c>
    </row>
    <row r="241" spans="1:17">
      <c r="A241" s="355" t="s">
        <v>12984</v>
      </c>
      <c r="B241" s="122" t="s">
        <v>1158</v>
      </c>
      <c r="C241" s="122" t="s">
        <v>12981</v>
      </c>
      <c r="D241" s="345">
        <v>0</v>
      </c>
      <c r="E241" s="345">
        <v>0</v>
      </c>
      <c r="F241" s="345">
        <v>0</v>
      </c>
      <c r="G241" s="345">
        <v>0</v>
      </c>
      <c r="H241" s="345">
        <v>0</v>
      </c>
      <c r="I241" s="345">
        <v>0</v>
      </c>
      <c r="J241" s="345">
        <v>0</v>
      </c>
      <c r="K241" s="345">
        <v>0</v>
      </c>
      <c r="L241" s="345">
        <v>0</v>
      </c>
      <c r="M241" s="345">
        <v>0</v>
      </c>
      <c r="N241" s="345">
        <v>1926</v>
      </c>
      <c r="O241" s="345">
        <v>1926</v>
      </c>
      <c r="Q241" s="122" t="s">
        <v>2318</v>
      </c>
    </row>
    <row r="243" spans="1:17">
      <c r="A243" s="122" t="s">
        <v>520</v>
      </c>
      <c r="D243" s="345">
        <f t="shared" ref="D243:M243" si="61">SUM(D191,D202,D210,D221,D224,D228,D230,D231,D232,D234,D236,D237)</f>
        <v>38649</v>
      </c>
      <c r="E243" s="345">
        <f t="shared" si="61"/>
        <v>39478</v>
      </c>
      <c r="F243" s="345">
        <f t="shared" si="61"/>
        <v>39098</v>
      </c>
      <c r="G243" s="345">
        <f t="shared" si="61"/>
        <v>39172</v>
      </c>
      <c r="H243" s="345">
        <f t="shared" si="61"/>
        <v>38539</v>
      </c>
      <c r="I243" s="345">
        <f t="shared" si="61"/>
        <v>38276</v>
      </c>
      <c r="J243" s="345">
        <f t="shared" si="61"/>
        <v>36671</v>
      </c>
      <c r="K243" s="345">
        <f t="shared" si="61"/>
        <v>38320</v>
      </c>
      <c r="L243" s="345">
        <f t="shared" si="61"/>
        <v>37810</v>
      </c>
      <c r="M243" s="345">
        <f t="shared" si="61"/>
        <v>37458</v>
      </c>
      <c r="N243" s="345">
        <f>SUM(N191,N202,N210,N221,N224,N228,N230,N231,N232,N234,N236,N237)</f>
        <v>39089</v>
      </c>
      <c r="O243" s="345">
        <f>SUM(O191,O202,O210,O221,O224,O228,O230,O231,O232,O234,O236,O237)</f>
        <v>39095</v>
      </c>
    </row>
    <row r="244" spans="1:17">
      <c r="A244" s="122" t="s">
        <v>3118</v>
      </c>
      <c r="D244" s="345">
        <f t="shared" ref="D244:N244" si="62">SUM(D199,D238)</f>
        <v>3276</v>
      </c>
      <c r="E244" s="345">
        <f t="shared" si="62"/>
        <v>3356</v>
      </c>
      <c r="F244" s="345">
        <f t="shared" si="62"/>
        <v>3325</v>
      </c>
      <c r="G244" s="345">
        <f t="shared" si="62"/>
        <v>3374</v>
      </c>
      <c r="H244" s="345">
        <f t="shared" si="62"/>
        <v>3332</v>
      </c>
      <c r="I244" s="345">
        <f t="shared" si="62"/>
        <v>3361</v>
      </c>
      <c r="J244" s="345">
        <f t="shared" si="62"/>
        <v>3239</v>
      </c>
      <c r="K244" s="345">
        <f t="shared" si="62"/>
        <v>3473</v>
      </c>
      <c r="L244" s="345">
        <f t="shared" si="62"/>
        <v>3415</v>
      </c>
      <c r="M244" s="345">
        <f t="shared" si="62"/>
        <v>3365</v>
      </c>
      <c r="N244" s="345">
        <f t="shared" si="62"/>
        <v>3422</v>
      </c>
      <c r="O244" s="345">
        <f>SUM(O199,O238)</f>
        <v>3422</v>
      </c>
    </row>
    <row r="245" spans="1:17">
      <c r="A245" s="122" t="s">
        <v>2318</v>
      </c>
      <c r="D245" s="345">
        <f t="shared" ref="D245:N245" si="63">SUM(D192:D198,D200,D203:D209,D211,D213:D220,D222,D225:D227,D229,D233,D235,D239,D241)</f>
        <v>74161</v>
      </c>
      <c r="E245" s="345">
        <f t="shared" si="63"/>
        <v>76158</v>
      </c>
      <c r="F245" s="345">
        <f t="shared" si="63"/>
        <v>76566</v>
      </c>
      <c r="G245" s="345">
        <f t="shared" si="63"/>
        <v>77193</v>
      </c>
      <c r="H245" s="345">
        <f t="shared" si="63"/>
        <v>76061</v>
      </c>
      <c r="I245" s="345">
        <f t="shared" si="63"/>
        <v>75566</v>
      </c>
      <c r="J245" s="345">
        <f t="shared" si="63"/>
        <v>72809</v>
      </c>
      <c r="K245" s="345">
        <f t="shared" si="63"/>
        <v>77198</v>
      </c>
      <c r="L245" s="345">
        <f t="shared" si="63"/>
        <v>76519</v>
      </c>
      <c r="M245" s="345">
        <f t="shared" si="63"/>
        <v>76491</v>
      </c>
      <c r="N245" s="345">
        <f t="shared" si="63"/>
        <v>79388</v>
      </c>
      <c r="O245" s="345">
        <f>SUM(O192:O198,O200,O203:O209,O211,O213:O220,O222,O225:O227,O229,O233,O235,O239,O241)</f>
        <v>79394</v>
      </c>
    </row>
    <row r="247" spans="1:17">
      <c r="A247" s="122" t="s">
        <v>12985</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43:K43 D69:K69 D120:K120 D138:K139 D10:L10 D7:L8 D12:L13 D15:L18 D26:L27 D33:L33 D35 D37 L39:L43 D4:L5 D20:L24 D31:L31 L186 L181 L118:L145 L68:L72" unlockedFormula="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ransitionEvaluation="1"/>
  <dimension ref="A1:Q367"/>
  <sheetViews>
    <sheetView showGridLines="0" topLeftCell="A349" zoomScale="90" zoomScaleNormal="90" workbookViewId="0">
      <selection activeCell="Q208" sqref="Q208"/>
    </sheetView>
  </sheetViews>
  <sheetFormatPr defaultColWidth="12.5703125" defaultRowHeight="15"/>
  <cols>
    <col min="1" max="1" width="4.85546875" style="121" customWidth="1"/>
    <col min="2" max="2" width="43.28515625" style="121" customWidth="1"/>
    <col min="3" max="3" width="11.5703125" style="121" customWidth="1"/>
    <col min="4" max="12" width="10.140625" style="121" customWidth="1"/>
    <col min="13" max="15" width="10" style="121" customWidth="1"/>
    <col min="16" max="16" width="2.28515625" style="121" customWidth="1"/>
    <col min="17" max="17" width="33.140625" style="121" customWidth="1"/>
    <col min="18" max="16384" width="12.5703125" style="121"/>
  </cols>
  <sheetData>
    <row r="1" spans="1:17">
      <c r="A1" s="332" t="s">
        <v>6924</v>
      </c>
      <c r="D1" s="270">
        <v>2010</v>
      </c>
      <c r="E1" s="270">
        <v>2011</v>
      </c>
      <c r="F1" s="270">
        <v>2012</v>
      </c>
      <c r="G1" s="270">
        <v>2013</v>
      </c>
      <c r="H1" s="270">
        <v>2014</v>
      </c>
      <c r="I1" s="270">
        <v>2015</v>
      </c>
      <c r="J1" s="270">
        <v>2016</v>
      </c>
      <c r="K1" s="270">
        <v>2017</v>
      </c>
      <c r="L1" s="270">
        <v>2018</v>
      </c>
      <c r="M1" s="270">
        <v>2019</v>
      </c>
      <c r="N1" s="270">
        <v>2020</v>
      </c>
      <c r="O1" s="937" t="s">
        <v>14823</v>
      </c>
    </row>
    <row r="3" spans="1:17">
      <c r="A3" s="332" t="s">
        <v>5367</v>
      </c>
      <c r="D3" s="333">
        <f t="shared" ref="D3:I3" si="0">SUM(D5:D15)</f>
        <v>819336</v>
      </c>
      <c r="E3" s="333">
        <f t="shared" si="0"/>
        <v>827318</v>
      </c>
      <c r="F3" s="333">
        <f t="shared" si="0"/>
        <v>832233</v>
      </c>
      <c r="G3" s="333">
        <f t="shared" si="0"/>
        <v>836261</v>
      </c>
      <c r="H3" s="333">
        <f t="shared" si="0"/>
        <v>835720</v>
      </c>
      <c r="I3" s="333">
        <f t="shared" si="0"/>
        <v>819537</v>
      </c>
      <c r="J3" s="333">
        <f t="shared" ref="J3:O3" si="1">SUM(J5:J15)</f>
        <v>816524</v>
      </c>
      <c r="K3" s="333">
        <f t="shared" si="1"/>
        <v>836225</v>
      </c>
      <c r="L3" s="333">
        <f t="shared" si="1"/>
        <v>833435</v>
      </c>
      <c r="M3" s="333">
        <f t="shared" si="1"/>
        <v>825609</v>
      </c>
      <c r="N3" s="333">
        <f t="shared" si="1"/>
        <v>842612</v>
      </c>
      <c r="O3" s="333">
        <f t="shared" si="1"/>
        <v>859954</v>
      </c>
    </row>
    <row r="4" spans="1:17">
      <c r="D4" s="334"/>
      <c r="E4" s="334"/>
      <c r="F4" s="334"/>
      <c r="G4" s="334"/>
      <c r="H4" s="334"/>
      <c r="I4" s="334"/>
      <c r="J4" s="334"/>
      <c r="K4" s="334"/>
      <c r="L4" s="334"/>
      <c r="M4" s="334"/>
      <c r="N4" s="334"/>
      <c r="O4" s="334"/>
    </row>
    <row r="5" spans="1:17">
      <c r="A5" s="332" t="s">
        <v>1919</v>
      </c>
      <c r="C5" s="332"/>
      <c r="D5" s="333">
        <f t="shared" ref="D5:I5" si="2">D65</f>
        <v>90315</v>
      </c>
      <c r="E5" s="333">
        <f t="shared" si="2"/>
        <v>92023</v>
      </c>
      <c r="F5" s="333">
        <f t="shared" si="2"/>
        <v>92628</v>
      </c>
      <c r="G5" s="333">
        <f t="shared" si="2"/>
        <v>92704</v>
      </c>
      <c r="H5" s="333">
        <f t="shared" si="2"/>
        <v>93112</v>
      </c>
      <c r="I5" s="333">
        <f t="shared" si="2"/>
        <v>93133</v>
      </c>
      <c r="J5" s="333">
        <f t="shared" ref="J5:O5" si="3">J65</f>
        <v>93712</v>
      </c>
      <c r="K5" s="333">
        <f t="shared" si="3"/>
        <v>93430</v>
      </c>
      <c r="L5" s="333">
        <f t="shared" si="3"/>
        <v>94347</v>
      </c>
      <c r="M5" s="333">
        <f t="shared" si="3"/>
        <v>93020</v>
      </c>
      <c r="N5" s="333">
        <f t="shared" si="3"/>
        <v>94734</v>
      </c>
      <c r="O5" s="333">
        <f t="shared" si="3"/>
        <v>97774</v>
      </c>
      <c r="Q5" s="335"/>
    </row>
    <row r="6" spans="1:17">
      <c r="A6" s="332" t="s">
        <v>1920</v>
      </c>
      <c r="C6" s="332"/>
      <c r="D6" s="333">
        <f t="shared" ref="D6:I6" si="4">D97</f>
        <v>53928</v>
      </c>
      <c r="E6" s="333">
        <f t="shared" si="4"/>
        <v>54598</v>
      </c>
      <c r="F6" s="333">
        <f t="shared" si="4"/>
        <v>54941</v>
      </c>
      <c r="G6" s="333">
        <f t="shared" si="4"/>
        <v>55132</v>
      </c>
      <c r="H6" s="333">
        <f t="shared" si="4"/>
        <v>55744</v>
      </c>
      <c r="I6" s="333">
        <f t="shared" si="4"/>
        <v>54392</v>
      </c>
      <c r="J6" s="333">
        <f t="shared" ref="J6:O6" si="5">J97</f>
        <v>54801</v>
      </c>
      <c r="K6" s="333">
        <f t="shared" si="5"/>
        <v>55898</v>
      </c>
      <c r="L6" s="333">
        <f t="shared" si="5"/>
        <v>56141</v>
      </c>
      <c r="M6" s="333">
        <f t="shared" si="5"/>
        <v>55436</v>
      </c>
      <c r="N6" s="333">
        <f t="shared" si="5"/>
        <v>58276</v>
      </c>
      <c r="O6" s="333">
        <f t="shared" si="5"/>
        <v>56866</v>
      </c>
      <c r="Q6" s="335"/>
    </row>
    <row r="7" spans="1:17">
      <c r="A7" s="332" t="s">
        <v>1921</v>
      </c>
      <c r="C7" s="332"/>
      <c r="D7" s="333">
        <f t="shared" ref="D7:I7" si="6">D119</f>
        <v>99998</v>
      </c>
      <c r="E7" s="333">
        <f t="shared" si="6"/>
        <v>101014</v>
      </c>
      <c r="F7" s="333">
        <f t="shared" si="6"/>
        <v>101584</v>
      </c>
      <c r="G7" s="333">
        <f t="shared" si="6"/>
        <v>101190</v>
      </c>
      <c r="H7" s="333">
        <f t="shared" si="6"/>
        <v>101541</v>
      </c>
      <c r="I7" s="333">
        <f t="shared" si="6"/>
        <v>96215</v>
      </c>
      <c r="J7" s="333">
        <f t="shared" ref="J7:O7" si="7">J119</f>
        <v>98505</v>
      </c>
      <c r="K7" s="333">
        <f t="shared" si="7"/>
        <v>99304</v>
      </c>
      <c r="L7" s="333">
        <f t="shared" si="7"/>
        <v>96712</v>
      </c>
      <c r="M7" s="333">
        <f t="shared" si="7"/>
        <v>95880</v>
      </c>
      <c r="N7" s="333">
        <f t="shared" si="7"/>
        <v>96831</v>
      </c>
      <c r="O7" s="333">
        <f t="shared" si="7"/>
        <v>101831</v>
      </c>
      <c r="Q7" s="335"/>
    </row>
    <row r="8" spans="1:17">
      <c r="A8" s="332" t="s">
        <v>1922</v>
      </c>
      <c r="C8" s="332"/>
      <c r="D8" s="333">
        <f t="shared" ref="D8:I8" si="8">D153</f>
        <v>65013</v>
      </c>
      <c r="E8" s="333">
        <f t="shared" si="8"/>
        <v>65486</v>
      </c>
      <c r="F8" s="333">
        <f t="shared" si="8"/>
        <v>66175</v>
      </c>
      <c r="G8" s="333">
        <f t="shared" si="8"/>
        <v>66206</v>
      </c>
      <c r="H8" s="333">
        <f t="shared" si="8"/>
        <v>66931</v>
      </c>
      <c r="I8" s="333">
        <f t="shared" si="8"/>
        <v>65841</v>
      </c>
      <c r="J8" s="333">
        <f t="shared" ref="J8:O8" si="9">J153</f>
        <v>64797</v>
      </c>
      <c r="K8" s="333">
        <f t="shared" si="9"/>
        <v>66601</v>
      </c>
      <c r="L8" s="333">
        <f t="shared" si="9"/>
        <v>66457</v>
      </c>
      <c r="M8" s="333">
        <f t="shared" si="9"/>
        <v>65404</v>
      </c>
      <c r="N8" s="333">
        <f t="shared" si="9"/>
        <v>67647</v>
      </c>
      <c r="O8" s="333">
        <f t="shared" si="9"/>
        <v>67499</v>
      </c>
      <c r="Q8" s="335"/>
    </row>
    <row r="9" spans="1:17">
      <c r="A9" s="332" t="s">
        <v>678</v>
      </c>
      <c r="C9" s="332"/>
      <c r="D9" s="333">
        <f t="shared" ref="D9:I9" si="10">D184</f>
        <v>98331</v>
      </c>
      <c r="E9" s="333">
        <f t="shared" si="10"/>
        <v>99470</v>
      </c>
      <c r="F9" s="333">
        <f t="shared" si="10"/>
        <v>100036</v>
      </c>
      <c r="G9" s="333">
        <f t="shared" si="10"/>
        <v>100486</v>
      </c>
      <c r="H9" s="333">
        <f t="shared" si="10"/>
        <v>99449</v>
      </c>
      <c r="I9" s="333">
        <f t="shared" si="10"/>
        <v>101001</v>
      </c>
      <c r="J9" s="333">
        <f t="shared" ref="J9:O9" si="11">J184</f>
        <v>99976</v>
      </c>
      <c r="K9" s="333">
        <f t="shared" si="11"/>
        <v>101796</v>
      </c>
      <c r="L9" s="333">
        <f t="shared" si="11"/>
        <v>101943</v>
      </c>
      <c r="M9" s="333">
        <f t="shared" si="11"/>
        <v>101675</v>
      </c>
      <c r="N9" s="333">
        <f t="shared" si="11"/>
        <v>103993</v>
      </c>
      <c r="O9" s="333">
        <f t="shared" si="11"/>
        <v>105111</v>
      </c>
      <c r="Q9" s="335"/>
    </row>
    <row r="10" spans="1:17">
      <c r="A10" s="332" t="s">
        <v>641</v>
      </c>
      <c r="C10" s="332"/>
      <c r="D10" s="333">
        <f t="shared" ref="D10:I10" si="12">D216</f>
        <v>57856</v>
      </c>
      <c r="E10" s="333">
        <f t="shared" si="12"/>
        <v>58619</v>
      </c>
      <c r="F10" s="333">
        <f t="shared" si="12"/>
        <v>58962</v>
      </c>
      <c r="G10" s="333">
        <f t="shared" si="12"/>
        <v>59436</v>
      </c>
      <c r="H10" s="333">
        <f t="shared" si="12"/>
        <v>60363</v>
      </c>
      <c r="I10" s="333">
        <f t="shared" si="12"/>
        <v>56471</v>
      </c>
      <c r="J10" s="333">
        <f t="shared" ref="J10:O10" si="13">J216</f>
        <v>55472</v>
      </c>
      <c r="K10" s="333">
        <f t="shared" si="13"/>
        <v>57951</v>
      </c>
      <c r="L10" s="333">
        <f t="shared" si="13"/>
        <v>56357</v>
      </c>
      <c r="M10" s="333">
        <f t="shared" si="13"/>
        <v>56837</v>
      </c>
      <c r="N10" s="333">
        <f t="shared" si="13"/>
        <v>58145</v>
      </c>
      <c r="O10" s="333">
        <f t="shared" si="13"/>
        <v>60713</v>
      </c>
      <c r="Q10" s="335"/>
    </row>
    <row r="11" spans="1:17">
      <c r="A11" s="332" t="s">
        <v>642</v>
      </c>
      <c r="C11" s="332"/>
      <c r="D11" s="333">
        <f t="shared" ref="D11:I11" si="14">D239</f>
        <v>70962</v>
      </c>
      <c r="E11" s="333">
        <f t="shared" si="14"/>
        <v>71211</v>
      </c>
      <c r="F11" s="333">
        <f t="shared" si="14"/>
        <v>72000</v>
      </c>
      <c r="G11" s="333">
        <f t="shared" si="14"/>
        <v>72547</v>
      </c>
      <c r="H11" s="333">
        <f t="shared" si="14"/>
        <v>72660</v>
      </c>
      <c r="I11" s="333">
        <f t="shared" si="14"/>
        <v>70607</v>
      </c>
      <c r="J11" s="333">
        <f t="shared" ref="J11:O11" si="15">J239</f>
        <v>70299</v>
      </c>
      <c r="K11" s="333">
        <f t="shared" si="15"/>
        <v>71962</v>
      </c>
      <c r="L11" s="333">
        <f t="shared" si="15"/>
        <v>72030</v>
      </c>
      <c r="M11" s="333">
        <f t="shared" si="15"/>
        <v>71341</v>
      </c>
      <c r="N11" s="333">
        <f t="shared" si="15"/>
        <v>71197</v>
      </c>
      <c r="O11" s="333">
        <f t="shared" si="15"/>
        <v>72897</v>
      </c>
      <c r="Q11" s="335"/>
    </row>
    <row r="12" spans="1:17">
      <c r="A12" s="332" t="s">
        <v>643</v>
      </c>
      <c r="C12" s="332"/>
      <c r="D12" s="333">
        <f t="shared" ref="D12:I12" si="16">D261</f>
        <v>62445</v>
      </c>
      <c r="E12" s="333">
        <f t="shared" si="16"/>
        <v>63565</v>
      </c>
      <c r="F12" s="333">
        <f t="shared" si="16"/>
        <v>64145</v>
      </c>
      <c r="G12" s="333">
        <f t="shared" si="16"/>
        <v>64550</v>
      </c>
      <c r="H12" s="333">
        <f t="shared" si="16"/>
        <v>64430</v>
      </c>
      <c r="I12" s="333">
        <f t="shared" si="16"/>
        <v>63007</v>
      </c>
      <c r="J12" s="333">
        <f t="shared" ref="J12:O12" si="17">J261</f>
        <v>62634</v>
      </c>
      <c r="K12" s="333">
        <f t="shared" si="17"/>
        <v>64729</v>
      </c>
      <c r="L12" s="333">
        <f t="shared" si="17"/>
        <v>64728</v>
      </c>
      <c r="M12" s="333">
        <f t="shared" si="17"/>
        <v>64459</v>
      </c>
      <c r="N12" s="333">
        <f t="shared" si="17"/>
        <v>66645</v>
      </c>
      <c r="O12" s="333">
        <f t="shared" si="17"/>
        <v>66352</v>
      </c>
      <c r="Q12" s="335"/>
    </row>
    <row r="13" spans="1:17">
      <c r="A13" s="332" t="s">
        <v>644</v>
      </c>
      <c r="C13" s="332"/>
      <c r="D13" s="333">
        <f t="shared" ref="D13:I13" si="18">D284</f>
        <v>61007</v>
      </c>
      <c r="E13" s="333">
        <f t="shared" si="18"/>
        <v>61056</v>
      </c>
      <c r="F13" s="333">
        <f t="shared" si="18"/>
        <v>61146</v>
      </c>
      <c r="G13" s="333">
        <f t="shared" si="18"/>
        <v>61590</v>
      </c>
      <c r="H13" s="333">
        <f t="shared" si="18"/>
        <v>59190</v>
      </c>
      <c r="I13" s="333">
        <f t="shared" si="18"/>
        <v>60213</v>
      </c>
      <c r="J13" s="333">
        <f t="shared" ref="J13:O13" si="19">J284</f>
        <v>60505</v>
      </c>
      <c r="K13" s="333">
        <f t="shared" si="19"/>
        <v>63409</v>
      </c>
      <c r="L13" s="333">
        <f t="shared" si="19"/>
        <v>63562</v>
      </c>
      <c r="M13" s="333">
        <f t="shared" si="19"/>
        <v>62837</v>
      </c>
      <c r="N13" s="333">
        <f t="shared" si="19"/>
        <v>63265</v>
      </c>
      <c r="O13" s="333">
        <f t="shared" si="19"/>
        <v>65319</v>
      </c>
      <c r="Q13" s="335"/>
    </row>
    <row r="14" spans="1:17">
      <c r="A14" s="332" t="s">
        <v>645</v>
      </c>
      <c r="C14" s="332"/>
      <c r="D14" s="333">
        <f t="shared" ref="D14:I14" si="20">D314</f>
        <v>90872</v>
      </c>
      <c r="E14" s="333">
        <f t="shared" si="20"/>
        <v>90491</v>
      </c>
      <c r="F14" s="333">
        <f t="shared" si="20"/>
        <v>91140</v>
      </c>
      <c r="G14" s="333">
        <f t="shared" si="20"/>
        <v>91916</v>
      </c>
      <c r="H14" s="333">
        <f t="shared" si="20"/>
        <v>92504</v>
      </c>
      <c r="I14" s="333">
        <f t="shared" si="20"/>
        <v>90183</v>
      </c>
      <c r="J14" s="333">
        <f t="shared" ref="J14:O14" si="21">J314</f>
        <v>88240</v>
      </c>
      <c r="K14" s="333">
        <f t="shared" si="21"/>
        <v>91510</v>
      </c>
      <c r="L14" s="333">
        <f t="shared" si="21"/>
        <v>91395</v>
      </c>
      <c r="M14" s="333">
        <f t="shared" si="21"/>
        <v>90378</v>
      </c>
      <c r="N14" s="333">
        <f t="shared" si="21"/>
        <v>92000</v>
      </c>
      <c r="O14" s="333">
        <f t="shared" si="21"/>
        <v>93855</v>
      </c>
      <c r="Q14" s="335"/>
    </row>
    <row r="15" spans="1:17">
      <c r="A15" s="332" t="s">
        <v>646</v>
      </c>
      <c r="C15" s="332"/>
      <c r="D15" s="333">
        <f t="shared" ref="D15:I15" si="22">D353</f>
        <v>68609</v>
      </c>
      <c r="E15" s="333">
        <f t="shared" si="22"/>
        <v>69785</v>
      </c>
      <c r="F15" s="333">
        <f t="shared" si="22"/>
        <v>69476</v>
      </c>
      <c r="G15" s="333">
        <f t="shared" si="22"/>
        <v>70504</v>
      </c>
      <c r="H15" s="333">
        <f t="shared" si="22"/>
        <v>69796</v>
      </c>
      <c r="I15" s="333">
        <f t="shared" si="22"/>
        <v>68474</v>
      </c>
      <c r="J15" s="333">
        <f t="shared" ref="J15:O15" si="23">J353</f>
        <v>67583</v>
      </c>
      <c r="K15" s="333">
        <f t="shared" si="23"/>
        <v>69635</v>
      </c>
      <c r="L15" s="333">
        <f t="shared" si="23"/>
        <v>69763</v>
      </c>
      <c r="M15" s="333">
        <f t="shared" si="23"/>
        <v>68342</v>
      </c>
      <c r="N15" s="333">
        <f t="shared" si="23"/>
        <v>69879</v>
      </c>
      <c r="O15" s="333">
        <f t="shared" si="23"/>
        <v>71737</v>
      </c>
      <c r="Q15" s="335"/>
    </row>
    <row r="17" spans="1:17">
      <c r="A17" s="332" t="s">
        <v>5333</v>
      </c>
      <c r="D17" s="333">
        <f t="shared" ref="D17:I17" si="24">D3/11</f>
        <v>74485.090909090912</v>
      </c>
      <c r="E17" s="333">
        <f t="shared" si="24"/>
        <v>75210.727272727279</v>
      </c>
      <c r="F17" s="333">
        <f t="shared" si="24"/>
        <v>75657.545454545456</v>
      </c>
      <c r="G17" s="333">
        <f t="shared" si="24"/>
        <v>76023.727272727279</v>
      </c>
      <c r="H17" s="333">
        <f t="shared" si="24"/>
        <v>75974.545454545456</v>
      </c>
      <c r="I17" s="333">
        <f t="shared" si="24"/>
        <v>74503.363636363632</v>
      </c>
      <c r="J17" s="333">
        <f t="shared" ref="J17:O17" si="25">J3/11</f>
        <v>74229.454545454544</v>
      </c>
      <c r="K17" s="333">
        <f t="shared" si="25"/>
        <v>76020.454545454544</v>
      </c>
      <c r="L17" s="333">
        <f t="shared" si="25"/>
        <v>75766.818181818177</v>
      </c>
      <c r="M17" s="333">
        <f t="shared" si="25"/>
        <v>75055.363636363632</v>
      </c>
      <c r="N17" s="333">
        <f t="shared" si="25"/>
        <v>76601.090909090912</v>
      </c>
      <c r="O17" s="333">
        <f t="shared" si="25"/>
        <v>78177.636363636368</v>
      </c>
    </row>
    <row r="18" spans="1:17">
      <c r="A18" s="332"/>
      <c r="D18" s="336"/>
      <c r="E18" s="336"/>
      <c r="F18" s="336"/>
      <c r="G18" s="336"/>
      <c r="H18" s="336"/>
      <c r="I18" s="336"/>
      <c r="J18" s="336"/>
      <c r="K18" s="336"/>
      <c r="L18" s="336"/>
      <c r="M18" s="336"/>
      <c r="N18" s="336"/>
      <c r="O18" s="336"/>
    </row>
    <row r="19" spans="1:17">
      <c r="A19" s="332" t="s">
        <v>647</v>
      </c>
      <c r="D19" s="333">
        <f t="shared" ref="D19:I19" si="26">D207</f>
        <v>15840</v>
      </c>
      <c r="E19" s="333">
        <f t="shared" si="26"/>
        <v>16089</v>
      </c>
      <c r="F19" s="333">
        <f t="shared" si="26"/>
        <v>16227</v>
      </c>
      <c r="G19" s="333">
        <f t="shared" si="26"/>
        <v>16143</v>
      </c>
      <c r="H19" s="333">
        <f t="shared" si="26"/>
        <v>16196</v>
      </c>
      <c r="I19" s="333">
        <f t="shared" si="26"/>
        <v>16582</v>
      </c>
      <c r="J19" s="333">
        <f t="shared" ref="J19:O19" si="27">J207</f>
        <v>16641</v>
      </c>
      <c r="K19" s="333">
        <f t="shared" si="27"/>
        <v>17174</v>
      </c>
      <c r="L19" s="333">
        <f t="shared" si="27"/>
        <v>17273</v>
      </c>
      <c r="M19" s="333">
        <f t="shared" si="27"/>
        <v>17541</v>
      </c>
      <c r="N19" s="333">
        <f t="shared" si="27"/>
        <v>18189</v>
      </c>
      <c r="O19" s="333">
        <f t="shared" si="27"/>
        <v>18409</v>
      </c>
      <c r="Q19" s="332" t="s">
        <v>648</v>
      </c>
    </row>
    <row r="20" spans="1:17" ht="15.75" thickBot="1">
      <c r="D20" s="337">
        <f t="shared" ref="D20:I20" si="28">D306</f>
        <v>61007</v>
      </c>
      <c r="E20" s="337">
        <f t="shared" si="28"/>
        <v>61056</v>
      </c>
      <c r="F20" s="337">
        <f t="shared" si="28"/>
        <v>61146</v>
      </c>
      <c r="G20" s="337">
        <f t="shared" si="28"/>
        <v>61590</v>
      </c>
      <c r="H20" s="337">
        <f t="shared" si="28"/>
        <v>59190</v>
      </c>
      <c r="I20" s="337">
        <f t="shared" si="28"/>
        <v>60213</v>
      </c>
      <c r="J20" s="337">
        <f t="shared" ref="J20:O20" si="29">J306</f>
        <v>60505</v>
      </c>
      <c r="K20" s="337">
        <f t="shared" si="29"/>
        <v>63409</v>
      </c>
      <c r="L20" s="337">
        <f t="shared" si="29"/>
        <v>63562</v>
      </c>
      <c r="M20" s="337">
        <f t="shared" si="29"/>
        <v>62837</v>
      </c>
      <c r="N20" s="337">
        <f t="shared" si="29"/>
        <v>63265</v>
      </c>
      <c r="O20" s="337">
        <f t="shared" si="29"/>
        <v>65319</v>
      </c>
      <c r="Q20" s="332" t="s">
        <v>5364</v>
      </c>
    </row>
    <row r="21" spans="1:17" ht="15.75" thickBot="1">
      <c r="D21" s="337">
        <f t="shared" ref="D21:I21" si="30">D19+D20</f>
        <v>76847</v>
      </c>
      <c r="E21" s="337">
        <f t="shared" si="30"/>
        <v>77145</v>
      </c>
      <c r="F21" s="337">
        <f t="shared" si="30"/>
        <v>77373</v>
      </c>
      <c r="G21" s="337">
        <f t="shared" si="30"/>
        <v>77733</v>
      </c>
      <c r="H21" s="337">
        <f t="shared" si="30"/>
        <v>75386</v>
      </c>
      <c r="I21" s="337">
        <f t="shared" si="30"/>
        <v>76795</v>
      </c>
      <c r="J21" s="337">
        <f t="shared" ref="J21:O21" si="31">J19+J20</f>
        <v>77146</v>
      </c>
      <c r="K21" s="337">
        <f t="shared" si="31"/>
        <v>80583</v>
      </c>
      <c r="L21" s="337">
        <f t="shared" si="31"/>
        <v>80835</v>
      </c>
      <c r="M21" s="337">
        <f t="shared" si="31"/>
        <v>80378</v>
      </c>
      <c r="N21" s="337">
        <f t="shared" si="31"/>
        <v>81454</v>
      </c>
      <c r="O21" s="337">
        <f t="shared" si="31"/>
        <v>83728</v>
      </c>
    </row>
    <row r="22" spans="1:17">
      <c r="D22" s="334"/>
      <c r="E22" s="334"/>
      <c r="F22" s="334"/>
      <c r="G22" s="334"/>
      <c r="H22" s="334"/>
      <c r="I22" s="334"/>
      <c r="J22" s="334"/>
      <c r="K22" s="334"/>
      <c r="L22" s="334"/>
      <c r="M22" s="334"/>
      <c r="N22" s="334"/>
      <c r="O22" s="334"/>
    </row>
    <row r="23" spans="1:17">
      <c r="A23" s="332" t="s">
        <v>649</v>
      </c>
      <c r="D23" s="333">
        <f t="shared" ref="D23:I23" si="32">D112</f>
        <v>53928</v>
      </c>
      <c r="E23" s="333">
        <f t="shared" si="32"/>
        <v>54598</v>
      </c>
      <c r="F23" s="333">
        <f t="shared" si="32"/>
        <v>54941</v>
      </c>
      <c r="G23" s="333">
        <f t="shared" si="32"/>
        <v>55132</v>
      </c>
      <c r="H23" s="333">
        <f t="shared" si="32"/>
        <v>55744</v>
      </c>
      <c r="I23" s="333">
        <f t="shared" si="32"/>
        <v>54392</v>
      </c>
      <c r="J23" s="333">
        <f t="shared" ref="J23:O23" si="33">J112</f>
        <v>54801</v>
      </c>
      <c r="K23" s="333">
        <f t="shared" si="33"/>
        <v>55898</v>
      </c>
      <c r="L23" s="333">
        <f t="shared" si="33"/>
        <v>56141</v>
      </c>
      <c r="M23" s="333">
        <f t="shared" si="33"/>
        <v>55436</v>
      </c>
      <c r="N23" s="333">
        <f t="shared" si="33"/>
        <v>58276</v>
      </c>
      <c r="O23" s="333">
        <f t="shared" si="33"/>
        <v>56866</v>
      </c>
      <c r="Q23" s="332" t="s">
        <v>2416</v>
      </c>
    </row>
    <row r="24" spans="1:17">
      <c r="D24" s="338">
        <f t="shared" ref="D24:I24" si="34">D176</f>
        <v>10866</v>
      </c>
      <c r="E24" s="338">
        <f t="shared" si="34"/>
        <v>10980</v>
      </c>
      <c r="F24" s="338">
        <f t="shared" si="34"/>
        <v>11114</v>
      </c>
      <c r="G24" s="338">
        <f t="shared" si="34"/>
        <v>11192</v>
      </c>
      <c r="H24" s="338">
        <f t="shared" si="34"/>
        <v>11322</v>
      </c>
      <c r="I24" s="338">
        <f t="shared" si="34"/>
        <v>11106</v>
      </c>
      <c r="J24" s="338">
        <f t="shared" ref="J24:O24" si="35">J176</f>
        <v>11059</v>
      </c>
      <c r="K24" s="338">
        <f t="shared" si="35"/>
        <v>11304</v>
      </c>
      <c r="L24" s="338">
        <f t="shared" si="35"/>
        <v>11333</v>
      </c>
      <c r="M24" s="338">
        <f t="shared" si="35"/>
        <v>11145</v>
      </c>
      <c r="N24" s="338">
        <f t="shared" si="35"/>
        <v>11427</v>
      </c>
      <c r="O24" s="338">
        <f t="shared" si="35"/>
        <v>11410</v>
      </c>
      <c r="Q24" s="332" t="s">
        <v>650</v>
      </c>
    </row>
    <row r="25" spans="1:17" ht="15.75" thickBot="1">
      <c r="D25" s="337">
        <f t="shared" ref="D25:I25" si="36">D208</f>
        <v>11258</v>
      </c>
      <c r="E25" s="337">
        <f t="shared" si="36"/>
        <v>11338</v>
      </c>
      <c r="F25" s="337">
        <f t="shared" si="36"/>
        <v>11371</v>
      </c>
      <c r="G25" s="337">
        <f t="shared" si="36"/>
        <v>11574</v>
      </c>
      <c r="H25" s="337">
        <f t="shared" si="36"/>
        <v>11437</v>
      </c>
      <c r="I25" s="337">
        <f t="shared" si="36"/>
        <v>11633</v>
      </c>
      <c r="J25" s="337">
        <f t="shared" ref="J25:O25" si="37">J208</f>
        <v>11557</v>
      </c>
      <c r="K25" s="337">
        <f t="shared" si="37"/>
        <v>11782</v>
      </c>
      <c r="L25" s="337">
        <f t="shared" si="37"/>
        <v>11815</v>
      </c>
      <c r="M25" s="337">
        <f t="shared" si="37"/>
        <v>11812</v>
      </c>
      <c r="N25" s="337">
        <f t="shared" si="37"/>
        <v>12003</v>
      </c>
      <c r="O25" s="337">
        <f t="shared" si="37"/>
        <v>12100</v>
      </c>
      <c r="Q25" s="332" t="s">
        <v>648</v>
      </c>
    </row>
    <row r="26" spans="1:17" ht="15.75" thickBot="1">
      <c r="D26" s="337">
        <f t="shared" ref="D26:I26" si="38">SUM(D23:D25)</f>
        <v>76052</v>
      </c>
      <c r="E26" s="337">
        <f t="shared" si="38"/>
        <v>76916</v>
      </c>
      <c r="F26" s="337">
        <f t="shared" si="38"/>
        <v>77426</v>
      </c>
      <c r="G26" s="337">
        <f t="shared" si="38"/>
        <v>77898</v>
      </c>
      <c r="H26" s="337">
        <f t="shared" si="38"/>
        <v>78503</v>
      </c>
      <c r="I26" s="337">
        <f t="shared" si="38"/>
        <v>77131</v>
      </c>
      <c r="J26" s="337">
        <f t="shared" ref="J26:O26" si="39">SUM(J23:J25)</f>
        <v>77417</v>
      </c>
      <c r="K26" s="337">
        <f t="shared" si="39"/>
        <v>78984</v>
      </c>
      <c r="L26" s="337">
        <f t="shared" si="39"/>
        <v>79289</v>
      </c>
      <c r="M26" s="337">
        <f t="shared" si="39"/>
        <v>78393</v>
      </c>
      <c r="N26" s="337">
        <f t="shared" si="39"/>
        <v>81706</v>
      </c>
      <c r="O26" s="337">
        <f t="shared" si="39"/>
        <v>80376</v>
      </c>
    </row>
    <row r="27" spans="1:17">
      <c r="D27" s="334"/>
      <c r="E27" s="334"/>
      <c r="F27" s="334"/>
      <c r="G27" s="334"/>
      <c r="H27" s="334"/>
      <c r="I27" s="334"/>
      <c r="J27" s="334"/>
      <c r="K27" s="334"/>
      <c r="L27" s="334"/>
      <c r="M27" s="334"/>
      <c r="N27" s="334"/>
      <c r="O27" s="334"/>
    </row>
    <row r="28" spans="1:17">
      <c r="A28" s="332" t="s">
        <v>651</v>
      </c>
      <c r="D28" s="333">
        <f t="shared" ref="D28:I28" si="40">D89</f>
        <v>75716</v>
      </c>
      <c r="E28" s="333">
        <f t="shared" si="40"/>
        <v>76962</v>
      </c>
      <c r="F28" s="333">
        <f t="shared" si="40"/>
        <v>77537</v>
      </c>
      <c r="G28" s="333">
        <f t="shared" si="40"/>
        <v>77681</v>
      </c>
      <c r="H28" s="333">
        <f t="shared" si="40"/>
        <v>78131</v>
      </c>
      <c r="I28" s="333">
        <f t="shared" si="40"/>
        <v>78216</v>
      </c>
      <c r="J28" s="333">
        <f t="shared" ref="J28:O28" si="41">J89</f>
        <v>78545</v>
      </c>
      <c r="K28" s="333">
        <f t="shared" si="41"/>
        <v>78303</v>
      </c>
      <c r="L28" s="333">
        <f t="shared" si="41"/>
        <v>79010</v>
      </c>
      <c r="M28" s="333">
        <f t="shared" si="41"/>
        <v>77896</v>
      </c>
      <c r="N28" s="333">
        <f t="shared" si="41"/>
        <v>79275</v>
      </c>
      <c r="O28" s="333">
        <f t="shared" si="41"/>
        <v>81816</v>
      </c>
      <c r="Q28" s="332" t="s">
        <v>652</v>
      </c>
    </row>
    <row r="29" spans="1:17">
      <c r="D29" s="334"/>
      <c r="E29" s="334"/>
      <c r="F29" s="334"/>
      <c r="G29" s="334"/>
      <c r="H29" s="334"/>
      <c r="I29" s="334"/>
      <c r="J29" s="334"/>
      <c r="K29" s="334"/>
      <c r="L29" s="334"/>
      <c r="M29" s="334"/>
      <c r="N29" s="334"/>
      <c r="O29" s="334"/>
    </row>
    <row r="30" spans="1:17">
      <c r="A30" s="332" t="s">
        <v>653</v>
      </c>
      <c r="D30" s="333">
        <f t="shared" ref="D30:I30" si="42">D143</f>
        <v>62683</v>
      </c>
      <c r="E30" s="333">
        <f t="shared" si="42"/>
        <v>63521</v>
      </c>
      <c r="F30" s="333">
        <f t="shared" si="42"/>
        <v>63913</v>
      </c>
      <c r="G30" s="333">
        <f t="shared" si="42"/>
        <v>63612</v>
      </c>
      <c r="H30" s="333">
        <f t="shared" si="42"/>
        <v>63584</v>
      </c>
      <c r="I30" s="333">
        <f t="shared" si="42"/>
        <v>58757</v>
      </c>
      <c r="J30" s="333">
        <f t="shared" ref="J30:O30" si="43">J143</f>
        <v>60331</v>
      </c>
      <c r="K30" s="333">
        <f t="shared" si="43"/>
        <v>60516</v>
      </c>
      <c r="L30" s="333">
        <f t="shared" si="43"/>
        <v>58856</v>
      </c>
      <c r="M30" s="333">
        <f t="shared" si="43"/>
        <v>58248</v>
      </c>
      <c r="N30" s="333">
        <f t="shared" si="43"/>
        <v>58957</v>
      </c>
      <c r="O30" s="333">
        <f t="shared" si="43"/>
        <v>63214</v>
      </c>
      <c r="Q30" s="332" t="s">
        <v>654</v>
      </c>
    </row>
    <row r="31" spans="1:17" ht="15.75" thickBot="1">
      <c r="D31" s="337">
        <f t="shared" ref="D31:I31" si="44">D345</f>
        <v>14153</v>
      </c>
      <c r="E31" s="337">
        <f t="shared" si="44"/>
        <v>13996</v>
      </c>
      <c r="F31" s="337">
        <f t="shared" si="44"/>
        <v>14052</v>
      </c>
      <c r="G31" s="337">
        <f t="shared" si="44"/>
        <v>14205</v>
      </c>
      <c r="H31" s="337">
        <f t="shared" si="44"/>
        <v>14366</v>
      </c>
      <c r="I31" s="337">
        <f t="shared" si="44"/>
        <v>13957</v>
      </c>
      <c r="J31" s="337">
        <f t="shared" ref="J31:O31" si="45">J345</f>
        <v>13746</v>
      </c>
      <c r="K31" s="337">
        <f t="shared" si="45"/>
        <v>14159</v>
      </c>
      <c r="L31" s="337">
        <f t="shared" si="45"/>
        <v>14076</v>
      </c>
      <c r="M31" s="337">
        <f t="shared" si="45"/>
        <v>14032</v>
      </c>
      <c r="N31" s="337">
        <f t="shared" si="45"/>
        <v>14251</v>
      </c>
      <c r="O31" s="337">
        <f t="shared" si="45"/>
        <v>14558</v>
      </c>
      <c r="Q31" s="332" t="s">
        <v>655</v>
      </c>
    </row>
    <row r="32" spans="1:17" ht="15.75" thickBot="1">
      <c r="D32" s="337">
        <f t="shared" ref="D32:I32" si="46">D30+D31</f>
        <v>76836</v>
      </c>
      <c r="E32" s="337">
        <f t="shared" si="46"/>
        <v>77517</v>
      </c>
      <c r="F32" s="337">
        <f t="shared" si="46"/>
        <v>77965</v>
      </c>
      <c r="G32" s="337">
        <f t="shared" si="46"/>
        <v>77817</v>
      </c>
      <c r="H32" s="337">
        <f t="shared" si="46"/>
        <v>77950</v>
      </c>
      <c r="I32" s="337">
        <f t="shared" si="46"/>
        <v>72714</v>
      </c>
      <c r="J32" s="337">
        <f t="shared" ref="J32:O32" si="47">J30+J31</f>
        <v>74077</v>
      </c>
      <c r="K32" s="337">
        <f t="shared" si="47"/>
        <v>74675</v>
      </c>
      <c r="L32" s="337">
        <f t="shared" si="47"/>
        <v>72932</v>
      </c>
      <c r="M32" s="337">
        <f t="shared" si="47"/>
        <v>72280</v>
      </c>
      <c r="N32" s="337">
        <f t="shared" si="47"/>
        <v>73208</v>
      </c>
      <c r="O32" s="337">
        <f t="shared" si="47"/>
        <v>77772</v>
      </c>
    </row>
    <row r="33" spans="1:17">
      <c r="D33" s="334"/>
      <c r="E33" s="334"/>
      <c r="F33" s="334"/>
      <c r="G33" s="334"/>
      <c r="H33" s="334"/>
      <c r="I33" s="334"/>
      <c r="J33" s="334"/>
      <c r="K33" s="334"/>
      <c r="L33" s="334"/>
      <c r="M33" s="334"/>
      <c r="N33" s="334"/>
      <c r="O33" s="334"/>
    </row>
    <row r="34" spans="1:17">
      <c r="A34" s="332" t="s">
        <v>656</v>
      </c>
      <c r="D34" s="333">
        <f t="shared" ref="D34:I34" si="48">D144</f>
        <v>17963</v>
      </c>
      <c r="E34" s="333">
        <f t="shared" si="48"/>
        <v>18062</v>
      </c>
      <c r="F34" s="333">
        <f t="shared" si="48"/>
        <v>18254</v>
      </c>
      <c r="G34" s="333">
        <f t="shared" si="48"/>
        <v>18374</v>
      </c>
      <c r="H34" s="333">
        <f t="shared" si="48"/>
        <v>18423</v>
      </c>
      <c r="I34" s="333">
        <f t="shared" si="48"/>
        <v>18241</v>
      </c>
      <c r="J34" s="333">
        <f t="shared" ref="J34:O34" si="49">J144</f>
        <v>18662</v>
      </c>
      <c r="K34" s="333">
        <f t="shared" si="49"/>
        <v>18927</v>
      </c>
      <c r="L34" s="333">
        <f t="shared" si="49"/>
        <v>18553</v>
      </c>
      <c r="M34" s="333">
        <f t="shared" si="49"/>
        <v>18356</v>
      </c>
      <c r="N34" s="333">
        <f t="shared" si="49"/>
        <v>18477</v>
      </c>
      <c r="O34" s="333">
        <f t="shared" si="49"/>
        <v>18833</v>
      </c>
      <c r="Q34" s="332" t="s">
        <v>654</v>
      </c>
    </row>
    <row r="35" spans="1:17" ht="15.75" thickBot="1">
      <c r="D35" s="337">
        <f t="shared" ref="D35:I35" si="50">D177</f>
        <v>54147</v>
      </c>
      <c r="E35" s="337">
        <f t="shared" si="50"/>
        <v>54506</v>
      </c>
      <c r="F35" s="337">
        <f t="shared" si="50"/>
        <v>55061</v>
      </c>
      <c r="G35" s="337">
        <f t="shared" si="50"/>
        <v>55014</v>
      </c>
      <c r="H35" s="337">
        <f t="shared" si="50"/>
        <v>55609</v>
      </c>
      <c r="I35" s="337">
        <f t="shared" si="50"/>
        <v>54735</v>
      </c>
      <c r="J35" s="337">
        <f t="shared" ref="J35:O35" si="51">J177</f>
        <v>53738</v>
      </c>
      <c r="K35" s="337">
        <f t="shared" si="51"/>
        <v>55297</v>
      </c>
      <c r="L35" s="337">
        <f t="shared" si="51"/>
        <v>55124</v>
      </c>
      <c r="M35" s="337">
        <f t="shared" si="51"/>
        <v>54259</v>
      </c>
      <c r="N35" s="337">
        <f t="shared" si="51"/>
        <v>56220</v>
      </c>
      <c r="O35" s="337">
        <f t="shared" si="51"/>
        <v>56089</v>
      </c>
      <c r="Q35" s="332" t="s">
        <v>650</v>
      </c>
    </row>
    <row r="36" spans="1:17" ht="15.75" thickBot="1">
      <c r="D36" s="337">
        <f t="shared" ref="D36:I36" si="52">D34+D35</f>
        <v>72110</v>
      </c>
      <c r="E36" s="337">
        <f t="shared" si="52"/>
        <v>72568</v>
      </c>
      <c r="F36" s="337">
        <f t="shared" si="52"/>
        <v>73315</v>
      </c>
      <c r="G36" s="337">
        <f t="shared" si="52"/>
        <v>73388</v>
      </c>
      <c r="H36" s="337">
        <f t="shared" si="52"/>
        <v>74032</v>
      </c>
      <c r="I36" s="337">
        <f t="shared" si="52"/>
        <v>72976</v>
      </c>
      <c r="J36" s="337">
        <f t="shared" ref="J36:O36" si="53">J34+J35</f>
        <v>72400</v>
      </c>
      <c r="K36" s="337">
        <f t="shared" si="53"/>
        <v>74224</v>
      </c>
      <c r="L36" s="337">
        <f t="shared" si="53"/>
        <v>73677</v>
      </c>
      <c r="M36" s="337">
        <f t="shared" si="53"/>
        <v>72615</v>
      </c>
      <c r="N36" s="337">
        <f t="shared" si="53"/>
        <v>74697</v>
      </c>
      <c r="O36" s="337">
        <f t="shared" si="53"/>
        <v>74922</v>
      </c>
    </row>
    <row r="37" spans="1:17">
      <c r="D37" s="334"/>
      <c r="E37" s="334"/>
      <c r="F37" s="334"/>
      <c r="G37" s="334"/>
      <c r="H37" s="334"/>
      <c r="I37" s="334"/>
      <c r="J37" s="334"/>
      <c r="K37" s="334"/>
      <c r="L37" s="334"/>
      <c r="M37" s="334"/>
      <c r="N37" s="334"/>
      <c r="O37" s="334"/>
    </row>
    <row r="38" spans="1:17">
      <c r="A38" s="332" t="s">
        <v>657</v>
      </c>
      <c r="D38" s="333">
        <f t="shared" ref="D38:I38" si="54">D209</f>
        <v>71233</v>
      </c>
      <c r="E38" s="333">
        <f t="shared" si="54"/>
        <v>72043</v>
      </c>
      <c r="F38" s="333">
        <f t="shared" si="54"/>
        <v>72438</v>
      </c>
      <c r="G38" s="333">
        <f t="shared" si="54"/>
        <v>72769</v>
      </c>
      <c r="H38" s="333">
        <f t="shared" si="54"/>
        <v>71816</v>
      </c>
      <c r="I38" s="333">
        <f t="shared" si="54"/>
        <v>72786</v>
      </c>
      <c r="J38" s="333">
        <f t="shared" ref="J38:O38" si="55">J209</f>
        <v>71778</v>
      </c>
      <c r="K38" s="333">
        <f t="shared" si="55"/>
        <v>72840</v>
      </c>
      <c r="L38" s="333">
        <f t="shared" si="55"/>
        <v>72855</v>
      </c>
      <c r="M38" s="333">
        <f t="shared" si="55"/>
        <v>72322</v>
      </c>
      <c r="N38" s="333">
        <f t="shared" si="55"/>
        <v>73801</v>
      </c>
      <c r="O38" s="333">
        <f t="shared" si="55"/>
        <v>74602</v>
      </c>
      <c r="Q38" s="332" t="s">
        <v>648</v>
      </c>
    </row>
    <row r="39" spans="1:17">
      <c r="D39" s="334"/>
      <c r="E39" s="334"/>
      <c r="F39" s="334"/>
      <c r="G39" s="334"/>
      <c r="H39" s="334"/>
      <c r="I39" s="334"/>
      <c r="J39" s="334"/>
      <c r="K39" s="334"/>
      <c r="L39" s="334"/>
      <c r="M39" s="334"/>
      <c r="N39" s="334"/>
      <c r="O39" s="334"/>
    </row>
    <row r="40" spans="1:17">
      <c r="A40" s="332" t="s">
        <v>658</v>
      </c>
      <c r="D40" s="333">
        <f t="shared" ref="D40:I40" si="56">D90</f>
        <v>14599</v>
      </c>
      <c r="E40" s="333">
        <f t="shared" si="56"/>
        <v>15061</v>
      </c>
      <c r="F40" s="333">
        <f t="shared" si="56"/>
        <v>15091</v>
      </c>
      <c r="G40" s="333">
        <f t="shared" si="56"/>
        <v>15023</v>
      </c>
      <c r="H40" s="333">
        <f t="shared" si="56"/>
        <v>14981</v>
      </c>
      <c r="I40" s="333">
        <f t="shared" si="56"/>
        <v>14917</v>
      </c>
      <c r="J40" s="333">
        <f t="shared" ref="J40:O40" si="57">J90</f>
        <v>15167</v>
      </c>
      <c r="K40" s="333">
        <f t="shared" si="57"/>
        <v>15127</v>
      </c>
      <c r="L40" s="333">
        <f t="shared" si="57"/>
        <v>15337</v>
      </c>
      <c r="M40" s="333">
        <f t="shared" si="57"/>
        <v>15124</v>
      </c>
      <c r="N40" s="333">
        <f t="shared" si="57"/>
        <v>15459</v>
      </c>
      <c r="O40" s="333">
        <f t="shared" si="57"/>
        <v>15958</v>
      </c>
      <c r="Q40" s="332" t="s">
        <v>652</v>
      </c>
    </row>
    <row r="41" spans="1:17" ht="15.75" thickBot="1">
      <c r="D41" s="337">
        <f t="shared" ref="D41:I41" si="58">D232</f>
        <v>57856</v>
      </c>
      <c r="E41" s="337">
        <f t="shared" si="58"/>
        <v>58619</v>
      </c>
      <c r="F41" s="337">
        <f t="shared" si="58"/>
        <v>58962</v>
      </c>
      <c r="G41" s="337">
        <f t="shared" si="58"/>
        <v>59436</v>
      </c>
      <c r="H41" s="337">
        <f t="shared" si="58"/>
        <v>60363</v>
      </c>
      <c r="I41" s="337">
        <f t="shared" si="58"/>
        <v>56471</v>
      </c>
      <c r="J41" s="337">
        <f t="shared" ref="J41:O41" si="59">J232</f>
        <v>55472</v>
      </c>
      <c r="K41" s="337">
        <f t="shared" si="59"/>
        <v>57951</v>
      </c>
      <c r="L41" s="337">
        <f t="shared" si="59"/>
        <v>56357</v>
      </c>
      <c r="M41" s="337">
        <f t="shared" si="59"/>
        <v>56837</v>
      </c>
      <c r="N41" s="337">
        <f t="shared" si="59"/>
        <v>58145</v>
      </c>
      <c r="O41" s="337">
        <f t="shared" si="59"/>
        <v>60713</v>
      </c>
      <c r="Q41" s="332" t="s">
        <v>2420</v>
      </c>
    </row>
    <row r="42" spans="1:17" ht="15.75" thickBot="1">
      <c r="D42" s="337">
        <f t="shared" ref="D42:I42" si="60">SUM(D40:D41)</f>
        <v>72455</v>
      </c>
      <c r="E42" s="337">
        <f t="shared" si="60"/>
        <v>73680</v>
      </c>
      <c r="F42" s="337">
        <f t="shared" si="60"/>
        <v>74053</v>
      </c>
      <c r="G42" s="337">
        <f t="shared" si="60"/>
        <v>74459</v>
      </c>
      <c r="H42" s="337">
        <f t="shared" si="60"/>
        <v>75344</v>
      </c>
      <c r="I42" s="337">
        <f t="shared" si="60"/>
        <v>71388</v>
      </c>
      <c r="J42" s="337">
        <f t="shared" ref="J42:O42" si="61">SUM(J40:J41)</f>
        <v>70639</v>
      </c>
      <c r="K42" s="337">
        <f t="shared" si="61"/>
        <v>73078</v>
      </c>
      <c r="L42" s="337">
        <f t="shared" si="61"/>
        <v>71694</v>
      </c>
      <c r="M42" s="337">
        <f t="shared" si="61"/>
        <v>71961</v>
      </c>
      <c r="N42" s="337">
        <f t="shared" si="61"/>
        <v>73604</v>
      </c>
      <c r="O42" s="337">
        <f t="shared" si="61"/>
        <v>76671</v>
      </c>
    </row>
    <row r="43" spans="1:17">
      <c r="D43" s="334"/>
      <c r="E43" s="334"/>
      <c r="F43" s="334"/>
      <c r="G43" s="334"/>
      <c r="H43" s="334"/>
      <c r="I43" s="334"/>
      <c r="J43" s="334"/>
      <c r="K43" s="334"/>
      <c r="L43" s="334"/>
      <c r="M43" s="334"/>
      <c r="N43" s="334"/>
      <c r="O43" s="334"/>
    </row>
    <row r="44" spans="1:17">
      <c r="A44" s="332" t="s">
        <v>659</v>
      </c>
      <c r="D44" s="333">
        <f t="shared" ref="D44:I44" si="62">D346</f>
        <v>76719</v>
      </c>
      <c r="E44" s="333">
        <f t="shared" si="62"/>
        <v>76495</v>
      </c>
      <c r="F44" s="333">
        <f t="shared" si="62"/>
        <v>77088</v>
      </c>
      <c r="G44" s="333">
        <f t="shared" si="62"/>
        <v>77711</v>
      </c>
      <c r="H44" s="333">
        <f t="shared" si="62"/>
        <v>78138</v>
      </c>
      <c r="I44" s="333">
        <f t="shared" si="62"/>
        <v>76226</v>
      </c>
      <c r="J44" s="333">
        <f t="shared" ref="J44:O44" si="63">J346</f>
        <v>74494</v>
      </c>
      <c r="K44" s="333">
        <f t="shared" si="63"/>
        <v>77351</v>
      </c>
      <c r="L44" s="333">
        <f t="shared" si="63"/>
        <v>77319</v>
      </c>
      <c r="M44" s="333">
        <f t="shared" si="63"/>
        <v>76346</v>
      </c>
      <c r="N44" s="333">
        <f t="shared" si="63"/>
        <v>77749</v>
      </c>
      <c r="O44" s="333">
        <f t="shared" si="63"/>
        <v>79297</v>
      </c>
      <c r="Q44" s="332" t="s">
        <v>655</v>
      </c>
    </row>
    <row r="45" spans="1:17">
      <c r="D45" s="334"/>
      <c r="E45" s="334"/>
      <c r="F45" s="334"/>
      <c r="G45" s="334"/>
      <c r="H45" s="334"/>
      <c r="I45" s="334"/>
      <c r="J45" s="334"/>
      <c r="K45" s="334"/>
      <c r="L45" s="334"/>
      <c r="M45" s="334"/>
      <c r="N45" s="334"/>
      <c r="O45" s="334"/>
    </row>
    <row r="46" spans="1:17">
      <c r="A46" s="332" t="s">
        <v>660</v>
      </c>
      <c r="D46" s="338">
        <f t="shared" ref="D46:I46" si="64">D254</f>
        <v>70962</v>
      </c>
      <c r="E46" s="338">
        <f t="shared" si="64"/>
        <v>71211</v>
      </c>
      <c r="F46" s="338">
        <f t="shared" si="64"/>
        <v>72000</v>
      </c>
      <c r="G46" s="338">
        <f t="shared" si="64"/>
        <v>72547</v>
      </c>
      <c r="H46" s="338">
        <f t="shared" si="64"/>
        <v>72660</v>
      </c>
      <c r="I46" s="338">
        <f t="shared" si="64"/>
        <v>70607</v>
      </c>
      <c r="J46" s="338">
        <f t="shared" ref="J46:O46" si="65">J254</f>
        <v>70299</v>
      </c>
      <c r="K46" s="338">
        <f t="shared" si="65"/>
        <v>71962</v>
      </c>
      <c r="L46" s="338">
        <f t="shared" si="65"/>
        <v>72030</v>
      </c>
      <c r="M46" s="338">
        <f t="shared" si="65"/>
        <v>71341</v>
      </c>
      <c r="N46" s="338">
        <f t="shared" si="65"/>
        <v>71197</v>
      </c>
      <c r="O46" s="338">
        <f t="shared" si="65"/>
        <v>72897</v>
      </c>
      <c r="Q46" s="332" t="s">
        <v>5362</v>
      </c>
    </row>
    <row r="47" spans="1:17">
      <c r="D47" s="334"/>
      <c r="E47" s="334"/>
      <c r="F47" s="334"/>
      <c r="G47" s="334"/>
      <c r="H47" s="334"/>
      <c r="I47" s="334"/>
      <c r="J47" s="334"/>
      <c r="K47" s="334"/>
      <c r="L47" s="334"/>
      <c r="M47" s="334"/>
      <c r="N47" s="334"/>
      <c r="O47" s="334"/>
    </row>
    <row r="48" spans="1:17">
      <c r="A48" s="332" t="s">
        <v>661</v>
      </c>
      <c r="D48" s="333">
        <f t="shared" ref="D48:I48" si="66">D145</f>
        <v>14897</v>
      </c>
      <c r="E48" s="333">
        <f t="shared" si="66"/>
        <v>14888</v>
      </c>
      <c r="F48" s="333">
        <f t="shared" si="66"/>
        <v>14928</v>
      </c>
      <c r="G48" s="333">
        <f t="shared" si="66"/>
        <v>14850</v>
      </c>
      <c r="H48" s="333">
        <f t="shared" si="66"/>
        <v>15083</v>
      </c>
      <c r="I48" s="333">
        <f t="shared" si="66"/>
        <v>14842</v>
      </c>
      <c r="J48" s="333">
        <f t="shared" ref="J48:O48" si="67">J145</f>
        <v>14951</v>
      </c>
      <c r="K48" s="333">
        <f t="shared" si="67"/>
        <v>15244</v>
      </c>
      <c r="L48" s="333">
        <f t="shared" si="67"/>
        <v>14956</v>
      </c>
      <c r="M48" s="333">
        <f t="shared" si="67"/>
        <v>14927</v>
      </c>
      <c r="N48" s="333">
        <f t="shared" si="67"/>
        <v>15016</v>
      </c>
      <c r="O48" s="333">
        <f t="shared" si="67"/>
        <v>15311</v>
      </c>
      <c r="Q48" s="332" t="s">
        <v>654</v>
      </c>
    </row>
    <row r="49" spans="1:17" ht="15.75" thickBot="1">
      <c r="D49" s="337">
        <f t="shared" ref="D49:I49" si="68">D277</f>
        <v>62445</v>
      </c>
      <c r="E49" s="337">
        <f t="shared" si="68"/>
        <v>63565</v>
      </c>
      <c r="F49" s="337">
        <f t="shared" si="68"/>
        <v>64145</v>
      </c>
      <c r="G49" s="337">
        <f t="shared" si="68"/>
        <v>64550</v>
      </c>
      <c r="H49" s="337">
        <f t="shared" si="68"/>
        <v>64430</v>
      </c>
      <c r="I49" s="337">
        <f t="shared" si="68"/>
        <v>63007</v>
      </c>
      <c r="J49" s="337">
        <f t="shared" ref="J49:O49" si="69">J277</f>
        <v>62634</v>
      </c>
      <c r="K49" s="337">
        <f t="shared" si="69"/>
        <v>64729</v>
      </c>
      <c r="L49" s="337">
        <f t="shared" si="69"/>
        <v>64728</v>
      </c>
      <c r="M49" s="337">
        <f t="shared" si="69"/>
        <v>64459</v>
      </c>
      <c r="N49" s="337">
        <f t="shared" si="69"/>
        <v>66645</v>
      </c>
      <c r="O49" s="337">
        <f t="shared" si="69"/>
        <v>66352</v>
      </c>
      <c r="Q49" s="332" t="s">
        <v>5363</v>
      </c>
    </row>
    <row r="50" spans="1:17" ht="15.75" thickBot="1">
      <c r="D50" s="337">
        <f t="shared" ref="D50:I50" si="70">D48+D49</f>
        <v>77342</v>
      </c>
      <c r="E50" s="337">
        <f t="shared" si="70"/>
        <v>78453</v>
      </c>
      <c r="F50" s="337">
        <f t="shared" si="70"/>
        <v>79073</v>
      </c>
      <c r="G50" s="337">
        <f t="shared" si="70"/>
        <v>79400</v>
      </c>
      <c r="H50" s="337">
        <f t="shared" si="70"/>
        <v>79513</v>
      </c>
      <c r="I50" s="337">
        <f t="shared" si="70"/>
        <v>77849</v>
      </c>
      <c r="J50" s="337">
        <f t="shared" ref="J50:O50" si="71">J48+J49</f>
        <v>77585</v>
      </c>
      <c r="K50" s="337">
        <f t="shared" si="71"/>
        <v>79973</v>
      </c>
      <c r="L50" s="337">
        <f t="shared" si="71"/>
        <v>79684</v>
      </c>
      <c r="M50" s="337">
        <f t="shared" si="71"/>
        <v>79386</v>
      </c>
      <c r="N50" s="337">
        <f t="shared" si="71"/>
        <v>81661</v>
      </c>
      <c r="O50" s="337">
        <f t="shared" si="71"/>
        <v>81663</v>
      </c>
    </row>
    <row r="51" spans="1:17">
      <c r="D51" s="334"/>
      <c r="E51" s="334"/>
      <c r="F51" s="334"/>
      <c r="G51" s="334"/>
      <c r="H51" s="334"/>
      <c r="I51" s="334"/>
      <c r="J51" s="334"/>
      <c r="K51" s="334"/>
      <c r="L51" s="334"/>
      <c r="M51" s="334"/>
      <c r="N51" s="334"/>
      <c r="O51" s="334"/>
    </row>
    <row r="52" spans="1:17">
      <c r="A52" s="332" t="s">
        <v>662</v>
      </c>
      <c r="D52" s="333">
        <f t="shared" ref="D52:I52" si="72">D146</f>
        <v>4455</v>
      </c>
      <c r="E52" s="333">
        <f t="shared" si="72"/>
        <v>4543</v>
      </c>
      <c r="F52" s="333">
        <f t="shared" si="72"/>
        <v>4489</v>
      </c>
      <c r="G52" s="333">
        <f t="shared" si="72"/>
        <v>4354</v>
      </c>
      <c r="H52" s="333">
        <f t="shared" si="72"/>
        <v>4451</v>
      </c>
      <c r="I52" s="333">
        <f t="shared" si="72"/>
        <v>4375</v>
      </c>
      <c r="J52" s="333">
        <f t="shared" ref="J52:O52" si="73">J146</f>
        <v>4561</v>
      </c>
      <c r="K52" s="333">
        <f t="shared" si="73"/>
        <v>4617</v>
      </c>
      <c r="L52" s="333">
        <f t="shared" si="73"/>
        <v>4347</v>
      </c>
      <c r="M52" s="333">
        <f t="shared" si="73"/>
        <v>4349</v>
      </c>
      <c r="N52" s="333">
        <f t="shared" si="73"/>
        <v>4381</v>
      </c>
      <c r="O52" s="333">
        <f t="shared" si="73"/>
        <v>4473</v>
      </c>
      <c r="Q52" s="332" t="s">
        <v>654</v>
      </c>
    </row>
    <row r="53" spans="1:17" ht="15.75" thickBot="1">
      <c r="D53" s="337">
        <f t="shared" ref="D53:I53" si="74">D365</f>
        <v>68609</v>
      </c>
      <c r="E53" s="337">
        <f t="shared" si="74"/>
        <v>69785</v>
      </c>
      <c r="F53" s="337">
        <f t="shared" si="74"/>
        <v>69476</v>
      </c>
      <c r="G53" s="337">
        <f t="shared" si="74"/>
        <v>70504</v>
      </c>
      <c r="H53" s="337">
        <f t="shared" si="74"/>
        <v>69796</v>
      </c>
      <c r="I53" s="337">
        <f t="shared" si="74"/>
        <v>68474</v>
      </c>
      <c r="J53" s="337">
        <f t="shared" ref="J53:O53" si="75">J365</f>
        <v>67583</v>
      </c>
      <c r="K53" s="337">
        <f t="shared" si="75"/>
        <v>69635</v>
      </c>
      <c r="L53" s="337">
        <f t="shared" si="75"/>
        <v>69763</v>
      </c>
      <c r="M53" s="337">
        <f t="shared" si="75"/>
        <v>68342</v>
      </c>
      <c r="N53" s="337">
        <f t="shared" si="75"/>
        <v>69879</v>
      </c>
      <c r="O53" s="337">
        <f t="shared" si="75"/>
        <v>71737</v>
      </c>
      <c r="Q53" s="332" t="s">
        <v>5366</v>
      </c>
    </row>
    <row r="54" spans="1:17" ht="15.75" thickBot="1">
      <c r="D54" s="337">
        <f t="shared" ref="D54:I54" si="76">D52+D53</f>
        <v>73064</v>
      </c>
      <c r="E54" s="337">
        <f t="shared" si="76"/>
        <v>74328</v>
      </c>
      <c r="F54" s="337">
        <f t="shared" si="76"/>
        <v>73965</v>
      </c>
      <c r="G54" s="337">
        <f t="shared" si="76"/>
        <v>74858</v>
      </c>
      <c r="H54" s="337">
        <f t="shared" si="76"/>
        <v>74247</v>
      </c>
      <c r="I54" s="337">
        <f t="shared" si="76"/>
        <v>72849</v>
      </c>
      <c r="J54" s="337">
        <f t="shared" ref="J54:O54" si="77">J52+J53</f>
        <v>72144</v>
      </c>
      <c r="K54" s="337">
        <f t="shared" si="77"/>
        <v>74252</v>
      </c>
      <c r="L54" s="337">
        <f t="shared" si="77"/>
        <v>74110</v>
      </c>
      <c r="M54" s="337">
        <f t="shared" si="77"/>
        <v>72691</v>
      </c>
      <c r="N54" s="337">
        <f t="shared" si="77"/>
        <v>74260</v>
      </c>
      <c r="O54" s="337">
        <f t="shared" si="77"/>
        <v>76210</v>
      </c>
    </row>
    <row r="55" spans="1:17">
      <c r="D55" s="334"/>
      <c r="E55" s="334"/>
      <c r="F55" s="334"/>
      <c r="G55" s="334"/>
      <c r="H55" s="334"/>
      <c r="I55" s="334"/>
      <c r="J55" s="334"/>
      <c r="K55" s="334"/>
      <c r="L55" s="334"/>
      <c r="M55" s="334"/>
      <c r="N55" s="334"/>
      <c r="O55" s="334"/>
    </row>
    <row r="56" spans="1:17">
      <c r="A56" s="332" t="s">
        <v>6796</v>
      </c>
      <c r="D56" s="333">
        <f t="shared" ref="D56:I56" si="78">D21+D26+D28+D32+D36+D38+D42+D44+D46+D50+D54</f>
        <v>819336</v>
      </c>
      <c r="E56" s="333">
        <f t="shared" si="78"/>
        <v>827318</v>
      </c>
      <c r="F56" s="333">
        <f t="shared" si="78"/>
        <v>832233</v>
      </c>
      <c r="G56" s="333">
        <f t="shared" si="78"/>
        <v>836261</v>
      </c>
      <c r="H56" s="333">
        <f t="shared" si="78"/>
        <v>835720</v>
      </c>
      <c r="I56" s="333">
        <f t="shared" si="78"/>
        <v>819537</v>
      </c>
      <c r="J56" s="333">
        <f t="shared" ref="J56:O56" si="79">J21+J26+J28+J32+J36+J38+J42+J44+J46+J50+J54</f>
        <v>816524</v>
      </c>
      <c r="K56" s="333">
        <f t="shared" si="79"/>
        <v>836225</v>
      </c>
      <c r="L56" s="333">
        <f t="shared" si="79"/>
        <v>833435</v>
      </c>
      <c r="M56" s="333">
        <f t="shared" si="79"/>
        <v>825609</v>
      </c>
      <c r="N56" s="333">
        <f t="shared" si="79"/>
        <v>842612</v>
      </c>
      <c r="O56" s="333">
        <f t="shared" si="79"/>
        <v>859954</v>
      </c>
    </row>
    <row r="57" spans="1:17">
      <c r="D57" s="334"/>
      <c r="E57" s="334"/>
      <c r="F57" s="334"/>
      <c r="G57" s="334"/>
      <c r="H57" s="334"/>
      <c r="I57" s="334"/>
      <c r="J57" s="334"/>
      <c r="K57" s="334"/>
      <c r="L57" s="334"/>
      <c r="M57" s="334"/>
      <c r="N57" s="334"/>
      <c r="O57" s="334"/>
    </row>
    <row r="58" spans="1:17">
      <c r="A58" s="332" t="s">
        <v>6797</v>
      </c>
      <c r="D58" s="333">
        <f t="shared" ref="D58:I58" si="80">MAX(D21,D26,D28,D32,D36,D38,D42,D44,D46,D50,D54)-MIN(D21,D26,D28,D32,D36,D38,D42,D44,D46,D50,D54)</f>
        <v>6380</v>
      </c>
      <c r="E58" s="333">
        <f t="shared" si="80"/>
        <v>7242</v>
      </c>
      <c r="F58" s="333">
        <f t="shared" si="80"/>
        <v>7073</v>
      </c>
      <c r="G58" s="333">
        <f t="shared" si="80"/>
        <v>6853</v>
      </c>
      <c r="H58" s="333">
        <f t="shared" si="80"/>
        <v>7697</v>
      </c>
      <c r="I58" s="333">
        <f t="shared" si="80"/>
        <v>7609</v>
      </c>
      <c r="J58" s="333">
        <f t="shared" ref="J58:O58" si="81">MAX(J21,J26,J28,J32,J36,J38,J42,J44,J46,J50,J54)-MIN(J21,J26,J28,J32,J36,J38,J42,J44,J46,J50,J54)</f>
        <v>8246</v>
      </c>
      <c r="K58" s="333">
        <f t="shared" si="81"/>
        <v>8621</v>
      </c>
      <c r="L58" s="333">
        <f t="shared" si="81"/>
        <v>9141</v>
      </c>
      <c r="M58" s="333">
        <f t="shared" si="81"/>
        <v>9037</v>
      </c>
      <c r="N58" s="333">
        <f t="shared" si="81"/>
        <v>10509</v>
      </c>
      <c r="O58" s="333">
        <f t="shared" si="81"/>
        <v>10831</v>
      </c>
    </row>
    <row r="59" spans="1:17">
      <c r="D59" s="334"/>
      <c r="E59" s="334"/>
      <c r="F59" s="334"/>
      <c r="G59" s="334"/>
      <c r="H59" s="334"/>
      <c r="I59" s="334"/>
      <c r="J59" s="334"/>
      <c r="K59" s="334"/>
      <c r="L59" s="334"/>
      <c r="M59" s="334"/>
      <c r="N59" s="334"/>
      <c r="O59" s="334"/>
    </row>
    <row r="60" spans="1:17">
      <c r="A60" s="339" t="s">
        <v>6800</v>
      </c>
      <c r="D60" s="333">
        <f t="shared" ref="D60:I60" si="82">STDEVP(D21,D26,D28,D32,D36,D38,D42,D44,D46,D50,D54)</f>
        <v>2393.1359971440079</v>
      </c>
      <c r="E60" s="333">
        <f t="shared" si="82"/>
        <v>2399.5370800108731</v>
      </c>
      <c r="F60" s="333">
        <f t="shared" si="82"/>
        <v>2399.0215567501818</v>
      </c>
      <c r="G60" s="333">
        <f t="shared" si="82"/>
        <v>2337.0188893665791</v>
      </c>
      <c r="H60" s="333">
        <f t="shared" si="82"/>
        <v>2485.020152237159</v>
      </c>
      <c r="I60" s="333">
        <f t="shared" si="82"/>
        <v>2632.1190313208335</v>
      </c>
      <c r="J60" s="333">
        <f t="shared" ref="J60:O60" si="83">STDEVP(J21,J26,J28,J32,J36,J38,J42,J44,J46,J50,J54)</f>
        <v>2871.3161177296174</v>
      </c>
      <c r="K60" s="333">
        <f t="shared" si="83"/>
        <v>2948.2154036154998</v>
      </c>
      <c r="L60" s="333">
        <f t="shared" si="83"/>
        <v>3310.3551805641041</v>
      </c>
      <c r="M60" s="333">
        <f t="shared" si="83"/>
        <v>3275.955607223008</v>
      </c>
      <c r="N60" s="333">
        <f t="shared" si="83"/>
        <v>3696.7748217391645</v>
      </c>
      <c r="O60" s="333">
        <f t="shared" si="83"/>
        <v>3300.87198597107</v>
      </c>
    </row>
    <row r="61" spans="1:17">
      <c r="A61" s="339"/>
      <c r="D61" s="336"/>
      <c r="E61" s="336"/>
      <c r="F61" s="336"/>
      <c r="G61" s="336"/>
      <c r="H61" s="336"/>
      <c r="I61" s="336"/>
      <c r="J61" s="336"/>
      <c r="K61" s="336"/>
      <c r="L61" s="336"/>
      <c r="M61" s="336"/>
      <c r="N61" s="336"/>
      <c r="O61" s="336"/>
    </row>
    <row r="63" spans="1:17">
      <c r="E63" s="51" t="s">
        <v>1526</v>
      </c>
      <c r="F63" s="51"/>
      <c r="G63" s="51"/>
      <c r="H63" s="51"/>
      <c r="I63" s="51"/>
      <c r="J63" s="51"/>
      <c r="K63" s="51"/>
      <c r="L63" s="51"/>
      <c r="M63" s="51"/>
      <c r="N63" s="51"/>
      <c r="O63" s="51"/>
      <c r="P63" s="11"/>
      <c r="Q63" s="11" t="s">
        <v>9479</v>
      </c>
    </row>
    <row r="64" spans="1:17">
      <c r="D64" s="270">
        <v>2010</v>
      </c>
      <c r="E64" s="270">
        <v>2011</v>
      </c>
      <c r="F64" s="270">
        <v>2012</v>
      </c>
      <c r="G64" s="270">
        <v>2013</v>
      </c>
      <c r="H64" s="270">
        <v>2014</v>
      </c>
      <c r="I64" s="270">
        <v>2015</v>
      </c>
      <c r="J64" s="270">
        <v>2016</v>
      </c>
      <c r="K64" s="270">
        <v>2017</v>
      </c>
      <c r="L64" s="270">
        <v>2018</v>
      </c>
      <c r="M64" s="270">
        <v>2019</v>
      </c>
      <c r="N64" s="270">
        <v>2020</v>
      </c>
      <c r="O64" s="937" t="s">
        <v>14823</v>
      </c>
      <c r="Q64" s="13" t="s">
        <v>1527</v>
      </c>
    </row>
    <row r="65" spans="1:17">
      <c r="A65" s="332" t="s">
        <v>663</v>
      </c>
      <c r="C65" s="332"/>
      <c r="D65" s="333">
        <f>SUM(D66:D75)+SUM(D77:D80)+SUM(D82:D86)</f>
        <v>90315</v>
      </c>
      <c r="E65" s="333">
        <f t="shared" ref="E65:K65" si="84">SUM(E66:E75)+SUM(E77:E80)+SUM(E82:E86)</f>
        <v>92023</v>
      </c>
      <c r="F65" s="333">
        <f t="shared" si="84"/>
        <v>92628</v>
      </c>
      <c r="G65" s="333">
        <f t="shared" si="84"/>
        <v>92704</v>
      </c>
      <c r="H65" s="333">
        <f t="shared" si="84"/>
        <v>93112</v>
      </c>
      <c r="I65" s="333">
        <f t="shared" si="84"/>
        <v>93133</v>
      </c>
      <c r="J65" s="333">
        <f t="shared" si="84"/>
        <v>93712</v>
      </c>
      <c r="K65" s="333">
        <f t="shared" si="84"/>
        <v>93430</v>
      </c>
      <c r="L65" s="333">
        <f>SUM(L66:L75)+SUM(L77:L80)+SUM(L82:L86)</f>
        <v>94347</v>
      </c>
      <c r="M65" s="333">
        <f>SUM(M66:M75)+SUM(M77:M80)+SUM(M82:M86)</f>
        <v>93020</v>
      </c>
      <c r="N65" s="333">
        <f>SUM(N66:N75)+SUM(N77:N80)+SUM(N82:N86)</f>
        <v>94734</v>
      </c>
      <c r="O65" s="333">
        <f>SUM(O66:O75)+SUM(O77:O80)+SUM(O82:O86)</f>
        <v>97774</v>
      </c>
    </row>
    <row r="66" spans="1:17">
      <c r="A66" s="332" t="s">
        <v>5387</v>
      </c>
      <c r="B66" s="332" t="s">
        <v>664</v>
      </c>
      <c r="C66" s="55" t="s">
        <v>11842</v>
      </c>
      <c r="D66" s="333">
        <v>75716</v>
      </c>
      <c r="E66" s="333">
        <v>76962</v>
      </c>
      <c r="F66" s="333">
        <v>77537</v>
      </c>
      <c r="G66" s="63">
        <v>77681</v>
      </c>
      <c r="H66" s="63">
        <v>78131</v>
      </c>
      <c r="I66" s="63">
        <v>78216</v>
      </c>
      <c r="J66" s="63">
        <v>78545</v>
      </c>
      <c r="K66" s="63">
        <v>5368</v>
      </c>
      <c r="L66" s="63">
        <v>5393</v>
      </c>
      <c r="M66" s="63">
        <v>5303</v>
      </c>
      <c r="N66" s="63">
        <v>5392</v>
      </c>
      <c r="O66" s="63">
        <v>5534</v>
      </c>
      <c r="Q66" s="332" t="s">
        <v>651</v>
      </c>
    </row>
    <row r="67" spans="1:17">
      <c r="A67" s="332" t="s">
        <v>5389</v>
      </c>
      <c r="B67" s="332" t="s">
        <v>11841</v>
      </c>
      <c r="C67" s="55" t="s">
        <v>11843</v>
      </c>
      <c r="D67" s="333">
        <v>0</v>
      </c>
      <c r="E67" s="333">
        <v>0</v>
      </c>
      <c r="F67" s="333">
        <v>0</v>
      </c>
      <c r="G67" s="63">
        <v>0</v>
      </c>
      <c r="H67" s="63">
        <v>0</v>
      </c>
      <c r="I67" s="63">
        <v>0</v>
      </c>
      <c r="J67" s="63">
        <v>0</v>
      </c>
      <c r="K67" s="63">
        <v>5965</v>
      </c>
      <c r="L67" s="63">
        <v>6025</v>
      </c>
      <c r="M67" s="63">
        <v>5950</v>
      </c>
      <c r="N67" s="63">
        <v>6043</v>
      </c>
      <c r="O67" s="63">
        <v>6231</v>
      </c>
      <c r="Q67" s="332" t="s">
        <v>651</v>
      </c>
    </row>
    <row r="68" spans="1:17">
      <c r="A68" s="332" t="s">
        <v>5391</v>
      </c>
      <c r="B68" s="332" t="s">
        <v>665</v>
      </c>
      <c r="C68" s="55" t="s">
        <v>11844</v>
      </c>
      <c r="D68" s="333">
        <v>0</v>
      </c>
      <c r="E68" s="333">
        <v>0</v>
      </c>
      <c r="F68" s="333">
        <v>0</v>
      </c>
      <c r="G68" s="63">
        <v>0</v>
      </c>
      <c r="H68" s="63">
        <v>0</v>
      </c>
      <c r="I68" s="63">
        <v>0</v>
      </c>
      <c r="J68" s="63">
        <v>0</v>
      </c>
      <c r="K68" s="63">
        <v>6068</v>
      </c>
      <c r="L68" s="63">
        <v>6191</v>
      </c>
      <c r="M68" s="63">
        <v>6109</v>
      </c>
      <c r="N68" s="63">
        <v>6236</v>
      </c>
      <c r="O68" s="63">
        <v>6473</v>
      </c>
      <c r="Q68" s="332" t="s">
        <v>651</v>
      </c>
    </row>
    <row r="69" spans="1:17">
      <c r="A69" s="332" t="s">
        <v>5393</v>
      </c>
      <c r="B69" s="332" t="s">
        <v>11858</v>
      </c>
      <c r="C69" s="55" t="s">
        <v>11845</v>
      </c>
      <c r="D69" s="333">
        <v>0</v>
      </c>
      <c r="E69" s="333">
        <v>0</v>
      </c>
      <c r="F69" s="333">
        <v>0</v>
      </c>
      <c r="G69" s="63">
        <v>0</v>
      </c>
      <c r="H69" s="63">
        <v>0</v>
      </c>
      <c r="I69" s="63">
        <v>0</v>
      </c>
      <c r="J69" s="63">
        <v>0</v>
      </c>
      <c r="K69" s="63">
        <v>5852</v>
      </c>
      <c r="L69" s="63">
        <v>5920</v>
      </c>
      <c r="M69" s="63">
        <v>5910</v>
      </c>
      <c r="N69" s="63">
        <v>6049</v>
      </c>
      <c r="O69" s="63">
        <v>6265</v>
      </c>
      <c r="Q69" s="332" t="s">
        <v>651</v>
      </c>
    </row>
    <row r="70" spans="1:17">
      <c r="A70" s="332" t="s">
        <v>5394</v>
      </c>
      <c r="B70" s="332" t="s">
        <v>11859</v>
      </c>
      <c r="C70" s="55" t="s">
        <v>11846</v>
      </c>
      <c r="D70" s="333">
        <v>0</v>
      </c>
      <c r="E70" s="333">
        <v>0</v>
      </c>
      <c r="F70" s="333">
        <v>0</v>
      </c>
      <c r="G70" s="63">
        <v>0</v>
      </c>
      <c r="H70" s="63">
        <v>0</v>
      </c>
      <c r="I70" s="63">
        <v>0</v>
      </c>
      <c r="J70" s="63">
        <v>0</v>
      </c>
      <c r="K70" s="63">
        <v>6203</v>
      </c>
      <c r="L70" s="63">
        <v>6204</v>
      </c>
      <c r="M70" s="63">
        <v>6144</v>
      </c>
      <c r="N70" s="63">
        <v>6184</v>
      </c>
      <c r="O70" s="63">
        <v>6408</v>
      </c>
      <c r="Q70" s="332" t="s">
        <v>651</v>
      </c>
    </row>
    <row r="71" spans="1:17">
      <c r="A71" s="332" t="s">
        <v>5416</v>
      </c>
      <c r="B71" s="332" t="s">
        <v>2698</v>
      </c>
      <c r="C71" s="55" t="s">
        <v>11847</v>
      </c>
      <c r="D71" s="333">
        <v>0</v>
      </c>
      <c r="E71" s="333">
        <v>0</v>
      </c>
      <c r="F71" s="333">
        <v>0</v>
      </c>
      <c r="G71" s="63">
        <v>0</v>
      </c>
      <c r="H71" s="63">
        <v>0</v>
      </c>
      <c r="I71" s="63">
        <v>0</v>
      </c>
      <c r="J71" s="63">
        <v>0</v>
      </c>
      <c r="K71" s="63">
        <v>5096</v>
      </c>
      <c r="L71" s="63">
        <v>5057</v>
      </c>
      <c r="M71" s="63">
        <v>5018</v>
      </c>
      <c r="N71" s="63">
        <v>5088</v>
      </c>
      <c r="O71" s="63">
        <v>5293</v>
      </c>
      <c r="Q71" s="332" t="s">
        <v>651</v>
      </c>
    </row>
    <row r="72" spans="1:17">
      <c r="A72" s="332" t="s">
        <v>5418</v>
      </c>
      <c r="B72" s="332" t="s">
        <v>2699</v>
      </c>
      <c r="C72" s="55" t="s">
        <v>11848</v>
      </c>
      <c r="D72" s="333">
        <v>0</v>
      </c>
      <c r="E72" s="333">
        <v>0</v>
      </c>
      <c r="F72" s="333">
        <v>0</v>
      </c>
      <c r="G72" s="63">
        <v>0</v>
      </c>
      <c r="H72" s="63">
        <v>0</v>
      </c>
      <c r="I72" s="63">
        <v>0</v>
      </c>
      <c r="J72" s="63">
        <v>0</v>
      </c>
      <c r="K72" s="63">
        <v>6227</v>
      </c>
      <c r="L72" s="63">
        <v>6259</v>
      </c>
      <c r="M72" s="63">
        <v>6138</v>
      </c>
      <c r="N72" s="63">
        <v>6241</v>
      </c>
      <c r="O72" s="63">
        <v>6441</v>
      </c>
      <c r="Q72" s="332" t="s">
        <v>651</v>
      </c>
    </row>
    <row r="73" spans="1:17">
      <c r="A73" s="332" t="s">
        <v>5420</v>
      </c>
      <c r="B73" s="332" t="s">
        <v>11860</v>
      </c>
      <c r="C73" s="55" t="s">
        <v>11849</v>
      </c>
      <c r="D73" s="333">
        <v>0</v>
      </c>
      <c r="E73" s="333">
        <v>0</v>
      </c>
      <c r="F73" s="333">
        <v>0</v>
      </c>
      <c r="G73" s="63">
        <v>0</v>
      </c>
      <c r="H73" s="63">
        <v>0</v>
      </c>
      <c r="I73" s="63">
        <v>0</v>
      </c>
      <c r="J73" s="63">
        <v>0</v>
      </c>
      <c r="K73" s="63">
        <v>6288</v>
      </c>
      <c r="L73" s="63">
        <v>6363</v>
      </c>
      <c r="M73" s="63">
        <v>6205</v>
      </c>
      <c r="N73" s="63">
        <v>6256</v>
      </c>
      <c r="O73" s="63">
        <v>6404</v>
      </c>
      <c r="Q73" s="332" t="s">
        <v>651</v>
      </c>
    </row>
    <row r="74" spans="1:17">
      <c r="A74" s="332" t="s">
        <v>5422</v>
      </c>
      <c r="B74" s="332" t="s">
        <v>11861</v>
      </c>
      <c r="C74" s="55" t="s">
        <v>11850</v>
      </c>
      <c r="D74" s="333">
        <v>0</v>
      </c>
      <c r="E74" s="333">
        <v>0</v>
      </c>
      <c r="F74" s="333">
        <v>0</v>
      </c>
      <c r="G74" s="63">
        <v>0</v>
      </c>
      <c r="H74" s="63">
        <v>0</v>
      </c>
      <c r="I74" s="63">
        <v>0</v>
      </c>
      <c r="J74" s="63">
        <v>0</v>
      </c>
      <c r="K74" s="63">
        <v>1215</v>
      </c>
      <c r="L74" s="63">
        <v>1241</v>
      </c>
      <c r="M74" s="63">
        <v>1222</v>
      </c>
      <c r="N74" s="63">
        <v>1250</v>
      </c>
      <c r="O74" s="63">
        <v>1276</v>
      </c>
      <c r="Q74" s="332" t="s">
        <v>651</v>
      </c>
    </row>
    <row r="75" spans="1:17" ht="15.75" thickBot="1">
      <c r="A75" s="332"/>
      <c r="B75" s="332"/>
      <c r="C75" s="55" t="s">
        <v>11850</v>
      </c>
      <c r="D75" s="337">
        <v>0</v>
      </c>
      <c r="E75" s="337">
        <v>0</v>
      </c>
      <c r="F75" s="337">
        <v>0</v>
      </c>
      <c r="G75" s="185">
        <v>0</v>
      </c>
      <c r="H75" s="185">
        <v>0</v>
      </c>
      <c r="I75" s="185">
        <v>0</v>
      </c>
      <c r="J75" s="185">
        <v>0</v>
      </c>
      <c r="K75" s="185">
        <v>4295</v>
      </c>
      <c r="L75" s="185">
        <v>4320</v>
      </c>
      <c r="M75" s="185">
        <v>4314</v>
      </c>
      <c r="N75" s="185">
        <v>4415</v>
      </c>
      <c r="O75" s="185">
        <v>4506</v>
      </c>
      <c r="Q75" s="332" t="s">
        <v>658</v>
      </c>
    </row>
    <row r="76" spans="1:17" ht="15.75" thickBot="1">
      <c r="A76" s="332"/>
      <c r="B76" s="332"/>
      <c r="C76" s="55" t="s">
        <v>11850</v>
      </c>
      <c r="D76" s="337">
        <f t="shared" ref="D76:L76" si="85">SUM(D74:D75)</f>
        <v>0</v>
      </c>
      <c r="E76" s="337">
        <f t="shared" si="85"/>
        <v>0</v>
      </c>
      <c r="F76" s="337">
        <f t="shared" si="85"/>
        <v>0</v>
      </c>
      <c r="G76" s="337">
        <f t="shared" si="85"/>
        <v>0</v>
      </c>
      <c r="H76" s="337">
        <f t="shared" si="85"/>
        <v>0</v>
      </c>
      <c r="I76" s="337">
        <f t="shared" si="85"/>
        <v>0</v>
      </c>
      <c r="J76" s="337">
        <f t="shared" si="85"/>
        <v>0</v>
      </c>
      <c r="K76" s="337">
        <f t="shared" si="85"/>
        <v>5510</v>
      </c>
      <c r="L76" s="337">
        <f t="shared" si="85"/>
        <v>5561</v>
      </c>
      <c r="M76" s="337">
        <f>SUM(M74:M75)</f>
        <v>5536</v>
      </c>
      <c r="N76" s="337">
        <f>SUM(N74:N75)</f>
        <v>5665</v>
      </c>
      <c r="O76" s="337">
        <f>SUM(O74:O75)</f>
        <v>5782</v>
      </c>
      <c r="Q76" s="332"/>
    </row>
    <row r="77" spans="1:17">
      <c r="A77" s="332" t="s">
        <v>5424</v>
      </c>
      <c r="B77" s="332" t="s">
        <v>11862</v>
      </c>
      <c r="C77" s="55" t="s">
        <v>11851</v>
      </c>
      <c r="D77" s="333">
        <v>0</v>
      </c>
      <c r="E77" s="333">
        <v>0</v>
      </c>
      <c r="F77" s="333">
        <v>0</v>
      </c>
      <c r="G77" s="63">
        <v>0</v>
      </c>
      <c r="H77" s="63">
        <v>0</v>
      </c>
      <c r="I77" s="63">
        <v>0</v>
      </c>
      <c r="J77" s="63">
        <v>0</v>
      </c>
      <c r="K77" s="63">
        <v>5990</v>
      </c>
      <c r="L77" s="63">
        <v>6148</v>
      </c>
      <c r="M77" s="63">
        <v>6116</v>
      </c>
      <c r="N77" s="63">
        <v>6246</v>
      </c>
      <c r="O77" s="63">
        <v>6424</v>
      </c>
      <c r="Q77" s="332" t="s">
        <v>651</v>
      </c>
    </row>
    <row r="78" spans="1:17">
      <c r="A78" s="332" t="s">
        <v>5426</v>
      </c>
      <c r="B78" s="332" t="s">
        <v>2700</v>
      </c>
      <c r="C78" s="55" t="s">
        <v>11852</v>
      </c>
      <c r="D78" s="333">
        <v>0</v>
      </c>
      <c r="E78" s="333">
        <v>0</v>
      </c>
      <c r="F78" s="333">
        <v>0</v>
      </c>
      <c r="G78" s="63">
        <v>0</v>
      </c>
      <c r="H78" s="63">
        <v>0</v>
      </c>
      <c r="I78" s="63">
        <v>0</v>
      </c>
      <c r="J78" s="63">
        <v>0</v>
      </c>
      <c r="K78" s="63">
        <v>6190</v>
      </c>
      <c r="L78" s="63">
        <v>6251</v>
      </c>
      <c r="M78" s="63">
        <v>6184</v>
      </c>
      <c r="N78" s="63">
        <v>6417</v>
      </c>
      <c r="O78" s="63">
        <v>6645</v>
      </c>
      <c r="Q78" s="332" t="s">
        <v>651</v>
      </c>
    </row>
    <row r="79" spans="1:17">
      <c r="A79" s="332" t="s">
        <v>5428</v>
      </c>
      <c r="B79" s="332" t="s">
        <v>1962</v>
      </c>
      <c r="C79" s="55" t="s">
        <v>11853</v>
      </c>
      <c r="D79" s="333">
        <v>0</v>
      </c>
      <c r="E79" s="333">
        <v>0</v>
      </c>
      <c r="F79" s="333">
        <v>0</v>
      </c>
      <c r="G79" s="63">
        <v>0</v>
      </c>
      <c r="H79" s="63">
        <v>0</v>
      </c>
      <c r="I79" s="63">
        <v>0</v>
      </c>
      <c r="J79" s="63">
        <v>0</v>
      </c>
      <c r="K79" s="63">
        <v>5348</v>
      </c>
      <c r="L79" s="63">
        <v>5378</v>
      </c>
      <c r="M79" s="63">
        <v>5282</v>
      </c>
      <c r="N79" s="63">
        <v>5403</v>
      </c>
      <c r="O79" s="63">
        <v>5653</v>
      </c>
      <c r="Q79" s="332" t="s">
        <v>651</v>
      </c>
    </row>
    <row r="80" spans="1:17" ht="15.75" thickBot="1">
      <c r="A80" s="332"/>
      <c r="B80" s="332"/>
      <c r="C80" s="55" t="s">
        <v>11853</v>
      </c>
      <c r="D80" s="337">
        <v>0</v>
      </c>
      <c r="E80" s="337">
        <v>0</v>
      </c>
      <c r="F80" s="337">
        <v>0</v>
      </c>
      <c r="G80" s="185">
        <v>0</v>
      </c>
      <c r="H80" s="185">
        <v>0</v>
      </c>
      <c r="I80" s="185">
        <v>0</v>
      </c>
      <c r="J80" s="185">
        <v>0</v>
      </c>
      <c r="K80" s="185">
        <v>205</v>
      </c>
      <c r="L80" s="185">
        <v>207</v>
      </c>
      <c r="M80" s="185">
        <v>200</v>
      </c>
      <c r="N80" s="185">
        <v>217</v>
      </c>
      <c r="O80" s="185">
        <v>218</v>
      </c>
      <c r="Q80" s="332" t="s">
        <v>658</v>
      </c>
    </row>
    <row r="81" spans="1:17" ht="15.75" thickBot="1">
      <c r="A81" s="332"/>
      <c r="B81" s="332"/>
      <c r="C81" s="55" t="s">
        <v>11853</v>
      </c>
      <c r="D81" s="337">
        <f t="shared" ref="D81:L81" si="86">SUM(D79:D80)</f>
        <v>0</v>
      </c>
      <c r="E81" s="337">
        <f t="shared" si="86"/>
        <v>0</v>
      </c>
      <c r="F81" s="337">
        <f t="shared" si="86"/>
        <v>0</v>
      </c>
      <c r="G81" s="337">
        <f t="shared" si="86"/>
        <v>0</v>
      </c>
      <c r="H81" s="337">
        <f t="shared" si="86"/>
        <v>0</v>
      </c>
      <c r="I81" s="337">
        <f t="shared" si="86"/>
        <v>0</v>
      </c>
      <c r="J81" s="337">
        <f t="shared" si="86"/>
        <v>0</v>
      </c>
      <c r="K81" s="337">
        <f t="shared" si="86"/>
        <v>5553</v>
      </c>
      <c r="L81" s="337">
        <f t="shared" si="86"/>
        <v>5585</v>
      </c>
      <c r="M81" s="337">
        <f>SUM(M79:M80)</f>
        <v>5482</v>
      </c>
      <c r="N81" s="337">
        <f>SUM(N79:N80)</f>
        <v>5620</v>
      </c>
      <c r="O81" s="337">
        <f>SUM(O79:O80)</f>
        <v>5871</v>
      </c>
      <c r="Q81" s="332"/>
    </row>
    <row r="82" spans="1:17">
      <c r="A82" s="332" t="s">
        <v>5429</v>
      </c>
      <c r="B82" s="332" t="s">
        <v>1963</v>
      </c>
      <c r="C82" s="55" t="s">
        <v>11854</v>
      </c>
      <c r="D82" s="333">
        <v>0</v>
      </c>
      <c r="E82" s="333">
        <v>0</v>
      </c>
      <c r="F82" s="333">
        <v>0</v>
      </c>
      <c r="G82" s="63">
        <v>0</v>
      </c>
      <c r="H82" s="63">
        <v>0</v>
      </c>
      <c r="I82" s="63">
        <v>0</v>
      </c>
      <c r="J82" s="63">
        <v>0</v>
      </c>
      <c r="K82" s="63">
        <v>5557</v>
      </c>
      <c r="L82" s="63">
        <v>5621</v>
      </c>
      <c r="M82" s="63">
        <v>5534</v>
      </c>
      <c r="N82" s="63">
        <v>5614</v>
      </c>
      <c r="O82" s="63">
        <v>5726</v>
      </c>
      <c r="Q82" s="332" t="s">
        <v>651</v>
      </c>
    </row>
    <row r="83" spans="1:17">
      <c r="A83" s="332" t="s">
        <v>5431</v>
      </c>
      <c r="B83" s="332" t="s">
        <v>1964</v>
      </c>
      <c r="C83" s="55" t="s">
        <v>11855</v>
      </c>
      <c r="D83" s="333">
        <v>0</v>
      </c>
      <c r="E83" s="333">
        <v>0</v>
      </c>
      <c r="F83" s="333">
        <v>0</v>
      </c>
      <c r="G83" s="63">
        <v>0</v>
      </c>
      <c r="H83" s="63">
        <v>0</v>
      </c>
      <c r="I83" s="63">
        <v>0</v>
      </c>
      <c r="J83" s="63">
        <v>0</v>
      </c>
      <c r="K83" s="63">
        <v>6288</v>
      </c>
      <c r="L83" s="63">
        <v>6311</v>
      </c>
      <c r="M83" s="63">
        <v>6175</v>
      </c>
      <c r="N83" s="63">
        <v>6252</v>
      </c>
      <c r="O83" s="63">
        <v>6438</v>
      </c>
      <c r="Q83" s="332" t="s">
        <v>651</v>
      </c>
    </row>
    <row r="84" spans="1:17">
      <c r="A84" s="332" t="s">
        <v>5433</v>
      </c>
      <c r="B84" s="332" t="s">
        <v>11863</v>
      </c>
      <c r="C84" s="55" t="s">
        <v>11856</v>
      </c>
      <c r="D84" s="333">
        <v>14599</v>
      </c>
      <c r="E84" s="333">
        <v>15061</v>
      </c>
      <c r="F84" s="333">
        <v>15091</v>
      </c>
      <c r="G84" s="63">
        <v>15023</v>
      </c>
      <c r="H84" s="63">
        <v>14981</v>
      </c>
      <c r="I84" s="63">
        <v>14917</v>
      </c>
      <c r="J84" s="63">
        <v>15167</v>
      </c>
      <c r="K84" s="63">
        <v>5486</v>
      </c>
      <c r="L84" s="63">
        <v>5529</v>
      </c>
      <c r="M84" s="63">
        <v>5394</v>
      </c>
      <c r="N84" s="63">
        <v>5529</v>
      </c>
      <c r="O84" s="63">
        <v>5750</v>
      </c>
      <c r="Q84" s="332" t="s">
        <v>658</v>
      </c>
    </row>
    <row r="85" spans="1:17">
      <c r="A85" s="332" t="s">
        <v>5435</v>
      </c>
      <c r="B85" s="332" t="s">
        <v>11864</v>
      </c>
      <c r="C85" s="55" t="s">
        <v>11857</v>
      </c>
      <c r="D85" s="333">
        <v>0</v>
      </c>
      <c r="E85" s="333">
        <v>0</v>
      </c>
      <c r="F85" s="333">
        <v>0</v>
      </c>
      <c r="G85" s="63">
        <v>0</v>
      </c>
      <c r="H85" s="63">
        <v>0</v>
      </c>
      <c r="I85" s="63">
        <v>0</v>
      </c>
      <c r="J85" s="63">
        <v>0</v>
      </c>
      <c r="K85" s="63">
        <v>648</v>
      </c>
      <c r="L85" s="63">
        <v>648</v>
      </c>
      <c r="M85" s="63">
        <v>606</v>
      </c>
      <c r="N85" s="63">
        <v>604</v>
      </c>
      <c r="O85" s="63">
        <v>605</v>
      </c>
      <c r="Q85" s="332" t="s">
        <v>651</v>
      </c>
    </row>
    <row r="86" spans="1:17" ht="15.75" thickBot="1">
      <c r="A86" s="332"/>
      <c r="B86" s="332"/>
      <c r="C86" s="55" t="s">
        <v>11857</v>
      </c>
      <c r="D86" s="337">
        <v>0</v>
      </c>
      <c r="E86" s="337">
        <v>0</v>
      </c>
      <c r="F86" s="337">
        <v>0</v>
      </c>
      <c r="G86" s="185">
        <v>0</v>
      </c>
      <c r="H86" s="185">
        <v>0</v>
      </c>
      <c r="I86" s="185">
        <v>0</v>
      </c>
      <c r="J86" s="185">
        <v>0</v>
      </c>
      <c r="K86" s="185">
        <v>5141</v>
      </c>
      <c r="L86" s="185">
        <v>5281</v>
      </c>
      <c r="M86" s="185">
        <v>5216</v>
      </c>
      <c r="N86" s="185">
        <v>5298</v>
      </c>
      <c r="O86" s="185">
        <v>5484</v>
      </c>
      <c r="Q86" s="332" t="s">
        <v>658</v>
      </c>
    </row>
    <row r="87" spans="1:17" ht="15.75" thickBot="1">
      <c r="A87" s="332"/>
      <c r="B87" s="332"/>
      <c r="C87" s="55" t="s">
        <v>11857</v>
      </c>
      <c r="D87" s="337">
        <f t="shared" ref="D87:K87" si="87">SUM(D85:D86)</f>
        <v>0</v>
      </c>
      <c r="E87" s="337">
        <f t="shared" si="87"/>
        <v>0</v>
      </c>
      <c r="F87" s="337">
        <f t="shared" si="87"/>
        <v>0</v>
      </c>
      <c r="G87" s="337">
        <f t="shared" si="87"/>
        <v>0</v>
      </c>
      <c r="H87" s="337">
        <f t="shared" si="87"/>
        <v>0</v>
      </c>
      <c r="I87" s="337">
        <f t="shared" si="87"/>
        <v>0</v>
      </c>
      <c r="J87" s="337">
        <f t="shared" si="87"/>
        <v>0</v>
      </c>
      <c r="K87" s="337">
        <f t="shared" si="87"/>
        <v>5789</v>
      </c>
      <c r="L87" s="337">
        <f>SUM(L85:L86)</f>
        <v>5929</v>
      </c>
      <c r="M87" s="337">
        <f>SUM(M85:M86)</f>
        <v>5822</v>
      </c>
      <c r="N87" s="337">
        <f>SUM(N85:N86)</f>
        <v>5902</v>
      </c>
      <c r="O87" s="337">
        <f>SUM(O85:O86)</f>
        <v>6089</v>
      </c>
      <c r="Q87" s="332"/>
    </row>
    <row r="88" spans="1:17">
      <c r="A88" s="332"/>
      <c r="B88" s="332"/>
      <c r="C88" s="55"/>
      <c r="D88" s="333"/>
      <c r="E88" s="333"/>
      <c r="F88" s="333"/>
      <c r="G88" s="63"/>
      <c r="H88" s="63"/>
      <c r="I88" s="63"/>
      <c r="J88" s="63"/>
      <c r="K88" s="63"/>
      <c r="L88" s="63"/>
      <c r="M88" s="63"/>
      <c r="N88" s="63"/>
      <c r="O88" s="63"/>
      <c r="Q88" s="332"/>
    </row>
    <row r="89" spans="1:17">
      <c r="A89" s="332" t="s">
        <v>651</v>
      </c>
      <c r="D89" s="333">
        <f>SUM(D66:D74)+SUM(D77:D79)+D82+D83+D85</f>
        <v>75716</v>
      </c>
      <c r="E89" s="333">
        <f t="shared" ref="E89:K89" si="88">SUM(E66:E74)+SUM(E77:E79)+E82+E83+E85</f>
        <v>76962</v>
      </c>
      <c r="F89" s="333">
        <f t="shared" si="88"/>
        <v>77537</v>
      </c>
      <c r="G89" s="333">
        <f t="shared" si="88"/>
        <v>77681</v>
      </c>
      <c r="H89" s="333">
        <f t="shared" si="88"/>
        <v>78131</v>
      </c>
      <c r="I89" s="333">
        <f t="shared" si="88"/>
        <v>78216</v>
      </c>
      <c r="J89" s="333">
        <f t="shared" si="88"/>
        <v>78545</v>
      </c>
      <c r="K89" s="333">
        <f t="shared" si="88"/>
        <v>78303</v>
      </c>
      <c r="L89" s="333">
        <f>SUM(L66:L74)+SUM(L77:L79)+L82+L83+L85</f>
        <v>79010</v>
      </c>
      <c r="M89" s="333">
        <f>SUM(M66:M74)+SUM(M77:M79)+M82+M83+M85</f>
        <v>77896</v>
      </c>
      <c r="N89" s="333">
        <f>SUM(N66:N74)+SUM(N77:N79)+N82+N83+N85</f>
        <v>79275</v>
      </c>
      <c r="O89" s="333">
        <f>SUM(O66:O74)+SUM(O77:O79)+O82+O83+O85</f>
        <v>81816</v>
      </c>
    </row>
    <row r="90" spans="1:17">
      <c r="A90" s="332" t="s">
        <v>1965</v>
      </c>
      <c r="D90" s="333">
        <f>D75+D80+D84+D86</f>
        <v>14599</v>
      </c>
      <c r="E90" s="333">
        <f t="shared" ref="E90:K90" si="89">E75+E80+E84+E86</f>
        <v>15061</v>
      </c>
      <c r="F90" s="333">
        <f t="shared" si="89"/>
        <v>15091</v>
      </c>
      <c r="G90" s="333">
        <f t="shared" si="89"/>
        <v>15023</v>
      </c>
      <c r="H90" s="333">
        <f t="shared" si="89"/>
        <v>14981</v>
      </c>
      <c r="I90" s="333">
        <f t="shared" si="89"/>
        <v>14917</v>
      </c>
      <c r="J90" s="333">
        <f t="shared" si="89"/>
        <v>15167</v>
      </c>
      <c r="K90" s="333">
        <f t="shared" si="89"/>
        <v>15127</v>
      </c>
      <c r="L90" s="333">
        <f>L75+L80+L84+L86</f>
        <v>15337</v>
      </c>
      <c r="M90" s="333">
        <f>M75+M80+M84+M86</f>
        <v>15124</v>
      </c>
      <c r="N90" s="333">
        <f>N75+N80+N84+N86</f>
        <v>15459</v>
      </c>
      <c r="O90" s="333">
        <f>O75+O80+O84+O86</f>
        <v>15958</v>
      </c>
    </row>
    <row r="92" spans="1:17">
      <c r="A92" s="332" t="s">
        <v>11865</v>
      </c>
    </row>
    <row r="93" spans="1:17">
      <c r="A93" s="332"/>
    </row>
    <row r="94" spans="1:17">
      <c r="A94" s="332"/>
    </row>
    <row r="95" spans="1:17">
      <c r="E95" s="51" t="s">
        <v>1526</v>
      </c>
      <c r="F95" s="51"/>
      <c r="G95" s="51"/>
      <c r="H95" s="51"/>
      <c r="I95" s="51"/>
      <c r="J95" s="51"/>
      <c r="K95" s="51"/>
      <c r="L95" s="51"/>
      <c r="M95" s="51"/>
      <c r="N95" s="51"/>
      <c r="O95" s="51"/>
      <c r="P95" s="11"/>
      <c r="Q95" s="11" t="s">
        <v>9479</v>
      </c>
    </row>
    <row r="96" spans="1:17">
      <c r="D96" s="270">
        <v>2010</v>
      </c>
      <c r="E96" s="270">
        <v>2011</v>
      </c>
      <c r="F96" s="270">
        <v>2012</v>
      </c>
      <c r="G96" s="270">
        <v>2013</v>
      </c>
      <c r="H96" s="270">
        <v>2014</v>
      </c>
      <c r="I96" s="270">
        <v>2015</v>
      </c>
      <c r="J96" s="270">
        <v>2016</v>
      </c>
      <c r="K96" s="270">
        <v>2017</v>
      </c>
      <c r="L96" s="270">
        <v>2018</v>
      </c>
      <c r="M96" s="270">
        <v>2019</v>
      </c>
      <c r="N96" s="270">
        <v>2020</v>
      </c>
      <c r="O96" s="937" t="s">
        <v>14823</v>
      </c>
      <c r="Q96" s="13" t="s">
        <v>1527</v>
      </c>
    </row>
    <row r="97" spans="1:17">
      <c r="A97" s="332" t="s">
        <v>1966</v>
      </c>
      <c r="D97" s="333">
        <f t="shared" ref="D97:I97" si="90">SUM(D98:D107)+SUM(D108:D110)</f>
        <v>53928</v>
      </c>
      <c r="E97" s="333">
        <f t="shared" si="90"/>
        <v>54598</v>
      </c>
      <c r="F97" s="333">
        <f t="shared" si="90"/>
        <v>54941</v>
      </c>
      <c r="G97" s="333">
        <f t="shared" si="90"/>
        <v>55132</v>
      </c>
      <c r="H97" s="333">
        <f t="shared" si="90"/>
        <v>55744</v>
      </c>
      <c r="I97" s="333">
        <f t="shared" si="90"/>
        <v>54392</v>
      </c>
      <c r="J97" s="333">
        <f t="shared" ref="J97:O97" si="91">SUM(J98:J107)+SUM(J108:J110)</f>
        <v>54801</v>
      </c>
      <c r="K97" s="333">
        <f t="shared" si="91"/>
        <v>55898</v>
      </c>
      <c r="L97" s="333">
        <f t="shared" si="91"/>
        <v>56141</v>
      </c>
      <c r="M97" s="333">
        <f t="shared" si="91"/>
        <v>55436</v>
      </c>
      <c r="N97" s="333">
        <f t="shared" si="91"/>
        <v>58276</v>
      </c>
      <c r="O97" s="333">
        <f t="shared" si="91"/>
        <v>56866</v>
      </c>
    </row>
    <row r="98" spans="1:17">
      <c r="A98" s="332" t="s">
        <v>5387</v>
      </c>
      <c r="B98" s="332" t="s">
        <v>1967</v>
      </c>
      <c r="C98" s="55" t="s">
        <v>8283</v>
      </c>
      <c r="D98" s="333">
        <v>2890</v>
      </c>
      <c r="E98" s="333">
        <v>2914</v>
      </c>
      <c r="F98" s="333">
        <v>2990</v>
      </c>
      <c r="G98" s="56">
        <v>3003</v>
      </c>
      <c r="H98" s="56">
        <v>3015</v>
      </c>
      <c r="I98" s="56">
        <v>2946</v>
      </c>
      <c r="J98" s="56">
        <v>2959</v>
      </c>
      <c r="K98" s="56">
        <v>3043</v>
      </c>
      <c r="L98" s="56">
        <v>3017</v>
      </c>
      <c r="M98" s="56">
        <v>2994</v>
      </c>
      <c r="N98" s="56">
        <v>3103</v>
      </c>
      <c r="O98" s="56">
        <v>3024</v>
      </c>
      <c r="Q98" s="332" t="s">
        <v>649</v>
      </c>
    </row>
    <row r="99" spans="1:17">
      <c r="A99" s="332" t="s">
        <v>5389</v>
      </c>
      <c r="B99" s="332" t="s">
        <v>1414</v>
      </c>
      <c r="C99" s="55" t="s">
        <v>8284</v>
      </c>
      <c r="D99" s="333">
        <v>4157</v>
      </c>
      <c r="E99" s="333">
        <v>4205</v>
      </c>
      <c r="F99" s="333">
        <v>4237</v>
      </c>
      <c r="G99" s="56">
        <v>4272</v>
      </c>
      <c r="H99" s="56">
        <v>4266</v>
      </c>
      <c r="I99" s="56">
        <v>4130</v>
      </c>
      <c r="J99" s="56">
        <v>4162</v>
      </c>
      <c r="K99" s="56">
        <v>4206</v>
      </c>
      <c r="L99" s="56">
        <v>4175</v>
      </c>
      <c r="M99" s="56">
        <v>4092</v>
      </c>
      <c r="N99" s="56">
        <v>4295</v>
      </c>
      <c r="O99" s="56">
        <v>4221</v>
      </c>
      <c r="Q99" s="332" t="s">
        <v>649</v>
      </c>
    </row>
    <row r="100" spans="1:17">
      <c r="A100" s="332" t="s">
        <v>5391</v>
      </c>
      <c r="B100" s="332" t="s">
        <v>595</v>
      </c>
      <c r="C100" s="55" t="s">
        <v>8285</v>
      </c>
      <c r="D100" s="333">
        <v>4062</v>
      </c>
      <c r="E100" s="333">
        <v>4185</v>
      </c>
      <c r="F100" s="333">
        <v>4487</v>
      </c>
      <c r="G100" s="56">
        <v>4692</v>
      </c>
      <c r="H100" s="56">
        <v>4693</v>
      </c>
      <c r="I100" s="56">
        <v>4565</v>
      </c>
      <c r="J100" s="56">
        <v>4567</v>
      </c>
      <c r="K100" s="56">
        <v>4632</v>
      </c>
      <c r="L100" s="56">
        <v>4595</v>
      </c>
      <c r="M100" s="56">
        <v>4536</v>
      </c>
      <c r="N100" s="56">
        <v>4830</v>
      </c>
      <c r="O100" s="56">
        <v>4701</v>
      </c>
      <c r="Q100" s="332" t="s">
        <v>649</v>
      </c>
    </row>
    <row r="101" spans="1:17">
      <c r="A101" s="332" t="s">
        <v>5393</v>
      </c>
      <c r="B101" s="332" t="s">
        <v>596</v>
      </c>
      <c r="C101" s="55" t="s">
        <v>8286</v>
      </c>
      <c r="D101" s="333">
        <v>4470</v>
      </c>
      <c r="E101" s="333">
        <v>4513</v>
      </c>
      <c r="F101" s="333">
        <v>4497</v>
      </c>
      <c r="G101" s="56">
        <v>4486</v>
      </c>
      <c r="H101" s="56">
        <v>4458</v>
      </c>
      <c r="I101" s="56">
        <v>4354</v>
      </c>
      <c r="J101" s="56">
        <v>4365</v>
      </c>
      <c r="K101" s="56">
        <v>4390</v>
      </c>
      <c r="L101" s="56">
        <v>4401</v>
      </c>
      <c r="M101" s="56">
        <v>4322</v>
      </c>
      <c r="N101" s="56">
        <v>4513</v>
      </c>
      <c r="O101" s="56">
        <v>4402</v>
      </c>
      <c r="Q101" s="332" t="s">
        <v>649</v>
      </c>
    </row>
    <row r="102" spans="1:17">
      <c r="A102" s="332" t="s">
        <v>5394</v>
      </c>
      <c r="B102" s="332" t="s">
        <v>597</v>
      </c>
      <c r="C102" s="55" t="s">
        <v>8287</v>
      </c>
      <c r="D102" s="333">
        <v>4148</v>
      </c>
      <c r="E102" s="333">
        <v>4178</v>
      </c>
      <c r="F102" s="333">
        <v>4273</v>
      </c>
      <c r="G102" s="56">
        <v>4260</v>
      </c>
      <c r="H102" s="56">
        <v>4290</v>
      </c>
      <c r="I102" s="56">
        <v>4114</v>
      </c>
      <c r="J102" s="56">
        <v>4122</v>
      </c>
      <c r="K102" s="56">
        <v>4175</v>
      </c>
      <c r="L102" s="56">
        <v>4237</v>
      </c>
      <c r="M102" s="56">
        <v>4122</v>
      </c>
      <c r="N102" s="56">
        <v>4322</v>
      </c>
      <c r="O102" s="56">
        <v>4186</v>
      </c>
      <c r="Q102" s="332" t="s">
        <v>649</v>
      </c>
    </row>
    <row r="103" spans="1:17">
      <c r="A103" s="332" t="s">
        <v>5416</v>
      </c>
      <c r="B103" s="332" t="s">
        <v>598</v>
      </c>
      <c r="C103" s="55" t="s">
        <v>8288</v>
      </c>
      <c r="D103" s="333">
        <v>4198</v>
      </c>
      <c r="E103" s="333">
        <v>4216</v>
      </c>
      <c r="F103" s="333">
        <v>4220</v>
      </c>
      <c r="G103" s="56">
        <v>4215</v>
      </c>
      <c r="H103" s="56">
        <v>4324</v>
      </c>
      <c r="I103" s="56">
        <v>4200</v>
      </c>
      <c r="J103" s="56">
        <v>4201</v>
      </c>
      <c r="K103" s="56">
        <v>4226</v>
      </c>
      <c r="L103" s="56">
        <v>4242</v>
      </c>
      <c r="M103" s="56">
        <v>4207</v>
      </c>
      <c r="N103" s="56">
        <v>4333</v>
      </c>
      <c r="O103" s="56">
        <v>4245</v>
      </c>
      <c r="Q103" s="332" t="s">
        <v>649</v>
      </c>
    </row>
    <row r="104" spans="1:17">
      <c r="A104" s="332" t="s">
        <v>5418</v>
      </c>
      <c r="B104" s="332" t="s">
        <v>1954</v>
      </c>
      <c r="C104" s="55" t="s">
        <v>8289</v>
      </c>
      <c r="D104" s="333">
        <v>4299</v>
      </c>
      <c r="E104" s="333">
        <v>4319</v>
      </c>
      <c r="F104" s="333">
        <v>4308</v>
      </c>
      <c r="G104" s="56">
        <v>4316</v>
      </c>
      <c r="H104" s="56">
        <v>4351</v>
      </c>
      <c r="I104" s="56">
        <v>4315</v>
      </c>
      <c r="J104" s="56">
        <v>4302</v>
      </c>
      <c r="K104" s="56">
        <v>4349</v>
      </c>
      <c r="L104" s="56">
        <v>4478</v>
      </c>
      <c r="M104" s="56">
        <v>4499</v>
      </c>
      <c r="N104" s="56">
        <v>4720</v>
      </c>
      <c r="O104" s="56">
        <v>4634</v>
      </c>
      <c r="Q104" s="332" t="s">
        <v>649</v>
      </c>
    </row>
    <row r="105" spans="1:17">
      <c r="A105" s="332" t="s">
        <v>5420</v>
      </c>
      <c r="B105" s="332" t="s">
        <v>3462</v>
      </c>
      <c r="C105" s="55" t="s">
        <v>8290</v>
      </c>
      <c r="D105" s="333">
        <v>4371</v>
      </c>
      <c r="E105" s="333">
        <v>4406</v>
      </c>
      <c r="F105" s="333">
        <v>4384</v>
      </c>
      <c r="G105" s="56">
        <v>4387</v>
      </c>
      <c r="H105" s="56">
        <v>4343</v>
      </c>
      <c r="I105" s="56">
        <v>4250</v>
      </c>
      <c r="J105" s="56">
        <v>4301</v>
      </c>
      <c r="K105" s="56">
        <v>4421</v>
      </c>
      <c r="L105" s="56">
        <v>4340</v>
      </c>
      <c r="M105" s="56">
        <v>4268</v>
      </c>
      <c r="N105" s="56">
        <v>4426</v>
      </c>
      <c r="O105" s="56">
        <v>4322</v>
      </c>
      <c r="Q105" s="332" t="s">
        <v>649</v>
      </c>
    </row>
    <row r="106" spans="1:17">
      <c r="A106" s="332" t="s">
        <v>5422</v>
      </c>
      <c r="B106" s="332" t="s">
        <v>3463</v>
      </c>
      <c r="C106" s="55" t="s">
        <v>8291</v>
      </c>
      <c r="D106" s="333">
        <v>4359</v>
      </c>
      <c r="E106" s="333">
        <v>4353</v>
      </c>
      <c r="F106" s="333">
        <v>4388</v>
      </c>
      <c r="G106" s="56">
        <v>4421</v>
      </c>
      <c r="H106" s="56">
        <v>4822</v>
      </c>
      <c r="I106" s="56">
        <v>4817</v>
      </c>
      <c r="J106" s="56">
        <v>4944</v>
      </c>
      <c r="K106" s="56">
        <v>5157</v>
      </c>
      <c r="L106" s="56">
        <v>5216</v>
      </c>
      <c r="M106" s="56">
        <v>5189</v>
      </c>
      <c r="N106" s="56">
        <v>5435</v>
      </c>
      <c r="O106" s="56">
        <v>5339</v>
      </c>
      <c r="Q106" s="332" t="s">
        <v>649</v>
      </c>
    </row>
    <row r="107" spans="1:17">
      <c r="A107" s="332" t="s">
        <v>5424</v>
      </c>
      <c r="B107" s="332" t="s">
        <v>5199</v>
      </c>
      <c r="C107" s="55" t="s">
        <v>8292</v>
      </c>
      <c r="D107" s="333">
        <v>3722</v>
      </c>
      <c r="E107" s="333">
        <v>3710</v>
      </c>
      <c r="F107" s="333">
        <v>3657</v>
      </c>
      <c r="G107" s="56">
        <v>3701</v>
      </c>
      <c r="H107" s="56">
        <v>3641</v>
      </c>
      <c r="I107" s="56">
        <v>3566</v>
      </c>
      <c r="J107" s="56">
        <v>3603</v>
      </c>
      <c r="K107" s="56">
        <v>3657</v>
      </c>
      <c r="L107" s="56">
        <v>3622</v>
      </c>
      <c r="M107" s="56">
        <v>3586</v>
      </c>
      <c r="N107" s="56">
        <v>3724</v>
      </c>
      <c r="O107" s="56">
        <v>3630</v>
      </c>
      <c r="Q107" s="332" t="s">
        <v>649</v>
      </c>
    </row>
    <row r="108" spans="1:17">
      <c r="A108" s="332" t="s">
        <v>5426</v>
      </c>
      <c r="B108" s="332" t="s">
        <v>3229</v>
      </c>
      <c r="C108" s="55" t="s">
        <v>8293</v>
      </c>
      <c r="D108" s="333">
        <v>4569</v>
      </c>
      <c r="E108" s="333">
        <v>4732</v>
      </c>
      <c r="F108" s="333">
        <v>4642</v>
      </c>
      <c r="G108" s="56">
        <v>4418</v>
      </c>
      <c r="H108" s="56">
        <v>4518</v>
      </c>
      <c r="I108" s="56">
        <v>4328</v>
      </c>
      <c r="J108" s="56">
        <v>4468</v>
      </c>
      <c r="K108" s="56">
        <v>4705</v>
      </c>
      <c r="L108" s="56">
        <v>4850</v>
      </c>
      <c r="M108" s="56">
        <v>4751</v>
      </c>
      <c r="N108" s="56">
        <v>5302</v>
      </c>
      <c r="O108" s="56">
        <v>5084</v>
      </c>
      <c r="Q108" s="332" t="s">
        <v>649</v>
      </c>
    </row>
    <row r="109" spans="1:17">
      <c r="A109" s="332" t="s">
        <v>5428</v>
      </c>
      <c r="B109" s="332" t="s">
        <v>3464</v>
      </c>
      <c r="C109" s="55" t="s">
        <v>8294</v>
      </c>
      <c r="D109" s="333">
        <v>4585</v>
      </c>
      <c r="E109" s="333">
        <v>4618</v>
      </c>
      <c r="F109" s="333">
        <v>4629</v>
      </c>
      <c r="G109" s="56">
        <v>4622</v>
      </c>
      <c r="H109" s="56">
        <v>4638</v>
      </c>
      <c r="I109" s="56">
        <v>4520</v>
      </c>
      <c r="J109" s="56">
        <v>4544</v>
      </c>
      <c r="K109" s="56">
        <v>4599</v>
      </c>
      <c r="L109" s="56">
        <v>4613</v>
      </c>
      <c r="M109" s="56">
        <v>4554</v>
      </c>
      <c r="N109" s="56">
        <v>4726</v>
      </c>
      <c r="O109" s="56">
        <v>4624</v>
      </c>
      <c r="Q109" s="332" t="s">
        <v>649</v>
      </c>
    </row>
    <row r="110" spans="1:17">
      <c r="A110" s="332" t="s">
        <v>5429</v>
      </c>
      <c r="B110" s="332" t="s">
        <v>3690</v>
      </c>
      <c r="C110" s="55" t="s">
        <v>8295</v>
      </c>
      <c r="D110" s="333">
        <v>4098</v>
      </c>
      <c r="E110" s="333">
        <v>4249</v>
      </c>
      <c r="F110" s="333">
        <v>4229</v>
      </c>
      <c r="G110" s="56">
        <v>4339</v>
      </c>
      <c r="H110" s="56">
        <v>4385</v>
      </c>
      <c r="I110" s="56">
        <v>4287</v>
      </c>
      <c r="J110" s="56">
        <v>4263</v>
      </c>
      <c r="K110" s="56">
        <v>4338</v>
      </c>
      <c r="L110" s="56">
        <v>4355</v>
      </c>
      <c r="M110" s="56">
        <v>4316</v>
      </c>
      <c r="N110" s="56">
        <v>4547</v>
      </c>
      <c r="O110" s="56">
        <v>4454</v>
      </c>
      <c r="Q110" s="332" t="s">
        <v>649</v>
      </c>
    </row>
    <row r="111" spans="1:17">
      <c r="D111" s="334"/>
      <c r="E111" s="334"/>
      <c r="F111" s="334"/>
      <c r="G111" s="334"/>
      <c r="H111" s="334"/>
      <c r="I111" s="334"/>
      <c r="J111" s="334"/>
      <c r="K111" s="334"/>
      <c r="L111" s="334"/>
      <c r="M111" s="334"/>
      <c r="N111" s="334"/>
      <c r="O111" s="334"/>
    </row>
    <row r="112" spans="1:17">
      <c r="A112" s="332" t="s">
        <v>3465</v>
      </c>
      <c r="D112" s="333">
        <f t="shared" ref="D112:I112" si="92">SUM(D98:D107)+SUM(D108:D110)</f>
        <v>53928</v>
      </c>
      <c r="E112" s="333">
        <f t="shared" si="92"/>
        <v>54598</v>
      </c>
      <c r="F112" s="333">
        <f t="shared" si="92"/>
        <v>54941</v>
      </c>
      <c r="G112" s="333">
        <f t="shared" si="92"/>
        <v>55132</v>
      </c>
      <c r="H112" s="333">
        <f t="shared" si="92"/>
        <v>55744</v>
      </c>
      <c r="I112" s="333">
        <f t="shared" si="92"/>
        <v>54392</v>
      </c>
      <c r="J112" s="333">
        <f t="shared" ref="J112:O112" si="93">SUM(J98:J107)+SUM(J108:J110)</f>
        <v>54801</v>
      </c>
      <c r="K112" s="333">
        <f t="shared" si="93"/>
        <v>55898</v>
      </c>
      <c r="L112" s="333">
        <f t="shared" si="93"/>
        <v>56141</v>
      </c>
      <c r="M112" s="333">
        <f t="shared" si="93"/>
        <v>55436</v>
      </c>
      <c r="N112" s="333">
        <f t="shared" si="93"/>
        <v>58276</v>
      </c>
      <c r="O112" s="333">
        <f t="shared" si="93"/>
        <v>56866</v>
      </c>
    </row>
    <row r="114" spans="1:17">
      <c r="A114" s="332" t="s">
        <v>3466</v>
      </c>
    </row>
    <row r="115" spans="1:17">
      <c r="A115" s="332"/>
    </row>
    <row r="116" spans="1:17">
      <c r="A116" s="332"/>
    </row>
    <row r="117" spans="1:17">
      <c r="E117" s="51" t="s">
        <v>1526</v>
      </c>
      <c r="F117" s="51"/>
      <c r="G117" s="51"/>
      <c r="H117" s="51"/>
      <c r="I117" s="51"/>
      <c r="J117" s="51"/>
      <c r="K117" s="51"/>
      <c r="L117" s="51"/>
      <c r="M117" s="51"/>
      <c r="N117" s="51"/>
      <c r="O117" s="51"/>
      <c r="P117" s="11"/>
      <c r="Q117" s="11" t="s">
        <v>9479</v>
      </c>
    </row>
    <row r="118" spans="1:17">
      <c r="D118" s="270">
        <v>2010</v>
      </c>
      <c r="E118" s="270">
        <v>2011</v>
      </c>
      <c r="F118" s="270">
        <v>2012</v>
      </c>
      <c r="G118" s="270">
        <v>2013</v>
      </c>
      <c r="H118" s="270">
        <v>2014</v>
      </c>
      <c r="I118" s="270">
        <v>2015</v>
      </c>
      <c r="J118" s="270">
        <v>2016</v>
      </c>
      <c r="K118" s="270">
        <v>2017</v>
      </c>
      <c r="L118" s="270">
        <v>2018</v>
      </c>
      <c r="M118" s="270">
        <v>2019</v>
      </c>
      <c r="N118" s="270">
        <v>2020</v>
      </c>
      <c r="O118" s="937" t="s">
        <v>14823</v>
      </c>
      <c r="Q118" s="13" t="s">
        <v>1527</v>
      </c>
    </row>
    <row r="119" spans="1:17">
      <c r="A119" s="332" t="s">
        <v>3467</v>
      </c>
      <c r="D119" s="333">
        <f t="shared" ref="D119:I119" si="94">SUM(D120:D141)</f>
        <v>99998</v>
      </c>
      <c r="E119" s="333">
        <f t="shared" si="94"/>
        <v>101014</v>
      </c>
      <c r="F119" s="333">
        <f t="shared" si="94"/>
        <v>101584</v>
      </c>
      <c r="G119" s="333">
        <f t="shared" si="94"/>
        <v>101190</v>
      </c>
      <c r="H119" s="333">
        <f t="shared" si="94"/>
        <v>101541</v>
      </c>
      <c r="I119" s="333">
        <f t="shared" si="94"/>
        <v>96215</v>
      </c>
      <c r="J119" s="333">
        <f t="shared" ref="J119:O119" si="95">SUM(J120:J141)</f>
        <v>98505</v>
      </c>
      <c r="K119" s="333">
        <f t="shared" si="95"/>
        <v>99304</v>
      </c>
      <c r="L119" s="333">
        <f t="shared" si="95"/>
        <v>96712</v>
      </c>
      <c r="M119" s="333">
        <f t="shared" si="95"/>
        <v>95880</v>
      </c>
      <c r="N119" s="333">
        <f t="shared" si="95"/>
        <v>96831</v>
      </c>
      <c r="O119" s="333">
        <f t="shared" si="95"/>
        <v>101831</v>
      </c>
    </row>
    <row r="120" spans="1:17">
      <c r="A120" s="332" t="s">
        <v>5387</v>
      </c>
      <c r="B120" s="332" t="s">
        <v>3468</v>
      </c>
      <c r="C120" s="55" t="s">
        <v>8296</v>
      </c>
      <c r="D120" s="333">
        <v>5997</v>
      </c>
      <c r="E120" s="333">
        <v>5988</v>
      </c>
      <c r="F120" s="333">
        <v>5990</v>
      </c>
      <c r="G120" s="63">
        <v>6013</v>
      </c>
      <c r="H120" s="63">
        <v>6093</v>
      </c>
      <c r="I120" s="63">
        <v>6002</v>
      </c>
      <c r="J120" s="63">
        <v>5958</v>
      </c>
      <c r="K120" s="63">
        <v>6222</v>
      </c>
      <c r="L120" s="63">
        <v>6081</v>
      </c>
      <c r="M120" s="63">
        <v>6102</v>
      </c>
      <c r="N120" s="63">
        <v>6246</v>
      </c>
      <c r="O120" s="63">
        <v>6366</v>
      </c>
      <c r="Q120" s="332" t="s">
        <v>661</v>
      </c>
    </row>
    <row r="121" spans="1:17">
      <c r="A121" s="332" t="s">
        <v>5389</v>
      </c>
      <c r="B121" s="332" t="s">
        <v>3469</v>
      </c>
      <c r="C121" s="55" t="s">
        <v>8297</v>
      </c>
      <c r="D121" s="333">
        <v>4238</v>
      </c>
      <c r="E121" s="333">
        <v>4169</v>
      </c>
      <c r="F121" s="333">
        <v>4172</v>
      </c>
      <c r="G121" s="63">
        <v>4120</v>
      </c>
      <c r="H121" s="63">
        <v>4272</v>
      </c>
      <c r="I121" s="63">
        <v>4202</v>
      </c>
      <c r="J121" s="63">
        <v>4276</v>
      </c>
      <c r="K121" s="63">
        <v>4386</v>
      </c>
      <c r="L121" s="63">
        <v>4324</v>
      </c>
      <c r="M121" s="63">
        <v>4271</v>
      </c>
      <c r="N121" s="63">
        <v>4244</v>
      </c>
      <c r="O121" s="63">
        <v>4349</v>
      </c>
      <c r="Q121" s="332" t="s">
        <v>661</v>
      </c>
    </row>
    <row r="122" spans="1:17">
      <c r="A122" s="332" t="s">
        <v>5391</v>
      </c>
      <c r="B122" s="332" t="s">
        <v>3470</v>
      </c>
      <c r="C122" s="55" t="s">
        <v>8298</v>
      </c>
      <c r="D122" s="333">
        <v>4662</v>
      </c>
      <c r="E122" s="333">
        <v>4731</v>
      </c>
      <c r="F122" s="333">
        <v>4766</v>
      </c>
      <c r="G122" s="63">
        <v>4717</v>
      </c>
      <c r="H122" s="63">
        <v>4718</v>
      </c>
      <c r="I122" s="63">
        <v>4638</v>
      </c>
      <c r="J122" s="63">
        <v>4717</v>
      </c>
      <c r="K122" s="63">
        <v>4636</v>
      </c>
      <c r="L122" s="63">
        <v>4551</v>
      </c>
      <c r="M122" s="63">
        <v>4554</v>
      </c>
      <c r="N122" s="63">
        <v>4526</v>
      </c>
      <c r="O122" s="63">
        <v>4596</v>
      </c>
      <c r="Q122" s="332" t="s">
        <v>661</v>
      </c>
    </row>
    <row r="123" spans="1:17">
      <c r="A123" s="332" t="s">
        <v>5393</v>
      </c>
      <c r="B123" s="332" t="s">
        <v>3471</v>
      </c>
      <c r="C123" s="55" t="s">
        <v>8299</v>
      </c>
      <c r="D123" s="333">
        <v>4035</v>
      </c>
      <c r="E123" s="333">
        <v>4086</v>
      </c>
      <c r="F123" s="333">
        <v>4123</v>
      </c>
      <c r="G123" s="63">
        <v>4165</v>
      </c>
      <c r="H123" s="63">
        <v>4156</v>
      </c>
      <c r="I123" s="63">
        <v>4113</v>
      </c>
      <c r="J123" s="63">
        <v>4097</v>
      </c>
      <c r="K123" s="63">
        <v>4203</v>
      </c>
      <c r="L123" s="63">
        <v>4066</v>
      </c>
      <c r="M123" s="63">
        <v>4035</v>
      </c>
      <c r="N123" s="63">
        <v>4022</v>
      </c>
      <c r="O123" s="63">
        <v>4130</v>
      </c>
      <c r="Q123" s="332" t="s">
        <v>653</v>
      </c>
    </row>
    <row r="124" spans="1:17">
      <c r="A124" s="332" t="s">
        <v>5394</v>
      </c>
      <c r="B124" s="332" t="s">
        <v>3716</v>
      </c>
      <c r="C124" s="55" t="s">
        <v>8300</v>
      </c>
      <c r="D124" s="333">
        <v>3824</v>
      </c>
      <c r="E124" s="333">
        <v>3869</v>
      </c>
      <c r="F124" s="333">
        <v>3970</v>
      </c>
      <c r="G124" s="63">
        <v>4072</v>
      </c>
      <c r="H124" s="63">
        <v>4078</v>
      </c>
      <c r="I124" s="63">
        <v>3981</v>
      </c>
      <c r="J124" s="63">
        <v>4012</v>
      </c>
      <c r="K124" s="63">
        <v>4148</v>
      </c>
      <c r="L124" s="63">
        <v>4008</v>
      </c>
      <c r="M124" s="63">
        <v>4014</v>
      </c>
      <c r="N124" s="63">
        <v>4097</v>
      </c>
      <c r="O124" s="63">
        <v>4245</v>
      </c>
      <c r="Q124" s="332" t="s">
        <v>653</v>
      </c>
    </row>
    <row r="125" spans="1:17">
      <c r="A125" s="332" t="s">
        <v>5416</v>
      </c>
      <c r="B125" s="332" t="s">
        <v>3472</v>
      </c>
      <c r="C125" s="55" t="s">
        <v>8301</v>
      </c>
      <c r="D125" s="333">
        <v>6705</v>
      </c>
      <c r="E125" s="333">
        <v>6737</v>
      </c>
      <c r="F125" s="333">
        <v>6807</v>
      </c>
      <c r="G125" s="63">
        <v>6879</v>
      </c>
      <c r="H125" s="63">
        <v>6845</v>
      </c>
      <c r="I125" s="63">
        <v>6801</v>
      </c>
      <c r="J125" s="63">
        <v>6886</v>
      </c>
      <c r="K125" s="63">
        <v>7005</v>
      </c>
      <c r="L125" s="63">
        <v>6845</v>
      </c>
      <c r="M125" s="63">
        <v>6779</v>
      </c>
      <c r="N125" s="63">
        <v>6840</v>
      </c>
      <c r="O125" s="63">
        <v>6947</v>
      </c>
      <c r="Q125" s="332" t="s">
        <v>656</v>
      </c>
    </row>
    <row r="126" spans="1:17">
      <c r="A126" s="332" t="s">
        <v>5418</v>
      </c>
      <c r="B126" s="332" t="s">
        <v>3473</v>
      </c>
      <c r="C126" s="55" t="s">
        <v>8302</v>
      </c>
      <c r="D126" s="333">
        <v>2048</v>
      </c>
      <c r="E126" s="333">
        <v>2036</v>
      </c>
      <c r="F126" s="333">
        <v>2056</v>
      </c>
      <c r="G126" s="63">
        <v>2061</v>
      </c>
      <c r="H126" s="63">
        <v>2069</v>
      </c>
      <c r="I126" s="63">
        <v>2036</v>
      </c>
      <c r="J126" s="63">
        <v>2089</v>
      </c>
      <c r="K126" s="63">
        <v>2094</v>
      </c>
      <c r="L126" s="63">
        <v>2054</v>
      </c>
      <c r="M126" s="63">
        <v>2018</v>
      </c>
      <c r="N126" s="63">
        <v>2045</v>
      </c>
      <c r="O126" s="63">
        <v>2105</v>
      </c>
      <c r="Q126" s="332" t="s">
        <v>656</v>
      </c>
    </row>
    <row r="127" spans="1:17">
      <c r="A127" s="332" t="s">
        <v>5420</v>
      </c>
      <c r="B127" s="332" t="s">
        <v>3474</v>
      </c>
      <c r="C127" s="55" t="s">
        <v>8303</v>
      </c>
      <c r="D127" s="333">
        <v>6493</v>
      </c>
      <c r="E127" s="333">
        <v>6521</v>
      </c>
      <c r="F127" s="333">
        <v>6604</v>
      </c>
      <c r="G127" s="63">
        <v>6555</v>
      </c>
      <c r="H127" s="63">
        <v>6340</v>
      </c>
      <c r="I127" s="63">
        <v>5902</v>
      </c>
      <c r="J127" s="63">
        <v>5727</v>
      </c>
      <c r="K127" s="63">
        <v>6122</v>
      </c>
      <c r="L127" s="63">
        <v>5897</v>
      </c>
      <c r="M127" s="63">
        <v>5862</v>
      </c>
      <c r="N127" s="63">
        <v>6023</v>
      </c>
      <c r="O127" s="63">
        <v>6509</v>
      </c>
      <c r="Q127" s="332" t="s">
        <v>653</v>
      </c>
    </row>
    <row r="128" spans="1:17">
      <c r="A128" s="332" t="s">
        <v>5422</v>
      </c>
      <c r="B128" s="332" t="s">
        <v>3475</v>
      </c>
      <c r="C128" s="55" t="s">
        <v>8304</v>
      </c>
      <c r="D128" s="333">
        <v>5536</v>
      </c>
      <c r="E128" s="333">
        <v>5589</v>
      </c>
      <c r="F128" s="333">
        <v>5581</v>
      </c>
      <c r="G128" s="63">
        <v>5635</v>
      </c>
      <c r="H128" s="63">
        <v>5564</v>
      </c>
      <c r="I128" s="63">
        <v>5397</v>
      </c>
      <c r="J128" s="63">
        <v>5480</v>
      </c>
      <c r="K128" s="63">
        <v>5640</v>
      </c>
      <c r="L128" s="63">
        <v>5383</v>
      </c>
      <c r="M128" s="63">
        <v>5339</v>
      </c>
      <c r="N128" s="63">
        <v>5435</v>
      </c>
      <c r="O128" s="63">
        <v>5713</v>
      </c>
      <c r="Q128" s="332" t="s">
        <v>653</v>
      </c>
    </row>
    <row r="129" spans="1:17">
      <c r="A129" s="332" t="s">
        <v>5424</v>
      </c>
      <c r="B129" s="332" t="s">
        <v>3476</v>
      </c>
      <c r="C129" s="55" t="s">
        <v>8305</v>
      </c>
      <c r="D129" s="333">
        <v>1806</v>
      </c>
      <c r="E129" s="333">
        <v>1799</v>
      </c>
      <c r="F129" s="333">
        <v>1791</v>
      </c>
      <c r="G129" s="63">
        <v>1770</v>
      </c>
      <c r="H129" s="63">
        <v>1816</v>
      </c>
      <c r="I129" s="63">
        <v>1790</v>
      </c>
      <c r="J129" s="63">
        <v>1884</v>
      </c>
      <c r="K129" s="63">
        <v>1962</v>
      </c>
      <c r="L129" s="63">
        <v>1897</v>
      </c>
      <c r="M129" s="63">
        <v>1892</v>
      </c>
      <c r="N129" s="63">
        <v>1877</v>
      </c>
      <c r="O129" s="63">
        <v>1912</v>
      </c>
      <c r="Q129" s="332" t="s">
        <v>656</v>
      </c>
    </row>
    <row r="130" spans="1:17">
      <c r="A130" s="332" t="s">
        <v>5426</v>
      </c>
      <c r="B130" s="332" t="s">
        <v>3477</v>
      </c>
      <c r="C130" s="55" t="s">
        <v>8306</v>
      </c>
      <c r="D130" s="333">
        <v>5908</v>
      </c>
      <c r="E130" s="333">
        <v>5882</v>
      </c>
      <c r="F130" s="333">
        <v>5897</v>
      </c>
      <c r="G130" s="63">
        <v>5904</v>
      </c>
      <c r="H130" s="63">
        <v>5849</v>
      </c>
      <c r="I130" s="63">
        <v>5730</v>
      </c>
      <c r="J130" s="63">
        <v>5825</v>
      </c>
      <c r="K130" s="63">
        <v>5827</v>
      </c>
      <c r="L130" s="63">
        <v>5733</v>
      </c>
      <c r="M130" s="63">
        <v>5696</v>
      </c>
      <c r="N130" s="63">
        <v>5760</v>
      </c>
      <c r="O130" s="63">
        <v>5874</v>
      </c>
      <c r="Q130" s="332" t="s">
        <v>653</v>
      </c>
    </row>
    <row r="131" spans="1:17">
      <c r="A131" s="332" t="s">
        <v>5428</v>
      </c>
      <c r="B131" s="332" t="s">
        <v>783</v>
      </c>
      <c r="C131" s="55" t="s">
        <v>8307</v>
      </c>
      <c r="D131" s="333">
        <v>2342</v>
      </c>
      <c r="E131" s="333">
        <v>2380</v>
      </c>
      <c r="F131" s="333">
        <v>2401</v>
      </c>
      <c r="G131" s="63">
        <v>2407</v>
      </c>
      <c r="H131" s="63">
        <v>2435</v>
      </c>
      <c r="I131" s="63">
        <v>2431</v>
      </c>
      <c r="J131" s="63">
        <v>2478</v>
      </c>
      <c r="K131" s="63">
        <v>2496</v>
      </c>
      <c r="L131" s="63">
        <v>2420</v>
      </c>
      <c r="M131" s="63">
        <v>2426</v>
      </c>
      <c r="N131" s="63">
        <v>2464</v>
      </c>
      <c r="O131" s="63">
        <v>2496</v>
      </c>
      <c r="Q131" s="332" t="s">
        <v>662</v>
      </c>
    </row>
    <row r="132" spans="1:17">
      <c r="A132" s="332" t="s">
        <v>5429</v>
      </c>
      <c r="B132" s="332" t="s">
        <v>784</v>
      </c>
      <c r="C132" s="55" t="s">
        <v>8308</v>
      </c>
      <c r="D132" s="333">
        <v>6638</v>
      </c>
      <c r="E132" s="333">
        <v>7014</v>
      </c>
      <c r="F132" s="333">
        <v>6970</v>
      </c>
      <c r="G132" s="63">
        <v>6687</v>
      </c>
      <c r="H132" s="63">
        <v>7251</v>
      </c>
      <c r="I132" s="63">
        <v>4498</v>
      </c>
      <c r="J132" s="63">
        <v>5188</v>
      </c>
      <c r="K132" s="63">
        <v>4448</v>
      </c>
      <c r="L132" s="63">
        <v>4663</v>
      </c>
      <c r="M132" s="63">
        <v>4799</v>
      </c>
      <c r="N132" s="63">
        <v>5102</v>
      </c>
      <c r="O132" s="63">
        <v>6575</v>
      </c>
      <c r="Q132" s="332" t="s">
        <v>653</v>
      </c>
    </row>
    <row r="133" spans="1:17">
      <c r="A133" s="332" t="s">
        <v>5431</v>
      </c>
      <c r="B133" s="332" t="s">
        <v>785</v>
      </c>
      <c r="C133" s="55" t="s">
        <v>8309</v>
      </c>
      <c r="D133" s="333">
        <v>1919</v>
      </c>
      <c r="E133" s="333">
        <v>1940</v>
      </c>
      <c r="F133" s="333">
        <v>1929</v>
      </c>
      <c r="G133" s="63">
        <v>1966</v>
      </c>
      <c r="H133" s="63">
        <v>2003</v>
      </c>
      <c r="I133" s="63">
        <v>1960</v>
      </c>
      <c r="J133" s="63">
        <v>1980</v>
      </c>
      <c r="K133" s="63">
        <v>2004</v>
      </c>
      <c r="L133" s="63">
        <v>1933</v>
      </c>
      <c r="M133" s="63">
        <v>1935</v>
      </c>
      <c r="N133" s="63">
        <v>1955</v>
      </c>
      <c r="O133" s="63">
        <v>2003</v>
      </c>
      <c r="Q133" s="332" t="s">
        <v>653</v>
      </c>
    </row>
    <row r="134" spans="1:17">
      <c r="A134" s="332" t="s">
        <v>5433</v>
      </c>
      <c r="B134" s="332" t="s">
        <v>786</v>
      </c>
      <c r="C134" s="55" t="s">
        <v>8310</v>
      </c>
      <c r="D134" s="333">
        <v>2113</v>
      </c>
      <c r="E134" s="333">
        <v>2163</v>
      </c>
      <c r="F134" s="333">
        <v>2088</v>
      </c>
      <c r="G134" s="63">
        <v>1947</v>
      </c>
      <c r="H134" s="63">
        <v>2016</v>
      </c>
      <c r="I134" s="63">
        <v>1944</v>
      </c>
      <c r="J134" s="63">
        <v>2083</v>
      </c>
      <c r="K134" s="63">
        <v>2121</v>
      </c>
      <c r="L134" s="63">
        <v>1927</v>
      </c>
      <c r="M134" s="63">
        <v>1923</v>
      </c>
      <c r="N134" s="63">
        <v>1917</v>
      </c>
      <c r="O134" s="63">
        <v>1977</v>
      </c>
      <c r="Q134" s="332" t="s">
        <v>662</v>
      </c>
    </row>
    <row r="135" spans="1:17">
      <c r="A135" s="332" t="s">
        <v>5435</v>
      </c>
      <c r="B135" s="332" t="s">
        <v>2128</v>
      </c>
      <c r="C135" s="55" t="s">
        <v>8311</v>
      </c>
      <c r="D135" s="333">
        <v>3235</v>
      </c>
      <c r="E135" s="333">
        <v>3264</v>
      </c>
      <c r="F135" s="333">
        <v>3318</v>
      </c>
      <c r="G135" s="63">
        <v>3334</v>
      </c>
      <c r="H135" s="63">
        <v>3343</v>
      </c>
      <c r="I135" s="63">
        <v>3338</v>
      </c>
      <c r="J135" s="63">
        <v>3409</v>
      </c>
      <c r="K135" s="63">
        <v>3422</v>
      </c>
      <c r="L135" s="63">
        <v>3350</v>
      </c>
      <c r="M135" s="63">
        <v>3354</v>
      </c>
      <c r="N135" s="63">
        <v>3327</v>
      </c>
      <c r="O135" s="63">
        <v>3383</v>
      </c>
      <c r="Q135" s="332" t="s">
        <v>656</v>
      </c>
    </row>
    <row r="136" spans="1:17">
      <c r="A136" s="332" t="s">
        <v>5436</v>
      </c>
      <c r="B136" s="332" t="s">
        <v>2129</v>
      </c>
      <c r="C136" s="55" t="s">
        <v>8312</v>
      </c>
      <c r="D136" s="333">
        <v>4237</v>
      </c>
      <c r="E136" s="333">
        <v>4250</v>
      </c>
      <c r="F136" s="333">
        <v>4247</v>
      </c>
      <c r="G136" s="63">
        <v>4247</v>
      </c>
      <c r="H136" s="63">
        <v>4286</v>
      </c>
      <c r="I136" s="63">
        <v>4210</v>
      </c>
      <c r="J136" s="63">
        <v>4179</v>
      </c>
      <c r="K136" s="63">
        <v>4232</v>
      </c>
      <c r="L136" s="63">
        <v>4107</v>
      </c>
      <c r="M136" s="63">
        <v>4070</v>
      </c>
      <c r="N136" s="63">
        <v>4083</v>
      </c>
      <c r="O136" s="63">
        <v>4191</v>
      </c>
      <c r="Q136" s="332" t="s">
        <v>653</v>
      </c>
    </row>
    <row r="137" spans="1:17">
      <c r="A137" s="332" t="s">
        <v>5437</v>
      </c>
      <c r="B137" s="332" t="s">
        <v>1347</v>
      </c>
      <c r="C137" s="55" t="s">
        <v>8313</v>
      </c>
      <c r="D137" s="333">
        <v>4405</v>
      </c>
      <c r="E137" s="333">
        <v>4443</v>
      </c>
      <c r="F137" s="333">
        <v>4502</v>
      </c>
      <c r="G137" s="63">
        <v>4434</v>
      </c>
      <c r="H137" s="63">
        <v>4411</v>
      </c>
      <c r="I137" s="63">
        <v>4323</v>
      </c>
      <c r="J137" s="63">
        <v>4304</v>
      </c>
      <c r="K137" s="63">
        <v>4349</v>
      </c>
      <c r="L137" s="63">
        <v>4226</v>
      </c>
      <c r="M137" s="63">
        <v>4102</v>
      </c>
      <c r="N137" s="63">
        <v>4214</v>
      </c>
      <c r="O137" s="63">
        <v>4419</v>
      </c>
      <c r="Q137" s="332" t="s">
        <v>653</v>
      </c>
    </row>
    <row r="138" spans="1:17">
      <c r="A138" s="332" t="s">
        <v>5439</v>
      </c>
      <c r="B138" s="332" t="s">
        <v>2130</v>
      </c>
      <c r="C138" s="55" t="s">
        <v>8314</v>
      </c>
      <c r="D138" s="333">
        <v>6892</v>
      </c>
      <c r="E138" s="333">
        <v>6966</v>
      </c>
      <c r="F138" s="333">
        <v>7027</v>
      </c>
      <c r="G138" s="63">
        <v>7116</v>
      </c>
      <c r="H138" s="63">
        <v>7008</v>
      </c>
      <c r="I138" s="63">
        <v>6440</v>
      </c>
      <c r="J138" s="63">
        <v>6790</v>
      </c>
      <c r="K138" s="63">
        <v>6807</v>
      </c>
      <c r="L138" s="63">
        <v>6589</v>
      </c>
      <c r="M138" s="63">
        <v>6445</v>
      </c>
      <c r="N138" s="63">
        <v>6481</v>
      </c>
      <c r="O138" s="63">
        <v>6824</v>
      </c>
      <c r="Q138" s="332" t="s">
        <v>653</v>
      </c>
    </row>
    <row r="139" spans="1:17">
      <c r="A139" s="332" t="s">
        <v>5441</v>
      </c>
      <c r="B139" s="332" t="s">
        <v>2131</v>
      </c>
      <c r="C139" s="55" t="s">
        <v>8315</v>
      </c>
      <c r="D139" s="333">
        <v>4169</v>
      </c>
      <c r="E139" s="333">
        <v>4226</v>
      </c>
      <c r="F139" s="333">
        <v>4282</v>
      </c>
      <c r="G139" s="63">
        <v>4330</v>
      </c>
      <c r="H139" s="63">
        <v>4350</v>
      </c>
      <c r="I139" s="63">
        <v>4276</v>
      </c>
      <c r="J139" s="63">
        <v>4394</v>
      </c>
      <c r="K139" s="63">
        <v>4444</v>
      </c>
      <c r="L139" s="63">
        <v>4407</v>
      </c>
      <c r="M139" s="63">
        <v>4313</v>
      </c>
      <c r="N139" s="63">
        <v>4388</v>
      </c>
      <c r="O139" s="63">
        <v>4486</v>
      </c>
      <c r="Q139" s="332" t="s">
        <v>656</v>
      </c>
    </row>
    <row r="140" spans="1:17">
      <c r="A140" s="332" t="s">
        <v>5886</v>
      </c>
      <c r="B140" s="332" t="s">
        <v>2363</v>
      </c>
      <c r="C140" s="55" t="s">
        <v>8316</v>
      </c>
      <c r="D140" s="333">
        <v>6477</v>
      </c>
      <c r="E140" s="333">
        <v>6526</v>
      </c>
      <c r="F140" s="333">
        <v>6472</v>
      </c>
      <c r="G140" s="63">
        <v>6263</v>
      </c>
      <c r="H140" s="63">
        <v>6109</v>
      </c>
      <c r="I140" s="63">
        <v>5812</v>
      </c>
      <c r="J140" s="63">
        <v>6255</v>
      </c>
      <c r="K140" s="63">
        <v>6314</v>
      </c>
      <c r="L140" s="63">
        <v>5993</v>
      </c>
      <c r="M140" s="63">
        <v>5849</v>
      </c>
      <c r="N140" s="63">
        <v>5703</v>
      </c>
      <c r="O140" s="63">
        <v>6443</v>
      </c>
      <c r="Q140" s="332" t="s">
        <v>653</v>
      </c>
    </row>
    <row r="141" spans="1:17">
      <c r="A141" s="340">
        <v>22</v>
      </c>
      <c r="B141" s="332" t="s">
        <v>2132</v>
      </c>
      <c r="C141" s="55" t="s">
        <v>8317</v>
      </c>
      <c r="D141" s="333">
        <v>6319</v>
      </c>
      <c r="E141" s="333">
        <v>6435</v>
      </c>
      <c r="F141" s="333">
        <v>6591</v>
      </c>
      <c r="G141" s="63">
        <v>6568</v>
      </c>
      <c r="H141" s="63">
        <v>6529</v>
      </c>
      <c r="I141" s="63">
        <v>6391</v>
      </c>
      <c r="J141" s="63">
        <v>6494</v>
      </c>
      <c r="K141" s="63">
        <v>6422</v>
      </c>
      <c r="L141" s="63">
        <v>6258</v>
      </c>
      <c r="M141" s="63">
        <v>6102</v>
      </c>
      <c r="N141" s="63">
        <v>6082</v>
      </c>
      <c r="O141" s="63">
        <v>6288</v>
      </c>
      <c r="Q141" s="332" t="s">
        <v>653</v>
      </c>
    </row>
    <row r="142" spans="1:17">
      <c r="D142" s="334"/>
      <c r="E142" s="334"/>
      <c r="F142" s="334"/>
      <c r="G142" s="334"/>
      <c r="H142" s="334"/>
      <c r="I142" s="334"/>
      <c r="J142" s="334"/>
      <c r="K142" s="334"/>
      <c r="L142" s="334"/>
      <c r="M142" s="334"/>
      <c r="N142" s="334"/>
      <c r="O142" s="334"/>
    </row>
    <row r="143" spans="1:17">
      <c r="A143" s="332" t="s">
        <v>1391</v>
      </c>
      <c r="D143" s="333">
        <f t="shared" ref="D143:I143" si="96">D123+D124+D127+D128+D130+D132+D133+SUM(D136:D138)+D140+D141</f>
        <v>62683</v>
      </c>
      <c r="E143" s="333">
        <f t="shared" si="96"/>
        <v>63521</v>
      </c>
      <c r="F143" s="333">
        <f t="shared" si="96"/>
        <v>63913</v>
      </c>
      <c r="G143" s="333">
        <f t="shared" si="96"/>
        <v>63612</v>
      </c>
      <c r="H143" s="333">
        <f t="shared" si="96"/>
        <v>63584</v>
      </c>
      <c r="I143" s="333">
        <f t="shared" si="96"/>
        <v>58757</v>
      </c>
      <c r="J143" s="333">
        <f t="shared" ref="J143:O143" si="97">J123+J124+J127+J128+J130+J132+J133+SUM(J136:J138)+J140+J141</f>
        <v>60331</v>
      </c>
      <c r="K143" s="333">
        <f t="shared" si="97"/>
        <v>60516</v>
      </c>
      <c r="L143" s="333">
        <f t="shared" si="97"/>
        <v>58856</v>
      </c>
      <c r="M143" s="333">
        <f t="shared" si="97"/>
        <v>58248</v>
      </c>
      <c r="N143" s="333">
        <f t="shared" si="97"/>
        <v>58957</v>
      </c>
      <c r="O143" s="333">
        <f t="shared" si="97"/>
        <v>63214</v>
      </c>
    </row>
    <row r="144" spans="1:17">
      <c r="A144" s="332" t="s">
        <v>1392</v>
      </c>
      <c r="D144" s="333">
        <f t="shared" ref="D144:I144" si="98">D125+D126+D129+D135+D139</f>
        <v>17963</v>
      </c>
      <c r="E144" s="333">
        <f t="shared" si="98"/>
        <v>18062</v>
      </c>
      <c r="F144" s="333">
        <f t="shared" si="98"/>
        <v>18254</v>
      </c>
      <c r="G144" s="333">
        <f t="shared" si="98"/>
        <v>18374</v>
      </c>
      <c r="H144" s="333">
        <f t="shared" si="98"/>
        <v>18423</v>
      </c>
      <c r="I144" s="333">
        <f t="shared" si="98"/>
        <v>18241</v>
      </c>
      <c r="J144" s="333">
        <f t="shared" ref="J144:O144" si="99">J125+J126+J129+J135+J139</f>
        <v>18662</v>
      </c>
      <c r="K144" s="333">
        <f t="shared" si="99"/>
        <v>18927</v>
      </c>
      <c r="L144" s="333">
        <f t="shared" si="99"/>
        <v>18553</v>
      </c>
      <c r="M144" s="333">
        <f t="shared" si="99"/>
        <v>18356</v>
      </c>
      <c r="N144" s="333">
        <f t="shared" si="99"/>
        <v>18477</v>
      </c>
      <c r="O144" s="333">
        <f t="shared" si="99"/>
        <v>18833</v>
      </c>
    </row>
    <row r="145" spans="1:17">
      <c r="A145" s="332" t="s">
        <v>1393</v>
      </c>
      <c r="D145" s="333">
        <f t="shared" ref="D145:I145" si="100">SUM(D120:D122)</f>
        <v>14897</v>
      </c>
      <c r="E145" s="333">
        <f t="shared" si="100"/>
        <v>14888</v>
      </c>
      <c r="F145" s="333">
        <f t="shared" si="100"/>
        <v>14928</v>
      </c>
      <c r="G145" s="333">
        <f t="shared" si="100"/>
        <v>14850</v>
      </c>
      <c r="H145" s="333">
        <f t="shared" si="100"/>
        <v>15083</v>
      </c>
      <c r="I145" s="333">
        <f t="shared" si="100"/>
        <v>14842</v>
      </c>
      <c r="J145" s="333">
        <f t="shared" ref="J145:O145" si="101">SUM(J120:J122)</f>
        <v>14951</v>
      </c>
      <c r="K145" s="333">
        <f t="shared" si="101"/>
        <v>15244</v>
      </c>
      <c r="L145" s="333">
        <f t="shared" si="101"/>
        <v>14956</v>
      </c>
      <c r="M145" s="333">
        <f t="shared" si="101"/>
        <v>14927</v>
      </c>
      <c r="N145" s="333">
        <f t="shared" si="101"/>
        <v>15016</v>
      </c>
      <c r="O145" s="333">
        <f t="shared" si="101"/>
        <v>15311</v>
      </c>
    </row>
    <row r="146" spans="1:17">
      <c r="A146" s="332" t="s">
        <v>1394</v>
      </c>
      <c r="D146" s="333">
        <f t="shared" ref="D146:I146" si="102">D131+D134</f>
        <v>4455</v>
      </c>
      <c r="E146" s="333">
        <f t="shared" si="102"/>
        <v>4543</v>
      </c>
      <c r="F146" s="333">
        <f t="shared" si="102"/>
        <v>4489</v>
      </c>
      <c r="G146" s="333">
        <f t="shared" si="102"/>
        <v>4354</v>
      </c>
      <c r="H146" s="333">
        <f t="shared" si="102"/>
        <v>4451</v>
      </c>
      <c r="I146" s="333">
        <f t="shared" si="102"/>
        <v>4375</v>
      </c>
      <c r="J146" s="333">
        <f t="shared" ref="J146:O146" si="103">J131+J134</f>
        <v>4561</v>
      </c>
      <c r="K146" s="333">
        <f t="shared" si="103"/>
        <v>4617</v>
      </c>
      <c r="L146" s="333">
        <f t="shared" si="103"/>
        <v>4347</v>
      </c>
      <c r="M146" s="333">
        <f t="shared" si="103"/>
        <v>4349</v>
      </c>
      <c r="N146" s="333">
        <f t="shared" si="103"/>
        <v>4381</v>
      </c>
      <c r="O146" s="333">
        <f t="shared" si="103"/>
        <v>4473</v>
      </c>
    </row>
    <row r="147" spans="1:17">
      <c r="A147" s="332"/>
      <c r="B147" s="332"/>
      <c r="C147" s="332"/>
      <c r="D147" s="341"/>
      <c r="E147" s="341"/>
      <c r="F147" s="341"/>
      <c r="G147" s="341"/>
      <c r="H147" s="341"/>
      <c r="I147" s="341"/>
      <c r="J147" s="341"/>
      <c r="K147" s="341"/>
      <c r="L147" s="341"/>
      <c r="M147" s="341"/>
      <c r="N147" s="341"/>
      <c r="O147" s="341"/>
    </row>
    <row r="148" spans="1:17">
      <c r="A148" s="332" t="s">
        <v>24</v>
      </c>
      <c r="B148" s="332"/>
      <c r="C148" s="332"/>
      <c r="D148" s="341"/>
      <c r="E148" s="341"/>
      <c r="F148" s="341"/>
      <c r="G148" s="341"/>
      <c r="H148" s="341"/>
      <c r="I148" s="341"/>
      <c r="J148" s="341"/>
      <c r="K148" s="341"/>
      <c r="L148" s="341"/>
      <c r="M148" s="341"/>
      <c r="N148" s="341"/>
      <c r="O148" s="341"/>
    </row>
    <row r="149" spans="1:17">
      <c r="A149" s="332"/>
      <c r="B149" s="332"/>
      <c r="C149" s="332"/>
      <c r="D149" s="341"/>
      <c r="E149" s="341"/>
      <c r="F149" s="341"/>
      <c r="G149" s="341"/>
      <c r="H149" s="341"/>
      <c r="I149" s="341"/>
      <c r="J149" s="341"/>
      <c r="K149" s="341"/>
      <c r="L149" s="341"/>
      <c r="M149" s="341"/>
      <c r="N149" s="341"/>
      <c r="O149" s="341"/>
    </row>
    <row r="150" spans="1:17">
      <c r="A150" s="332"/>
      <c r="B150" s="332"/>
      <c r="C150" s="332"/>
      <c r="D150" s="341"/>
      <c r="E150" s="341"/>
      <c r="F150" s="341"/>
      <c r="G150" s="341"/>
      <c r="H150" s="341"/>
      <c r="I150" s="341"/>
      <c r="J150" s="341"/>
      <c r="K150" s="341"/>
      <c r="L150" s="341"/>
      <c r="M150" s="341"/>
      <c r="N150" s="341"/>
      <c r="O150" s="341"/>
    </row>
    <row r="151" spans="1:17">
      <c r="E151" s="51" t="s">
        <v>1526</v>
      </c>
      <c r="F151" s="51"/>
      <c r="G151" s="51"/>
      <c r="H151" s="51"/>
      <c r="I151" s="51"/>
      <c r="J151" s="51"/>
      <c r="K151" s="51"/>
      <c r="L151" s="51"/>
      <c r="M151" s="51"/>
      <c r="N151" s="51"/>
      <c r="O151" s="51"/>
      <c r="P151" s="11"/>
      <c r="Q151" s="11" t="s">
        <v>9479</v>
      </c>
    </row>
    <row r="152" spans="1:17">
      <c r="D152" s="270">
        <v>2010</v>
      </c>
      <c r="E152" s="270">
        <v>2011</v>
      </c>
      <c r="F152" s="270">
        <v>2012</v>
      </c>
      <c r="G152" s="270">
        <v>2013</v>
      </c>
      <c r="H152" s="270">
        <v>2014</v>
      </c>
      <c r="I152" s="270">
        <v>2015</v>
      </c>
      <c r="J152" s="270">
        <v>2016</v>
      </c>
      <c r="K152" s="270">
        <v>2017</v>
      </c>
      <c r="L152" s="270">
        <v>2018</v>
      </c>
      <c r="M152" s="270">
        <v>2019</v>
      </c>
      <c r="N152" s="270">
        <v>2020</v>
      </c>
      <c r="O152" s="937" t="s">
        <v>14823</v>
      </c>
      <c r="Q152" s="13" t="s">
        <v>1527</v>
      </c>
    </row>
    <row r="153" spans="1:17">
      <c r="A153" s="332" t="s">
        <v>25</v>
      </c>
      <c r="C153" s="332"/>
      <c r="D153" s="333">
        <f t="shared" ref="D153:I153" si="104">SUM(D154:D174)</f>
        <v>65013</v>
      </c>
      <c r="E153" s="333">
        <f t="shared" si="104"/>
        <v>65486</v>
      </c>
      <c r="F153" s="333">
        <f t="shared" si="104"/>
        <v>66175</v>
      </c>
      <c r="G153" s="333">
        <f t="shared" si="104"/>
        <v>66206</v>
      </c>
      <c r="H153" s="333">
        <f t="shared" si="104"/>
        <v>66931</v>
      </c>
      <c r="I153" s="333">
        <f t="shared" si="104"/>
        <v>65841</v>
      </c>
      <c r="J153" s="333">
        <f t="shared" ref="J153:O153" si="105">SUM(J154:J174)</f>
        <v>64797</v>
      </c>
      <c r="K153" s="333">
        <f t="shared" si="105"/>
        <v>66601</v>
      </c>
      <c r="L153" s="333">
        <f t="shared" si="105"/>
        <v>66457</v>
      </c>
      <c r="M153" s="333">
        <f t="shared" si="105"/>
        <v>65404</v>
      </c>
      <c r="N153" s="333">
        <f t="shared" si="105"/>
        <v>67647</v>
      </c>
      <c r="O153" s="333">
        <f t="shared" si="105"/>
        <v>67499</v>
      </c>
    </row>
    <row r="154" spans="1:17">
      <c r="A154" s="332" t="s">
        <v>5387</v>
      </c>
      <c r="B154" s="332" t="s">
        <v>26</v>
      </c>
      <c r="C154" s="55" t="s">
        <v>8318</v>
      </c>
      <c r="D154" s="333">
        <v>3199</v>
      </c>
      <c r="E154" s="333">
        <v>3204</v>
      </c>
      <c r="F154" s="333">
        <v>3193</v>
      </c>
      <c r="G154" s="56">
        <v>3194</v>
      </c>
      <c r="H154" s="56">
        <v>3220</v>
      </c>
      <c r="I154" s="56">
        <v>3159</v>
      </c>
      <c r="J154" s="56">
        <v>3195</v>
      </c>
      <c r="K154" s="56">
        <v>3243</v>
      </c>
      <c r="L154" s="56">
        <v>3218</v>
      </c>
      <c r="M154" s="56">
        <v>3154</v>
      </c>
      <c r="N154" s="56">
        <v>3240</v>
      </c>
      <c r="O154" s="56">
        <v>3222</v>
      </c>
      <c r="Q154" s="332" t="s">
        <v>649</v>
      </c>
    </row>
    <row r="155" spans="1:17" ht="15" customHeight="1">
      <c r="A155" s="332" t="s">
        <v>5389</v>
      </c>
      <c r="B155" s="332" t="s">
        <v>27</v>
      </c>
      <c r="C155" s="55" t="s">
        <v>8319</v>
      </c>
      <c r="D155" s="333">
        <v>3147</v>
      </c>
      <c r="E155" s="333">
        <v>3231</v>
      </c>
      <c r="F155" s="333">
        <v>3314</v>
      </c>
      <c r="G155" s="56">
        <v>3386</v>
      </c>
      <c r="H155" s="56">
        <v>3474</v>
      </c>
      <c r="I155" s="56">
        <v>3406</v>
      </c>
      <c r="J155" s="56">
        <v>3341</v>
      </c>
      <c r="K155" s="56">
        <v>3442</v>
      </c>
      <c r="L155" s="56">
        <v>3483</v>
      </c>
      <c r="M155" s="56">
        <v>3399</v>
      </c>
      <c r="N155" s="56">
        <v>3469</v>
      </c>
      <c r="O155" s="56">
        <v>3462</v>
      </c>
      <c r="Q155" s="332" t="s">
        <v>649</v>
      </c>
    </row>
    <row r="156" spans="1:17">
      <c r="A156" s="332" t="s">
        <v>5391</v>
      </c>
      <c r="B156" s="332" t="s">
        <v>28</v>
      </c>
      <c r="C156" s="55" t="s">
        <v>8320</v>
      </c>
      <c r="D156" s="333">
        <v>4520</v>
      </c>
      <c r="E156" s="333">
        <v>4545</v>
      </c>
      <c r="F156" s="333">
        <v>4607</v>
      </c>
      <c r="G156" s="56">
        <v>4612</v>
      </c>
      <c r="H156" s="56">
        <v>4628</v>
      </c>
      <c r="I156" s="56">
        <v>4541</v>
      </c>
      <c r="J156" s="56">
        <v>4523</v>
      </c>
      <c r="K156" s="56">
        <v>4619</v>
      </c>
      <c r="L156" s="56">
        <v>4632</v>
      </c>
      <c r="M156" s="56">
        <v>4592</v>
      </c>
      <c r="N156" s="56">
        <v>4718</v>
      </c>
      <c r="O156" s="56">
        <v>4726</v>
      </c>
      <c r="Q156" s="332" t="s">
        <v>649</v>
      </c>
    </row>
    <row r="157" spans="1:17">
      <c r="A157" s="332" t="s">
        <v>5393</v>
      </c>
      <c r="B157" s="332" t="s">
        <v>29</v>
      </c>
      <c r="C157" s="55" t="s">
        <v>8321</v>
      </c>
      <c r="D157" s="333">
        <v>1516</v>
      </c>
      <c r="E157" s="333">
        <v>1525</v>
      </c>
      <c r="F157" s="333">
        <v>1536</v>
      </c>
      <c r="G157" s="56">
        <v>1528</v>
      </c>
      <c r="H157" s="56">
        <v>1516</v>
      </c>
      <c r="I157" s="56">
        <v>1490</v>
      </c>
      <c r="J157" s="56">
        <v>1521</v>
      </c>
      <c r="K157" s="56">
        <v>1573</v>
      </c>
      <c r="L157" s="56">
        <v>1537</v>
      </c>
      <c r="M157" s="56">
        <v>1516</v>
      </c>
      <c r="N157" s="56">
        <v>1557</v>
      </c>
      <c r="O157" s="56">
        <v>1547</v>
      </c>
      <c r="Q157" s="332" t="s">
        <v>656</v>
      </c>
    </row>
    <row r="158" spans="1:17">
      <c r="A158" s="332" t="s">
        <v>5394</v>
      </c>
      <c r="B158" s="332" t="s">
        <v>30</v>
      </c>
      <c r="C158" s="55" t="s">
        <v>8322</v>
      </c>
      <c r="D158" s="333">
        <v>4581</v>
      </c>
      <c r="E158" s="333">
        <v>4580</v>
      </c>
      <c r="F158" s="333">
        <v>4632</v>
      </c>
      <c r="G158" s="56">
        <v>4606</v>
      </c>
      <c r="H158" s="56">
        <v>4588</v>
      </c>
      <c r="I158" s="56">
        <v>4518</v>
      </c>
      <c r="J158" s="56">
        <v>4486</v>
      </c>
      <c r="K158" s="56">
        <v>4604</v>
      </c>
      <c r="L158" s="56">
        <v>4570</v>
      </c>
      <c r="M158" s="56">
        <v>4543</v>
      </c>
      <c r="N158" s="56">
        <v>4710</v>
      </c>
      <c r="O158" s="56">
        <v>4699</v>
      </c>
      <c r="Q158" s="332" t="s">
        <v>656</v>
      </c>
    </row>
    <row r="159" spans="1:17">
      <c r="A159" s="332" t="s">
        <v>5416</v>
      </c>
      <c r="B159" s="332" t="s">
        <v>31</v>
      </c>
      <c r="C159" s="55" t="s">
        <v>8323</v>
      </c>
      <c r="D159" s="333">
        <v>4378</v>
      </c>
      <c r="E159" s="333">
        <v>4419</v>
      </c>
      <c r="F159" s="333">
        <v>4436</v>
      </c>
      <c r="G159" s="56">
        <v>4448</v>
      </c>
      <c r="H159" s="56">
        <v>4546</v>
      </c>
      <c r="I159" s="56">
        <v>4467</v>
      </c>
      <c r="J159" s="56">
        <v>4405</v>
      </c>
      <c r="K159" s="56">
        <v>4431</v>
      </c>
      <c r="L159" s="56">
        <v>4447</v>
      </c>
      <c r="M159" s="56">
        <v>4354</v>
      </c>
      <c r="N159" s="56">
        <v>4498</v>
      </c>
      <c r="O159" s="56">
        <v>4493</v>
      </c>
      <c r="Q159" s="332" t="s">
        <v>656</v>
      </c>
    </row>
    <row r="160" spans="1:17">
      <c r="A160" s="332" t="s">
        <v>5418</v>
      </c>
      <c r="B160" s="332" t="s">
        <v>32</v>
      </c>
      <c r="C160" s="55" t="s">
        <v>8324</v>
      </c>
      <c r="D160" s="333">
        <v>1729</v>
      </c>
      <c r="E160" s="333">
        <v>1749</v>
      </c>
      <c r="F160" s="333">
        <v>1728</v>
      </c>
      <c r="G160" s="56">
        <v>1748</v>
      </c>
      <c r="H160" s="56">
        <v>1754</v>
      </c>
      <c r="I160" s="56">
        <v>1723</v>
      </c>
      <c r="J160" s="56">
        <v>1706</v>
      </c>
      <c r="K160" s="56">
        <v>1715</v>
      </c>
      <c r="L160" s="56">
        <v>1697</v>
      </c>
      <c r="M160" s="56">
        <v>1573</v>
      </c>
      <c r="N160" s="56">
        <v>1569</v>
      </c>
      <c r="O160" s="56">
        <v>1569</v>
      </c>
      <c r="Q160" s="332" t="s">
        <v>656</v>
      </c>
    </row>
    <row r="161" spans="1:17">
      <c r="A161" s="332" t="s">
        <v>5420</v>
      </c>
      <c r="B161" s="332" t="s">
        <v>33</v>
      </c>
      <c r="C161" s="55" t="s">
        <v>8325</v>
      </c>
      <c r="D161" s="333">
        <v>3507</v>
      </c>
      <c r="E161" s="333">
        <v>3572</v>
      </c>
      <c r="F161" s="333">
        <v>3595</v>
      </c>
      <c r="G161" s="56">
        <v>3541</v>
      </c>
      <c r="H161" s="56">
        <v>3568</v>
      </c>
      <c r="I161" s="56">
        <v>3534</v>
      </c>
      <c r="J161" s="56">
        <v>3480</v>
      </c>
      <c r="K161" s="56">
        <v>3582</v>
      </c>
      <c r="L161" s="56">
        <v>3584</v>
      </c>
      <c r="M161" s="56">
        <v>3564</v>
      </c>
      <c r="N161" s="56">
        <v>3674</v>
      </c>
      <c r="O161" s="56">
        <v>3659</v>
      </c>
      <c r="Q161" s="332" t="s">
        <v>656</v>
      </c>
    </row>
    <row r="162" spans="1:17">
      <c r="A162" s="332" t="s">
        <v>5422</v>
      </c>
      <c r="B162" s="121" t="s">
        <v>34</v>
      </c>
      <c r="C162" s="55" t="s">
        <v>8326</v>
      </c>
      <c r="D162" s="333">
        <v>3307</v>
      </c>
      <c r="E162" s="333">
        <v>3357</v>
      </c>
      <c r="F162" s="333">
        <v>3392</v>
      </c>
      <c r="G162" s="56">
        <v>3380</v>
      </c>
      <c r="H162" s="56">
        <v>3417</v>
      </c>
      <c r="I162" s="56">
        <v>3357</v>
      </c>
      <c r="J162" s="56">
        <v>3259</v>
      </c>
      <c r="K162" s="56">
        <v>3402</v>
      </c>
      <c r="L162" s="56">
        <v>3432</v>
      </c>
      <c r="M162" s="56">
        <v>3343</v>
      </c>
      <c r="N162" s="56">
        <v>3431</v>
      </c>
      <c r="O162" s="56">
        <v>3431</v>
      </c>
      <c r="Q162" s="332" t="s">
        <v>656</v>
      </c>
    </row>
    <row r="163" spans="1:17">
      <c r="A163" s="332" t="s">
        <v>5424</v>
      </c>
      <c r="B163" s="332" t="s">
        <v>35</v>
      </c>
      <c r="C163" s="55" t="s">
        <v>8327</v>
      </c>
      <c r="D163" s="333">
        <v>1731</v>
      </c>
      <c r="E163" s="333">
        <v>1747</v>
      </c>
      <c r="F163" s="333">
        <v>1784</v>
      </c>
      <c r="G163" s="56">
        <v>1787</v>
      </c>
      <c r="H163" s="56">
        <v>1800</v>
      </c>
      <c r="I163" s="56">
        <v>1788</v>
      </c>
      <c r="J163" s="56">
        <v>1751</v>
      </c>
      <c r="K163" s="56">
        <v>1823</v>
      </c>
      <c r="L163" s="56">
        <v>1826</v>
      </c>
      <c r="M163" s="56">
        <v>1785</v>
      </c>
      <c r="N163" s="56">
        <v>1863</v>
      </c>
      <c r="O163" s="56">
        <v>1855</v>
      </c>
      <c r="Q163" s="332" t="s">
        <v>656</v>
      </c>
    </row>
    <row r="164" spans="1:17">
      <c r="A164" s="332" t="s">
        <v>5426</v>
      </c>
      <c r="B164" s="332" t="s">
        <v>36</v>
      </c>
      <c r="C164" s="55" t="s">
        <v>8328</v>
      </c>
      <c r="D164" s="333">
        <v>3121</v>
      </c>
      <c r="E164" s="333">
        <v>3152</v>
      </c>
      <c r="F164" s="333">
        <v>3159</v>
      </c>
      <c r="G164" s="56">
        <v>3117</v>
      </c>
      <c r="H164" s="56">
        <v>3204</v>
      </c>
      <c r="I164" s="56">
        <v>3175</v>
      </c>
      <c r="J164" s="56">
        <v>3123</v>
      </c>
      <c r="K164" s="56">
        <v>3234</v>
      </c>
      <c r="L164" s="56">
        <v>3231</v>
      </c>
      <c r="M164" s="56">
        <v>3217</v>
      </c>
      <c r="N164" s="56">
        <v>3389</v>
      </c>
      <c r="O164" s="56">
        <v>3386</v>
      </c>
      <c r="Q164" s="332" t="s">
        <v>656</v>
      </c>
    </row>
    <row r="165" spans="1:17">
      <c r="A165" s="332" t="s">
        <v>5428</v>
      </c>
      <c r="B165" s="332" t="s">
        <v>37</v>
      </c>
      <c r="C165" s="55" t="s">
        <v>8329</v>
      </c>
      <c r="D165" s="333">
        <v>5297</v>
      </c>
      <c r="E165" s="333">
        <v>5302</v>
      </c>
      <c r="F165" s="333">
        <v>5421</v>
      </c>
      <c r="G165" s="56">
        <v>5389</v>
      </c>
      <c r="H165" s="56">
        <v>5482</v>
      </c>
      <c r="I165" s="56">
        <v>5411</v>
      </c>
      <c r="J165" s="56">
        <v>5346</v>
      </c>
      <c r="K165" s="56">
        <v>5600</v>
      </c>
      <c r="L165" s="56">
        <v>5569</v>
      </c>
      <c r="M165" s="56">
        <v>5460</v>
      </c>
      <c r="N165" s="56">
        <v>5656</v>
      </c>
      <c r="O165" s="56">
        <v>5630</v>
      </c>
      <c r="Q165" s="332" t="s">
        <v>656</v>
      </c>
    </row>
    <row r="166" spans="1:17">
      <c r="A166" s="332" t="s">
        <v>5429</v>
      </c>
      <c r="B166" s="332" t="s">
        <v>38</v>
      </c>
      <c r="C166" s="55" t="s">
        <v>8330</v>
      </c>
      <c r="D166" s="333">
        <v>3027</v>
      </c>
      <c r="E166" s="333">
        <v>3047</v>
      </c>
      <c r="F166" s="333">
        <v>3075</v>
      </c>
      <c r="G166" s="56">
        <v>3064</v>
      </c>
      <c r="H166" s="56">
        <v>3069</v>
      </c>
      <c r="I166" s="56">
        <v>3062</v>
      </c>
      <c r="J166" s="56">
        <v>3022</v>
      </c>
      <c r="K166" s="56">
        <v>3100</v>
      </c>
      <c r="L166" s="56">
        <v>3067</v>
      </c>
      <c r="M166" s="56">
        <v>3019</v>
      </c>
      <c r="N166" s="56">
        <v>3094</v>
      </c>
      <c r="O166" s="56">
        <v>3087</v>
      </c>
      <c r="Q166" s="332" t="s">
        <v>656</v>
      </c>
    </row>
    <row r="167" spans="1:17">
      <c r="A167" s="332" t="s">
        <v>5431</v>
      </c>
      <c r="B167" s="332" t="s">
        <v>39</v>
      </c>
      <c r="C167" s="55" t="s">
        <v>8331</v>
      </c>
      <c r="D167" s="333">
        <v>3070</v>
      </c>
      <c r="E167" s="333">
        <v>3113</v>
      </c>
      <c r="F167" s="333">
        <v>3130</v>
      </c>
      <c r="G167" s="56">
        <v>3147</v>
      </c>
      <c r="H167" s="56">
        <v>3178</v>
      </c>
      <c r="I167" s="56">
        <v>3116</v>
      </c>
      <c r="J167" s="56">
        <v>3109</v>
      </c>
      <c r="K167" s="56">
        <v>3171</v>
      </c>
      <c r="L167" s="56">
        <v>3145</v>
      </c>
      <c r="M167" s="56">
        <v>3167</v>
      </c>
      <c r="N167" s="56">
        <v>3260</v>
      </c>
      <c r="O167" s="56">
        <v>3263</v>
      </c>
      <c r="Q167" s="332" t="s">
        <v>656</v>
      </c>
    </row>
    <row r="168" spans="1:17">
      <c r="A168" s="332" t="s">
        <v>5433</v>
      </c>
      <c r="B168" s="332" t="s">
        <v>40</v>
      </c>
      <c r="C168" s="55" t="s">
        <v>8332</v>
      </c>
      <c r="D168" s="333">
        <v>4823</v>
      </c>
      <c r="E168" s="333">
        <v>4821</v>
      </c>
      <c r="F168" s="333">
        <v>4843</v>
      </c>
      <c r="G168" s="56">
        <v>4861</v>
      </c>
      <c r="H168" s="56">
        <v>4932</v>
      </c>
      <c r="I168" s="56">
        <v>4814</v>
      </c>
      <c r="J168" s="56">
        <v>4677</v>
      </c>
      <c r="K168" s="56">
        <v>4815</v>
      </c>
      <c r="L168" s="56">
        <v>4752</v>
      </c>
      <c r="M168" s="56">
        <v>4633</v>
      </c>
      <c r="N168" s="56">
        <v>4713</v>
      </c>
      <c r="O168" s="56">
        <v>4705</v>
      </c>
      <c r="Q168" s="332" t="s">
        <v>656</v>
      </c>
    </row>
    <row r="169" spans="1:17">
      <c r="A169" s="332" t="s">
        <v>5435</v>
      </c>
      <c r="B169" s="332" t="s">
        <v>41</v>
      </c>
      <c r="C169" s="55" t="s">
        <v>8333</v>
      </c>
      <c r="D169" s="333">
        <v>4872</v>
      </c>
      <c r="E169" s="333">
        <v>4927</v>
      </c>
      <c r="F169" s="333">
        <v>4983</v>
      </c>
      <c r="G169" s="58">
        <v>4950</v>
      </c>
      <c r="H169" s="58">
        <v>4941</v>
      </c>
      <c r="I169" s="58">
        <v>4807</v>
      </c>
      <c r="J169" s="58">
        <v>4617</v>
      </c>
      <c r="K169" s="58">
        <v>4754</v>
      </c>
      <c r="L169" s="58">
        <v>4772</v>
      </c>
      <c r="M169" s="58">
        <v>4740</v>
      </c>
      <c r="N169" s="58">
        <v>5139</v>
      </c>
      <c r="O169" s="58">
        <v>5133</v>
      </c>
      <c r="Q169" s="332" t="s">
        <v>656</v>
      </c>
    </row>
    <row r="170" spans="1:17">
      <c r="A170" s="332" t="s">
        <v>5436</v>
      </c>
      <c r="B170" s="332" t="s">
        <v>42</v>
      </c>
      <c r="C170" s="55" t="s">
        <v>8334</v>
      </c>
      <c r="D170" s="338">
        <v>3298</v>
      </c>
      <c r="E170" s="338">
        <v>3283</v>
      </c>
      <c r="F170" s="338">
        <v>3322</v>
      </c>
      <c r="G170" s="58">
        <v>3355</v>
      </c>
      <c r="H170" s="58">
        <v>3457</v>
      </c>
      <c r="I170" s="58">
        <v>3398</v>
      </c>
      <c r="J170" s="58">
        <v>3245</v>
      </c>
      <c r="K170" s="58">
        <v>3344</v>
      </c>
      <c r="L170" s="58">
        <v>3373</v>
      </c>
      <c r="M170" s="58">
        <v>3308</v>
      </c>
      <c r="N170" s="58">
        <v>3444</v>
      </c>
      <c r="O170" s="58">
        <v>3435</v>
      </c>
      <c r="Q170" s="332" t="s">
        <v>656</v>
      </c>
    </row>
    <row r="171" spans="1:17">
      <c r="A171" s="332" t="s">
        <v>5437</v>
      </c>
      <c r="B171" s="332" t="s">
        <v>43</v>
      </c>
      <c r="C171" s="55" t="s">
        <v>8335</v>
      </c>
      <c r="D171" s="333">
        <v>1278</v>
      </c>
      <c r="E171" s="333">
        <v>1295</v>
      </c>
      <c r="F171" s="333">
        <v>1326</v>
      </c>
      <c r="G171" s="58">
        <v>1335</v>
      </c>
      <c r="H171" s="58">
        <v>1340</v>
      </c>
      <c r="I171" s="58">
        <v>1337</v>
      </c>
      <c r="J171" s="58">
        <v>1312</v>
      </c>
      <c r="K171" s="58">
        <v>1332</v>
      </c>
      <c r="L171" s="58">
        <v>1315</v>
      </c>
      <c r="M171" s="58">
        <v>1312</v>
      </c>
      <c r="N171" s="58">
        <v>1345</v>
      </c>
      <c r="O171" s="58">
        <v>1341</v>
      </c>
      <c r="Q171" s="332" t="s">
        <v>656</v>
      </c>
    </row>
    <row r="172" spans="1:17">
      <c r="A172" s="332" t="s">
        <v>5439</v>
      </c>
      <c r="B172" s="332" t="s">
        <v>755</v>
      </c>
      <c r="C172" s="55" t="s">
        <v>8336</v>
      </c>
      <c r="D172" s="333">
        <v>1488</v>
      </c>
      <c r="E172" s="333">
        <v>1512</v>
      </c>
      <c r="F172" s="333">
        <v>1519</v>
      </c>
      <c r="G172" s="58">
        <v>1526</v>
      </c>
      <c r="H172" s="58">
        <v>1530</v>
      </c>
      <c r="I172" s="58">
        <v>1498</v>
      </c>
      <c r="J172" s="58">
        <v>1488</v>
      </c>
      <c r="K172" s="58">
        <v>1542</v>
      </c>
      <c r="L172" s="58">
        <v>1534</v>
      </c>
      <c r="M172" s="58">
        <v>1500</v>
      </c>
      <c r="N172" s="58">
        <v>1533</v>
      </c>
      <c r="O172" s="58">
        <v>1520</v>
      </c>
      <c r="Q172" s="332" t="s">
        <v>656</v>
      </c>
    </row>
    <row r="173" spans="1:17">
      <c r="A173" s="332" t="s">
        <v>5441</v>
      </c>
      <c r="B173" s="332" t="s">
        <v>2071</v>
      </c>
      <c r="C173" s="55" t="s">
        <v>8337</v>
      </c>
      <c r="D173" s="333">
        <v>1430</v>
      </c>
      <c r="E173" s="333">
        <v>1431</v>
      </c>
      <c r="F173" s="333">
        <v>1459</v>
      </c>
      <c r="G173" s="58">
        <v>1482</v>
      </c>
      <c r="H173" s="58">
        <v>1482</v>
      </c>
      <c r="I173" s="58">
        <v>1462</v>
      </c>
      <c r="J173" s="58">
        <v>1437</v>
      </c>
      <c r="K173" s="58">
        <v>1455</v>
      </c>
      <c r="L173" s="58">
        <v>1463</v>
      </c>
      <c r="M173" s="58">
        <v>1447</v>
      </c>
      <c r="N173" s="58">
        <v>1519</v>
      </c>
      <c r="O173" s="58">
        <v>1514</v>
      </c>
      <c r="Q173" s="332" t="s">
        <v>656</v>
      </c>
    </row>
    <row r="174" spans="1:17">
      <c r="A174" s="332" t="s">
        <v>5886</v>
      </c>
      <c r="B174" s="332" t="s">
        <v>2072</v>
      </c>
      <c r="C174" s="55" t="s">
        <v>8338</v>
      </c>
      <c r="D174" s="333">
        <v>1694</v>
      </c>
      <c r="E174" s="333">
        <v>1674</v>
      </c>
      <c r="F174" s="333">
        <v>1721</v>
      </c>
      <c r="G174" s="58">
        <v>1750</v>
      </c>
      <c r="H174" s="58">
        <v>1805</v>
      </c>
      <c r="I174" s="58">
        <v>1778</v>
      </c>
      <c r="J174" s="58">
        <v>1754</v>
      </c>
      <c r="K174" s="58">
        <v>1820</v>
      </c>
      <c r="L174" s="58">
        <v>1810</v>
      </c>
      <c r="M174" s="58">
        <v>1778</v>
      </c>
      <c r="N174" s="58">
        <v>1826</v>
      </c>
      <c r="O174" s="58">
        <v>1822</v>
      </c>
      <c r="Q174" s="332" t="s">
        <v>656</v>
      </c>
    </row>
    <row r="175" spans="1:17">
      <c r="D175" s="334"/>
      <c r="E175" s="334"/>
      <c r="F175" s="334"/>
      <c r="G175" s="334"/>
      <c r="H175" s="334"/>
      <c r="I175" s="334"/>
      <c r="J175" s="334"/>
      <c r="K175" s="334"/>
      <c r="L175" s="334"/>
      <c r="M175" s="334"/>
      <c r="N175" s="334"/>
      <c r="O175" s="334"/>
    </row>
    <row r="176" spans="1:17">
      <c r="A176" s="332" t="s">
        <v>3465</v>
      </c>
      <c r="D176" s="333">
        <f t="shared" ref="D176:I176" si="106">D154+D155+D156</f>
        <v>10866</v>
      </c>
      <c r="E176" s="333">
        <f t="shared" si="106"/>
        <v>10980</v>
      </c>
      <c r="F176" s="333">
        <f t="shared" si="106"/>
        <v>11114</v>
      </c>
      <c r="G176" s="333">
        <f t="shared" si="106"/>
        <v>11192</v>
      </c>
      <c r="H176" s="333">
        <f t="shared" si="106"/>
        <v>11322</v>
      </c>
      <c r="I176" s="333">
        <f t="shared" si="106"/>
        <v>11106</v>
      </c>
      <c r="J176" s="333">
        <f t="shared" ref="J176:O176" si="107">J154+J155+J156</f>
        <v>11059</v>
      </c>
      <c r="K176" s="333">
        <f t="shared" si="107"/>
        <v>11304</v>
      </c>
      <c r="L176" s="333">
        <f t="shared" si="107"/>
        <v>11333</v>
      </c>
      <c r="M176" s="333">
        <f t="shared" si="107"/>
        <v>11145</v>
      </c>
      <c r="N176" s="333">
        <f t="shared" si="107"/>
        <v>11427</v>
      </c>
      <c r="O176" s="333">
        <f t="shared" si="107"/>
        <v>11410</v>
      </c>
    </row>
    <row r="177" spans="1:17">
      <c r="A177" s="332" t="s">
        <v>1392</v>
      </c>
      <c r="D177" s="333">
        <f t="shared" ref="D177:I177" si="108">SUM(D157:D174)</f>
        <v>54147</v>
      </c>
      <c r="E177" s="333">
        <f t="shared" si="108"/>
        <v>54506</v>
      </c>
      <c r="F177" s="333">
        <f t="shared" si="108"/>
        <v>55061</v>
      </c>
      <c r="G177" s="333">
        <f t="shared" si="108"/>
        <v>55014</v>
      </c>
      <c r="H177" s="333">
        <f t="shared" si="108"/>
        <v>55609</v>
      </c>
      <c r="I177" s="333">
        <f t="shared" si="108"/>
        <v>54735</v>
      </c>
      <c r="J177" s="333">
        <f t="shared" ref="J177:O177" si="109">SUM(J157:J174)</f>
        <v>53738</v>
      </c>
      <c r="K177" s="333">
        <f t="shared" si="109"/>
        <v>55297</v>
      </c>
      <c r="L177" s="333">
        <f t="shared" si="109"/>
        <v>55124</v>
      </c>
      <c r="M177" s="333">
        <f t="shared" si="109"/>
        <v>54259</v>
      </c>
      <c r="N177" s="333">
        <f t="shared" si="109"/>
        <v>56220</v>
      </c>
      <c r="O177" s="333">
        <f t="shared" si="109"/>
        <v>56089</v>
      </c>
    </row>
    <row r="179" spans="1:17">
      <c r="A179" s="332" t="s">
        <v>2073</v>
      </c>
    </row>
    <row r="180" spans="1:17">
      <c r="A180" s="332"/>
    </row>
    <row r="181" spans="1:17">
      <c r="A181" s="332"/>
    </row>
    <row r="182" spans="1:17">
      <c r="E182" s="51" t="s">
        <v>1526</v>
      </c>
      <c r="F182" s="51"/>
      <c r="G182" s="51"/>
      <c r="H182" s="51"/>
      <c r="I182" s="51"/>
      <c r="J182" s="51"/>
      <c r="K182" s="51"/>
      <c r="L182" s="51"/>
      <c r="M182" s="51"/>
      <c r="N182" s="51"/>
      <c r="O182" s="51"/>
      <c r="P182" s="11"/>
      <c r="Q182" s="11" t="s">
        <v>9479</v>
      </c>
    </row>
    <row r="183" spans="1:17">
      <c r="D183" s="270">
        <v>2010</v>
      </c>
      <c r="E183" s="270">
        <v>2011</v>
      </c>
      <c r="F183" s="270">
        <v>2012</v>
      </c>
      <c r="G183" s="270">
        <v>2013</v>
      </c>
      <c r="H183" s="270">
        <v>2014</v>
      </c>
      <c r="I183" s="270">
        <v>2015</v>
      </c>
      <c r="J183" s="270">
        <v>2016</v>
      </c>
      <c r="K183" s="270">
        <v>2017</v>
      </c>
      <c r="L183" s="270">
        <v>2018</v>
      </c>
      <c r="M183" s="270">
        <v>2019</v>
      </c>
      <c r="N183" s="270">
        <v>2020</v>
      </c>
      <c r="O183" s="937" t="s">
        <v>14823</v>
      </c>
      <c r="Q183" s="13" t="s">
        <v>1527</v>
      </c>
    </row>
    <row r="184" spans="1:17">
      <c r="A184" s="332" t="s">
        <v>2074</v>
      </c>
      <c r="C184" s="332"/>
      <c r="D184" s="333">
        <f t="shared" ref="D184:M184" si="110">SUM(D185:D191,D193:D194,D196:D204)</f>
        <v>98331</v>
      </c>
      <c r="E184" s="333">
        <f t="shared" si="110"/>
        <v>99470</v>
      </c>
      <c r="F184" s="333">
        <f t="shared" si="110"/>
        <v>100036</v>
      </c>
      <c r="G184" s="333">
        <f t="shared" si="110"/>
        <v>100486</v>
      </c>
      <c r="H184" s="333">
        <f t="shared" si="110"/>
        <v>99449</v>
      </c>
      <c r="I184" s="333">
        <f t="shared" si="110"/>
        <v>101001</v>
      </c>
      <c r="J184" s="333">
        <f t="shared" si="110"/>
        <v>99976</v>
      </c>
      <c r="K184" s="333">
        <f t="shared" si="110"/>
        <v>101796</v>
      </c>
      <c r="L184" s="333">
        <f t="shared" si="110"/>
        <v>101943</v>
      </c>
      <c r="M184" s="333">
        <f t="shared" si="110"/>
        <v>101675</v>
      </c>
      <c r="N184" s="333">
        <f>SUM(N185:N191,N193:N194,N196:N204)</f>
        <v>103993</v>
      </c>
      <c r="O184" s="333">
        <f>SUM(O185:O191,O193:O194,O196:O204)</f>
        <v>105111</v>
      </c>
    </row>
    <row r="185" spans="1:17">
      <c r="A185" s="332" t="s">
        <v>5387</v>
      </c>
      <c r="B185" s="332" t="s">
        <v>2075</v>
      </c>
      <c r="C185" s="55" t="s">
        <v>12812</v>
      </c>
      <c r="D185" s="333">
        <v>71233</v>
      </c>
      <c r="E185" s="333">
        <v>72043</v>
      </c>
      <c r="F185" s="333">
        <v>72438</v>
      </c>
      <c r="G185" s="333">
        <v>72769</v>
      </c>
      <c r="H185" s="333">
        <v>71816</v>
      </c>
      <c r="I185" s="333">
        <v>72786</v>
      </c>
      <c r="J185" s="333">
        <v>71778</v>
      </c>
      <c r="K185" s="333">
        <v>72840</v>
      </c>
      <c r="L185" s="333">
        <v>72855</v>
      </c>
      <c r="M185" s="333">
        <v>72322</v>
      </c>
      <c r="N185" s="333">
        <v>6735</v>
      </c>
      <c r="O185" s="333">
        <v>6778</v>
      </c>
      <c r="Q185" s="332" t="s">
        <v>657</v>
      </c>
    </row>
    <row r="186" spans="1:17">
      <c r="A186" s="332" t="s">
        <v>5389</v>
      </c>
      <c r="B186" s="332" t="s">
        <v>12814</v>
      </c>
      <c r="C186" s="55" t="s">
        <v>12813</v>
      </c>
      <c r="D186" s="333">
        <v>0</v>
      </c>
      <c r="E186" s="333">
        <v>0</v>
      </c>
      <c r="F186" s="333">
        <v>0</v>
      </c>
      <c r="G186" s="333">
        <v>0</v>
      </c>
      <c r="H186" s="333">
        <v>0</v>
      </c>
      <c r="I186" s="333">
        <v>0</v>
      </c>
      <c r="J186" s="333">
        <v>0</v>
      </c>
      <c r="K186" s="333">
        <v>0</v>
      </c>
      <c r="L186" s="333">
        <v>0</v>
      </c>
      <c r="M186" s="333">
        <v>0</v>
      </c>
      <c r="N186" s="333">
        <v>7441</v>
      </c>
      <c r="O186" s="333">
        <v>7519</v>
      </c>
      <c r="Q186" s="332" t="s">
        <v>657</v>
      </c>
    </row>
    <row r="187" spans="1:17">
      <c r="A187" s="332" t="s">
        <v>5391</v>
      </c>
      <c r="B187" s="332" t="s">
        <v>12816</v>
      </c>
      <c r="C187" s="55" t="s">
        <v>12815</v>
      </c>
      <c r="D187" s="333">
        <v>0</v>
      </c>
      <c r="E187" s="333">
        <v>0</v>
      </c>
      <c r="F187" s="333">
        <v>0</v>
      </c>
      <c r="G187" s="333">
        <v>0</v>
      </c>
      <c r="H187" s="333">
        <v>0</v>
      </c>
      <c r="I187" s="333">
        <v>0</v>
      </c>
      <c r="J187" s="333">
        <v>0</v>
      </c>
      <c r="K187" s="333">
        <v>0</v>
      </c>
      <c r="L187" s="333">
        <v>0</v>
      </c>
      <c r="M187" s="333">
        <v>0</v>
      </c>
      <c r="N187" s="333">
        <v>6798</v>
      </c>
      <c r="O187" s="333">
        <v>6909</v>
      </c>
      <c r="Q187" s="332" t="s">
        <v>657</v>
      </c>
    </row>
    <row r="188" spans="1:17">
      <c r="A188" s="332" t="s">
        <v>5393</v>
      </c>
      <c r="B188" s="332" t="s">
        <v>12818</v>
      </c>
      <c r="C188" s="55" t="s">
        <v>12817</v>
      </c>
      <c r="D188" s="333">
        <v>0</v>
      </c>
      <c r="E188" s="333">
        <v>0</v>
      </c>
      <c r="F188" s="333">
        <v>0</v>
      </c>
      <c r="G188" s="333">
        <v>0</v>
      </c>
      <c r="H188" s="333">
        <v>0</v>
      </c>
      <c r="I188" s="333">
        <v>0</v>
      </c>
      <c r="J188" s="333">
        <v>0</v>
      </c>
      <c r="K188" s="333">
        <v>0</v>
      </c>
      <c r="L188" s="333">
        <v>0</v>
      </c>
      <c r="M188" s="333">
        <v>0</v>
      </c>
      <c r="N188" s="333">
        <v>7738</v>
      </c>
      <c r="O188" s="333">
        <v>7826</v>
      </c>
      <c r="Q188" s="332" t="s">
        <v>657</v>
      </c>
    </row>
    <row r="189" spans="1:17">
      <c r="A189" s="332" t="s">
        <v>5394</v>
      </c>
      <c r="B189" s="332" t="s">
        <v>12820</v>
      </c>
      <c r="C189" s="55" t="s">
        <v>12819</v>
      </c>
      <c r="D189" s="333">
        <v>15840</v>
      </c>
      <c r="E189" s="333">
        <v>16089</v>
      </c>
      <c r="F189" s="333">
        <v>16227</v>
      </c>
      <c r="G189" s="333">
        <v>16143</v>
      </c>
      <c r="H189" s="333">
        <v>16196</v>
      </c>
      <c r="I189" s="333">
        <v>16582</v>
      </c>
      <c r="J189" s="333">
        <v>16641</v>
      </c>
      <c r="K189" s="333">
        <v>17174</v>
      </c>
      <c r="L189" s="333">
        <v>17273</v>
      </c>
      <c r="M189" s="333">
        <v>17541</v>
      </c>
      <c r="N189" s="333">
        <v>7013</v>
      </c>
      <c r="O189" s="333">
        <v>7091</v>
      </c>
      <c r="Q189" s="332" t="s">
        <v>647</v>
      </c>
    </row>
    <row r="190" spans="1:17">
      <c r="A190" s="332" t="s">
        <v>5416</v>
      </c>
      <c r="B190" s="332" t="s">
        <v>12822</v>
      </c>
      <c r="C190" s="55" t="s">
        <v>12821</v>
      </c>
      <c r="D190" s="333">
        <v>0</v>
      </c>
      <c r="E190" s="333">
        <v>0</v>
      </c>
      <c r="F190" s="333">
        <v>0</v>
      </c>
      <c r="G190" s="333">
        <v>0</v>
      </c>
      <c r="H190" s="333">
        <v>0</v>
      </c>
      <c r="I190" s="333">
        <v>0</v>
      </c>
      <c r="J190" s="333">
        <v>0</v>
      </c>
      <c r="K190" s="333">
        <v>0</v>
      </c>
      <c r="L190" s="333">
        <v>0</v>
      </c>
      <c r="M190" s="333">
        <v>0</v>
      </c>
      <c r="N190" s="333">
        <v>4685</v>
      </c>
      <c r="O190" s="333">
        <v>4730</v>
      </c>
      <c r="Q190" s="332" t="s">
        <v>647</v>
      </c>
    </row>
    <row r="191" spans="1:17" ht="15.75" thickBot="1">
      <c r="A191" s="332"/>
      <c r="B191" s="332"/>
      <c r="C191" s="55" t="s">
        <v>12821</v>
      </c>
      <c r="D191" s="337">
        <v>0</v>
      </c>
      <c r="E191" s="337">
        <v>0</v>
      </c>
      <c r="F191" s="337">
        <v>0</v>
      </c>
      <c r="G191" s="337">
        <v>0</v>
      </c>
      <c r="H191" s="337">
        <v>0</v>
      </c>
      <c r="I191" s="337">
        <v>0</v>
      </c>
      <c r="J191" s="337">
        <v>0</v>
      </c>
      <c r="K191" s="337">
        <v>0</v>
      </c>
      <c r="L191" s="337">
        <v>0</v>
      </c>
      <c r="M191" s="337">
        <v>0</v>
      </c>
      <c r="N191" s="337">
        <v>2267</v>
      </c>
      <c r="O191" s="337">
        <v>2308</v>
      </c>
      <c r="Q191" s="332" t="s">
        <v>657</v>
      </c>
    </row>
    <row r="192" spans="1:17" ht="15.75" thickBot="1">
      <c r="C192" s="55" t="s">
        <v>12821</v>
      </c>
      <c r="D192" s="337">
        <f>SUM(D190:D191)</f>
        <v>0</v>
      </c>
      <c r="E192" s="337">
        <f t="shared" ref="E192:N192" si="111">SUM(E190:E191)</f>
        <v>0</v>
      </c>
      <c r="F192" s="337">
        <f t="shared" si="111"/>
        <v>0</v>
      </c>
      <c r="G192" s="337">
        <f t="shared" si="111"/>
        <v>0</v>
      </c>
      <c r="H192" s="337">
        <f t="shared" si="111"/>
        <v>0</v>
      </c>
      <c r="I192" s="337">
        <f t="shared" si="111"/>
        <v>0</v>
      </c>
      <c r="J192" s="337">
        <f t="shared" si="111"/>
        <v>0</v>
      </c>
      <c r="K192" s="337">
        <f t="shared" si="111"/>
        <v>0</v>
      </c>
      <c r="L192" s="337">
        <f t="shared" si="111"/>
        <v>0</v>
      </c>
      <c r="M192" s="337">
        <f t="shared" si="111"/>
        <v>0</v>
      </c>
      <c r="N192" s="337">
        <f t="shared" si="111"/>
        <v>6952</v>
      </c>
      <c r="O192" s="337">
        <f>SUM(O190:O191)</f>
        <v>7038</v>
      </c>
    </row>
    <row r="193" spans="1:17">
      <c r="A193" s="332" t="s">
        <v>5418</v>
      </c>
      <c r="B193" s="332" t="s">
        <v>12824</v>
      </c>
      <c r="C193" s="55" t="s">
        <v>12823</v>
      </c>
      <c r="D193" s="333">
        <v>0</v>
      </c>
      <c r="E193" s="333">
        <v>0</v>
      </c>
      <c r="F193" s="333">
        <v>0</v>
      </c>
      <c r="G193" s="333">
        <v>0</v>
      </c>
      <c r="H193" s="333">
        <v>0</v>
      </c>
      <c r="I193" s="333">
        <v>0</v>
      </c>
      <c r="J193" s="333">
        <v>0</v>
      </c>
      <c r="K193" s="333">
        <v>0</v>
      </c>
      <c r="L193" s="333">
        <v>0</v>
      </c>
      <c r="M193" s="333">
        <v>0</v>
      </c>
      <c r="N193" s="333">
        <v>6491</v>
      </c>
      <c r="O193" s="333">
        <v>6588</v>
      </c>
      <c r="Q193" s="332" t="s">
        <v>647</v>
      </c>
    </row>
    <row r="194" spans="1:17" ht="15.75" thickBot="1">
      <c r="A194" s="332"/>
      <c r="B194" s="332"/>
      <c r="C194" s="55" t="s">
        <v>12823</v>
      </c>
      <c r="D194" s="337">
        <v>0</v>
      </c>
      <c r="E194" s="337">
        <v>0</v>
      </c>
      <c r="F194" s="337">
        <v>0</v>
      </c>
      <c r="G194" s="337">
        <v>0</v>
      </c>
      <c r="H194" s="337">
        <v>0</v>
      </c>
      <c r="I194" s="337">
        <v>0</v>
      </c>
      <c r="J194" s="337">
        <v>0</v>
      </c>
      <c r="K194" s="337">
        <v>0</v>
      </c>
      <c r="L194" s="337">
        <v>0</v>
      </c>
      <c r="M194" s="337">
        <v>0</v>
      </c>
      <c r="N194" s="337">
        <v>426</v>
      </c>
      <c r="O194" s="337">
        <v>429</v>
      </c>
      <c r="Q194" s="332" t="s">
        <v>657</v>
      </c>
    </row>
    <row r="195" spans="1:17" ht="15.75" thickBot="1">
      <c r="A195" s="332"/>
      <c r="B195" s="332"/>
      <c r="C195" s="55" t="s">
        <v>12823</v>
      </c>
      <c r="D195" s="337">
        <f>SUM(D193:D194)</f>
        <v>0</v>
      </c>
      <c r="E195" s="337">
        <f t="shared" ref="E195:N195" si="112">SUM(E193:E194)</f>
        <v>0</v>
      </c>
      <c r="F195" s="337">
        <f t="shared" si="112"/>
        <v>0</v>
      </c>
      <c r="G195" s="337">
        <f t="shared" si="112"/>
        <v>0</v>
      </c>
      <c r="H195" s="337">
        <f t="shared" si="112"/>
        <v>0</v>
      </c>
      <c r="I195" s="337">
        <f t="shared" si="112"/>
        <v>0</v>
      </c>
      <c r="J195" s="337">
        <f t="shared" si="112"/>
        <v>0</v>
      </c>
      <c r="K195" s="337">
        <f t="shared" si="112"/>
        <v>0</v>
      </c>
      <c r="L195" s="337">
        <f t="shared" si="112"/>
        <v>0</v>
      </c>
      <c r="M195" s="337">
        <f t="shared" si="112"/>
        <v>0</v>
      </c>
      <c r="N195" s="337">
        <f t="shared" si="112"/>
        <v>6917</v>
      </c>
      <c r="O195" s="337">
        <f>SUM(O193:O194)</f>
        <v>7017</v>
      </c>
    </row>
    <row r="196" spans="1:17">
      <c r="A196" s="332" t="s">
        <v>5420</v>
      </c>
      <c r="B196" s="332" t="s">
        <v>12826</v>
      </c>
      <c r="C196" s="55" t="s">
        <v>12825</v>
      </c>
      <c r="D196" s="333">
        <v>0</v>
      </c>
      <c r="E196" s="333">
        <v>0</v>
      </c>
      <c r="F196" s="333">
        <v>0</v>
      </c>
      <c r="G196" s="333">
        <v>0</v>
      </c>
      <c r="H196" s="333">
        <v>0</v>
      </c>
      <c r="I196" s="333">
        <v>0</v>
      </c>
      <c r="J196" s="333">
        <v>0</v>
      </c>
      <c r="K196" s="333">
        <v>0</v>
      </c>
      <c r="L196" s="333">
        <v>0</v>
      </c>
      <c r="M196" s="333">
        <v>0</v>
      </c>
      <c r="N196" s="333">
        <v>7807</v>
      </c>
      <c r="O196" s="333">
        <v>7865</v>
      </c>
      <c r="Q196" s="332" t="s">
        <v>657</v>
      </c>
    </row>
    <row r="197" spans="1:17">
      <c r="A197" s="332" t="s">
        <v>5422</v>
      </c>
      <c r="B197" s="332" t="s">
        <v>12828</v>
      </c>
      <c r="C197" s="55" t="s">
        <v>12827</v>
      </c>
      <c r="D197" s="333">
        <v>0</v>
      </c>
      <c r="E197" s="333">
        <v>0</v>
      </c>
      <c r="F197" s="333">
        <v>0</v>
      </c>
      <c r="G197" s="333">
        <v>0</v>
      </c>
      <c r="H197" s="333">
        <v>0</v>
      </c>
      <c r="I197" s="333">
        <v>0</v>
      </c>
      <c r="J197" s="333">
        <v>0</v>
      </c>
      <c r="K197" s="333">
        <v>0</v>
      </c>
      <c r="L197" s="333">
        <v>0</v>
      </c>
      <c r="M197" s="333">
        <v>0</v>
      </c>
      <c r="N197" s="333">
        <v>6543</v>
      </c>
      <c r="O197" s="333">
        <v>6620</v>
      </c>
      <c r="Q197" s="332" t="s">
        <v>657</v>
      </c>
    </row>
    <row r="198" spans="1:17">
      <c r="A198" s="332" t="s">
        <v>5424</v>
      </c>
      <c r="B198" s="332" t="s">
        <v>820</v>
      </c>
      <c r="C198" s="55" t="s">
        <v>12829</v>
      </c>
      <c r="D198" s="333">
        <v>11258</v>
      </c>
      <c r="E198" s="333">
        <v>11338</v>
      </c>
      <c r="F198" s="333">
        <v>11371</v>
      </c>
      <c r="G198" s="333">
        <v>11574</v>
      </c>
      <c r="H198" s="333">
        <v>11437</v>
      </c>
      <c r="I198" s="333">
        <v>11633</v>
      </c>
      <c r="J198" s="333">
        <v>11557</v>
      </c>
      <c r="K198" s="333">
        <v>11782</v>
      </c>
      <c r="L198" s="333">
        <v>11815</v>
      </c>
      <c r="M198" s="333">
        <v>11812</v>
      </c>
      <c r="N198" s="333">
        <v>7162</v>
      </c>
      <c r="O198" s="333">
        <v>7205</v>
      </c>
      <c r="Q198" s="332" t="s">
        <v>649</v>
      </c>
    </row>
    <row r="199" spans="1:17">
      <c r="A199" s="332" t="s">
        <v>5426</v>
      </c>
      <c r="B199" s="332" t="s">
        <v>821</v>
      </c>
      <c r="C199" s="55" t="s">
        <v>12830</v>
      </c>
      <c r="D199" s="333">
        <v>0</v>
      </c>
      <c r="E199" s="333">
        <v>0</v>
      </c>
      <c r="F199" s="333">
        <v>0</v>
      </c>
      <c r="G199" s="333">
        <v>0</v>
      </c>
      <c r="H199" s="333">
        <v>0</v>
      </c>
      <c r="I199" s="333">
        <v>0</v>
      </c>
      <c r="J199" s="333">
        <v>0</v>
      </c>
      <c r="K199" s="333">
        <v>0</v>
      </c>
      <c r="L199" s="333">
        <v>0</v>
      </c>
      <c r="M199" s="333">
        <v>0</v>
      </c>
      <c r="N199" s="333">
        <v>5689</v>
      </c>
      <c r="O199" s="333">
        <v>5749</v>
      </c>
      <c r="Q199" s="332" t="s">
        <v>657</v>
      </c>
    </row>
    <row r="200" spans="1:17">
      <c r="A200" s="332" t="s">
        <v>5428</v>
      </c>
      <c r="B200" s="332" t="s">
        <v>12832</v>
      </c>
      <c r="C200" s="55" t="s">
        <v>12831</v>
      </c>
      <c r="D200" s="333">
        <v>0</v>
      </c>
      <c r="E200" s="333">
        <v>0</v>
      </c>
      <c r="F200" s="333">
        <v>0</v>
      </c>
      <c r="G200" s="333">
        <v>0</v>
      </c>
      <c r="H200" s="333">
        <v>0</v>
      </c>
      <c r="I200" s="333">
        <v>0</v>
      </c>
      <c r="J200" s="333">
        <v>0</v>
      </c>
      <c r="K200" s="333">
        <v>0</v>
      </c>
      <c r="L200" s="333">
        <v>0</v>
      </c>
      <c r="M200" s="333">
        <v>0</v>
      </c>
      <c r="N200" s="333">
        <v>6826</v>
      </c>
      <c r="O200" s="333">
        <v>6900</v>
      </c>
      <c r="Q200" s="332" t="s">
        <v>657</v>
      </c>
    </row>
    <row r="201" spans="1:17">
      <c r="A201" s="332" t="s">
        <v>5429</v>
      </c>
      <c r="B201" s="332" t="s">
        <v>12834</v>
      </c>
      <c r="C201" s="55" t="s">
        <v>12833</v>
      </c>
      <c r="D201" s="333">
        <v>0</v>
      </c>
      <c r="E201" s="333">
        <v>0</v>
      </c>
      <c r="F201" s="333">
        <v>0</v>
      </c>
      <c r="G201" s="333">
        <v>0</v>
      </c>
      <c r="H201" s="333">
        <v>0</v>
      </c>
      <c r="I201" s="333">
        <v>0</v>
      </c>
      <c r="J201" s="333">
        <v>0</v>
      </c>
      <c r="K201" s="333">
        <v>0</v>
      </c>
      <c r="L201" s="333">
        <v>0</v>
      </c>
      <c r="M201" s="333">
        <v>0</v>
      </c>
      <c r="N201" s="333">
        <v>7145</v>
      </c>
      <c r="O201" s="333">
        <v>7242</v>
      </c>
      <c r="Q201" s="332" t="s">
        <v>657</v>
      </c>
    </row>
    <row r="202" spans="1:17">
      <c r="A202" s="332" t="s">
        <v>5431</v>
      </c>
      <c r="B202" s="332" t="s">
        <v>12836</v>
      </c>
      <c r="C202" s="55" t="s">
        <v>12835</v>
      </c>
      <c r="D202" s="333">
        <v>0</v>
      </c>
      <c r="E202" s="333">
        <v>0</v>
      </c>
      <c r="F202" s="333">
        <v>0</v>
      </c>
      <c r="G202" s="333">
        <v>0</v>
      </c>
      <c r="H202" s="333">
        <v>0</v>
      </c>
      <c r="I202" s="333">
        <v>0</v>
      </c>
      <c r="J202" s="333">
        <v>0</v>
      </c>
      <c r="K202" s="333">
        <v>0</v>
      </c>
      <c r="L202" s="333">
        <v>0</v>
      </c>
      <c r="M202" s="333">
        <v>0</v>
      </c>
      <c r="N202" s="333">
        <v>6291</v>
      </c>
      <c r="O202" s="333">
        <v>6334</v>
      </c>
      <c r="Q202" s="332" t="s">
        <v>657</v>
      </c>
    </row>
    <row r="203" spans="1:17">
      <c r="A203" s="332" t="s">
        <v>5433</v>
      </c>
      <c r="B203" s="332" t="s">
        <v>12838</v>
      </c>
      <c r="C203" s="55" t="s">
        <v>12837</v>
      </c>
      <c r="D203" s="333">
        <v>0</v>
      </c>
      <c r="E203" s="333">
        <v>0</v>
      </c>
      <c r="F203" s="333">
        <v>0</v>
      </c>
      <c r="G203" s="333">
        <v>0</v>
      </c>
      <c r="H203" s="333">
        <v>0</v>
      </c>
      <c r="I203" s="333">
        <v>0</v>
      </c>
      <c r="J203" s="333">
        <v>0</v>
      </c>
      <c r="K203" s="333">
        <v>0</v>
      </c>
      <c r="L203" s="333">
        <v>0</v>
      </c>
      <c r="M203" s="333">
        <v>0</v>
      </c>
      <c r="N203" s="333">
        <v>4841</v>
      </c>
      <c r="O203" s="333">
        <v>4895</v>
      </c>
      <c r="Q203" s="332" t="s">
        <v>649</v>
      </c>
    </row>
    <row r="204" spans="1:17" ht="15.75" thickBot="1">
      <c r="A204" s="332"/>
      <c r="B204" s="332"/>
      <c r="C204" s="55" t="s">
        <v>12837</v>
      </c>
      <c r="D204" s="337">
        <v>0</v>
      </c>
      <c r="E204" s="337">
        <v>0</v>
      </c>
      <c r="F204" s="337">
        <v>0</v>
      </c>
      <c r="G204" s="337">
        <v>0</v>
      </c>
      <c r="H204" s="337">
        <v>0</v>
      </c>
      <c r="I204" s="337">
        <v>0</v>
      </c>
      <c r="J204" s="337">
        <v>0</v>
      </c>
      <c r="K204" s="337">
        <v>0</v>
      </c>
      <c r="L204" s="337">
        <v>0</v>
      </c>
      <c r="M204" s="337">
        <v>0</v>
      </c>
      <c r="N204" s="337">
        <v>2095</v>
      </c>
      <c r="O204" s="337">
        <v>2123</v>
      </c>
      <c r="Q204" s="332" t="s">
        <v>657</v>
      </c>
    </row>
    <row r="205" spans="1:17" ht="15.75" thickBot="1">
      <c r="A205" s="332"/>
      <c r="B205" s="332"/>
      <c r="C205" s="55" t="s">
        <v>12837</v>
      </c>
      <c r="D205" s="337">
        <f>SUM(D203:D204)</f>
        <v>0</v>
      </c>
      <c r="E205" s="337">
        <f t="shared" ref="E205:N205" si="113">SUM(E203:E204)</f>
        <v>0</v>
      </c>
      <c r="F205" s="337">
        <f t="shared" si="113"/>
        <v>0</v>
      </c>
      <c r="G205" s="337">
        <f t="shared" si="113"/>
        <v>0</v>
      </c>
      <c r="H205" s="337">
        <f t="shared" si="113"/>
        <v>0</v>
      </c>
      <c r="I205" s="337">
        <f t="shared" si="113"/>
        <v>0</v>
      </c>
      <c r="J205" s="337">
        <f t="shared" si="113"/>
        <v>0</v>
      </c>
      <c r="K205" s="337">
        <f t="shared" si="113"/>
        <v>0</v>
      </c>
      <c r="L205" s="337">
        <f t="shared" si="113"/>
        <v>0</v>
      </c>
      <c r="M205" s="337">
        <f t="shared" si="113"/>
        <v>0</v>
      </c>
      <c r="N205" s="337">
        <f t="shared" si="113"/>
        <v>6936</v>
      </c>
      <c r="O205" s="337">
        <f>SUM(O203:O204)</f>
        <v>7018</v>
      </c>
      <c r="Q205" s="332"/>
    </row>
    <row r="206" spans="1:17">
      <c r="D206" s="334"/>
      <c r="E206" s="334"/>
      <c r="F206" s="334"/>
      <c r="G206" s="334"/>
      <c r="H206" s="334"/>
      <c r="I206" s="334"/>
      <c r="J206" s="334"/>
      <c r="K206" s="334"/>
      <c r="L206" s="334"/>
      <c r="M206" s="334"/>
      <c r="N206" s="334"/>
      <c r="O206" s="334"/>
    </row>
    <row r="207" spans="1:17">
      <c r="A207" s="332" t="s">
        <v>2169</v>
      </c>
      <c r="D207" s="333">
        <f t="shared" ref="D207:M207" si="114">SUM(D189:D190,D193)</f>
        <v>15840</v>
      </c>
      <c r="E207" s="333">
        <f t="shared" si="114"/>
        <v>16089</v>
      </c>
      <c r="F207" s="333">
        <f t="shared" si="114"/>
        <v>16227</v>
      </c>
      <c r="G207" s="333">
        <f t="shared" si="114"/>
        <v>16143</v>
      </c>
      <c r="H207" s="333">
        <f t="shared" si="114"/>
        <v>16196</v>
      </c>
      <c r="I207" s="333">
        <f t="shared" si="114"/>
        <v>16582</v>
      </c>
      <c r="J207" s="333">
        <f t="shared" si="114"/>
        <v>16641</v>
      </c>
      <c r="K207" s="333">
        <f t="shared" si="114"/>
        <v>17174</v>
      </c>
      <c r="L207" s="333">
        <f t="shared" si="114"/>
        <v>17273</v>
      </c>
      <c r="M207" s="333">
        <f t="shared" si="114"/>
        <v>17541</v>
      </c>
      <c r="N207" s="333">
        <f>SUM(N189:N190,N193)</f>
        <v>18189</v>
      </c>
      <c r="O207" s="333">
        <f>SUM(O189:O190,O193)</f>
        <v>18409</v>
      </c>
    </row>
    <row r="208" spans="1:17">
      <c r="A208" s="332" t="s">
        <v>3465</v>
      </c>
      <c r="D208" s="333">
        <f t="shared" ref="D208:M208" si="115">SUM(D198,D203)</f>
        <v>11258</v>
      </c>
      <c r="E208" s="333">
        <f t="shared" si="115"/>
        <v>11338</v>
      </c>
      <c r="F208" s="333">
        <f t="shared" si="115"/>
        <v>11371</v>
      </c>
      <c r="G208" s="333">
        <f t="shared" si="115"/>
        <v>11574</v>
      </c>
      <c r="H208" s="333">
        <f t="shared" si="115"/>
        <v>11437</v>
      </c>
      <c r="I208" s="333">
        <f t="shared" si="115"/>
        <v>11633</v>
      </c>
      <c r="J208" s="333">
        <f t="shared" si="115"/>
        <v>11557</v>
      </c>
      <c r="K208" s="333">
        <f t="shared" si="115"/>
        <v>11782</v>
      </c>
      <c r="L208" s="333">
        <f t="shared" si="115"/>
        <v>11815</v>
      </c>
      <c r="M208" s="333">
        <f t="shared" si="115"/>
        <v>11812</v>
      </c>
      <c r="N208" s="333">
        <f>SUM(N198,N203)</f>
        <v>12003</v>
      </c>
      <c r="O208" s="333">
        <f>SUM(O198,O203)</f>
        <v>12100</v>
      </c>
    </row>
    <row r="209" spans="1:17">
      <c r="A209" s="332" t="s">
        <v>657</v>
      </c>
      <c r="D209" s="333">
        <f t="shared" ref="D209:M209" si="116">SUM(D185:D188,D191,D194,D196:D197,D199:D202,D204)</f>
        <v>71233</v>
      </c>
      <c r="E209" s="333">
        <f t="shared" si="116"/>
        <v>72043</v>
      </c>
      <c r="F209" s="333">
        <f t="shared" si="116"/>
        <v>72438</v>
      </c>
      <c r="G209" s="333">
        <f t="shared" si="116"/>
        <v>72769</v>
      </c>
      <c r="H209" s="333">
        <f t="shared" si="116"/>
        <v>71816</v>
      </c>
      <c r="I209" s="333">
        <f t="shared" si="116"/>
        <v>72786</v>
      </c>
      <c r="J209" s="333">
        <f t="shared" si="116"/>
        <v>71778</v>
      </c>
      <c r="K209" s="333">
        <f t="shared" si="116"/>
        <v>72840</v>
      </c>
      <c r="L209" s="333">
        <f t="shared" si="116"/>
        <v>72855</v>
      </c>
      <c r="M209" s="333">
        <f t="shared" si="116"/>
        <v>72322</v>
      </c>
      <c r="N209" s="333">
        <f>SUM(N185:N188,N191,N194,N196:N197,N199:N202,N204)</f>
        <v>73801</v>
      </c>
      <c r="O209" s="333">
        <f>SUM(O185:O188,O191,O194,O196:O197,O199:O202,O204)</f>
        <v>74602</v>
      </c>
    </row>
    <row r="210" spans="1:17">
      <c r="A210" s="332"/>
      <c r="B210" s="332"/>
      <c r="D210" s="333"/>
      <c r="E210" s="333"/>
      <c r="F210" s="333"/>
      <c r="G210" s="333"/>
      <c r="H210" s="333"/>
      <c r="I210" s="333"/>
      <c r="J210" s="333"/>
      <c r="K210" s="333"/>
      <c r="L210" s="333"/>
      <c r="M210" s="333"/>
      <c r="N210" s="333"/>
      <c r="O210" s="333"/>
    </row>
    <row r="211" spans="1:17">
      <c r="A211" s="332" t="s">
        <v>12839</v>
      </c>
      <c r="B211" s="332"/>
      <c r="D211" s="333"/>
      <c r="E211" s="333"/>
      <c r="F211" s="333"/>
      <c r="G211" s="333"/>
      <c r="H211" s="333"/>
      <c r="I211" s="333"/>
      <c r="J211" s="333"/>
      <c r="K211" s="333"/>
      <c r="L211" s="333"/>
      <c r="M211" s="333"/>
      <c r="N211" s="333"/>
      <c r="O211" s="333"/>
    </row>
    <row r="212" spans="1:17">
      <c r="A212" s="332"/>
      <c r="B212" s="332"/>
      <c r="D212" s="341"/>
      <c r="E212" s="341"/>
      <c r="F212" s="341"/>
      <c r="G212" s="341"/>
      <c r="H212" s="341"/>
      <c r="I212" s="341"/>
      <c r="J212" s="341"/>
      <c r="K212" s="341"/>
      <c r="L212" s="341"/>
      <c r="M212" s="341"/>
      <c r="N212" s="341"/>
      <c r="O212" s="341"/>
    </row>
    <row r="213" spans="1:17">
      <c r="A213" s="332"/>
      <c r="B213" s="332"/>
      <c r="D213" s="341"/>
      <c r="E213" s="341"/>
      <c r="F213" s="341"/>
      <c r="G213" s="341"/>
      <c r="H213" s="341"/>
      <c r="I213" s="341"/>
      <c r="J213" s="341"/>
      <c r="K213" s="341"/>
      <c r="L213" s="341"/>
      <c r="M213" s="341"/>
      <c r="N213" s="341"/>
      <c r="O213" s="341"/>
    </row>
    <row r="214" spans="1:17">
      <c r="E214" s="51" t="s">
        <v>1526</v>
      </c>
      <c r="F214" s="51"/>
      <c r="G214" s="51"/>
      <c r="H214" s="51"/>
      <c r="I214" s="51"/>
      <c r="J214" s="51"/>
      <c r="K214" s="51"/>
      <c r="L214" s="51"/>
      <c r="M214" s="51"/>
      <c r="N214" s="51"/>
      <c r="O214" s="51"/>
      <c r="P214" s="11"/>
      <c r="Q214" s="11" t="s">
        <v>9479</v>
      </c>
    </row>
    <row r="215" spans="1:17">
      <c r="D215" s="270">
        <v>2010</v>
      </c>
      <c r="E215" s="270">
        <v>2011</v>
      </c>
      <c r="F215" s="270">
        <v>2012</v>
      </c>
      <c r="G215" s="270">
        <v>2013</v>
      </c>
      <c r="H215" s="270">
        <v>2014</v>
      </c>
      <c r="I215" s="270">
        <v>2015</v>
      </c>
      <c r="J215" s="270">
        <v>2016</v>
      </c>
      <c r="K215" s="270">
        <v>2017</v>
      </c>
      <c r="L215" s="270">
        <v>2018</v>
      </c>
      <c r="M215" s="270">
        <v>2019</v>
      </c>
      <c r="N215" s="270">
        <v>2020</v>
      </c>
      <c r="O215" s="937" t="s">
        <v>14823</v>
      </c>
      <c r="Q215" s="13" t="s">
        <v>1527</v>
      </c>
    </row>
    <row r="216" spans="1:17">
      <c r="A216" s="332" t="s">
        <v>2170</v>
      </c>
      <c r="D216" s="333">
        <f t="shared" ref="D216:I216" si="117">SUM(D217:D230)</f>
        <v>57856</v>
      </c>
      <c r="E216" s="333">
        <f t="shared" si="117"/>
        <v>58619</v>
      </c>
      <c r="F216" s="333">
        <f t="shared" si="117"/>
        <v>58962</v>
      </c>
      <c r="G216" s="333">
        <f t="shared" si="117"/>
        <v>59436</v>
      </c>
      <c r="H216" s="333">
        <f t="shared" si="117"/>
        <v>60363</v>
      </c>
      <c r="I216" s="333">
        <f t="shared" si="117"/>
        <v>56471</v>
      </c>
      <c r="J216" s="333">
        <f t="shared" ref="J216:O216" si="118">SUM(J217:J230)</f>
        <v>55472</v>
      </c>
      <c r="K216" s="333">
        <f t="shared" si="118"/>
        <v>57951</v>
      </c>
      <c r="L216" s="333">
        <f t="shared" si="118"/>
        <v>56357</v>
      </c>
      <c r="M216" s="333">
        <f t="shared" si="118"/>
        <v>56837</v>
      </c>
      <c r="N216" s="333">
        <f t="shared" si="118"/>
        <v>58145</v>
      </c>
      <c r="O216" s="333">
        <f t="shared" si="118"/>
        <v>60713</v>
      </c>
    </row>
    <row r="217" spans="1:17">
      <c r="A217" s="332" t="s">
        <v>5387</v>
      </c>
      <c r="B217" s="332" t="s">
        <v>2171</v>
      </c>
      <c r="C217" s="55" t="s">
        <v>12792</v>
      </c>
      <c r="D217" s="333">
        <v>57856</v>
      </c>
      <c r="E217" s="333">
        <v>58619</v>
      </c>
      <c r="F217" s="333">
        <v>58962</v>
      </c>
      <c r="G217" s="56">
        <v>59436</v>
      </c>
      <c r="H217" s="56">
        <v>60363</v>
      </c>
      <c r="I217" s="56">
        <v>56471</v>
      </c>
      <c r="J217" s="56">
        <v>55472</v>
      </c>
      <c r="K217" s="56">
        <v>57951</v>
      </c>
      <c r="L217" s="56">
        <v>56357</v>
      </c>
      <c r="M217" s="56">
        <v>56837</v>
      </c>
      <c r="N217" s="56">
        <v>4028</v>
      </c>
      <c r="O217" s="56">
        <v>4150</v>
      </c>
      <c r="Q217" s="332" t="s">
        <v>658</v>
      </c>
    </row>
    <row r="218" spans="1:17">
      <c r="A218" s="332" t="s">
        <v>5389</v>
      </c>
      <c r="B218" s="332" t="s">
        <v>12794</v>
      </c>
      <c r="C218" s="55" t="s">
        <v>12793</v>
      </c>
      <c r="D218" s="333">
        <v>0</v>
      </c>
      <c r="E218" s="333">
        <v>0</v>
      </c>
      <c r="F218" s="333">
        <v>0</v>
      </c>
      <c r="G218" s="333">
        <v>0</v>
      </c>
      <c r="H218" s="333">
        <v>0</v>
      </c>
      <c r="I218" s="333">
        <v>0</v>
      </c>
      <c r="J218" s="333">
        <v>0</v>
      </c>
      <c r="K218" s="333">
        <v>0</v>
      </c>
      <c r="L218" s="333">
        <v>0</v>
      </c>
      <c r="M218" s="333">
        <v>0</v>
      </c>
      <c r="N218" s="56">
        <v>4631</v>
      </c>
      <c r="O218" s="56">
        <v>4718</v>
      </c>
      <c r="Q218" s="332" t="s">
        <v>658</v>
      </c>
    </row>
    <row r="219" spans="1:17">
      <c r="A219" s="332" t="s">
        <v>5391</v>
      </c>
      <c r="B219" s="332" t="s">
        <v>12796</v>
      </c>
      <c r="C219" s="55" t="s">
        <v>12795</v>
      </c>
      <c r="D219" s="333">
        <v>0</v>
      </c>
      <c r="E219" s="333">
        <v>0</v>
      </c>
      <c r="F219" s="333">
        <v>0</v>
      </c>
      <c r="G219" s="333">
        <v>0</v>
      </c>
      <c r="H219" s="333">
        <v>0</v>
      </c>
      <c r="I219" s="333">
        <v>0</v>
      </c>
      <c r="J219" s="333">
        <v>0</v>
      </c>
      <c r="K219" s="333">
        <v>0</v>
      </c>
      <c r="L219" s="333">
        <v>0</v>
      </c>
      <c r="M219" s="333">
        <v>0</v>
      </c>
      <c r="N219" s="56">
        <v>4199</v>
      </c>
      <c r="O219" s="56">
        <v>4353</v>
      </c>
      <c r="Q219" s="332" t="s">
        <v>658</v>
      </c>
    </row>
    <row r="220" spans="1:17">
      <c r="A220" s="332" t="s">
        <v>5393</v>
      </c>
      <c r="B220" s="332" t="s">
        <v>3557</v>
      </c>
      <c r="C220" s="55" t="s">
        <v>12797</v>
      </c>
      <c r="D220" s="333">
        <v>0</v>
      </c>
      <c r="E220" s="333">
        <v>0</v>
      </c>
      <c r="F220" s="333">
        <v>0</v>
      </c>
      <c r="G220" s="333">
        <v>0</v>
      </c>
      <c r="H220" s="333">
        <v>0</v>
      </c>
      <c r="I220" s="333">
        <v>0</v>
      </c>
      <c r="J220" s="333">
        <v>0</v>
      </c>
      <c r="K220" s="333">
        <v>0</v>
      </c>
      <c r="L220" s="333">
        <v>0</v>
      </c>
      <c r="M220" s="333">
        <v>0</v>
      </c>
      <c r="N220" s="56">
        <v>4644</v>
      </c>
      <c r="O220" s="56">
        <v>4782</v>
      </c>
      <c r="Q220" s="332" t="s">
        <v>658</v>
      </c>
    </row>
    <row r="221" spans="1:17">
      <c r="A221" s="332" t="s">
        <v>5394</v>
      </c>
      <c r="B221" s="332" t="s">
        <v>3558</v>
      </c>
      <c r="C221" s="55" t="s">
        <v>12798</v>
      </c>
      <c r="D221" s="333">
        <v>0</v>
      </c>
      <c r="E221" s="333">
        <v>0</v>
      </c>
      <c r="F221" s="333">
        <v>0</v>
      </c>
      <c r="G221" s="333">
        <v>0</v>
      </c>
      <c r="H221" s="333">
        <v>0</v>
      </c>
      <c r="I221" s="333">
        <v>0</v>
      </c>
      <c r="J221" s="333">
        <v>0</v>
      </c>
      <c r="K221" s="333">
        <v>0</v>
      </c>
      <c r="L221" s="333">
        <v>0</v>
      </c>
      <c r="M221" s="333">
        <v>0</v>
      </c>
      <c r="N221" s="56">
        <v>4683</v>
      </c>
      <c r="O221" s="56">
        <v>4819</v>
      </c>
      <c r="Q221" s="332" t="s">
        <v>658</v>
      </c>
    </row>
    <row r="222" spans="1:17">
      <c r="A222" s="332" t="s">
        <v>5416</v>
      </c>
      <c r="B222" s="332" t="s">
        <v>2190</v>
      </c>
      <c r="C222" s="55" t="s">
        <v>12799</v>
      </c>
      <c r="D222" s="333">
        <v>0</v>
      </c>
      <c r="E222" s="333">
        <v>0</v>
      </c>
      <c r="F222" s="333">
        <v>0</v>
      </c>
      <c r="G222" s="333">
        <v>0</v>
      </c>
      <c r="H222" s="333">
        <v>0</v>
      </c>
      <c r="I222" s="333">
        <v>0</v>
      </c>
      <c r="J222" s="333">
        <v>0</v>
      </c>
      <c r="K222" s="333">
        <v>0</v>
      </c>
      <c r="L222" s="333">
        <v>0</v>
      </c>
      <c r="M222" s="333">
        <v>0</v>
      </c>
      <c r="N222" s="56">
        <v>4340</v>
      </c>
      <c r="O222" s="56">
        <v>4838</v>
      </c>
      <c r="Q222" s="332" t="s">
        <v>658</v>
      </c>
    </row>
    <row r="223" spans="1:17">
      <c r="A223" s="332" t="s">
        <v>5418</v>
      </c>
      <c r="B223" s="121" t="s">
        <v>2191</v>
      </c>
      <c r="C223" s="55" t="s">
        <v>12800</v>
      </c>
      <c r="D223" s="333">
        <v>0</v>
      </c>
      <c r="E223" s="333">
        <v>0</v>
      </c>
      <c r="F223" s="333">
        <v>0</v>
      </c>
      <c r="G223" s="333">
        <v>0</v>
      </c>
      <c r="H223" s="333">
        <v>0</v>
      </c>
      <c r="I223" s="333">
        <v>0</v>
      </c>
      <c r="J223" s="333">
        <v>0</v>
      </c>
      <c r="K223" s="333">
        <v>0</v>
      </c>
      <c r="L223" s="333">
        <v>0</v>
      </c>
      <c r="M223" s="333">
        <v>0</v>
      </c>
      <c r="N223" s="56">
        <v>2803</v>
      </c>
      <c r="O223" s="56">
        <v>3258</v>
      </c>
      <c r="Q223" s="332" t="s">
        <v>658</v>
      </c>
    </row>
    <row r="224" spans="1:17">
      <c r="A224" s="332" t="s">
        <v>5420</v>
      </c>
      <c r="B224" s="332" t="s">
        <v>2192</v>
      </c>
      <c r="C224" s="55" t="s">
        <v>12801</v>
      </c>
      <c r="D224" s="333">
        <v>0</v>
      </c>
      <c r="E224" s="333">
        <v>0</v>
      </c>
      <c r="F224" s="333">
        <v>0</v>
      </c>
      <c r="G224" s="333">
        <v>0</v>
      </c>
      <c r="H224" s="333">
        <v>0</v>
      </c>
      <c r="I224" s="333">
        <v>0</v>
      </c>
      <c r="J224" s="333">
        <v>0</v>
      </c>
      <c r="K224" s="333">
        <v>0</v>
      </c>
      <c r="L224" s="333">
        <v>0</v>
      </c>
      <c r="M224" s="333">
        <v>0</v>
      </c>
      <c r="N224" s="56">
        <v>3576</v>
      </c>
      <c r="O224" s="56">
        <v>3970</v>
      </c>
      <c r="Q224" s="332" t="s">
        <v>658</v>
      </c>
    </row>
    <row r="225" spans="1:17">
      <c r="A225" s="332" t="s">
        <v>5422</v>
      </c>
      <c r="B225" s="332" t="s">
        <v>12803</v>
      </c>
      <c r="C225" s="55" t="s">
        <v>12802</v>
      </c>
      <c r="D225" s="333">
        <v>0</v>
      </c>
      <c r="E225" s="333">
        <v>0</v>
      </c>
      <c r="F225" s="333">
        <v>0</v>
      </c>
      <c r="G225" s="333">
        <v>0</v>
      </c>
      <c r="H225" s="333">
        <v>0</v>
      </c>
      <c r="I225" s="333">
        <v>0</v>
      </c>
      <c r="J225" s="333">
        <v>0</v>
      </c>
      <c r="K225" s="333">
        <v>0</v>
      </c>
      <c r="L225" s="333">
        <v>0</v>
      </c>
      <c r="M225" s="333">
        <v>0</v>
      </c>
      <c r="N225" s="56">
        <v>2502</v>
      </c>
      <c r="O225" s="56">
        <v>2607</v>
      </c>
      <c r="Q225" s="332" t="s">
        <v>658</v>
      </c>
    </row>
    <row r="226" spans="1:17">
      <c r="A226" s="332" t="s">
        <v>5424</v>
      </c>
      <c r="B226" s="332" t="s">
        <v>2193</v>
      </c>
      <c r="C226" s="55" t="s">
        <v>12804</v>
      </c>
      <c r="D226" s="333">
        <v>0</v>
      </c>
      <c r="E226" s="333">
        <v>0</v>
      </c>
      <c r="F226" s="333">
        <v>0</v>
      </c>
      <c r="G226" s="333">
        <v>0</v>
      </c>
      <c r="H226" s="333">
        <v>0</v>
      </c>
      <c r="I226" s="333">
        <v>0</v>
      </c>
      <c r="J226" s="333">
        <v>0</v>
      </c>
      <c r="K226" s="333">
        <v>0</v>
      </c>
      <c r="L226" s="333">
        <v>0</v>
      </c>
      <c r="M226" s="333">
        <v>0</v>
      </c>
      <c r="N226" s="56">
        <v>4798</v>
      </c>
      <c r="O226" s="56">
        <v>4910</v>
      </c>
      <c r="Q226" s="332" t="s">
        <v>658</v>
      </c>
    </row>
    <row r="227" spans="1:17">
      <c r="A227" s="332" t="s">
        <v>5426</v>
      </c>
      <c r="B227" s="332" t="s">
        <v>12806</v>
      </c>
      <c r="C227" s="55" t="s">
        <v>12805</v>
      </c>
      <c r="D227" s="333">
        <v>0</v>
      </c>
      <c r="E227" s="333">
        <v>0</v>
      </c>
      <c r="F227" s="333">
        <v>0</v>
      </c>
      <c r="G227" s="333">
        <v>0</v>
      </c>
      <c r="H227" s="333">
        <v>0</v>
      </c>
      <c r="I227" s="333">
        <v>0</v>
      </c>
      <c r="J227" s="333">
        <v>0</v>
      </c>
      <c r="K227" s="333">
        <v>0</v>
      </c>
      <c r="L227" s="333">
        <v>0</v>
      </c>
      <c r="M227" s="333">
        <v>0</v>
      </c>
      <c r="N227" s="56">
        <v>4714</v>
      </c>
      <c r="O227" s="56">
        <v>4820</v>
      </c>
      <c r="Q227" s="332" t="s">
        <v>658</v>
      </c>
    </row>
    <row r="228" spans="1:17">
      <c r="A228" s="332" t="s">
        <v>5428</v>
      </c>
      <c r="B228" s="332" t="s">
        <v>2362</v>
      </c>
      <c r="C228" s="55" t="s">
        <v>12807</v>
      </c>
      <c r="D228" s="333">
        <v>0</v>
      </c>
      <c r="E228" s="333">
        <v>0</v>
      </c>
      <c r="F228" s="333">
        <v>0</v>
      </c>
      <c r="G228" s="333">
        <v>0</v>
      </c>
      <c r="H228" s="333">
        <v>0</v>
      </c>
      <c r="I228" s="333">
        <v>0</v>
      </c>
      <c r="J228" s="333">
        <v>0</v>
      </c>
      <c r="K228" s="333">
        <v>0</v>
      </c>
      <c r="L228" s="333">
        <v>0</v>
      </c>
      <c r="M228" s="333">
        <v>0</v>
      </c>
      <c r="N228" s="56">
        <v>4301</v>
      </c>
      <c r="O228" s="56">
        <v>4365</v>
      </c>
      <c r="Q228" s="332" t="s">
        <v>658</v>
      </c>
    </row>
    <row r="229" spans="1:17">
      <c r="A229" s="332" t="s">
        <v>5429</v>
      </c>
      <c r="B229" s="332" t="s">
        <v>2194</v>
      </c>
      <c r="C229" s="55" t="s">
        <v>12808</v>
      </c>
      <c r="D229" s="333">
        <v>0</v>
      </c>
      <c r="E229" s="333">
        <v>0</v>
      </c>
      <c r="F229" s="333">
        <v>0</v>
      </c>
      <c r="G229" s="333">
        <v>0</v>
      </c>
      <c r="H229" s="333">
        <v>0</v>
      </c>
      <c r="I229" s="333">
        <v>0</v>
      </c>
      <c r="J229" s="333">
        <v>0</v>
      </c>
      <c r="K229" s="333">
        <v>0</v>
      </c>
      <c r="L229" s="333">
        <v>0</v>
      </c>
      <c r="M229" s="333">
        <v>0</v>
      </c>
      <c r="N229" s="56">
        <v>4063</v>
      </c>
      <c r="O229" s="56">
        <v>4201</v>
      </c>
      <c r="Q229" s="332" t="s">
        <v>658</v>
      </c>
    </row>
    <row r="230" spans="1:17">
      <c r="A230" s="332" t="s">
        <v>5431</v>
      </c>
      <c r="B230" s="332" t="s">
        <v>12810</v>
      </c>
      <c r="C230" s="55" t="s">
        <v>12809</v>
      </c>
      <c r="D230" s="333">
        <v>0</v>
      </c>
      <c r="E230" s="333">
        <v>0</v>
      </c>
      <c r="F230" s="333">
        <v>0</v>
      </c>
      <c r="G230" s="333">
        <v>0</v>
      </c>
      <c r="H230" s="333">
        <v>0</v>
      </c>
      <c r="I230" s="333">
        <v>0</v>
      </c>
      <c r="J230" s="333">
        <v>0</v>
      </c>
      <c r="K230" s="333">
        <v>0</v>
      </c>
      <c r="L230" s="333">
        <v>0</v>
      </c>
      <c r="M230" s="333">
        <v>0</v>
      </c>
      <c r="N230" s="56">
        <v>4863</v>
      </c>
      <c r="O230" s="56">
        <v>4922</v>
      </c>
      <c r="Q230" s="332" t="s">
        <v>658</v>
      </c>
    </row>
    <row r="231" spans="1:17">
      <c r="D231" s="334"/>
      <c r="E231" s="334"/>
      <c r="F231" s="334"/>
      <c r="G231" s="334"/>
      <c r="H231" s="334"/>
      <c r="I231" s="334"/>
      <c r="J231" s="334"/>
      <c r="K231" s="334"/>
      <c r="L231" s="334"/>
      <c r="M231" s="334"/>
      <c r="N231" s="334"/>
      <c r="O231" s="334"/>
    </row>
    <row r="232" spans="1:17">
      <c r="A232" s="332" t="s">
        <v>2195</v>
      </c>
      <c r="D232" s="333">
        <f t="shared" ref="D232:O232" si="119">SUM(D217:D230)</f>
        <v>57856</v>
      </c>
      <c r="E232" s="333">
        <f t="shared" si="119"/>
        <v>58619</v>
      </c>
      <c r="F232" s="333">
        <f t="shared" si="119"/>
        <v>58962</v>
      </c>
      <c r="G232" s="333">
        <f t="shared" si="119"/>
        <v>59436</v>
      </c>
      <c r="H232" s="333">
        <f t="shared" si="119"/>
        <v>60363</v>
      </c>
      <c r="I232" s="333">
        <f t="shared" si="119"/>
        <v>56471</v>
      </c>
      <c r="J232" s="333">
        <f t="shared" si="119"/>
        <v>55472</v>
      </c>
      <c r="K232" s="333">
        <f t="shared" si="119"/>
        <v>57951</v>
      </c>
      <c r="L232" s="333">
        <f t="shared" si="119"/>
        <v>56357</v>
      </c>
      <c r="M232" s="333">
        <f t="shared" si="119"/>
        <v>56837</v>
      </c>
      <c r="N232" s="333">
        <f t="shared" si="119"/>
        <v>58145</v>
      </c>
      <c r="O232" s="333">
        <f t="shared" si="119"/>
        <v>60713</v>
      </c>
    </row>
    <row r="233" spans="1:17">
      <c r="A233" s="332"/>
      <c r="B233" s="332"/>
    </row>
    <row r="234" spans="1:17">
      <c r="A234" s="332" t="s">
        <v>12811</v>
      </c>
      <c r="B234" s="332"/>
    </row>
    <row r="235" spans="1:17">
      <c r="A235" s="332"/>
      <c r="B235" s="332"/>
    </row>
    <row r="236" spans="1:17">
      <c r="A236" s="332"/>
      <c r="B236" s="332"/>
    </row>
    <row r="237" spans="1:17">
      <c r="E237" s="51" t="s">
        <v>1526</v>
      </c>
      <c r="F237" s="51"/>
      <c r="G237" s="51"/>
      <c r="H237" s="51"/>
      <c r="I237" s="51"/>
      <c r="J237" s="51"/>
      <c r="K237" s="51"/>
      <c r="L237" s="51"/>
      <c r="M237" s="51"/>
      <c r="N237" s="51"/>
      <c r="O237" s="51"/>
      <c r="P237" s="11"/>
      <c r="Q237" s="11" t="s">
        <v>9479</v>
      </c>
    </row>
    <row r="238" spans="1:17">
      <c r="D238" s="270">
        <v>2010</v>
      </c>
      <c r="E238" s="270">
        <v>2011</v>
      </c>
      <c r="F238" s="270">
        <v>2012</v>
      </c>
      <c r="G238" s="270">
        <v>2013</v>
      </c>
      <c r="H238" s="270">
        <v>2014</v>
      </c>
      <c r="I238" s="270">
        <v>2015</v>
      </c>
      <c r="J238" s="270">
        <v>2016</v>
      </c>
      <c r="K238" s="270">
        <v>2017</v>
      </c>
      <c r="L238" s="270">
        <v>2018</v>
      </c>
      <c r="M238" s="270">
        <v>2019</v>
      </c>
      <c r="N238" s="270">
        <v>2020</v>
      </c>
      <c r="O238" s="937" t="s">
        <v>14823</v>
      </c>
      <c r="Q238" s="13" t="s">
        <v>1527</v>
      </c>
    </row>
    <row r="239" spans="1:17">
      <c r="A239" s="332" t="s">
        <v>806</v>
      </c>
      <c r="D239" s="333">
        <f t="shared" ref="D239:I239" si="120">SUM(D240:D252)</f>
        <v>70962</v>
      </c>
      <c r="E239" s="333">
        <f t="shared" si="120"/>
        <v>71211</v>
      </c>
      <c r="F239" s="333">
        <f t="shared" si="120"/>
        <v>72000</v>
      </c>
      <c r="G239" s="333">
        <f t="shared" si="120"/>
        <v>72547</v>
      </c>
      <c r="H239" s="333">
        <f t="shared" si="120"/>
        <v>72660</v>
      </c>
      <c r="I239" s="333">
        <f t="shared" si="120"/>
        <v>70607</v>
      </c>
      <c r="J239" s="333">
        <f t="shared" ref="J239:O239" si="121">SUM(J240:J252)</f>
        <v>70299</v>
      </c>
      <c r="K239" s="333">
        <f t="shared" si="121"/>
        <v>71962</v>
      </c>
      <c r="L239" s="333">
        <f t="shared" si="121"/>
        <v>72030</v>
      </c>
      <c r="M239" s="333">
        <f t="shared" si="121"/>
        <v>71341</v>
      </c>
      <c r="N239" s="333">
        <f t="shared" si="121"/>
        <v>71197</v>
      </c>
      <c r="O239" s="333">
        <f t="shared" si="121"/>
        <v>72897</v>
      </c>
    </row>
    <row r="240" spans="1:17">
      <c r="A240" s="332" t="s">
        <v>5387</v>
      </c>
      <c r="B240" s="332" t="s">
        <v>807</v>
      </c>
      <c r="C240" s="55" t="s">
        <v>8339</v>
      </c>
      <c r="D240" s="333">
        <v>6001</v>
      </c>
      <c r="E240" s="333">
        <v>6047</v>
      </c>
      <c r="F240" s="333">
        <v>6124</v>
      </c>
      <c r="G240" s="63">
        <v>6289</v>
      </c>
      <c r="H240" s="63">
        <v>6310</v>
      </c>
      <c r="I240" s="63">
        <v>6150</v>
      </c>
      <c r="J240" s="63">
        <v>6049</v>
      </c>
      <c r="K240" s="63">
        <v>6159</v>
      </c>
      <c r="L240" s="63">
        <v>6157</v>
      </c>
      <c r="M240" s="63">
        <v>6083</v>
      </c>
      <c r="N240" s="63">
        <v>6108</v>
      </c>
      <c r="O240" s="63">
        <v>6245</v>
      </c>
      <c r="Q240" s="332" t="s">
        <v>660</v>
      </c>
    </row>
    <row r="241" spans="1:17">
      <c r="A241" s="332" t="s">
        <v>5389</v>
      </c>
      <c r="B241" s="332" t="s">
        <v>1547</v>
      </c>
      <c r="C241" s="55" t="s">
        <v>8340</v>
      </c>
      <c r="D241" s="333">
        <v>5558</v>
      </c>
      <c r="E241" s="333">
        <v>5606</v>
      </c>
      <c r="F241" s="333">
        <v>5675</v>
      </c>
      <c r="G241" s="63">
        <v>5713</v>
      </c>
      <c r="H241" s="63">
        <v>5770</v>
      </c>
      <c r="I241" s="63">
        <v>5672</v>
      </c>
      <c r="J241" s="63">
        <v>5619</v>
      </c>
      <c r="K241" s="63">
        <v>5759</v>
      </c>
      <c r="L241" s="63">
        <v>5705</v>
      </c>
      <c r="M241" s="63">
        <v>5644</v>
      </c>
      <c r="N241" s="63">
        <v>5627</v>
      </c>
      <c r="O241" s="63">
        <v>5715</v>
      </c>
      <c r="Q241" s="332" t="s">
        <v>660</v>
      </c>
    </row>
    <row r="242" spans="1:17">
      <c r="A242" s="332" t="s">
        <v>5391</v>
      </c>
      <c r="B242" s="332" t="s">
        <v>1548</v>
      </c>
      <c r="C242" s="55" t="s">
        <v>8341</v>
      </c>
      <c r="D242" s="333">
        <v>5641</v>
      </c>
      <c r="E242" s="333">
        <v>5604</v>
      </c>
      <c r="F242" s="333">
        <v>5679</v>
      </c>
      <c r="G242" s="63">
        <v>5713</v>
      </c>
      <c r="H242" s="63">
        <v>5843</v>
      </c>
      <c r="I242" s="63">
        <v>5672</v>
      </c>
      <c r="J242" s="63">
        <v>5814</v>
      </c>
      <c r="K242" s="63">
        <v>6015</v>
      </c>
      <c r="L242" s="63">
        <v>6074</v>
      </c>
      <c r="M242" s="63">
        <v>5996</v>
      </c>
      <c r="N242" s="63">
        <v>5982</v>
      </c>
      <c r="O242" s="63">
        <v>6160</v>
      </c>
      <c r="Q242" s="332" t="s">
        <v>660</v>
      </c>
    </row>
    <row r="243" spans="1:17">
      <c r="A243" s="332" t="s">
        <v>5393</v>
      </c>
      <c r="B243" s="332" t="s">
        <v>1549</v>
      </c>
      <c r="C243" s="55" t="s">
        <v>8342</v>
      </c>
      <c r="D243" s="333">
        <v>5323</v>
      </c>
      <c r="E243" s="333">
        <v>5329</v>
      </c>
      <c r="F243" s="333">
        <v>5387</v>
      </c>
      <c r="G243" s="63">
        <v>5400</v>
      </c>
      <c r="H243" s="63">
        <v>5430</v>
      </c>
      <c r="I243" s="63">
        <v>5334</v>
      </c>
      <c r="J243" s="63">
        <v>5265</v>
      </c>
      <c r="K243" s="63">
        <v>5330</v>
      </c>
      <c r="L243" s="63">
        <v>5280</v>
      </c>
      <c r="M243" s="63">
        <v>5223</v>
      </c>
      <c r="N243" s="63">
        <v>5177</v>
      </c>
      <c r="O243" s="63">
        <v>5309</v>
      </c>
      <c r="Q243" s="332" t="s">
        <v>660</v>
      </c>
    </row>
    <row r="244" spans="1:17">
      <c r="A244" s="332" t="s">
        <v>5394</v>
      </c>
      <c r="B244" s="332" t="s">
        <v>1550</v>
      </c>
      <c r="C244" s="55" t="s">
        <v>8343</v>
      </c>
      <c r="D244" s="333">
        <v>4675</v>
      </c>
      <c r="E244" s="333">
        <v>4704</v>
      </c>
      <c r="F244" s="333">
        <v>4750</v>
      </c>
      <c r="G244" s="63">
        <v>4786</v>
      </c>
      <c r="H244" s="63">
        <v>4735</v>
      </c>
      <c r="I244" s="63">
        <v>4595</v>
      </c>
      <c r="J244" s="63">
        <v>4679</v>
      </c>
      <c r="K244" s="63">
        <v>4782</v>
      </c>
      <c r="L244" s="63">
        <v>4789</v>
      </c>
      <c r="M244" s="63">
        <v>4779</v>
      </c>
      <c r="N244" s="63">
        <v>4777</v>
      </c>
      <c r="O244" s="63">
        <v>4855</v>
      </c>
      <c r="Q244" s="332" t="s">
        <v>660</v>
      </c>
    </row>
    <row r="245" spans="1:17">
      <c r="A245" s="332" t="s">
        <v>5416</v>
      </c>
      <c r="B245" s="332" t="s">
        <v>1551</v>
      </c>
      <c r="C245" s="55" t="s">
        <v>8344</v>
      </c>
      <c r="D245" s="333">
        <v>5992</v>
      </c>
      <c r="E245" s="333">
        <v>6063</v>
      </c>
      <c r="F245" s="333">
        <v>6139</v>
      </c>
      <c r="G245" s="63">
        <v>6185</v>
      </c>
      <c r="H245" s="63">
        <v>6126</v>
      </c>
      <c r="I245" s="63">
        <v>5852</v>
      </c>
      <c r="J245" s="63">
        <v>5900</v>
      </c>
      <c r="K245" s="63">
        <v>6083</v>
      </c>
      <c r="L245" s="63">
        <v>6045</v>
      </c>
      <c r="M245" s="63">
        <v>5952</v>
      </c>
      <c r="N245" s="63">
        <v>5944</v>
      </c>
      <c r="O245" s="63">
        <v>6108</v>
      </c>
      <c r="Q245" s="332" t="s">
        <v>660</v>
      </c>
    </row>
    <row r="246" spans="1:17">
      <c r="A246" s="332" t="s">
        <v>5418</v>
      </c>
      <c r="B246" s="121" t="s">
        <v>846</v>
      </c>
      <c r="C246" s="55" t="s">
        <v>8345</v>
      </c>
      <c r="D246" s="333">
        <v>5273</v>
      </c>
      <c r="E246" s="333">
        <v>5271</v>
      </c>
      <c r="F246" s="333">
        <v>5287</v>
      </c>
      <c r="G246" s="63">
        <v>5330</v>
      </c>
      <c r="H246" s="63">
        <v>5319</v>
      </c>
      <c r="I246" s="63">
        <v>5221</v>
      </c>
      <c r="J246" s="63">
        <v>5170</v>
      </c>
      <c r="K246" s="63">
        <v>5175</v>
      </c>
      <c r="L246" s="63">
        <v>5180</v>
      </c>
      <c r="M246" s="63">
        <v>5137</v>
      </c>
      <c r="N246" s="63">
        <v>5138</v>
      </c>
      <c r="O246" s="63">
        <v>5234</v>
      </c>
      <c r="Q246" s="332" t="s">
        <v>660</v>
      </c>
    </row>
    <row r="247" spans="1:17">
      <c r="A247" s="332" t="s">
        <v>5420</v>
      </c>
      <c r="B247" s="332" t="s">
        <v>847</v>
      </c>
      <c r="C247" s="55" t="s">
        <v>8346</v>
      </c>
      <c r="D247" s="333">
        <v>5316</v>
      </c>
      <c r="E247" s="333">
        <v>5393</v>
      </c>
      <c r="F247" s="333">
        <v>5448</v>
      </c>
      <c r="G247" s="63">
        <v>5461</v>
      </c>
      <c r="H247" s="63">
        <v>5501</v>
      </c>
      <c r="I247" s="63">
        <v>5339</v>
      </c>
      <c r="J247" s="63">
        <v>5243</v>
      </c>
      <c r="K247" s="63">
        <v>5400</v>
      </c>
      <c r="L247" s="63">
        <v>5386</v>
      </c>
      <c r="M247" s="63">
        <v>5341</v>
      </c>
      <c r="N247" s="63">
        <v>5378</v>
      </c>
      <c r="O247" s="63">
        <v>5515</v>
      </c>
      <c r="Q247" s="332" t="s">
        <v>660</v>
      </c>
    </row>
    <row r="248" spans="1:17">
      <c r="A248" s="332" t="s">
        <v>5422</v>
      </c>
      <c r="B248" s="332" t="s">
        <v>848</v>
      </c>
      <c r="C248" s="55" t="s">
        <v>8347</v>
      </c>
      <c r="D248" s="338">
        <v>5483</v>
      </c>
      <c r="E248" s="338">
        <v>5574</v>
      </c>
      <c r="F248" s="338">
        <v>5638</v>
      </c>
      <c r="G248" s="63">
        <v>5671</v>
      </c>
      <c r="H248" s="63">
        <v>5708</v>
      </c>
      <c r="I248" s="63">
        <v>5406</v>
      </c>
      <c r="J248" s="63">
        <v>5430</v>
      </c>
      <c r="K248" s="63">
        <v>5582</v>
      </c>
      <c r="L248" s="63">
        <v>5607</v>
      </c>
      <c r="M248" s="63">
        <v>5576</v>
      </c>
      <c r="N248" s="63">
        <v>5533</v>
      </c>
      <c r="O248" s="63">
        <v>5703</v>
      </c>
      <c r="Q248" s="332" t="s">
        <v>660</v>
      </c>
    </row>
    <row r="249" spans="1:17">
      <c r="A249" s="332" t="s">
        <v>5424</v>
      </c>
      <c r="B249" s="332" t="s">
        <v>849</v>
      </c>
      <c r="C249" s="55" t="s">
        <v>8348</v>
      </c>
      <c r="D249" s="333">
        <v>5237</v>
      </c>
      <c r="E249" s="333">
        <v>5219</v>
      </c>
      <c r="F249" s="333">
        <v>5267</v>
      </c>
      <c r="G249" s="63">
        <v>5297</v>
      </c>
      <c r="H249" s="63">
        <v>5296</v>
      </c>
      <c r="I249" s="63">
        <v>5229</v>
      </c>
      <c r="J249" s="63">
        <v>5145</v>
      </c>
      <c r="K249" s="63">
        <v>5247</v>
      </c>
      <c r="L249" s="63">
        <v>5255</v>
      </c>
      <c r="M249" s="63">
        <v>5187</v>
      </c>
      <c r="N249" s="63">
        <v>5174</v>
      </c>
      <c r="O249" s="63">
        <v>5303</v>
      </c>
      <c r="Q249" s="332" t="s">
        <v>660</v>
      </c>
    </row>
    <row r="250" spans="1:17">
      <c r="A250" s="332" t="s">
        <v>5426</v>
      </c>
      <c r="B250" s="332" t="s">
        <v>850</v>
      </c>
      <c r="C250" s="55" t="s">
        <v>8349</v>
      </c>
      <c r="D250" s="333">
        <v>5485</v>
      </c>
      <c r="E250" s="333">
        <v>5394</v>
      </c>
      <c r="F250" s="333">
        <v>5484</v>
      </c>
      <c r="G250" s="63">
        <v>5507</v>
      </c>
      <c r="H250" s="63">
        <v>5480</v>
      </c>
      <c r="I250" s="63">
        <v>5283</v>
      </c>
      <c r="J250" s="63">
        <v>5356</v>
      </c>
      <c r="K250" s="63">
        <v>5418</v>
      </c>
      <c r="L250" s="63">
        <v>5464</v>
      </c>
      <c r="M250" s="63">
        <v>5362</v>
      </c>
      <c r="N250" s="63">
        <v>5307</v>
      </c>
      <c r="O250" s="63">
        <v>5433</v>
      </c>
      <c r="Q250" s="332" t="s">
        <v>660</v>
      </c>
    </row>
    <row r="251" spans="1:17">
      <c r="A251" s="332" t="s">
        <v>5428</v>
      </c>
      <c r="B251" s="332" t="s">
        <v>851</v>
      </c>
      <c r="C251" s="55" t="s">
        <v>8350</v>
      </c>
      <c r="D251" s="333">
        <v>5686</v>
      </c>
      <c r="E251" s="333">
        <v>5688</v>
      </c>
      <c r="F251" s="333">
        <v>5752</v>
      </c>
      <c r="G251" s="63">
        <v>5793</v>
      </c>
      <c r="H251" s="63">
        <v>5766</v>
      </c>
      <c r="I251" s="63">
        <v>5565</v>
      </c>
      <c r="J251" s="63">
        <v>5470</v>
      </c>
      <c r="K251" s="63">
        <v>5655</v>
      </c>
      <c r="L251" s="63">
        <v>5594</v>
      </c>
      <c r="M251" s="63">
        <v>5572</v>
      </c>
      <c r="N251" s="63">
        <v>5539</v>
      </c>
      <c r="O251" s="63">
        <v>5652</v>
      </c>
      <c r="Q251" s="332" t="s">
        <v>660</v>
      </c>
    </row>
    <row r="252" spans="1:17">
      <c r="A252" s="332" t="s">
        <v>5429</v>
      </c>
      <c r="B252" s="332" t="s">
        <v>852</v>
      </c>
      <c r="C252" s="55" t="s">
        <v>8351</v>
      </c>
      <c r="D252" s="333">
        <v>5292</v>
      </c>
      <c r="E252" s="333">
        <v>5319</v>
      </c>
      <c r="F252" s="333">
        <v>5370</v>
      </c>
      <c r="G252" s="63">
        <v>5402</v>
      </c>
      <c r="H252" s="63">
        <v>5376</v>
      </c>
      <c r="I252" s="63">
        <v>5289</v>
      </c>
      <c r="J252" s="63">
        <v>5159</v>
      </c>
      <c r="K252" s="63">
        <v>5357</v>
      </c>
      <c r="L252" s="63">
        <v>5494</v>
      </c>
      <c r="M252" s="63">
        <v>5489</v>
      </c>
      <c r="N252" s="63">
        <v>5513</v>
      </c>
      <c r="O252" s="63">
        <v>5665</v>
      </c>
      <c r="Q252" s="332" t="s">
        <v>660</v>
      </c>
    </row>
    <row r="253" spans="1:17">
      <c r="D253" s="334"/>
      <c r="E253" s="334"/>
      <c r="F253" s="334"/>
      <c r="G253" s="334"/>
      <c r="H253" s="334"/>
      <c r="I253" s="334"/>
      <c r="J253" s="334"/>
      <c r="K253" s="334"/>
      <c r="L253" s="334"/>
      <c r="M253" s="334"/>
      <c r="N253" s="334"/>
      <c r="O253" s="334"/>
    </row>
    <row r="254" spans="1:17">
      <c r="A254" s="332" t="s">
        <v>660</v>
      </c>
      <c r="D254" s="333">
        <f t="shared" ref="D254:I254" si="122">SUM(D240:D246)+D247+SUM(D248:D252)</f>
        <v>70962</v>
      </c>
      <c r="E254" s="333">
        <f t="shared" si="122"/>
        <v>71211</v>
      </c>
      <c r="F254" s="333">
        <f t="shared" si="122"/>
        <v>72000</v>
      </c>
      <c r="G254" s="333">
        <f t="shared" si="122"/>
        <v>72547</v>
      </c>
      <c r="H254" s="333">
        <f t="shared" si="122"/>
        <v>72660</v>
      </c>
      <c r="I254" s="333">
        <f t="shared" si="122"/>
        <v>70607</v>
      </c>
      <c r="J254" s="333">
        <f t="shared" ref="J254:O254" si="123">SUM(J240:J246)+J247+SUM(J248:J252)</f>
        <v>70299</v>
      </c>
      <c r="K254" s="333">
        <f t="shared" si="123"/>
        <v>71962</v>
      </c>
      <c r="L254" s="333">
        <f t="shared" si="123"/>
        <v>72030</v>
      </c>
      <c r="M254" s="333">
        <f t="shared" si="123"/>
        <v>71341</v>
      </c>
      <c r="N254" s="333">
        <f t="shared" si="123"/>
        <v>71197</v>
      </c>
      <c r="O254" s="333">
        <f t="shared" si="123"/>
        <v>72897</v>
      </c>
    </row>
    <row r="256" spans="1:17">
      <c r="A256" s="332" t="s">
        <v>2943</v>
      </c>
    </row>
    <row r="259" spans="1:17">
      <c r="E259" s="51" t="s">
        <v>1526</v>
      </c>
      <c r="F259" s="51"/>
      <c r="G259" s="51"/>
      <c r="H259" s="51"/>
      <c r="I259" s="51"/>
      <c r="J259" s="51"/>
      <c r="K259" s="51"/>
      <c r="L259" s="51"/>
      <c r="M259" s="51"/>
      <c r="N259" s="51"/>
      <c r="O259" s="51"/>
      <c r="P259" s="11"/>
      <c r="Q259" s="11" t="s">
        <v>9479</v>
      </c>
    </row>
    <row r="260" spans="1:17">
      <c r="D260" s="270">
        <v>2010</v>
      </c>
      <c r="E260" s="270">
        <v>2011</v>
      </c>
      <c r="F260" s="270">
        <v>2012</v>
      </c>
      <c r="G260" s="270">
        <v>2013</v>
      </c>
      <c r="H260" s="270">
        <v>2014</v>
      </c>
      <c r="I260" s="270">
        <v>2015</v>
      </c>
      <c r="J260" s="270">
        <v>2016</v>
      </c>
      <c r="K260" s="270">
        <v>2017</v>
      </c>
      <c r="L260" s="270">
        <v>2018</v>
      </c>
      <c r="M260" s="270">
        <v>2019</v>
      </c>
      <c r="N260" s="270">
        <v>2020</v>
      </c>
      <c r="O260" s="937" t="s">
        <v>14823</v>
      </c>
      <c r="Q260" s="13" t="s">
        <v>1527</v>
      </c>
    </row>
    <row r="261" spans="1:17">
      <c r="A261" s="332" t="s">
        <v>2944</v>
      </c>
      <c r="D261" s="333">
        <f t="shared" ref="D261:N261" si="124">SUM(D262:D275)</f>
        <v>62445</v>
      </c>
      <c r="E261" s="333">
        <f t="shared" si="124"/>
        <v>63565</v>
      </c>
      <c r="F261" s="333">
        <f t="shared" si="124"/>
        <v>64145</v>
      </c>
      <c r="G261" s="333">
        <f t="shared" si="124"/>
        <v>64550</v>
      </c>
      <c r="H261" s="333">
        <f t="shared" si="124"/>
        <v>64430</v>
      </c>
      <c r="I261" s="333">
        <f t="shared" si="124"/>
        <v>63007</v>
      </c>
      <c r="J261" s="333">
        <f t="shared" si="124"/>
        <v>62634</v>
      </c>
      <c r="K261" s="333">
        <f t="shared" si="124"/>
        <v>64729</v>
      </c>
      <c r="L261" s="333">
        <f t="shared" si="124"/>
        <v>64728</v>
      </c>
      <c r="M261" s="333">
        <f t="shared" si="124"/>
        <v>64459</v>
      </c>
      <c r="N261" s="333">
        <f t="shared" si="124"/>
        <v>66645</v>
      </c>
      <c r="O261" s="333">
        <f>SUM(O262:O275)</f>
        <v>66352</v>
      </c>
    </row>
    <row r="262" spans="1:17">
      <c r="A262" s="332" t="s">
        <v>5387</v>
      </c>
      <c r="B262" s="332" t="s">
        <v>2945</v>
      </c>
      <c r="C262" s="55" t="s">
        <v>14447</v>
      </c>
      <c r="D262" s="333">
        <v>62445</v>
      </c>
      <c r="E262" s="333">
        <v>63565</v>
      </c>
      <c r="F262" s="333">
        <v>64145</v>
      </c>
      <c r="G262" s="56">
        <v>64550</v>
      </c>
      <c r="H262" s="56">
        <v>64430</v>
      </c>
      <c r="I262" s="56">
        <v>63007</v>
      </c>
      <c r="J262" s="56">
        <v>62634</v>
      </c>
      <c r="K262" s="56">
        <v>64729</v>
      </c>
      <c r="L262" s="56">
        <v>64728</v>
      </c>
      <c r="M262" s="56">
        <v>64459</v>
      </c>
      <c r="N262" s="56">
        <v>5485</v>
      </c>
      <c r="O262" s="56">
        <v>5447</v>
      </c>
      <c r="Q262" s="332" t="s">
        <v>661</v>
      </c>
    </row>
    <row r="263" spans="1:17">
      <c r="A263" s="332" t="s">
        <v>5389</v>
      </c>
      <c r="B263" s="332" t="s">
        <v>14444</v>
      </c>
      <c r="C263" s="55" t="s">
        <v>14448</v>
      </c>
      <c r="D263" s="333">
        <v>0</v>
      </c>
      <c r="E263" s="333">
        <v>0</v>
      </c>
      <c r="F263" s="333">
        <v>0</v>
      </c>
      <c r="G263" s="333">
        <v>0</v>
      </c>
      <c r="H263" s="333">
        <v>0</v>
      </c>
      <c r="I263" s="333">
        <v>0</v>
      </c>
      <c r="J263" s="333">
        <v>0</v>
      </c>
      <c r="K263" s="333">
        <v>0</v>
      </c>
      <c r="L263" s="333">
        <v>0</v>
      </c>
      <c r="M263" s="333">
        <v>0</v>
      </c>
      <c r="N263" s="56">
        <v>6723</v>
      </c>
      <c r="O263" s="56">
        <v>6725</v>
      </c>
      <c r="Q263" s="332" t="s">
        <v>661</v>
      </c>
    </row>
    <row r="264" spans="1:17">
      <c r="A264" s="332" t="s">
        <v>5391</v>
      </c>
      <c r="B264" s="332" t="s">
        <v>2946</v>
      </c>
      <c r="C264" s="55" t="s">
        <v>14449</v>
      </c>
      <c r="D264" s="333">
        <v>0</v>
      </c>
      <c r="E264" s="333">
        <v>0</v>
      </c>
      <c r="F264" s="333">
        <v>0</v>
      </c>
      <c r="G264" s="333">
        <v>0</v>
      </c>
      <c r="H264" s="333">
        <v>0</v>
      </c>
      <c r="I264" s="333">
        <v>0</v>
      </c>
      <c r="J264" s="333">
        <v>0</v>
      </c>
      <c r="K264" s="333">
        <v>0</v>
      </c>
      <c r="L264" s="333">
        <v>0</v>
      </c>
      <c r="M264" s="333">
        <v>0</v>
      </c>
      <c r="N264" s="56">
        <v>3786</v>
      </c>
      <c r="O264" s="56">
        <v>3779</v>
      </c>
      <c r="Q264" s="332" t="s">
        <v>661</v>
      </c>
    </row>
    <row r="265" spans="1:17">
      <c r="A265" s="332" t="s">
        <v>5393</v>
      </c>
      <c r="B265" s="332" t="s">
        <v>2947</v>
      </c>
      <c r="C265" s="55" t="s">
        <v>14450</v>
      </c>
      <c r="D265" s="333">
        <v>0</v>
      </c>
      <c r="E265" s="333">
        <v>0</v>
      </c>
      <c r="F265" s="333">
        <v>0</v>
      </c>
      <c r="G265" s="333">
        <v>0</v>
      </c>
      <c r="H265" s="333">
        <v>0</v>
      </c>
      <c r="I265" s="333">
        <v>0</v>
      </c>
      <c r="J265" s="333">
        <v>0</v>
      </c>
      <c r="K265" s="333">
        <v>0</v>
      </c>
      <c r="L265" s="333">
        <v>0</v>
      </c>
      <c r="M265" s="333">
        <v>0</v>
      </c>
      <c r="N265" s="56">
        <v>5174</v>
      </c>
      <c r="O265" s="56">
        <v>5145</v>
      </c>
      <c r="Q265" s="332" t="s">
        <v>661</v>
      </c>
    </row>
    <row r="266" spans="1:17">
      <c r="A266" s="332" t="s">
        <v>5394</v>
      </c>
      <c r="B266" s="332" t="s">
        <v>2948</v>
      </c>
      <c r="C266" s="55" t="s">
        <v>14451</v>
      </c>
      <c r="D266" s="333">
        <v>0</v>
      </c>
      <c r="E266" s="333">
        <v>0</v>
      </c>
      <c r="F266" s="333">
        <v>0</v>
      </c>
      <c r="G266" s="333">
        <v>0</v>
      </c>
      <c r="H266" s="333">
        <v>0</v>
      </c>
      <c r="I266" s="333">
        <v>0</v>
      </c>
      <c r="J266" s="333">
        <v>0</v>
      </c>
      <c r="K266" s="333">
        <v>0</v>
      </c>
      <c r="L266" s="333">
        <v>0</v>
      </c>
      <c r="M266" s="333">
        <v>0</v>
      </c>
      <c r="N266" s="56">
        <v>5775</v>
      </c>
      <c r="O266" s="56">
        <v>5764</v>
      </c>
      <c r="Q266" s="332" t="s">
        <v>661</v>
      </c>
    </row>
    <row r="267" spans="1:17">
      <c r="A267" s="332" t="s">
        <v>5416</v>
      </c>
      <c r="B267" s="332" t="s">
        <v>2949</v>
      </c>
      <c r="C267" s="55" t="s">
        <v>14452</v>
      </c>
      <c r="D267" s="333">
        <v>0</v>
      </c>
      <c r="E267" s="333">
        <v>0</v>
      </c>
      <c r="F267" s="333">
        <v>0</v>
      </c>
      <c r="G267" s="333">
        <v>0</v>
      </c>
      <c r="H267" s="333">
        <v>0</v>
      </c>
      <c r="I267" s="333">
        <v>0</v>
      </c>
      <c r="J267" s="333">
        <v>0</v>
      </c>
      <c r="K267" s="333">
        <v>0</v>
      </c>
      <c r="L267" s="333">
        <v>0</v>
      </c>
      <c r="M267" s="333">
        <v>0</v>
      </c>
      <c r="N267" s="56">
        <v>5344</v>
      </c>
      <c r="O267" s="56">
        <v>5343</v>
      </c>
      <c r="Q267" s="332" t="s">
        <v>661</v>
      </c>
    </row>
    <row r="268" spans="1:17">
      <c r="A268" s="332" t="s">
        <v>5418</v>
      </c>
      <c r="B268" s="332" t="s">
        <v>14445</v>
      </c>
      <c r="C268" s="55" t="s">
        <v>14453</v>
      </c>
      <c r="D268" s="333">
        <v>0</v>
      </c>
      <c r="E268" s="333">
        <v>0</v>
      </c>
      <c r="F268" s="333">
        <v>0</v>
      </c>
      <c r="G268" s="333">
        <v>0</v>
      </c>
      <c r="H268" s="333">
        <v>0</v>
      </c>
      <c r="I268" s="333">
        <v>0</v>
      </c>
      <c r="J268" s="333">
        <v>0</v>
      </c>
      <c r="K268" s="333">
        <v>0</v>
      </c>
      <c r="L268" s="333">
        <v>0</v>
      </c>
      <c r="M268" s="333">
        <v>0</v>
      </c>
      <c r="N268" s="56">
        <v>5330</v>
      </c>
      <c r="O268" s="56">
        <v>5292</v>
      </c>
      <c r="Q268" s="332" t="s">
        <v>661</v>
      </c>
    </row>
    <row r="269" spans="1:17">
      <c r="A269" s="332" t="s">
        <v>5420</v>
      </c>
      <c r="B269" s="332" t="s">
        <v>2950</v>
      </c>
      <c r="C269" s="55" t="s">
        <v>14454</v>
      </c>
      <c r="D269" s="333">
        <v>0</v>
      </c>
      <c r="E269" s="333">
        <v>0</v>
      </c>
      <c r="F269" s="333">
        <v>0</v>
      </c>
      <c r="G269" s="333">
        <v>0</v>
      </c>
      <c r="H269" s="333">
        <v>0</v>
      </c>
      <c r="I269" s="333">
        <v>0</v>
      </c>
      <c r="J269" s="333">
        <v>0</v>
      </c>
      <c r="K269" s="333">
        <v>0</v>
      </c>
      <c r="L269" s="333">
        <v>0</v>
      </c>
      <c r="M269" s="333">
        <v>0</v>
      </c>
      <c r="N269" s="56">
        <v>3793</v>
      </c>
      <c r="O269" s="56">
        <v>3770</v>
      </c>
      <c r="Q269" s="332" t="s">
        <v>661</v>
      </c>
    </row>
    <row r="270" spans="1:17">
      <c r="A270" s="332" t="s">
        <v>5422</v>
      </c>
      <c r="B270" s="332" t="s">
        <v>3458</v>
      </c>
      <c r="C270" s="55" t="s">
        <v>14455</v>
      </c>
      <c r="D270" s="333">
        <v>0</v>
      </c>
      <c r="E270" s="333">
        <v>0</v>
      </c>
      <c r="F270" s="333">
        <v>0</v>
      </c>
      <c r="G270" s="333">
        <v>0</v>
      </c>
      <c r="H270" s="333">
        <v>0</v>
      </c>
      <c r="I270" s="333">
        <v>0</v>
      </c>
      <c r="J270" s="333">
        <v>0</v>
      </c>
      <c r="K270" s="333">
        <v>0</v>
      </c>
      <c r="L270" s="333">
        <v>0</v>
      </c>
      <c r="M270" s="333">
        <v>0</v>
      </c>
      <c r="N270" s="56">
        <v>3902</v>
      </c>
      <c r="O270" s="56">
        <v>3885</v>
      </c>
      <c r="Q270" s="332" t="s">
        <v>661</v>
      </c>
    </row>
    <row r="271" spans="1:17">
      <c r="A271" s="332" t="s">
        <v>5424</v>
      </c>
      <c r="B271" s="332" t="s">
        <v>892</v>
      </c>
      <c r="C271" s="55" t="s">
        <v>14456</v>
      </c>
      <c r="D271" s="333">
        <v>0</v>
      </c>
      <c r="E271" s="333">
        <v>0</v>
      </c>
      <c r="F271" s="333">
        <v>0</v>
      </c>
      <c r="G271" s="333">
        <v>0</v>
      </c>
      <c r="H271" s="333">
        <v>0</v>
      </c>
      <c r="I271" s="333">
        <v>0</v>
      </c>
      <c r="J271" s="333">
        <v>0</v>
      </c>
      <c r="K271" s="333">
        <v>0</v>
      </c>
      <c r="L271" s="333">
        <v>0</v>
      </c>
      <c r="M271" s="333">
        <v>0</v>
      </c>
      <c r="N271" s="56">
        <v>4033</v>
      </c>
      <c r="O271" s="56">
        <v>4014</v>
      </c>
      <c r="Q271" s="332" t="s">
        <v>661</v>
      </c>
    </row>
    <row r="272" spans="1:17">
      <c r="A272" s="332" t="s">
        <v>5426</v>
      </c>
      <c r="B272" s="332" t="s">
        <v>2968</v>
      </c>
      <c r="C272" s="55" t="s">
        <v>14457</v>
      </c>
      <c r="D272" s="333">
        <v>0</v>
      </c>
      <c r="E272" s="333">
        <v>0</v>
      </c>
      <c r="F272" s="333">
        <v>0</v>
      </c>
      <c r="G272" s="333">
        <v>0</v>
      </c>
      <c r="H272" s="333">
        <v>0</v>
      </c>
      <c r="I272" s="333">
        <v>0</v>
      </c>
      <c r="J272" s="333">
        <v>0</v>
      </c>
      <c r="K272" s="333">
        <v>0</v>
      </c>
      <c r="L272" s="333">
        <v>0</v>
      </c>
      <c r="M272" s="333">
        <v>0</v>
      </c>
      <c r="N272" s="56">
        <v>3992</v>
      </c>
      <c r="O272" s="56">
        <v>3957</v>
      </c>
      <c r="Q272" s="332" t="s">
        <v>661</v>
      </c>
    </row>
    <row r="273" spans="1:17">
      <c r="A273" s="332" t="s">
        <v>5428</v>
      </c>
      <c r="B273" s="332" t="s">
        <v>3229</v>
      </c>
      <c r="C273" s="55" t="s">
        <v>14458</v>
      </c>
      <c r="D273" s="333">
        <v>0</v>
      </c>
      <c r="E273" s="333">
        <v>0</v>
      </c>
      <c r="F273" s="333">
        <v>0</v>
      </c>
      <c r="G273" s="333">
        <v>0</v>
      </c>
      <c r="H273" s="333">
        <v>0</v>
      </c>
      <c r="I273" s="333">
        <v>0</v>
      </c>
      <c r="J273" s="333">
        <v>0</v>
      </c>
      <c r="K273" s="333">
        <v>0</v>
      </c>
      <c r="L273" s="333">
        <v>0</v>
      </c>
      <c r="M273" s="333">
        <v>0</v>
      </c>
      <c r="N273" s="56">
        <v>3730</v>
      </c>
      <c r="O273" s="56">
        <v>3714</v>
      </c>
      <c r="Q273" s="332" t="s">
        <v>661</v>
      </c>
    </row>
    <row r="274" spans="1:17">
      <c r="A274" s="332" t="s">
        <v>5429</v>
      </c>
      <c r="B274" s="332" t="s">
        <v>2951</v>
      </c>
      <c r="C274" s="55" t="s">
        <v>14459</v>
      </c>
      <c r="D274" s="333">
        <v>0</v>
      </c>
      <c r="E274" s="333">
        <v>0</v>
      </c>
      <c r="F274" s="333">
        <v>0</v>
      </c>
      <c r="G274" s="333">
        <v>0</v>
      </c>
      <c r="H274" s="333">
        <v>0</v>
      </c>
      <c r="I274" s="333">
        <v>0</v>
      </c>
      <c r="J274" s="333">
        <v>0</v>
      </c>
      <c r="K274" s="333">
        <v>0</v>
      </c>
      <c r="L274" s="333">
        <v>0</v>
      </c>
      <c r="M274" s="333">
        <v>0</v>
      </c>
      <c r="N274" s="56">
        <v>4010</v>
      </c>
      <c r="O274" s="56">
        <v>4002</v>
      </c>
      <c r="Q274" s="332" t="s">
        <v>661</v>
      </c>
    </row>
    <row r="275" spans="1:17">
      <c r="A275" s="332" t="s">
        <v>5431</v>
      </c>
      <c r="B275" s="332" t="s">
        <v>14446</v>
      </c>
      <c r="C275" s="55" t="s">
        <v>14460</v>
      </c>
      <c r="D275" s="333">
        <v>0</v>
      </c>
      <c r="E275" s="333">
        <v>0</v>
      </c>
      <c r="F275" s="333">
        <v>0</v>
      </c>
      <c r="G275" s="333">
        <v>0</v>
      </c>
      <c r="H275" s="333">
        <v>0</v>
      </c>
      <c r="I275" s="333">
        <v>0</v>
      </c>
      <c r="J275" s="333">
        <v>0</v>
      </c>
      <c r="K275" s="333">
        <v>0</v>
      </c>
      <c r="L275" s="333">
        <v>0</v>
      </c>
      <c r="M275" s="333">
        <v>0</v>
      </c>
      <c r="N275" s="56">
        <v>5568</v>
      </c>
      <c r="O275" s="56">
        <v>5515</v>
      </c>
      <c r="Q275" s="332" t="s">
        <v>661</v>
      </c>
    </row>
    <row r="276" spans="1:17">
      <c r="D276" s="334"/>
      <c r="E276" s="334"/>
      <c r="F276" s="334"/>
      <c r="G276" s="334"/>
      <c r="H276" s="334"/>
      <c r="I276" s="334"/>
      <c r="J276" s="334"/>
      <c r="K276" s="334"/>
      <c r="L276" s="334"/>
      <c r="M276" s="334"/>
      <c r="N276" s="334"/>
      <c r="O276" s="334"/>
    </row>
    <row r="277" spans="1:17">
      <c r="A277" s="332" t="s">
        <v>1393</v>
      </c>
      <c r="D277" s="333">
        <f t="shared" ref="D277:N277" si="125">SUM(D262:D275)</f>
        <v>62445</v>
      </c>
      <c r="E277" s="333">
        <f t="shared" si="125"/>
        <v>63565</v>
      </c>
      <c r="F277" s="333">
        <f t="shared" si="125"/>
        <v>64145</v>
      </c>
      <c r="G277" s="333">
        <f t="shared" si="125"/>
        <v>64550</v>
      </c>
      <c r="H277" s="333">
        <f t="shared" si="125"/>
        <v>64430</v>
      </c>
      <c r="I277" s="333">
        <f t="shared" si="125"/>
        <v>63007</v>
      </c>
      <c r="J277" s="333">
        <f t="shared" si="125"/>
        <v>62634</v>
      </c>
      <c r="K277" s="333">
        <f t="shared" si="125"/>
        <v>64729</v>
      </c>
      <c r="L277" s="333">
        <f t="shared" si="125"/>
        <v>64728</v>
      </c>
      <c r="M277" s="333">
        <f t="shared" si="125"/>
        <v>64459</v>
      </c>
      <c r="N277" s="333">
        <f t="shared" si="125"/>
        <v>66645</v>
      </c>
      <c r="O277" s="333">
        <f>SUM(O262:O275)</f>
        <v>66352</v>
      </c>
    </row>
    <row r="278" spans="1:17">
      <c r="A278" s="332"/>
      <c r="B278" s="332"/>
      <c r="D278" s="341"/>
      <c r="E278" s="341"/>
      <c r="F278" s="341"/>
      <c r="G278" s="341"/>
      <c r="H278" s="341"/>
      <c r="I278" s="341"/>
      <c r="J278" s="341"/>
      <c r="K278" s="341"/>
      <c r="L278" s="341"/>
      <c r="M278" s="341"/>
      <c r="N278" s="341"/>
      <c r="O278" s="341"/>
    </row>
    <row r="279" spans="1:17">
      <c r="A279" s="332" t="s">
        <v>14461</v>
      </c>
      <c r="B279" s="332"/>
      <c r="D279" s="341"/>
      <c r="E279" s="341"/>
      <c r="F279" s="341"/>
      <c r="G279" s="341"/>
      <c r="H279" s="341"/>
      <c r="I279" s="341"/>
      <c r="J279" s="341"/>
      <c r="K279" s="341"/>
      <c r="L279" s="341"/>
      <c r="M279" s="341"/>
      <c r="N279" s="341"/>
      <c r="O279" s="341"/>
    </row>
    <row r="280" spans="1:17">
      <c r="A280" s="332"/>
      <c r="B280" s="332"/>
      <c r="D280" s="341"/>
      <c r="E280" s="341"/>
      <c r="F280" s="341"/>
      <c r="G280" s="341"/>
      <c r="H280" s="341"/>
      <c r="I280" s="341"/>
      <c r="J280" s="341"/>
      <c r="K280" s="341"/>
      <c r="L280" s="341"/>
      <c r="M280" s="341"/>
      <c r="N280" s="341"/>
      <c r="O280" s="341"/>
    </row>
    <row r="281" spans="1:17">
      <c r="A281" s="332"/>
      <c r="B281" s="332"/>
      <c r="D281" s="341"/>
      <c r="E281" s="341"/>
      <c r="F281" s="341"/>
      <c r="G281" s="341"/>
      <c r="H281" s="341"/>
      <c r="I281" s="341"/>
      <c r="J281" s="341"/>
      <c r="K281" s="341"/>
      <c r="L281" s="341"/>
      <c r="M281" s="341"/>
      <c r="N281" s="341"/>
      <c r="O281" s="341"/>
    </row>
    <row r="282" spans="1:17">
      <c r="E282" s="51" t="s">
        <v>1526</v>
      </c>
      <c r="F282" s="51"/>
      <c r="G282" s="51"/>
      <c r="H282" s="51"/>
      <c r="I282" s="51"/>
      <c r="J282" s="51"/>
      <c r="K282" s="51"/>
      <c r="L282" s="51"/>
      <c r="M282" s="51"/>
      <c r="N282" s="51"/>
      <c r="O282" s="51"/>
      <c r="P282" s="11"/>
      <c r="Q282" s="11" t="s">
        <v>9479</v>
      </c>
    </row>
    <row r="283" spans="1:17">
      <c r="D283" s="270">
        <v>2010</v>
      </c>
      <c r="E283" s="270">
        <v>2011</v>
      </c>
      <c r="F283" s="270">
        <v>2012</v>
      </c>
      <c r="G283" s="270">
        <v>2013</v>
      </c>
      <c r="H283" s="270">
        <v>2014</v>
      </c>
      <c r="I283" s="270">
        <v>2015</v>
      </c>
      <c r="J283" s="270">
        <v>2016</v>
      </c>
      <c r="K283" s="270">
        <v>2017</v>
      </c>
      <c r="L283" s="270">
        <v>2018</v>
      </c>
      <c r="M283" s="270">
        <v>2019</v>
      </c>
      <c r="N283" s="270">
        <v>2020</v>
      </c>
      <c r="O283" s="937" t="s">
        <v>14823</v>
      </c>
      <c r="Q283" s="13" t="s">
        <v>1527</v>
      </c>
    </row>
    <row r="284" spans="1:17">
      <c r="A284" s="332" t="s">
        <v>2952</v>
      </c>
      <c r="D284" s="333">
        <f t="shared" ref="D284:I284" si="126">SUM(D285:D304)</f>
        <v>61007</v>
      </c>
      <c r="E284" s="333">
        <f t="shared" si="126"/>
        <v>61056</v>
      </c>
      <c r="F284" s="333">
        <f t="shared" si="126"/>
        <v>61146</v>
      </c>
      <c r="G284" s="333">
        <f t="shared" si="126"/>
        <v>61590</v>
      </c>
      <c r="H284" s="333">
        <f t="shared" si="126"/>
        <v>59190</v>
      </c>
      <c r="I284" s="333">
        <f t="shared" si="126"/>
        <v>60213</v>
      </c>
      <c r="J284" s="333">
        <f t="shared" ref="J284:O284" si="127">SUM(J285:J304)</f>
        <v>60505</v>
      </c>
      <c r="K284" s="333">
        <f t="shared" si="127"/>
        <v>63409</v>
      </c>
      <c r="L284" s="333">
        <f t="shared" si="127"/>
        <v>63562</v>
      </c>
      <c r="M284" s="333">
        <f t="shared" si="127"/>
        <v>62837</v>
      </c>
      <c r="N284" s="333">
        <f t="shared" si="127"/>
        <v>63265</v>
      </c>
      <c r="O284" s="333">
        <f t="shared" si="127"/>
        <v>65319</v>
      </c>
    </row>
    <row r="285" spans="1:17">
      <c r="A285" s="332" t="s">
        <v>5387</v>
      </c>
      <c r="B285" s="332" t="s">
        <v>2953</v>
      </c>
      <c r="C285" s="55" t="s">
        <v>8370</v>
      </c>
      <c r="D285" s="333">
        <v>4294</v>
      </c>
      <c r="E285" s="333">
        <v>4295</v>
      </c>
      <c r="F285" s="333">
        <v>4296</v>
      </c>
      <c r="G285" s="63">
        <v>4296</v>
      </c>
      <c r="H285" s="63">
        <v>4157</v>
      </c>
      <c r="I285" s="63">
        <v>4168</v>
      </c>
      <c r="J285" s="63">
        <v>4155</v>
      </c>
      <c r="K285" s="63">
        <v>4343</v>
      </c>
      <c r="L285" s="63">
        <v>4363</v>
      </c>
      <c r="M285" s="63">
        <v>4298</v>
      </c>
      <c r="N285" s="63">
        <v>4302</v>
      </c>
      <c r="O285" s="63">
        <v>4441</v>
      </c>
      <c r="Q285" s="332" t="s">
        <v>647</v>
      </c>
    </row>
    <row r="286" spans="1:17">
      <c r="A286" s="332" t="s">
        <v>5389</v>
      </c>
      <c r="B286" s="332" t="s">
        <v>4397</v>
      </c>
      <c r="C286" s="55" t="s">
        <v>8371</v>
      </c>
      <c r="D286" s="333">
        <v>4502</v>
      </c>
      <c r="E286" s="333">
        <v>4494</v>
      </c>
      <c r="F286" s="333">
        <v>4530</v>
      </c>
      <c r="G286" s="63">
        <v>4546</v>
      </c>
      <c r="H286" s="63">
        <v>4255</v>
      </c>
      <c r="I286" s="63">
        <v>4380</v>
      </c>
      <c r="J286" s="63">
        <v>4399</v>
      </c>
      <c r="K286" s="63">
        <v>4666</v>
      </c>
      <c r="L286" s="63">
        <v>4684</v>
      </c>
      <c r="M286" s="63">
        <v>4618</v>
      </c>
      <c r="N286" s="63">
        <v>4639</v>
      </c>
      <c r="O286" s="63">
        <v>4814</v>
      </c>
      <c r="Q286" s="332" t="s">
        <v>647</v>
      </c>
    </row>
    <row r="287" spans="1:17">
      <c r="A287" s="332" t="s">
        <v>5391</v>
      </c>
      <c r="B287" s="332" t="s">
        <v>4398</v>
      </c>
      <c r="C287" s="55" t="s">
        <v>8352</v>
      </c>
      <c r="D287" s="333">
        <v>1391</v>
      </c>
      <c r="E287" s="333">
        <v>1425</v>
      </c>
      <c r="F287" s="333">
        <v>1410</v>
      </c>
      <c r="G287" s="63">
        <v>1414</v>
      </c>
      <c r="H287" s="63">
        <v>1388</v>
      </c>
      <c r="I287" s="63">
        <v>1383</v>
      </c>
      <c r="J287" s="63">
        <v>1379</v>
      </c>
      <c r="K287" s="63">
        <v>1419</v>
      </c>
      <c r="L287" s="63">
        <v>1413</v>
      </c>
      <c r="M287" s="63">
        <v>1398</v>
      </c>
      <c r="N287" s="63">
        <v>1411</v>
      </c>
      <c r="O287" s="63">
        <v>1443</v>
      </c>
      <c r="Q287" s="332" t="s">
        <v>647</v>
      </c>
    </row>
    <row r="288" spans="1:17">
      <c r="A288" s="332" t="s">
        <v>5393</v>
      </c>
      <c r="B288" s="332" t="s">
        <v>4399</v>
      </c>
      <c r="C288" s="55" t="s">
        <v>8353</v>
      </c>
      <c r="D288" s="333">
        <v>2851</v>
      </c>
      <c r="E288" s="333">
        <v>2833</v>
      </c>
      <c r="F288" s="333">
        <v>2828</v>
      </c>
      <c r="G288" s="63">
        <v>2816</v>
      </c>
      <c r="H288" s="63">
        <v>2895</v>
      </c>
      <c r="I288" s="63">
        <v>1480</v>
      </c>
      <c r="J288" s="63">
        <v>2894</v>
      </c>
      <c r="K288" s="63">
        <v>3026</v>
      </c>
      <c r="L288" s="63">
        <v>3060</v>
      </c>
      <c r="M288" s="63">
        <v>2983</v>
      </c>
      <c r="N288" s="63">
        <v>3013</v>
      </c>
      <c r="O288" s="63">
        <v>3122</v>
      </c>
      <c r="Q288" s="332" t="s">
        <v>647</v>
      </c>
    </row>
    <row r="289" spans="1:17">
      <c r="A289" s="332" t="s">
        <v>5394</v>
      </c>
      <c r="B289" s="332" t="s">
        <v>4400</v>
      </c>
      <c r="C289" s="55" t="s">
        <v>8354</v>
      </c>
      <c r="D289" s="333">
        <v>1668</v>
      </c>
      <c r="E289" s="333">
        <v>1706</v>
      </c>
      <c r="F289" s="333">
        <v>1677</v>
      </c>
      <c r="G289" s="63">
        <v>1678</v>
      </c>
      <c r="H289" s="63">
        <v>1607</v>
      </c>
      <c r="I289" s="63">
        <v>2908</v>
      </c>
      <c r="J289" s="63">
        <v>1671</v>
      </c>
      <c r="K289" s="63">
        <v>1703</v>
      </c>
      <c r="L289" s="63">
        <v>1733</v>
      </c>
      <c r="M289" s="63">
        <v>1724</v>
      </c>
      <c r="N289" s="63">
        <v>1750</v>
      </c>
      <c r="O289" s="63">
        <v>1803</v>
      </c>
      <c r="Q289" s="332" t="s">
        <v>647</v>
      </c>
    </row>
    <row r="290" spans="1:17">
      <c r="A290" s="332" t="s">
        <v>5416</v>
      </c>
      <c r="B290" s="332" t="s">
        <v>4401</v>
      </c>
      <c r="C290" s="55" t="s">
        <v>8355</v>
      </c>
      <c r="D290" s="333">
        <v>4310</v>
      </c>
      <c r="E290" s="333">
        <v>4315</v>
      </c>
      <c r="F290" s="333">
        <v>4265</v>
      </c>
      <c r="G290" s="63">
        <v>4256</v>
      </c>
      <c r="H290" s="63">
        <v>4014</v>
      </c>
      <c r="I290" s="63">
        <v>1641</v>
      </c>
      <c r="J290" s="63">
        <v>4193</v>
      </c>
      <c r="K290" s="63">
        <v>4419</v>
      </c>
      <c r="L290" s="63">
        <v>4441</v>
      </c>
      <c r="M290" s="63">
        <v>4401</v>
      </c>
      <c r="N290" s="63">
        <v>4405</v>
      </c>
      <c r="O290" s="63">
        <v>4533</v>
      </c>
      <c r="Q290" s="332" t="s">
        <v>647</v>
      </c>
    </row>
    <row r="291" spans="1:17">
      <c r="A291" s="332" t="s">
        <v>5418</v>
      </c>
      <c r="B291" s="332" t="s">
        <v>4402</v>
      </c>
      <c r="C291" s="55" t="s">
        <v>8356</v>
      </c>
      <c r="D291" s="333">
        <v>2920</v>
      </c>
      <c r="E291" s="333">
        <v>2960</v>
      </c>
      <c r="F291" s="333">
        <v>2981</v>
      </c>
      <c r="G291" s="63">
        <v>2995</v>
      </c>
      <c r="H291" s="63">
        <v>2918</v>
      </c>
      <c r="I291" s="63">
        <v>4091</v>
      </c>
      <c r="J291" s="63">
        <v>2978</v>
      </c>
      <c r="K291" s="63">
        <v>3083</v>
      </c>
      <c r="L291" s="63">
        <v>3084</v>
      </c>
      <c r="M291" s="63">
        <v>3030</v>
      </c>
      <c r="N291" s="63">
        <v>3065</v>
      </c>
      <c r="O291" s="63">
        <v>3154</v>
      </c>
      <c r="Q291" s="332" t="s">
        <v>647</v>
      </c>
    </row>
    <row r="292" spans="1:17">
      <c r="A292" s="332" t="s">
        <v>5420</v>
      </c>
      <c r="B292" s="332" t="s">
        <v>4403</v>
      </c>
      <c r="C292" s="55" t="s">
        <v>8357</v>
      </c>
      <c r="D292" s="333">
        <v>2795</v>
      </c>
      <c r="E292" s="333">
        <v>2772</v>
      </c>
      <c r="F292" s="333">
        <v>2769</v>
      </c>
      <c r="G292" s="63">
        <v>2803</v>
      </c>
      <c r="H292" s="63">
        <v>2684</v>
      </c>
      <c r="I292" s="63">
        <v>2972</v>
      </c>
      <c r="J292" s="63">
        <v>2739</v>
      </c>
      <c r="K292" s="63">
        <v>2851</v>
      </c>
      <c r="L292" s="63">
        <v>2838</v>
      </c>
      <c r="M292" s="63">
        <v>2817</v>
      </c>
      <c r="N292" s="63">
        <v>2803</v>
      </c>
      <c r="O292" s="63">
        <v>2877</v>
      </c>
      <c r="Q292" s="332" t="s">
        <v>647</v>
      </c>
    </row>
    <row r="293" spans="1:17">
      <c r="A293" s="332" t="s">
        <v>5422</v>
      </c>
      <c r="B293" s="332" t="s">
        <v>5928</v>
      </c>
      <c r="C293" s="55" t="s">
        <v>8358</v>
      </c>
      <c r="D293" s="333">
        <v>3174</v>
      </c>
      <c r="E293" s="333">
        <v>3179</v>
      </c>
      <c r="F293" s="333">
        <v>3171</v>
      </c>
      <c r="G293" s="63">
        <v>3224</v>
      </c>
      <c r="H293" s="63">
        <v>3104</v>
      </c>
      <c r="I293" s="63">
        <v>2733</v>
      </c>
      <c r="J293" s="63">
        <v>3124</v>
      </c>
      <c r="K293" s="63">
        <v>3257</v>
      </c>
      <c r="L293" s="63">
        <v>3242</v>
      </c>
      <c r="M293" s="63">
        <v>3178</v>
      </c>
      <c r="N293" s="63">
        <v>3214</v>
      </c>
      <c r="O293" s="63">
        <v>3335</v>
      </c>
      <c r="Q293" s="332" t="s">
        <v>647</v>
      </c>
    </row>
    <row r="294" spans="1:17">
      <c r="A294" s="332" t="s">
        <v>5424</v>
      </c>
      <c r="B294" s="332" t="s">
        <v>5929</v>
      </c>
      <c r="C294" s="55" t="s">
        <v>8359</v>
      </c>
      <c r="D294" s="333">
        <v>4303</v>
      </c>
      <c r="E294" s="333">
        <v>4311</v>
      </c>
      <c r="F294" s="333">
        <v>4311</v>
      </c>
      <c r="G294" s="63">
        <v>4339</v>
      </c>
      <c r="H294" s="63">
        <v>4261</v>
      </c>
      <c r="I294" s="63">
        <v>3171</v>
      </c>
      <c r="J294" s="63">
        <v>4197</v>
      </c>
      <c r="K294" s="63">
        <v>4385</v>
      </c>
      <c r="L294" s="63">
        <v>4326</v>
      </c>
      <c r="M294" s="63">
        <v>4318</v>
      </c>
      <c r="N294" s="63">
        <v>4368</v>
      </c>
      <c r="O294" s="63">
        <v>4515</v>
      </c>
      <c r="Q294" s="332" t="s">
        <v>647</v>
      </c>
    </row>
    <row r="295" spans="1:17">
      <c r="A295" s="332" t="s">
        <v>5426</v>
      </c>
      <c r="B295" s="332" t="s">
        <v>5930</v>
      </c>
      <c r="C295" s="55" t="s">
        <v>8360</v>
      </c>
      <c r="D295" s="333">
        <v>4378</v>
      </c>
      <c r="E295" s="333">
        <v>4406</v>
      </c>
      <c r="F295" s="333">
        <v>4436</v>
      </c>
      <c r="G295" s="63">
        <v>4473</v>
      </c>
      <c r="H295" s="63">
        <v>4209</v>
      </c>
      <c r="I295" s="63">
        <v>4227</v>
      </c>
      <c r="J295" s="63">
        <v>4351</v>
      </c>
      <c r="K295" s="63">
        <v>4621</v>
      </c>
      <c r="L295" s="63">
        <v>4706</v>
      </c>
      <c r="M295" s="63">
        <v>4682</v>
      </c>
      <c r="N295" s="63">
        <v>4713</v>
      </c>
      <c r="O295" s="63">
        <v>4844</v>
      </c>
      <c r="Q295" s="332" t="s">
        <v>647</v>
      </c>
    </row>
    <row r="296" spans="1:17">
      <c r="A296" s="332" t="s">
        <v>5428</v>
      </c>
      <c r="B296" s="332" t="s">
        <v>5931</v>
      </c>
      <c r="C296" s="55" t="s">
        <v>8361</v>
      </c>
      <c r="D296" s="333">
        <v>3251</v>
      </c>
      <c r="E296" s="333">
        <v>3225</v>
      </c>
      <c r="F296" s="333">
        <v>3222</v>
      </c>
      <c r="G296" s="63">
        <v>3227</v>
      </c>
      <c r="H296" s="63">
        <v>3027</v>
      </c>
      <c r="I296" s="63">
        <v>4297</v>
      </c>
      <c r="J296" s="63">
        <v>3208</v>
      </c>
      <c r="K296" s="63">
        <v>3308</v>
      </c>
      <c r="L296" s="63">
        <v>3316</v>
      </c>
      <c r="M296" s="63">
        <v>3298</v>
      </c>
      <c r="N296" s="63">
        <v>3315</v>
      </c>
      <c r="O296" s="63">
        <v>3399</v>
      </c>
      <c r="Q296" s="332" t="s">
        <v>647</v>
      </c>
    </row>
    <row r="297" spans="1:17">
      <c r="A297" s="332" t="s">
        <v>5429</v>
      </c>
      <c r="B297" s="332" t="s">
        <v>3995</v>
      </c>
      <c r="C297" s="55" t="s">
        <v>8362</v>
      </c>
      <c r="D297" s="333">
        <v>2764</v>
      </c>
      <c r="E297" s="333">
        <v>2756</v>
      </c>
      <c r="F297" s="333">
        <v>2785</v>
      </c>
      <c r="G297" s="63">
        <v>2895</v>
      </c>
      <c r="H297" s="63">
        <v>2741</v>
      </c>
      <c r="I297" s="63">
        <v>3123</v>
      </c>
      <c r="J297" s="63">
        <v>2793</v>
      </c>
      <c r="K297" s="63">
        <v>2890</v>
      </c>
      <c r="L297" s="63">
        <v>2895</v>
      </c>
      <c r="M297" s="63">
        <v>2813</v>
      </c>
      <c r="N297" s="63">
        <v>2848</v>
      </c>
      <c r="O297" s="63">
        <v>2925</v>
      </c>
      <c r="Q297" s="332" t="s">
        <v>647</v>
      </c>
    </row>
    <row r="298" spans="1:17">
      <c r="A298" s="332" t="s">
        <v>5431</v>
      </c>
      <c r="B298" s="121" t="s">
        <v>5932</v>
      </c>
      <c r="C298" s="55" t="s">
        <v>8363</v>
      </c>
      <c r="D298" s="333">
        <v>1477</v>
      </c>
      <c r="E298" s="333">
        <v>1486</v>
      </c>
      <c r="F298" s="333">
        <v>1487</v>
      </c>
      <c r="G298" s="63">
        <v>1473</v>
      </c>
      <c r="H298" s="63">
        <v>1461</v>
      </c>
      <c r="I298" s="63">
        <v>2808</v>
      </c>
      <c r="J298" s="63">
        <v>1488</v>
      </c>
      <c r="K298" s="63">
        <v>1540</v>
      </c>
      <c r="L298" s="63">
        <v>1540</v>
      </c>
      <c r="M298" s="63">
        <v>1519</v>
      </c>
      <c r="N298" s="63">
        <v>1521</v>
      </c>
      <c r="O298" s="63">
        <v>1578</v>
      </c>
      <c r="Q298" s="332" t="s">
        <v>647</v>
      </c>
    </row>
    <row r="299" spans="1:17">
      <c r="A299" s="332" t="s">
        <v>5433</v>
      </c>
      <c r="B299" s="332" t="s">
        <v>6073</v>
      </c>
      <c r="C299" s="55" t="s">
        <v>8364</v>
      </c>
      <c r="D299" s="333">
        <v>2845</v>
      </c>
      <c r="E299" s="333">
        <v>2845</v>
      </c>
      <c r="F299" s="333">
        <v>2880</v>
      </c>
      <c r="G299" s="63">
        <v>2902</v>
      </c>
      <c r="H299" s="63">
        <v>2731</v>
      </c>
      <c r="I299" s="63">
        <v>2805</v>
      </c>
      <c r="J299" s="63">
        <v>2863</v>
      </c>
      <c r="K299" s="63">
        <v>3108</v>
      </c>
      <c r="L299" s="63">
        <v>3135</v>
      </c>
      <c r="M299" s="63">
        <v>3122</v>
      </c>
      <c r="N299" s="63">
        <v>3105</v>
      </c>
      <c r="O299" s="63">
        <v>3197</v>
      </c>
      <c r="Q299" s="332" t="s">
        <v>647</v>
      </c>
    </row>
    <row r="300" spans="1:17" ht="16.5" customHeight="1">
      <c r="A300" s="332" t="s">
        <v>5435</v>
      </c>
      <c r="B300" s="332" t="s">
        <v>1583</v>
      </c>
      <c r="C300" s="55" t="s">
        <v>8365</v>
      </c>
      <c r="D300" s="333">
        <v>4244</v>
      </c>
      <c r="E300" s="333">
        <v>4232</v>
      </c>
      <c r="F300" s="333">
        <v>4282</v>
      </c>
      <c r="G300" s="63">
        <v>4277</v>
      </c>
      <c r="H300" s="63">
        <v>3997</v>
      </c>
      <c r="I300" s="63">
        <v>4082</v>
      </c>
      <c r="J300" s="63">
        <v>4147</v>
      </c>
      <c r="K300" s="63">
        <v>4344</v>
      </c>
      <c r="L300" s="63">
        <v>4358</v>
      </c>
      <c r="M300" s="63">
        <v>4329</v>
      </c>
      <c r="N300" s="63">
        <v>4287</v>
      </c>
      <c r="O300" s="63">
        <v>4382</v>
      </c>
      <c r="Q300" s="332" t="s">
        <v>647</v>
      </c>
    </row>
    <row r="301" spans="1:17">
      <c r="A301" s="332" t="s">
        <v>5436</v>
      </c>
      <c r="B301" s="332" t="s">
        <v>1584</v>
      </c>
      <c r="C301" s="55" t="s">
        <v>8366</v>
      </c>
      <c r="D301" s="333">
        <v>2681</v>
      </c>
      <c r="E301" s="333">
        <v>2659</v>
      </c>
      <c r="F301" s="333">
        <v>2643</v>
      </c>
      <c r="G301" s="63">
        <v>2675</v>
      </c>
      <c r="H301" s="63">
        <v>2600</v>
      </c>
      <c r="I301" s="63">
        <v>2663</v>
      </c>
      <c r="J301" s="63">
        <v>2636</v>
      </c>
      <c r="K301" s="63">
        <v>2695</v>
      </c>
      <c r="L301" s="63">
        <v>2681</v>
      </c>
      <c r="M301" s="63">
        <v>2670</v>
      </c>
      <c r="N301" s="63">
        <v>2741</v>
      </c>
      <c r="O301" s="63">
        <v>2834</v>
      </c>
      <c r="Q301" s="332" t="s">
        <v>647</v>
      </c>
    </row>
    <row r="302" spans="1:17">
      <c r="A302" s="332" t="s">
        <v>5437</v>
      </c>
      <c r="B302" s="332" t="s">
        <v>1585</v>
      </c>
      <c r="C302" s="55" t="s">
        <v>8367</v>
      </c>
      <c r="D302" s="333">
        <v>2920</v>
      </c>
      <c r="E302" s="333">
        <v>2938</v>
      </c>
      <c r="F302" s="333">
        <v>2934</v>
      </c>
      <c r="G302" s="63">
        <v>2981</v>
      </c>
      <c r="H302" s="63">
        <v>2891</v>
      </c>
      <c r="I302" s="63">
        <v>2961</v>
      </c>
      <c r="J302" s="63">
        <v>3078</v>
      </c>
      <c r="K302" s="63">
        <v>3275</v>
      </c>
      <c r="L302" s="63">
        <v>3335</v>
      </c>
      <c r="M302" s="63">
        <v>3316</v>
      </c>
      <c r="N302" s="63">
        <v>3330</v>
      </c>
      <c r="O302" s="63">
        <v>3461</v>
      </c>
      <c r="Q302" s="332" t="s">
        <v>647</v>
      </c>
    </row>
    <row r="303" spans="1:17">
      <c r="A303" s="332" t="s">
        <v>5439</v>
      </c>
      <c r="B303" s="332" t="s">
        <v>1586</v>
      </c>
      <c r="C303" s="55" t="s">
        <v>8368</v>
      </c>
      <c r="D303" s="333">
        <v>2687</v>
      </c>
      <c r="E303" s="333">
        <v>2687</v>
      </c>
      <c r="F303" s="333">
        <v>2702</v>
      </c>
      <c r="G303" s="63">
        <v>2789</v>
      </c>
      <c r="H303" s="63">
        <v>2798</v>
      </c>
      <c r="I303" s="63">
        <v>2875</v>
      </c>
      <c r="J303" s="63">
        <v>2775</v>
      </c>
      <c r="K303" s="63">
        <v>2988</v>
      </c>
      <c r="L303" s="63">
        <v>2949</v>
      </c>
      <c r="M303" s="63">
        <v>2859</v>
      </c>
      <c r="N303" s="63">
        <v>2927</v>
      </c>
      <c r="O303" s="63">
        <v>3093</v>
      </c>
      <c r="Q303" s="332" t="s">
        <v>647</v>
      </c>
    </row>
    <row r="304" spans="1:17">
      <c r="A304" s="332" t="s">
        <v>5441</v>
      </c>
      <c r="B304" s="332" t="s">
        <v>1587</v>
      </c>
      <c r="C304" s="55" t="s">
        <v>8369</v>
      </c>
      <c r="D304" s="333">
        <v>1552</v>
      </c>
      <c r="E304" s="333">
        <v>1532</v>
      </c>
      <c r="F304" s="333">
        <v>1537</v>
      </c>
      <c r="G304" s="63">
        <v>1531</v>
      </c>
      <c r="H304" s="63">
        <v>1452</v>
      </c>
      <c r="I304" s="63">
        <v>1445</v>
      </c>
      <c r="J304" s="63">
        <v>1437</v>
      </c>
      <c r="K304" s="63">
        <v>1488</v>
      </c>
      <c r="L304" s="63">
        <v>1463</v>
      </c>
      <c r="M304" s="63">
        <v>1464</v>
      </c>
      <c r="N304" s="63">
        <v>1508</v>
      </c>
      <c r="O304" s="63">
        <v>1569</v>
      </c>
      <c r="Q304" s="332" t="s">
        <v>647</v>
      </c>
    </row>
    <row r="305" spans="1:17">
      <c r="D305" s="334"/>
      <c r="E305" s="334"/>
      <c r="F305" s="334"/>
      <c r="G305" s="334"/>
      <c r="H305" s="334"/>
      <c r="I305" s="334"/>
      <c r="J305" s="334"/>
      <c r="K305" s="334"/>
      <c r="L305" s="334"/>
      <c r="M305" s="334"/>
      <c r="N305" s="334"/>
      <c r="O305" s="334"/>
    </row>
    <row r="306" spans="1:17">
      <c r="A306" s="332" t="s">
        <v>2169</v>
      </c>
      <c r="D306" s="333">
        <f t="shared" ref="D306:I306" si="128">SUM(D285:D304)</f>
        <v>61007</v>
      </c>
      <c r="E306" s="333">
        <f t="shared" si="128"/>
        <v>61056</v>
      </c>
      <c r="F306" s="333">
        <f t="shared" si="128"/>
        <v>61146</v>
      </c>
      <c r="G306" s="333">
        <f t="shared" si="128"/>
        <v>61590</v>
      </c>
      <c r="H306" s="333">
        <f t="shared" si="128"/>
        <v>59190</v>
      </c>
      <c r="I306" s="333">
        <f t="shared" si="128"/>
        <v>60213</v>
      </c>
      <c r="J306" s="333">
        <f t="shared" ref="J306:O306" si="129">SUM(J285:J304)</f>
        <v>60505</v>
      </c>
      <c r="K306" s="333">
        <f t="shared" si="129"/>
        <v>63409</v>
      </c>
      <c r="L306" s="333">
        <f t="shared" si="129"/>
        <v>63562</v>
      </c>
      <c r="M306" s="333">
        <f t="shared" si="129"/>
        <v>62837</v>
      </c>
      <c r="N306" s="333">
        <f t="shared" si="129"/>
        <v>63265</v>
      </c>
      <c r="O306" s="333">
        <f t="shared" si="129"/>
        <v>65319</v>
      </c>
    </row>
    <row r="307" spans="1:17">
      <c r="A307" s="332"/>
      <c r="B307" s="332"/>
      <c r="D307" s="341"/>
      <c r="E307" s="341"/>
      <c r="F307" s="341"/>
      <c r="G307" s="341"/>
      <c r="H307" s="341"/>
      <c r="I307" s="341"/>
      <c r="J307" s="341"/>
      <c r="K307" s="341"/>
      <c r="L307" s="341"/>
      <c r="M307" s="341"/>
      <c r="N307" s="341"/>
      <c r="O307" s="341"/>
    </row>
    <row r="308" spans="1:17">
      <c r="A308" s="332" t="s">
        <v>808</v>
      </c>
      <c r="B308" s="332"/>
      <c r="D308" s="341"/>
      <c r="E308" s="341"/>
      <c r="F308" s="341"/>
      <c r="G308" s="341"/>
      <c r="H308" s="341"/>
      <c r="I308" s="341"/>
      <c r="J308" s="341"/>
      <c r="K308" s="341"/>
      <c r="L308" s="341"/>
      <c r="M308" s="341"/>
      <c r="N308" s="341"/>
      <c r="O308" s="341"/>
    </row>
    <row r="309" spans="1:17">
      <c r="A309" s="332" t="s">
        <v>809</v>
      </c>
      <c r="B309" s="332"/>
      <c r="D309" s="341"/>
      <c r="E309" s="341"/>
      <c r="F309" s="341"/>
      <c r="G309" s="341"/>
      <c r="H309" s="341"/>
      <c r="I309" s="341"/>
      <c r="J309" s="341"/>
      <c r="K309" s="341"/>
      <c r="L309" s="341"/>
      <c r="M309" s="341"/>
      <c r="N309" s="341"/>
      <c r="O309" s="341"/>
    </row>
    <row r="310" spans="1:17">
      <c r="A310" s="332"/>
      <c r="B310" s="332"/>
      <c r="C310" s="332"/>
      <c r="D310" s="341"/>
      <c r="E310" s="341"/>
      <c r="F310" s="341"/>
      <c r="G310" s="341"/>
      <c r="H310" s="341"/>
      <c r="I310" s="341"/>
      <c r="J310" s="341"/>
      <c r="K310" s="341"/>
      <c r="L310" s="341"/>
      <c r="M310" s="341"/>
      <c r="N310" s="341"/>
      <c r="O310" s="341"/>
    </row>
    <row r="311" spans="1:17">
      <c r="A311" s="332"/>
      <c r="B311" s="332"/>
      <c r="C311" s="332"/>
      <c r="D311" s="341"/>
      <c r="E311" s="341"/>
      <c r="F311" s="341"/>
      <c r="G311" s="341"/>
      <c r="H311" s="341"/>
      <c r="I311" s="341"/>
      <c r="J311" s="341"/>
      <c r="K311" s="341"/>
      <c r="L311" s="341"/>
      <c r="M311" s="341"/>
      <c r="N311" s="341"/>
      <c r="O311" s="341"/>
    </row>
    <row r="312" spans="1:17">
      <c r="E312" s="51" t="s">
        <v>1526</v>
      </c>
      <c r="F312" s="51"/>
      <c r="G312" s="51"/>
      <c r="H312" s="51"/>
      <c r="I312" s="51"/>
      <c r="J312" s="51"/>
      <c r="K312" s="51"/>
      <c r="L312" s="51"/>
      <c r="M312" s="51"/>
      <c r="N312" s="51"/>
      <c r="O312" s="51"/>
      <c r="P312" s="11"/>
      <c r="Q312" s="11" t="s">
        <v>9479</v>
      </c>
    </row>
    <row r="313" spans="1:17">
      <c r="D313" s="270">
        <v>2010</v>
      </c>
      <c r="E313" s="270">
        <v>2011</v>
      </c>
      <c r="F313" s="270">
        <v>2012</v>
      </c>
      <c r="G313" s="270">
        <v>2013</v>
      </c>
      <c r="H313" s="270">
        <v>2014</v>
      </c>
      <c r="I313" s="270">
        <v>2015</v>
      </c>
      <c r="J313" s="270">
        <v>2016</v>
      </c>
      <c r="K313" s="270">
        <v>2017</v>
      </c>
      <c r="L313" s="270">
        <v>2018</v>
      </c>
      <c r="M313" s="270">
        <v>2019</v>
      </c>
      <c r="N313" s="270">
        <v>2020</v>
      </c>
      <c r="O313" s="937" t="s">
        <v>14823</v>
      </c>
      <c r="Q313" s="13" t="s">
        <v>1527</v>
      </c>
    </row>
    <row r="314" spans="1:17">
      <c r="A314" s="332" t="s">
        <v>810</v>
      </c>
      <c r="C314" s="332"/>
      <c r="D314" s="333">
        <f t="shared" ref="D314:I314" si="130">SUM(D315:D343)</f>
        <v>90872</v>
      </c>
      <c r="E314" s="333">
        <f t="shared" si="130"/>
        <v>90491</v>
      </c>
      <c r="F314" s="333">
        <f t="shared" si="130"/>
        <v>91140</v>
      </c>
      <c r="G314" s="333">
        <f t="shared" si="130"/>
        <v>91916</v>
      </c>
      <c r="H314" s="333">
        <f t="shared" si="130"/>
        <v>92504</v>
      </c>
      <c r="I314" s="333">
        <f t="shared" si="130"/>
        <v>90183</v>
      </c>
      <c r="J314" s="333">
        <f t="shared" ref="J314:O314" si="131">SUM(J315:J343)</f>
        <v>88240</v>
      </c>
      <c r="K314" s="333">
        <f t="shared" si="131"/>
        <v>91510</v>
      </c>
      <c r="L314" s="333">
        <f t="shared" si="131"/>
        <v>91395</v>
      </c>
      <c r="M314" s="333">
        <f t="shared" si="131"/>
        <v>90378</v>
      </c>
      <c r="N314" s="333">
        <f t="shared" si="131"/>
        <v>92000</v>
      </c>
      <c r="O314" s="333">
        <f t="shared" si="131"/>
        <v>93855</v>
      </c>
    </row>
    <row r="315" spans="1:17">
      <c r="A315" s="332" t="s">
        <v>5387</v>
      </c>
      <c r="B315" s="332" t="s">
        <v>811</v>
      </c>
      <c r="C315" s="55" t="s">
        <v>8372</v>
      </c>
      <c r="D315" s="333">
        <v>1519</v>
      </c>
      <c r="E315" s="333">
        <v>1495</v>
      </c>
      <c r="F315" s="333">
        <v>1536</v>
      </c>
      <c r="G315" s="56">
        <v>1561</v>
      </c>
      <c r="H315" s="56">
        <v>1584</v>
      </c>
      <c r="I315" s="56">
        <v>1521</v>
      </c>
      <c r="J315" s="56">
        <v>1494</v>
      </c>
      <c r="K315" s="56">
        <v>1509</v>
      </c>
      <c r="L315" s="56">
        <v>1511</v>
      </c>
      <c r="M315" s="56">
        <v>1455</v>
      </c>
      <c r="N315" s="56">
        <v>1487</v>
      </c>
      <c r="O315" s="56">
        <v>1519</v>
      </c>
      <c r="Q315" s="332" t="s">
        <v>653</v>
      </c>
    </row>
    <row r="316" spans="1:17">
      <c r="A316" s="332" t="s">
        <v>5389</v>
      </c>
      <c r="B316" s="332" t="s">
        <v>3616</v>
      </c>
      <c r="C316" s="55" t="s">
        <v>8373</v>
      </c>
      <c r="D316" s="333">
        <v>1456</v>
      </c>
      <c r="E316" s="333">
        <v>1457</v>
      </c>
      <c r="F316" s="333">
        <v>1467</v>
      </c>
      <c r="G316" s="56">
        <v>1478</v>
      </c>
      <c r="H316" s="56">
        <v>1487</v>
      </c>
      <c r="I316" s="56">
        <v>1457</v>
      </c>
      <c r="J316" s="56">
        <v>1420</v>
      </c>
      <c r="K316" s="56">
        <v>1483</v>
      </c>
      <c r="L316" s="56">
        <v>1500</v>
      </c>
      <c r="M316" s="56">
        <v>1488</v>
      </c>
      <c r="N316" s="56">
        <v>1470</v>
      </c>
      <c r="O316" s="56">
        <v>1477</v>
      </c>
      <c r="Q316" s="332" t="s">
        <v>653</v>
      </c>
    </row>
    <row r="317" spans="1:17">
      <c r="A317" s="332" t="s">
        <v>5391</v>
      </c>
      <c r="B317" s="332" t="s">
        <v>3617</v>
      </c>
      <c r="C317" s="55" t="s">
        <v>8374</v>
      </c>
      <c r="D317" s="338">
        <v>3448</v>
      </c>
      <c r="E317" s="338">
        <v>3439</v>
      </c>
      <c r="F317" s="338">
        <v>3403</v>
      </c>
      <c r="G317" s="56">
        <v>3441</v>
      </c>
      <c r="H317" s="56">
        <v>3502</v>
      </c>
      <c r="I317" s="56">
        <v>3401</v>
      </c>
      <c r="J317" s="56">
        <v>3333</v>
      </c>
      <c r="K317" s="56">
        <v>3519</v>
      </c>
      <c r="L317" s="56">
        <v>3575</v>
      </c>
      <c r="M317" s="56">
        <v>3524</v>
      </c>
      <c r="N317" s="56">
        <v>3568</v>
      </c>
      <c r="O317" s="56">
        <v>3640</v>
      </c>
      <c r="Q317" s="332" t="s">
        <v>659</v>
      </c>
    </row>
    <row r="318" spans="1:17">
      <c r="A318" s="332" t="s">
        <v>5393</v>
      </c>
      <c r="B318" s="332" t="s">
        <v>3618</v>
      </c>
      <c r="C318" s="55" t="s">
        <v>8375</v>
      </c>
      <c r="D318" s="333">
        <v>2965</v>
      </c>
      <c r="E318" s="333">
        <v>2998</v>
      </c>
      <c r="F318" s="333">
        <v>2964</v>
      </c>
      <c r="G318" s="56">
        <v>3027</v>
      </c>
      <c r="H318" s="56">
        <v>3010</v>
      </c>
      <c r="I318" s="56">
        <v>2973</v>
      </c>
      <c r="J318" s="56">
        <v>2929</v>
      </c>
      <c r="K318" s="56">
        <v>2993</v>
      </c>
      <c r="L318" s="56">
        <v>3007</v>
      </c>
      <c r="M318" s="56">
        <v>2998</v>
      </c>
      <c r="N318" s="56">
        <v>3051</v>
      </c>
      <c r="O318" s="56">
        <v>3097</v>
      </c>
      <c r="Q318" s="332" t="s">
        <v>659</v>
      </c>
    </row>
    <row r="319" spans="1:17">
      <c r="A319" s="332" t="s">
        <v>5394</v>
      </c>
      <c r="B319" s="121" t="s">
        <v>3619</v>
      </c>
      <c r="C319" s="55" t="s">
        <v>8376</v>
      </c>
      <c r="D319" s="333">
        <v>5117</v>
      </c>
      <c r="E319" s="333">
        <v>5054</v>
      </c>
      <c r="F319" s="333">
        <v>5034</v>
      </c>
      <c r="G319" s="56">
        <v>5061</v>
      </c>
      <c r="H319" s="56">
        <v>5104</v>
      </c>
      <c r="I319" s="56">
        <v>5001</v>
      </c>
      <c r="J319" s="56">
        <v>4946</v>
      </c>
      <c r="K319" s="56">
        <v>5120</v>
      </c>
      <c r="L319" s="56">
        <v>5048</v>
      </c>
      <c r="M319" s="56">
        <v>5083</v>
      </c>
      <c r="N319" s="56">
        <v>5124</v>
      </c>
      <c r="O319" s="56">
        <v>5204</v>
      </c>
      <c r="Q319" s="121" t="s">
        <v>653</v>
      </c>
    </row>
    <row r="320" spans="1:17">
      <c r="A320" s="332" t="s">
        <v>5416</v>
      </c>
      <c r="B320" s="332" t="s">
        <v>3620</v>
      </c>
      <c r="C320" s="55" t="s">
        <v>8377</v>
      </c>
      <c r="D320" s="333">
        <v>3102</v>
      </c>
      <c r="E320" s="333">
        <v>3076</v>
      </c>
      <c r="F320" s="333">
        <v>3098</v>
      </c>
      <c r="G320" s="56">
        <v>3182</v>
      </c>
      <c r="H320" s="56">
        <v>3228</v>
      </c>
      <c r="I320" s="56">
        <v>3071</v>
      </c>
      <c r="J320" s="56">
        <v>2994</v>
      </c>
      <c r="K320" s="56">
        <v>3033</v>
      </c>
      <c r="L320" s="56">
        <v>3032</v>
      </c>
      <c r="M320" s="56">
        <v>3046</v>
      </c>
      <c r="N320" s="56">
        <v>3169</v>
      </c>
      <c r="O320" s="56">
        <v>3280</v>
      </c>
      <c r="Q320" s="332" t="s">
        <v>653</v>
      </c>
    </row>
    <row r="321" spans="1:17">
      <c r="A321" s="332" t="s">
        <v>5418</v>
      </c>
      <c r="B321" s="332" t="s">
        <v>3638</v>
      </c>
      <c r="C321" s="55" t="s">
        <v>8378</v>
      </c>
      <c r="D321" s="333">
        <v>3011</v>
      </c>
      <c r="E321" s="333">
        <v>2980</v>
      </c>
      <c r="F321" s="333">
        <v>3035</v>
      </c>
      <c r="G321" s="56">
        <v>3078</v>
      </c>
      <c r="H321" s="56">
        <v>3108</v>
      </c>
      <c r="I321" s="56">
        <v>3078</v>
      </c>
      <c r="J321" s="56">
        <v>3002</v>
      </c>
      <c r="K321" s="56">
        <v>3098</v>
      </c>
      <c r="L321" s="56">
        <v>3081</v>
      </c>
      <c r="M321" s="56">
        <v>3023</v>
      </c>
      <c r="N321" s="56">
        <v>3059</v>
      </c>
      <c r="O321" s="56">
        <v>3068</v>
      </c>
      <c r="Q321" s="332" t="s">
        <v>659</v>
      </c>
    </row>
    <row r="322" spans="1:17">
      <c r="A322" s="332" t="s">
        <v>5420</v>
      </c>
      <c r="B322" s="332" t="s">
        <v>3639</v>
      </c>
      <c r="C322" s="55" t="s">
        <v>8379</v>
      </c>
      <c r="D322" s="333">
        <v>1615</v>
      </c>
      <c r="E322" s="333">
        <v>1569</v>
      </c>
      <c r="F322" s="333">
        <v>1581</v>
      </c>
      <c r="G322" s="56">
        <v>1592</v>
      </c>
      <c r="H322" s="56">
        <v>1607</v>
      </c>
      <c r="I322" s="56">
        <v>1565</v>
      </c>
      <c r="J322" s="56">
        <v>1575</v>
      </c>
      <c r="K322" s="56">
        <v>1661</v>
      </c>
      <c r="L322" s="56">
        <v>1648</v>
      </c>
      <c r="M322" s="56">
        <v>1613</v>
      </c>
      <c r="N322" s="56">
        <v>1605</v>
      </c>
      <c r="O322" s="56">
        <v>1650</v>
      </c>
      <c r="Q322" s="332" t="s">
        <v>653</v>
      </c>
    </row>
    <row r="323" spans="1:17">
      <c r="A323" s="332" t="s">
        <v>5422</v>
      </c>
      <c r="B323" s="332" t="s">
        <v>3640</v>
      </c>
      <c r="C323" s="55" t="s">
        <v>8380</v>
      </c>
      <c r="D323" s="333">
        <v>3126</v>
      </c>
      <c r="E323" s="333">
        <v>3079</v>
      </c>
      <c r="F323" s="333">
        <v>3117</v>
      </c>
      <c r="G323" s="56">
        <v>3157</v>
      </c>
      <c r="H323" s="56">
        <v>3224</v>
      </c>
      <c r="I323" s="56">
        <v>3212</v>
      </c>
      <c r="J323" s="56">
        <v>3103</v>
      </c>
      <c r="K323" s="56">
        <v>3178</v>
      </c>
      <c r="L323" s="56">
        <v>3194</v>
      </c>
      <c r="M323" s="56">
        <v>3120</v>
      </c>
      <c r="N323" s="56">
        <v>3232</v>
      </c>
      <c r="O323" s="56">
        <v>3300</v>
      </c>
      <c r="Q323" s="332" t="s">
        <v>659</v>
      </c>
    </row>
    <row r="324" spans="1:17">
      <c r="A324" s="332" t="s">
        <v>5424</v>
      </c>
      <c r="B324" s="332" t="s">
        <v>2246</v>
      </c>
      <c r="C324" s="55" t="s">
        <v>8381</v>
      </c>
      <c r="D324" s="333">
        <v>3302</v>
      </c>
      <c r="E324" s="333">
        <v>3262</v>
      </c>
      <c r="F324" s="333">
        <v>3319</v>
      </c>
      <c r="G324" s="56">
        <v>3257</v>
      </c>
      <c r="H324" s="56">
        <v>3048</v>
      </c>
      <c r="I324" s="56">
        <v>2950</v>
      </c>
      <c r="J324" s="56">
        <v>2939</v>
      </c>
      <c r="K324" s="56">
        <v>3097</v>
      </c>
      <c r="L324" s="56">
        <v>3141</v>
      </c>
      <c r="M324" s="56">
        <v>3071</v>
      </c>
      <c r="N324" s="56">
        <v>3170</v>
      </c>
      <c r="O324" s="56">
        <v>3352</v>
      </c>
      <c r="Q324" s="332" t="s">
        <v>659</v>
      </c>
    </row>
    <row r="325" spans="1:17">
      <c r="A325" s="332" t="s">
        <v>5426</v>
      </c>
      <c r="B325" s="332" t="s">
        <v>2247</v>
      </c>
      <c r="C325" s="55" t="s">
        <v>8382</v>
      </c>
      <c r="D325" s="333">
        <v>3174</v>
      </c>
      <c r="E325" s="333">
        <v>3145</v>
      </c>
      <c r="F325" s="333">
        <v>3111</v>
      </c>
      <c r="G325" s="56">
        <v>3209</v>
      </c>
      <c r="H325" s="56">
        <v>3257</v>
      </c>
      <c r="I325" s="56">
        <v>3140</v>
      </c>
      <c r="J325" s="56">
        <v>3036</v>
      </c>
      <c r="K325" s="56">
        <v>3155</v>
      </c>
      <c r="L325" s="56">
        <v>3148</v>
      </c>
      <c r="M325" s="56">
        <v>3137</v>
      </c>
      <c r="N325" s="56">
        <v>3218</v>
      </c>
      <c r="O325" s="56">
        <v>3251</v>
      </c>
      <c r="Q325" s="332" t="s">
        <v>659</v>
      </c>
    </row>
    <row r="326" spans="1:17">
      <c r="A326" s="332" t="s">
        <v>5428</v>
      </c>
      <c r="B326" s="332" t="s">
        <v>2248</v>
      </c>
      <c r="C326" s="55" t="s">
        <v>8383</v>
      </c>
      <c r="D326" s="333">
        <v>3264</v>
      </c>
      <c r="E326" s="333">
        <v>3280</v>
      </c>
      <c r="F326" s="333">
        <v>3329</v>
      </c>
      <c r="G326" s="56">
        <v>3328</v>
      </c>
      <c r="H326" s="56">
        <v>3326</v>
      </c>
      <c r="I326" s="56">
        <v>3255</v>
      </c>
      <c r="J326" s="56">
        <v>3165</v>
      </c>
      <c r="K326" s="56">
        <v>3299</v>
      </c>
      <c r="L326" s="56">
        <v>3324</v>
      </c>
      <c r="M326" s="56">
        <v>3243</v>
      </c>
      <c r="N326" s="56">
        <v>3295</v>
      </c>
      <c r="O326" s="56">
        <v>3368</v>
      </c>
      <c r="Q326" s="332" t="s">
        <v>659</v>
      </c>
    </row>
    <row r="327" spans="1:17">
      <c r="A327" s="332" t="s">
        <v>5429</v>
      </c>
      <c r="B327" s="332" t="s">
        <v>2249</v>
      </c>
      <c r="C327" s="55" t="s">
        <v>8384</v>
      </c>
      <c r="D327" s="333">
        <v>3469</v>
      </c>
      <c r="E327" s="333">
        <v>3549</v>
      </c>
      <c r="F327" s="333">
        <v>3632</v>
      </c>
      <c r="G327" s="56">
        <v>3597</v>
      </c>
      <c r="H327" s="56">
        <v>3717</v>
      </c>
      <c r="I327" s="56">
        <v>3549</v>
      </c>
      <c r="J327" s="56">
        <v>3505</v>
      </c>
      <c r="K327" s="56">
        <v>3677</v>
      </c>
      <c r="L327" s="56">
        <v>3628</v>
      </c>
      <c r="M327" s="56">
        <v>3540</v>
      </c>
      <c r="N327" s="56">
        <v>3755</v>
      </c>
      <c r="O327" s="56">
        <v>3862</v>
      </c>
      <c r="Q327" s="332" t="s">
        <v>659</v>
      </c>
    </row>
    <row r="328" spans="1:17">
      <c r="A328" s="332" t="s">
        <v>5431</v>
      </c>
      <c r="B328" s="332" t="s">
        <v>2250</v>
      </c>
      <c r="C328" s="55" t="s">
        <v>8385</v>
      </c>
      <c r="D328" s="333">
        <v>3066</v>
      </c>
      <c r="E328" s="333">
        <v>3094</v>
      </c>
      <c r="F328" s="333">
        <v>3125</v>
      </c>
      <c r="G328" s="56">
        <v>3159</v>
      </c>
      <c r="H328" s="56">
        <v>3192</v>
      </c>
      <c r="I328" s="56">
        <v>3106</v>
      </c>
      <c r="J328" s="56">
        <v>3107</v>
      </c>
      <c r="K328" s="56">
        <v>3200</v>
      </c>
      <c r="L328" s="56">
        <v>3206</v>
      </c>
      <c r="M328" s="56">
        <v>3195</v>
      </c>
      <c r="N328" s="56">
        <v>3248</v>
      </c>
      <c r="O328" s="56">
        <v>3263</v>
      </c>
      <c r="Q328" s="332" t="s">
        <v>659</v>
      </c>
    </row>
    <row r="329" spans="1:17">
      <c r="A329" s="332" t="s">
        <v>5433</v>
      </c>
      <c r="B329" s="332" t="s">
        <v>2251</v>
      </c>
      <c r="C329" s="55" t="s">
        <v>8386</v>
      </c>
      <c r="D329" s="333">
        <v>3158</v>
      </c>
      <c r="E329" s="333">
        <v>3125</v>
      </c>
      <c r="F329" s="333">
        <v>3145</v>
      </c>
      <c r="G329" s="58">
        <v>3188</v>
      </c>
      <c r="H329" s="58">
        <v>3258</v>
      </c>
      <c r="I329" s="58">
        <v>3179</v>
      </c>
      <c r="J329" s="58">
        <v>3052</v>
      </c>
      <c r="K329" s="58">
        <v>3137</v>
      </c>
      <c r="L329" s="58">
        <v>3139</v>
      </c>
      <c r="M329" s="58">
        <v>3138</v>
      </c>
      <c r="N329" s="58">
        <v>3145</v>
      </c>
      <c r="O329" s="58">
        <v>3220</v>
      </c>
      <c r="Q329" s="332" t="s">
        <v>659</v>
      </c>
    </row>
    <row r="330" spans="1:17">
      <c r="A330" s="332" t="s">
        <v>5435</v>
      </c>
      <c r="B330" s="332" t="s">
        <v>2252</v>
      </c>
      <c r="C330" s="55" t="s">
        <v>8387</v>
      </c>
      <c r="D330" s="333">
        <v>3351</v>
      </c>
      <c r="E330" s="333">
        <v>3340</v>
      </c>
      <c r="F330" s="333">
        <v>3370</v>
      </c>
      <c r="G330" s="58">
        <v>3372</v>
      </c>
      <c r="H330" s="58">
        <v>3406</v>
      </c>
      <c r="I330" s="58">
        <v>3371</v>
      </c>
      <c r="J330" s="58">
        <v>3242</v>
      </c>
      <c r="K330" s="58">
        <v>3363</v>
      </c>
      <c r="L330" s="58">
        <v>3392</v>
      </c>
      <c r="M330" s="58">
        <v>3371</v>
      </c>
      <c r="N330" s="58">
        <v>3413</v>
      </c>
      <c r="O330" s="58">
        <v>3497</v>
      </c>
      <c r="Q330" s="332" t="s">
        <v>659</v>
      </c>
    </row>
    <row r="331" spans="1:17">
      <c r="A331" s="332" t="s">
        <v>5436</v>
      </c>
      <c r="B331" s="332" t="s">
        <v>2253</v>
      </c>
      <c r="C331" s="55" t="s">
        <v>8388</v>
      </c>
      <c r="D331" s="333">
        <v>3315</v>
      </c>
      <c r="E331" s="333">
        <v>3272</v>
      </c>
      <c r="F331" s="333">
        <v>3336</v>
      </c>
      <c r="G331" s="58">
        <v>3375</v>
      </c>
      <c r="H331" s="58">
        <v>3433</v>
      </c>
      <c r="I331" s="58">
        <v>3364</v>
      </c>
      <c r="J331" s="58">
        <v>3271</v>
      </c>
      <c r="K331" s="58">
        <v>3345</v>
      </c>
      <c r="L331" s="58">
        <v>3340</v>
      </c>
      <c r="M331" s="58">
        <v>3326</v>
      </c>
      <c r="N331" s="58">
        <v>3409</v>
      </c>
      <c r="O331" s="58">
        <v>3492</v>
      </c>
      <c r="Q331" s="332" t="s">
        <v>659</v>
      </c>
    </row>
    <row r="332" spans="1:17">
      <c r="A332" s="332" t="s">
        <v>5437</v>
      </c>
      <c r="B332" s="332" t="s">
        <v>903</v>
      </c>
      <c r="C332" s="55" t="s">
        <v>8389</v>
      </c>
      <c r="D332" s="333">
        <v>3114</v>
      </c>
      <c r="E332" s="333">
        <v>3119</v>
      </c>
      <c r="F332" s="333">
        <v>3173</v>
      </c>
      <c r="G332" s="58">
        <v>3215</v>
      </c>
      <c r="H332" s="58">
        <v>3231</v>
      </c>
      <c r="I332" s="58">
        <v>3175</v>
      </c>
      <c r="J332" s="58">
        <v>3045</v>
      </c>
      <c r="K332" s="58">
        <v>3127</v>
      </c>
      <c r="L332" s="58">
        <v>3103</v>
      </c>
      <c r="M332" s="58">
        <v>3041</v>
      </c>
      <c r="N332" s="58">
        <v>3077</v>
      </c>
      <c r="O332" s="58">
        <v>3193</v>
      </c>
      <c r="Q332" s="332" t="s">
        <v>659</v>
      </c>
    </row>
    <row r="333" spans="1:17">
      <c r="A333" s="332" t="s">
        <v>5439</v>
      </c>
      <c r="B333" s="332" t="s">
        <v>904</v>
      </c>
      <c r="C333" s="55" t="s">
        <v>8390</v>
      </c>
      <c r="D333" s="333">
        <v>3172</v>
      </c>
      <c r="E333" s="333">
        <v>3152</v>
      </c>
      <c r="F333" s="333">
        <v>3144</v>
      </c>
      <c r="G333" s="58">
        <v>3123</v>
      </c>
      <c r="H333" s="58">
        <v>3123</v>
      </c>
      <c r="I333" s="58">
        <v>3053</v>
      </c>
      <c r="J333" s="58">
        <v>3001</v>
      </c>
      <c r="K333" s="58">
        <v>3075</v>
      </c>
      <c r="L333" s="58">
        <v>3019</v>
      </c>
      <c r="M333" s="58">
        <v>3015</v>
      </c>
      <c r="N333" s="58">
        <v>3046</v>
      </c>
      <c r="O333" s="58">
        <v>3084</v>
      </c>
      <c r="Q333" s="332" t="s">
        <v>659</v>
      </c>
    </row>
    <row r="334" spans="1:17">
      <c r="A334" s="332" t="s">
        <v>5441</v>
      </c>
      <c r="B334" s="332" t="s">
        <v>905</v>
      </c>
      <c r="C334" s="55" t="s">
        <v>8391</v>
      </c>
      <c r="D334" s="333">
        <v>3343</v>
      </c>
      <c r="E334" s="333">
        <v>3400</v>
      </c>
      <c r="F334" s="333">
        <v>3443</v>
      </c>
      <c r="G334" s="58">
        <v>3456</v>
      </c>
      <c r="H334" s="58">
        <v>3484</v>
      </c>
      <c r="I334" s="58">
        <v>3337</v>
      </c>
      <c r="J334" s="58">
        <v>3219</v>
      </c>
      <c r="K334" s="58">
        <v>3373</v>
      </c>
      <c r="L334" s="58">
        <v>3501</v>
      </c>
      <c r="M334" s="58">
        <v>3522</v>
      </c>
      <c r="N334" s="58">
        <v>3613</v>
      </c>
      <c r="O334" s="58">
        <v>3683</v>
      </c>
      <c r="Q334" s="332" t="s">
        <v>659</v>
      </c>
    </row>
    <row r="335" spans="1:17">
      <c r="A335" s="332" t="s">
        <v>5886</v>
      </c>
      <c r="B335" s="332" t="s">
        <v>906</v>
      </c>
      <c r="C335" s="55" t="s">
        <v>8392</v>
      </c>
      <c r="D335" s="333">
        <v>2756</v>
      </c>
      <c r="E335" s="333">
        <v>2719</v>
      </c>
      <c r="F335" s="333">
        <v>2737</v>
      </c>
      <c r="G335" s="58">
        <v>2759</v>
      </c>
      <c r="H335" s="58">
        <v>2819</v>
      </c>
      <c r="I335" s="58">
        <v>2741</v>
      </c>
      <c r="J335" s="58">
        <v>2642</v>
      </c>
      <c r="K335" s="58">
        <v>2737</v>
      </c>
      <c r="L335" s="58">
        <v>2703</v>
      </c>
      <c r="M335" s="58">
        <v>2637</v>
      </c>
      <c r="N335" s="58">
        <v>2680</v>
      </c>
      <c r="O335" s="58">
        <v>2777</v>
      </c>
      <c r="Q335" s="332" t="s">
        <v>659</v>
      </c>
    </row>
    <row r="336" spans="1:17">
      <c r="A336" s="332" t="s">
        <v>5888</v>
      </c>
      <c r="B336" s="332" t="s">
        <v>907</v>
      </c>
      <c r="C336" s="55" t="s">
        <v>8393</v>
      </c>
      <c r="D336" s="333">
        <v>3461</v>
      </c>
      <c r="E336" s="333">
        <v>3489</v>
      </c>
      <c r="F336" s="333">
        <v>3456</v>
      </c>
      <c r="G336" s="58">
        <v>3521</v>
      </c>
      <c r="H336" s="58">
        <v>3552</v>
      </c>
      <c r="I336" s="58">
        <v>3467</v>
      </c>
      <c r="J336" s="58">
        <v>3497</v>
      </c>
      <c r="K336" s="58">
        <v>3666</v>
      </c>
      <c r="L336" s="58">
        <v>3566</v>
      </c>
      <c r="M336" s="58">
        <v>3523</v>
      </c>
      <c r="N336" s="58">
        <v>3557</v>
      </c>
      <c r="O336" s="58">
        <v>3629</v>
      </c>
      <c r="Q336" s="332" t="s">
        <v>659</v>
      </c>
    </row>
    <row r="337" spans="1:17">
      <c r="A337" s="332" t="s">
        <v>5889</v>
      </c>
      <c r="B337" s="332" t="s">
        <v>908</v>
      </c>
      <c r="C337" s="55" t="s">
        <v>8394</v>
      </c>
      <c r="D337" s="333">
        <v>3307</v>
      </c>
      <c r="E337" s="333">
        <v>3257</v>
      </c>
      <c r="F337" s="333">
        <v>3266</v>
      </c>
      <c r="G337" s="58">
        <v>3323</v>
      </c>
      <c r="H337" s="58">
        <v>3291</v>
      </c>
      <c r="I337" s="58">
        <v>3241</v>
      </c>
      <c r="J337" s="58">
        <v>3196</v>
      </c>
      <c r="K337" s="58">
        <v>3315</v>
      </c>
      <c r="L337" s="58">
        <v>3335</v>
      </c>
      <c r="M337" s="58">
        <v>3297</v>
      </c>
      <c r="N337" s="58">
        <v>3303</v>
      </c>
      <c r="O337" s="58">
        <v>3328</v>
      </c>
      <c r="Q337" s="332" t="s">
        <v>659</v>
      </c>
    </row>
    <row r="338" spans="1:17">
      <c r="A338" s="332" t="s">
        <v>4431</v>
      </c>
      <c r="B338" s="332" t="s">
        <v>5117</v>
      </c>
      <c r="C338" s="55" t="s">
        <v>8395</v>
      </c>
      <c r="D338" s="333">
        <v>4439</v>
      </c>
      <c r="E338" s="333">
        <v>4396</v>
      </c>
      <c r="F338" s="333">
        <v>4509</v>
      </c>
      <c r="G338" s="58">
        <v>4558</v>
      </c>
      <c r="H338" s="58">
        <v>4596</v>
      </c>
      <c r="I338" s="58">
        <v>4396</v>
      </c>
      <c r="J338" s="58">
        <v>4313</v>
      </c>
      <c r="K338" s="58">
        <v>4466</v>
      </c>
      <c r="L338" s="58">
        <v>4421</v>
      </c>
      <c r="M338" s="58">
        <v>4284</v>
      </c>
      <c r="N338" s="58">
        <v>4402</v>
      </c>
      <c r="O338" s="58">
        <v>4480</v>
      </c>
      <c r="Q338" s="332" t="s">
        <v>659</v>
      </c>
    </row>
    <row r="339" spans="1:17">
      <c r="A339" s="332" t="s">
        <v>4432</v>
      </c>
      <c r="B339" s="332" t="s">
        <v>5118</v>
      </c>
      <c r="C339" s="55" t="s">
        <v>8396</v>
      </c>
      <c r="D339" s="334">
        <v>4984</v>
      </c>
      <c r="E339" s="334">
        <v>5040</v>
      </c>
      <c r="F339" s="334">
        <v>5050</v>
      </c>
      <c r="G339" s="58">
        <v>5046</v>
      </c>
      <c r="H339" s="58">
        <v>5043</v>
      </c>
      <c r="I339" s="58">
        <v>4938</v>
      </c>
      <c r="J339" s="58">
        <v>4897</v>
      </c>
      <c r="K339" s="58">
        <v>5149</v>
      </c>
      <c r="L339" s="58">
        <v>5103</v>
      </c>
      <c r="M339" s="58">
        <v>5038</v>
      </c>
      <c r="N339" s="58">
        <v>5140</v>
      </c>
      <c r="O339" s="58">
        <v>5189</v>
      </c>
      <c r="Q339" s="332" t="s">
        <v>659</v>
      </c>
    </row>
    <row r="340" spans="1:17">
      <c r="A340" s="332" t="s">
        <v>4434</v>
      </c>
      <c r="B340" s="332" t="s">
        <v>5119</v>
      </c>
      <c r="C340" s="55" t="s">
        <v>8397</v>
      </c>
      <c r="D340" s="333">
        <v>3275</v>
      </c>
      <c r="E340" s="333">
        <v>3221</v>
      </c>
      <c r="F340" s="333">
        <v>3230</v>
      </c>
      <c r="G340" s="58">
        <v>3278</v>
      </c>
      <c r="H340" s="58">
        <v>3268</v>
      </c>
      <c r="I340" s="58">
        <v>3198</v>
      </c>
      <c r="J340" s="58">
        <v>3108</v>
      </c>
      <c r="K340" s="58">
        <v>3266</v>
      </c>
      <c r="L340" s="58">
        <v>3253</v>
      </c>
      <c r="M340" s="58">
        <v>3204</v>
      </c>
      <c r="N340" s="58">
        <v>3270</v>
      </c>
      <c r="O340" s="58">
        <v>3330</v>
      </c>
      <c r="Q340" s="332" t="s">
        <v>659</v>
      </c>
    </row>
    <row r="341" spans="1:17">
      <c r="A341" s="332" t="s">
        <v>4533</v>
      </c>
      <c r="B341" s="332" t="s">
        <v>1400</v>
      </c>
      <c r="C341" s="55" t="s">
        <v>8398</v>
      </c>
      <c r="D341" s="333">
        <v>3132</v>
      </c>
      <c r="E341" s="333">
        <v>3104</v>
      </c>
      <c r="F341" s="333">
        <v>3156</v>
      </c>
      <c r="G341" s="58">
        <v>3187</v>
      </c>
      <c r="H341" s="58">
        <v>3211</v>
      </c>
      <c r="I341" s="58">
        <v>3142</v>
      </c>
      <c r="J341" s="58">
        <v>3007</v>
      </c>
      <c r="K341" s="58">
        <v>3116</v>
      </c>
      <c r="L341" s="58">
        <v>3139</v>
      </c>
      <c r="M341" s="58">
        <v>3113</v>
      </c>
      <c r="N341" s="58">
        <v>3121</v>
      </c>
      <c r="O341" s="58">
        <v>3150</v>
      </c>
      <c r="Q341" s="332" t="s">
        <v>659</v>
      </c>
    </row>
    <row r="342" spans="1:17">
      <c r="A342" s="332" t="s">
        <v>4535</v>
      </c>
      <c r="B342" s="332" t="s">
        <v>5120</v>
      </c>
      <c r="C342" s="55" t="s">
        <v>8399</v>
      </c>
      <c r="D342" s="333">
        <v>1344</v>
      </c>
      <c r="E342" s="333">
        <v>1345</v>
      </c>
      <c r="F342" s="333">
        <v>1336</v>
      </c>
      <c r="G342" s="56">
        <v>1331</v>
      </c>
      <c r="H342" s="56">
        <v>1356</v>
      </c>
      <c r="I342" s="56">
        <v>1342</v>
      </c>
      <c r="J342" s="56">
        <v>1317</v>
      </c>
      <c r="K342" s="56">
        <v>1353</v>
      </c>
      <c r="L342" s="56">
        <v>1337</v>
      </c>
      <c r="M342" s="56">
        <v>1347</v>
      </c>
      <c r="N342" s="56">
        <v>1396</v>
      </c>
      <c r="O342" s="56">
        <v>1428</v>
      </c>
      <c r="Q342" s="332" t="s">
        <v>653</v>
      </c>
    </row>
    <row r="343" spans="1:17">
      <c r="A343" s="340">
        <v>29</v>
      </c>
      <c r="B343" s="332" t="s">
        <v>5121</v>
      </c>
      <c r="C343" s="55" t="s">
        <v>8400</v>
      </c>
      <c r="D343" s="333">
        <v>3087</v>
      </c>
      <c r="E343" s="333">
        <v>3035</v>
      </c>
      <c r="F343" s="333">
        <v>3038</v>
      </c>
      <c r="G343" s="58">
        <v>3057</v>
      </c>
      <c r="H343" s="58">
        <v>3039</v>
      </c>
      <c r="I343" s="58">
        <v>2960</v>
      </c>
      <c r="J343" s="58">
        <v>2885</v>
      </c>
      <c r="K343" s="58">
        <v>3000</v>
      </c>
      <c r="L343" s="58">
        <v>3001</v>
      </c>
      <c r="M343" s="58">
        <v>2986</v>
      </c>
      <c r="N343" s="58">
        <v>2977</v>
      </c>
      <c r="O343" s="58">
        <v>3044</v>
      </c>
      <c r="Q343" s="332" t="s">
        <v>659</v>
      </c>
    </row>
    <row r="344" spans="1:17">
      <c r="D344" s="334"/>
      <c r="E344" s="334"/>
      <c r="F344" s="334"/>
      <c r="G344" s="334"/>
      <c r="H344" s="334"/>
      <c r="I344" s="334"/>
      <c r="J344" s="334"/>
      <c r="K344" s="334"/>
      <c r="L344" s="334"/>
      <c r="M344" s="334"/>
      <c r="N344" s="334"/>
      <c r="O344" s="334"/>
    </row>
    <row r="345" spans="1:17">
      <c r="A345" s="332" t="s">
        <v>1391</v>
      </c>
      <c r="D345" s="333">
        <f t="shared" ref="D345:I345" si="132">D315+D316+D319+D320+D322+D342</f>
        <v>14153</v>
      </c>
      <c r="E345" s="333">
        <f t="shared" si="132"/>
        <v>13996</v>
      </c>
      <c r="F345" s="333">
        <f t="shared" si="132"/>
        <v>14052</v>
      </c>
      <c r="G345" s="333">
        <f t="shared" si="132"/>
        <v>14205</v>
      </c>
      <c r="H345" s="333">
        <f t="shared" si="132"/>
        <v>14366</v>
      </c>
      <c r="I345" s="333">
        <f t="shared" si="132"/>
        <v>13957</v>
      </c>
      <c r="J345" s="333">
        <f t="shared" ref="J345:O345" si="133">J315+J316+J319+J320+J322+J342</f>
        <v>13746</v>
      </c>
      <c r="K345" s="333">
        <f t="shared" si="133"/>
        <v>14159</v>
      </c>
      <c r="L345" s="333">
        <f t="shared" si="133"/>
        <v>14076</v>
      </c>
      <c r="M345" s="333">
        <f t="shared" si="133"/>
        <v>14032</v>
      </c>
      <c r="N345" s="333">
        <f t="shared" si="133"/>
        <v>14251</v>
      </c>
      <c r="O345" s="333">
        <f t="shared" si="133"/>
        <v>14558</v>
      </c>
    </row>
    <row r="346" spans="1:17">
      <c r="A346" s="332" t="s">
        <v>659</v>
      </c>
      <c r="D346" s="333">
        <f t="shared" ref="D346:I346" si="134">D317+D318+D321+SUM(D323:D341)+D343</f>
        <v>76719</v>
      </c>
      <c r="E346" s="333">
        <f t="shared" si="134"/>
        <v>76495</v>
      </c>
      <c r="F346" s="333">
        <f t="shared" si="134"/>
        <v>77088</v>
      </c>
      <c r="G346" s="333">
        <f t="shared" si="134"/>
        <v>77711</v>
      </c>
      <c r="H346" s="333">
        <f t="shared" si="134"/>
        <v>78138</v>
      </c>
      <c r="I346" s="333">
        <f t="shared" si="134"/>
        <v>76226</v>
      </c>
      <c r="J346" s="333">
        <f t="shared" ref="J346:O346" si="135">J317+J318+J321+SUM(J323:J341)+J343</f>
        <v>74494</v>
      </c>
      <c r="K346" s="333">
        <f t="shared" si="135"/>
        <v>77351</v>
      </c>
      <c r="L346" s="333">
        <f t="shared" si="135"/>
        <v>77319</v>
      </c>
      <c r="M346" s="333">
        <f t="shared" si="135"/>
        <v>76346</v>
      </c>
      <c r="N346" s="333">
        <f t="shared" si="135"/>
        <v>77749</v>
      </c>
      <c r="O346" s="333">
        <f t="shared" si="135"/>
        <v>79297</v>
      </c>
    </row>
    <row r="347" spans="1:17">
      <c r="A347" s="332"/>
      <c r="B347" s="332"/>
      <c r="D347" s="341"/>
      <c r="E347" s="341"/>
      <c r="F347" s="341"/>
      <c r="G347" s="341"/>
      <c r="H347" s="341"/>
      <c r="I347" s="341"/>
      <c r="J347" s="341"/>
      <c r="K347" s="341"/>
      <c r="L347" s="341"/>
      <c r="M347" s="341"/>
      <c r="N347" s="341"/>
      <c r="O347" s="341"/>
    </row>
    <row r="348" spans="1:17">
      <c r="A348" s="332" t="s">
        <v>5122</v>
      </c>
      <c r="B348" s="332"/>
      <c r="C348" s="332"/>
      <c r="D348" s="341"/>
      <c r="E348" s="341"/>
      <c r="F348" s="341"/>
      <c r="G348" s="341"/>
      <c r="H348" s="341"/>
      <c r="I348" s="341"/>
      <c r="J348" s="341"/>
      <c r="K348" s="341"/>
      <c r="L348" s="341"/>
      <c r="M348" s="341"/>
      <c r="N348" s="341"/>
      <c r="O348" s="341"/>
    </row>
    <row r="349" spans="1:17">
      <c r="A349" s="332"/>
      <c r="B349" s="332"/>
      <c r="C349" s="332"/>
      <c r="D349" s="341"/>
      <c r="E349" s="341"/>
      <c r="F349" s="341"/>
      <c r="G349" s="341"/>
      <c r="H349" s="341"/>
      <c r="I349" s="341"/>
      <c r="J349" s="341"/>
      <c r="K349" s="341"/>
      <c r="L349" s="341"/>
      <c r="M349" s="341"/>
      <c r="N349" s="341"/>
      <c r="O349" s="341"/>
    </row>
    <row r="350" spans="1:17">
      <c r="A350" s="332"/>
      <c r="B350" s="332"/>
      <c r="C350" s="332"/>
      <c r="D350" s="341"/>
      <c r="E350" s="341"/>
      <c r="F350" s="341"/>
      <c r="G350" s="341"/>
      <c r="H350" s="341"/>
      <c r="I350" s="341"/>
      <c r="J350" s="341"/>
      <c r="K350" s="341"/>
      <c r="L350" s="341"/>
      <c r="M350" s="341"/>
      <c r="N350" s="341"/>
      <c r="O350" s="341"/>
    </row>
    <row r="351" spans="1:17">
      <c r="E351" s="51" t="s">
        <v>1526</v>
      </c>
      <c r="F351" s="51"/>
      <c r="G351" s="51"/>
      <c r="H351" s="51"/>
      <c r="I351" s="51"/>
      <c r="J351" s="51"/>
      <c r="K351" s="51"/>
      <c r="L351" s="51"/>
      <c r="M351" s="51"/>
      <c r="N351" s="51"/>
      <c r="O351" s="51"/>
      <c r="P351" s="11"/>
      <c r="Q351" s="11" t="s">
        <v>9479</v>
      </c>
    </row>
    <row r="352" spans="1:17">
      <c r="D352" s="270">
        <v>2010</v>
      </c>
      <c r="E352" s="270">
        <v>2011</v>
      </c>
      <c r="F352" s="270">
        <v>2012</v>
      </c>
      <c r="G352" s="270">
        <v>2013</v>
      </c>
      <c r="H352" s="270">
        <v>2014</v>
      </c>
      <c r="I352" s="270">
        <v>2015</v>
      </c>
      <c r="J352" s="270">
        <v>2016</v>
      </c>
      <c r="K352" s="270">
        <v>2017</v>
      </c>
      <c r="L352" s="270">
        <v>2018</v>
      </c>
      <c r="M352" s="270">
        <v>2019</v>
      </c>
      <c r="N352" s="270">
        <v>2020</v>
      </c>
      <c r="O352" s="937" t="s">
        <v>14823</v>
      </c>
      <c r="Q352" s="13" t="s">
        <v>1527</v>
      </c>
    </row>
    <row r="353" spans="1:17">
      <c r="A353" s="332" t="s">
        <v>5123</v>
      </c>
      <c r="C353" s="332"/>
      <c r="D353" s="333">
        <f>SUM(D354:D363)</f>
        <v>68609</v>
      </c>
      <c r="E353" s="333">
        <f t="shared" ref="E353:K353" si="136">SUM(E354:E363)</f>
        <v>69785</v>
      </c>
      <c r="F353" s="333">
        <f t="shared" si="136"/>
        <v>69476</v>
      </c>
      <c r="G353" s="333">
        <f t="shared" si="136"/>
        <v>70504</v>
      </c>
      <c r="H353" s="333">
        <f t="shared" si="136"/>
        <v>69796</v>
      </c>
      <c r="I353" s="333">
        <f t="shared" si="136"/>
        <v>68474</v>
      </c>
      <c r="J353" s="333">
        <f t="shared" si="136"/>
        <v>67583</v>
      </c>
      <c r="K353" s="333">
        <f t="shared" si="136"/>
        <v>69635</v>
      </c>
      <c r="L353" s="333">
        <f>SUM(L354:L363)</f>
        <v>69763</v>
      </c>
      <c r="M353" s="333">
        <f>SUM(M354:M363)</f>
        <v>68342</v>
      </c>
      <c r="N353" s="333">
        <f>SUM(N354:N363)</f>
        <v>69879</v>
      </c>
      <c r="O353" s="333">
        <f>SUM(O354:O363)</f>
        <v>71737</v>
      </c>
    </row>
    <row r="354" spans="1:17">
      <c r="A354" s="332" t="s">
        <v>5387</v>
      </c>
      <c r="B354" s="332" t="s">
        <v>11485</v>
      </c>
      <c r="C354" s="55" t="s">
        <v>11486</v>
      </c>
      <c r="D354" s="333">
        <v>68609</v>
      </c>
      <c r="E354" s="333">
        <v>69785</v>
      </c>
      <c r="F354" s="333">
        <v>69476</v>
      </c>
      <c r="G354" s="56">
        <v>70504</v>
      </c>
      <c r="H354" s="56">
        <v>69796</v>
      </c>
      <c r="I354" s="56">
        <v>68474</v>
      </c>
      <c r="J354" s="56">
        <v>67583</v>
      </c>
      <c r="K354" s="56">
        <v>8169</v>
      </c>
      <c r="L354" s="56">
        <v>8277</v>
      </c>
      <c r="M354" s="56">
        <v>8139</v>
      </c>
      <c r="N354" s="56">
        <v>8301</v>
      </c>
      <c r="O354" s="56">
        <v>8460</v>
      </c>
      <c r="Q354" s="332" t="s">
        <v>662</v>
      </c>
    </row>
    <row r="355" spans="1:17">
      <c r="A355" s="332" t="s">
        <v>5389</v>
      </c>
      <c r="B355" s="332" t="s">
        <v>11496</v>
      </c>
      <c r="C355" s="55" t="s">
        <v>11487</v>
      </c>
      <c r="D355" s="333">
        <v>0</v>
      </c>
      <c r="E355" s="333">
        <v>0</v>
      </c>
      <c r="F355" s="333">
        <v>0</v>
      </c>
      <c r="G355" s="333">
        <v>0</v>
      </c>
      <c r="H355" s="333">
        <v>0</v>
      </c>
      <c r="I355" s="333">
        <v>0</v>
      </c>
      <c r="J355" s="56">
        <v>0</v>
      </c>
      <c r="K355" s="56">
        <v>6739</v>
      </c>
      <c r="L355" s="56">
        <v>6710</v>
      </c>
      <c r="M355" s="56">
        <v>6343</v>
      </c>
      <c r="N355" s="56">
        <v>6465</v>
      </c>
      <c r="O355" s="56">
        <v>6682</v>
      </c>
      <c r="Q355" s="332" t="s">
        <v>662</v>
      </c>
    </row>
    <row r="356" spans="1:17">
      <c r="A356" s="332" t="s">
        <v>5391</v>
      </c>
      <c r="B356" s="332" t="s">
        <v>11497</v>
      </c>
      <c r="C356" s="55" t="s">
        <v>11488</v>
      </c>
      <c r="D356" s="333">
        <v>0</v>
      </c>
      <c r="E356" s="333">
        <v>0</v>
      </c>
      <c r="F356" s="333">
        <v>0</v>
      </c>
      <c r="G356" s="333">
        <v>0</v>
      </c>
      <c r="H356" s="333">
        <v>0</v>
      </c>
      <c r="I356" s="333">
        <v>0</v>
      </c>
      <c r="J356" s="56">
        <v>0</v>
      </c>
      <c r="K356" s="56">
        <v>6614</v>
      </c>
      <c r="L356" s="56">
        <v>6523</v>
      </c>
      <c r="M356" s="56">
        <v>6379</v>
      </c>
      <c r="N356" s="56">
        <v>6449</v>
      </c>
      <c r="O356" s="56">
        <v>6539</v>
      </c>
      <c r="Q356" s="332" t="s">
        <v>662</v>
      </c>
    </row>
    <row r="357" spans="1:17">
      <c r="A357" s="332" t="s">
        <v>5393</v>
      </c>
      <c r="B357" s="332" t="s">
        <v>11498</v>
      </c>
      <c r="C357" s="55" t="s">
        <v>11489</v>
      </c>
      <c r="D357" s="333">
        <v>0</v>
      </c>
      <c r="E357" s="333">
        <v>0</v>
      </c>
      <c r="F357" s="333">
        <v>0</v>
      </c>
      <c r="G357" s="333">
        <v>0</v>
      </c>
      <c r="H357" s="333">
        <v>0</v>
      </c>
      <c r="I357" s="333">
        <v>0</v>
      </c>
      <c r="J357" s="56">
        <v>0</v>
      </c>
      <c r="K357" s="56">
        <v>6747</v>
      </c>
      <c r="L357" s="56">
        <v>6743</v>
      </c>
      <c r="M357" s="56">
        <v>6618</v>
      </c>
      <c r="N357" s="56">
        <v>6734</v>
      </c>
      <c r="O357" s="56">
        <v>6891</v>
      </c>
      <c r="Q357" s="332" t="s">
        <v>662</v>
      </c>
    </row>
    <row r="358" spans="1:17">
      <c r="A358" s="332" t="s">
        <v>5394</v>
      </c>
      <c r="B358" s="121" t="s">
        <v>11499</v>
      </c>
      <c r="C358" s="55" t="s">
        <v>11490</v>
      </c>
      <c r="D358" s="333">
        <v>0</v>
      </c>
      <c r="E358" s="333">
        <v>0</v>
      </c>
      <c r="F358" s="333">
        <v>0</v>
      </c>
      <c r="G358" s="333">
        <v>0</v>
      </c>
      <c r="H358" s="333">
        <v>0</v>
      </c>
      <c r="I358" s="333">
        <v>0</v>
      </c>
      <c r="J358" s="56">
        <v>0</v>
      </c>
      <c r="K358" s="56">
        <v>6208</v>
      </c>
      <c r="L358" s="56">
        <v>6484</v>
      </c>
      <c r="M358" s="56">
        <v>6511</v>
      </c>
      <c r="N358" s="56">
        <v>6632</v>
      </c>
      <c r="O358" s="56">
        <v>6811</v>
      </c>
      <c r="Q358" s="332" t="s">
        <v>662</v>
      </c>
    </row>
    <row r="359" spans="1:17">
      <c r="A359" s="332" t="s">
        <v>5416</v>
      </c>
      <c r="B359" s="332" t="s">
        <v>11500</v>
      </c>
      <c r="C359" s="55" t="s">
        <v>11491</v>
      </c>
      <c r="D359" s="333">
        <v>0</v>
      </c>
      <c r="E359" s="333">
        <v>0</v>
      </c>
      <c r="F359" s="333">
        <v>0</v>
      </c>
      <c r="G359" s="333">
        <v>0</v>
      </c>
      <c r="H359" s="333">
        <v>0</v>
      </c>
      <c r="I359" s="333">
        <v>0</v>
      </c>
      <c r="J359" s="56">
        <v>0</v>
      </c>
      <c r="K359" s="56">
        <v>6997</v>
      </c>
      <c r="L359" s="56">
        <v>6920</v>
      </c>
      <c r="M359" s="56">
        <v>6821</v>
      </c>
      <c r="N359" s="56">
        <v>6928</v>
      </c>
      <c r="O359" s="56">
        <v>7058</v>
      </c>
      <c r="Q359" s="332" t="s">
        <v>662</v>
      </c>
    </row>
    <row r="360" spans="1:17">
      <c r="A360" s="332" t="s">
        <v>5418</v>
      </c>
      <c r="B360" s="332" t="s">
        <v>5124</v>
      </c>
      <c r="C360" s="55" t="s">
        <v>11492</v>
      </c>
      <c r="D360" s="333">
        <v>0</v>
      </c>
      <c r="E360" s="333">
        <v>0</v>
      </c>
      <c r="F360" s="333">
        <v>0</v>
      </c>
      <c r="G360" s="333">
        <v>0</v>
      </c>
      <c r="H360" s="333">
        <v>0</v>
      </c>
      <c r="I360" s="333">
        <v>0</v>
      </c>
      <c r="J360" s="56">
        <v>0</v>
      </c>
      <c r="K360" s="56">
        <v>7488</v>
      </c>
      <c r="L360" s="56">
        <v>7608</v>
      </c>
      <c r="M360" s="56">
        <v>7532</v>
      </c>
      <c r="N360" s="56">
        <v>7701</v>
      </c>
      <c r="O360" s="56">
        <v>7932</v>
      </c>
      <c r="Q360" s="332" t="s">
        <v>662</v>
      </c>
    </row>
    <row r="361" spans="1:17">
      <c r="A361" s="332" t="s">
        <v>5420</v>
      </c>
      <c r="B361" s="332" t="s">
        <v>11501</v>
      </c>
      <c r="C361" s="55" t="s">
        <v>11493</v>
      </c>
      <c r="D361" s="333">
        <v>0</v>
      </c>
      <c r="E361" s="333">
        <v>0</v>
      </c>
      <c r="F361" s="333">
        <v>0</v>
      </c>
      <c r="G361" s="333">
        <v>0</v>
      </c>
      <c r="H361" s="333">
        <v>0</v>
      </c>
      <c r="I361" s="333">
        <v>0</v>
      </c>
      <c r="J361" s="56">
        <v>0</v>
      </c>
      <c r="K361" s="56">
        <v>6661</v>
      </c>
      <c r="L361" s="56">
        <v>6574</v>
      </c>
      <c r="M361" s="56">
        <v>6365</v>
      </c>
      <c r="N361" s="56">
        <v>6714</v>
      </c>
      <c r="O361" s="56">
        <v>7009</v>
      </c>
      <c r="Q361" s="332" t="s">
        <v>662</v>
      </c>
    </row>
    <row r="362" spans="1:17">
      <c r="A362" s="332" t="s">
        <v>5422</v>
      </c>
      <c r="B362" s="332" t="s">
        <v>549</v>
      </c>
      <c r="C362" s="55" t="s">
        <v>11494</v>
      </c>
      <c r="D362" s="333">
        <v>0</v>
      </c>
      <c r="E362" s="333">
        <v>0</v>
      </c>
      <c r="F362" s="333">
        <v>0</v>
      </c>
      <c r="G362" s="333">
        <v>0</v>
      </c>
      <c r="H362" s="333">
        <v>0</v>
      </c>
      <c r="I362" s="333">
        <v>0</v>
      </c>
      <c r="J362" s="56">
        <v>0</v>
      </c>
      <c r="K362" s="56">
        <v>7135</v>
      </c>
      <c r="L362" s="56">
        <v>7142</v>
      </c>
      <c r="M362" s="56">
        <v>7026</v>
      </c>
      <c r="N362" s="56">
        <v>7185</v>
      </c>
      <c r="O362" s="56">
        <v>7418</v>
      </c>
      <c r="Q362" s="332" t="s">
        <v>662</v>
      </c>
    </row>
    <row r="363" spans="1:17">
      <c r="A363" s="332" t="s">
        <v>5424</v>
      </c>
      <c r="B363" s="332" t="s">
        <v>4949</v>
      </c>
      <c r="C363" s="55" t="s">
        <v>11495</v>
      </c>
      <c r="D363" s="333">
        <v>0</v>
      </c>
      <c r="E363" s="333">
        <v>0</v>
      </c>
      <c r="F363" s="333">
        <v>0</v>
      </c>
      <c r="G363" s="333">
        <v>0</v>
      </c>
      <c r="H363" s="333">
        <v>0</v>
      </c>
      <c r="I363" s="333">
        <v>0</v>
      </c>
      <c r="J363" s="56">
        <v>0</v>
      </c>
      <c r="K363" s="56">
        <v>6877</v>
      </c>
      <c r="L363" s="56">
        <v>6782</v>
      </c>
      <c r="M363" s="56">
        <v>6608</v>
      </c>
      <c r="N363" s="56">
        <v>6770</v>
      </c>
      <c r="O363" s="56">
        <v>6937</v>
      </c>
      <c r="Q363" s="332" t="s">
        <v>662</v>
      </c>
    </row>
    <row r="364" spans="1:17">
      <c r="D364" s="334"/>
      <c r="E364" s="334"/>
      <c r="F364" s="334"/>
      <c r="G364" s="334"/>
      <c r="H364" s="334"/>
      <c r="I364" s="334"/>
      <c r="J364" s="334"/>
      <c r="K364" s="334"/>
      <c r="L364" s="334"/>
      <c r="M364" s="334"/>
      <c r="N364" s="334"/>
      <c r="O364" s="334"/>
    </row>
    <row r="365" spans="1:17">
      <c r="A365" s="332" t="s">
        <v>1394</v>
      </c>
      <c r="D365" s="333">
        <f>SUM(D354:D363)</f>
        <v>68609</v>
      </c>
      <c r="E365" s="333">
        <f t="shared" ref="E365:L365" si="137">SUM(E354:E363)</f>
        <v>69785</v>
      </c>
      <c r="F365" s="333">
        <f t="shared" si="137"/>
        <v>69476</v>
      </c>
      <c r="G365" s="333">
        <f t="shared" si="137"/>
        <v>70504</v>
      </c>
      <c r="H365" s="333">
        <f t="shared" si="137"/>
        <v>69796</v>
      </c>
      <c r="I365" s="333">
        <f t="shared" si="137"/>
        <v>68474</v>
      </c>
      <c r="J365" s="333">
        <f t="shared" si="137"/>
        <v>67583</v>
      </c>
      <c r="K365" s="333">
        <f t="shared" si="137"/>
        <v>69635</v>
      </c>
      <c r="L365" s="333">
        <f t="shared" si="137"/>
        <v>69763</v>
      </c>
      <c r="M365" s="333">
        <f>SUM(M354:M363)</f>
        <v>68342</v>
      </c>
      <c r="N365" s="333">
        <f>SUM(N354:N363)</f>
        <v>69879</v>
      </c>
      <c r="O365" s="333">
        <f>SUM(O354:O363)</f>
        <v>71737</v>
      </c>
    </row>
    <row r="367" spans="1:17">
      <c r="A367" s="121" t="s">
        <v>11484</v>
      </c>
    </row>
  </sheetData>
  <phoneticPr fontId="6" type="noConversion"/>
  <printOptions gridLinesSet="0"/>
  <pageMargins left="0.78740157480314965" right="0" top="0.51181102362204722" bottom="0.51181102362204722" header="0.51181102362204722" footer="0.51181102362204722"/>
  <pageSetup paperSize="9" scale="58" orientation="portrait" horizontalDpi="300" verticalDpi="300" r:id="rId1"/>
  <headerFooter alignWithMargins="0">
    <oddFooter>&amp;C&amp;8&amp;P of &amp;N</oddFooter>
  </headerFooter>
  <ignoredErrors>
    <ignoredError sqref="D277:K277 D261:K261 D216:K216 D112:K112 D97:K97 D254:K254 D239:K239 D314:K314 D153:K153 D306:K306 D284:K284 D119:K119 D3:K60 D146:H146 I146:I147 D232:K232 D353:K353 D90:J90 D65:K65 D365:K365 D345:K346 D143:K144 J146:K146 D176:K176 L231:L261 L214:L216 L206 L3:L183 L210 L276:L365" unlockedFormula="1"/>
    <ignoredError sqref="D177:K177 D145:K145 D76:K76 D81:K81 D89:J89 D87:K87 K89:K90" formulaRange="1" unlockedFormula="1"/>
    <ignoredError sqref="F178:F183"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dimension ref="A1:Q52"/>
  <sheetViews>
    <sheetView showGridLines="0" zoomScale="90" zoomScaleNormal="90" workbookViewId="0">
      <selection activeCell="J56" sqref="J56"/>
    </sheetView>
  </sheetViews>
  <sheetFormatPr defaultColWidth="12.5703125" defaultRowHeight="15"/>
  <cols>
    <col min="1" max="1" width="4.85546875" style="120" customWidth="1"/>
    <col min="2" max="2" width="40.7109375" style="120" customWidth="1"/>
    <col min="3" max="3" width="11.5703125" style="120" customWidth="1"/>
    <col min="4" max="15" width="10" style="120" customWidth="1"/>
    <col min="16" max="16" width="2.28515625" style="120" customWidth="1"/>
    <col min="17" max="17" width="33.140625" style="120" customWidth="1"/>
    <col min="18" max="16384" width="12.5703125" style="120"/>
  </cols>
  <sheetData>
    <row r="1" spans="1:17">
      <c r="A1" s="325" t="s">
        <v>5719</v>
      </c>
      <c r="D1" s="326">
        <v>2010</v>
      </c>
      <c r="E1" s="326">
        <v>2011</v>
      </c>
      <c r="F1" s="326">
        <v>2012</v>
      </c>
      <c r="G1" s="326">
        <v>2013</v>
      </c>
      <c r="H1" s="326">
        <v>2014</v>
      </c>
      <c r="I1" s="326">
        <v>2015</v>
      </c>
      <c r="J1" s="326">
        <v>2016</v>
      </c>
      <c r="K1" s="326">
        <v>2017</v>
      </c>
      <c r="L1" s="326">
        <v>2018</v>
      </c>
      <c r="M1" s="326">
        <v>2019</v>
      </c>
      <c r="N1" s="326">
        <v>2020</v>
      </c>
      <c r="O1" s="936" t="s">
        <v>14823</v>
      </c>
    </row>
    <row r="3" spans="1:17">
      <c r="A3" s="325" t="s">
        <v>628</v>
      </c>
      <c r="D3" s="327">
        <f t="shared" ref="D3:N3" si="0">SUM(D17:D21,D23:D31,D33:D34,D36:D39,D41:D44)</f>
        <v>132884</v>
      </c>
      <c r="E3" s="327">
        <f t="shared" si="0"/>
        <v>133615</v>
      </c>
      <c r="F3" s="327">
        <f t="shared" si="0"/>
        <v>137484</v>
      </c>
      <c r="G3" s="327">
        <f t="shared" si="0"/>
        <v>139068</v>
      </c>
      <c r="H3" s="327">
        <f t="shared" si="0"/>
        <v>140022</v>
      </c>
      <c r="I3" s="327">
        <f t="shared" si="0"/>
        <v>139084</v>
      </c>
      <c r="J3" s="327">
        <f t="shared" si="0"/>
        <v>136004</v>
      </c>
      <c r="K3" s="327">
        <f t="shared" si="0"/>
        <v>139836</v>
      </c>
      <c r="L3" s="327">
        <f t="shared" si="0"/>
        <v>141056</v>
      </c>
      <c r="M3" s="327">
        <f t="shared" si="0"/>
        <v>142601</v>
      </c>
      <c r="N3" s="327">
        <f t="shared" si="0"/>
        <v>143715</v>
      </c>
      <c r="O3" s="327">
        <f>SUM(O17:O21,O23:O31,O33:O34,O36:O39,O41:O44)</f>
        <v>144039</v>
      </c>
    </row>
    <row r="5" spans="1:17">
      <c r="A5" s="325" t="s">
        <v>5720</v>
      </c>
      <c r="D5" s="327">
        <f t="shared" ref="D5:N5" si="1">D3/2</f>
        <v>66442</v>
      </c>
      <c r="E5" s="327">
        <f t="shared" si="1"/>
        <v>66807.5</v>
      </c>
      <c r="F5" s="327">
        <f t="shared" si="1"/>
        <v>68742</v>
      </c>
      <c r="G5" s="327">
        <f t="shared" si="1"/>
        <v>69534</v>
      </c>
      <c r="H5" s="327">
        <f t="shared" si="1"/>
        <v>70011</v>
      </c>
      <c r="I5" s="327">
        <f t="shared" si="1"/>
        <v>69542</v>
      </c>
      <c r="J5" s="327">
        <f t="shared" si="1"/>
        <v>68002</v>
      </c>
      <c r="K5" s="327">
        <f t="shared" si="1"/>
        <v>69918</v>
      </c>
      <c r="L5" s="327">
        <f t="shared" si="1"/>
        <v>70528</v>
      </c>
      <c r="M5" s="327">
        <f t="shared" si="1"/>
        <v>71300.5</v>
      </c>
      <c r="N5" s="327">
        <f t="shared" si="1"/>
        <v>71857.5</v>
      </c>
      <c r="O5" s="327">
        <f t="shared" ref="O5" si="2">O3/2</f>
        <v>72019.5</v>
      </c>
    </row>
    <row r="6" spans="1:17">
      <c r="D6" s="328"/>
      <c r="E6" s="328"/>
      <c r="F6" s="328"/>
      <c r="G6" s="328"/>
      <c r="H6" s="328"/>
      <c r="I6" s="328"/>
      <c r="J6" s="328"/>
      <c r="K6" s="328"/>
      <c r="L6" s="328"/>
      <c r="M6" s="328"/>
      <c r="N6" s="328"/>
      <c r="O6" s="328"/>
    </row>
    <row r="7" spans="1:17">
      <c r="A7" s="325" t="s">
        <v>629</v>
      </c>
      <c r="D7" s="327">
        <f t="shared" ref="D7:N7" si="3">SUM(D17,D19:D20,D24,D26:D28,D30,D33,D38,D41:D42)</f>
        <v>66634</v>
      </c>
      <c r="E7" s="327">
        <f t="shared" si="3"/>
        <v>67044</v>
      </c>
      <c r="F7" s="327">
        <f t="shared" si="3"/>
        <v>68700</v>
      </c>
      <c r="G7" s="327">
        <f t="shared" si="3"/>
        <v>69666</v>
      </c>
      <c r="H7" s="327">
        <f t="shared" si="3"/>
        <v>70384</v>
      </c>
      <c r="I7" s="327">
        <f t="shared" si="3"/>
        <v>70002</v>
      </c>
      <c r="J7" s="327">
        <f t="shared" si="3"/>
        <v>68304</v>
      </c>
      <c r="K7" s="327">
        <f t="shared" si="3"/>
        <v>70258</v>
      </c>
      <c r="L7" s="327">
        <f t="shared" si="3"/>
        <v>70937</v>
      </c>
      <c r="M7" s="327">
        <f t="shared" si="3"/>
        <v>71780</v>
      </c>
      <c r="N7" s="327">
        <f t="shared" si="3"/>
        <v>72579</v>
      </c>
      <c r="O7" s="327">
        <v>72545</v>
      </c>
      <c r="Q7" s="325" t="s">
        <v>630</v>
      </c>
    </row>
    <row r="8" spans="1:17">
      <c r="D8" s="328"/>
      <c r="E8" s="328"/>
      <c r="F8" s="328"/>
      <c r="G8" s="328"/>
      <c r="H8" s="328"/>
      <c r="I8" s="328"/>
      <c r="J8" s="328"/>
      <c r="K8" s="328"/>
      <c r="L8" s="328"/>
      <c r="M8" s="328"/>
      <c r="N8" s="328"/>
      <c r="O8" s="328"/>
    </row>
    <row r="9" spans="1:17">
      <c r="A9" s="325" t="s">
        <v>631</v>
      </c>
      <c r="D9" s="329">
        <f t="shared" ref="D9:N9" si="4">SUM(D18,D21,D23,D25,D29,D31,D34,D36:D37,D39,D43:D44)</f>
        <v>66250</v>
      </c>
      <c r="E9" s="329">
        <f t="shared" si="4"/>
        <v>66571</v>
      </c>
      <c r="F9" s="329">
        <f t="shared" si="4"/>
        <v>68784</v>
      </c>
      <c r="G9" s="329">
        <f t="shared" si="4"/>
        <v>69402</v>
      </c>
      <c r="H9" s="329">
        <f t="shared" si="4"/>
        <v>69638</v>
      </c>
      <c r="I9" s="329">
        <f t="shared" si="4"/>
        <v>69082</v>
      </c>
      <c r="J9" s="329">
        <f t="shared" si="4"/>
        <v>67700</v>
      </c>
      <c r="K9" s="329">
        <f t="shared" si="4"/>
        <v>69578</v>
      </c>
      <c r="L9" s="329">
        <f t="shared" si="4"/>
        <v>70119</v>
      </c>
      <c r="M9" s="329">
        <f t="shared" si="4"/>
        <v>70821</v>
      </c>
      <c r="N9" s="329">
        <f t="shared" si="4"/>
        <v>71136</v>
      </c>
      <c r="O9" s="327">
        <v>71494</v>
      </c>
      <c r="Q9" s="325" t="s">
        <v>630</v>
      </c>
    </row>
    <row r="10" spans="1:17">
      <c r="D10" s="328"/>
      <c r="E10" s="328"/>
      <c r="F10" s="328"/>
      <c r="G10" s="328"/>
      <c r="H10" s="328"/>
      <c r="I10" s="328"/>
      <c r="J10" s="328"/>
      <c r="K10" s="328"/>
      <c r="L10" s="328"/>
      <c r="M10" s="328"/>
      <c r="N10" s="328"/>
      <c r="O10" s="328"/>
    </row>
    <row r="11" spans="1:17">
      <c r="A11" s="325" t="s">
        <v>6796</v>
      </c>
      <c r="D11" s="327">
        <f t="shared" ref="D11:I11" si="5">D7+D9</f>
        <v>132884</v>
      </c>
      <c r="E11" s="327">
        <f t="shared" si="5"/>
        <v>133615</v>
      </c>
      <c r="F11" s="327">
        <f t="shared" si="5"/>
        <v>137484</v>
      </c>
      <c r="G11" s="327">
        <f t="shared" si="5"/>
        <v>139068</v>
      </c>
      <c r="H11" s="327">
        <f t="shared" si="5"/>
        <v>140022</v>
      </c>
      <c r="I11" s="327">
        <f t="shared" si="5"/>
        <v>139084</v>
      </c>
      <c r="J11" s="327">
        <f t="shared" ref="J11:O11" si="6">J7+J9</f>
        <v>136004</v>
      </c>
      <c r="K11" s="327">
        <f t="shared" si="6"/>
        <v>139836</v>
      </c>
      <c r="L11" s="327">
        <f t="shared" si="6"/>
        <v>141056</v>
      </c>
      <c r="M11" s="327">
        <f t="shared" si="6"/>
        <v>142601</v>
      </c>
      <c r="N11" s="327">
        <f t="shared" si="6"/>
        <v>143715</v>
      </c>
      <c r="O11" s="327">
        <f t="shared" si="6"/>
        <v>144039</v>
      </c>
    </row>
    <row r="12" spans="1:17">
      <c r="D12" s="328"/>
      <c r="E12" s="328"/>
      <c r="F12" s="328"/>
      <c r="G12" s="328"/>
      <c r="H12" s="328"/>
      <c r="I12" s="328"/>
      <c r="J12" s="328"/>
      <c r="K12" s="328"/>
      <c r="L12" s="328"/>
      <c r="M12" s="328"/>
      <c r="N12" s="328"/>
      <c r="O12" s="328"/>
    </row>
    <row r="13" spans="1:17">
      <c r="A13" s="325" t="s">
        <v>6797</v>
      </c>
      <c r="D13" s="327">
        <f t="shared" ref="D13:I13" si="7">MAX(D7,D9)-MIN(D7,D9)</f>
        <v>384</v>
      </c>
      <c r="E13" s="327">
        <f t="shared" si="7"/>
        <v>473</v>
      </c>
      <c r="F13" s="327">
        <f t="shared" si="7"/>
        <v>84</v>
      </c>
      <c r="G13" s="327">
        <f t="shared" si="7"/>
        <v>264</v>
      </c>
      <c r="H13" s="327">
        <f t="shared" si="7"/>
        <v>746</v>
      </c>
      <c r="I13" s="327">
        <f t="shared" si="7"/>
        <v>920</v>
      </c>
      <c r="J13" s="327">
        <f t="shared" ref="J13:O13" si="8">MAX(J7,J9)-MIN(J7,J9)</f>
        <v>604</v>
      </c>
      <c r="K13" s="327">
        <f t="shared" si="8"/>
        <v>680</v>
      </c>
      <c r="L13" s="327">
        <f t="shared" si="8"/>
        <v>818</v>
      </c>
      <c r="M13" s="327">
        <f t="shared" si="8"/>
        <v>959</v>
      </c>
      <c r="N13" s="327">
        <f t="shared" si="8"/>
        <v>1443</v>
      </c>
      <c r="O13" s="327">
        <f t="shared" si="8"/>
        <v>1051</v>
      </c>
    </row>
    <row r="14" spans="1:17">
      <c r="D14" s="328"/>
      <c r="E14" s="328"/>
      <c r="F14" s="328"/>
      <c r="G14" s="328"/>
      <c r="H14" s="328"/>
      <c r="I14" s="328"/>
      <c r="J14" s="328"/>
      <c r="K14" s="328"/>
      <c r="L14" s="328"/>
      <c r="M14" s="328"/>
      <c r="N14" s="328"/>
      <c r="O14" s="328"/>
    </row>
    <row r="15" spans="1:17">
      <c r="A15" s="325" t="s">
        <v>6800</v>
      </c>
      <c r="D15" s="327">
        <f t="shared" ref="D15:I15" si="9">STDEVP(D7,D9)</f>
        <v>192</v>
      </c>
      <c r="E15" s="327">
        <f t="shared" si="9"/>
        <v>236.5</v>
      </c>
      <c r="F15" s="327">
        <f t="shared" si="9"/>
        <v>42</v>
      </c>
      <c r="G15" s="327">
        <f t="shared" si="9"/>
        <v>132</v>
      </c>
      <c r="H15" s="327">
        <f t="shared" si="9"/>
        <v>373</v>
      </c>
      <c r="I15" s="327">
        <f t="shared" si="9"/>
        <v>460</v>
      </c>
      <c r="J15" s="327">
        <f t="shared" ref="J15:O15" si="10">STDEVP(J7,J9)</f>
        <v>302</v>
      </c>
      <c r="K15" s="327">
        <f t="shared" si="10"/>
        <v>340</v>
      </c>
      <c r="L15" s="327">
        <f t="shared" si="10"/>
        <v>409</v>
      </c>
      <c r="M15" s="327">
        <f t="shared" si="10"/>
        <v>479.5</v>
      </c>
      <c r="N15" s="327">
        <f t="shared" si="10"/>
        <v>721.5</v>
      </c>
      <c r="O15" s="327">
        <f t="shared" si="10"/>
        <v>525.5</v>
      </c>
    </row>
    <row r="16" spans="1:17">
      <c r="D16" s="328"/>
      <c r="E16" s="328"/>
      <c r="F16" s="328"/>
      <c r="G16" s="328"/>
      <c r="H16" s="328"/>
      <c r="I16" s="328"/>
      <c r="J16" s="328"/>
      <c r="K16" s="328"/>
      <c r="L16" s="328"/>
      <c r="M16" s="328"/>
      <c r="N16" s="328"/>
      <c r="O16" s="328"/>
    </row>
    <row r="17" spans="1:17">
      <c r="A17" s="325" t="s">
        <v>5387</v>
      </c>
      <c r="B17" s="325" t="s">
        <v>16054</v>
      </c>
      <c r="C17" s="55" t="s">
        <v>16053</v>
      </c>
      <c r="D17" s="330">
        <v>66634</v>
      </c>
      <c r="E17" s="330">
        <v>67044</v>
      </c>
      <c r="F17" s="330">
        <v>68700</v>
      </c>
      <c r="G17" s="330">
        <v>69666</v>
      </c>
      <c r="H17" s="330">
        <v>70384</v>
      </c>
      <c r="I17" s="330">
        <v>70002</v>
      </c>
      <c r="J17" s="330">
        <v>68304</v>
      </c>
      <c r="K17" s="330">
        <v>70258</v>
      </c>
      <c r="L17" s="330">
        <v>70937</v>
      </c>
      <c r="M17" s="330">
        <v>71780</v>
      </c>
      <c r="N17" s="330">
        <v>72579</v>
      </c>
      <c r="O17" s="63">
        <v>8069</v>
      </c>
      <c r="Q17" s="325" t="s">
        <v>629</v>
      </c>
    </row>
    <row r="18" spans="1:17">
      <c r="A18" s="325" t="s">
        <v>5389</v>
      </c>
      <c r="B18" s="325" t="s">
        <v>4542</v>
      </c>
      <c r="C18" s="55" t="s">
        <v>16071</v>
      </c>
      <c r="D18" s="330">
        <v>66250</v>
      </c>
      <c r="E18" s="330">
        <v>66571</v>
      </c>
      <c r="F18" s="330">
        <v>68784</v>
      </c>
      <c r="G18" s="330">
        <v>69402</v>
      </c>
      <c r="H18" s="330">
        <v>69638</v>
      </c>
      <c r="I18" s="330">
        <v>69082</v>
      </c>
      <c r="J18" s="330">
        <v>67700</v>
      </c>
      <c r="K18" s="330">
        <v>69578</v>
      </c>
      <c r="L18" s="330">
        <v>70119</v>
      </c>
      <c r="M18" s="330">
        <v>70821</v>
      </c>
      <c r="N18" s="330">
        <v>71136</v>
      </c>
      <c r="O18" s="63">
        <v>8106</v>
      </c>
      <c r="Q18" s="325" t="s">
        <v>631</v>
      </c>
    </row>
    <row r="19" spans="1:17">
      <c r="A19" s="325" t="s">
        <v>5391</v>
      </c>
      <c r="B19" s="325" t="s">
        <v>1952</v>
      </c>
      <c r="C19" s="55" t="s">
        <v>16055</v>
      </c>
      <c r="D19" s="330">
        <v>0</v>
      </c>
      <c r="E19" s="330">
        <v>0</v>
      </c>
      <c r="F19" s="330">
        <v>0</v>
      </c>
      <c r="G19" s="330">
        <v>0</v>
      </c>
      <c r="H19" s="330">
        <v>0</v>
      </c>
      <c r="I19" s="330">
        <v>0</v>
      </c>
      <c r="J19" s="330">
        <v>0</v>
      </c>
      <c r="K19" s="330">
        <v>0</v>
      </c>
      <c r="L19" s="330">
        <v>0</v>
      </c>
      <c r="M19" s="330">
        <v>0</v>
      </c>
      <c r="N19" s="330">
        <v>0</v>
      </c>
      <c r="O19" s="63">
        <v>8444</v>
      </c>
      <c r="Q19" s="325" t="s">
        <v>629</v>
      </c>
    </row>
    <row r="20" spans="1:17">
      <c r="A20" s="325" t="s">
        <v>5393</v>
      </c>
      <c r="B20" s="325" t="s">
        <v>16057</v>
      </c>
      <c r="C20" s="55" t="s">
        <v>16056</v>
      </c>
      <c r="D20" s="330">
        <v>0</v>
      </c>
      <c r="E20" s="330">
        <v>0</v>
      </c>
      <c r="F20" s="330">
        <v>0</v>
      </c>
      <c r="G20" s="330">
        <v>0</v>
      </c>
      <c r="H20" s="330">
        <v>0</v>
      </c>
      <c r="I20" s="330">
        <v>0</v>
      </c>
      <c r="J20" s="330">
        <v>0</v>
      </c>
      <c r="K20" s="330">
        <v>0</v>
      </c>
      <c r="L20" s="330">
        <v>0</v>
      </c>
      <c r="M20" s="330">
        <v>0</v>
      </c>
      <c r="N20" s="330">
        <v>0</v>
      </c>
      <c r="O20" s="63">
        <v>7667</v>
      </c>
      <c r="Q20" s="325" t="s">
        <v>629</v>
      </c>
    </row>
    <row r="21" spans="1:17" ht="15.75" thickBot="1">
      <c r="B21" s="325"/>
      <c r="C21" s="55" t="s">
        <v>16056</v>
      </c>
      <c r="D21" s="330">
        <v>0</v>
      </c>
      <c r="E21" s="330">
        <v>0</v>
      </c>
      <c r="F21" s="330">
        <v>0</v>
      </c>
      <c r="G21" s="330">
        <v>0</v>
      </c>
      <c r="H21" s="330">
        <v>0</v>
      </c>
      <c r="I21" s="330">
        <v>0</v>
      </c>
      <c r="J21" s="330">
        <v>0</v>
      </c>
      <c r="K21" s="330">
        <v>0</v>
      </c>
      <c r="L21" s="330">
        <v>0</v>
      </c>
      <c r="M21" s="330">
        <v>0</v>
      </c>
      <c r="N21" s="330">
        <v>0</v>
      </c>
      <c r="O21" s="63">
        <v>0</v>
      </c>
      <c r="Q21" s="325" t="s">
        <v>631</v>
      </c>
    </row>
    <row r="22" spans="1:17" ht="15.75" thickBot="1">
      <c r="B22" s="325"/>
      <c r="C22" s="55" t="s">
        <v>16056</v>
      </c>
      <c r="D22" s="1011">
        <f>SUM(D20:D21)</f>
        <v>0</v>
      </c>
      <c r="E22" s="1011">
        <f t="shared" ref="E22:N22" si="11">SUM(E20:E21)</f>
        <v>0</v>
      </c>
      <c r="F22" s="1011">
        <f t="shared" si="11"/>
        <v>0</v>
      </c>
      <c r="G22" s="1011">
        <f t="shared" si="11"/>
        <v>0</v>
      </c>
      <c r="H22" s="1011">
        <f t="shared" si="11"/>
        <v>0</v>
      </c>
      <c r="I22" s="1011">
        <f t="shared" si="11"/>
        <v>0</v>
      </c>
      <c r="J22" s="1011">
        <f t="shared" si="11"/>
        <v>0</v>
      </c>
      <c r="K22" s="1011">
        <f t="shared" si="11"/>
        <v>0</v>
      </c>
      <c r="L22" s="1011">
        <f t="shared" si="11"/>
        <v>0</v>
      </c>
      <c r="M22" s="1011">
        <f t="shared" si="11"/>
        <v>0</v>
      </c>
      <c r="N22" s="1011">
        <f t="shared" si="11"/>
        <v>0</v>
      </c>
      <c r="O22" s="1011">
        <f>SUM(O20:O21)</f>
        <v>7667</v>
      </c>
      <c r="Q22" s="325"/>
    </row>
    <row r="23" spans="1:17">
      <c r="A23" s="325" t="s">
        <v>5394</v>
      </c>
      <c r="B23" s="325" t="s">
        <v>1953</v>
      </c>
      <c r="C23" s="55" t="s">
        <v>16072</v>
      </c>
      <c r="D23" s="330">
        <v>0</v>
      </c>
      <c r="E23" s="330">
        <v>0</v>
      </c>
      <c r="F23" s="330">
        <v>0</v>
      </c>
      <c r="G23" s="330">
        <v>0</v>
      </c>
      <c r="H23" s="330">
        <v>0</v>
      </c>
      <c r="I23" s="330">
        <v>0</v>
      </c>
      <c r="J23" s="330">
        <v>0</v>
      </c>
      <c r="K23" s="330">
        <v>0</v>
      </c>
      <c r="L23" s="330">
        <v>0</v>
      </c>
      <c r="M23" s="330">
        <v>0</v>
      </c>
      <c r="N23" s="330">
        <v>0</v>
      </c>
      <c r="O23" s="63">
        <v>8306</v>
      </c>
      <c r="Q23" s="325" t="s">
        <v>631</v>
      </c>
    </row>
    <row r="24" spans="1:17">
      <c r="A24" s="325" t="s">
        <v>5416</v>
      </c>
      <c r="B24" s="325" t="s">
        <v>16059</v>
      </c>
      <c r="C24" s="55" t="s">
        <v>16058</v>
      </c>
      <c r="D24" s="330">
        <v>0</v>
      </c>
      <c r="E24" s="330">
        <v>0</v>
      </c>
      <c r="F24" s="330">
        <v>0</v>
      </c>
      <c r="G24" s="330">
        <v>0</v>
      </c>
      <c r="H24" s="330">
        <v>0</v>
      </c>
      <c r="I24" s="330">
        <v>0</v>
      </c>
      <c r="J24" s="330">
        <v>0</v>
      </c>
      <c r="K24" s="330">
        <v>0</v>
      </c>
      <c r="L24" s="330">
        <v>0</v>
      </c>
      <c r="M24" s="330">
        <v>0</v>
      </c>
      <c r="N24" s="330">
        <v>0</v>
      </c>
      <c r="O24" s="63">
        <v>3874</v>
      </c>
      <c r="Q24" s="325" t="s">
        <v>629</v>
      </c>
    </row>
    <row r="25" spans="1:17">
      <c r="A25" s="325" t="s">
        <v>5418</v>
      </c>
      <c r="B25" s="325" t="s">
        <v>16074</v>
      </c>
      <c r="C25" s="55" t="s">
        <v>16073</v>
      </c>
      <c r="D25" s="330">
        <v>0</v>
      </c>
      <c r="E25" s="330">
        <v>0</v>
      </c>
      <c r="F25" s="330">
        <v>0</v>
      </c>
      <c r="G25" s="330">
        <v>0</v>
      </c>
      <c r="H25" s="330">
        <v>0</v>
      </c>
      <c r="I25" s="330">
        <v>0</v>
      </c>
      <c r="J25" s="330">
        <v>0</v>
      </c>
      <c r="K25" s="330">
        <v>0</v>
      </c>
      <c r="L25" s="330">
        <v>0</v>
      </c>
      <c r="M25" s="330">
        <v>0</v>
      </c>
      <c r="N25" s="330">
        <v>0</v>
      </c>
      <c r="O25" s="63">
        <v>8396</v>
      </c>
      <c r="Q25" s="325" t="s">
        <v>631</v>
      </c>
    </row>
    <row r="26" spans="1:17">
      <c r="A26" s="325" t="s">
        <v>5420</v>
      </c>
      <c r="B26" s="325" t="s">
        <v>16063</v>
      </c>
      <c r="C26" s="55" t="s">
        <v>16062</v>
      </c>
      <c r="D26" s="330">
        <v>0</v>
      </c>
      <c r="E26" s="330">
        <v>0</v>
      </c>
      <c r="F26" s="330">
        <v>0</v>
      </c>
      <c r="G26" s="330">
        <v>0</v>
      </c>
      <c r="H26" s="330">
        <v>0</v>
      </c>
      <c r="I26" s="330">
        <v>0</v>
      </c>
      <c r="J26" s="330">
        <v>0</v>
      </c>
      <c r="K26" s="330">
        <v>0</v>
      </c>
      <c r="L26" s="330">
        <v>0</v>
      </c>
      <c r="M26" s="330">
        <v>0</v>
      </c>
      <c r="N26" s="330">
        <v>0</v>
      </c>
      <c r="O26" s="63">
        <v>5359</v>
      </c>
      <c r="Q26" s="325" t="s">
        <v>629</v>
      </c>
    </row>
    <row r="27" spans="1:17">
      <c r="A27" s="325" t="s">
        <v>5422</v>
      </c>
      <c r="B27" s="325" t="s">
        <v>16065</v>
      </c>
      <c r="C27" s="55" t="s">
        <v>16064</v>
      </c>
      <c r="D27" s="330">
        <v>0</v>
      </c>
      <c r="E27" s="330">
        <v>0</v>
      </c>
      <c r="F27" s="330">
        <v>0</v>
      </c>
      <c r="G27" s="330">
        <v>0</v>
      </c>
      <c r="H27" s="330">
        <v>0</v>
      </c>
      <c r="I27" s="330">
        <v>0</v>
      </c>
      <c r="J27" s="330">
        <v>0</v>
      </c>
      <c r="K27" s="330">
        <v>0</v>
      </c>
      <c r="L27" s="330">
        <v>0</v>
      </c>
      <c r="M27" s="330">
        <v>0</v>
      </c>
      <c r="N27" s="330">
        <v>0</v>
      </c>
      <c r="O27" s="63">
        <v>7803</v>
      </c>
      <c r="Q27" s="325" t="s">
        <v>629</v>
      </c>
    </row>
    <row r="28" spans="1:17">
      <c r="A28" s="325" t="s">
        <v>5424</v>
      </c>
      <c r="B28" s="325" t="s">
        <v>16061</v>
      </c>
      <c r="C28" s="55" t="s">
        <v>16060</v>
      </c>
      <c r="D28" s="330">
        <v>0</v>
      </c>
      <c r="E28" s="330">
        <v>0</v>
      </c>
      <c r="F28" s="330">
        <v>0</v>
      </c>
      <c r="G28" s="330">
        <v>0</v>
      </c>
      <c r="H28" s="330">
        <v>0</v>
      </c>
      <c r="I28" s="330">
        <v>0</v>
      </c>
      <c r="J28" s="330">
        <v>0</v>
      </c>
      <c r="K28" s="330">
        <v>0</v>
      </c>
      <c r="L28" s="330">
        <v>0</v>
      </c>
      <c r="M28" s="330">
        <v>0</v>
      </c>
      <c r="N28" s="330">
        <v>0</v>
      </c>
      <c r="O28" s="63">
        <v>7820</v>
      </c>
      <c r="Q28" s="325" t="s">
        <v>629</v>
      </c>
    </row>
    <row r="29" spans="1:17">
      <c r="A29" s="325" t="s">
        <v>5426</v>
      </c>
      <c r="B29" s="325" t="s">
        <v>1955</v>
      </c>
      <c r="C29" s="55" t="s">
        <v>16075</v>
      </c>
      <c r="D29" s="330">
        <v>0</v>
      </c>
      <c r="E29" s="330">
        <v>0</v>
      </c>
      <c r="F29" s="330">
        <v>0</v>
      </c>
      <c r="G29" s="330">
        <v>0</v>
      </c>
      <c r="H29" s="330">
        <v>0</v>
      </c>
      <c r="I29" s="330">
        <v>0</v>
      </c>
      <c r="J29" s="330">
        <v>0</v>
      </c>
      <c r="K29" s="330">
        <v>0</v>
      </c>
      <c r="L29" s="330">
        <v>0</v>
      </c>
      <c r="M29" s="330">
        <v>0</v>
      </c>
      <c r="N29" s="330">
        <v>0</v>
      </c>
      <c r="O29" s="63">
        <v>5669</v>
      </c>
      <c r="Q29" s="325" t="s">
        <v>631</v>
      </c>
    </row>
    <row r="30" spans="1:17">
      <c r="A30" s="325" t="s">
        <v>5428</v>
      </c>
      <c r="B30" s="325" t="s">
        <v>1956</v>
      </c>
      <c r="C30" s="55" t="s">
        <v>16066</v>
      </c>
      <c r="D30" s="330">
        <v>0</v>
      </c>
      <c r="E30" s="330">
        <v>0</v>
      </c>
      <c r="F30" s="330">
        <v>0</v>
      </c>
      <c r="G30" s="330">
        <v>0</v>
      </c>
      <c r="H30" s="330">
        <v>0</v>
      </c>
      <c r="I30" s="330">
        <v>0</v>
      </c>
      <c r="J30" s="330">
        <v>0</v>
      </c>
      <c r="K30" s="330">
        <v>0</v>
      </c>
      <c r="L30" s="330">
        <v>0</v>
      </c>
      <c r="M30" s="330">
        <v>0</v>
      </c>
      <c r="N30" s="330">
        <v>0</v>
      </c>
      <c r="O30" s="63">
        <v>0</v>
      </c>
      <c r="Q30" s="325" t="s">
        <v>629</v>
      </c>
    </row>
    <row r="31" spans="1:17" ht="15.75" thickBot="1">
      <c r="B31" s="325"/>
      <c r="C31" s="55" t="s">
        <v>16066</v>
      </c>
      <c r="D31" s="330">
        <v>0</v>
      </c>
      <c r="E31" s="330">
        <v>0</v>
      </c>
      <c r="F31" s="330">
        <v>0</v>
      </c>
      <c r="G31" s="330">
        <v>0</v>
      </c>
      <c r="H31" s="330">
        <v>0</v>
      </c>
      <c r="I31" s="330">
        <v>0</v>
      </c>
      <c r="J31" s="330">
        <v>0</v>
      </c>
      <c r="K31" s="330">
        <v>0</v>
      </c>
      <c r="L31" s="330">
        <v>0</v>
      </c>
      <c r="M31" s="330">
        <v>0</v>
      </c>
      <c r="N31" s="330">
        <v>0</v>
      </c>
      <c r="O31" s="63">
        <v>6831</v>
      </c>
      <c r="Q31" s="325" t="s">
        <v>631</v>
      </c>
    </row>
    <row r="32" spans="1:17" ht="15.75" thickBot="1">
      <c r="B32" s="325"/>
      <c r="C32" s="55" t="s">
        <v>16066</v>
      </c>
      <c r="D32" s="1011">
        <f>SUM(D30:D31)</f>
        <v>0</v>
      </c>
      <c r="E32" s="1011">
        <f t="shared" ref="E32:N32" si="12">SUM(E30:E31)</f>
        <v>0</v>
      </c>
      <c r="F32" s="1011">
        <f t="shared" si="12"/>
        <v>0</v>
      </c>
      <c r="G32" s="1011">
        <f t="shared" si="12"/>
        <v>0</v>
      </c>
      <c r="H32" s="1011">
        <f t="shared" si="12"/>
        <v>0</v>
      </c>
      <c r="I32" s="1011">
        <f t="shared" si="12"/>
        <v>0</v>
      </c>
      <c r="J32" s="1011">
        <f t="shared" si="12"/>
        <v>0</v>
      </c>
      <c r="K32" s="1011">
        <f t="shared" si="12"/>
        <v>0</v>
      </c>
      <c r="L32" s="1011">
        <f t="shared" si="12"/>
        <v>0</v>
      </c>
      <c r="M32" s="1011">
        <f t="shared" si="12"/>
        <v>0</v>
      </c>
      <c r="N32" s="1011">
        <f t="shared" si="12"/>
        <v>0</v>
      </c>
      <c r="O32" s="1011">
        <f>SUM(O30:O31)</f>
        <v>6831</v>
      </c>
      <c r="Q32" s="325"/>
    </row>
    <row r="33" spans="1:17">
      <c r="A33" s="325" t="s">
        <v>5429</v>
      </c>
      <c r="B33" s="325" t="s">
        <v>1957</v>
      </c>
      <c r="C33" s="55" t="s">
        <v>16067</v>
      </c>
      <c r="D33" s="330">
        <v>0</v>
      </c>
      <c r="E33" s="330">
        <v>0</v>
      </c>
      <c r="F33" s="330">
        <v>0</v>
      </c>
      <c r="G33" s="330">
        <v>0</v>
      </c>
      <c r="H33" s="330">
        <v>0</v>
      </c>
      <c r="I33" s="330">
        <v>0</v>
      </c>
      <c r="J33" s="330">
        <v>0</v>
      </c>
      <c r="K33" s="330">
        <v>0</v>
      </c>
      <c r="L33" s="330">
        <v>0</v>
      </c>
      <c r="M33" s="330">
        <v>0</v>
      </c>
      <c r="N33" s="330">
        <v>0</v>
      </c>
      <c r="O33" s="63">
        <v>0</v>
      </c>
      <c r="Q33" s="325" t="s">
        <v>629</v>
      </c>
    </row>
    <row r="34" spans="1:17" ht="15.75" thickBot="1">
      <c r="B34" s="325"/>
      <c r="C34" s="55" t="s">
        <v>16067</v>
      </c>
      <c r="D34" s="330">
        <v>0</v>
      </c>
      <c r="E34" s="330">
        <v>0</v>
      </c>
      <c r="F34" s="330">
        <v>0</v>
      </c>
      <c r="G34" s="330">
        <v>0</v>
      </c>
      <c r="H34" s="330">
        <v>0</v>
      </c>
      <c r="I34" s="330">
        <v>0</v>
      </c>
      <c r="J34" s="330">
        <v>0</v>
      </c>
      <c r="K34" s="330">
        <v>0</v>
      </c>
      <c r="L34" s="330">
        <v>0</v>
      </c>
      <c r="M34" s="330">
        <v>0</v>
      </c>
      <c r="N34" s="330">
        <v>0</v>
      </c>
      <c r="O34" s="63">
        <v>7531</v>
      </c>
      <c r="Q34" s="325" t="s">
        <v>631</v>
      </c>
    </row>
    <row r="35" spans="1:17" ht="15.75" thickBot="1">
      <c r="B35" s="325"/>
      <c r="C35" s="55" t="s">
        <v>16067</v>
      </c>
      <c r="D35" s="1011">
        <f>SUM(D33:D34)</f>
        <v>0</v>
      </c>
      <c r="E35" s="1011">
        <f t="shared" ref="E35:N35" si="13">SUM(E33:E34)</f>
        <v>0</v>
      </c>
      <c r="F35" s="1011">
        <f t="shared" si="13"/>
        <v>0</v>
      </c>
      <c r="G35" s="1011">
        <f t="shared" si="13"/>
        <v>0</v>
      </c>
      <c r="H35" s="1011">
        <f t="shared" si="13"/>
        <v>0</v>
      </c>
      <c r="I35" s="1011">
        <f t="shared" si="13"/>
        <v>0</v>
      </c>
      <c r="J35" s="1011">
        <f t="shared" si="13"/>
        <v>0</v>
      </c>
      <c r="K35" s="1011">
        <f t="shared" si="13"/>
        <v>0</v>
      </c>
      <c r="L35" s="1011">
        <f t="shared" si="13"/>
        <v>0</v>
      </c>
      <c r="M35" s="1011">
        <f t="shared" si="13"/>
        <v>0</v>
      </c>
      <c r="N35" s="1011">
        <f t="shared" si="13"/>
        <v>0</v>
      </c>
      <c r="O35" s="1011">
        <f>SUM(O33:O34)</f>
        <v>7531</v>
      </c>
      <c r="Q35" s="325"/>
    </row>
    <row r="36" spans="1:17">
      <c r="A36" s="325" t="s">
        <v>5431</v>
      </c>
      <c r="B36" s="325" t="s">
        <v>1958</v>
      </c>
      <c r="C36" s="55" t="s">
        <v>16076</v>
      </c>
      <c r="D36" s="330">
        <v>0</v>
      </c>
      <c r="E36" s="330">
        <v>0</v>
      </c>
      <c r="F36" s="330">
        <v>0</v>
      </c>
      <c r="G36" s="330">
        <v>0</v>
      </c>
      <c r="H36" s="330">
        <v>0</v>
      </c>
      <c r="I36" s="330">
        <v>0</v>
      </c>
      <c r="J36" s="330">
        <v>0</v>
      </c>
      <c r="K36" s="330">
        <v>0</v>
      </c>
      <c r="L36" s="330">
        <v>0</v>
      </c>
      <c r="M36" s="330">
        <v>0</v>
      </c>
      <c r="N36" s="330">
        <v>0</v>
      </c>
      <c r="O36" s="63">
        <v>7706</v>
      </c>
      <c r="Q36" s="325" t="s">
        <v>631</v>
      </c>
    </row>
    <row r="37" spans="1:17">
      <c r="A37" s="325" t="s">
        <v>5433</v>
      </c>
      <c r="B37" s="325" t="s">
        <v>16078</v>
      </c>
      <c r="C37" s="55" t="s">
        <v>16077</v>
      </c>
      <c r="D37" s="330">
        <v>0</v>
      </c>
      <c r="E37" s="330">
        <v>0</v>
      </c>
      <c r="F37" s="330">
        <v>0</v>
      </c>
      <c r="G37" s="330">
        <v>0</v>
      </c>
      <c r="H37" s="330">
        <v>0</v>
      </c>
      <c r="I37" s="330">
        <v>0</v>
      </c>
      <c r="J37" s="330">
        <v>0</v>
      </c>
      <c r="K37" s="330">
        <v>0</v>
      </c>
      <c r="L37" s="330">
        <v>0</v>
      </c>
      <c r="M37" s="330">
        <v>0</v>
      </c>
      <c r="N37" s="330">
        <v>0</v>
      </c>
      <c r="O37" s="63">
        <v>7673</v>
      </c>
      <c r="Q37" s="325" t="s">
        <v>631</v>
      </c>
    </row>
    <row r="38" spans="1:17">
      <c r="A38" s="325" t="s">
        <v>5435</v>
      </c>
      <c r="B38" s="325" t="s">
        <v>1959</v>
      </c>
      <c r="C38" s="55" t="s">
        <v>16068</v>
      </c>
      <c r="D38" s="330">
        <v>0</v>
      </c>
      <c r="E38" s="330">
        <v>0</v>
      </c>
      <c r="F38" s="330">
        <v>0</v>
      </c>
      <c r="G38" s="330">
        <v>0</v>
      </c>
      <c r="H38" s="330">
        <v>0</v>
      </c>
      <c r="I38" s="330">
        <v>0</v>
      </c>
      <c r="J38" s="330">
        <v>0</v>
      </c>
      <c r="K38" s="330">
        <v>0</v>
      </c>
      <c r="L38" s="330">
        <v>0</v>
      </c>
      <c r="M38" s="330">
        <v>0</v>
      </c>
      <c r="N38" s="330">
        <v>0</v>
      </c>
      <c r="O38" s="63">
        <v>7336</v>
      </c>
      <c r="Q38" s="325" t="s">
        <v>629</v>
      </c>
    </row>
    <row r="39" spans="1:17" ht="15.75" thickBot="1">
      <c r="B39" s="325"/>
      <c r="C39" s="55" t="s">
        <v>16068</v>
      </c>
      <c r="D39" s="330">
        <v>0</v>
      </c>
      <c r="E39" s="330">
        <v>0</v>
      </c>
      <c r="F39" s="330">
        <v>0</v>
      </c>
      <c r="G39" s="330">
        <v>0</v>
      </c>
      <c r="H39" s="330">
        <v>0</v>
      </c>
      <c r="I39" s="330">
        <v>0</v>
      </c>
      <c r="J39" s="330">
        <v>0</v>
      </c>
      <c r="K39" s="330">
        <v>0</v>
      </c>
      <c r="L39" s="330">
        <v>0</v>
      </c>
      <c r="M39" s="330">
        <v>0</v>
      </c>
      <c r="N39" s="330">
        <v>0</v>
      </c>
      <c r="O39" s="63">
        <v>0</v>
      </c>
      <c r="Q39" s="325" t="s">
        <v>631</v>
      </c>
    </row>
    <row r="40" spans="1:17" ht="15.75" thickBot="1">
      <c r="B40" s="325"/>
      <c r="C40" s="55" t="s">
        <v>16068</v>
      </c>
      <c r="D40" s="1011">
        <f>SUM(D38:D39)</f>
        <v>0</v>
      </c>
      <c r="E40" s="1011">
        <f t="shared" ref="E40:N40" si="14">SUM(E38:E39)</f>
        <v>0</v>
      </c>
      <c r="F40" s="1011">
        <f t="shared" si="14"/>
        <v>0</v>
      </c>
      <c r="G40" s="1011">
        <f t="shared" si="14"/>
        <v>0</v>
      </c>
      <c r="H40" s="1011">
        <f t="shared" si="14"/>
        <v>0</v>
      </c>
      <c r="I40" s="1011">
        <f t="shared" si="14"/>
        <v>0</v>
      </c>
      <c r="J40" s="1011">
        <f t="shared" si="14"/>
        <v>0</v>
      </c>
      <c r="K40" s="1011">
        <f t="shared" si="14"/>
        <v>0</v>
      </c>
      <c r="L40" s="1011">
        <f t="shared" si="14"/>
        <v>0</v>
      </c>
      <c r="M40" s="1011">
        <f t="shared" si="14"/>
        <v>0</v>
      </c>
      <c r="N40" s="1011">
        <f t="shared" si="14"/>
        <v>0</v>
      </c>
      <c r="O40" s="1011">
        <f>SUM(O38:O39)</f>
        <v>7336</v>
      </c>
      <c r="Q40" s="325"/>
    </row>
    <row r="41" spans="1:17">
      <c r="A41" s="325" t="s">
        <v>5436</v>
      </c>
      <c r="B41" s="325" t="s">
        <v>1960</v>
      </c>
      <c r="C41" s="55" t="s">
        <v>16069</v>
      </c>
      <c r="D41" s="330">
        <v>0</v>
      </c>
      <c r="E41" s="330">
        <v>0</v>
      </c>
      <c r="F41" s="330">
        <v>0</v>
      </c>
      <c r="G41" s="330">
        <v>0</v>
      </c>
      <c r="H41" s="330">
        <v>0</v>
      </c>
      <c r="I41" s="330">
        <v>0</v>
      </c>
      <c r="J41" s="330">
        <v>0</v>
      </c>
      <c r="K41" s="330">
        <v>0</v>
      </c>
      <c r="L41" s="330">
        <v>0</v>
      </c>
      <c r="M41" s="330">
        <v>0</v>
      </c>
      <c r="N41" s="330">
        <v>0</v>
      </c>
      <c r="O41" s="63">
        <v>8320</v>
      </c>
      <c r="Q41" s="325" t="s">
        <v>629</v>
      </c>
    </row>
    <row r="42" spans="1:17">
      <c r="A42" s="325" t="s">
        <v>5437</v>
      </c>
      <c r="B42" s="325" t="s">
        <v>1961</v>
      </c>
      <c r="C42" s="55" t="s">
        <v>16070</v>
      </c>
      <c r="D42" s="330">
        <v>0</v>
      </c>
      <c r="E42" s="330">
        <v>0</v>
      </c>
      <c r="F42" s="330">
        <v>0</v>
      </c>
      <c r="G42" s="330">
        <v>0</v>
      </c>
      <c r="H42" s="330">
        <v>0</v>
      </c>
      <c r="I42" s="330">
        <v>0</v>
      </c>
      <c r="J42" s="330">
        <v>0</v>
      </c>
      <c r="K42" s="330">
        <v>0</v>
      </c>
      <c r="L42" s="330">
        <v>0</v>
      </c>
      <c r="M42" s="330">
        <v>0</v>
      </c>
      <c r="N42" s="330">
        <v>0</v>
      </c>
      <c r="O42" s="63">
        <v>8063</v>
      </c>
      <c r="Q42" s="325" t="s">
        <v>629</v>
      </c>
    </row>
    <row r="43" spans="1:17">
      <c r="A43" s="1010" t="s">
        <v>5439</v>
      </c>
      <c r="B43" s="325" t="s">
        <v>16080</v>
      </c>
      <c r="C43" s="55" t="s">
        <v>16079</v>
      </c>
      <c r="D43" s="330">
        <v>0</v>
      </c>
      <c r="E43" s="330">
        <v>0</v>
      </c>
      <c r="F43" s="330">
        <v>0</v>
      </c>
      <c r="G43" s="330">
        <v>0</v>
      </c>
      <c r="H43" s="330">
        <v>0</v>
      </c>
      <c r="I43" s="330">
        <v>0</v>
      </c>
      <c r="J43" s="330">
        <v>0</v>
      </c>
      <c r="K43" s="330">
        <v>0</v>
      </c>
      <c r="L43" s="330">
        <v>0</v>
      </c>
      <c r="M43" s="330">
        <v>0</v>
      </c>
      <c r="N43" s="330">
        <v>0</v>
      </c>
      <c r="O43" s="63">
        <v>5533</v>
      </c>
      <c r="Q43" s="325" t="s">
        <v>631</v>
      </c>
    </row>
    <row r="44" spans="1:17">
      <c r="A44" s="1010" t="s">
        <v>5441</v>
      </c>
      <c r="B44" s="325" t="s">
        <v>16082</v>
      </c>
      <c r="C44" s="55" t="s">
        <v>16081</v>
      </c>
      <c r="D44" s="330">
        <v>0</v>
      </c>
      <c r="E44" s="330">
        <v>0</v>
      </c>
      <c r="F44" s="330">
        <v>0</v>
      </c>
      <c r="G44" s="330">
        <v>0</v>
      </c>
      <c r="H44" s="330">
        <v>0</v>
      </c>
      <c r="I44" s="330">
        <v>0</v>
      </c>
      <c r="J44" s="330">
        <v>0</v>
      </c>
      <c r="K44" s="330">
        <v>0</v>
      </c>
      <c r="L44" s="330">
        <v>0</v>
      </c>
      <c r="M44" s="330">
        <v>0</v>
      </c>
      <c r="N44" s="330">
        <v>0</v>
      </c>
      <c r="O44" s="63">
        <v>5533</v>
      </c>
      <c r="Q44" s="325" t="s">
        <v>631</v>
      </c>
    </row>
    <row r="45" spans="1:17">
      <c r="A45" s="325"/>
      <c r="B45" s="325"/>
      <c r="C45" s="325"/>
      <c r="D45" s="327"/>
      <c r="E45" s="327"/>
      <c r="F45" s="327"/>
      <c r="G45" s="327"/>
      <c r="H45" s="327"/>
      <c r="I45" s="327"/>
      <c r="J45" s="327"/>
      <c r="K45" s="327"/>
      <c r="L45" s="327"/>
      <c r="Q45" s="325"/>
    </row>
    <row r="46" spans="1:17">
      <c r="A46" s="325" t="s">
        <v>1164</v>
      </c>
    </row>
    <row r="47" spans="1:17">
      <c r="A47" s="325" t="s">
        <v>16083</v>
      </c>
    </row>
    <row r="48" spans="1:17">
      <c r="A48" s="331"/>
    </row>
    <row r="49" spans="1:1">
      <c r="A49" s="1012" t="s">
        <v>16023</v>
      </c>
    </row>
    <row r="50" spans="1:1">
      <c r="A50" s="120" t="s">
        <v>16084</v>
      </c>
    </row>
    <row r="51" spans="1:1">
      <c r="A51" s="120" t="s">
        <v>16025</v>
      </c>
    </row>
    <row r="52" spans="1:1">
      <c r="A52" s="167" t="s">
        <v>16099</v>
      </c>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10:D15 E10:E15 F10:F15 G10:G15 H10:H15 I10:I15 J10:J15 K10:K15 L10:L1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Q59"/>
  <sheetViews>
    <sheetView showGridLines="0" topLeftCell="A40" zoomScale="90" zoomScaleNormal="90" workbookViewId="0">
      <selection activeCell="S31" sqref="S31"/>
    </sheetView>
  </sheetViews>
  <sheetFormatPr defaultColWidth="10" defaultRowHeight="15"/>
  <cols>
    <col min="1" max="1" width="4.85546875" style="171" customWidth="1"/>
    <col min="2" max="2" width="35.85546875" style="171" customWidth="1"/>
    <col min="3" max="3" width="11.5703125" style="171" customWidth="1"/>
    <col min="4" max="15" width="10" style="171" customWidth="1"/>
    <col min="16" max="16" width="2.28515625" style="171" customWidth="1"/>
    <col min="17" max="17" width="29.28515625" style="171" customWidth="1"/>
    <col min="18" max="16384" width="10" style="171"/>
  </cols>
  <sheetData>
    <row r="1" spans="1:17">
      <c r="A1" s="874" t="s">
        <v>5719</v>
      </c>
      <c r="D1" s="875">
        <v>2010</v>
      </c>
      <c r="E1" s="875">
        <v>2011</v>
      </c>
      <c r="F1" s="875">
        <v>2012</v>
      </c>
      <c r="G1" s="875">
        <v>2013</v>
      </c>
      <c r="H1" s="875">
        <v>2014</v>
      </c>
      <c r="I1" s="875">
        <v>2015</v>
      </c>
      <c r="J1" s="875">
        <v>2016</v>
      </c>
      <c r="K1" s="875">
        <v>2017</v>
      </c>
      <c r="L1" s="875">
        <v>2018</v>
      </c>
      <c r="M1" s="875">
        <v>2019</v>
      </c>
      <c r="N1" s="875">
        <v>2020</v>
      </c>
      <c r="O1" s="990" t="s">
        <v>14823</v>
      </c>
    </row>
    <row r="3" spans="1:17">
      <c r="A3" s="874" t="s">
        <v>4829</v>
      </c>
      <c r="D3" s="876">
        <f t="shared" ref="D3:L3" si="0">SUM(D25:D28,D30:D35,D37:D38,D40:D41,D43:D45,D47:D50,D52:D54)</f>
        <v>170905</v>
      </c>
      <c r="E3" s="876">
        <f t="shared" si="0"/>
        <v>169394</v>
      </c>
      <c r="F3" s="876">
        <f t="shared" si="0"/>
        <v>172498</v>
      </c>
      <c r="G3" s="876">
        <f t="shared" si="0"/>
        <v>173162</v>
      </c>
      <c r="H3" s="876">
        <f t="shared" si="0"/>
        <v>174087</v>
      </c>
      <c r="I3" s="876">
        <f t="shared" si="0"/>
        <v>171079</v>
      </c>
      <c r="J3" s="876">
        <f t="shared" si="0"/>
        <v>165238</v>
      </c>
      <c r="K3" s="876">
        <f t="shared" si="0"/>
        <v>168638</v>
      </c>
      <c r="L3" s="876">
        <f t="shared" si="0"/>
        <v>169261</v>
      </c>
      <c r="M3" s="876">
        <f>SUM(M25:M28,M30:M35,M37:M38,M40:M41,M43:M45,M47:M50,M52:M54)</f>
        <v>166593</v>
      </c>
      <c r="N3" s="876">
        <f>SUM(N25:N28,N30:N35,N37:N38,N40:N41,N43:N45,N47:N50,N52:N54)</f>
        <v>168303</v>
      </c>
      <c r="O3" s="876">
        <f>SUM(O25:O28,O30:O35,O37:O38,O40:O41,O43:O45,O47:O50,O52:O54)</f>
        <v>171610</v>
      </c>
    </row>
    <row r="4" spans="1:17">
      <c r="A4" s="874"/>
      <c r="D4" s="876"/>
      <c r="E4" s="876"/>
      <c r="F4" s="876"/>
      <c r="G4" s="876"/>
      <c r="H4" s="876"/>
      <c r="I4" s="876"/>
      <c r="J4" s="876"/>
      <c r="K4" s="876"/>
      <c r="L4" s="876"/>
      <c r="M4" s="876"/>
      <c r="N4" s="876"/>
      <c r="O4" s="876"/>
      <c r="P4" s="877"/>
      <c r="Q4" s="877"/>
    </row>
    <row r="5" spans="1:17">
      <c r="A5" s="874" t="s">
        <v>5720</v>
      </c>
      <c r="D5" s="876">
        <f t="shared" ref="D5:K5" si="1">D3/2</f>
        <v>85452.5</v>
      </c>
      <c r="E5" s="876">
        <f t="shared" si="1"/>
        <v>84697</v>
      </c>
      <c r="F5" s="876">
        <f t="shared" si="1"/>
        <v>86249</v>
      </c>
      <c r="G5" s="876">
        <f t="shared" si="1"/>
        <v>86581</v>
      </c>
      <c r="H5" s="876">
        <f t="shared" si="1"/>
        <v>87043.5</v>
      </c>
      <c r="I5" s="876">
        <f t="shared" si="1"/>
        <v>85539.5</v>
      </c>
      <c r="J5" s="876">
        <f t="shared" si="1"/>
        <v>82619</v>
      </c>
      <c r="K5" s="876">
        <f t="shared" si="1"/>
        <v>84319</v>
      </c>
      <c r="L5" s="876">
        <f>L3/2</f>
        <v>84630.5</v>
      </c>
      <c r="M5" s="876">
        <f>M3/2</f>
        <v>83296.5</v>
      </c>
      <c r="N5" s="876">
        <f>N3/2</f>
        <v>84151.5</v>
      </c>
      <c r="O5" s="876">
        <f>O3/2</f>
        <v>85805</v>
      </c>
    </row>
    <row r="6" spans="1:17">
      <c r="D6" s="878"/>
      <c r="E6" s="878"/>
      <c r="F6" s="878"/>
      <c r="G6" s="878"/>
      <c r="H6" s="878"/>
      <c r="I6" s="878"/>
      <c r="J6" s="878"/>
      <c r="K6" s="878"/>
      <c r="L6" s="878"/>
      <c r="M6" s="878"/>
      <c r="N6" s="878"/>
      <c r="O6" s="878"/>
    </row>
    <row r="7" spans="1:17">
      <c r="A7" s="874" t="s">
        <v>4830</v>
      </c>
      <c r="D7" s="876">
        <f t="shared" ref="D7:L7" si="2">SUM(D25,D27,D32:D34,D37,D40,D44,D49,D53)</f>
        <v>64791</v>
      </c>
      <c r="E7" s="876">
        <f t="shared" si="2"/>
        <v>64144</v>
      </c>
      <c r="F7" s="876">
        <f t="shared" si="2"/>
        <v>65252</v>
      </c>
      <c r="G7" s="876">
        <f t="shared" si="2"/>
        <v>65515</v>
      </c>
      <c r="H7" s="876">
        <f t="shared" si="2"/>
        <v>65942</v>
      </c>
      <c r="I7" s="876">
        <f t="shared" si="2"/>
        <v>65029</v>
      </c>
      <c r="J7" s="876">
        <f t="shared" si="2"/>
        <v>63243</v>
      </c>
      <c r="K7" s="876">
        <f t="shared" si="2"/>
        <v>64731</v>
      </c>
      <c r="L7" s="876">
        <f t="shared" si="2"/>
        <v>65015</v>
      </c>
      <c r="M7" s="876">
        <f>SUM(M25,M27,M32:M34,M37,M40,M44,M49,M53)</f>
        <v>64112</v>
      </c>
      <c r="N7" s="876">
        <f>SUM(N25,N27,N32:N34,N37,N40,N44,N49,N53)</f>
        <v>64753</v>
      </c>
      <c r="O7" s="876">
        <f>SUM(O25,O27,O32:O34,O37,O40,O44,O49,O53)</f>
        <v>65875</v>
      </c>
      <c r="P7" s="874"/>
      <c r="Q7" s="874" t="s">
        <v>5401</v>
      </c>
    </row>
    <row r="8" spans="1:17">
      <c r="D8" s="878"/>
      <c r="E8" s="878"/>
      <c r="F8" s="878"/>
      <c r="G8" s="878"/>
      <c r="H8" s="878"/>
      <c r="I8" s="878"/>
      <c r="J8" s="878"/>
      <c r="K8" s="878"/>
      <c r="L8" s="878"/>
      <c r="M8" s="878"/>
      <c r="N8" s="878"/>
      <c r="O8" s="878"/>
    </row>
    <row r="9" spans="1:17">
      <c r="A9" s="874" t="s">
        <v>5402</v>
      </c>
      <c r="D9" s="876">
        <f t="shared" ref="D9:L9" si="3">SUM(D26,D28,D38,D45,D50,D52,D54)</f>
        <v>40735</v>
      </c>
      <c r="E9" s="876">
        <f t="shared" si="3"/>
        <v>40089</v>
      </c>
      <c r="F9" s="876">
        <f t="shared" si="3"/>
        <v>40875</v>
      </c>
      <c r="G9" s="876">
        <f t="shared" si="3"/>
        <v>40846</v>
      </c>
      <c r="H9" s="876">
        <f t="shared" si="3"/>
        <v>40891</v>
      </c>
      <c r="I9" s="876">
        <f t="shared" si="3"/>
        <v>39908</v>
      </c>
      <c r="J9" s="876">
        <f t="shared" si="3"/>
        <v>37799</v>
      </c>
      <c r="K9" s="876">
        <f t="shared" si="3"/>
        <v>38622</v>
      </c>
      <c r="L9" s="876">
        <f t="shared" si="3"/>
        <v>38687</v>
      </c>
      <c r="M9" s="876">
        <f>SUM(M26,M28,M38,M45,M50,M52,M54)</f>
        <v>37883</v>
      </c>
      <c r="N9" s="876">
        <f>SUM(N26,N28,N38,N45,N50,N52,N54)</f>
        <v>38447</v>
      </c>
      <c r="O9" s="876">
        <f>SUM(O26,O28,O38,O45,O50,O52,O54)</f>
        <v>39328</v>
      </c>
      <c r="P9" s="874"/>
      <c r="Q9" s="874" t="s">
        <v>5401</v>
      </c>
    </row>
    <row r="10" spans="1:17" ht="15.75" thickBot="1">
      <c r="D10" s="879">
        <f>GREENWICH!D10</f>
        <v>28275</v>
      </c>
      <c r="E10" s="879">
        <f>GREENWICH!E10</f>
        <v>29629</v>
      </c>
      <c r="F10" s="879">
        <f>GREENWICH!F10</f>
        <v>29446</v>
      </c>
      <c r="G10" s="879">
        <f>GREENWICH!G10</f>
        <v>29462</v>
      </c>
      <c r="H10" s="879">
        <f>GREENWICH!H10</f>
        <v>29722</v>
      </c>
      <c r="I10" s="879">
        <f>GREENWICH!I10</f>
        <v>29892</v>
      </c>
      <c r="J10" s="879">
        <f>GREENWICH!J10</f>
        <v>28956</v>
      </c>
      <c r="K10" s="879">
        <f>GREENWICH!K10</f>
        <v>29355</v>
      </c>
      <c r="L10" s="879">
        <f>GREENWICH!L10</f>
        <v>29694</v>
      </c>
      <c r="M10" s="879">
        <f>GREENWICH!M10</f>
        <v>29243</v>
      </c>
      <c r="N10" s="879">
        <f>GREENWICH!N10</f>
        <v>29119</v>
      </c>
      <c r="O10" s="879">
        <f>GREENWICH!O10</f>
        <v>30201</v>
      </c>
      <c r="P10" s="874"/>
      <c r="Q10" s="874" t="s">
        <v>5403</v>
      </c>
    </row>
    <row r="11" spans="1:17" ht="15.75" thickBot="1">
      <c r="D11" s="879">
        <f t="shared" ref="D11:K11" si="4">D9+D10</f>
        <v>69010</v>
      </c>
      <c r="E11" s="879">
        <f t="shared" si="4"/>
        <v>69718</v>
      </c>
      <c r="F11" s="879">
        <f t="shared" si="4"/>
        <v>70321</v>
      </c>
      <c r="G11" s="879">
        <f t="shared" si="4"/>
        <v>70308</v>
      </c>
      <c r="H11" s="879">
        <f t="shared" si="4"/>
        <v>70613</v>
      </c>
      <c r="I11" s="879">
        <f t="shared" si="4"/>
        <v>69800</v>
      </c>
      <c r="J11" s="879">
        <f t="shared" si="4"/>
        <v>66755</v>
      </c>
      <c r="K11" s="879">
        <f t="shared" si="4"/>
        <v>67977</v>
      </c>
      <c r="L11" s="879">
        <f>L9+L10</f>
        <v>68381</v>
      </c>
      <c r="M11" s="879">
        <f>M9+M10</f>
        <v>67126</v>
      </c>
      <c r="N11" s="879">
        <f>N9+N10</f>
        <v>67566</v>
      </c>
      <c r="O11" s="879">
        <f>O9+O10</f>
        <v>69529</v>
      </c>
    </row>
    <row r="12" spans="1:17">
      <c r="D12" s="878"/>
      <c r="E12" s="878"/>
      <c r="F12" s="878"/>
      <c r="G12" s="878"/>
      <c r="H12" s="878"/>
      <c r="I12" s="878"/>
      <c r="J12" s="878"/>
      <c r="K12" s="878"/>
      <c r="L12" s="878"/>
      <c r="M12" s="878"/>
      <c r="N12" s="878"/>
      <c r="O12" s="878"/>
    </row>
    <row r="13" spans="1:17">
      <c r="A13" s="874" t="s">
        <v>5404</v>
      </c>
      <c r="D13" s="876">
        <f t="shared" ref="D13:L13" si="5">SUM(D30:D31,D35,D41,D43,D47:D48)</f>
        <v>65379</v>
      </c>
      <c r="E13" s="876">
        <f t="shared" si="5"/>
        <v>65161</v>
      </c>
      <c r="F13" s="876">
        <f t="shared" si="5"/>
        <v>66371</v>
      </c>
      <c r="G13" s="876">
        <f t="shared" si="5"/>
        <v>66801</v>
      </c>
      <c r="H13" s="876">
        <f t="shared" si="5"/>
        <v>67254</v>
      </c>
      <c r="I13" s="876">
        <f t="shared" si="5"/>
        <v>66142</v>
      </c>
      <c r="J13" s="876">
        <f t="shared" si="5"/>
        <v>64196</v>
      </c>
      <c r="K13" s="876">
        <f t="shared" si="5"/>
        <v>65285</v>
      </c>
      <c r="L13" s="876">
        <f t="shared" si="5"/>
        <v>65559</v>
      </c>
      <c r="M13" s="876">
        <f>SUM(M30:M31,M35,M41,M43,M47:M48)</f>
        <v>64598</v>
      </c>
      <c r="N13" s="876">
        <f>SUM(N30:N31,N35,N41,N43,N47:N48)</f>
        <v>65103</v>
      </c>
      <c r="O13" s="876">
        <f>SUM(O30:O31,O35,O41,O43,O47:O48)</f>
        <v>66407</v>
      </c>
      <c r="P13" s="874"/>
      <c r="Q13" s="874" t="s">
        <v>5401</v>
      </c>
    </row>
    <row r="14" spans="1:17" s="76" customFormat="1">
      <c r="D14" s="199"/>
      <c r="E14" s="199"/>
      <c r="F14" s="199"/>
      <c r="G14" s="199"/>
      <c r="H14" s="199"/>
      <c r="I14" s="199"/>
      <c r="J14" s="199"/>
      <c r="K14" s="199"/>
      <c r="L14" s="199"/>
      <c r="M14" s="199"/>
      <c r="N14" s="199"/>
      <c r="O14" s="199"/>
    </row>
    <row r="15" spans="1:17">
      <c r="A15" s="874" t="s">
        <v>5405</v>
      </c>
      <c r="D15" s="876">
        <f>GREENWICH!D7</f>
        <v>62005</v>
      </c>
      <c r="E15" s="876">
        <f>GREENWICH!E7</f>
        <v>63059</v>
      </c>
      <c r="F15" s="876">
        <f>GREENWICH!F7</f>
        <v>61991</v>
      </c>
      <c r="G15" s="876">
        <f>GREENWICH!G7</f>
        <v>62204</v>
      </c>
      <c r="H15" s="876">
        <f>GREENWICH!H7</f>
        <v>61972</v>
      </c>
      <c r="I15" s="876">
        <f>GREENWICH!I7</f>
        <v>62156</v>
      </c>
      <c r="J15" s="876">
        <f>GREENWICH!J7</f>
        <v>61794</v>
      </c>
      <c r="K15" s="876">
        <f>GREENWICH!K7</f>
        <v>62575</v>
      </c>
      <c r="L15" s="876">
        <f>GREENWICH!L7</f>
        <v>62325</v>
      </c>
      <c r="M15" s="876">
        <f>GREENWICH!M7</f>
        <v>61794</v>
      </c>
      <c r="N15" s="876">
        <f>GREENWICH!N7</f>
        <v>61876</v>
      </c>
      <c r="O15" s="876">
        <f>GREENWICH!O7</f>
        <v>64213</v>
      </c>
      <c r="P15" s="874"/>
      <c r="Q15" s="874" t="s">
        <v>5403</v>
      </c>
    </row>
    <row r="16" spans="1:17" s="76" customFormat="1">
      <c r="D16" s="199"/>
      <c r="E16" s="199"/>
      <c r="F16" s="199"/>
      <c r="G16" s="199"/>
      <c r="H16" s="199"/>
      <c r="I16" s="199"/>
      <c r="J16" s="199"/>
      <c r="K16" s="199"/>
      <c r="L16" s="199"/>
      <c r="M16" s="199"/>
      <c r="N16" s="199"/>
      <c r="O16" s="199"/>
    </row>
    <row r="17" spans="1:17">
      <c r="A17" s="874" t="s">
        <v>5406</v>
      </c>
      <c r="D17" s="876">
        <f>GREENWICH!D13</f>
        <v>62950</v>
      </c>
      <c r="E17" s="876">
        <f>GREENWICH!E13</f>
        <v>66982</v>
      </c>
      <c r="F17" s="876">
        <f>GREENWICH!F13</f>
        <v>67334</v>
      </c>
      <c r="G17" s="876">
        <f>GREENWICH!G13</f>
        <v>68203</v>
      </c>
      <c r="H17" s="876">
        <f>GREENWICH!H13</f>
        <v>68195</v>
      </c>
      <c r="I17" s="876">
        <f>GREENWICH!I13</f>
        <v>69120</v>
      </c>
      <c r="J17" s="876">
        <f>GREENWICH!J13</f>
        <v>69753</v>
      </c>
      <c r="K17" s="876">
        <f>GREENWICH!K13</f>
        <v>72412</v>
      </c>
      <c r="L17" s="876">
        <f>GREENWICH!L13</f>
        <v>73671</v>
      </c>
      <c r="M17" s="876">
        <f>GREENWICH!M13</f>
        <v>73514</v>
      </c>
      <c r="N17" s="876">
        <f>GREENWICH!N13</f>
        <v>74784</v>
      </c>
      <c r="O17" s="876">
        <f>GREENWICH!O13</f>
        <v>79909</v>
      </c>
      <c r="P17" s="874"/>
      <c r="Q17" s="874" t="s">
        <v>5403</v>
      </c>
    </row>
    <row r="18" spans="1:17">
      <c r="D18" s="878"/>
      <c r="E18" s="878"/>
      <c r="F18" s="878"/>
      <c r="G18" s="878"/>
      <c r="H18" s="878"/>
      <c r="I18" s="878"/>
      <c r="J18" s="878"/>
      <c r="K18" s="878"/>
      <c r="L18" s="878"/>
      <c r="M18" s="878"/>
      <c r="N18" s="878"/>
      <c r="O18" s="878"/>
    </row>
    <row r="19" spans="1:17">
      <c r="A19" s="874" t="s">
        <v>6796</v>
      </c>
      <c r="D19" s="876">
        <f t="shared" ref="D19:K19" si="6">D7+D9+D13</f>
        <v>170905</v>
      </c>
      <c r="E19" s="876">
        <f t="shared" si="6"/>
        <v>169394</v>
      </c>
      <c r="F19" s="876">
        <f t="shared" si="6"/>
        <v>172498</v>
      </c>
      <c r="G19" s="876">
        <f t="shared" si="6"/>
        <v>173162</v>
      </c>
      <c r="H19" s="876">
        <f t="shared" si="6"/>
        <v>174087</v>
      </c>
      <c r="I19" s="876">
        <f t="shared" si="6"/>
        <v>171079</v>
      </c>
      <c r="J19" s="876">
        <f t="shared" si="6"/>
        <v>165238</v>
      </c>
      <c r="K19" s="876">
        <f t="shared" si="6"/>
        <v>168638</v>
      </c>
      <c r="L19" s="876">
        <f>L7+L9+L13</f>
        <v>169261</v>
      </c>
      <c r="M19" s="876">
        <f>M7+M9+M13</f>
        <v>166593</v>
      </c>
      <c r="N19" s="876">
        <f>N7+N9+N13</f>
        <v>168303</v>
      </c>
      <c r="O19" s="876">
        <f>O7+O9+O13</f>
        <v>171610</v>
      </c>
    </row>
    <row r="20" spans="1:17">
      <c r="D20" s="878"/>
      <c r="E20" s="878"/>
      <c r="F20" s="878"/>
      <c r="G20" s="878"/>
      <c r="H20" s="878"/>
      <c r="I20" s="878"/>
      <c r="J20" s="878"/>
      <c r="K20" s="878"/>
      <c r="L20" s="878"/>
      <c r="M20" s="878"/>
      <c r="N20" s="878"/>
      <c r="O20" s="878"/>
    </row>
    <row r="21" spans="1:17">
      <c r="A21" s="874" t="s">
        <v>6797</v>
      </c>
      <c r="D21" s="876">
        <f t="shared" ref="D21:K21" si="7">MAX(D7,D11,D13,D15,D17)-MIN(D7,D11,D13,D15,D17)</f>
        <v>7005</v>
      </c>
      <c r="E21" s="876">
        <f t="shared" si="7"/>
        <v>6659</v>
      </c>
      <c r="F21" s="876">
        <f t="shared" si="7"/>
        <v>8330</v>
      </c>
      <c r="G21" s="876">
        <f t="shared" si="7"/>
        <v>8104</v>
      </c>
      <c r="H21" s="876">
        <f t="shared" si="7"/>
        <v>8641</v>
      </c>
      <c r="I21" s="876">
        <f t="shared" si="7"/>
        <v>7644</v>
      </c>
      <c r="J21" s="876">
        <f t="shared" si="7"/>
        <v>7959</v>
      </c>
      <c r="K21" s="876">
        <f t="shared" si="7"/>
        <v>9837</v>
      </c>
      <c r="L21" s="876">
        <f>MAX(L7,L11,L13,L15,L17)-MIN(L7,L11,L13,L15,L17)</f>
        <v>11346</v>
      </c>
      <c r="M21" s="876">
        <f>MAX(M7,M11,M13,M15,M17)-MIN(M7,M11,M13,M15,M17)</f>
        <v>11720</v>
      </c>
      <c r="N21" s="876">
        <f>MAX(N7,N11,N13,N15,N17)-MIN(N7,N11,N13,N15,N17)</f>
        <v>12908</v>
      </c>
      <c r="O21" s="876">
        <f>MAX(O7,O11,O13,O15,O17)-MIN(O7,O11,O13,O15,O17)</f>
        <v>15696</v>
      </c>
    </row>
    <row r="22" spans="1:17">
      <c r="D22" s="878"/>
      <c r="E22" s="878"/>
      <c r="F22" s="878"/>
      <c r="G22" s="878"/>
      <c r="H22" s="878"/>
      <c r="I22" s="878"/>
      <c r="J22" s="878"/>
      <c r="K22" s="878"/>
      <c r="L22" s="878"/>
      <c r="M22" s="878"/>
      <c r="N22" s="878"/>
      <c r="O22" s="878"/>
    </row>
    <row r="23" spans="1:17">
      <c r="A23" s="874" t="s">
        <v>6800</v>
      </c>
      <c r="D23" s="876">
        <f t="shared" ref="D23:K23" si="8">STDEVP(D7,D11,D13,D15,D17)</f>
        <v>2420.3430335388412</v>
      </c>
      <c r="E23" s="876">
        <f t="shared" si="8"/>
        <v>2341.3998718715261</v>
      </c>
      <c r="F23" s="876">
        <f t="shared" si="8"/>
        <v>2716.5327459833793</v>
      </c>
      <c r="G23" s="876">
        <f t="shared" si="8"/>
        <v>2715.184074791247</v>
      </c>
      <c r="H23" s="876">
        <f t="shared" si="8"/>
        <v>2854.3560674870259</v>
      </c>
      <c r="I23" s="876">
        <f t="shared" si="8"/>
        <v>2789.4063597833856</v>
      </c>
      <c r="J23" s="876">
        <f t="shared" si="8"/>
        <v>2813.2941118908984</v>
      </c>
      <c r="K23" s="876">
        <f t="shared" si="8"/>
        <v>3379.3018213826358</v>
      </c>
      <c r="L23" s="876">
        <f>STDEVP(L7,L11,L13,L15,L17)</f>
        <v>3854.3806973364735</v>
      </c>
      <c r="M23" s="876">
        <f>STDEVP(M7,M11,M13,M15,M17)</f>
        <v>4017.1360146253451</v>
      </c>
      <c r="N23" s="876">
        <f>STDEVP(N7,N11,N13,N15,N17)</f>
        <v>4373.6817716884707</v>
      </c>
      <c r="O23" s="876">
        <f>STDEVP(O7,O11,O13,O15,O17)</f>
        <v>5630.5713244749859</v>
      </c>
    </row>
    <row r="24" spans="1:17">
      <c r="D24" s="878"/>
      <c r="E24" s="878"/>
      <c r="F24" s="878"/>
      <c r="G24" s="878"/>
      <c r="H24" s="878"/>
      <c r="I24" s="878"/>
      <c r="J24" s="878"/>
      <c r="K24" s="878"/>
      <c r="L24" s="878"/>
      <c r="M24" s="878"/>
      <c r="N24" s="878"/>
      <c r="O24" s="878"/>
    </row>
    <row r="25" spans="1:17">
      <c r="A25" s="874" t="s">
        <v>5387</v>
      </c>
      <c r="B25" s="171" t="s">
        <v>5407</v>
      </c>
      <c r="C25" s="55" t="s">
        <v>12540</v>
      </c>
      <c r="D25" s="880">
        <v>64791</v>
      </c>
      <c r="E25" s="880">
        <v>64144</v>
      </c>
      <c r="F25" s="880">
        <v>65252</v>
      </c>
      <c r="G25" s="880">
        <v>65515</v>
      </c>
      <c r="H25" s="880">
        <v>65942</v>
      </c>
      <c r="I25" s="880">
        <v>65029</v>
      </c>
      <c r="J25" s="880">
        <v>63243</v>
      </c>
      <c r="K25" s="880">
        <v>64731</v>
      </c>
      <c r="L25" s="880">
        <v>65015</v>
      </c>
      <c r="M25" s="63">
        <v>8103</v>
      </c>
      <c r="N25" s="63">
        <v>8212</v>
      </c>
      <c r="O25" s="63">
        <v>8351</v>
      </c>
      <c r="P25" s="874"/>
      <c r="Q25" s="874" t="s">
        <v>4830</v>
      </c>
    </row>
    <row r="26" spans="1:17">
      <c r="A26" s="874" t="s">
        <v>5389</v>
      </c>
      <c r="B26" s="171" t="s">
        <v>5408</v>
      </c>
      <c r="C26" s="55" t="s">
        <v>12541</v>
      </c>
      <c r="D26" s="880">
        <v>40735</v>
      </c>
      <c r="E26" s="880">
        <v>40089</v>
      </c>
      <c r="F26" s="880">
        <v>40875</v>
      </c>
      <c r="G26" s="880">
        <v>40846</v>
      </c>
      <c r="H26" s="880">
        <v>40891</v>
      </c>
      <c r="I26" s="880">
        <v>39908</v>
      </c>
      <c r="J26" s="880">
        <v>37799</v>
      </c>
      <c r="K26" s="880">
        <v>38622</v>
      </c>
      <c r="L26" s="880">
        <v>38687</v>
      </c>
      <c r="M26" s="63">
        <v>10471</v>
      </c>
      <c r="N26" s="63">
        <v>10636</v>
      </c>
      <c r="O26" s="63">
        <v>10842</v>
      </c>
      <c r="P26" s="874"/>
      <c r="Q26" s="874" t="s">
        <v>5402</v>
      </c>
    </row>
    <row r="27" spans="1:17">
      <c r="A27" s="874" t="s">
        <v>5391</v>
      </c>
      <c r="B27" s="171" t="s">
        <v>12533</v>
      </c>
      <c r="C27" s="55" t="s">
        <v>12542</v>
      </c>
      <c r="D27" s="880">
        <v>0</v>
      </c>
      <c r="E27" s="880">
        <v>0</v>
      </c>
      <c r="F27" s="880">
        <v>0</v>
      </c>
      <c r="G27" s="880">
        <v>0</v>
      </c>
      <c r="H27" s="880">
        <v>0</v>
      </c>
      <c r="I27" s="880">
        <v>0</v>
      </c>
      <c r="J27" s="880">
        <v>0</v>
      </c>
      <c r="K27" s="880">
        <v>0</v>
      </c>
      <c r="L27" s="880">
        <v>0</v>
      </c>
      <c r="M27" s="63">
        <v>11285</v>
      </c>
      <c r="N27" s="63">
        <v>11355</v>
      </c>
      <c r="O27" s="63">
        <v>11479</v>
      </c>
      <c r="P27" s="874"/>
      <c r="Q27" s="874" t="s">
        <v>4830</v>
      </c>
    </row>
    <row r="28" spans="1:17" ht="15.75" thickBot="1">
      <c r="C28" s="55" t="s">
        <v>12542</v>
      </c>
      <c r="D28" s="880">
        <v>0</v>
      </c>
      <c r="E28" s="880">
        <v>0</v>
      </c>
      <c r="F28" s="880">
        <v>0</v>
      </c>
      <c r="G28" s="880">
        <v>0</v>
      </c>
      <c r="H28" s="880">
        <v>0</v>
      </c>
      <c r="I28" s="880">
        <v>0</v>
      </c>
      <c r="J28" s="880">
        <v>0</v>
      </c>
      <c r="K28" s="880">
        <v>0</v>
      </c>
      <c r="L28" s="880">
        <v>0</v>
      </c>
      <c r="M28" s="63">
        <v>99</v>
      </c>
      <c r="N28" s="63">
        <v>98</v>
      </c>
      <c r="O28" s="63">
        <v>96</v>
      </c>
      <c r="P28" s="874"/>
      <c r="Q28" s="874" t="s">
        <v>5402</v>
      </c>
    </row>
    <row r="29" spans="1:17" ht="15.75" thickBot="1">
      <c r="A29" s="874"/>
      <c r="C29" s="55" t="s">
        <v>12542</v>
      </c>
      <c r="D29" s="881">
        <f t="shared" ref="D29:M29" si="9">D27+D28</f>
        <v>0</v>
      </c>
      <c r="E29" s="881">
        <f t="shared" si="9"/>
        <v>0</v>
      </c>
      <c r="F29" s="881">
        <f t="shared" si="9"/>
        <v>0</v>
      </c>
      <c r="G29" s="881">
        <f t="shared" si="9"/>
        <v>0</v>
      </c>
      <c r="H29" s="881">
        <f t="shared" si="9"/>
        <v>0</v>
      </c>
      <c r="I29" s="881">
        <f t="shared" si="9"/>
        <v>0</v>
      </c>
      <c r="J29" s="881">
        <f t="shared" si="9"/>
        <v>0</v>
      </c>
      <c r="K29" s="881">
        <f t="shared" si="9"/>
        <v>0</v>
      </c>
      <c r="L29" s="881">
        <f t="shared" si="9"/>
        <v>0</v>
      </c>
      <c r="M29" s="881">
        <f t="shared" si="9"/>
        <v>11384</v>
      </c>
      <c r="N29" s="881">
        <f>N27+N28</f>
        <v>11453</v>
      </c>
      <c r="O29" s="881">
        <f>O27+O28</f>
        <v>11575</v>
      </c>
      <c r="P29" s="874"/>
      <c r="Q29" s="874"/>
    </row>
    <row r="30" spans="1:17">
      <c r="A30" s="874" t="s">
        <v>5393</v>
      </c>
      <c r="B30" s="171" t="s">
        <v>12537</v>
      </c>
      <c r="C30" s="55" t="s">
        <v>12543</v>
      </c>
      <c r="D30" s="880">
        <v>65379</v>
      </c>
      <c r="E30" s="880">
        <v>65161</v>
      </c>
      <c r="F30" s="880">
        <v>66371</v>
      </c>
      <c r="G30" s="880">
        <v>66801</v>
      </c>
      <c r="H30" s="880">
        <v>67254</v>
      </c>
      <c r="I30" s="880">
        <v>66142</v>
      </c>
      <c r="J30" s="880">
        <v>64196</v>
      </c>
      <c r="K30" s="880">
        <v>65285</v>
      </c>
      <c r="L30" s="880">
        <v>65559</v>
      </c>
      <c r="M30" s="63">
        <v>11834</v>
      </c>
      <c r="N30" s="63">
        <v>11859</v>
      </c>
      <c r="O30" s="63">
        <v>12057</v>
      </c>
      <c r="P30" s="874"/>
      <c r="Q30" s="874" t="s">
        <v>5404</v>
      </c>
    </row>
    <row r="31" spans="1:17">
      <c r="A31" s="874" t="s">
        <v>5394</v>
      </c>
      <c r="B31" s="171" t="s">
        <v>12538</v>
      </c>
      <c r="C31" s="55" t="s">
        <v>12544</v>
      </c>
      <c r="D31" s="880">
        <v>0</v>
      </c>
      <c r="E31" s="880">
        <v>0</v>
      </c>
      <c r="F31" s="880">
        <v>0</v>
      </c>
      <c r="G31" s="880">
        <v>0</v>
      </c>
      <c r="H31" s="880">
        <v>0</v>
      </c>
      <c r="I31" s="880">
        <v>0</v>
      </c>
      <c r="J31" s="880">
        <v>0</v>
      </c>
      <c r="K31" s="880">
        <v>0</v>
      </c>
      <c r="L31" s="880">
        <v>0</v>
      </c>
      <c r="M31" s="63">
        <v>11634</v>
      </c>
      <c r="N31" s="63">
        <v>11606</v>
      </c>
      <c r="O31" s="63">
        <v>11848</v>
      </c>
      <c r="P31" s="874"/>
      <c r="Q31" s="874" t="s">
        <v>5404</v>
      </c>
    </row>
    <row r="32" spans="1:17">
      <c r="A32" s="874" t="s">
        <v>5416</v>
      </c>
      <c r="B32" s="171" t="s">
        <v>5410</v>
      </c>
      <c r="C32" s="55" t="s">
        <v>12545</v>
      </c>
      <c r="D32" s="880">
        <v>0</v>
      </c>
      <c r="E32" s="880">
        <v>0</v>
      </c>
      <c r="F32" s="880">
        <v>0</v>
      </c>
      <c r="G32" s="880">
        <v>0</v>
      </c>
      <c r="H32" s="880">
        <v>0</v>
      </c>
      <c r="I32" s="880">
        <v>0</v>
      </c>
      <c r="J32" s="880">
        <v>0</v>
      </c>
      <c r="K32" s="880">
        <v>0</v>
      </c>
      <c r="L32" s="880">
        <v>0</v>
      </c>
      <c r="M32" s="63">
        <v>10644</v>
      </c>
      <c r="N32" s="63">
        <v>10717</v>
      </c>
      <c r="O32" s="63">
        <v>10936</v>
      </c>
      <c r="P32" s="874"/>
      <c r="Q32" s="874" t="s">
        <v>4830</v>
      </c>
    </row>
    <row r="33" spans="1:17">
      <c r="A33" s="874" t="s">
        <v>5418</v>
      </c>
      <c r="B33" s="171" t="s">
        <v>12534</v>
      </c>
      <c r="C33" s="55" t="s">
        <v>12546</v>
      </c>
      <c r="D33" s="880">
        <v>0</v>
      </c>
      <c r="E33" s="880">
        <v>0</v>
      </c>
      <c r="F33" s="880">
        <v>0</v>
      </c>
      <c r="G33" s="880">
        <v>0</v>
      </c>
      <c r="H33" s="880">
        <v>0</v>
      </c>
      <c r="I33" s="880">
        <v>0</v>
      </c>
      <c r="J33" s="880">
        <v>0</v>
      </c>
      <c r="K33" s="880">
        <v>0</v>
      </c>
      <c r="L33" s="880">
        <v>0</v>
      </c>
      <c r="M33" s="63">
        <v>11413</v>
      </c>
      <c r="N33" s="63">
        <v>11542</v>
      </c>
      <c r="O33" s="63">
        <v>11686</v>
      </c>
      <c r="P33" s="874"/>
      <c r="Q33" s="874" t="s">
        <v>4830</v>
      </c>
    </row>
    <row r="34" spans="1:17">
      <c r="A34" s="874" t="s">
        <v>5420</v>
      </c>
      <c r="B34" s="171" t="s">
        <v>5411</v>
      </c>
      <c r="C34" s="55" t="s">
        <v>12547</v>
      </c>
      <c r="D34" s="880">
        <v>0</v>
      </c>
      <c r="E34" s="880">
        <v>0</v>
      </c>
      <c r="F34" s="880">
        <v>0</v>
      </c>
      <c r="G34" s="880">
        <v>0</v>
      </c>
      <c r="H34" s="880">
        <v>0</v>
      </c>
      <c r="I34" s="880">
        <v>0</v>
      </c>
      <c r="J34" s="880">
        <v>0</v>
      </c>
      <c r="K34" s="880">
        <v>0</v>
      </c>
      <c r="L34" s="880">
        <v>0</v>
      </c>
      <c r="M34" s="63">
        <v>3333</v>
      </c>
      <c r="N34" s="63">
        <v>3321</v>
      </c>
      <c r="O34" s="63">
        <v>3393</v>
      </c>
      <c r="P34" s="874"/>
      <c r="Q34" s="874" t="s">
        <v>4830</v>
      </c>
    </row>
    <row r="35" spans="1:17" ht="15.75" thickBot="1">
      <c r="C35" s="55" t="s">
        <v>12547</v>
      </c>
      <c r="D35" s="880">
        <v>0</v>
      </c>
      <c r="E35" s="880">
        <v>0</v>
      </c>
      <c r="F35" s="880">
        <v>0</v>
      </c>
      <c r="G35" s="880">
        <v>0</v>
      </c>
      <c r="H35" s="880">
        <v>0</v>
      </c>
      <c r="I35" s="880">
        <v>0</v>
      </c>
      <c r="J35" s="880">
        <v>0</v>
      </c>
      <c r="K35" s="880">
        <v>0</v>
      </c>
      <c r="L35" s="880">
        <v>0</v>
      </c>
      <c r="M35" s="63">
        <v>7964</v>
      </c>
      <c r="N35" s="63">
        <v>7945</v>
      </c>
      <c r="O35" s="63">
        <v>8078</v>
      </c>
      <c r="P35" s="874"/>
      <c r="Q35" s="874" t="s">
        <v>5404</v>
      </c>
    </row>
    <row r="36" spans="1:17" ht="15.75" thickBot="1">
      <c r="C36" s="55" t="s">
        <v>12547</v>
      </c>
      <c r="D36" s="881">
        <f t="shared" ref="D36:M36" si="10">D34+D35</f>
        <v>0</v>
      </c>
      <c r="E36" s="881">
        <f t="shared" si="10"/>
        <v>0</v>
      </c>
      <c r="F36" s="881">
        <f t="shared" si="10"/>
        <v>0</v>
      </c>
      <c r="G36" s="881">
        <f t="shared" si="10"/>
        <v>0</v>
      </c>
      <c r="H36" s="881">
        <f t="shared" si="10"/>
        <v>0</v>
      </c>
      <c r="I36" s="881">
        <f t="shared" si="10"/>
        <v>0</v>
      </c>
      <c r="J36" s="881">
        <f t="shared" si="10"/>
        <v>0</v>
      </c>
      <c r="K36" s="881">
        <f t="shared" si="10"/>
        <v>0</v>
      </c>
      <c r="L36" s="881">
        <f t="shared" si="10"/>
        <v>0</v>
      </c>
      <c r="M36" s="881">
        <f t="shared" si="10"/>
        <v>11297</v>
      </c>
      <c r="N36" s="881">
        <f>N34+N35</f>
        <v>11266</v>
      </c>
      <c r="O36" s="881">
        <f>O34+O35</f>
        <v>11471</v>
      </c>
      <c r="P36" s="874"/>
      <c r="Q36" s="874"/>
    </row>
    <row r="37" spans="1:17">
      <c r="A37" s="874" t="s">
        <v>5422</v>
      </c>
      <c r="B37" s="171" t="s">
        <v>5412</v>
      </c>
      <c r="C37" s="55" t="s">
        <v>12548</v>
      </c>
      <c r="D37" s="880">
        <v>0</v>
      </c>
      <c r="E37" s="880">
        <v>0</v>
      </c>
      <c r="F37" s="880">
        <v>0</v>
      </c>
      <c r="G37" s="880">
        <v>0</v>
      </c>
      <c r="H37" s="880">
        <v>0</v>
      </c>
      <c r="I37" s="880">
        <v>0</v>
      </c>
      <c r="J37" s="880">
        <v>0</v>
      </c>
      <c r="K37" s="880">
        <v>0</v>
      </c>
      <c r="L37" s="880">
        <v>0</v>
      </c>
      <c r="M37" s="63">
        <v>835</v>
      </c>
      <c r="N37" s="63">
        <v>899</v>
      </c>
      <c r="O37" s="63">
        <v>945</v>
      </c>
      <c r="P37" s="874"/>
      <c r="Q37" s="874" t="s">
        <v>4830</v>
      </c>
    </row>
    <row r="38" spans="1:17" ht="15.75" thickBot="1">
      <c r="A38" s="874"/>
      <c r="C38" s="55" t="s">
        <v>12548</v>
      </c>
      <c r="D38" s="880">
        <v>0</v>
      </c>
      <c r="E38" s="880">
        <v>0</v>
      </c>
      <c r="F38" s="880">
        <v>0</v>
      </c>
      <c r="G38" s="880">
        <v>0</v>
      </c>
      <c r="H38" s="880">
        <v>0</v>
      </c>
      <c r="I38" s="880">
        <v>0</v>
      </c>
      <c r="J38" s="880">
        <v>0</v>
      </c>
      <c r="K38" s="880">
        <v>0</v>
      </c>
      <c r="L38" s="880">
        <v>0</v>
      </c>
      <c r="M38" s="63">
        <v>5954</v>
      </c>
      <c r="N38" s="63">
        <v>6160</v>
      </c>
      <c r="O38" s="63">
        <v>6364</v>
      </c>
      <c r="P38" s="874"/>
      <c r="Q38" s="874" t="s">
        <v>5402</v>
      </c>
    </row>
    <row r="39" spans="1:17" ht="15.75" thickBot="1">
      <c r="A39" s="874"/>
      <c r="C39" s="55" t="s">
        <v>12548</v>
      </c>
      <c r="D39" s="881">
        <f t="shared" ref="D39:M39" si="11">D37+D38</f>
        <v>0</v>
      </c>
      <c r="E39" s="881">
        <f t="shared" si="11"/>
        <v>0</v>
      </c>
      <c r="F39" s="881">
        <f t="shared" si="11"/>
        <v>0</v>
      </c>
      <c r="G39" s="881">
        <f t="shared" si="11"/>
        <v>0</v>
      </c>
      <c r="H39" s="881">
        <f t="shared" si="11"/>
        <v>0</v>
      </c>
      <c r="I39" s="881">
        <f t="shared" si="11"/>
        <v>0</v>
      </c>
      <c r="J39" s="881">
        <f t="shared" si="11"/>
        <v>0</v>
      </c>
      <c r="K39" s="881">
        <f t="shared" si="11"/>
        <v>0</v>
      </c>
      <c r="L39" s="881">
        <f t="shared" si="11"/>
        <v>0</v>
      </c>
      <c r="M39" s="881">
        <f t="shared" si="11"/>
        <v>6789</v>
      </c>
      <c r="N39" s="881">
        <f>N37+N38</f>
        <v>7059</v>
      </c>
      <c r="O39" s="881">
        <f>O37+O38</f>
        <v>7309</v>
      </c>
      <c r="P39" s="874"/>
      <c r="Q39" s="874"/>
    </row>
    <row r="40" spans="1:17">
      <c r="A40" s="874" t="s">
        <v>5424</v>
      </c>
      <c r="B40" s="171" t="s">
        <v>12535</v>
      </c>
      <c r="C40" s="55" t="s">
        <v>12549</v>
      </c>
      <c r="D40" s="880">
        <v>0</v>
      </c>
      <c r="E40" s="880">
        <v>0</v>
      </c>
      <c r="F40" s="880">
        <v>0</v>
      </c>
      <c r="G40" s="880">
        <v>0</v>
      </c>
      <c r="H40" s="880">
        <v>0</v>
      </c>
      <c r="I40" s="880">
        <v>0</v>
      </c>
      <c r="J40" s="880">
        <v>0</v>
      </c>
      <c r="K40" s="880">
        <v>0</v>
      </c>
      <c r="L40" s="880">
        <v>0</v>
      </c>
      <c r="M40" s="63">
        <v>4421</v>
      </c>
      <c r="N40" s="63">
        <v>4430</v>
      </c>
      <c r="O40" s="63">
        <v>4517</v>
      </c>
      <c r="P40" s="874"/>
      <c r="Q40" s="874" t="s">
        <v>4830</v>
      </c>
    </row>
    <row r="41" spans="1:17" ht="15.75" thickBot="1">
      <c r="C41" s="55" t="s">
        <v>12549</v>
      </c>
      <c r="D41" s="880">
        <v>0</v>
      </c>
      <c r="E41" s="880">
        <v>0</v>
      </c>
      <c r="F41" s="880">
        <v>0</v>
      </c>
      <c r="G41" s="880">
        <v>0</v>
      </c>
      <c r="H41" s="880">
        <v>0</v>
      </c>
      <c r="I41" s="880">
        <v>0</v>
      </c>
      <c r="J41" s="880">
        <v>0</v>
      </c>
      <c r="K41" s="880">
        <v>0</v>
      </c>
      <c r="L41" s="880">
        <v>0</v>
      </c>
      <c r="M41" s="63">
        <v>6927</v>
      </c>
      <c r="N41" s="63">
        <v>7011</v>
      </c>
      <c r="O41" s="63">
        <v>7157</v>
      </c>
      <c r="P41" s="874"/>
      <c r="Q41" s="874" t="s">
        <v>5404</v>
      </c>
    </row>
    <row r="42" spans="1:17" ht="15.75" thickBot="1">
      <c r="C42" s="55" t="s">
        <v>12549</v>
      </c>
      <c r="D42" s="881">
        <f t="shared" ref="D42:M42" si="12">D40+D41</f>
        <v>0</v>
      </c>
      <c r="E42" s="881">
        <f t="shared" si="12"/>
        <v>0</v>
      </c>
      <c r="F42" s="881">
        <f t="shared" si="12"/>
        <v>0</v>
      </c>
      <c r="G42" s="881">
        <f t="shared" si="12"/>
        <v>0</v>
      </c>
      <c r="H42" s="881">
        <f t="shared" si="12"/>
        <v>0</v>
      </c>
      <c r="I42" s="881">
        <f t="shared" si="12"/>
        <v>0</v>
      </c>
      <c r="J42" s="881">
        <f t="shared" si="12"/>
        <v>0</v>
      </c>
      <c r="K42" s="881">
        <f t="shared" si="12"/>
        <v>0</v>
      </c>
      <c r="L42" s="881">
        <f t="shared" si="12"/>
        <v>0</v>
      </c>
      <c r="M42" s="881">
        <f t="shared" si="12"/>
        <v>11348</v>
      </c>
      <c r="N42" s="881">
        <f>N40+N41</f>
        <v>11441</v>
      </c>
      <c r="O42" s="881">
        <f>O40+O41</f>
        <v>11674</v>
      </c>
      <c r="P42" s="874"/>
      <c r="Q42" s="874"/>
    </row>
    <row r="43" spans="1:17">
      <c r="A43" s="874" t="s">
        <v>5426</v>
      </c>
      <c r="B43" s="171" t="s">
        <v>6910</v>
      </c>
      <c r="C43" s="55" t="s">
        <v>12550</v>
      </c>
      <c r="D43" s="880">
        <v>0</v>
      </c>
      <c r="E43" s="880">
        <v>0</v>
      </c>
      <c r="F43" s="880">
        <v>0</v>
      </c>
      <c r="G43" s="880">
        <v>0</v>
      </c>
      <c r="H43" s="880">
        <v>0</v>
      </c>
      <c r="I43" s="880">
        <v>0</v>
      </c>
      <c r="J43" s="880">
        <v>0</v>
      </c>
      <c r="K43" s="880">
        <v>0</v>
      </c>
      <c r="L43" s="880">
        <v>0</v>
      </c>
      <c r="M43" s="63">
        <v>7482</v>
      </c>
      <c r="N43" s="63">
        <v>7542</v>
      </c>
      <c r="O43" s="63">
        <v>7674</v>
      </c>
      <c r="P43" s="874"/>
      <c r="Q43" s="874" t="s">
        <v>5404</v>
      </c>
    </row>
    <row r="44" spans="1:17">
      <c r="A44" s="874" t="s">
        <v>5428</v>
      </c>
      <c r="B44" s="171" t="s">
        <v>6911</v>
      </c>
      <c r="C44" s="55" t="s">
        <v>12551</v>
      </c>
      <c r="D44" s="880">
        <v>0</v>
      </c>
      <c r="E44" s="880">
        <v>0</v>
      </c>
      <c r="F44" s="880">
        <v>0</v>
      </c>
      <c r="G44" s="880">
        <v>0</v>
      </c>
      <c r="H44" s="880">
        <v>0</v>
      </c>
      <c r="I44" s="880">
        <v>0</v>
      </c>
      <c r="J44" s="880">
        <v>0</v>
      </c>
      <c r="K44" s="880">
        <v>0</v>
      </c>
      <c r="L44" s="880">
        <v>0</v>
      </c>
      <c r="M44" s="63">
        <v>1198</v>
      </c>
      <c r="N44" s="63">
        <v>1202</v>
      </c>
      <c r="O44" s="63">
        <v>1240</v>
      </c>
      <c r="P44" s="874"/>
      <c r="Q44" s="874" t="s">
        <v>4830</v>
      </c>
    </row>
    <row r="45" spans="1:17" ht="15.75" thickBot="1">
      <c r="C45" s="55" t="s">
        <v>12551</v>
      </c>
      <c r="D45" s="880">
        <v>0</v>
      </c>
      <c r="E45" s="880">
        <v>0</v>
      </c>
      <c r="F45" s="880">
        <v>0</v>
      </c>
      <c r="G45" s="880">
        <v>0</v>
      </c>
      <c r="H45" s="880">
        <v>0</v>
      </c>
      <c r="I45" s="880">
        <v>0</v>
      </c>
      <c r="J45" s="880">
        <v>0</v>
      </c>
      <c r="K45" s="880">
        <v>0</v>
      </c>
      <c r="L45" s="880">
        <v>0</v>
      </c>
      <c r="M45" s="63">
        <v>6411</v>
      </c>
      <c r="N45" s="63">
        <v>6388</v>
      </c>
      <c r="O45" s="63">
        <v>6485</v>
      </c>
      <c r="P45" s="874"/>
      <c r="Q45" s="874" t="s">
        <v>5402</v>
      </c>
    </row>
    <row r="46" spans="1:17" ht="15.75" thickBot="1">
      <c r="A46" s="874"/>
      <c r="C46" s="55" t="s">
        <v>12551</v>
      </c>
      <c r="D46" s="881">
        <f t="shared" ref="D46:M46" si="13">D44+D45</f>
        <v>0</v>
      </c>
      <c r="E46" s="881">
        <f t="shared" si="13"/>
        <v>0</v>
      </c>
      <c r="F46" s="881">
        <f t="shared" si="13"/>
        <v>0</v>
      </c>
      <c r="G46" s="881">
        <f t="shared" si="13"/>
        <v>0</v>
      </c>
      <c r="H46" s="881">
        <f t="shared" si="13"/>
        <v>0</v>
      </c>
      <c r="I46" s="881">
        <f t="shared" si="13"/>
        <v>0</v>
      </c>
      <c r="J46" s="881">
        <f t="shared" si="13"/>
        <v>0</v>
      </c>
      <c r="K46" s="881">
        <f t="shared" si="13"/>
        <v>0</v>
      </c>
      <c r="L46" s="881">
        <f t="shared" si="13"/>
        <v>0</v>
      </c>
      <c r="M46" s="881">
        <f t="shared" si="13"/>
        <v>7609</v>
      </c>
      <c r="N46" s="881">
        <f>N44+N45</f>
        <v>7590</v>
      </c>
      <c r="O46" s="881">
        <f>O44+O45</f>
        <v>7725</v>
      </c>
      <c r="P46" s="874"/>
      <c r="Q46" s="874"/>
    </row>
    <row r="47" spans="1:17">
      <c r="A47" s="874" t="s">
        <v>5429</v>
      </c>
      <c r="B47" s="171" t="s">
        <v>12557</v>
      </c>
      <c r="C47" s="55" t="s">
        <v>12552</v>
      </c>
      <c r="D47" s="880">
        <v>0</v>
      </c>
      <c r="E47" s="880">
        <v>0</v>
      </c>
      <c r="F47" s="880">
        <v>0</v>
      </c>
      <c r="G47" s="880">
        <v>0</v>
      </c>
      <c r="H47" s="880">
        <v>0</v>
      </c>
      <c r="I47" s="880">
        <v>0</v>
      </c>
      <c r="J47" s="880">
        <v>0</v>
      </c>
      <c r="K47" s="880">
        <v>0</v>
      </c>
      <c r="L47" s="880">
        <v>0</v>
      </c>
      <c r="M47" s="63">
        <v>7929</v>
      </c>
      <c r="N47" s="63">
        <v>8005</v>
      </c>
      <c r="O47" s="63">
        <v>8169</v>
      </c>
      <c r="P47" s="874"/>
      <c r="Q47" s="874" t="s">
        <v>5404</v>
      </c>
    </row>
    <row r="48" spans="1:17">
      <c r="A48" s="874" t="s">
        <v>5431</v>
      </c>
      <c r="B48" s="171" t="s">
        <v>6914</v>
      </c>
      <c r="C48" s="55" t="s">
        <v>12553</v>
      </c>
      <c r="D48" s="880">
        <v>0</v>
      </c>
      <c r="E48" s="880">
        <v>0</v>
      </c>
      <c r="F48" s="880">
        <v>0</v>
      </c>
      <c r="G48" s="880">
        <v>0</v>
      </c>
      <c r="H48" s="880">
        <v>0</v>
      </c>
      <c r="I48" s="880">
        <v>0</v>
      </c>
      <c r="J48" s="880">
        <v>0</v>
      </c>
      <c r="K48" s="880">
        <v>0</v>
      </c>
      <c r="L48" s="880">
        <v>0</v>
      </c>
      <c r="M48" s="63">
        <v>10828</v>
      </c>
      <c r="N48" s="63">
        <v>11135</v>
      </c>
      <c r="O48" s="63">
        <v>11424</v>
      </c>
      <c r="P48" s="874"/>
      <c r="Q48" s="874" t="s">
        <v>5404</v>
      </c>
    </row>
    <row r="49" spans="1:17">
      <c r="A49" s="874" t="s">
        <v>5433</v>
      </c>
      <c r="B49" s="171" t="s">
        <v>12536</v>
      </c>
      <c r="C49" s="55" t="s">
        <v>12554</v>
      </c>
      <c r="D49" s="880">
        <v>0</v>
      </c>
      <c r="E49" s="880">
        <v>0</v>
      </c>
      <c r="F49" s="880">
        <v>0</v>
      </c>
      <c r="G49" s="880">
        <v>0</v>
      </c>
      <c r="H49" s="880">
        <v>0</v>
      </c>
      <c r="I49" s="880">
        <v>0</v>
      </c>
      <c r="J49" s="880">
        <v>0</v>
      </c>
      <c r="K49" s="880">
        <v>0</v>
      </c>
      <c r="L49" s="880">
        <v>0</v>
      </c>
      <c r="M49" s="63">
        <v>7389</v>
      </c>
      <c r="N49" s="63">
        <v>7562</v>
      </c>
      <c r="O49" s="63">
        <v>7760</v>
      </c>
      <c r="P49" s="874"/>
      <c r="Q49" s="874" t="s">
        <v>4830</v>
      </c>
    </row>
    <row r="50" spans="1:17" ht="15.75" thickBot="1">
      <c r="C50" s="55" t="s">
        <v>12554</v>
      </c>
      <c r="D50" s="880">
        <v>0</v>
      </c>
      <c r="E50" s="880">
        <v>0</v>
      </c>
      <c r="F50" s="880">
        <v>0</v>
      </c>
      <c r="G50" s="880">
        <v>0</v>
      </c>
      <c r="H50" s="880">
        <v>0</v>
      </c>
      <c r="I50" s="880">
        <v>0</v>
      </c>
      <c r="J50" s="880">
        <v>0</v>
      </c>
      <c r="K50" s="880">
        <v>0</v>
      </c>
      <c r="L50" s="880">
        <v>0</v>
      </c>
      <c r="M50" s="63">
        <v>44</v>
      </c>
      <c r="N50" s="63">
        <v>45</v>
      </c>
      <c r="O50" s="63">
        <v>45</v>
      </c>
      <c r="P50" s="874"/>
      <c r="Q50" s="874" t="s">
        <v>5402</v>
      </c>
    </row>
    <row r="51" spans="1:17" ht="15.75" thickBot="1">
      <c r="A51" s="874"/>
      <c r="C51" s="55" t="s">
        <v>12554</v>
      </c>
      <c r="D51" s="881">
        <f t="shared" ref="D51:M51" si="14">D49+D50</f>
        <v>0</v>
      </c>
      <c r="E51" s="881">
        <f t="shared" si="14"/>
        <v>0</v>
      </c>
      <c r="F51" s="881">
        <f t="shared" si="14"/>
        <v>0</v>
      </c>
      <c r="G51" s="881">
        <f t="shared" si="14"/>
        <v>0</v>
      </c>
      <c r="H51" s="881">
        <f t="shared" si="14"/>
        <v>0</v>
      </c>
      <c r="I51" s="881">
        <f t="shared" si="14"/>
        <v>0</v>
      </c>
      <c r="J51" s="881">
        <f t="shared" si="14"/>
        <v>0</v>
      </c>
      <c r="K51" s="881">
        <f t="shared" si="14"/>
        <v>0</v>
      </c>
      <c r="L51" s="881">
        <f t="shared" si="14"/>
        <v>0</v>
      </c>
      <c r="M51" s="881">
        <f t="shared" si="14"/>
        <v>7433</v>
      </c>
      <c r="N51" s="881">
        <f>N49+N50</f>
        <v>7607</v>
      </c>
      <c r="O51" s="881">
        <f>O49+O50</f>
        <v>7805</v>
      </c>
      <c r="P51" s="874"/>
      <c r="Q51" s="874"/>
    </row>
    <row r="52" spans="1:17">
      <c r="A52" s="874" t="s">
        <v>5435</v>
      </c>
      <c r="B52" s="171" t="s">
        <v>6915</v>
      </c>
      <c r="C52" s="55" t="s">
        <v>12555</v>
      </c>
      <c r="D52" s="880">
        <v>0</v>
      </c>
      <c r="E52" s="880">
        <v>0</v>
      </c>
      <c r="F52" s="880">
        <v>0</v>
      </c>
      <c r="G52" s="880">
        <v>0</v>
      </c>
      <c r="H52" s="880">
        <v>0</v>
      </c>
      <c r="I52" s="880">
        <v>0</v>
      </c>
      <c r="J52" s="880">
        <v>0</v>
      </c>
      <c r="K52" s="880">
        <v>0</v>
      </c>
      <c r="L52" s="880">
        <v>0</v>
      </c>
      <c r="M52" s="63">
        <v>8717</v>
      </c>
      <c r="N52" s="63">
        <v>8898</v>
      </c>
      <c r="O52" s="63">
        <v>9194</v>
      </c>
      <c r="P52" s="874"/>
      <c r="Q52" s="874" t="s">
        <v>5402</v>
      </c>
    </row>
    <row r="53" spans="1:17">
      <c r="A53" s="874" t="s">
        <v>5436</v>
      </c>
      <c r="B53" s="171" t="s">
        <v>9292</v>
      </c>
      <c r="C53" s="55" t="s">
        <v>12556</v>
      </c>
      <c r="D53" s="880">
        <v>0</v>
      </c>
      <c r="E53" s="880">
        <v>0</v>
      </c>
      <c r="F53" s="880">
        <v>0</v>
      </c>
      <c r="G53" s="880">
        <v>0</v>
      </c>
      <c r="H53" s="880">
        <v>0</v>
      </c>
      <c r="I53" s="880">
        <v>0</v>
      </c>
      <c r="J53" s="880">
        <v>0</v>
      </c>
      <c r="K53" s="880">
        <v>0</v>
      </c>
      <c r="L53" s="880">
        <v>0</v>
      </c>
      <c r="M53" s="63">
        <v>5491</v>
      </c>
      <c r="N53" s="63">
        <v>5513</v>
      </c>
      <c r="O53" s="63">
        <v>5568</v>
      </c>
      <c r="P53" s="874"/>
      <c r="Q53" s="874" t="s">
        <v>4830</v>
      </c>
    </row>
    <row r="54" spans="1:17" ht="15.75" thickBot="1">
      <c r="A54" s="874"/>
      <c r="C54" s="55" t="s">
        <v>12556</v>
      </c>
      <c r="D54" s="880">
        <v>0</v>
      </c>
      <c r="E54" s="880">
        <v>0</v>
      </c>
      <c r="F54" s="880">
        <v>0</v>
      </c>
      <c r="G54" s="880">
        <v>0</v>
      </c>
      <c r="H54" s="880">
        <v>0</v>
      </c>
      <c r="I54" s="880">
        <v>0</v>
      </c>
      <c r="J54" s="880">
        <v>0</v>
      </c>
      <c r="K54" s="880">
        <v>0</v>
      </c>
      <c r="L54" s="880">
        <v>0</v>
      </c>
      <c r="M54" s="63">
        <v>6187</v>
      </c>
      <c r="N54" s="63">
        <v>6222</v>
      </c>
      <c r="O54" s="55">
        <v>6302</v>
      </c>
      <c r="P54" s="874"/>
      <c r="Q54" s="874" t="s">
        <v>5402</v>
      </c>
    </row>
    <row r="55" spans="1:17" ht="15.75" thickBot="1">
      <c r="A55" s="874"/>
      <c r="C55" s="55" t="s">
        <v>12556</v>
      </c>
      <c r="D55" s="881">
        <f t="shared" ref="D55:M55" si="15">D53+D54</f>
        <v>0</v>
      </c>
      <c r="E55" s="881">
        <f t="shared" si="15"/>
        <v>0</v>
      </c>
      <c r="F55" s="881">
        <f t="shared" si="15"/>
        <v>0</v>
      </c>
      <c r="G55" s="881">
        <f t="shared" si="15"/>
        <v>0</v>
      </c>
      <c r="H55" s="881">
        <f t="shared" si="15"/>
        <v>0</v>
      </c>
      <c r="I55" s="881">
        <f t="shared" si="15"/>
        <v>0</v>
      </c>
      <c r="J55" s="881">
        <f t="shared" si="15"/>
        <v>0</v>
      </c>
      <c r="K55" s="881">
        <f t="shared" si="15"/>
        <v>0</v>
      </c>
      <c r="L55" s="881">
        <f t="shared" si="15"/>
        <v>0</v>
      </c>
      <c r="M55" s="881">
        <f t="shared" si="15"/>
        <v>11678</v>
      </c>
      <c r="N55" s="881">
        <f>N53+N54</f>
        <v>11735</v>
      </c>
      <c r="O55" s="881">
        <f>O53+O54</f>
        <v>11870</v>
      </c>
      <c r="P55" s="874"/>
      <c r="Q55" s="874"/>
    </row>
    <row r="56" spans="1:17">
      <c r="Q56" s="874"/>
    </row>
    <row r="57" spans="1:17">
      <c r="A57" s="171" t="s">
        <v>12539</v>
      </c>
      <c r="Q57" s="874"/>
    </row>
    <row r="58" spans="1:17">
      <c r="A58" s="171" t="s">
        <v>6916</v>
      </c>
      <c r="Q58" s="874"/>
    </row>
    <row r="59" spans="1:17">
      <c r="A59" s="874"/>
      <c r="B59" s="874"/>
      <c r="C59" s="55"/>
      <c r="D59" s="880"/>
      <c r="E59" s="880"/>
      <c r="F59" s="880"/>
      <c r="G59" s="880"/>
      <c r="H59" s="63"/>
      <c r="I59" s="63"/>
      <c r="J59" s="63"/>
      <c r="K59" s="63"/>
      <c r="L59" s="63"/>
      <c r="Q59" s="874"/>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&amp;C&amp;"Times New Roman,Regular"&amp;8&amp;P of &amp;N</oddFooter>
  </headerFooter>
  <ignoredErrors>
    <ignoredError sqref="D4:L6 D10:L12 D14:L23 D8:L8" unlockedFormula="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dimension ref="A1:Q45"/>
  <sheetViews>
    <sheetView showGridLines="0" topLeftCell="A19" zoomScale="90" zoomScaleNormal="90" workbookViewId="0">
      <selection activeCell="S17" sqref="S17"/>
    </sheetView>
  </sheetViews>
  <sheetFormatPr defaultColWidth="12.5703125" defaultRowHeight="15"/>
  <cols>
    <col min="1" max="1" width="4.85546875" style="109" customWidth="1"/>
    <col min="2" max="2" width="35.85546875" style="109" customWidth="1"/>
    <col min="3" max="3" width="11.5703125" style="109" customWidth="1"/>
    <col min="4" max="12" width="10.140625" style="109" customWidth="1"/>
    <col min="13" max="15" width="10" style="109" customWidth="1"/>
    <col min="16" max="16" width="2.5703125" style="109" customWidth="1"/>
    <col min="17" max="17" width="26.85546875" style="109" customWidth="1"/>
    <col min="18" max="16384" width="12.5703125" style="109"/>
  </cols>
  <sheetData>
    <row r="1" spans="1:17">
      <c r="A1" s="200" t="s">
        <v>6924</v>
      </c>
      <c r="D1" s="201">
        <v>2010</v>
      </c>
      <c r="E1" s="201">
        <v>2011</v>
      </c>
      <c r="F1" s="201">
        <v>2012</v>
      </c>
      <c r="G1" s="201">
        <v>2013</v>
      </c>
      <c r="H1" s="201">
        <v>2014</v>
      </c>
      <c r="I1" s="201">
        <v>2015</v>
      </c>
      <c r="J1" s="201">
        <v>2016</v>
      </c>
      <c r="K1" s="201">
        <v>2017</v>
      </c>
      <c r="L1" s="201">
        <v>2018</v>
      </c>
      <c r="M1" s="201">
        <v>2019</v>
      </c>
      <c r="N1" s="201">
        <v>2020</v>
      </c>
      <c r="O1" s="925" t="s">
        <v>14823</v>
      </c>
      <c r="P1" s="201"/>
    </row>
    <row r="3" spans="1:17">
      <c r="A3" s="200" t="s">
        <v>1165</v>
      </c>
      <c r="D3" s="208">
        <f>SUM(D17:D21)+SUM(D23:D29)+SUM(D31:D40)</f>
        <v>151386</v>
      </c>
      <c r="E3" s="208">
        <f>SUM(E17:E21)+SUM(E23:E29)+SUM(E31:E40)</f>
        <v>152937</v>
      </c>
      <c r="F3" s="208">
        <f>SUM(F17:F21)+SUM(F23:F29)+SUM(F31:F40)</f>
        <v>154468</v>
      </c>
      <c r="G3" s="208">
        <f>SUM(G17:G21)+SUM(G23:G29)+SUM(G31:G40)</f>
        <v>156044</v>
      </c>
      <c r="H3" s="208">
        <f>SUM(H17:H21)+SUM(H23:H29)+SUM(H31:H40)</f>
        <v>154606</v>
      </c>
      <c r="I3" s="208">
        <f t="shared" ref="I3:N3" si="0">SUM(I17:I21)+SUM(I23:I29)+SUM(I31:I40)</f>
        <v>153139</v>
      </c>
      <c r="J3" s="208">
        <f t="shared" si="0"/>
        <v>148586</v>
      </c>
      <c r="K3" s="208">
        <f t="shared" si="0"/>
        <v>149999</v>
      </c>
      <c r="L3" s="208">
        <f t="shared" si="0"/>
        <v>152843</v>
      </c>
      <c r="M3" s="208">
        <f t="shared" si="0"/>
        <v>156308</v>
      </c>
      <c r="N3" s="208">
        <f t="shared" si="0"/>
        <v>151089</v>
      </c>
      <c r="O3" s="208">
        <f>SUM(O17:O21)+SUM(O23:O29)+SUM(O31:O40)</f>
        <v>155555</v>
      </c>
      <c r="P3" s="323"/>
    </row>
    <row r="4" spans="1:17">
      <c r="D4" s="204"/>
      <c r="E4" s="204"/>
      <c r="F4" s="204"/>
      <c r="G4" s="204"/>
      <c r="H4" s="204"/>
      <c r="I4" s="204"/>
      <c r="J4" s="204"/>
      <c r="K4" s="204"/>
      <c r="L4" s="204"/>
      <c r="M4" s="204"/>
      <c r="N4" s="204"/>
      <c r="O4" s="204"/>
    </row>
    <row r="5" spans="1:17">
      <c r="A5" s="200" t="s">
        <v>2476</v>
      </c>
      <c r="D5" s="202">
        <f t="shared" ref="D5:I5" si="1">D3/2</f>
        <v>75693</v>
      </c>
      <c r="E5" s="202">
        <f t="shared" si="1"/>
        <v>76468.5</v>
      </c>
      <c r="F5" s="202">
        <f t="shared" si="1"/>
        <v>77234</v>
      </c>
      <c r="G5" s="202">
        <f t="shared" si="1"/>
        <v>78022</v>
      </c>
      <c r="H5" s="202">
        <f t="shared" si="1"/>
        <v>77303</v>
      </c>
      <c r="I5" s="202">
        <f t="shared" si="1"/>
        <v>76569.5</v>
      </c>
      <c r="J5" s="202">
        <f t="shared" ref="J5:O5" si="2">J3/2</f>
        <v>74293</v>
      </c>
      <c r="K5" s="202">
        <f t="shared" si="2"/>
        <v>74999.5</v>
      </c>
      <c r="L5" s="202">
        <f t="shared" si="2"/>
        <v>76421.5</v>
      </c>
      <c r="M5" s="202">
        <f t="shared" si="2"/>
        <v>78154</v>
      </c>
      <c r="N5" s="202">
        <f t="shared" si="2"/>
        <v>75544.5</v>
      </c>
      <c r="O5" s="202">
        <f t="shared" si="2"/>
        <v>77777.5</v>
      </c>
      <c r="P5" s="205"/>
    </row>
    <row r="6" spans="1:17">
      <c r="D6" s="204"/>
      <c r="E6" s="204"/>
      <c r="F6" s="204"/>
      <c r="G6" s="204"/>
      <c r="H6" s="204"/>
      <c r="I6" s="204"/>
      <c r="J6" s="204"/>
      <c r="K6" s="204"/>
      <c r="L6" s="204"/>
      <c r="M6" s="204"/>
      <c r="N6" s="204"/>
      <c r="O6" s="204"/>
    </row>
    <row r="7" spans="1:17">
      <c r="A7" s="200" t="s">
        <v>1166</v>
      </c>
      <c r="D7" s="208">
        <f t="shared" ref="D7:O7" si="3">D17+D20+D24+D25+D28+D32+D33+SUM(D35:D37)</f>
        <v>78583</v>
      </c>
      <c r="E7" s="208">
        <f t="shared" si="3"/>
        <v>79488</v>
      </c>
      <c r="F7" s="208">
        <f t="shared" si="3"/>
        <v>80224</v>
      </c>
      <c r="G7" s="208">
        <f t="shared" si="3"/>
        <v>81183</v>
      </c>
      <c r="H7" s="208">
        <f t="shared" si="3"/>
        <v>80774</v>
      </c>
      <c r="I7" s="208">
        <f t="shared" si="3"/>
        <v>80129</v>
      </c>
      <c r="J7" s="208">
        <f t="shared" si="3"/>
        <v>78158</v>
      </c>
      <c r="K7" s="208">
        <f t="shared" si="3"/>
        <v>79063</v>
      </c>
      <c r="L7" s="208">
        <f t="shared" si="3"/>
        <v>80620</v>
      </c>
      <c r="M7" s="208">
        <f t="shared" si="3"/>
        <v>82642</v>
      </c>
      <c r="N7" s="208">
        <f t="shared" si="3"/>
        <v>80239</v>
      </c>
      <c r="O7" s="208">
        <f t="shared" si="3"/>
        <v>82561</v>
      </c>
      <c r="P7" s="203"/>
      <c r="Q7" s="200" t="s">
        <v>1167</v>
      </c>
    </row>
    <row r="8" spans="1:17">
      <c r="D8" s="204"/>
      <c r="E8" s="204"/>
      <c r="F8" s="204"/>
      <c r="G8" s="204"/>
      <c r="H8" s="204"/>
      <c r="I8" s="204"/>
      <c r="J8" s="204"/>
      <c r="K8" s="204"/>
      <c r="L8" s="204"/>
      <c r="M8" s="204"/>
      <c r="N8" s="204"/>
      <c r="O8" s="204"/>
    </row>
    <row r="9" spans="1:17">
      <c r="A9" s="200" t="s">
        <v>1168</v>
      </c>
      <c r="D9" s="202">
        <f t="shared" ref="D9:O9" si="4">D18+D19+D21+D23+D26+D27+D29+D31+D34+SUM(D38:D40)</f>
        <v>72803</v>
      </c>
      <c r="E9" s="202">
        <f t="shared" si="4"/>
        <v>73449</v>
      </c>
      <c r="F9" s="202">
        <f t="shared" si="4"/>
        <v>74244</v>
      </c>
      <c r="G9" s="202">
        <f t="shared" si="4"/>
        <v>74861</v>
      </c>
      <c r="H9" s="202">
        <f t="shared" si="4"/>
        <v>73832</v>
      </c>
      <c r="I9" s="202">
        <f t="shared" si="4"/>
        <v>73010</v>
      </c>
      <c r="J9" s="202">
        <f t="shared" si="4"/>
        <v>70428</v>
      </c>
      <c r="K9" s="202">
        <f t="shared" si="4"/>
        <v>70936</v>
      </c>
      <c r="L9" s="202">
        <f t="shared" si="4"/>
        <v>72223</v>
      </c>
      <c r="M9" s="202">
        <f t="shared" si="4"/>
        <v>73666</v>
      </c>
      <c r="N9" s="202">
        <f t="shared" si="4"/>
        <v>70850</v>
      </c>
      <c r="O9" s="202">
        <f t="shared" si="4"/>
        <v>72994</v>
      </c>
      <c r="P9" s="203"/>
      <c r="Q9" s="200" t="s">
        <v>1167</v>
      </c>
    </row>
    <row r="10" spans="1:17">
      <c r="D10" s="204"/>
      <c r="E10" s="204"/>
      <c r="F10" s="204"/>
      <c r="G10" s="204"/>
      <c r="H10" s="204"/>
      <c r="I10" s="204"/>
      <c r="J10" s="204"/>
      <c r="K10" s="204"/>
      <c r="L10" s="204"/>
      <c r="M10" s="204"/>
      <c r="N10" s="204"/>
      <c r="O10" s="204"/>
    </row>
    <row r="11" spans="1:17">
      <c r="A11" s="200" t="s">
        <v>6796</v>
      </c>
      <c r="D11" s="202">
        <f t="shared" ref="D11:O11" si="5">D7+D9</f>
        <v>151386</v>
      </c>
      <c r="E11" s="202">
        <f t="shared" si="5"/>
        <v>152937</v>
      </c>
      <c r="F11" s="202">
        <f t="shared" si="5"/>
        <v>154468</v>
      </c>
      <c r="G11" s="202">
        <f t="shared" si="5"/>
        <v>156044</v>
      </c>
      <c r="H11" s="202">
        <f t="shared" si="5"/>
        <v>154606</v>
      </c>
      <c r="I11" s="202">
        <f t="shared" si="5"/>
        <v>153139</v>
      </c>
      <c r="J11" s="202">
        <f t="shared" si="5"/>
        <v>148586</v>
      </c>
      <c r="K11" s="202">
        <f t="shared" si="5"/>
        <v>149999</v>
      </c>
      <c r="L11" s="202">
        <f t="shared" si="5"/>
        <v>152843</v>
      </c>
      <c r="M11" s="202">
        <f t="shared" si="5"/>
        <v>156308</v>
      </c>
      <c r="N11" s="202">
        <f t="shared" si="5"/>
        <v>151089</v>
      </c>
      <c r="O11" s="202">
        <f t="shared" si="5"/>
        <v>155555</v>
      </c>
      <c r="P11" s="203"/>
    </row>
    <row r="12" spans="1:17">
      <c r="A12" s="200"/>
      <c r="D12" s="202"/>
      <c r="E12" s="202"/>
      <c r="F12" s="202"/>
      <c r="G12" s="202"/>
      <c r="H12" s="202"/>
      <c r="I12" s="202"/>
      <c r="J12" s="202"/>
      <c r="K12" s="202"/>
      <c r="L12" s="202"/>
      <c r="M12" s="202"/>
      <c r="N12" s="202"/>
      <c r="O12" s="202"/>
      <c r="P12" s="203"/>
    </row>
    <row r="13" spans="1:17">
      <c r="A13" s="200" t="s">
        <v>6797</v>
      </c>
      <c r="D13" s="202">
        <f t="shared" ref="D13:O13" si="6">MAX(D7,D9)-MIN(D7,D9)</f>
        <v>5780</v>
      </c>
      <c r="E13" s="202">
        <f t="shared" si="6"/>
        <v>6039</v>
      </c>
      <c r="F13" s="202">
        <f t="shared" si="6"/>
        <v>5980</v>
      </c>
      <c r="G13" s="202">
        <f t="shared" si="6"/>
        <v>6322</v>
      </c>
      <c r="H13" s="202">
        <f t="shared" si="6"/>
        <v>6942</v>
      </c>
      <c r="I13" s="202">
        <f t="shared" si="6"/>
        <v>7119</v>
      </c>
      <c r="J13" s="202">
        <f t="shared" si="6"/>
        <v>7730</v>
      </c>
      <c r="K13" s="202">
        <f t="shared" si="6"/>
        <v>8127</v>
      </c>
      <c r="L13" s="202">
        <f t="shared" si="6"/>
        <v>8397</v>
      </c>
      <c r="M13" s="202">
        <f t="shared" si="6"/>
        <v>8976</v>
      </c>
      <c r="N13" s="202">
        <f t="shared" si="6"/>
        <v>9389</v>
      </c>
      <c r="O13" s="202">
        <f t="shared" si="6"/>
        <v>9567</v>
      </c>
      <c r="P13" s="203"/>
    </row>
    <row r="14" spans="1:17">
      <c r="A14" s="200"/>
      <c r="D14" s="202"/>
      <c r="E14" s="202"/>
      <c r="F14" s="202"/>
      <c r="G14" s="202"/>
      <c r="H14" s="202"/>
      <c r="I14" s="202"/>
      <c r="J14" s="202"/>
      <c r="K14" s="202"/>
      <c r="L14" s="202"/>
      <c r="M14" s="202"/>
      <c r="N14" s="202"/>
      <c r="O14" s="202"/>
      <c r="P14" s="203"/>
    </row>
    <row r="15" spans="1:17">
      <c r="A15" s="200" t="s">
        <v>6800</v>
      </c>
      <c r="D15" s="202">
        <f t="shared" ref="D15:O15" si="7">STDEVP(D7,D9)</f>
        <v>2890</v>
      </c>
      <c r="E15" s="202">
        <f t="shared" si="7"/>
        <v>3019.5</v>
      </c>
      <c r="F15" s="202">
        <f t="shared" si="7"/>
        <v>2990</v>
      </c>
      <c r="G15" s="202">
        <f t="shared" si="7"/>
        <v>3161</v>
      </c>
      <c r="H15" s="202">
        <f t="shared" si="7"/>
        <v>3471</v>
      </c>
      <c r="I15" s="202">
        <f t="shared" si="7"/>
        <v>3559.5</v>
      </c>
      <c r="J15" s="202">
        <f t="shared" si="7"/>
        <v>3865</v>
      </c>
      <c r="K15" s="202">
        <f t="shared" si="7"/>
        <v>4063.5</v>
      </c>
      <c r="L15" s="202">
        <f t="shared" si="7"/>
        <v>4198.5</v>
      </c>
      <c r="M15" s="202">
        <f t="shared" si="7"/>
        <v>4488</v>
      </c>
      <c r="N15" s="202">
        <f t="shared" si="7"/>
        <v>4694.5</v>
      </c>
      <c r="O15" s="202">
        <f t="shared" si="7"/>
        <v>4783.5</v>
      </c>
      <c r="P15" s="205"/>
    </row>
    <row r="17" spans="1:17">
      <c r="A17" s="200" t="s">
        <v>5387</v>
      </c>
      <c r="B17" s="200" t="s">
        <v>9326</v>
      </c>
      <c r="C17" s="55" t="s">
        <v>11248</v>
      </c>
      <c r="D17" s="202">
        <v>78583</v>
      </c>
      <c r="E17" s="202">
        <v>79488</v>
      </c>
      <c r="F17" s="202">
        <v>80224</v>
      </c>
      <c r="G17" s="56">
        <v>8764</v>
      </c>
      <c r="H17" s="56">
        <v>8738</v>
      </c>
      <c r="I17" s="56">
        <v>8756</v>
      </c>
      <c r="J17" s="56">
        <v>8634</v>
      </c>
      <c r="K17" s="56">
        <v>8713</v>
      </c>
      <c r="L17" s="56">
        <v>8697</v>
      </c>
      <c r="M17" s="56">
        <v>8907</v>
      </c>
      <c r="N17" s="56">
        <v>8738</v>
      </c>
      <c r="O17" s="56">
        <v>8951</v>
      </c>
      <c r="P17" s="203"/>
      <c r="Q17" s="200" t="s">
        <v>1166</v>
      </c>
    </row>
    <row r="18" spans="1:17">
      <c r="A18" s="200" t="s">
        <v>5389</v>
      </c>
      <c r="B18" s="200" t="s">
        <v>6024</v>
      </c>
      <c r="C18" s="55" t="s">
        <v>9338</v>
      </c>
      <c r="D18" s="202">
        <v>72803</v>
      </c>
      <c r="E18" s="202">
        <v>73449</v>
      </c>
      <c r="F18" s="202">
        <v>74244</v>
      </c>
      <c r="G18" s="56">
        <v>7178</v>
      </c>
      <c r="H18" s="56">
        <v>6923</v>
      </c>
      <c r="I18" s="56">
        <v>6950</v>
      </c>
      <c r="J18" s="56">
        <v>6607</v>
      </c>
      <c r="K18" s="56">
        <v>6606</v>
      </c>
      <c r="L18" s="56">
        <v>6856</v>
      </c>
      <c r="M18" s="56">
        <v>7031</v>
      </c>
      <c r="N18" s="56">
        <v>6771</v>
      </c>
      <c r="O18" s="56">
        <v>7118</v>
      </c>
      <c r="P18" s="203"/>
      <c r="Q18" s="200" t="s">
        <v>1168</v>
      </c>
    </row>
    <row r="19" spans="1:17">
      <c r="A19" s="200" t="s">
        <v>5391</v>
      </c>
      <c r="B19" s="200" t="s">
        <v>9327</v>
      </c>
      <c r="C19" s="55" t="s">
        <v>9339</v>
      </c>
      <c r="D19" s="202">
        <v>0</v>
      </c>
      <c r="E19" s="202">
        <v>0</v>
      </c>
      <c r="F19" s="202">
        <v>0</v>
      </c>
      <c r="G19" s="56">
        <v>4721</v>
      </c>
      <c r="H19" s="56">
        <v>4643</v>
      </c>
      <c r="I19" s="56">
        <v>4624</v>
      </c>
      <c r="J19" s="56">
        <v>4663</v>
      </c>
      <c r="K19" s="56">
        <v>5078</v>
      </c>
      <c r="L19" s="56">
        <v>5333</v>
      </c>
      <c r="M19" s="56">
        <v>5678</v>
      </c>
      <c r="N19" s="56">
        <v>5671</v>
      </c>
      <c r="O19" s="56">
        <v>5836</v>
      </c>
      <c r="P19" s="203"/>
      <c r="Q19" s="200" t="s">
        <v>1168</v>
      </c>
    </row>
    <row r="20" spans="1:17">
      <c r="A20" s="200" t="s">
        <v>5393</v>
      </c>
      <c r="B20" s="200" t="s">
        <v>9328</v>
      </c>
      <c r="C20" s="55" t="s">
        <v>9340</v>
      </c>
      <c r="D20" s="202">
        <v>0</v>
      </c>
      <c r="E20" s="202">
        <v>0</v>
      </c>
      <c r="F20" s="202">
        <v>0</v>
      </c>
      <c r="G20" s="56">
        <v>7187</v>
      </c>
      <c r="H20" s="56">
        <v>7132</v>
      </c>
      <c r="I20" s="56">
        <v>7081</v>
      </c>
      <c r="J20" s="56">
        <v>6800</v>
      </c>
      <c r="K20" s="56">
        <v>6859</v>
      </c>
      <c r="L20" s="56">
        <v>6827</v>
      </c>
      <c r="M20" s="56">
        <v>6872</v>
      </c>
      <c r="N20" s="56">
        <v>6639</v>
      </c>
      <c r="O20" s="56">
        <v>6730</v>
      </c>
      <c r="P20" s="203"/>
      <c r="Q20" s="200" t="s">
        <v>1166</v>
      </c>
    </row>
    <row r="21" spans="1:17" ht="15.75" thickBot="1">
      <c r="A21" s="200"/>
      <c r="B21" s="200"/>
      <c r="C21" s="55" t="s">
        <v>9340</v>
      </c>
      <c r="D21" s="207">
        <v>0</v>
      </c>
      <c r="E21" s="207">
        <v>0</v>
      </c>
      <c r="F21" s="207">
        <v>0</v>
      </c>
      <c r="G21" s="56">
        <v>1706</v>
      </c>
      <c r="H21" s="56">
        <v>1711</v>
      </c>
      <c r="I21" s="56">
        <v>1687</v>
      </c>
      <c r="J21" s="56">
        <v>1613</v>
      </c>
      <c r="K21" s="56">
        <v>1649</v>
      </c>
      <c r="L21" s="56">
        <v>1659</v>
      </c>
      <c r="M21" s="56">
        <v>1624</v>
      </c>
      <c r="N21" s="56">
        <v>1556</v>
      </c>
      <c r="O21" s="56">
        <v>1583</v>
      </c>
      <c r="P21" s="203"/>
      <c r="Q21" s="200" t="s">
        <v>1168</v>
      </c>
    </row>
    <row r="22" spans="1:17" ht="15.75" thickBot="1">
      <c r="A22" s="200"/>
      <c r="B22" s="200"/>
      <c r="C22" s="55" t="s">
        <v>9340</v>
      </c>
      <c r="D22" s="209">
        <f>D20+D21</f>
        <v>0</v>
      </c>
      <c r="E22" s="209">
        <f t="shared" ref="E22:L22" si="8">E20+E21</f>
        <v>0</v>
      </c>
      <c r="F22" s="209">
        <f t="shared" si="8"/>
        <v>0</v>
      </c>
      <c r="G22" s="209">
        <f t="shared" si="8"/>
        <v>8893</v>
      </c>
      <c r="H22" s="209">
        <f t="shared" si="8"/>
        <v>8843</v>
      </c>
      <c r="I22" s="209">
        <f t="shared" si="8"/>
        <v>8768</v>
      </c>
      <c r="J22" s="209">
        <f t="shared" si="8"/>
        <v>8413</v>
      </c>
      <c r="K22" s="209">
        <f t="shared" si="8"/>
        <v>8508</v>
      </c>
      <c r="L22" s="209">
        <f t="shared" si="8"/>
        <v>8486</v>
      </c>
      <c r="M22" s="209">
        <f>M20+M21</f>
        <v>8496</v>
      </c>
      <c r="N22" s="209">
        <f>N20+N21</f>
        <v>8195</v>
      </c>
      <c r="O22" s="209">
        <f>O20+O21</f>
        <v>8313</v>
      </c>
      <c r="P22" s="203"/>
      <c r="Q22" s="200"/>
    </row>
    <row r="23" spans="1:17">
      <c r="A23" s="200" t="s">
        <v>5394</v>
      </c>
      <c r="B23" s="200" t="s">
        <v>1916</v>
      </c>
      <c r="C23" s="55" t="s">
        <v>9341</v>
      </c>
      <c r="D23" s="202">
        <v>0</v>
      </c>
      <c r="E23" s="202">
        <v>0</v>
      </c>
      <c r="F23" s="202">
        <v>0</v>
      </c>
      <c r="G23" s="56">
        <v>7222</v>
      </c>
      <c r="H23" s="56">
        <v>6889</v>
      </c>
      <c r="I23" s="56">
        <v>6740</v>
      </c>
      <c r="J23" s="56">
        <v>6430</v>
      </c>
      <c r="K23" s="56">
        <v>6525</v>
      </c>
      <c r="L23" s="56">
        <v>6689</v>
      </c>
      <c r="M23" s="56">
        <v>6909</v>
      </c>
      <c r="N23" s="56">
        <v>6509</v>
      </c>
      <c r="O23" s="56">
        <v>6855</v>
      </c>
      <c r="P23" s="203"/>
      <c r="Q23" s="200" t="s">
        <v>1168</v>
      </c>
    </row>
    <row r="24" spans="1:17">
      <c r="A24" s="200" t="s">
        <v>5416</v>
      </c>
      <c r="B24" s="200" t="s">
        <v>1917</v>
      </c>
      <c r="C24" s="55" t="s">
        <v>9342</v>
      </c>
      <c r="D24" s="202">
        <v>0</v>
      </c>
      <c r="E24" s="202">
        <v>0</v>
      </c>
      <c r="F24" s="202">
        <v>0</v>
      </c>
      <c r="G24" s="56">
        <v>8768</v>
      </c>
      <c r="H24" s="56">
        <v>8543</v>
      </c>
      <c r="I24" s="56">
        <v>8482</v>
      </c>
      <c r="J24" s="56">
        <v>8209</v>
      </c>
      <c r="K24" s="56">
        <v>8147</v>
      </c>
      <c r="L24" s="56">
        <v>8334</v>
      </c>
      <c r="M24" s="56">
        <v>8450</v>
      </c>
      <c r="N24" s="56">
        <v>8130</v>
      </c>
      <c r="O24" s="56">
        <v>8332</v>
      </c>
      <c r="P24" s="203"/>
      <c r="Q24" s="200" t="s">
        <v>1166</v>
      </c>
    </row>
    <row r="25" spans="1:17">
      <c r="A25" s="200" t="s">
        <v>5418</v>
      </c>
      <c r="B25" s="200" t="s">
        <v>1918</v>
      </c>
      <c r="C25" s="55" t="s">
        <v>11247</v>
      </c>
      <c r="D25" s="202">
        <v>0</v>
      </c>
      <c r="E25" s="202">
        <v>0</v>
      </c>
      <c r="F25" s="202">
        <v>0</v>
      </c>
      <c r="G25" s="56">
        <v>9152</v>
      </c>
      <c r="H25" s="56">
        <v>9151</v>
      </c>
      <c r="I25" s="56">
        <v>8990</v>
      </c>
      <c r="J25" s="56">
        <v>8779</v>
      </c>
      <c r="K25" s="56">
        <v>8785</v>
      </c>
      <c r="L25" s="56">
        <v>8849</v>
      </c>
      <c r="M25" s="56">
        <v>8949</v>
      </c>
      <c r="N25" s="56">
        <v>8646</v>
      </c>
      <c r="O25" s="56">
        <v>8829</v>
      </c>
      <c r="P25" s="203"/>
      <c r="Q25" s="200" t="s">
        <v>1166</v>
      </c>
    </row>
    <row r="26" spans="1:17">
      <c r="A26" s="200" t="s">
        <v>5420</v>
      </c>
      <c r="B26" s="200" t="s">
        <v>9329</v>
      </c>
      <c r="C26" s="55" t="s">
        <v>9343</v>
      </c>
      <c r="D26" s="202">
        <v>0</v>
      </c>
      <c r="E26" s="202">
        <v>0</v>
      </c>
      <c r="F26" s="202">
        <v>0</v>
      </c>
      <c r="G26" s="56">
        <v>8593</v>
      </c>
      <c r="H26" s="56">
        <v>8505</v>
      </c>
      <c r="I26" s="56">
        <v>8450</v>
      </c>
      <c r="J26" s="56">
        <v>8073</v>
      </c>
      <c r="K26" s="56">
        <v>7943</v>
      </c>
      <c r="L26" s="56">
        <v>7969</v>
      </c>
      <c r="M26" s="56">
        <v>8017</v>
      </c>
      <c r="N26" s="56">
        <v>7645</v>
      </c>
      <c r="O26" s="56">
        <v>7792</v>
      </c>
      <c r="P26" s="203"/>
      <c r="Q26" s="200" t="s">
        <v>1168</v>
      </c>
    </row>
    <row r="27" spans="1:17">
      <c r="A27" s="324">
        <v>9</v>
      </c>
      <c r="B27" s="200" t="s">
        <v>9330</v>
      </c>
      <c r="C27" s="55" t="s">
        <v>9344</v>
      </c>
      <c r="D27" s="202">
        <v>0</v>
      </c>
      <c r="E27" s="202">
        <v>0</v>
      </c>
      <c r="F27" s="202">
        <v>0</v>
      </c>
      <c r="G27" s="58">
        <v>8485</v>
      </c>
      <c r="H27" s="58">
        <v>8366</v>
      </c>
      <c r="I27" s="58">
        <v>8307</v>
      </c>
      <c r="J27" s="58">
        <v>8061</v>
      </c>
      <c r="K27" s="58">
        <v>8060</v>
      </c>
      <c r="L27" s="58">
        <v>8173</v>
      </c>
      <c r="M27" s="58">
        <v>8286</v>
      </c>
      <c r="N27" s="58">
        <v>7896</v>
      </c>
      <c r="O27" s="58">
        <v>8099</v>
      </c>
      <c r="P27" s="203"/>
      <c r="Q27" s="200" t="s">
        <v>1168</v>
      </c>
    </row>
    <row r="28" spans="1:17">
      <c r="A28" s="324">
        <v>10</v>
      </c>
      <c r="B28" s="200" t="s">
        <v>9331</v>
      </c>
      <c r="C28" s="55" t="s">
        <v>9345</v>
      </c>
      <c r="D28" s="202">
        <v>0</v>
      </c>
      <c r="E28" s="202">
        <v>0</v>
      </c>
      <c r="F28" s="202">
        <v>0</v>
      </c>
      <c r="G28" s="56">
        <v>3793</v>
      </c>
      <c r="H28" s="56">
        <v>3716</v>
      </c>
      <c r="I28" s="56">
        <v>3703</v>
      </c>
      <c r="J28" s="56">
        <v>3517</v>
      </c>
      <c r="K28" s="56">
        <v>3517</v>
      </c>
      <c r="L28" s="56">
        <v>3640</v>
      </c>
      <c r="M28" s="56">
        <v>3690</v>
      </c>
      <c r="N28" s="56">
        <v>3496</v>
      </c>
      <c r="O28" s="56">
        <v>3668</v>
      </c>
      <c r="P28" s="203"/>
      <c r="Q28" s="200" t="s">
        <v>1166</v>
      </c>
    </row>
    <row r="29" spans="1:17" ht="15.75" thickBot="1">
      <c r="A29" s="324"/>
      <c r="B29" s="200"/>
      <c r="C29" s="55" t="s">
        <v>9345</v>
      </c>
      <c r="D29" s="207">
        <v>0</v>
      </c>
      <c r="E29" s="207">
        <v>0</v>
      </c>
      <c r="F29" s="207">
        <v>0</v>
      </c>
      <c r="G29" s="58">
        <v>3325</v>
      </c>
      <c r="H29" s="58">
        <v>3257</v>
      </c>
      <c r="I29" s="58">
        <v>3205</v>
      </c>
      <c r="J29" s="58">
        <v>3131</v>
      </c>
      <c r="K29" s="58">
        <v>3055</v>
      </c>
      <c r="L29" s="58">
        <v>3112</v>
      </c>
      <c r="M29" s="58">
        <v>3142</v>
      </c>
      <c r="N29" s="58">
        <v>2934</v>
      </c>
      <c r="O29" s="58">
        <v>2995</v>
      </c>
      <c r="P29" s="203"/>
      <c r="Q29" s="200" t="s">
        <v>1168</v>
      </c>
    </row>
    <row r="30" spans="1:17" ht="15.75" thickBot="1">
      <c r="A30" s="324"/>
      <c r="B30" s="200"/>
      <c r="C30" s="55" t="s">
        <v>9345</v>
      </c>
      <c r="D30" s="209">
        <f>D28+D29</f>
        <v>0</v>
      </c>
      <c r="E30" s="209">
        <f>E28+E29</f>
        <v>0</v>
      </c>
      <c r="F30" s="209">
        <f>F28+F29</f>
        <v>0</v>
      </c>
      <c r="G30" s="209">
        <f t="shared" ref="G30:L30" si="9">G28+G29</f>
        <v>7118</v>
      </c>
      <c r="H30" s="209">
        <f t="shared" si="9"/>
        <v>6973</v>
      </c>
      <c r="I30" s="209">
        <f t="shared" si="9"/>
        <v>6908</v>
      </c>
      <c r="J30" s="209">
        <f t="shared" si="9"/>
        <v>6648</v>
      </c>
      <c r="K30" s="209">
        <f t="shared" si="9"/>
        <v>6572</v>
      </c>
      <c r="L30" s="209">
        <f t="shared" si="9"/>
        <v>6752</v>
      </c>
      <c r="M30" s="209">
        <f>M28+M29</f>
        <v>6832</v>
      </c>
      <c r="N30" s="209">
        <f>N28+N29</f>
        <v>6430</v>
      </c>
      <c r="O30" s="209">
        <f>O28+O29</f>
        <v>6663</v>
      </c>
      <c r="P30" s="203"/>
      <c r="Q30" s="200"/>
    </row>
    <row r="31" spans="1:17">
      <c r="A31" s="324">
        <v>11</v>
      </c>
      <c r="B31" s="200" t="s">
        <v>2635</v>
      </c>
      <c r="C31" s="55" t="s">
        <v>9346</v>
      </c>
      <c r="D31" s="202">
        <v>0</v>
      </c>
      <c r="E31" s="202">
        <v>0</v>
      </c>
      <c r="F31" s="202">
        <v>0</v>
      </c>
      <c r="G31" s="58">
        <v>7449</v>
      </c>
      <c r="H31" s="58">
        <v>7610</v>
      </c>
      <c r="I31" s="58">
        <v>7439</v>
      </c>
      <c r="J31" s="58">
        <v>7248</v>
      </c>
      <c r="K31" s="58">
        <v>7451</v>
      </c>
      <c r="L31" s="58">
        <v>7518</v>
      </c>
      <c r="M31" s="58">
        <v>7622</v>
      </c>
      <c r="N31" s="58">
        <v>7343</v>
      </c>
      <c r="O31" s="58">
        <v>7627</v>
      </c>
      <c r="P31" s="203"/>
      <c r="Q31" s="200" t="s">
        <v>1168</v>
      </c>
    </row>
    <row r="32" spans="1:17">
      <c r="A32" s="324">
        <v>12</v>
      </c>
      <c r="B32" s="200" t="s">
        <v>9332</v>
      </c>
      <c r="C32" s="55" t="s">
        <v>11249</v>
      </c>
      <c r="D32" s="202">
        <v>0</v>
      </c>
      <c r="E32" s="202">
        <v>0</v>
      </c>
      <c r="F32" s="202">
        <v>0</v>
      </c>
      <c r="G32" s="56">
        <v>9251</v>
      </c>
      <c r="H32" s="56">
        <v>9354</v>
      </c>
      <c r="I32" s="56">
        <v>9305</v>
      </c>
      <c r="J32" s="56">
        <v>9100</v>
      </c>
      <c r="K32" s="56">
        <v>8992</v>
      </c>
      <c r="L32" s="56">
        <v>9194</v>
      </c>
      <c r="M32" s="56">
        <v>9356</v>
      </c>
      <c r="N32" s="56">
        <v>8915</v>
      </c>
      <c r="O32" s="56">
        <v>9116</v>
      </c>
      <c r="P32" s="203"/>
      <c r="Q32" s="200" t="s">
        <v>1166</v>
      </c>
    </row>
    <row r="33" spans="1:17">
      <c r="A33" s="200" t="s">
        <v>5429</v>
      </c>
      <c r="B33" s="200" t="s">
        <v>9333</v>
      </c>
      <c r="C33" s="55" t="s">
        <v>9347</v>
      </c>
      <c r="D33" s="202">
        <v>0</v>
      </c>
      <c r="E33" s="202">
        <v>0</v>
      </c>
      <c r="F33" s="202">
        <v>0</v>
      </c>
      <c r="G33" s="56">
        <v>8499</v>
      </c>
      <c r="H33" s="56">
        <v>8376</v>
      </c>
      <c r="I33" s="56">
        <v>8270</v>
      </c>
      <c r="J33" s="56">
        <v>7986</v>
      </c>
      <c r="K33" s="56">
        <v>8052</v>
      </c>
      <c r="L33" s="56">
        <v>8211</v>
      </c>
      <c r="M33" s="56">
        <v>8380</v>
      </c>
      <c r="N33" s="56">
        <v>8023</v>
      </c>
      <c r="O33" s="56">
        <v>8291</v>
      </c>
      <c r="P33" s="203"/>
      <c r="Q33" s="200" t="s">
        <v>1166</v>
      </c>
    </row>
    <row r="34" spans="1:17">
      <c r="A34" s="200" t="s">
        <v>5431</v>
      </c>
      <c r="B34" s="200" t="s">
        <v>6584</v>
      </c>
      <c r="C34" s="55" t="s">
        <v>9348</v>
      </c>
      <c r="D34" s="202">
        <v>0</v>
      </c>
      <c r="E34" s="202">
        <v>0</v>
      </c>
      <c r="F34" s="202">
        <v>0</v>
      </c>
      <c r="G34" s="58">
        <v>2559</v>
      </c>
      <c r="H34" s="58">
        <v>2585</v>
      </c>
      <c r="I34" s="58">
        <v>2557</v>
      </c>
      <c r="J34" s="58">
        <v>2484</v>
      </c>
      <c r="K34" s="58">
        <v>2547</v>
      </c>
      <c r="L34" s="58">
        <v>2562</v>
      </c>
      <c r="M34" s="58">
        <v>2615</v>
      </c>
      <c r="N34" s="58">
        <v>2608</v>
      </c>
      <c r="O34" s="58">
        <v>2702</v>
      </c>
      <c r="P34" s="203"/>
      <c r="Q34" s="200" t="s">
        <v>1168</v>
      </c>
    </row>
    <row r="35" spans="1:17">
      <c r="A35" s="200" t="s">
        <v>5433</v>
      </c>
      <c r="B35" s="200" t="s">
        <v>9334</v>
      </c>
      <c r="C35" s="55" t="s">
        <v>9349</v>
      </c>
      <c r="D35" s="202">
        <v>0</v>
      </c>
      <c r="E35" s="202">
        <v>0</v>
      </c>
      <c r="F35" s="202">
        <v>0</v>
      </c>
      <c r="G35" s="56">
        <v>8924</v>
      </c>
      <c r="H35" s="56">
        <v>8879</v>
      </c>
      <c r="I35" s="56">
        <v>8886</v>
      </c>
      <c r="J35" s="56">
        <v>8678</v>
      </c>
      <c r="K35" s="56">
        <v>8654</v>
      </c>
      <c r="L35" s="56">
        <v>8774</v>
      </c>
      <c r="M35" s="56">
        <v>8760</v>
      </c>
      <c r="N35" s="56">
        <v>8511</v>
      </c>
      <c r="O35" s="56">
        <v>8735</v>
      </c>
      <c r="P35" s="203"/>
      <c r="Q35" s="200" t="s">
        <v>1166</v>
      </c>
    </row>
    <row r="36" spans="1:17">
      <c r="A36" s="324">
        <v>16</v>
      </c>
      <c r="B36" s="200" t="s">
        <v>4724</v>
      </c>
      <c r="C36" s="55" t="s">
        <v>9350</v>
      </c>
      <c r="D36" s="202">
        <v>0</v>
      </c>
      <c r="E36" s="202">
        <v>0</v>
      </c>
      <c r="F36" s="202">
        <v>0</v>
      </c>
      <c r="G36" s="56">
        <v>7596</v>
      </c>
      <c r="H36" s="56">
        <v>7636</v>
      </c>
      <c r="I36" s="56">
        <v>7578</v>
      </c>
      <c r="J36" s="58">
        <v>7613</v>
      </c>
      <c r="K36" s="56">
        <v>8286</v>
      </c>
      <c r="L36" s="56">
        <v>9005</v>
      </c>
      <c r="M36" s="56">
        <v>10184</v>
      </c>
      <c r="N36" s="56">
        <v>10470</v>
      </c>
      <c r="O36" s="56">
        <v>11045</v>
      </c>
      <c r="P36" s="203"/>
      <c r="Q36" s="200" t="s">
        <v>1166</v>
      </c>
    </row>
    <row r="37" spans="1:17">
      <c r="A37" s="324">
        <v>17</v>
      </c>
      <c r="B37" s="200" t="s">
        <v>9335</v>
      </c>
      <c r="C37" s="55" t="s">
        <v>9351</v>
      </c>
      <c r="D37" s="202">
        <v>0</v>
      </c>
      <c r="E37" s="202">
        <v>0</v>
      </c>
      <c r="F37" s="202">
        <v>0</v>
      </c>
      <c r="G37" s="56">
        <v>9249</v>
      </c>
      <c r="H37" s="56">
        <v>9249</v>
      </c>
      <c r="I37" s="56">
        <v>9078</v>
      </c>
      <c r="J37" s="56">
        <v>8842</v>
      </c>
      <c r="K37" s="56">
        <v>9058</v>
      </c>
      <c r="L37" s="56">
        <v>9089</v>
      </c>
      <c r="M37" s="56">
        <v>9094</v>
      </c>
      <c r="N37" s="56">
        <v>8671</v>
      </c>
      <c r="O37" s="56">
        <v>8864</v>
      </c>
      <c r="P37" s="203"/>
      <c r="Q37" s="200" t="s">
        <v>1166</v>
      </c>
    </row>
    <row r="38" spans="1:17">
      <c r="A38" s="324">
        <v>18</v>
      </c>
      <c r="B38" s="200" t="s">
        <v>4235</v>
      </c>
      <c r="C38" s="55" t="s">
        <v>9352</v>
      </c>
      <c r="D38" s="202">
        <v>0</v>
      </c>
      <c r="E38" s="202">
        <v>0</v>
      </c>
      <c r="F38" s="202">
        <v>0</v>
      </c>
      <c r="G38" s="58">
        <v>8294</v>
      </c>
      <c r="H38" s="58">
        <v>8210</v>
      </c>
      <c r="I38" s="58">
        <v>8092</v>
      </c>
      <c r="J38" s="56">
        <v>7799</v>
      </c>
      <c r="K38" s="58">
        <v>7732</v>
      </c>
      <c r="L38" s="58">
        <v>7831</v>
      </c>
      <c r="M38" s="58">
        <v>7981</v>
      </c>
      <c r="N38" s="58">
        <v>7617</v>
      </c>
      <c r="O38" s="58">
        <v>7811</v>
      </c>
      <c r="P38" s="203"/>
      <c r="Q38" s="200" t="s">
        <v>1168</v>
      </c>
    </row>
    <row r="39" spans="1:17">
      <c r="A39" s="324">
        <v>19</v>
      </c>
      <c r="B39" s="200" t="s">
        <v>9336</v>
      </c>
      <c r="C39" s="55" t="s">
        <v>9353</v>
      </c>
      <c r="D39" s="202">
        <v>0</v>
      </c>
      <c r="E39" s="202">
        <v>0</v>
      </c>
      <c r="F39" s="202">
        <v>0</v>
      </c>
      <c r="G39" s="58">
        <v>8902</v>
      </c>
      <c r="H39" s="58">
        <v>8746</v>
      </c>
      <c r="I39" s="58">
        <v>8689</v>
      </c>
      <c r="J39" s="58">
        <v>8250</v>
      </c>
      <c r="K39" s="58">
        <v>8156</v>
      </c>
      <c r="L39" s="58">
        <v>8319</v>
      </c>
      <c r="M39" s="58">
        <v>8469</v>
      </c>
      <c r="N39" s="58">
        <v>8058</v>
      </c>
      <c r="O39" s="58">
        <v>8228</v>
      </c>
      <c r="P39" s="203"/>
      <c r="Q39" s="200" t="s">
        <v>1168</v>
      </c>
    </row>
    <row r="40" spans="1:17">
      <c r="A40" s="324">
        <v>20</v>
      </c>
      <c r="B40" s="200" t="s">
        <v>9337</v>
      </c>
      <c r="C40" s="55" t="s">
        <v>9354</v>
      </c>
      <c r="D40" s="202">
        <v>0</v>
      </c>
      <c r="E40" s="202">
        <v>0</v>
      </c>
      <c r="F40" s="202">
        <v>0</v>
      </c>
      <c r="G40" s="58">
        <v>6427</v>
      </c>
      <c r="H40" s="58">
        <v>6387</v>
      </c>
      <c r="I40" s="58">
        <v>6270</v>
      </c>
      <c r="J40" s="58">
        <v>6069</v>
      </c>
      <c r="K40" s="58">
        <v>6134</v>
      </c>
      <c r="L40" s="58">
        <v>6202</v>
      </c>
      <c r="M40" s="58">
        <v>6292</v>
      </c>
      <c r="N40" s="58">
        <v>6242</v>
      </c>
      <c r="O40" s="58">
        <v>6348</v>
      </c>
      <c r="P40" s="203"/>
      <c r="Q40" s="200" t="s">
        <v>1168</v>
      </c>
    </row>
    <row r="41" spans="1:17">
      <c r="D41" s="202"/>
      <c r="E41" s="202"/>
      <c r="F41" s="202"/>
      <c r="G41" s="202"/>
      <c r="H41" s="202"/>
      <c r="I41" s="202"/>
      <c r="J41" s="202"/>
      <c r="K41" s="202"/>
      <c r="L41" s="202"/>
    </row>
    <row r="42" spans="1:17">
      <c r="A42" s="200" t="s">
        <v>11250</v>
      </c>
    </row>
    <row r="43" spans="1:17">
      <c r="A43" s="200" t="s">
        <v>11251</v>
      </c>
    </row>
    <row r="44" spans="1:17">
      <c r="A44" s="200"/>
    </row>
    <row r="45" spans="1:17">
      <c r="D45" s="51"/>
      <c r="E45" s="51"/>
      <c r="F45" s="51"/>
      <c r="G45" s="51"/>
      <c r="H45" s="51"/>
      <c r="I45" s="51"/>
      <c r="J45" s="51"/>
      <c r="K45" s="51"/>
      <c r="L45" s="51"/>
      <c r="M45" s="173"/>
      <c r="N45" s="173"/>
      <c r="O45" s="173"/>
      <c r="P45" s="173"/>
      <c r="Q45" s="173"/>
    </row>
  </sheetData>
  <sortState ref="R17:U38">
    <sortCondition ref="S17:S38"/>
    <sortCondition ref="R17:R38"/>
  </sortState>
  <phoneticPr fontId="6" type="noConversion"/>
  <printOptions gridLinesSet="0"/>
  <pageMargins left="0.51181102362204722" right="0" top="0.51181102362204722" bottom="0.51181102362204722" header="0.51181102362204722" footer="0.51181102362204722"/>
  <pageSetup paperSize="9" scale="70" orientation="portrait" horizontalDpi="300" verticalDpi="300" r:id="rId1"/>
  <headerFooter alignWithMargins="0">
    <oddFooter>&amp;C&amp;8&amp;P of &amp;N</oddFooter>
  </headerFooter>
  <ignoredErrors>
    <ignoredError sqref="D4 E4 F4 D22:G22 D30:G30 D10:D15 E10:E15 F10:F15 D8 D7:F7 D9:F9 E8:F8 D3:F3 G3:G4 D5:D6 E5:E6 F5:F6 G5:G15 H4 H22:H30 H5:H15 I22:K22 I30:K30 I4:I15 J3:J15 K3:K15 L3:L30" unlockedFormula="1"/>
    <ignoredError sqref="H3:I3" formula="1" unlockedFormula="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ransitionEvaluation="1"/>
  <dimension ref="A1:Q40"/>
  <sheetViews>
    <sheetView showGridLines="0" topLeftCell="A16" zoomScale="90" zoomScaleNormal="90" workbookViewId="0">
      <selection activeCell="Q13" sqref="Q13"/>
    </sheetView>
  </sheetViews>
  <sheetFormatPr defaultColWidth="12.5703125" defaultRowHeight="15"/>
  <cols>
    <col min="1" max="1" width="4.85546875" style="119" customWidth="1"/>
    <col min="2" max="2" width="40.7109375" style="119" customWidth="1"/>
    <col min="3" max="3" width="11.5703125" style="119" customWidth="1"/>
    <col min="4" max="15" width="10" style="119" customWidth="1"/>
    <col min="16" max="16" width="2.28515625" style="119" customWidth="1"/>
    <col min="17" max="17" width="33" style="119" customWidth="1"/>
    <col min="18" max="16384" width="12.5703125" style="119"/>
  </cols>
  <sheetData>
    <row r="1" spans="1:17">
      <c r="A1" s="313" t="s">
        <v>5719</v>
      </c>
      <c r="D1" s="314">
        <v>2010</v>
      </c>
      <c r="E1" s="314">
        <v>2011</v>
      </c>
      <c r="F1" s="314">
        <v>2012</v>
      </c>
      <c r="G1" s="314">
        <v>2013</v>
      </c>
      <c r="H1" s="314">
        <v>2014</v>
      </c>
      <c r="I1" s="314">
        <v>2015</v>
      </c>
      <c r="J1" s="314">
        <v>2016</v>
      </c>
      <c r="K1" s="314">
        <v>2017</v>
      </c>
      <c r="L1" s="314">
        <v>2018</v>
      </c>
      <c r="M1" s="314">
        <v>2019</v>
      </c>
      <c r="N1" s="314">
        <v>2020</v>
      </c>
      <c r="O1" s="935" t="s">
        <v>14823</v>
      </c>
    </row>
    <row r="3" spans="1:17">
      <c r="A3" s="313" t="s">
        <v>4169</v>
      </c>
      <c r="D3" s="315">
        <f>SUM(D17:D37)</f>
        <v>147152</v>
      </c>
      <c r="E3" s="315">
        <f>SUM(E17:E37)</f>
        <v>154500</v>
      </c>
      <c r="F3" s="315">
        <f>SUM(F17:F37)</f>
        <v>155182</v>
      </c>
      <c r="G3" s="315">
        <f>SUM(G17:G37)</f>
        <v>145170</v>
      </c>
      <c r="H3" s="315">
        <f>SUM(H17:H37)</f>
        <v>157521</v>
      </c>
      <c r="I3" s="315">
        <f t="shared" ref="I3:N3" si="0">SUM(I17:I37)</f>
        <v>153335</v>
      </c>
      <c r="J3" s="315">
        <f t="shared" si="0"/>
        <v>151151</v>
      </c>
      <c r="K3" s="315">
        <f t="shared" si="0"/>
        <v>151383</v>
      </c>
      <c r="L3" s="315">
        <f t="shared" si="0"/>
        <v>167267</v>
      </c>
      <c r="M3" s="315">
        <f t="shared" si="0"/>
        <v>164419</v>
      </c>
      <c r="N3" s="315">
        <f t="shared" si="0"/>
        <v>182004</v>
      </c>
      <c r="O3" s="315">
        <f>SUM(O17:O37)</f>
        <v>181943</v>
      </c>
    </row>
    <row r="5" spans="1:17">
      <c r="A5" s="313" t="s">
        <v>5720</v>
      </c>
      <c r="D5" s="315">
        <f t="shared" ref="D5:I5" si="1">D3/2</f>
        <v>73576</v>
      </c>
      <c r="E5" s="315">
        <f t="shared" si="1"/>
        <v>77250</v>
      </c>
      <c r="F5" s="315">
        <f t="shared" si="1"/>
        <v>77591</v>
      </c>
      <c r="G5" s="315">
        <f t="shared" si="1"/>
        <v>72585</v>
      </c>
      <c r="H5" s="315">
        <f t="shared" si="1"/>
        <v>78760.5</v>
      </c>
      <c r="I5" s="315">
        <f t="shared" si="1"/>
        <v>76667.5</v>
      </c>
      <c r="J5" s="315">
        <f t="shared" ref="J5:O5" si="2">J3/2</f>
        <v>75575.5</v>
      </c>
      <c r="K5" s="315">
        <f t="shared" si="2"/>
        <v>75691.5</v>
      </c>
      <c r="L5" s="315">
        <f t="shared" si="2"/>
        <v>83633.5</v>
      </c>
      <c r="M5" s="315">
        <f t="shared" si="2"/>
        <v>82209.5</v>
      </c>
      <c r="N5" s="315">
        <f t="shared" si="2"/>
        <v>91002</v>
      </c>
      <c r="O5" s="315">
        <f t="shared" si="2"/>
        <v>90971.5</v>
      </c>
    </row>
    <row r="6" spans="1:17">
      <c r="D6" s="316"/>
      <c r="E6" s="316"/>
      <c r="F6" s="316"/>
      <c r="G6" s="316"/>
      <c r="H6" s="316"/>
      <c r="I6" s="316"/>
      <c r="J6" s="316"/>
      <c r="K6" s="316"/>
      <c r="L6" s="316"/>
      <c r="M6" s="316"/>
      <c r="N6" s="316"/>
      <c r="O6" s="316"/>
    </row>
    <row r="7" spans="1:17">
      <c r="A7" s="313" t="s">
        <v>6434</v>
      </c>
      <c r="D7" s="315">
        <f t="shared" ref="D7:I7" si="3">D17+D19+D20+D29+D31+SUM(D33:D36)</f>
        <v>76272</v>
      </c>
      <c r="E7" s="315">
        <f t="shared" si="3"/>
        <v>79581</v>
      </c>
      <c r="F7" s="315">
        <f t="shared" si="3"/>
        <v>79121</v>
      </c>
      <c r="G7" s="315">
        <f t="shared" si="3"/>
        <v>73224</v>
      </c>
      <c r="H7" s="315">
        <f t="shared" si="3"/>
        <v>79658</v>
      </c>
      <c r="I7" s="315">
        <f t="shared" si="3"/>
        <v>75914</v>
      </c>
      <c r="J7" s="315">
        <f t="shared" ref="J7:O7" si="4">J17+J19+J20+J31+J29+SUM(J33:J36)</f>
        <v>75002</v>
      </c>
      <c r="K7" s="315">
        <f t="shared" si="4"/>
        <v>75088</v>
      </c>
      <c r="L7" s="315">
        <f t="shared" si="4"/>
        <v>82056</v>
      </c>
      <c r="M7" s="315">
        <f t="shared" si="4"/>
        <v>80064</v>
      </c>
      <c r="N7" s="315">
        <f t="shared" si="4"/>
        <v>89099</v>
      </c>
      <c r="O7" s="315">
        <f t="shared" si="4"/>
        <v>89050</v>
      </c>
      <c r="Q7" s="313" t="s">
        <v>6435</v>
      </c>
    </row>
    <row r="8" spans="1:17">
      <c r="D8" s="316"/>
      <c r="E8" s="316"/>
      <c r="F8" s="316"/>
      <c r="G8" s="316"/>
      <c r="H8" s="316"/>
      <c r="I8" s="316"/>
      <c r="J8" s="316"/>
      <c r="K8" s="316"/>
      <c r="L8" s="316"/>
      <c r="M8" s="316"/>
      <c r="N8" s="316"/>
      <c r="O8" s="316"/>
    </row>
    <row r="9" spans="1:17" ht="16.5" customHeight="1">
      <c r="A9" s="313" t="s">
        <v>5178</v>
      </c>
      <c r="D9" s="317">
        <f t="shared" ref="D9:I9" si="5">D18+SUM(D21:D28)+D30+D32+D37</f>
        <v>70880</v>
      </c>
      <c r="E9" s="317">
        <f t="shared" si="5"/>
        <v>74919</v>
      </c>
      <c r="F9" s="317">
        <f t="shared" si="5"/>
        <v>76061</v>
      </c>
      <c r="G9" s="317">
        <f t="shared" si="5"/>
        <v>71946</v>
      </c>
      <c r="H9" s="317">
        <f t="shared" si="5"/>
        <v>77863</v>
      </c>
      <c r="I9" s="317">
        <f t="shared" si="5"/>
        <v>77421</v>
      </c>
      <c r="J9" s="317">
        <f t="shared" ref="J9:O9" si="6">J18+SUM(J21:J28)+J32+J30+J37</f>
        <v>76149</v>
      </c>
      <c r="K9" s="317">
        <f t="shared" si="6"/>
        <v>76295</v>
      </c>
      <c r="L9" s="317">
        <f t="shared" si="6"/>
        <v>85211</v>
      </c>
      <c r="M9" s="317">
        <f t="shared" si="6"/>
        <v>84355</v>
      </c>
      <c r="N9" s="317">
        <f t="shared" si="6"/>
        <v>92905</v>
      </c>
      <c r="O9" s="317">
        <f t="shared" si="6"/>
        <v>92893</v>
      </c>
      <c r="Q9" s="313" t="s">
        <v>6435</v>
      </c>
    </row>
    <row r="10" spans="1:17">
      <c r="D10" s="316"/>
      <c r="E10" s="316"/>
      <c r="F10" s="316"/>
      <c r="G10" s="316"/>
      <c r="H10" s="316"/>
      <c r="I10" s="316"/>
      <c r="J10" s="316"/>
      <c r="K10" s="316"/>
      <c r="L10" s="316"/>
      <c r="M10" s="316"/>
      <c r="N10" s="316"/>
      <c r="O10" s="316"/>
    </row>
    <row r="11" spans="1:17">
      <c r="A11" s="313" t="s">
        <v>6796</v>
      </c>
      <c r="D11" s="315">
        <f t="shared" ref="D11:I11" si="7">D7+D9</f>
        <v>147152</v>
      </c>
      <c r="E11" s="315">
        <f t="shared" si="7"/>
        <v>154500</v>
      </c>
      <c r="F11" s="315">
        <f t="shared" si="7"/>
        <v>155182</v>
      </c>
      <c r="G11" s="315">
        <f t="shared" si="7"/>
        <v>145170</v>
      </c>
      <c r="H11" s="315">
        <f t="shared" si="7"/>
        <v>157521</v>
      </c>
      <c r="I11" s="315">
        <f t="shared" si="7"/>
        <v>153335</v>
      </c>
      <c r="J11" s="315">
        <f t="shared" ref="J11:O11" si="8">J7+J9</f>
        <v>151151</v>
      </c>
      <c r="K11" s="315">
        <f t="shared" si="8"/>
        <v>151383</v>
      </c>
      <c r="L11" s="315">
        <f t="shared" si="8"/>
        <v>167267</v>
      </c>
      <c r="M11" s="315">
        <f t="shared" si="8"/>
        <v>164419</v>
      </c>
      <c r="N11" s="315">
        <f t="shared" si="8"/>
        <v>182004</v>
      </c>
      <c r="O11" s="315">
        <f t="shared" si="8"/>
        <v>181943</v>
      </c>
    </row>
    <row r="12" spans="1:17">
      <c r="D12" s="316"/>
      <c r="E12" s="316"/>
      <c r="F12" s="316"/>
      <c r="G12" s="316"/>
      <c r="H12" s="316"/>
      <c r="I12" s="316"/>
      <c r="J12" s="316"/>
      <c r="K12" s="316"/>
      <c r="L12" s="316"/>
      <c r="M12" s="316"/>
      <c r="N12" s="316"/>
      <c r="O12" s="316"/>
    </row>
    <row r="13" spans="1:17">
      <c r="A13" s="313" t="s">
        <v>6797</v>
      </c>
      <c r="D13" s="315">
        <f t="shared" ref="D13:I13" si="9">MAX(D7,D9)-MIN(D7,D9)</f>
        <v>5392</v>
      </c>
      <c r="E13" s="315">
        <f t="shared" si="9"/>
        <v>4662</v>
      </c>
      <c r="F13" s="315">
        <f t="shared" si="9"/>
        <v>3060</v>
      </c>
      <c r="G13" s="315">
        <f t="shared" si="9"/>
        <v>1278</v>
      </c>
      <c r="H13" s="315">
        <f t="shared" si="9"/>
        <v>1795</v>
      </c>
      <c r="I13" s="315">
        <f t="shared" si="9"/>
        <v>1507</v>
      </c>
      <c r="J13" s="315">
        <f t="shared" ref="J13:O13" si="10">MAX(J7,J9)-MIN(J7,J9)</f>
        <v>1147</v>
      </c>
      <c r="K13" s="315">
        <f t="shared" si="10"/>
        <v>1207</v>
      </c>
      <c r="L13" s="315">
        <f t="shared" si="10"/>
        <v>3155</v>
      </c>
      <c r="M13" s="315">
        <f t="shared" si="10"/>
        <v>4291</v>
      </c>
      <c r="N13" s="315">
        <f t="shared" si="10"/>
        <v>3806</v>
      </c>
      <c r="O13" s="315">
        <f t="shared" si="10"/>
        <v>3843</v>
      </c>
    </row>
    <row r="14" spans="1:17">
      <c r="D14" s="316"/>
      <c r="E14" s="316"/>
      <c r="F14" s="316"/>
      <c r="G14" s="316"/>
      <c r="H14" s="316"/>
      <c r="I14" s="316"/>
      <c r="J14" s="316"/>
      <c r="K14" s="316"/>
      <c r="L14" s="316"/>
      <c r="M14" s="316"/>
      <c r="N14" s="316"/>
      <c r="O14" s="316"/>
    </row>
    <row r="15" spans="1:17">
      <c r="A15" s="318" t="s">
        <v>6800</v>
      </c>
      <c r="D15" s="315">
        <f t="shared" ref="D15:I15" si="11">STDEVP(D7,D9)</f>
        <v>2696</v>
      </c>
      <c r="E15" s="315">
        <f t="shared" si="11"/>
        <v>2331</v>
      </c>
      <c r="F15" s="315">
        <f t="shared" si="11"/>
        <v>1530</v>
      </c>
      <c r="G15" s="315">
        <f t="shared" si="11"/>
        <v>639</v>
      </c>
      <c r="H15" s="315">
        <f t="shared" si="11"/>
        <v>897.5</v>
      </c>
      <c r="I15" s="315">
        <f t="shared" si="11"/>
        <v>753.5</v>
      </c>
      <c r="J15" s="315">
        <f t="shared" ref="J15:O15" si="12">STDEVP(J7,J9)</f>
        <v>573.5</v>
      </c>
      <c r="K15" s="315">
        <f t="shared" si="12"/>
        <v>603.5</v>
      </c>
      <c r="L15" s="315">
        <f t="shared" si="12"/>
        <v>1577.5</v>
      </c>
      <c r="M15" s="315">
        <f t="shared" si="12"/>
        <v>2145.5</v>
      </c>
      <c r="N15" s="315">
        <f t="shared" si="12"/>
        <v>1903</v>
      </c>
      <c r="O15" s="315">
        <f t="shared" si="12"/>
        <v>1921.5</v>
      </c>
    </row>
    <row r="16" spans="1:17">
      <c r="D16" s="316"/>
      <c r="E16" s="316"/>
      <c r="F16" s="316"/>
      <c r="G16" s="316"/>
      <c r="H16" s="316"/>
      <c r="I16" s="316"/>
      <c r="J16" s="316"/>
      <c r="K16" s="316"/>
      <c r="L16" s="316"/>
      <c r="M16" s="316"/>
      <c r="N16" s="316"/>
      <c r="O16" s="316"/>
    </row>
    <row r="17" spans="1:17">
      <c r="A17" s="313" t="s">
        <v>5387</v>
      </c>
      <c r="B17" s="313" t="s">
        <v>9682</v>
      </c>
      <c r="C17" s="62" t="s">
        <v>9694</v>
      </c>
      <c r="D17" s="319">
        <v>76272</v>
      </c>
      <c r="E17" s="319">
        <v>79581</v>
      </c>
      <c r="F17" s="319">
        <v>79121</v>
      </c>
      <c r="G17" s="319">
        <v>73224</v>
      </c>
      <c r="H17" s="56">
        <v>79658</v>
      </c>
      <c r="I17" s="56">
        <v>11120</v>
      </c>
      <c r="J17" s="56">
        <v>11043</v>
      </c>
      <c r="K17" s="56">
        <v>11053</v>
      </c>
      <c r="L17" s="56">
        <v>12227</v>
      </c>
      <c r="M17" s="56">
        <v>11922</v>
      </c>
      <c r="N17" s="56">
        <v>13096</v>
      </c>
      <c r="O17" s="56">
        <v>13096</v>
      </c>
      <c r="Q17" s="313" t="s">
        <v>6434</v>
      </c>
    </row>
    <row r="18" spans="1:17">
      <c r="A18" s="313" t="s">
        <v>5389</v>
      </c>
      <c r="B18" s="313" t="s">
        <v>9683</v>
      </c>
      <c r="C18" s="62" t="s">
        <v>9695</v>
      </c>
      <c r="D18" s="319">
        <v>70880</v>
      </c>
      <c r="E18" s="319">
        <v>74919</v>
      </c>
      <c r="F18" s="319">
        <v>76061</v>
      </c>
      <c r="G18" s="319">
        <v>71946</v>
      </c>
      <c r="H18" s="56">
        <v>77863</v>
      </c>
      <c r="I18" s="56">
        <v>7599</v>
      </c>
      <c r="J18" s="56">
        <v>7284</v>
      </c>
      <c r="K18" s="56">
        <v>7297</v>
      </c>
      <c r="L18" s="56">
        <v>9304</v>
      </c>
      <c r="M18" s="56">
        <v>9330</v>
      </c>
      <c r="N18" s="56">
        <v>10554</v>
      </c>
      <c r="O18" s="56">
        <v>10546</v>
      </c>
      <c r="Q18" s="313" t="s">
        <v>5178</v>
      </c>
    </row>
    <row r="19" spans="1:17">
      <c r="A19" s="313" t="s">
        <v>5391</v>
      </c>
      <c r="B19" s="313" t="s">
        <v>954</v>
      </c>
      <c r="C19" s="62" t="s">
        <v>9696</v>
      </c>
      <c r="D19" s="319">
        <v>0</v>
      </c>
      <c r="E19" s="319">
        <v>0</v>
      </c>
      <c r="F19" s="319">
        <v>0</v>
      </c>
      <c r="G19" s="319">
        <v>0</v>
      </c>
      <c r="H19" s="319">
        <v>0</v>
      </c>
      <c r="I19" s="56">
        <v>9812</v>
      </c>
      <c r="J19" s="56">
        <v>10427</v>
      </c>
      <c r="K19" s="56">
        <v>10434</v>
      </c>
      <c r="L19" s="56">
        <v>11297</v>
      </c>
      <c r="M19" s="56">
        <v>11065</v>
      </c>
      <c r="N19" s="56">
        <v>12898</v>
      </c>
      <c r="O19" s="56">
        <v>12908</v>
      </c>
      <c r="Q19" s="313" t="s">
        <v>6434</v>
      </c>
    </row>
    <row r="20" spans="1:17">
      <c r="A20" s="313" t="s">
        <v>5393</v>
      </c>
      <c r="B20" s="313" t="s">
        <v>955</v>
      </c>
      <c r="C20" s="62" t="s">
        <v>9697</v>
      </c>
      <c r="D20" s="319">
        <v>0</v>
      </c>
      <c r="E20" s="319">
        <v>0</v>
      </c>
      <c r="F20" s="319">
        <v>0</v>
      </c>
      <c r="G20" s="319">
        <v>0</v>
      </c>
      <c r="H20" s="319">
        <v>0</v>
      </c>
      <c r="I20" s="56">
        <v>8105</v>
      </c>
      <c r="J20" s="56">
        <v>7850</v>
      </c>
      <c r="K20" s="56">
        <v>7856</v>
      </c>
      <c r="L20" s="56">
        <v>8449</v>
      </c>
      <c r="M20" s="56">
        <v>8233</v>
      </c>
      <c r="N20" s="56">
        <v>9091</v>
      </c>
      <c r="O20" s="56">
        <v>9079</v>
      </c>
      <c r="Q20" s="313" t="s">
        <v>6434</v>
      </c>
    </row>
    <row r="21" spans="1:17">
      <c r="A21" s="313" t="s">
        <v>5394</v>
      </c>
      <c r="B21" s="313" t="s">
        <v>9684</v>
      </c>
      <c r="C21" s="62" t="s">
        <v>9698</v>
      </c>
      <c r="D21" s="319">
        <v>0</v>
      </c>
      <c r="E21" s="319">
        <v>0</v>
      </c>
      <c r="F21" s="319">
        <v>0</v>
      </c>
      <c r="G21" s="319">
        <v>0</v>
      </c>
      <c r="H21" s="319">
        <v>0</v>
      </c>
      <c r="I21" s="56">
        <v>5992</v>
      </c>
      <c r="J21" s="56">
        <v>5980</v>
      </c>
      <c r="K21" s="56">
        <v>5981</v>
      </c>
      <c r="L21" s="56">
        <v>6585</v>
      </c>
      <c r="M21" s="56">
        <v>6578</v>
      </c>
      <c r="N21" s="56">
        <v>7153</v>
      </c>
      <c r="O21" s="56">
        <v>7142</v>
      </c>
      <c r="Q21" s="313" t="s">
        <v>5178</v>
      </c>
    </row>
    <row r="22" spans="1:17">
      <c r="A22" s="313" t="s">
        <v>5416</v>
      </c>
      <c r="B22" s="313" t="s">
        <v>9685</v>
      </c>
      <c r="C22" s="62" t="s">
        <v>9699</v>
      </c>
      <c r="D22" s="319">
        <v>0</v>
      </c>
      <c r="E22" s="319">
        <v>0</v>
      </c>
      <c r="F22" s="319">
        <v>0</v>
      </c>
      <c r="G22" s="319">
        <v>0</v>
      </c>
      <c r="H22" s="319">
        <v>0</v>
      </c>
      <c r="I22" s="56">
        <v>6515</v>
      </c>
      <c r="J22" s="56">
        <v>6532</v>
      </c>
      <c r="K22" s="56">
        <v>6533</v>
      </c>
      <c r="L22" s="56">
        <v>7366</v>
      </c>
      <c r="M22" s="56">
        <v>7470</v>
      </c>
      <c r="N22" s="56">
        <v>8159</v>
      </c>
      <c r="O22" s="56">
        <v>8151</v>
      </c>
      <c r="Q22" s="313" t="s">
        <v>5178</v>
      </c>
    </row>
    <row r="23" spans="1:17">
      <c r="A23" s="313" t="s">
        <v>5418</v>
      </c>
      <c r="B23" s="313" t="s">
        <v>9686</v>
      </c>
      <c r="C23" s="62" t="s">
        <v>9700</v>
      </c>
      <c r="D23" s="319">
        <v>0</v>
      </c>
      <c r="E23" s="319">
        <v>0</v>
      </c>
      <c r="F23" s="319">
        <v>0</v>
      </c>
      <c r="G23" s="319">
        <v>0</v>
      </c>
      <c r="H23" s="319">
        <v>0</v>
      </c>
      <c r="I23" s="56">
        <v>6636</v>
      </c>
      <c r="J23" s="56">
        <v>6517</v>
      </c>
      <c r="K23" s="56">
        <v>6536</v>
      </c>
      <c r="L23" s="56">
        <v>7541</v>
      </c>
      <c r="M23" s="56">
        <v>7298</v>
      </c>
      <c r="N23" s="56">
        <v>8222</v>
      </c>
      <c r="O23" s="56">
        <v>8232</v>
      </c>
      <c r="Q23" s="313" t="s">
        <v>5178</v>
      </c>
    </row>
    <row r="24" spans="1:17">
      <c r="A24" s="313" t="s">
        <v>5420</v>
      </c>
      <c r="B24" s="313" t="s">
        <v>9687</v>
      </c>
      <c r="C24" s="62" t="s">
        <v>9701</v>
      </c>
      <c r="D24" s="319">
        <v>0</v>
      </c>
      <c r="E24" s="319">
        <v>0</v>
      </c>
      <c r="F24" s="319">
        <v>0</v>
      </c>
      <c r="G24" s="319">
        <v>0</v>
      </c>
      <c r="H24" s="319">
        <v>0</v>
      </c>
      <c r="I24" s="56">
        <v>7368</v>
      </c>
      <c r="J24" s="56">
        <v>7220</v>
      </c>
      <c r="K24" s="56">
        <v>7251</v>
      </c>
      <c r="L24" s="56">
        <v>7891</v>
      </c>
      <c r="M24" s="56">
        <v>7667</v>
      </c>
      <c r="N24" s="56">
        <v>8337</v>
      </c>
      <c r="O24" s="56">
        <v>8337</v>
      </c>
      <c r="Q24" s="313" t="s">
        <v>5178</v>
      </c>
    </row>
    <row r="25" spans="1:17">
      <c r="A25" s="313" t="s">
        <v>5422</v>
      </c>
      <c r="B25" s="313" t="s">
        <v>9688</v>
      </c>
      <c r="C25" s="62" t="s">
        <v>9702</v>
      </c>
      <c r="D25" s="319">
        <v>0</v>
      </c>
      <c r="E25" s="319">
        <v>0</v>
      </c>
      <c r="F25" s="319">
        <v>0</v>
      </c>
      <c r="G25" s="319">
        <v>0</v>
      </c>
      <c r="H25" s="319">
        <v>0</v>
      </c>
      <c r="I25" s="56">
        <v>9499</v>
      </c>
      <c r="J25" s="56">
        <v>9623</v>
      </c>
      <c r="K25" s="56">
        <v>9642</v>
      </c>
      <c r="L25" s="56">
        <v>10559</v>
      </c>
      <c r="M25" s="56">
        <v>10615</v>
      </c>
      <c r="N25" s="56">
        <v>11779</v>
      </c>
      <c r="O25" s="56">
        <v>11783</v>
      </c>
      <c r="Q25" s="313" t="s">
        <v>5178</v>
      </c>
    </row>
    <row r="26" spans="1:17">
      <c r="A26" s="313" t="s">
        <v>5424</v>
      </c>
      <c r="B26" s="313" t="s">
        <v>5179</v>
      </c>
      <c r="C26" s="62" t="s">
        <v>9703</v>
      </c>
      <c r="D26" s="319">
        <v>0</v>
      </c>
      <c r="E26" s="319">
        <v>0</v>
      </c>
      <c r="F26" s="319">
        <v>0</v>
      </c>
      <c r="G26" s="319">
        <v>0</v>
      </c>
      <c r="H26" s="319">
        <v>0</v>
      </c>
      <c r="I26" s="58">
        <v>3612</v>
      </c>
      <c r="J26" s="58">
        <v>3659</v>
      </c>
      <c r="K26" s="58">
        <v>3670</v>
      </c>
      <c r="L26" s="58">
        <v>4003</v>
      </c>
      <c r="M26" s="58">
        <v>3940</v>
      </c>
      <c r="N26" s="58">
        <v>4257</v>
      </c>
      <c r="O26" s="58">
        <v>4252</v>
      </c>
      <c r="Q26" s="313" t="s">
        <v>5178</v>
      </c>
    </row>
    <row r="27" spans="1:17">
      <c r="A27" s="313" t="s">
        <v>5426</v>
      </c>
      <c r="B27" s="313" t="s">
        <v>1688</v>
      </c>
      <c r="C27" s="62" t="s">
        <v>9704</v>
      </c>
      <c r="D27" s="319">
        <v>0</v>
      </c>
      <c r="E27" s="319">
        <v>0</v>
      </c>
      <c r="F27" s="319">
        <v>0</v>
      </c>
      <c r="G27" s="319">
        <v>0</v>
      </c>
      <c r="H27" s="319">
        <v>0</v>
      </c>
      <c r="I27" s="58">
        <v>10342</v>
      </c>
      <c r="J27" s="58">
        <v>10236</v>
      </c>
      <c r="K27" s="58">
        <v>10255</v>
      </c>
      <c r="L27" s="58">
        <v>11273</v>
      </c>
      <c r="M27" s="58">
        <v>11199</v>
      </c>
      <c r="N27" s="58">
        <v>12377</v>
      </c>
      <c r="O27" s="58">
        <v>12381</v>
      </c>
      <c r="Q27" s="313" t="s">
        <v>5178</v>
      </c>
    </row>
    <row r="28" spans="1:17">
      <c r="A28" s="313" t="s">
        <v>5428</v>
      </c>
      <c r="B28" s="313" t="s">
        <v>2678</v>
      </c>
      <c r="C28" s="62" t="s">
        <v>9705</v>
      </c>
      <c r="D28" s="319">
        <v>0</v>
      </c>
      <c r="E28" s="319">
        <v>0</v>
      </c>
      <c r="F28" s="319">
        <v>0</v>
      </c>
      <c r="G28" s="319">
        <v>0</v>
      </c>
      <c r="H28" s="319">
        <v>0</v>
      </c>
      <c r="I28" s="58">
        <v>3710</v>
      </c>
      <c r="J28" s="58">
        <v>3418</v>
      </c>
      <c r="K28" s="58">
        <v>3419</v>
      </c>
      <c r="L28" s="58">
        <v>3891</v>
      </c>
      <c r="M28" s="58">
        <v>3926</v>
      </c>
      <c r="N28" s="58">
        <v>4214</v>
      </c>
      <c r="O28" s="58">
        <v>4222</v>
      </c>
      <c r="Q28" s="313" t="s">
        <v>5178</v>
      </c>
    </row>
    <row r="29" spans="1:17">
      <c r="A29" s="313" t="s">
        <v>5429</v>
      </c>
      <c r="B29" s="313" t="s">
        <v>9689</v>
      </c>
      <c r="C29" s="62" t="s">
        <v>9706</v>
      </c>
      <c r="D29" s="317">
        <v>0</v>
      </c>
      <c r="E29" s="317">
        <v>0</v>
      </c>
      <c r="F29" s="317">
        <v>0</v>
      </c>
      <c r="G29" s="317">
        <v>0</v>
      </c>
      <c r="H29" s="317">
        <v>0</v>
      </c>
      <c r="I29" s="58">
        <v>7494</v>
      </c>
      <c r="J29" s="56">
        <v>7336</v>
      </c>
      <c r="K29" s="56">
        <v>7342</v>
      </c>
      <c r="L29" s="56">
        <v>7971</v>
      </c>
      <c r="M29" s="56">
        <v>7944</v>
      </c>
      <c r="N29" s="56">
        <v>8609</v>
      </c>
      <c r="O29" s="56">
        <v>8615</v>
      </c>
      <c r="Q29" s="313" t="s">
        <v>6434</v>
      </c>
    </row>
    <row r="30" spans="1:17">
      <c r="A30" s="313" t="s">
        <v>5431</v>
      </c>
      <c r="B30" s="313" t="s">
        <v>9690</v>
      </c>
      <c r="C30" s="62" t="s">
        <v>9707</v>
      </c>
      <c r="D30" s="317">
        <v>0</v>
      </c>
      <c r="E30" s="317">
        <v>0</v>
      </c>
      <c r="F30" s="317">
        <v>0</v>
      </c>
      <c r="G30" s="317">
        <v>0</v>
      </c>
      <c r="H30" s="317">
        <v>0</v>
      </c>
      <c r="I30" s="56">
        <v>6770</v>
      </c>
      <c r="J30" s="58">
        <v>6728</v>
      </c>
      <c r="K30" s="58">
        <v>6754</v>
      </c>
      <c r="L30" s="58">
        <v>7356</v>
      </c>
      <c r="M30" s="58">
        <v>7046</v>
      </c>
      <c r="N30" s="58">
        <v>7929</v>
      </c>
      <c r="O30" s="58">
        <v>7910</v>
      </c>
      <c r="Q30" s="313" t="s">
        <v>5178</v>
      </c>
    </row>
    <row r="31" spans="1:17">
      <c r="A31" s="313" t="s">
        <v>5433</v>
      </c>
      <c r="B31" s="313" t="s">
        <v>6728</v>
      </c>
      <c r="C31" s="62" t="s">
        <v>9708</v>
      </c>
      <c r="D31" s="319">
        <v>0</v>
      </c>
      <c r="E31" s="319">
        <v>0</v>
      </c>
      <c r="F31" s="319">
        <v>0</v>
      </c>
      <c r="G31" s="319">
        <v>0</v>
      </c>
      <c r="H31" s="319">
        <v>0</v>
      </c>
      <c r="I31" s="56">
        <v>10844</v>
      </c>
      <c r="J31" s="56">
        <v>10598</v>
      </c>
      <c r="K31" s="56">
        <v>10620</v>
      </c>
      <c r="L31" s="56">
        <v>11844</v>
      </c>
      <c r="M31" s="56">
        <v>11597</v>
      </c>
      <c r="N31" s="56">
        <v>12957</v>
      </c>
      <c r="O31" s="56">
        <v>12940</v>
      </c>
      <c r="Q31" s="313" t="s">
        <v>6434</v>
      </c>
    </row>
    <row r="32" spans="1:17">
      <c r="A32" s="313" t="s">
        <v>5435</v>
      </c>
      <c r="B32" s="313" t="s">
        <v>3692</v>
      </c>
      <c r="C32" s="62" t="s">
        <v>9709</v>
      </c>
      <c r="D32" s="319">
        <v>0</v>
      </c>
      <c r="E32" s="319">
        <v>0</v>
      </c>
      <c r="F32" s="319">
        <v>0</v>
      </c>
      <c r="G32" s="319">
        <v>0</v>
      </c>
      <c r="H32" s="319">
        <v>0</v>
      </c>
      <c r="I32" s="58">
        <v>7451</v>
      </c>
      <c r="J32" s="58">
        <v>7086</v>
      </c>
      <c r="K32" s="58">
        <v>7092</v>
      </c>
      <c r="L32" s="58">
        <v>7527</v>
      </c>
      <c r="M32" s="58">
        <v>7459</v>
      </c>
      <c r="N32" s="58">
        <v>7907</v>
      </c>
      <c r="O32" s="58">
        <v>7922</v>
      </c>
      <c r="Q32" s="313" t="s">
        <v>5178</v>
      </c>
    </row>
    <row r="33" spans="1:17">
      <c r="A33" s="313" t="s">
        <v>5436</v>
      </c>
      <c r="B33" s="313" t="s">
        <v>9691</v>
      </c>
      <c r="C33" s="62" t="s">
        <v>9710</v>
      </c>
      <c r="D33" s="319">
        <v>0</v>
      </c>
      <c r="E33" s="319">
        <v>0</v>
      </c>
      <c r="F33" s="319">
        <v>0</v>
      </c>
      <c r="G33" s="319">
        <v>0</v>
      </c>
      <c r="H33" s="319">
        <v>0</v>
      </c>
      <c r="I33" s="56">
        <v>7231</v>
      </c>
      <c r="J33" s="56">
        <v>6792</v>
      </c>
      <c r="K33" s="56">
        <v>6795</v>
      </c>
      <c r="L33" s="56">
        <v>7518</v>
      </c>
      <c r="M33" s="56">
        <v>7214</v>
      </c>
      <c r="N33" s="56">
        <v>7929</v>
      </c>
      <c r="O33" s="56">
        <v>7925</v>
      </c>
      <c r="Q33" s="313" t="s">
        <v>6434</v>
      </c>
    </row>
    <row r="34" spans="1:17">
      <c r="A34" s="320">
        <v>18</v>
      </c>
      <c r="B34" s="313" t="s">
        <v>9692</v>
      </c>
      <c r="C34" s="62" t="s">
        <v>9711</v>
      </c>
      <c r="D34" s="319">
        <v>0</v>
      </c>
      <c r="E34" s="319">
        <v>0</v>
      </c>
      <c r="F34" s="319">
        <v>0</v>
      </c>
      <c r="G34" s="319">
        <v>0</v>
      </c>
      <c r="H34" s="319">
        <v>0</v>
      </c>
      <c r="I34" s="56">
        <v>7176</v>
      </c>
      <c r="J34" s="56">
        <v>7232</v>
      </c>
      <c r="K34" s="56">
        <v>7234</v>
      </c>
      <c r="L34" s="56">
        <v>7490</v>
      </c>
      <c r="M34" s="56">
        <v>7309</v>
      </c>
      <c r="N34" s="56">
        <v>7818</v>
      </c>
      <c r="O34" s="56">
        <v>7802</v>
      </c>
      <c r="Q34" s="313" t="s">
        <v>6434</v>
      </c>
    </row>
    <row r="35" spans="1:17">
      <c r="A35" s="320">
        <v>19</v>
      </c>
      <c r="B35" s="313" t="s">
        <v>3693</v>
      </c>
      <c r="C35" s="62" t="s">
        <v>9712</v>
      </c>
      <c r="D35" s="319">
        <v>0</v>
      </c>
      <c r="E35" s="319">
        <v>0</v>
      </c>
      <c r="F35" s="319">
        <v>0</v>
      </c>
      <c r="G35" s="319">
        <v>0</v>
      </c>
      <c r="H35" s="319">
        <v>0</v>
      </c>
      <c r="I35" s="56">
        <v>7491</v>
      </c>
      <c r="J35" s="56">
        <v>7443</v>
      </c>
      <c r="K35" s="56">
        <v>7459</v>
      </c>
      <c r="L35" s="56">
        <v>8025</v>
      </c>
      <c r="M35" s="56">
        <v>7684</v>
      </c>
      <c r="N35" s="56">
        <v>8509</v>
      </c>
      <c r="O35" s="56">
        <v>8500</v>
      </c>
      <c r="Q35" s="313" t="s">
        <v>6434</v>
      </c>
    </row>
    <row r="36" spans="1:17">
      <c r="A36" s="320">
        <v>20</v>
      </c>
      <c r="B36" s="119" t="s">
        <v>3694</v>
      </c>
      <c r="C36" s="62" t="s">
        <v>9713</v>
      </c>
      <c r="D36" s="319">
        <v>0</v>
      </c>
      <c r="E36" s="319">
        <v>0</v>
      </c>
      <c r="F36" s="319">
        <v>0</v>
      </c>
      <c r="G36" s="319">
        <v>0</v>
      </c>
      <c r="H36" s="319">
        <v>0</v>
      </c>
      <c r="I36" s="56">
        <v>6641</v>
      </c>
      <c r="J36" s="56">
        <v>6281</v>
      </c>
      <c r="K36" s="56">
        <v>6295</v>
      </c>
      <c r="L36" s="56">
        <v>7235</v>
      </c>
      <c r="M36" s="56">
        <v>7096</v>
      </c>
      <c r="N36" s="56">
        <v>8192</v>
      </c>
      <c r="O36" s="56">
        <v>8185</v>
      </c>
      <c r="Q36" s="313" t="s">
        <v>6434</v>
      </c>
    </row>
    <row r="37" spans="1:17" ht="15.75" thickBot="1">
      <c r="A37" s="313"/>
      <c r="C37" s="62" t="s">
        <v>9713</v>
      </c>
      <c r="D37" s="321">
        <v>0</v>
      </c>
      <c r="E37" s="321">
        <v>0</v>
      </c>
      <c r="F37" s="321">
        <v>0</v>
      </c>
      <c r="G37" s="321">
        <v>0</v>
      </c>
      <c r="H37" s="321">
        <v>0</v>
      </c>
      <c r="I37" s="58">
        <v>1927</v>
      </c>
      <c r="J37" s="58">
        <v>1866</v>
      </c>
      <c r="K37" s="58">
        <v>1865</v>
      </c>
      <c r="L37" s="58">
        <v>1915</v>
      </c>
      <c r="M37" s="58">
        <v>1827</v>
      </c>
      <c r="N37" s="58">
        <v>2017</v>
      </c>
      <c r="O37" s="58">
        <v>2015</v>
      </c>
      <c r="Q37" s="313" t="s">
        <v>5178</v>
      </c>
    </row>
    <row r="38" spans="1:17" ht="15.75" thickBot="1">
      <c r="A38" s="313"/>
      <c r="C38" s="62" t="s">
        <v>9713</v>
      </c>
      <c r="D38" s="322">
        <f>D36+D37</f>
        <v>0</v>
      </c>
      <c r="E38" s="322">
        <f>E36+E37</f>
        <v>0</v>
      </c>
      <c r="F38" s="322">
        <f>F36+F37</f>
        <v>0</v>
      </c>
      <c r="G38" s="322">
        <f>G36+G37</f>
        <v>0</v>
      </c>
      <c r="H38" s="322">
        <f>H36+H37</f>
        <v>0</v>
      </c>
      <c r="I38" s="322">
        <f t="shared" ref="I38:N38" si="13">I36+I37</f>
        <v>8568</v>
      </c>
      <c r="J38" s="322">
        <f t="shared" si="13"/>
        <v>8147</v>
      </c>
      <c r="K38" s="322">
        <f t="shared" si="13"/>
        <v>8160</v>
      </c>
      <c r="L38" s="322">
        <f t="shared" si="13"/>
        <v>9150</v>
      </c>
      <c r="M38" s="322">
        <f t="shared" si="13"/>
        <v>8923</v>
      </c>
      <c r="N38" s="322">
        <f t="shared" si="13"/>
        <v>10209</v>
      </c>
      <c r="O38" s="322">
        <f>O36+O37</f>
        <v>10200</v>
      </c>
      <c r="Q38" s="313"/>
    </row>
    <row r="39" spans="1:17">
      <c r="A39" s="313"/>
      <c r="C39" s="55"/>
      <c r="D39" s="319"/>
      <c r="E39" s="319"/>
      <c r="F39" s="319"/>
      <c r="G39" s="319"/>
      <c r="H39" s="319"/>
      <c r="I39" s="319"/>
      <c r="J39" s="319"/>
      <c r="K39" s="319"/>
      <c r="L39" s="319"/>
      <c r="Q39" s="313"/>
    </row>
    <row r="40" spans="1:17">
      <c r="A40" s="119" t="s">
        <v>9693</v>
      </c>
      <c r="D40" s="315"/>
      <c r="E40" s="315"/>
      <c r="F40" s="315"/>
      <c r="G40" s="315"/>
      <c r="H40" s="315"/>
      <c r="I40" s="315"/>
      <c r="J40" s="315"/>
      <c r="K40" s="315"/>
      <c r="L40" s="315"/>
      <c r="Q40" s="313"/>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10:D15 E10:E15 F10:F15 G10:G15 H10:H15 H4 D3:H3 D7:H9 D4:G4 D38:K38 H5:H6 D5:G6 I3:I15 J3:J15 K3:K15 L3:L38" unlockedFormula="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ransitionEvaluation="1"/>
  <dimension ref="A1:Q224"/>
  <sheetViews>
    <sheetView showGridLines="0" topLeftCell="A64" zoomScale="90" zoomScaleNormal="90" workbookViewId="0">
      <selection activeCell="Q81" sqref="Q81"/>
    </sheetView>
  </sheetViews>
  <sheetFormatPr defaultColWidth="12.5703125" defaultRowHeight="15"/>
  <cols>
    <col min="1" max="1" width="4.85546875" style="118" customWidth="1"/>
    <col min="2" max="2" width="40.7109375" style="118" customWidth="1"/>
    <col min="3" max="3" width="11.5703125" style="118" customWidth="1"/>
    <col min="4" max="12" width="10.140625" style="118" customWidth="1"/>
    <col min="13" max="15" width="10" style="118" customWidth="1"/>
    <col min="16" max="16" width="2.28515625" style="118" customWidth="1"/>
    <col min="17" max="17" width="35.85546875" style="118" customWidth="1"/>
    <col min="18" max="16384" width="12.5703125" style="118"/>
  </cols>
  <sheetData>
    <row r="1" spans="1:17">
      <c r="A1" s="299" t="s">
        <v>6924</v>
      </c>
      <c r="D1" s="300">
        <v>2010</v>
      </c>
      <c r="E1" s="300">
        <v>2011</v>
      </c>
      <c r="F1" s="300">
        <v>2012</v>
      </c>
      <c r="G1" s="300">
        <v>2013</v>
      </c>
      <c r="H1" s="300">
        <v>2014</v>
      </c>
      <c r="I1" s="300">
        <v>2015</v>
      </c>
      <c r="J1" s="300">
        <v>2016</v>
      </c>
      <c r="K1" s="300">
        <v>2017</v>
      </c>
      <c r="L1" s="300">
        <v>2018</v>
      </c>
      <c r="M1" s="300">
        <v>2019</v>
      </c>
      <c r="N1" s="300">
        <v>2020</v>
      </c>
      <c r="O1" s="934" t="s">
        <v>14823</v>
      </c>
    </row>
    <row r="3" spans="1:17">
      <c r="A3" s="299" t="s">
        <v>4427</v>
      </c>
      <c r="D3" s="301">
        <f t="shared" ref="D3:I3" si="0">SUM(D5:D9)</f>
        <v>823202</v>
      </c>
      <c r="E3" s="301">
        <f t="shared" si="0"/>
        <v>828252</v>
      </c>
      <c r="F3" s="301">
        <f t="shared" si="0"/>
        <v>836803</v>
      </c>
      <c r="G3" s="301">
        <f t="shared" si="0"/>
        <v>838301</v>
      </c>
      <c r="H3" s="301">
        <f t="shared" si="0"/>
        <v>829792</v>
      </c>
      <c r="I3" s="301">
        <f t="shared" si="0"/>
        <v>798880</v>
      </c>
      <c r="J3" s="301">
        <f t="shared" ref="J3:O3" si="1">SUM(J5:J9)</f>
        <v>792738</v>
      </c>
      <c r="K3" s="301">
        <f t="shared" si="1"/>
        <v>805406</v>
      </c>
      <c r="L3" s="301">
        <f t="shared" si="1"/>
        <v>796044</v>
      </c>
      <c r="M3" s="301">
        <f t="shared" si="1"/>
        <v>787153</v>
      </c>
      <c r="N3" s="301">
        <f t="shared" si="1"/>
        <v>796754</v>
      </c>
      <c r="O3" s="301">
        <f t="shared" si="1"/>
        <v>815451</v>
      </c>
    </row>
    <row r="4" spans="1:17">
      <c r="D4" s="302"/>
      <c r="E4" s="302"/>
      <c r="F4" s="302"/>
      <c r="G4" s="302"/>
      <c r="H4" s="302"/>
      <c r="I4" s="302"/>
      <c r="J4" s="302"/>
      <c r="K4" s="302"/>
      <c r="L4" s="302"/>
      <c r="M4" s="302"/>
      <c r="N4" s="302"/>
      <c r="O4" s="302"/>
    </row>
    <row r="5" spans="1:17">
      <c r="A5" s="299" t="s">
        <v>3695</v>
      </c>
      <c r="C5" s="299"/>
      <c r="D5" s="301">
        <f t="shared" ref="D5:I5" si="2">D53</f>
        <v>147060</v>
      </c>
      <c r="E5" s="301">
        <f t="shared" si="2"/>
        <v>147346</v>
      </c>
      <c r="F5" s="301">
        <f t="shared" si="2"/>
        <v>146978</v>
      </c>
      <c r="G5" s="301">
        <f t="shared" si="2"/>
        <v>148302</v>
      </c>
      <c r="H5" s="301">
        <f t="shared" si="2"/>
        <v>146899</v>
      </c>
      <c r="I5" s="301">
        <f t="shared" si="2"/>
        <v>140622</v>
      </c>
      <c r="J5" s="301">
        <f t="shared" ref="J5:O5" si="3">J53</f>
        <v>140942</v>
      </c>
      <c r="K5" s="301">
        <f t="shared" si="3"/>
        <v>143984</v>
      </c>
      <c r="L5" s="301">
        <f t="shared" si="3"/>
        <v>144581</v>
      </c>
      <c r="M5" s="301">
        <f t="shared" si="3"/>
        <v>142236</v>
      </c>
      <c r="N5" s="301">
        <f t="shared" si="3"/>
        <v>144704</v>
      </c>
      <c r="O5" s="301">
        <f t="shared" si="3"/>
        <v>144619</v>
      </c>
      <c r="Q5" s="303"/>
    </row>
    <row r="6" spans="1:17">
      <c r="A6" s="299" t="s">
        <v>3696</v>
      </c>
      <c r="C6" s="299"/>
      <c r="D6" s="301">
        <f t="shared" ref="D6:I6" si="4">D90</f>
        <v>192497</v>
      </c>
      <c r="E6" s="301">
        <f t="shared" si="4"/>
        <v>193399</v>
      </c>
      <c r="F6" s="301">
        <f t="shared" si="4"/>
        <v>198963</v>
      </c>
      <c r="G6" s="301">
        <f t="shared" si="4"/>
        <v>200692</v>
      </c>
      <c r="H6" s="301">
        <f t="shared" si="4"/>
        <v>196986</v>
      </c>
      <c r="I6" s="301">
        <f t="shared" si="4"/>
        <v>180481</v>
      </c>
      <c r="J6" s="301">
        <f t="shared" ref="J6:O6" si="5">J90</f>
        <v>180183</v>
      </c>
      <c r="K6" s="301">
        <f t="shared" si="5"/>
        <v>189242</v>
      </c>
      <c r="L6" s="301">
        <f t="shared" si="5"/>
        <v>178361</v>
      </c>
      <c r="M6" s="301">
        <f t="shared" si="5"/>
        <v>174967</v>
      </c>
      <c r="N6" s="301">
        <f t="shared" si="5"/>
        <v>174820</v>
      </c>
      <c r="O6" s="301">
        <f t="shared" si="5"/>
        <v>191057</v>
      </c>
      <c r="Q6" s="303"/>
    </row>
    <row r="7" spans="1:17">
      <c r="A7" s="299" t="s">
        <v>3697</v>
      </c>
      <c r="C7" s="299"/>
      <c r="D7" s="301">
        <f t="shared" ref="D7:I7" si="6">D137</f>
        <v>154834</v>
      </c>
      <c r="E7" s="301">
        <f t="shared" si="6"/>
        <v>155235</v>
      </c>
      <c r="F7" s="301">
        <f t="shared" si="6"/>
        <v>156824</v>
      </c>
      <c r="G7" s="301">
        <f t="shared" si="6"/>
        <v>157479</v>
      </c>
      <c r="H7" s="301">
        <f t="shared" si="6"/>
        <v>157043</v>
      </c>
      <c r="I7" s="301">
        <f t="shared" si="6"/>
        <v>154774</v>
      </c>
      <c r="J7" s="301">
        <f t="shared" ref="J7:O7" si="7">J137</f>
        <v>151045</v>
      </c>
      <c r="K7" s="301">
        <f t="shared" si="7"/>
        <v>154638</v>
      </c>
      <c r="L7" s="301">
        <f t="shared" si="7"/>
        <v>153243</v>
      </c>
      <c r="M7" s="301">
        <f t="shared" si="7"/>
        <v>152214</v>
      </c>
      <c r="N7" s="301">
        <f t="shared" si="7"/>
        <v>153400</v>
      </c>
      <c r="O7" s="301">
        <f t="shared" si="7"/>
        <v>156415</v>
      </c>
      <c r="Q7" s="303"/>
    </row>
    <row r="8" spans="1:17">
      <c r="A8" s="299" t="s">
        <v>3698</v>
      </c>
      <c r="C8" s="299"/>
      <c r="D8" s="301">
        <f t="shared" ref="D8:I8" si="8">D167</f>
        <v>115648</v>
      </c>
      <c r="E8" s="301">
        <f t="shared" si="8"/>
        <v>115688</v>
      </c>
      <c r="F8" s="301">
        <f t="shared" si="8"/>
        <v>115818</v>
      </c>
      <c r="G8" s="301">
        <f t="shared" si="8"/>
        <v>116396</v>
      </c>
      <c r="H8" s="301">
        <f t="shared" si="8"/>
        <v>115153</v>
      </c>
      <c r="I8" s="301">
        <f t="shared" si="8"/>
        <v>114494</v>
      </c>
      <c r="J8" s="301">
        <f t="shared" ref="J8:O8" si="9">J167</f>
        <v>115022</v>
      </c>
      <c r="K8" s="301">
        <f t="shared" si="9"/>
        <v>115223</v>
      </c>
      <c r="L8" s="301">
        <f t="shared" si="9"/>
        <v>115083</v>
      </c>
      <c r="M8" s="301">
        <f t="shared" si="9"/>
        <v>114391</v>
      </c>
      <c r="N8" s="301">
        <f t="shared" si="9"/>
        <v>115912</v>
      </c>
      <c r="O8" s="301">
        <f t="shared" si="9"/>
        <v>115370</v>
      </c>
      <c r="Q8" s="303"/>
    </row>
    <row r="9" spans="1:17">
      <c r="A9" s="299" t="s">
        <v>3699</v>
      </c>
      <c r="C9" s="299"/>
      <c r="D9" s="301">
        <f t="shared" ref="D9:I9" si="10">D195</f>
        <v>213163</v>
      </c>
      <c r="E9" s="301">
        <f t="shared" si="10"/>
        <v>216584</v>
      </c>
      <c r="F9" s="301">
        <f t="shared" si="10"/>
        <v>218220</v>
      </c>
      <c r="G9" s="301">
        <f t="shared" si="10"/>
        <v>215432</v>
      </c>
      <c r="H9" s="301">
        <f t="shared" si="10"/>
        <v>213711</v>
      </c>
      <c r="I9" s="301">
        <f t="shared" si="10"/>
        <v>208509</v>
      </c>
      <c r="J9" s="301">
        <f t="shared" ref="J9:O9" si="11">J195</f>
        <v>205546</v>
      </c>
      <c r="K9" s="301">
        <f t="shared" si="11"/>
        <v>202319</v>
      </c>
      <c r="L9" s="301">
        <f t="shared" si="11"/>
        <v>204776</v>
      </c>
      <c r="M9" s="301">
        <f t="shared" si="11"/>
        <v>203345</v>
      </c>
      <c r="N9" s="301">
        <f t="shared" si="11"/>
        <v>207918</v>
      </c>
      <c r="O9" s="301">
        <f t="shared" si="11"/>
        <v>207990</v>
      </c>
      <c r="Q9" s="303"/>
    </row>
    <row r="11" spans="1:17">
      <c r="A11" s="299" t="s">
        <v>5333</v>
      </c>
      <c r="D11" s="301">
        <f t="shared" ref="D11:I11" si="12">D3/11</f>
        <v>74836.545454545456</v>
      </c>
      <c r="E11" s="301">
        <f t="shared" si="12"/>
        <v>75295.636363636368</v>
      </c>
      <c r="F11" s="301">
        <f t="shared" si="12"/>
        <v>76073</v>
      </c>
      <c r="G11" s="301">
        <f t="shared" si="12"/>
        <v>76209.181818181823</v>
      </c>
      <c r="H11" s="301">
        <f t="shared" si="12"/>
        <v>75435.636363636368</v>
      </c>
      <c r="I11" s="301">
        <f t="shared" si="12"/>
        <v>72625.454545454544</v>
      </c>
      <c r="J11" s="301">
        <f t="shared" ref="J11:O11" si="13">J3/11</f>
        <v>72067.090909090912</v>
      </c>
      <c r="K11" s="301">
        <f t="shared" si="13"/>
        <v>73218.727272727279</v>
      </c>
      <c r="L11" s="301">
        <f t="shared" si="13"/>
        <v>72367.636363636368</v>
      </c>
      <c r="M11" s="301">
        <f t="shared" si="13"/>
        <v>71559.363636363632</v>
      </c>
      <c r="N11" s="301">
        <f t="shared" si="13"/>
        <v>72432.181818181823</v>
      </c>
      <c r="O11" s="301">
        <f t="shared" si="13"/>
        <v>74131.909090909088</v>
      </c>
    </row>
    <row r="12" spans="1:17">
      <c r="A12" s="299" t="s">
        <v>10319</v>
      </c>
      <c r="D12" s="301">
        <f t="shared" ref="D12:O12" si="14">D3/10</f>
        <v>82320.2</v>
      </c>
      <c r="E12" s="301">
        <f t="shared" si="14"/>
        <v>82825.2</v>
      </c>
      <c r="F12" s="301">
        <f t="shared" si="14"/>
        <v>83680.3</v>
      </c>
      <c r="G12" s="301">
        <f t="shared" si="14"/>
        <v>83830.100000000006</v>
      </c>
      <c r="H12" s="301">
        <f t="shared" si="14"/>
        <v>82979.199999999997</v>
      </c>
      <c r="I12" s="301">
        <f t="shared" si="14"/>
        <v>79888</v>
      </c>
      <c r="J12" s="301">
        <f t="shared" si="14"/>
        <v>79273.8</v>
      </c>
      <c r="K12" s="301">
        <f t="shared" si="14"/>
        <v>80540.600000000006</v>
      </c>
      <c r="L12" s="301">
        <f t="shared" si="14"/>
        <v>79604.399999999994</v>
      </c>
      <c r="M12" s="301">
        <f t="shared" si="14"/>
        <v>78715.3</v>
      </c>
      <c r="N12" s="301">
        <f t="shared" si="14"/>
        <v>79675.399999999994</v>
      </c>
      <c r="O12" s="301">
        <f t="shared" si="14"/>
        <v>81545.100000000006</v>
      </c>
    </row>
    <row r="13" spans="1:17">
      <c r="D13" s="302"/>
      <c r="E13" s="302"/>
      <c r="F13" s="302"/>
      <c r="G13" s="302"/>
      <c r="H13" s="302"/>
      <c r="I13" s="302"/>
      <c r="J13" s="302"/>
      <c r="K13" s="302"/>
      <c r="L13" s="302"/>
      <c r="M13" s="302"/>
      <c r="N13" s="302"/>
      <c r="O13" s="302"/>
    </row>
    <row r="14" spans="1:17">
      <c r="A14" s="299" t="s">
        <v>3700</v>
      </c>
      <c r="D14" s="301">
        <f t="shared" ref="D14:I14" si="15">D79</f>
        <v>67791</v>
      </c>
      <c r="E14" s="301">
        <f t="shared" si="15"/>
        <v>68156</v>
      </c>
      <c r="F14" s="301">
        <f t="shared" si="15"/>
        <v>68166</v>
      </c>
      <c r="G14" s="301">
        <f t="shared" si="15"/>
        <v>68777</v>
      </c>
      <c r="H14" s="301">
        <f t="shared" si="15"/>
        <v>68332</v>
      </c>
      <c r="I14" s="301">
        <f t="shared" si="15"/>
        <v>66305</v>
      </c>
      <c r="J14" s="301">
        <f t="shared" ref="J14:O14" si="16">J79</f>
        <v>66409</v>
      </c>
      <c r="K14" s="301">
        <f t="shared" si="16"/>
        <v>67591</v>
      </c>
      <c r="L14" s="301">
        <f t="shared" si="16"/>
        <v>67527</v>
      </c>
      <c r="M14" s="301">
        <f t="shared" si="16"/>
        <v>66815</v>
      </c>
      <c r="N14" s="301">
        <f t="shared" si="16"/>
        <v>67816</v>
      </c>
      <c r="O14" s="301">
        <f t="shared" si="16"/>
        <v>67807</v>
      </c>
      <c r="Q14" s="299" t="s">
        <v>3701</v>
      </c>
    </row>
    <row r="15" spans="1:17">
      <c r="D15" s="302"/>
      <c r="E15" s="302"/>
      <c r="F15" s="302"/>
      <c r="G15" s="302"/>
      <c r="H15" s="302"/>
      <c r="I15" s="302"/>
      <c r="J15" s="302"/>
      <c r="K15" s="302"/>
      <c r="L15" s="302"/>
      <c r="M15" s="302"/>
      <c r="N15" s="302"/>
      <c r="O15" s="302"/>
    </row>
    <row r="16" spans="1:17">
      <c r="A16" s="299" t="s">
        <v>3702</v>
      </c>
      <c r="D16" s="301">
        <f t="shared" ref="D16:I16" si="17">D80</f>
        <v>66250</v>
      </c>
      <c r="E16" s="301">
        <f t="shared" si="17"/>
        <v>66066</v>
      </c>
      <c r="F16" s="301">
        <f t="shared" si="17"/>
        <v>65745</v>
      </c>
      <c r="G16" s="301">
        <f t="shared" si="17"/>
        <v>66395</v>
      </c>
      <c r="H16" s="301">
        <f t="shared" si="17"/>
        <v>65600</v>
      </c>
      <c r="I16" s="301">
        <f t="shared" si="17"/>
        <v>62048</v>
      </c>
      <c r="J16" s="301">
        <f t="shared" ref="J16:O16" si="18">J80</f>
        <v>62188</v>
      </c>
      <c r="K16" s="301">
        <f t="shared" si="18"/>
        <v>63769</v>
      </c>
      <c r="L16" s="301">
        <f t="shared" si="18"/>
        <v>64357</v>
      </c>
      <c r="M16" s="301">
        <f t="shared" si="18"/>
        <v>62935</v>
      </c>
      <c r="N16" s="301">
        <f t="shared" si="18"/>
        <v>64224</v>
      </c>
      <c r="O16" s="301">
        <f t="shared" si="18"/>
        <v>64154</v>
      </c>
      <c r="Q16" s="299" t="s">
        <v>3701</v>
      </c>
    </row>
    <row r="17" spans="1:17">
      <c r="D17" s="302"/>
      <c r="E17" s="302"/>
      <c r="F17" s="302"/>
      <c r="G17" s="302"/>
      <c r="H17" s="302"/>
      <c r="I17" s="302"/>
      <c r="J17" s="302"/>
      <c r="K17" s="302"/>
      <c r="L17" s="302"/>
      <c r="M17" s="302"/>
      <c r="N17" s="302"/>
      <c r="O17" s="302"/>
    </row>
    <row r="18" spans="1:17">
      <c r="A18" s="118" t="s">
        <v>1033</v>
      </c>
      <c r="D18" s="302">
        <f t="shared" ref="D18:M18" si="19">D81</f>
        <v>0</v>
      </c>
      <c r="E18" s="302">
        <f t="shared" si="19"/>
        <v>0</v>
      </c>
      <c r="F18" s="302">
        <f t="shared" si="19"/>
        <v>0</v>
      </c>
      <c r="G18" s="302">
        <f t="shared" si="19"/>
        <v>0</v>
      </c>
      <c r="H18" s="302">
        <f t="shared" si="19"/>
        <v>0</v>
      </c>
      <c r="I18" s="302">
        <f t="shared" si="19"/>
        <v>0</v>
      </c>
      <c r="J18" s="302">
        <f t="shared" si="19"/>
        <v>0</v>
      </c>
      <c r="K18" s="302">
        <f t="shared" si="19"/>
        <v>0</v>
      </c>
      <c r="L18" s="302">
        <f t="shared" si="19"/>
        <v>0</v>
      </c>
      <c r="M18" s="302">
        <f t="shared" si="19"/>
        <v>0</v>
      </c>
      <c r="N18" s="302">
        <f>N81</f>
        <v>0</v>
      </c>
      <c r="O18" s="302">
        <f>O81</f>
        <v>0</v>
      </c>
      <c r="Q18" s="299" t="s">
        <v>3701</v>
      </c>
    </row>
    <row r="19" spans="1:17" ht="15.75" thickBot="1">
      <c r="D19" s="304">
        <f>NORTHUMBERLAND!D12</f>
        <v>61085</v>
      </c>
      <c r="E19" s="304">
        <f>NORTHUMBERLAND!E12</f>
        <v>60499</v>
      </c>
      <c r="F19" s="304">
        <f>NORTHUMBERLAND!F12</f>
        <v>60590</v>
      </c>
      <c r="G19" s="304">
        <f>NORTHUMBERLAND!G12</f>
        <v>60978</v>
      </c>
      <c r="H19" s="304">
        <f>NORTHUMBERLAND!H12</f>
        <v>60260</v>
      </c>
      <c r="I19" s="304">
        <f>NORTHUMBERLAND!I12</f>
        <v>60232</v>
      </c>
      <c r="J19" s="304">
        <f>NORTHUMBERLAND!J12</f>
        <v>58198</v>
      </c>
      <c r="K19" s="304">
        <f>NORTHUMBERLAND!K12</f>
        <v>58698</v>
      </c>
      <c r="L19" s="304">
        <f>NORTHUMBERLAND!L12</f>
        <v>59856</v>
      </c>
      <c r="M19" s="304">
        <f>NORTHUMBERLAND!M12</f>
        <v>59298</v>
      </c>
      <c r="N19" s="304">
        <f>NORTHUMBERLAND!N12</f>
        <v>60437</v>
      </c>
      <c r="O19" s="304">
        <f>NORTHUMBERLAND!O12</f>
        <v>61402</v>
      </c>
      <c r="Q19" s="299" t="s">
        <v>1031</v>
      </c>
    </row>
    <row r="20" spans="1:17" ht="15.75" thickBot="1">
      <c r="D20" s="305">
        <f t="shared" ref="D20:I20" si="20">D18+D19</f>
        <v>61085</v>
      </c>
      <c r="E20" s="305">
        <f t="shared" si="20"/>
        <v>60499</v>
      </c>
      <c r="F20" s="305">
        <f t="shared" si="20"/>
        <v>60590</v>
      </c>
      <c r="G20" s="305">
        <f t="shared" si="20"/>
        <v>60978</v>
      </c>
      <c r="H20" s="305">
        <f t="shared" si="20"/>
        <v>60260</v>
      </c>
      <c r="I20" s="305">
        <f t="shared" si="20"/>
        <v>60232</v>
      </c>
      <c r="J20" s="305">
        <f t="shared" ref="J20:O20" si="21">J18+J19</f>
        <v>58198</v>
      </c>
      <c r="K20" s="305">
        <f t="shared" si="21"/>
        <v>58698</v>
      </c>
      <c r="L20" s="305">
        <f t="shared" si="21"/>
        <v>59856</v>
      </c>
      <c r="M20" s="305">
        <f t="shared" si="21"/>
        <v>59298</v>
      </c>
      <c r="N20" s="305">
        <f t="shared" si="21"/>
        <v>60437</v>
      </c>
      <c r="O20" s="305">
        <f t="shared" si="21"/>
        <v>61402</v>
      </c>
    </row>
    <row r="21" spans="1:17">
      <c r="D21" s="302"/>
      <c r="E21" s="302"/>
      <c r="F21" s="302"/>
      <c r="G21" s="302"/>
      <c r="H21" s="302"/>
      <c r="I21" s="302"/>
      <c r="J21" s="302"/>
      <c r="K21" s="302"/>
      <c r="L21" s="302"/>
      <c r="M21" s="302"/>
      <c r="N21" s="302"/>
      <c r="O21" s="302"/>
    </row>
    <row r="22" spans="1:17">
      <c r="A22" s="299" t="s">
        <v>3703</v>
      </c>
      <c r="D22" s="301">
        <f t="shared" ref="D22:I22" si="22">D222</f>
        <v>69190</v>
      </c>
      <c r="E22" s="301">
        <f t="shared" si="22"/>
        <v>70115</v>
      </c>
      <c r="F22" s="301">
        <f t="shared" si="22"/>
        <v>70685</v>
      </c>
      <c r="G22" s="301">
        <f t="shared" si="22"/>
        <v>70241</v>
      </c>
      <c r="H22" s="301">
        <f t="shared" si="22"/>
        <v>69780</v>
      </c>
      <c r="I22" s="301">
        <f t="shared" si="22"/>
        <v>68216</v>
      </c>
      <c r="J22" s="301">
        <f t="shared" ref="J22:O22" si="23">J222</f>
        <v>67329</v>
      </c>
      <c r="K22" s="301">
        <f t="shared" si="23"/>
        <v>66274</v>
      </c>
      <c r="L22" s="301">
        <f t="shared" si="23"/>
        <v>67391</v>
      </c>
      <c r="M22" s="301">
        <f t="shared" si="23"/>
        <v>67247</v>
      </c>
      <c r="N22" s="301">
        <f t="shared" si="23"/>
        <v>68903</v>
      </c>
      <c r="O22" s="301">
        <f t="shared" si="23"/>
        <v>68963</v>
      </c>
      <c r="Q22" s="299" t="s">
        <v>3704</v>
      </c>
    </row>
    <row r="23" spans="1:17">
      <c r="D23" s="302"/>
      <c r="E23" s="302"/>
      <c r="F23" s="302"/>
      <c r="G23" s="302"/>
      <c r="H23" s="302"/>
      <c r="I23" s="302"/>
      <c r="J23" s="302"/>
      <c r="K23" s="302"/>
      <c r="L23" s="302"/>
      <c r="M23" s="302"/>
      <c r="N23" s="302"/>
      <c r="O23" s="302"/>
    </row>
    <row r="24" spans="1:17">
      <c r="A24" s="299" t="s">
        <v>3705</v>
      </c>
      <c r="D24" s="301">
        <f t="shared" ref="D24:I24" si="24">D82</f>
        <v>13019</v>
      </c>
      <c r="E24" s="301">
        <f t="shared" si="24"/>
        <v>13124</v>
      </c>
      <c r="F24" s="301">
        <f t="shared" si="24"/>
        <v>13067</v>
      </c>
      <c r="G24" s="301">
        <f t="shared" si="24"/>
        <v>13130</v>
      </c>
      <c r="H24" s="301">
        <f t="shared" si="24"/>
        <v>12967</v>
      </c>
      <c r="I24" s="301">
        <f t="shared" si="24"/>
        <v>12269</v>
      </c>
      <c r="J24" s="301">
        <f t="shared" ref="J24:O24" si="25">J82</f>
        <v>12345</v>
      </c>
      <c r="K24" s="301">
        <f t="shared" si="25"/>
        <v>12624</v>
      </c>
      <c r="L24" s="301">
        <f t="shared" si="25"/>
        <v>12697</v>
      </c>
      <c r="M24" s="301">
        <f t="shared" si="25"/>
        <v>12486</v>
      </c>
      <c r="N24" s="301">
        <f t="shared" si="25"/>
        <v>12664</v>
      </c>
      <c r="O24" s="301">
        <f t="shared" si="25"/>
        <v>12658</v>
      </c>
      <c r="Q24" s="299" t="s">
        <v>3701</v>
      </c>
    </row>
    <row r="25" spans="1:17" ht="15.75" thickBot="1">
      <c r="D25" s="305">
        <f t="shared" ref="D25:I25" si="26">D187</f>
        <v>51807</v>
      </c>
      <c r="E25" s="305">
        <f t="shared" si="26"/>
        <v>51923</v>
      </c>
      <c r="F25" s="305">
        <f t="shared" si="26"/>
        <v>51848</v>
      </c>
      <c r="G25" s="305">
        <f t="shared" si="26"/>
        <v>52160</v>
      </c>
      <c r="H25" s="305">
        <f t="shared" si="26"/>
        <v>51715</v>
      </c>
      <c r="I25" s="305">
        <f t="shared" si="26"/>
        <v>51548</v>
      </c>
      <c r="J25" s="305">
        <f t="shared" ref="J25:O25" si="27">J187</f>
        <v>51867</v>
      </c>
      <c r="K25" s="305">
        <f t="shared" si="27"/>
        <v>51964</v>
      </c>
      <c r="L25" s="305">
        <f t="shared" si="27"/>
        <v>52080</v>
      </c>
      <c r="M25" s="305">
        <f t="shared" si="27"/>
        <v>52038</v>
      </c>
      <c r="N25" s="305">
        <f t="shared" si="27"/>
        <v>52831</v>
      </c>
      <c r="O25" s="305">
        <f t="shared" si="27"/>
        <v>52574</v>
      </c>
      <c r="Q25" s="299" t="s">
        <v>3706</v>
      </c>
    </row>
    <row r="26" spans="1:17" ht="15.75" thickBot="1">
      <c r="D26" s="305">
        <f t="shared" ref="D26:I26" si="28">D24+D25</f>
        <v>64826</v>
      </c>
      <c r="E26" s="305">
        <f t="shared" si="28"/>
        <v>65047</v>
      </c>
      <c r="F26" s="305">
        <f t="shared" si="28"/>
        <v>64915</v>
      </c>
      <c r="G26" s="305">
        <f t="shared" si="28"/>
        <v>65290</v>
      </c>
      <c r="H26" s="305">
        <f t="shared" si="28"/>
        <v>64682</v>
      </c>
      <c r="I26" s="305">
        <f t="shared" si="28"/>
        <v>63817</v>
      </c>
      <c r="J26" s="305">
        <f t="shared" ref="J26:O26" si="29">J24+J25</f>
        <v>64212</v>
      </c>
      <c r="K26" s="305">
        <f t="shared" si="29"/>
        <v>64588</v>
      </c>
      <c r="L26" s="305">
        <f t="shared" si="29"/>
        <v>64777</v>
      </c>
      <c r="M26" s="305">
        <f t="shared" si="29"/>
        <v>64524</v>
      </c>
      <c r="N26" s="305">
        <f t="shared" si="29"/>
        <v>65495</v>
      </c>
      <c r="O26" s="305">
        <f t="shared" si="29"/>
        <v>65232</v>
      </c>
    </row>
    <row r="27" spans="1:17">
      <c r="D27" s="302"/>
      <c r="E27" s="302"/>
      <c r="F27" s="302"/>
      <c r="G27" s="302"/>
      <c r="H27" s="302"/>
      <c r="I27" s="302"/>
      <c r="J27" s="302"/>
      <c r="K27" s="302"/>
      <c r="L27" s="302"/>
      <c r="M27" s="302"/>
      <c r="N27" s="302"/>
      <c r="O27" s="302"/>
    </row>
    <row r="28" spans="1:17">
      <c r="A28" s="299" t="s">
        <v>3707</v>
      </c>
      <c r="D28" s="301">
        <f t="shared" ref="D28:I28" si="30">D128</f>
        <v>60565</v>
      </c>
      <c r="E28" s="301">
        <f t="shared" si="30"/>
        <v>60795</v>
      </c>
      <c r="F28" s="301">
        <f t="shared" si="30"/>
        <v>61943</v>
      </c>
      <c r="G28" s="301">
        <f t="shared" si="30"/>
        <v>62464</v>
      </c>
      <c r="H28" s="301">
        <f t="shared" si="30"/>
        <v>60853</v>
      </c>
      <c r="I28" s="301">
        <f t="shared" si="30"/>
        <v>55337</v>
      </c>
      <c r="J28" s="301">
        <f t="shared" ref="J28:O28" si="31">J128</f>
        <v>55483</v>
      </c>
      <c r="K28" s="301">
        <f t="shared" si="31"/>
        <v>58571</v>
      </c>
      <c r="L28" s="301">
        <f t="shared" si="31"/>
        <v>53420</v>
      </c>
      <c r="M28" s="301">
        <f t="shared" si="31"/>
        <v>53362</v>
      </c>
      <c r="N28" s="301">
        <f t="shared" si="31"/>
        <v>54057</v>
      </c>
      <c r="O28" s="301">
        <f t="shared" si="31"/>
        <v>58302</v>
      </c>
      <c r="Q28" s="299" t="s">
        <v>3708</v>
      </c>
    </row>
    <row r="29" spans="1:17">
      <c r="D29" s="302"/>
      <c r="E29" s="302"/>
      <c r="F29" s="302"/>
      <c r="G29" s="302"/>
      <c r="H29" s="302"/>
      <c r="I29" s="302"/>
      <c r="J29" s="302"/>
      <c r="K29" s="302"/>
      <c r="L29" s="302"/>
      <c r="M29" s="302"/>
      <c r="N29" s="302"/>
      <c r="O29" s="302"/>
    </row>
    <row r="30" spans="1:17">
      <c r="A30" s="299" t="s">
        <v>3709</v>
      </c>
      <c r="D30" s="301">
        <f t="shared" ref="D30:I30" si="32">D129</f>
        <v>64647</v>
      </c>
      <c r="E30" s="301">
        <f t="shared" si="32"/>
        <v>65203</v>
      </c>
      <c r="F30" s="301">
        <f t="shared" si="32"/>
        <v>68908</v>
      </c>
      <c r="G30" s="301">
        <f t="shared" si="32"/>
        <v>69589</v>
      </c>
      <c r="H30" s="301">
        <f t="shared" si="32"/>
        <v>67945</v>
      </c>
      <c r="I30" s="301">
        <f t="shared" si="32"/>
        <v>58557</v>
      </c>
      <c r="J30" s="301">
        <f t="shared" ref="J30:O30" si="33">J129</f>
        <v>58407</v>
      </c>
      <c r="K30" s="301">
        <f t="shared" si="33"/>
        <v>62469</v>
      </c>
      <c r="L30" s="301">
        <f t="shared" si="33"/>
        <v>58877</v>
      </c>
      <c r="M30" s="301">
        <f t="shared" si="33"/>
        <v>55459</v>
      </c>
      <c r="N30" s="301">
        <f t="shared" si="33"/>
        <v>54042</v>
      </c>
      <c r="O30" s="301">
        <f t="shared" si="33"/>
        <v>63723</v>
      </c>
      <c r="Q30" s="299" t="s">
        <v>3708</v>
      </c>
    </row>
    <row r="31" spans="1:17">
      <c r="D31" s="302"/>
      <c r="E31" s="302"/>
      <c r="F31" s="302"/>
      <c r="G31" s="302"/>
      <c r="H31" s="302"/>
      <c r="I31" s="302"/>
      <c r="J31" s="302"/>
      <c r="K31" s="302"/>
      <c r="L31" s="302"/>
      <c r="M31" s="302"/>
      <c r="N31" s="302"/>
      <c r="O31" s="302"/>
    </row>
    <row r="32" spans="1:17">
      <c r="A32" s="299" t="s">
        <v>5266</v>
      </c>
      <c r="D32" s="301">
        <f t="shared" ref="D32:I32" si="34">D130</f>
        <v>67285</v>
      </c>
      <c r="E32" s="301">
        <f t="shared" si="34"/>
        <v>67401</v>
      </c>
      <c r="F32" s="301">
        <f t="shared" si="34"/>
        <v>68112</v>
      </c>
      <c r="G32" s="301">
        <f t="shared" si="34"/>
        <v>68639</v>
      </c>
      <c r="H32" s="301">
        <f t="shared" si="34"/>
        <v>68188</v>
      </c>
      <c r="I32" s="301">
        <f t="shared" si="34"/>
        <v>66587</v>
      </c>
      <c r="J32" s="301">
        <f t="shared" ref="J32:O32" si="35">J130</f>
        <v>66293</v>
      </c>
      <c r="K32" s="301">
        <f t="shared" si="35"/>
        <v>68202</v>
      </c>
      <c r="L32" s="301">
        <f t="shared" si="35"/>
        <v>66064</v>
      </c>
      <c r="M32" s="301">
        <f t="shared" si="35"/>
        <v>66146</v>
      </c>
      <c r="N32" s="301">
        <f t="shared" si="35"/>
        <v>66721</v>
      </c>
      <c r="O32" s="301">
        <f t="shared" si="35"/>
        <v>69032</v>
      </c>
      <c r="Q32" s="299" t="s">
        <v>3708</v>
      </c>
    </row>
    <row r="33" spans="1:17">
      <c r="D33" s="302"/>
      <c r="E33" s="302"/>
      <c r="F33" s="302"/>
      <c r="G33" s="302"/>
      <c r="H33" s="302"/>
      <c r="I33" s="302"/>
      <c r="J33" s="302"/>
      <c r="K33" s="302"/>
      <c r="L33" s="302"/>
      <c r="M33" s="302"/>
      <c r="N33" s="302"/>
      <c r="O33" s="302"/>
    </row>
    <row r="34" spans="1:17">
      <c r="A34" s="299" t="s">
        <v>5267</v>
      </c>
      <c r="D34" s="301">
        <f t="shared" ref="D34:I34" si="36">D159</f>
        <v>78389</v>
      </c>
      <c r="E34" s="301">
        <f t="shared" si="36"/>
        <v>78617</v>
      </c>
      <c r="F34" s="301">
        <f t="shared" si="36"/>
        <v>79376</v>
      </c>
      <c r="G34" s="301">
        <f t="shared" si="36"/>
        <v>79681</v>
      </c>
      <c r="H34" s="301">
        <f t="shared" si="36"/>
        <v>79565</v>
      </c>
      <c r="I34" s="301">
        <f t="shared" si="36"/>
        <v>78182</v>
      </c>
      <c r="J34" s="301">
        <f t="shared" ref="J34:O34" si="37">J159</f>
        <v>76427</v>
      </c>
      <c r="K34" s="301">
        <f t="shared" si="37"/>
        <v>78191</v>
      </c>
      <c r="L34" s="301">
        <f t="shared" si="37"/>
        <v>77252</v>
      </c>
      <c r="M34" s="301">
        <f t="shared" si="37"/>
        <v>76873</v>
      </c>
      <c r="N34" s="301">
        <f t="shared" si="37"/>
        <v>77477</v>
      </c>
      <c r="O34" s="301">
        <f t="shared" si="37"/>
        <v>79033</v>
      </c>
      <c r="Q34" s="299" t="s">
        <v>5268</v>
      </c>
    </row>
    <row r="35" spans="1:17">
      <c r="D35" s="302"/>
      <c r="E35" s="302"/>
      <c r="F35" s="302"/>
      <c r="G35" s="302"/>
      <c r="H35" s="302"/>
      <c r="I35" s="302"/>
      <c r="J35" s="302"/>
      <c r="K35" s="302"/>
      <c r="L35" s="302"/>
      <c r="M35" s="302"/>
      <c r="N35" s="302"/>
      <c r="O35" s="302"/>
    </row>
    <row r="36" spans="1:17">
      <c r="A36" s="299" t="s">
        <v>5269</v>
      </c>
      <c r="D36" s="301">
        <f t="shared" ref="D36:I36" si="38">D188</f>
        <v>63841</v>
      </c>
      <c r="E36" s="301">
        <f t="shared" si="38"/>
        <v>63765</v>
      </c>
      <c r="F36" s="301">
        <f t="shared" si="38"/>
        <v>63970</v>
      </c>
      <c r="G36" s="301">
        <f t="shared" si="38"/>
        <v>64236</v>
      </c>
      <c r="H36" s="301">
        <f t="shared" si="38"/>
        <v>63438</v>
      </c>
      <c r="I36" s="301">
        <f t="shared" si="38"/>
        <v>62946</v>
      </c>
      <c r="J36" s="301">
        <f t="shared" ref="J36:O36" si="39">J188</f>
        <v>63155</v>
      </c>
      <c r="K36" s="301">
        <f t="shared" si="39"/>
        <v>63259</v>
      </c>
      <c r="L36" s="301">
        <f t="shared" si="39"/>
        <v>63003</v>
      </c>
      <c r="M36" s="301">
        <f t="shared" si="39"/>
        <v>62353</v>
      </c>
      <c r="N36" s="301">
        <f t="shared" si="39"/>
        <v>63081</v>
      </c>
      <c r="O36" s="301">
        <f t="shared" si="39"/>
        <v>62796</v>
      </c>
      <c r="Q36" s="299" t="s">
        <v>3706</v>
      </c>
    </row>
    <row r="37" spans="1:17">
      <c r="D37" s="302"/>
      <c r="E37" s="302"/>
      <c r="F37" s="302"/>
      <c r="G37" s="302"/>
      <c r="H37" s="302"/>
      <c r="I37" s="302"/>
      <c r="J37" s="302"/>
      <c r="K37" s="302"/>
      <c r="L37" s="302"/>
      <c r="M37" s="302"/>
      <c r="N37" s="302"/>
      <c r="O37" s="302"/>
    </row>
    <row r="38" spans="1:17">
      <c r="A38" s="299" t="s">
        <v>5270</v>
      </c>
      <c r="D38" s="301">
        <f t="shared" ref="D38:I38" si="40">D223</f>
        <v>74668</v>
      </c>
      <c r="E38" s="301">
        <f t="shared" si="40"/>
        <v>76292</v>
      </c>
      <c r="F38" s="301">
        <f t="shared" si="40"/>
        <v>77216</v>
      </c>
      <c r="G38" s="301">
        <f t="shared" si="40"/>
        <v>75346</v>
      </c>
      <c r="H38" s="301">
        <f t="shared" si="40"/>
        <v>74366</v>
      </c>
      <c r="I38" s="301">
        <f t="shared" si="40"/>
        <v>72238</v>
      </c>
      <c r="J38" s="301">
        <f t="shared" ref="J38:O38" si="41">J223</f>
        <v>71232</v>
      </c>
      <c r="K38" s="301">
        <f t="shared" si="41"/>
        <v>70478</v>
      </c>
      <c r="L38" s="301">
        <f t="shared" si="41"/>
        <v>71432</v>
      </c>
      <c r="M38" s="301">
        <f t="shared" si="41"/>
        <v>70637</v>
      </c>
      <c r="N38" s="301">
        <f t="shared" si="41"/>
        <v>72673</v>
      </c>
      <c r="O38" s="301">
        <f t="shared" si="41"/>
        <v>72688</v>
      </c>
      <c r="Q38" s="299" t="s">
        <v>3704</v>
      </c>
    </row>
    <row r="39" spans="1:17">
      <c r="D39" s="302"/>
      <c r="E39" s="302"/>
      <c r="F39" s="302"/>
      <c r="G39" s="302"/>
      <c r="H39" s="302"/>
      <c r="I39" s="302"/>
      <c r="J39" s="302"/>
      <c r="K39" s="302"/>
      <c r="L39" s="302"/>
      <c r="M39" s="302"/>
      <c r="N39" s="302"/>
      <c r="O39" s="302"/>
    </row>
    <row r="40" spans="1:17">
      <c r="A40" s="299" t="s">
        <v>5271</v>
      </c>
      <c r="D40" s="301">
        <f t="shared" ref="D40:I40" si="42">D160</f>
        <v>76445</v>
      </c>
      <c r="E40" s="301">
        <f t="shared" si="42"/>
        <v>76618</v>
      </c>
      <c r="F40" s="301">
        <f t="shared" si="42"/>
        <v>77448</v>
      </c>
      <c r="G40" s="301">
        <f t="shared" si="42"/>
        <v>77798</v>
      </c>
      <c r="H40" s="301">
        <f t="shared" si="42"/>
        <v>77478</v>
      </c>
      <c r="I40" s="301">
        <f t="shared" si="42"/>
        <v>76592</v>
      </c>
      <c r="J40" s="301">
        <f t="shared" ref="J40:O40" si="43">J160</f>
        <v>74618</v>
      </c>
      <c r="K40" s="301">
        <f t="shared" si="43"/>
        <v>76447</v>
      </c>
      <c r="L40" s="301">
        <f t="shared" si="43"/>
        <v>75991</v>
      </c>
      <c r="M40" s="301">
        <f t="shared" si="43"/>
        <v>75341</v>
      </c>
      <c r="N40" s="301">
        <f t="shared" si="43"/>
        <v>75923</v>
      </c>
      <c r="O40" s="301">
        <f t="shared" si="43"/>
        <v>77382</v>
      </c>
      <c r="Q40" s="299" t="s">
        <v>5268</v>
      </c>
    </row>
    <row r="41" spans="1:17">
      <c r="D41" s="302"/>
      <c r="E41" s="302"/>
      <c r="F41" s="302"/>
      <c r="G41" s="302"/>
      <c r="H41" s="302"/>
      <c r="I41" s="302"/>
      <c r="J41" s="302"/>
      <c r="K41" s="302"/>
      <c r="L41" s="302"/>
      <c r="M41" s="302"/>
      <c r="N41" s="302"/>
      <c r="O41" s="302"/>
    </row>
    <row r="42" spans="1:17">
      <c r="A42" s="299" t="s">
        <v>5272</v>
      </c>
      <c r="D42" s="301">
        <f t="shared" ref="D42:I42" si="44">D224</f>
        <v>69305</v>
      </c>
      <c r="E42" s="301">
        <f t="shared" si="44"/>
        <v>70177</v>
      </c>
      <c r="F42" s="301">
        <f t="shared" si="44"/>
        <v>70319</v>
      </c>
      <c r="G42" s="301">
        <f t="shared" si="44"/>
        <v>69845</v>
      </c>
      <c r="H42" s="301">
        <f t="shared" si="44"/>
        <v>69565</v>
      </c>
      <c r="I42" s="301">
        <f t="shared" si="44"/>
        <v>68055</v>
      </c>
      <c r="J42" s="301">
        <f t="shared" ref="J42:O42" si="45">J224</f>
        <v>66985</v>
      </c>
      <c r="K42" s="301">
        <f t="shared" si="45"/>
        <v>65567</v>
      </c>
      <c r="L42" s="301">
        <f t="shared" si="45"/>
        <v>65953</v>
      </c>
      <c r="M42" s="301">
        <f t="shared" si="45"/>
        <v>65461</v>
      </c>
      <c r="N42" s="301">
        <f t="shared" si="45"/>
        <v>66342</v>
      </c>
      <c r="O42" s="301">
        <f t="shared" si="45"/>
        <v>66339</v>
      </c>
      <c r="Q42" s="299" t="s">
        <v>3704</v>
      </c>
    </row>
    <row r="43" spans="1:17">
      <c r="D43" s="302"/>
      <c r="E43" s="302"/>
      <c r="F43" s="302"/>
      <c r="G43" s="302"/>
      <c r="H43" s="302"/>
      <c r="I43" s="302"/>
      <c r="J43" s="302"/>
      <c r="K43" s="302"/>
      <c r="L43" s="302"/>
      <c r="M43" s="302"/>
      <c r="N43" s="302"/>
      <c r="O43" s="302"/>
    </row>
    <row r="44" spans="1:17">
      <c r="A44" s="299" t="s">
        <v>6796</v>
      </c>
      <c r="D44" s="301">
        <f t="shared" ref="D44:I44" si="46">D14+D16+D22+D26+D28+D30+D32+D34+D36+D38+D42+D40</f>
        <v>823202</v>
      </c>
      <c r="E44" s="301">
        <f t="shared" si="46"/>
        <v>828252</v>
      </c>
      <c r="F44" s="301">
        <f t="shared" si="46"/>
        <v>836803</v>
      </c>
      <c r="G44" s="301">
        <f t="shared" si="46"/>
        <v>838301</v>
      </c>
      <c r="H44" s="301">
        <f t="shared" si="46"/>
        <v>829792</v>
      </c>
      <c r="I44" s="301">
        <f t="shared" si="46"/>
        <v>798880</v>
      </c>
      <c r="J44" s="301">
        <f t="shared" ref="J44:O44" si="47">J14+J16+J22+J26+J28+J30+J32+J34+J36+J38+J42+J40</f>
        <v>792738</v>
      </c>
      <c r="K44" s="301">
        <f t="shared" si="47"/>
        <v>805406</v>
      </c>
      <c r="L44" s="301">
        <f t="shared" si="47"/>
        <v>796044</v>
      </c>
      <c r="M44" s="301">
        <f t="shared" si="47"/>
        <v>787153</v>
      </c>
      <c r="N44" s="301">
        <f t="shared" si="47"/>
        <v>796754</v>
      </c>
      <c r="O44" s="301">
        <f t="shared" si="47"/>
        <v>815451</v>
      </c>
    </row>
    <row r="45" spans="1:17">
      <c r="D45" s="302"/>
      <c r="E45" s="302"/>
      <c r="F45" s="302"/>
      <c r="G45" s="302"/>
      <c r="H45" s="302"/>
      <c r="I45" s="302"/>
      <c r="J45" s="302"/>
      <c r="K45" s="302"/>
      <c r="L45" s="302"/>
      <c r="M45" s="302"/>
      <c r="N45" s="302"/>
      <c r="O45" s="302"/>
    </row>
    <row r="46" spans="1:17">
      <c r="A46" s="299" t="s">
        <v>6797</v>
      </c>
      <c r="D46" s="301">
        <f t="shared" ref="D46:I46" si="48">MAX(D14,D16,D22,D26,D28,D30,D32,D34,D36,D38,D42,D40)-MIN(D14,D16,D22,D26,D28,D30,D32,D34,D36,D38,D42,D40)</f>
        <v>17824</v>
      </c>
      <c r="E46" s="301">
        <f t="shared" si="48"/>
        <v>17822</v>
      </c>
      <c r="F46" s="301">
        <f t="shared" si="48"/>
        <v>17433</v>
      </c>
      <c r="G46" s="301">
        <f t="shared" si="48"/>
        <v>17217</v>
      </c>
      <c r="H46" s="301">
        <f t="shared" si="48"/>
        <v>18712</v>
      </c>
      <c r="I46" s="301">
        <f t="shared" si="48"/>
        <v>22845</v>
      </c>
      <c r="J46" s="301">
        <f t="shared" ref="J46:O46" si="49">MAX(J14,J16,J22,J26,J28,J30,J32,J34,J36,J38,J42,J40)-MIN(J14,J16,J22,J26,J28,J30,J32,J34,J36,J38,J42,J40)</f>
        <v>20944</v>
      </c>
      <c r="K46" s="301">
        <f t="shared" si="49"/>
        <v>19620</v>
      </c>
      <c r="L46" s="301">
        <f t="shared" si="49"/>
        <v>23832</v>
      </c>
      <c r="M46" s="301">
        <f t="shared" si="49"/>
        <v>23511</v>
      </c>
      <c r="N46" s="301">
        <f t="shared" si="49"/>
        <v>23435</v>
      </c>
      <c r="O46" s="301">
        <f t="shared" si="49"/>
        <v>20731</v>
      </c>
    </row>
    <row r="47" spans="1:17">
      <c r="D47" s="302"/>
      <c r="E47" s="302"/>
      <c r="F47" s="302"/>
      <c r="G47" s="302"/>
      <c r="H47" s="302"/>
      <c r="I47" s="302"/>
      <c r="J47" s="302"/>
      <c r="K47" s="302"/>
      <c r="L47" s="302"/>
      <c r="M47" s="302"/>
      <c r="N47" s="302"/>
      <c r="O47" s="302"/>
    </row>
    <row r="48" spans="1:17">
      <c r="A48" s="306" t="s">
        <v>6800</v>
      </c>
      <c r="D48" s="301">
        <f t="shared" ref="D48:I48" si="50">STDEVP(D14,D16,D22,D26,D28,D30,D32,D34,D36,D38,D42,D40)</f>
        <v>5164.1318378686738</v>
      </c>
      <c r="E48" s="301">
        <f t="shared" si="50"/>
        <v>5346.0678696277946</v>
      </c>
      <c r="F48" s="301">
        <f t="shared" si="50"/>
        <v>5389.2713709482305</v>
      </c>
      <c r="G48" s="301">
        <f t="shared" si="50"/>
        <v>5096.2725342210215</v>
      </c>
      <c r="H48" s="301">
        <f t="shared" si="50"/>
        <v>5343.8660682651425</v>
      </c>
      <c r="I48" s="301">
        <f t="shared" si="50"/>
        <v>6480.351717992542</v>
      </c>
      <c r="J48" s="301">
        <f t="shared" ref="J48:O48" si="51">STDEVP(J14,J16,J22,J26,J28,J30,J32,J34,J36,J38,J42,J40)</f>
        <v>5826.6166354640718</v>
      </c>
      <c r="K48" s="301">
        <f t="shared" si="51"/>
        <v>5420.8000306432832</v>
      </c>
      <c r="L48" s="301">
        <f t="shared" si="51"/>
        <v>6331.2387676767758</v>
      </c>
      <c r="M48" s="301">
        <f t="shared" si="51"/>
        <v>6603.3867630978239</v>
      </c>
      <c r="N48" s="301">
        <f t="shared" si="51"/>
        <v>6968.7029858902406</v>
      </c>
      <c r="O48" s="301">
        <f t="shared" si="51"/>
        <v>5761.7191607626974</v>
      </c>
    </row>
    <row r="49" spans="1:17">
      <c r="A49" s="306"/>
      <c r="D49" s="307"/>
      <c r="E49" s="307"/>
      <c r="F49" s="307"/>
      <c r="G49" s="307"/>
      <c r="H49" s="307"/>
      <c r="I49" s="307"/>
      <c r="J49" s="307"/>
      <c r="K49" s="307"/>
      <c r="L49" s="307"/>
      <c r="M49" s="307"/>
      <c r="N49" s="307"/>
      <c r="O49" s="307"/>
    </row>
    <row r="50" spans="1:17">
      <c r="A50" s="306"/>
      <c r="D50" s="307"/>
      <c r="E50" s="307"/>
      <c r="F50" s="307"/>
      <c r="G50" s="307"/>
      <c r="H50" s="307"/>
      <c r="I50" s="307"/>
      <c r="J50" s="307"/>
      <c r="K50" s="307"/>
      <c r="L50" s="307"/>
      <c r="M50" s="307"/>
      <c r="N50" s="307"/>
      <c r="O50" s="307"/>
    </row>
    <row r="51" spans="1:17">
      <c r="E51" s="51" t="s">
        <v>1526</v>
      </c>
      <c r="F51" s="51"/>
      <c r="G51" s="51"/>
      <c r="H51" s="51"/>
      <c r="I51" s="51"/>
      <c r="J51" s="51"/>
      <c r="K51" s="51"/>
      <c r="L51" s="51"/>
      <c r="M51" s="51"/>
      <c r="N51" s="51"/>
      <c r="O51" s="51"/>
      <c r="P51" s="173"/>
      <c r="Q51" s="173" t="s">
        <v>9479</v>
      </c>
    </row>
    <row r="52" spans="1:17">
      <c r="D52" s="300">
        <v>2010</v>
      </c>
      <c r="E52" s="300">
        <v>2011</v>
      </c>
      <c r="F52" s="300">
        <v>2012</v>
      </c>
      <c r="G52" s="300">
        <v>2013</v>
      </c>
      <c r="H52" s="300">
        <v>2014</v>
      </c>
      <c r="I52" s="300">
        <v>2015</v>
      </c>
      <c r="J52" s="300">
        <v>2016</v>
      </c>
      <c r="K52" s="300">
        <v>2017</v>
      </c>
      <c r="L52" s="300">
        <v>2018</v>
      </c>
      <c r="M52" s="300">
        <v>2019</v>
      </c>
      <c r="N52" s="300">
        <v>2020</v>
      </c>
      <c r="O52" s="934" t="s">
        <v>14823</v>
      </c>
      <c r="Q52" s="206" t="s">
        <v>1527</v>
      </c>
    </row>
    <row r="53" spans="1:17">
      <c r="A53" s="299" t="s">
        <v>5273</v>
      </c>
      <c r="C53" s="299"/>
      <c r="D53" s="301">
        <f t="shared" ref="D53:M53" si="52">SUM(D54:D58)+SUM(D60:D77)</f>
        <v>147060</v>
      </c>
      <c r="E53" s="301">
        <f t="shared" si="52"/>
        <v>147346</v>
      </c>
      <c r="F53" s="301">
        <f t="shared" si="52"/>
        <v>146978</v>
      </c>
      <c r="G53" s="301">
        <f t="shared" si="52"/>
        <v>148302</v>
      </c>
      <c r="H53" s="301">
        <f t="shared" si="52"/>
        <v>146899</v>
      </c>
      <c r="I53" s="301">
        <f t="shared" si="52"/>
        <v>140622</v>
      </c>
      <c r="J53" s="301">
        <f t="shared" si="52"/>
        <v>140942</v>
      </c>
      <c r="K53" s="301">
        <f t="shared" si="52"/>
        <v>143984</v>
      </c>
      <c r="L53" s="301">
        <f t="shared" si="52"/>
        <v>144581</v>
      </c>
      <c r="M53" s="301">
        <f t="shared" si="52"/>
        <v>142236</v>
      </c>
      <c r="N53" s="301">
        <f>SUM(N54:N58)+SUM(N60:N77)</f>
        <v>144704</v>
      </c>
      <c r="O53" s="301">
        <f>SUM(O54:O58)+SUM(O60:O77)</f>
        <v>144619</v>
      </c>
    </row>
    <row r="54" spans="1:17">
      <c r="A54" s="299" t="s">
        <v>5387</v>
      </c>
      <c r="B54" s="299" t="s">
        <v>5274</v>
      </c>
      <c r="C54" s="55" t="s">
        <v>7263</v>
      </c>
      <c r="D54" s="301">
        <v>6301</v>
      </c>
      <c r="E54" s="301">
        <v>6321</v>
      </c>
      <c r="F54" s="301">
        <v>6316</v>
      </c>
      <c r="G54" s="301">
        <v>6399</v>
      </c>
      <c r="H54" s="56">
        <v>6196</v>
      </c>
      <c r="I54" s="56">
        <v>6123</v>
      </c>
      <c r="J54" s="56">
        <v>5984</v>
      </c>
      <c r="K54" s="56">
        <v>6165</v>
      </c>
      <c r="L54" s="56">
        <v>6185</v>
      </c>
      <c r="M54" s="56">
        <v>6152</v>
      </c>
      <c r="N54" s="56">
        <v>6131</v>
      </c>
      <c r="O54" s="56">
        <v>6127</v>
      </c>
      <c r="Q54" s="299" t="s">
        <v>3700</v>
      </c>
    </row>
    <row r="55" spans="1:17">
      <c r="A55" s="299" t="s">
        <v>5389</v>
      </c>
      <c r="B55" s="299" t="s">
        <v>5275</v>
      </c>
      <c r="C55" s="55" t="s">
        <v>7264</v>
      </c>
      <c r="D55" s="301">
        <v>7231</v>
      </c>
      <c r="E55" s="301">
        <v>7357</v>
      </c>
      <c r="F55" s="301">
        <v>7395</v>
      </c>
      <c r="G55" s="301">
        <v>7501</v>
      </c>
      <c r="H55" s="56">
        <v>7303</v>
      </c>
      <c r="I55" s="56">
        <v>6790</v>
      </c>
      <c r="J55" s="56">
        <v>6953</v>
      </c>
      <c r="K55" s="56">
        <v>7149</v>
      </c>
      <c r="L55" s="56">
        <v>7111</v>
      </c>
      <c r="M55" s="56">
        <v>7095</v>
      </c>
      <c r="N55" s="56">
        <v>7195</v>
      </c>
      <c r="O55" s="56">
        <v>7197</v>
      </c>
      <c r="Q55" s="299" t="s">
        <v>3700</v>
      </c>
    </row>
    <row r="56" spans="1:17">
      <c r="A56" s="299" t="s">
        <v>5391</v>
      </c>
      <c r="B56" s="299" t="s">
        <v>5276</v>
      </c>
      <c r="C56" s="55" t="s">
        <v>7265</v>
      </c>
      <c r="D56" s="301">
        <v>5605</v>
      </c>
      <c r="E56" s="301">
        <v>5702</v>
      </c>
      <c r="F56" s="301">
        <v>5431</v>
      </c>
      <c r="G56" s="301">
        <v>5456</v>
      </c>
      <c r="H56" s="56">
        <v>5403</v>
      </c>
      <c r="I56" s="56">
        <v>5189</v>
      </c>
      <c r="J56" s="56">
        <v>5316</v>
      </c>
      <c r="K56" s="56">
        <v>5559</v>
      </c>
      <c r="L56" s="56">
        <v>5614</v>
      </c>
      <c r="M56" s="56">
        <v>5377</v>
      </c>
      <c r="N56" s="56">
        <v>5967</v>
      </c>
      <c r="O56" s="56">
        <v>5968</v>
      </c>
      <c r="Q56" s="299" t="s">
        <v>3702</v>
      </c>
    </row>
    <row r="57" spans="1:17">
      <c r="A57" s="299" t="s">
        <v>5393</v>
      </c>
      <c r="B57" s="299" t="s">
        <v>5277</v>
      </c>
      <c r="C57" s="62" t="s">
        <v>9779</v>
      </c>
      <c r="D57" s="301">
        <v>7240</v>
      </c>
      <c r="E57" s="301">
        <v>7269</v>
      </c>
      <c r="F57" s="301">
        <v>7242</v>
      </c>
      <c r="G57" s="301">
        <v>7358</v>
      </c>
      <c r="H57" s="56">
        <v>7228</v>
      </c>
      <c r="I57" s="56">
        <v>6959</v>
      </c>
      <c r="J57" s="56">
        <v>6954</v>
      </c>
      <c r="K57" s="56">
        <v>6978</v>
      </c>
      <c r="L57" s="56">
        <v>6957</v>
      </c>
      <c r="M57" s="56">
        <v>6746</v>
      </c>
      <c r="N57" s="56">
        <v>6898</v>
      </c>
      <c r="O57" s="56">
        <v>6884</v>
      </c>
      <c r="Q57" s="299" t="s">
        <v>3700</v>
      </c>
    </row>
    <row r="58" spans="1:17" ht="15.75" thickBot="1">
      <c r="A58" s="299"/>
      <c r="B58" s="299"/>
      <c r="C58" s="62" t="s">
        <v>9779</v>
      </c>
      <c r="D58" s="305">
        <v>0</v>
      </c>
      <c r="E58" s="305">
        <v>0</v>
      </c>
      <c r="F58" s="305">
        <v>0</v>
      </c>
      <c r="G58" s="305">
        <v>0</v>
      </c>
      <c r="H58" s="305">
        <v>0</v>
      </c>
      <c r="I58" s="308">
        <v>0</v>
      </c>
      <c r="J58" s="308">
        <v>0</v>
      </c>
      <c r="K58" s="308">
        <v>0</v>
      </c>
      <c r="L58" s="308">
        <v>0</v>
      </c>
      <c r="M58" s="308">
        <v>0</v>
      </c>
      <c r="N58" s="308">
        <v>0</v>
      </c>
      <c r="O58" s="308">
        <v>0</v>
      </c>
      <c r="Q58" s="299" t="s">
        <v>1033</v>
      </c>
    </row>
    <row r="59" spans="1:17" ht="15.75" thickBot="1">
      <c r="A59" s="299"/>
      <c r="B59" s="299"/>
      <c r="C59" s="62" t="s">
        <v>9779</v>
      </c>
      <c r="D59" s="309">
        <f>D57+D58</f>
        <v>7240</v>
      </c>
      <c r="E59" s="309">
        <f t="shared" ref="E59:L59" si="53">E57+E58</f>
        <v>7269</v>
      </c>
      <c r="F59" s="309">
        <f t="shared" si="53"/>
        <v>7242</v>
      </c>
      <c r="G59" s="309">
        <f t="shared" si="53"/>
        <v>7358</v>
      </c>
      <c r="H59" s="309">
        <f t="shared" si="53"/>
        <v>7228</v>
      </c>
      <c r="I59" s="309">
        <f t="shared" si="53"/>
        <v>6959</v>
      </c>
      <c r="J59" s="310">
        <f t="shared" si="53"/>
        <v>6954</v>
      </c>
      <c r="K59" s="310">
        <f t="shared" si="53"/>
        <v>6978</v>
      </c>
      <c r="L59" s="310">
        <f t="shared" si="53"/>
        <v>6957</v>
      </c>
      <c r="M59" s="310">
        <f>M57+M58</f>
        <v>6746</v>
      </c>
      <c r="N59" s="310">
        <f>N57+N58</f>
        <v>6898</v>
      </c>
      <c r="O59" s="310">
        <f>O57+O58</f>
        <v>6884</v>
      </c>
      <c r="Q59" s="299"/>
    </row>
    <row r="60" spans="1:17">
      <c r="A60" s="299" t="s">
        <v>5394</v>
      </c>
      <c r="B60" s="299" t="s">
        <v>5278</v>
      </c>
      <c r="C60" s="55" t="s">
        <v>7266</v>
      </c>
      <c r="D60" s="301">
        <v>7186</v>
      </c>
      <c r="E60" s="301">
        <v>7214</v>
      </c>
      <c r="F60" s="301">
        <v>7233</v>
      </c>
      <c r="G60" s="301">
        <v>7282</v>
      </c>
      <c r="H60" s="56">
        <v>7196</v>
      </c>
      <c r="I60" s="56">
        <v>6957</v>
      </c>
      <c r="J60" s="56">
        <v>6892</v>
      </c>
      <c r="K60" s="56">
        <v>6977</v>
      </c>
      <c r="L60" s="56">
        <v>7016</v>
      </c>
      <c r="M60" s="56">
        <v>6908</v>
      </c>
      <c r="N60" s="56">
        <v>6881</v>
      </c>
      <c r="O60" s="56">
        <v>6867</v>
      </c>
      <c r="Q60" s="299" t="s">
        <v>3702</v>
      </c>
    </row>
    <row r="61" spans="1:17">
      <c r="A61" s="299" t="s">
        <v>5416</v>
      </c>
      <c r="B61" s="299" t="s">
        <v>5279</v>
      </c>
      <c r="C61" s="55" t="s">
        <v>7267</v>
      </c>
      <c r="D61" s="301">
        <v>6708</v>
      </c>
      <c r="E61" s="301">
        <v>6764</v>
      </c>
      <c r="F61" s="301">
        <v>6755</v>
      </c>
      <c r="G61" s="301">
        <v>6806</v>
      </c>
      <c r="H61" s="56">
        <v>6773</v>
      </c>
      <c r="I61" s="56">
        <v>6702</v>
      </c>
      <c r="J61" s="56">
        <v>6659</v>
      </c>
      <c r="K61" s="56">
        <v>6741</v>
      </c>
      <c r="L61" s="56">
        <v>6749</v>
      </c>
      <c r="M61" s="56">
        <v>6739</v>
      </c>
      <c r="N61" s="56">
        <v>6905</v>
      </c>
      <c r="O61" s="56">
        <v>6917</v>
      </c>
      <c r="Q61" s="299" t="s">
        <v>3700</v>
      </c>
    </row>
    <row r="62" spans="1:17">
      <c r="A62" s="299" t="s">
        <v>5418</v>
      </c>
      <c r="B62" s="299" t="s">
        <v>5280</v>
      </c>
      <c r="C62" s="55" t="s">
        <v>7268</v>
      </c>
      <c r="D62" s="301">
        <v>6696</v>
      </c>
      <c r="E62" s="301">
        <v>6758</v>
      </c>
      <c r="F62" s="301">
        <v>6727</v>
      </c>
      <c r="G62" s="301">
        <v>6764</v>
      </c>
      <c r="H62" s="56">
        <v>6718</v>
      </c>
      <c r="I62" s="56">
        <v>6367</v>
      </c>
      <c r="J62" s="56">
        <v>6371</v>
      </c>
      <c r="K62" s="56">
        <v>6530</v>
      </c>
      <c r="L62" s="56">
        <v>6493</v>
      </c>
      <c r="M62" s="56">
        <v>6367</v>
      </c>
      <c r="N62" s="56">
        <v>6348</v>
      </c>
      <c r="O62" s="56">
        <v>6336</v>
      </c>
      <c r="Q62" s="299" t="s">
        <v>3702</v>
      </c>
    </row>
    <row r="63" spans="1:17">
      <c r="A63" s="299" t="s">
        <v>5420</v>
      </c>
      <c r="B63" s="299" t="s">
        <v>5281</v>
      </c>
      <c r="C63" s="55" t="s">
        <v>7269</v>
      </c>
      <c r="D63" s="301">
        <v>6345</v>
      </c>
      <c r="E63" s="301">
        <v>6258</v>
      </c>
      <c r="F63" s="301">
        <v>6244</v>
      </c>
      <c r="G63" s="301">
        <v>6364</v>
      </c>
      <c r="H63" s="56">
        <v>6224</v>
      </c>
      <c r="I63" s="56">
        <v>5658</v>
      </c>
      <c r="J63" s="56">
        <v>5823</v>
      </c>
      <c r="K63" s="56">
        <v>6098</v>
      </c>
      <c r="L63" s="56">
        <v>6281</v>
      </c>
      <c r="M63" s="56">
        <v>6095</v>
      </c>
      <c r="N63" s="56">
        <v>6272</v>
      </c>
      <c r="O63" s="56">
        <v>6259</v>
      </c>
      <c r="Q63" s="299" t="s">
        <v>3702</v>
      </c>
    </row>
    <row r="64" spans="1:17">
      <c r="A64" s="299" t="s">
        <v>5422</v>
      </c>
      <c r="B64" s="299" t="s">
        <v>5282</v>
      </c>
      <c r="C64" s="55" t="s">
        <v>7270</v>
      </c>
      <c r="D64" s="301">
        <v>6864</v>
      </c>
      <c r="E64" s="301">
        <v>6863</v>
      </c>
      <c r="F64" s="301">
        <v>6853</v>
      </c>
      <c r="G64" s="301">
        <v>6803</v>
      </c>
      <c r="H64" s="56">
        <v>6774</v>
      </c>
      <c r="I64" s="56">
        <v>6556</v>
      </c>
      <c r="J64" s="56">
        <v>6586</v>
      </c>
      <c r="K64" s="56">
        <v>6804</v>
      </c>
      <c r="L64" s="56">
        <v>6756</v>
      </c>
      <c r="M64" s="56">
        <v>6636</v>
      </c>
      <c r="N64" s="56">
        <v>6756</v>
      </c>
      <c r="O64" s="56">
        <v>6755</v>
      </c>
      <c r="Q64" s="299" t="s">
        <v>3700</v>
      </c>
    </row>
    <row r="65" spans="1:17">
      <c r="A65" s="299" t="s">
        <v>5424</v>
      </c>
      <c r="B65" s="299" t="s">
        <v>5283</v>
      </c>
      <c r="C65" s="55" t="s">
        <v>7271</v>
      </c>
      <c r="D65" s="301">
        <v>5655</v>
      </c>
      <c r="E65" s="301">
        <v>5741</v>
      </c>
      <c r="F65" s="301">
        <v>5684</v>
      </c>
      <c r="G65" s="301">
        <v>5805</v>
      </c>
      <c r="H65" s="56">
        <v>5945</v>
      </c>
      <c r="I65" s="56">
        <v>5597</v>
      </c>
      <c r="J65" s="56">
        <v>5586</v>
      </c>
      <c r="K65" s="56">
        <v>5683</v>
      </c>
      <c r="L65" s="56">
        <v>5695</v>
      </c>
      <c r="M65" s="56">
        <v>5595</v>
      </c>
      <c r="N65" s="56">
        <v>5657</v>
      </c>
      <c r="O65" s="56">
        <v>5653</v>
      </c>
      <c r="Q65" s="299" t="s">
        <v>3702</v>
      </c>
    </row>
    <row r="66" spans="1:17">
      <c r="A66" s="299" t="s">
        <v>5426</v>
      </c>
      <c r="B66" s="299" t="s">
        <v>5284</v>
      </c>
      <c r="C66" s="55" t="s">
        <v>7272</v>
      </c>
      <c r="D66" s="301">
        <v>6586</v>
      </c>
      <c r="E66" s="301">
        <v>6580</v>
      </c>
      <c r="F66" s="301">
        <v>6541</v>
      </c>
      <c r="G66" s="301">
        <v>6563</v>
      </c>
      <c r="H66" s="58">
        <v>6340</v>
      </c>
      <c r="I66" s="58">
        <v>5955</v>
      </c>
      <c r="J66" s="58">
        <v>5895</v>
      </c>
      <c r="K66" s="58">
        <v>6110</v>
      </c>
      <c r="L66" s="58">
        <v>6088</v>
      </c>
      <c r="M66" s="58">
        <v>6008</v>
      </c>
      <c r="N66" s="58">
        <v>6050</v>
      </c>
      <c r="O66" s="58">
        <v>6041</v>
      </c>
      <c r="Q66" s="299" t="s">
        <v>3702</v>
      </c>
    </row>
    <row r="67" spans="1:17">
      <c r="A67" s="299" t="s">
        <v>5428</v>
      </c>
      <c r="B67" s="299" t="s">
        <v>5285</v>
      </c>
      <c r="C67" s="55" t="s">
        <v>7273</v>
      </c>
      <c r="D67" s="301">
        <v>6784</v>
      </c>
      <c r="E67" s="301">
        <v>6849</v>
      </c>
      <c r="F67" s="301">
        <v>6799</v>
      </c>
      <c r="G67" s="301">
        <v>6951</v>
      </c>
      <c r="H67" s="56">
        <v>7177</v>
      </c>
      <c r="I67" s="56">
        <v>6897</v>
      </c>
      <c r="J67" s="56">
        <v>6963</v>
      </c>
      <c r="K67" s="56">
        <v>7142</v>
      </c>
      <c r="L67" s="56">
        <v>7153</v>
      </c>
      <c r="M67" s="56">
        <v>7138</v>
      </c>
      <c r="N67" s="56">
        <v>7232</v>
      </c>
      <c r="O67" s="56">
        <v>7229</v>
      </c>
      <c r="Q67" s="299" t="s">
        <v>3700</v>
      </c>
    </row>
    <row r="68" spans="1:17">
      <c r="A68" s="299" t="s">
        <v>5429</v>
      </c>
      <c r="B68" s="299" t="s">
        <v>5286</v>
      </c>
      <c r="C68" s="55" t="s">
        <v>7274</v>
      </c>
      <c r="D68" s="301">
        <v>7405</v>
      </c>
      <c r="E68" s="301">
        <v>7251</v>
      </c>
      <c r="F68" s="301">
        <v>7408</v>
      </c>
      <c r="G68" s="301">
        <v>7560</v>
      </c>
      <c r="H68" s="58">
        <v>7376</v>
      </c>
      <c r="I68" s="58">
        <v>6983</v>
      </c>
      <c r="J68" s="58">
        <v>6860</v>
      </c>
      <c r="K68" s="58">
        <v>6990</v>
      </c>
      <c r="L68" s="58">
        <v>7045</v>
      </c>
      <c r="M68" s="58">
        <v>6878</v>
      </c>
      <c r="N68" s="58">
        <v>6889</v>
      </c>
      <c r="O68" s="58">
        <v>6880</v>
      </c>
      <c r="Q68" s="299" t="s">
        <v>3702</v>
      </c>
    </row>
    <row r="69" spans="1:17">
      <c r="A69" s="299" t="s">
        <v>5431</v>
      </c>
      <c r="B69" s="299" t="s">
        <v>3759</v>
      </c>
      <c r="C69" s="55" t="s">
        <v>7275</v>
      </c>
      <c r="D69" s="301">
        <v>7073</v>
      </c>
      <c r="E69" s="301">
        <v>7160</v>
      </c>
      <c r="F69" s="301">
        <v>7133</v>
      </c>
      <c r="G69" s="301">
        <v>7155</v>
      </c>
      <c r="H69" s="58">
        <v>7116</v>
      </c>
      <c r="I69" s="58">
        <v>6891</v>
      </c>
      <c r="J69" s="58">
        <v>6910</v>
      </c>
      <c r="K69" s="58">
        <v>7023</v>
      </c>
      <c r="L69" s="58">
        <v>7073</v>
      </c>
      <c r="M69" s="58">
        <v>6945</v>
      </c>
      <c r="N69" s="58">
        <v>7068</v>
      </c>
      <c r="O69" s="58">
        <v>7064</v>
      </c>
      <c r="Q69" s="299" t="s">
        <v>3702</v>
      </c>
    </row>
    <row r="70" spans="1:17">
      <c r="A70" s="299" t="s">
        <v>5433</v>
      </c>
      <c r="B70" s="299" t="s">
        <v>3760</v>
      </c>
      <c r="C70" s="55" t="s">
        <v>7276</v>
      </c>
      <c r="D70" s="308">
        <v>6727</v>
      </c>
      <c r="E70" s="308">
        <v>6755</v>
      </c>
      <c r="F70" s="308">
        <v>6771</v>
      </c>
      <c r="G70" s="308">
        <v>6791</v>
      </c>
      <c r="H70" s="58">
        <v>6666</v>
      </c>
      <c r="I70" s="58">
        <v>6346</v>
      </c>
      <c r="J70" s="58">
        <v>6373</v>
      </c>
      <c r="K70" s="58">
        <v>6515</v>
      </c>
      <c r="L70" s="58">
        <v>6531</v>
      </c>
      <c r="M70" s="58">
        <v>6404</v>
      </c>
      <c r="N70" s="58">
        <v>6516</v>
      </c>
      <c r="O70" s="58">
        <v>6520</v>
      </c>
      <c r="Q70" s="299" t="s">
        <v>3705</v>
      </c>
    </row>
    <row r="71" spans="1:17">
      <c r="A71" s="299" t="s">
        <v>5435</v>
      </c>
      <c r="B71" s="299" t="s">
        <v>6289</v>
      </c>
      <c r="C71" s="55" t="s">
        <v>7277</v>
      </c>
      <c r="D71" s="301">
        <v>6362</v>
      </c>
      <c r="E71" s="301">
        <v>6399</v>
      </c>
      <c r="F71" s="301">
        <v>6513</v>
      </c>
      <c r="G71" s="301">
        <v>6644</v>
      </c>
      <c r="H71" s="56">
        <v>6778</v>
      </c>
      <c r="I71" s="56">
        <v>6648</v>
      </c>
      <c r="J71" s="56">
        <v>6818</v>
      </c>
      <c r="K71" s="56">
        <v>7043</v>
      </c>
      <c r="L71" s="56">
        <v>7041</v>
      </c>
      <c r="M71" s="56">
        <v>6885</v>
      </c>
      <c r="N71" s="56">
        <v>6960</v>
      </c>
      <c r="O71" s="56">
        <v>6957</v>
      </c>
      <c r="Q71" s="299" t="s">
        <v>3700</v>
      </c>
    </row>
    <row r="72" spans="1:17">
      <c r="A72" s="299" t="s">
        <v>5436</v>
      </c>
      <c r="B72" s="299" t="s">
        <v>6290</v>
      </c>
      <c r="C72" s="55" t="s">
        <v>7278</v>
      </c>
      <c r="D72" s="301">
        <v>6066</v>
      </c>
      <c r="E72" s="301">
        <v>5783</v>
      </c>
      <c r="F72" s="301">
        <v>5778</v>
      </c>
      <c r="G72" s="301">
        <v>5852</v>
      </c>
      <c r="H72" s="58">
        <v>5816</v>
      </c>
      <c r="I72" s="58">
        <v>5405</v>
      </c>
      <c r="J72" s="58">
        <v>5470</v>
      </c>
      <c r="K72" s="58">
        <v>5574</v>
      </c>
      <c r="L72" s="58">
        <v>5785</v>
      </c>
      <c r="M72" s="58">
        <v>5641</v>
      </c>
      <c r="N72" s="58">
        <v>5943</v>
      </c>
      <c r="O72" s="58">
        <v>5936</v>
      </c>
      <c r="Q72" s="299" t="s">
        <v>3702</v>
      </c>
    </row>
    <row r="73" spans="1:17">
      <c r="A73" s="299" t="s">
        <v>5437</v>
      </c>
      <c r="B73" s="299" t="s">
        <v>6291</v>
      </c>
      <c r="C73" s="55" t="s">
        <v>7279</v>
      </c>
      <c r="D73" s="301">
        <v>6292</v>
      </c>
      <c r="E73" s="301">
        <v>6369</v>
      </c>
      <c r="F73" s="301">
        <v>6296</v>
      </c>
      <c r="G73" s="301">
        <v>6339</v>
      </c>
      <c r="H73" s="58">
        <v>6301</v>
      </c>
      <c r="I73" s="58">
        <v>5923</v>
      </c>
      <c r="J73" s="58">
        <v>5972</v>
      </c>
      <c r="K73" s="58">
        <v>6109</v>
      </c>
      <c r="L73" s="58">
        <v>6166</v>
      </c>
      <c r="M73" s="58">
        <v>6082</v>
      </c>
      <c r="N73" s="58">
        <v>6148</v>
      </c>
      <c r="O73" s="58">
        <v>6138</v>
      </c>
      <c r="Q73" s="299" t="s">
        <v>3705</v>
      </c>
    </row>
    <row r="74" spans="1:17">
      <c r="A74" s="299" t="s">
        <v>5439</v>
      </c>
      <c r="B74" s="299" t="s">
        <v>6292</v>
      </c>
      <c r="C74" s="55" t="s">
        <v>7280</v>
      </c>
      <c r="D74" s="301">
        <v>6603</v>
      </c>
      <c r="E74" s="301">
        <v>6625</v>
      </c>
      <c r="F74" s="301">
        <v>6590</v>
      </c>
      <c r="G74" s="301">
        <v>6630</v>
      </c>
      <c r="H74" s="56">
        <v>6527</v>
      </c>
      <c r="I74" s="56">
        <v>6380</v>
      </c>
      <c r="J74" s="56">
        <v>6307</v>
      </c>
      <c r="K74" s="56">
        <v>6310</v>
      </c>
      <c r="L74" s="56">
        <v>6329</v>
      </c>
      <c r="M74" s="56">
        <v>6251</v>
      </c>
      <c r="N74" s="56">
        <v>6351</v>
      </c>
      <c r="O74" s="56">
        <v>6349</v>
      </c>
      <c r="Q74" s="299" t="s">
        <v>3700</v>
      </c>
    </row>
    <row r="75" spans="1:17">
      <c r="A75" s="299" t="s">
        <v>5441</v>
      </c>
      <c r="B75" s="299" t="s">
        <v>6293</v>
      </c>
      <c r="C75" s="55" t="s">
        <v>7281</v>
      </c>
      <c r="D75" s="301">
        <v>6843</v>
      </c>
      <c r="E75" s="301">
        <v>6850</v>
      </c>
      <c r="F75" s="301">
        <v>6855</v>
      </c>
      <c r="G75" s="301">
        <v>6784</v>
      </c>
      <c r="H75" s="56">
        <v>6623</v>
      </c>
      <c r="I75" s="56">
        <v>6485</v>
      </c>
      <c r="J75" s="56">
        <v>6483</v>
      </c>
      <c r="K75" s="56">
        <v>6490</v>
      </c>
      <c r="L75" s="56">
        <v>6485</v>
      </c>
      <c r="M75" s="56">
        <v>6427</v>
      </c>
      <c r="N75" s="56">
        <v>6534</v>
      </c>
      <c r="O75" s="56">
        <v>6539</v>
      </c>
      <c r="Q75" s="299" t="s">
        <v>3700</v>
      </c>
    </row>
    <row r="76" spans="1:17">
      <c r="A76" s="299" t="s">
        <v>5886</v>
      </c>
      <c r="B76" s="299" t="s">
        <v>6294</v>
      </c>
      <c r="C76" s="55" t="s">
        <v>7282</v>
      </c>
      <c r="D76" s="301">
        <v>7633</v>
      </c>
      <c r="E76" s="301">
        <v>7619</v>
      </c>
      <c r="F76" s="301">
        <v>7566</v>
      </c>
      <c r="G76" s="301">
        <v>7594</v>
      </c>
      <c r="H76" s="58">
        <v>7466</v>
      </c>
      <c r="I76" s="58">
        <v>7046</v>
      </c>
      <c r="J76" s="58">
        <v>7065</v>
      </c>
      <c r="K76" s="58">
        <v>7225</v>
      </c>
      <c r="L76" s="58">
        <v>7267</v>
      </c>
      <c r="M76" s="58">
        <v>7121</v>
      </c>
      <c r="N76" s="58">
        <v>7149</v>
      </c>
      <c r="O76" s="58">
        <v>7150</v>
      </c>
      <c r="Q76" s="299" t="s">
        <v>3702</v>
      </c>
    </row>
    <row r="77" spans="1:17">
      <c r="A77" s="299" t="s">
        <v>5888</v>
      </c>
      <c r="B77" s="299" t="s">
        <v>3441</v>
      </c>
      <c r="C77" s="55" t="s">
        <v>7283</v>
      </c>
      <c r="D77" s="301">
        <v>6855</v>
      </c>
      <c r="E77" s="301">
        <v>6859</v>
      </c>
      <c r="F77" s="301">
        <v>6848</v>
      </c>
      <c r="G77" s="301">
        <v>6901</v>
      </c>
      <c r="H77" s="56">
        <v>6953</v>
      </c>
      <c r="I77" s="56">
        <v>6765</v>
      </c>
      <c r="J77" s="56">
        <v>6702</v>
      </c>
      <c r="K77" s="56">
        <v>6769</v>
      </c>
      <c r="L77" s="56">
        <v>6761</v>
      </c>
      <c r="M77" s="56">
        <v>6746</v>
      </c>
      <c r="N77" s="56">
        <v>6854</v>
      </c>
      <c r="O77" s="56">
        <v>6853</v>
      </c>
      <c r="Q77" s="299" t="s">
        <v>3700</v>
      </c>
    </row>
    <row r="78" spans="1:17">
      <c r="D78" s="302"/>
      <c r="E78" s="302"/>
      <c r="F78" s="302"/>
      <c r="G78" s="302"/>
      <c r="H78" s="302"/>
      <c r="I78" s="302"/>
      <c r="J78" s="302"/>
      <c r="K78" s="302"/>
      <c r="L78" s="302"/>
      <c r="M78" s="302"/>
      <c r="N78" s="302"/>
      <c r="O78" s="302"/>
    </row>
    <row r="79" spans="1:17">
      <c r="A79" s="299" t="s">
        <v>9494</v>
      </c>
      <c r="D79" s="301">
        <f t="shared" ref="D79:M79" si="54">D54+D55+D57+D61+D64+D67+D71+D74+D75+D77</f>
        <v>67791</v>
      </c>
      <c r="E79" s="301">
        <f t="shared" si="54"/>
        <v>68156</v>
      </c>
      <c r="F79" s="301">
        <f t="shared" si="54"/>
        <v>68166</v>
      </c>
      <c r="G79" s="301">
        <f t="shared" si="54"/>
        <v>68777</v>
      </c>
      <c r="H79" s="301">
        <f t="shared" si="54"/>
        <v>68332</v>
      </c>
      <c r="I79" s="301">
        <f t="shared" si="54"/>
        <v>66305</v>
      </c>
      <c r="J79" s="301">
        <f t="shared" si="54"/>
        <v>66409</v>
      </c>
      <c r="K79" s="301">
        <f t="shared" si="54"/>
        <v>67591</v>
      </c>
      <c r="L79" s="301">
        <f t="shared" si="54"/>
        <v>67527</v>
      </c>
      <c r="M79" s="301">
        <f t="shared" si="54"/>
        <v>66815</v>
      </c>
      <c r="N79" s="301">
        <f>N54+N55+N57+N61+N64+N67+N71+N74+N75+N77</f>
        <v>67816</v>
      </c>
      <c r="O79" s="301">
        <f>O54+O55+O57+O61+O64+O67+O71+O74+O75+O77</f>
        <v>67807</v>
      </c>
    </row>
    <row r="80" spans="1:17">
      <c r="A80" s="299" t="s">
        <v>3702</v>
      </c>
      <c r="D80" s="301">
        <f t="shared" ref="D80:M80" si="55">D56+D60+D62+D63+D65+D66+D68+D69+D72+D76</f>
        <v>66250</v>
      </c>
      <c r="E80" s="301">
        <f t="shared" si="55"/>
        <v>66066</v>
      </c>
      <c r="F80" s="301">
        <f t="shared" si="55"/>
        <v>65745</v>
      </c>
      <c r="G80" s="301">
        <f t="shared" si="55"/>
        <v>66395</v>
      </c>
      <c r="H80" s="301">
        <f t="shared" si="55"/>
        <v>65600</v>
      </c>
      <c r="I80" s="301">
        <f t="shared" si="55"/>
        <v>62048</v>
      </c>
      <c r="J80" s="301">
        <f t="shared" si="55"/>
        <v>62188</v>
      </c>
      <c r="K80" s="301">
        <f t="shared" si="55"/>
        <v>63769</v>
      </c>
      <c r="L80" s="301">
        <f t="shared" si="55"/>
        <v>64357</v>
      </c>
      <c r="M80" s="301">
        <f t="shared" si="55"/>
        <v>62935</v>
      </c>
      <c r="N80" s="301">
        <f>N56+N60+N62+N63+N65+N66+N68+N69+N72+N76</f>
        <v>64224</v>
      </c>
      <c r="O80" s="301">
        <f>O56+O60+O62+O63+O65+O66+O68+O69+O72+O76</f>
        <v>64154</v>
      </c>
    </row>
    <row r="81" spans="1:17">
      <c r="A81" s="299" t="s">
        <v>9493</v>
      </c>
      <c r="D81" s="301">
        <f t="shared" ref="D81:M81" si="56">D58</f>
        <v>0</v>
      </c>
      <c r="E81" s="301">
        <f t="shared" si="56"/>
        <v>0</v>
      </c>
      <c r="F81" s="301">
        <f t="shared" si="56"/>
        <v>0</v>
      </c>
      <c r="G81" s="301">
        <f t="shared" si="56"/>
        <v>0</v>
      </c>
      <c r="H81" s="301">
        <f t="shared" si="56"/>
        <v>0</v>
      </c>
      <c r="I81" s="301">
        <f t="shared" si="56"/>
        <v>0</v>
      </c>
      <c r="J81" s="301">
        <f t="shared" si="56"/>
        <v>0</v>
      </c>
      <c r="K81" s="301">
        <f t="shared" si="56"/>
        <v>0</v>
      </c>
      <c r="L81" s="301">
        <f t="shared" si="56"/>
        <v>0</v>
      </c>
      <c r="M81" s="301">
        <f t="shared" si="56"/>
        <v>0</v>
      </c>
      <c r="N81" s="301">
        <f>N58</f>
        <v>0</v>
      </c>
      <c r="O81" s="301">
        <f>O58</f>
        <v>0</v>
      </c>
    </row>
    <row r="82" spans="1:17">
      <c r="A82" s="299" t="s">
        <v>3442</v>
      </c>
      <c r="D82" s="301">
        <f t="shared" ref="D82:M82" si="57">D70+D73</f>
        <v>13019</v>
      </c>
      <c r="E82" s="301">
        <f t="shared" si="57"/>
        <v>13124</v>
      </c>
      <c r="F82" s="301">
        <f t="shared" si="57"/>
        <v>13067</v>
      </c>
      <c r="G82" s="301">
        <f t="shared" si="57"/>
        <v>13130</v>
      </c>
      <c r="H82" s="301">
        <f t="shared" si="57"/>
        <v>12967</v>
      </c>
      <c r="I82" s="301">
        <f t="shared" si="57"/>
        <v>12269</v>
      </c>
      <c r="J82" s="301">
        <f t="shared" si="57"/>
        <v>12345</v>
      </c>
      <c r="K82" s="301">
        <f t="shared" si="57"/>
        <v>12624</v>
      </c>
      <c r="L82" s="301">
        <f t="shared" si="57"/>
        <v>12697</v>
      </c>
      <c r="M82" s="301">
        <f t="shared" si="57"/>
        <v>12486</v>
      </c>
      <c r="N82" s="301">
        <f>N70+N73</f>
        <v>12664</v>
      </c>
      <c r="O82" s="301">
        <f>O70+O73</f>
        <v>12658</v>
      </c>
    </row>
    <row r="83" spans="1:17">
      <c r="A83" s="299"/>
      <c r="D83" s="301"/>
      <c r="E83" s="301"/>
      <c r="F83" s="301"/>
      <c r="G83" s="301"/>
      <c r="H83" s="301"/>
      <c r="I83" s="301"/>
      <c r="J83" s="301"/>
      <c r="K83" s="301"/>
      <c r="L83" s="301"/>
      <c r="M83" s="301"/>
      <c r="N83" s="301"/>
      <c r="O83" s="301"/>
    </row>
    <row r="84" spans="1:17">
      <c r="A84" s="299" t="s">
        <v>9495</v>
      </c>
      <c r="D84" s="301"/>
      <c r="E84" s="301"/>
      <c r="F84" s="301"/>
      <c r="G84" s="301"/>
      <c r="H84" s="301"/>
      <c r="I84" s="301"/>
      <c r="J84" s="301"/>
      <c r="K84" s="301"/>
      <c r="L84" s="301"/>
      <c r="M84" s="301"/>
      <c r="N84" s="301"/>
      <c r="O84" s="301"/>
    </row>
    <row r="85" spans="1:17">
      <c r="A85" s="299" t="s">
        <v>9520</v>
      </c>
      <c r="D85" s="301"/>
      <c r="E85" s="301"/>
      <c r="F85" s="301"/>
      <c r="G85" s="301"/>
      <c r="H85" s="301"/>
      <c r="I85" s="301"/>
      <c r="J85" s="301"/>
      <c r="K85" s="301"/>
      <c r="L85" s="301"/>
      <c r="M85" s="301"/>
      <c r="N85" s="301"/>
      <c r="O85" s="301"/>
    </row>
    <row r="86" spans="1:17">
      <c r="A86" s="299"/>
      <c r="B86" s="299"/>
      <c r="D86" s="311"/>
      <c r="E86" s="311"/>
      <c r="F86" s="311"/>
      <c r="G86" s="311"/>
      <c r="H86" s="311"/>
      <c r="I86" s="311"/>
      <c r="J86" s="311"/>
      <c r="K86" s="311"/>
      <c r="L86" s="311"/>
      <c r="M86" s="311"/>
      <c r="N86" s="311"/>
      <c r="O86" s="311"/>
    </row>
    <row r="87" spans="1:17">
      <c r="A87" s="299"/>
      <c r="B87" s="299"/>
      <c r="D87" s="311"/>
      <c r="E87" s="311"/>
      <c r="F87" s="311"/>
      <c r="G87" s="311"/>
      <c r="H87" s="311"/>
      <c r="I87" s="311"/>
      <c r="J87" s="311"/>
      <c r="K87" s="311"/>
      <c r="L87" s="311"/>
      <c r="M87" s="311"/>
      <c r="N87" s="311"/>
      <c r="O87" s="311"/>
    </row>
    <row r="88" spans="1:17">
      <c r="E88" s="51" t="s">
        <v>1526</v>
      </c>
      <c r="F88" s="51"/>
      <c r="G88" s="51"/>
      <c r="H88" s="51"/>
      <c r="I88" s="51"/>
      <c r="J88" s="51"/>
      <c r="K88" s="51"/>
      <c r="L88" s="51"/>
      <c r="M88" s="51"/>
      <c r="N88" s="51"/>
      <c r="O88" s="51"/>
      <c r="P88" s="173"/>
      <c r="Q88" s="173" t="s">
        <v>9479</v>
      </c>
    </row>
    <row r="89" spans="1:17">
      <c r="D89" s="300">
        <v>2010</v>
      </c>
      <c r="E89" s="300">
        <v>2011</v>
      </c>
      <c r="F89" s="300">
        <v>2012</v>
      </c>
      <c r="G89" s="300">
        <v>2013</v>
      </c>
      <c r="H89" s="300">
        <v>2014</v>
      </c>
      <c r="I89" s="300">
        <v>2015</v>
      </c>
      <c r="J89" s="300">
        <v>2016</v>
      </c>
      <c r="K89" s="300">
        <v>2017</v>
      </c>
      <c r="L89" s="300">
        <v>2018</v>
      </c>
      <c r="M89" s="300">
        <v>2019</v>
      </c>
      <c r="N89" s="300">
        <v>2020</v>
      </c>
      <c r="O89" s="934" t="s">
        <v>14823</v>
      </c>
      <c r="Q89" s="206" t="s">
        <v>1527</v>
      </c>
    </row>
    <row r="90" spans="1:17">
      <c r="A90" s="299" t="s">
        <v>2402</v>
      </c>
      <c r="D90" s="301">
        <f t="shared" ref="D90:K90" si="58">SUM(D91:D99,D101:D104,D106:D107,D109:D111,D113:D117,D119:D126)</f>
        <v>192497</v>
      </c>
      <c r="E90" s="301">
        <f t="shared" si="58"/>
        <v>193399</v>
      </c>
      <c r="F90" s="301">
        <f t="shared" si="58"/>
        <v>198963</v>
      </c>
      <c r="G90" s="301">
        <f t="shared" si="58"/>
        <v>200692</v>
      </c>
      <c r="H90" s="301">
        <f t="shared" si="58"/>
        <v>196986</v>
      </c>
      <c r="I90" s="301">
        <f t="shared" si="58"/>
        <v>180481</v>
      </c>
      <c r="J90" s="301">
        <f t="shared" si="58"/>
        <v>180183</v>
      </c>
      <c r="K90" s="301">
        <f t="shared" si="58"/>
        <v>189242</v>
      </c>
      <c r="L90" s="301">
        <f>SUM(L91:L99,L101:L104,L106:L107,L109:L111,L113:L117,L119:L126)</f>
        <v>178361</v>
      </c>
      <c r="M90" s="301">
        <f>SUM(M91:M99,M101:M104,M106:M107,M109:M111,M113:M117,M119:M126)</f>
        <v>174967</v>
      </c>
      <c r="N90" s="301">
        <f>SUM(N91:N99,N101:N104,N106:N107,N109:N111,N113:N117,N119:N126)</f>
        <v>174820</v>
      </c>
      <c r="O90" s="301">
        <f>SUM(O91:O99,O101:O104,O106:O107,O109:O111,O113:O117,O119:O126)</f>
        <v>191057</v>
      </c>
    </row>
    <row r="91" spans="1:17">
      <c r="A91" s="312" t="s">
        <v>5387</v>
      </c>
      <c r="B91" s="299" t="s">
        <v>12624</v>
      </c>
      <c r="C91" s="55" t="s">
        <v>12625</v>
      </c>
      <c r="D91" s="301">
        <v>60565</v>
      </c>
      <c r="E91" s="301">
        <v>60795</v>
      </c>
      <c r="F91" s="301">
        <v>61943</v>
      </c>
      <c r="G91" s="301">
        <v>62464</v>
      </c>
      <c r="H91" s="301">
        <v>60853</v>
      </c>
      <c r="I91" s="301">
        <v>55337</v>
      </c>
      <c r="J91" s="301">
        <v>55483</v>
      </c>
      <c r="K91" s="301">
        <v>58571</v>
      </c>
      <c r="L91" s="56">
        <v>4083</v>
      </c>
      <c r="M91" s="56">
        <v>4305</v>
      </c>
      <c r="N91" s="56">
        <v>4507</v>
      </c>
      <c r="O91" s="56">
        <v>5994</v>
      </c>
      <c r="Q91" s="299" t="s">
        <v>3707</v>
      </c>
    </row>
    <row r="92" spans="1:17">
      <c r="A92" s="312" t="s">
        <v>5389</v>
      </c>
      <c r="B92" s="299" t="s">
        <v>2403</v>
      </c>
      <c r="C92" s="55" t="s">
        <v>12626</v>
      </c>
      <c r="D92" s="302">
        <v>0</v>
      </c>
      <c r="E92" s="302">
        <v>0</v>
      </c>
      <c r="F92" s="302">
        <v>0</v>
      </c>
      <c r="G92" s="302">
        <v>0</v>
      </c>
      <c r="H92" s="302">
        <v>0</v>
      </c>
      <c r="I92" s="302">
        <v>0</v>
      </c>
      <c r="J92" s="302">
        <v>0</v>
      </c>
      <c r="K92" s="302">
        <v>0</v>
      </c>
      <c r="L92" s="56">
        <v>7386</v>
      </c>
      <c r="M92" s="56">
        <v>7445</v>
      </c>
      <c r="N92" s="56">
        <v>7560</v>
      </c>
      <c r="O92" s="56">
        <v>7770</v>
      </c>
      <c r="Q92" s="299" t="s">
        <v>3707</v>
      </c>
    </row>
    <row r="93" spans="1:17">
      <c r="A93" s="312" t="s">
        <v>5391</v>
      </c>
      <c r="B93" s="299" t="s">
        <v>2404</v>
      </c>
      <c r="C93" s="55" t="s">
        <v>12627</v>
      </c>
      <c r="D93" s="302">
        <v>0</v>
      </c>
      <c r="E93" s="302">
        <v>0</v>
      </c>
      <c r="F93" s="302">
        <v>0</v>
      </c>
      <c r="G93" s="302">
        <v>0</v>
      </c>
      <c r="H93" s="302">
        <v>0</v>
      </c>
      <c r="I93" s="302">
        <v>0</v>
      </c>
      <c r="J93" s="302">
        <v>0</v>
      </c>
      <c r="K93" s="302">
        <v>0</v>
      </c>
      <c r="L93" s="56">
        <v>6245</v>
      </c>
      <c r="M93" s="56">
        <v>6255</v>
      </c>
      <c r="N93" s="56">
        <v>6329</v>
      </c>
      <c r="O93" s="56">
        <v>6630</v>
      </c>
      <c r="Q93" s="299" t="s">
        <v>3707</v>
      </c>
    </row>
    <row r="94" spans="1:17">
      <c r="A94" s="312" t="s">
        <v>5393</v>
      </c>
      <c r="B94" s="299" t="s">
        <v>3813</v>
      </c>
      <c r="C94" s="55" t="s">
        <v>12628</v>
      </c>
      <c r="D94" s="301">
        <v>64647</v>
      </c>
      <c r="E94" s="301">
        <v>65203</v>
      </c>
      <c r="F94" s="301">
        <v>68908</v>
      </c>
      <c r="G94" s="301">
        <v>69589</v>
      </c>
      <c r="H94" s="301">
        <v>67945</v>
      </c>
      <c r="I94" s="301">
        <v>58557</v>
      </c>
      <c r="J94" s="301">
        <v>58407</v>
      </c>
      <c r="K94" s="301">
        <v>62469</v>
      </c>
      <c r="L94" s="58">
        <v>6155</v>
      </c>
      <c r="M94" s="58">
        <v>6114</v>
      </c>
      <c r="N94" s="58">
        <v>6054</v>
      </c>
      <c r="O94" s="58">
        <v>6406</v>
      </c>
      <c r="Q94" s="299" t="s">
        <v>3709</v>
      </c>
    </row>
    <row r="95" spans="1:17">
      <c r="A95" s="312" t="s">
        <v>5394</v>
      </c>
      <c r="B95" s="299" t="s">
        <v>12213</v>
      </c>
      <c r="C95" s="55" t="s">
        <v>12629</v>
      </c>
      <c r="D95" s="301">
        <v>67285</v>
      </c>
      <c r="E95" s="301">
        <v>67401</v>
      </c>
      <c r="F95" s="301">
        <v>68112</v>
      </c>
      <c r="G95" s="301">
        <v>68639</v>
      </c>
      <c r="H95" s="301">
        <v>68188</v>
      </c>
      <c r="I95" s="301">
        <v>66587</v>
      </c>
      <c r="J95" s="301">
        <v>66293</v>
      </c>
      <c r="K95" s="301">
        <v>68202</v>
      </c>
      <c r="L95" s="56">
        <v>6785</v>
      </c>
      <c r="M95" s="56">
        <v>6861</v>
      </c>
      <c r="N95" s="56">
        <v>6878</v>
      </c>
      <c r="O95" s="56">
        <v>7048</v>
      </c>
      <c r="Q95" s="299" t="s">
        <v>5266</v>
      </c>
    </row>
    <row r="96" spans="1:17">
      <c r="A96" s="312" t="s">
        <v>5416</v>
      </c>
      <c r="B96" s="299" t="s">
        <v>5904</v>
      </c>
      <c r="C96" s="55" t="s">
        <v>12630</v>
      </c>
      <c r="D96" s="302">
        <v>0</v>
      </c>
      <c r="E96" s="302">
        <v>0</v>
      </c>
      <c r="F96" s="302">
        <v>0</v>
      </c>
      <c r="G96" s="302">
        <v>0</v>
      </c>
      <c r="H96" s="302">
        <v>0</v>
      </c>
      <c r="I96" s="302">
        <v>0</v>
      </c>
      <c r="J96" s="302">
        <v>0</v>
      </c>
      <c r="K96" s="302">
        <v>0</v>
      </c>
      <c r="L96" s="58">
        <v>8040</v>
      </c>
      <c r="M96" s="58">
        <v>8430</v>
      </c>
      <c r="N96" s="58">
        <v>8913</v>
      </c>
      <c r="O96" s="58">
        <v>9313</v>
      </c>
      <c r="Q96" s="299" t="s">
        <v>5266</v>
      </c>
    </row>
    <row r="97" spans="1:17">
      <c r="A97" s="312" t="s">
        <v>5418</v>
      </c>
      <c r="B97" s="299" t="s">
        <v>12214</v>
      </c>
      <c r="C97" s="55" t="s">
        <v>12631</v>
      </c>
      <c r="D97" s="302">
        <v>0</v>
      </c>
      <c r="E97" s="302">
        <v>0</v>
      </c>
      <c r="F97" s="302">
        <v>0</v>
      </c>
      <c r="G97" s="302">
        <v>0</v>
      </c>
      <c r="H97" s="302">
        <v>0</v>
      </c>
      <c r="I97" s="302">
        <v>0</v>
      </c>
      <c r="J97" s="302">
        <v>0</v>
      </c>
      <c r="K97" s="302">
        <v>0</v>
      </c>
      <c r="L97" s="58">
        <v>7605</v>
      </c>
      <c r="M97" s="58">
        <v>7504</v>
      </c>
      <c r="N97" s="58">
        <v>7418</v>
      </c>
      <c r="O97" s="58">
        <v>7524</v>
      </c>
      <c r="Q97" s="299" t="s">
        <v>5266</v>
      </c>
    </row>
    <row r="98" spans="1:17">
      <c r="A98" s="312" t="s">
        <v>5420</v>
      </c>
      <c r="B98" s="299" t="s">
        <v>12212</v>
      </c>
      <c r="C98" s="55" t="s">
        <v>12632</v>
      </c>
      <c r="D98" s="302">
        <v>0</v>
      </c>
      <c r="E98" s="302">
        <v>0</v>
      </c>
      <c r="F98" s="302">
        <v>0</v>
      </c>
      <c r="G98" s="302">
        <v>0</v>
      </c>
      <c r="H98" s="302">
        <v>0</v>
      </c>
      <c r="I98" s="302">
        <v>0</v>
      </c>
      <c r="J98" s="302">
        <v>0</v>
      </c>
      <c r="K98" s="302">
        <v>0</v>
      </c>
      <c r="L98" s="56">
        <v>4237</v>
      </c>
      <c r="M98" s="56">
        <v>4155</v>
      </c>
      <c r="N98" s="56">
        <v>4205</v>
      </c>
      <c r="O98" s="56">
        <v>4312</v>
      </c>
      <c r="Q98" s="299" t="s">
        <v>3709</v>
      </c>
    </row>
    <row r="99" spans="1:17" ht="15.75" thickBot="1">
      <c r="A99" s="312"/>
      <c r="B99" s="299"/>
      <c r="C99" s="55" t="s">
        <v>12632</v>
      </c>
      <c r="D99" s="302">
        <v>0</v>
      </c>
      <c r="E99" s="302">
        <v>0</v>
      </c>
      <c r="F99" s="302">
        <v>0</v>
      </c>
      <c r="G99" s="302">
        <v>0</v>
      </c>
      <c r="H99" s="302">
        <v>0</v>
      </c>
      <c r="I99" s="302">
        <v>0</v>
      </c>
      <c r="J99" s="302">
        <v>0</v>
      </c>
      <c r="K99" s="302">
        <v>0</v>
      </c>
      <c r="L99" s="58">
        <v>3257</v>
      </c>
      <c r="M99" s="58">
        <v>3131</v>
      </c>
      <c r="N99" s="58">
        <v>3044</v>
      </c>
      <c r="O99" s="58">
        <v>3351</v>
      </c>
      <c r="Q99" s="299" t="s">
        <v>5266</v>
      </c>
    </row>
    <row r="100" spans="1:17" ht="15.75" thickBot="1">
      <c r="A100" s="312"/>
      <c r="B100" s="299"/>
      <c r="C100" s="55" t="s">
        <v>12632</v>
      </c>
      <c r="D100" s="309">
        <f>D98+D99</f>
        <v>0</v>
      </c>
      <c r="E100" s="309">
        <f t="shared" ref="E100:L100" si="59">E98+E99</f>
        <v>0</v>
      </c>
      <c r="F100" s="309">
        <f t="shared" si="59"/>
        <v>0</v>
      </c>
      <c r="G100" s="309">
        <f t="shared" si="59"/>
        <v>0</v>
      </c>
      <c r="H100" s="309">
        <f t="shared" si="59"/>
        <v>0</v>
      </c>
      <c r="I100" s="309">
        <f t="shared" si="59"/>
        <v>0</v>
      </c>
      <c r="J100" s="309">
        <f t="shared" si="59"/>
        <v>0</v>
      </c>
      <c r="K100" s="309">
        <f t="shared" si="59"/>
        <v>0</v>
      </c>
      <c r="L100" s="309">
        <f t="shared" si="59"/>
        <v>7494</v>
      </c>
      <c r="M100" s="309">
        <f>M98+M99</f>
        <v>7286</v>
      </c>
      <c r="N100" s="309">
        <f>N98+N99</f>
        <v>7249</v>
      </c>
      <c r="O100" s="309">
        <f>O98+O99</f>
        <v>7663</v>
      </c>
      <c r="Q100" s="299"/>
    </row>
    <row r="101" spans="1:17">
      <c r="A101" s="312" t="s">
        <v>12217</v>
      </c>
      <c r="B101" s="299" t="s">
        <v>12215</v>
      </c>
      <c r="C101" s="55" t="s">
        <v>12633</v>
      </c>
      <c r="D101" s="302">
        <v>0</v>
      </c>
      <c r="E101" s="302">
        <v>0</v>
      </c>
      <c r="F101" s="302">
        <v>0</v>
      </c>
      <c r="G101" s="302">
        <v>0</v>
      </c>
      <c r="H101" s="302">
        <v>0</v>
      </c>
      <c r="I101" s="302">
        <v>0</v>
      </c>
      <c r="J101" s="302">
        <v>0</v>
      </c>
      <c r="K101" s="302">
        <v>0</v>
      </c>
      <c r="L101" s="56">
        <v>8417</v>
      </c>
      <c r="M101" s="56">
        <v>8393</v>
      </c>
      <c r="N101" s="56">
        <v>8434</v>
      </c>
      <c r="O101" s="56">
        <v>8693</v>
      </c>
      <c r="Q101" s="299" t="s">
        <v>5266</v>
      </c>
    </row>
    <row r="102" spans="1:17">
      <c r="A102" s="312" t="s">
        <v>5424</v>
      </c>
      <c r="B102" s="299" t="s">
        <v>3814</v>
      </c>
      <c r="C102" s="55" t="s">
        <v>12634</v>
      </c>
      <c r="D102" s="302">
        <v>0</v>
      </c>
      <c r="E102" s="302">
        <v>0</v>
      </c>
      <c r="F102" s="302">
        <v>0</v>
      </c>
      <c r="G102" s="302">
        <v>0</v>
      </c>
      <c r="H102" s="302">
        <v>0</v>
      </c>
      <c r="I102" s="302">
        <v>0</v>
      </c>
      <c r="J102" s="302">
        <v>0</v>
      </c>
      <c r="K102" s="302">
        <v>0</v>
      </c>
      <c r="L102" s="56">
        <v>6410</v>
      </c>
      <c r="M102" s="56">
        <v>6355</v>
      </c>
      <c r="N102" s="56">
        <v>6417</v>
      </c>
      <c r="O102" s="56">
        <v>6757</v>
      </c>
      <c r="Q102" s="299" t="s">
        <v>3707</v>
      </c>
    </row>
    <row r="103" spans="1:17">
      <c r="A103" s="312" t="s">
        <v>5426</v>
      </c>
      <c r="B103" s="299" t="s">
        <v>12210</v>
      </c>
      <c r="C103" s="55" t="s">
        <v>12635</v>
      </c>
      <c r="D103" s="302">
        <v>0</v>
      </c>
      <c r="E103" s="302">
        <v>0</v>
      </c>
      <c r="F103" s="302">
        <v>0</v>
      </c>
      <c r="G103" s="302">
        <v>0</v>
      </c>
      <c r="H103" s="302">
        <v>0</v>
      </c>
      <c r="I103" s="302">
        <v>0</v>
      </c>
      <c r="J103" s="302">
        <v>0</v>
      </c>
      <c r="K103" s="302">
        <v>0</v>
      </c>
      <c r="L103" s="58">
        <v>2300</v>
      </c>
      <c r="M103" s="58">
        <v>2287</v>
      </c>
      <c r="N103" s="58">
        <v>2329</v>
      </c>
      <c r="O103" s="58">
        <v>2401</v>
      </c>
      <c r="Q103" s="299" t="s">
        <v>3707</v>
      </c>
    </row>
    <row r="104" spans="1:17" ht="15.75" thickBot="1">
      <c r="A104" s="312"/>
      <c r="B104" s="299"/>
      <c r="C104" s="55" t="s">
        <v>12635</v>
      </c>
      <c r="D104" s="302">
        <v>0</v>
      </c>
      <c r="E104" s="302">
        <v>0</v>
      </c>
      <c r="F104" s="302">
        <v>0</v>
      </c>
      <c r="G104" s="302">
        <v>0</v>
      </c>
      <c r="H104" s="302">
        <v>0</v>
      </c>
      <c r="I104" s="302">
        <v>0</v>
      </c>
      <c r="J104" s="302">
        <v>0</v>
      </c>
      <c r="K104" s="302">
        <v>0</v>
      </c>
      <c r="L104" s="58">
        <v>4884</v>
      </c>
      <c r="M104" s="58">
        <v>4779</v>
      </c>
      <c r="N104" s="58">
        <v>4744</v>
      </c>
      <c r="O104" s="58">
        <v>4908</v>
      </c>
      <c r="Q104" s="299" t="s">
        <v>5266</v>
      </c>
    </row>
    <row r="105" spans="1:17" ht="15.75" thickBot="1">
      <c r="A105" s="312"/>
      <c r="B105" s="299"/>
      <c r="C105" s="55" t="s">
        <v>12635</v>
      </c>
      <c r="D105" s="309">
        <f t="shared" ref="D105:L105" si="60">D103+D104</f>
        <v>0</v>
      </c>
      <c r="E105" s="309">
        <f t="shared" si="60"/>
        <v>0</v>
      </c>
      <c r="F105" s="309">
        <f t="shared" si="60"/>
        <v>0</v>
      </c>
      <c r="G105" s="309">
        <f t="shared" si="60"/>
        <v>0</v>
      </c>
      <c r="H105" s="309">
        <f t="shared" si="60"/>
        <v>0</v>
      </c>
      <c r="I105" s="309">
        <f t="shared" si="60"/>
        <v>0</v>
      </c>
      <c r="J105" s="309">
        <f t="shared" si="60"/>
        <v>0</v>
      </c>
      <c r="K105" s="309">
        <f t="shared" si="60"/>
        <v>0</v>
      </c>
      <c r="L105" s="309">
        <f t="shared" si="60"/>
        <v>7184</v>
      </c>
      <c r="M105" s="309">
        <f>M103+M104</f>
        <v>7066</v>
      </c>
      <c r="N105" s="309">
        <f>N103+N104</f>
        <v>7073</v>
      </c>
      <c r="O105" s="309">
        <f>O103+O104</f>
        <v>7309</v>
      </c>
      <c r="Q105" s="299"/>
    </row>
    <row r="106" spans="1:17">
      <c r="A106" s="312" t="s">
        <v>5428</v>
      </c>
      <c r="B106" s="299" t="s">
        <v>2126</v>
      </c>
      <c r="C106" s="55" t="s">
        <v>12636</v>
      </c>
      <c r="D106" s="302">
        <v>0</v>
      </c>
      <c r="E106" s="302">
        <v>0</v>
      </c>
      <c r="F106" s="302">
        <v>0</v>
      </c>
      <c r="G106" s="302">
        <v>0</v>
      </c>
      <c r="H106" s="302">
        <v>0</v>
      </c>
      <c r="I106" s="302">
        <v>0</v>
      </c>
      <c r="J106" s="302">
        <v>0</v>
      </c>
      <c r="K106" s="302">
        <v>0</v>
      </c>
      <c r="L106" s="56">
        <v>4980</v>
      </c>
      <c r="M106" s="56">
        <v>4898</v>
      </c>
      <c r="N106" s="56">
        <v>4958</v>
      </c>
      <c r="O106" s="56">
        <v>5109</v>
      </c>
      <c r="Q106" s="299" t="s">
        <v>3707</v>
      </c>
    </row>
    <row r="107" spans="1:17" ht="15.75" thickBot="1">
      <c r="A107" s="312"/>
      <c r="B107" s="299"/>
      <c r="C107" s="55" t="s">
        <v>12636</v>
      </c>
      <c r="D107" s="302">
        <v>0</v>
      </c>
      <c r="E107" s="302">
        <v>0</v>
      </c>
      <c r="F107" s="302">
        <v>0</v>
      </c>
      <c r="G107" s="302">
        <v>0</v>
      </c>
      <c r="H107" s="302">
        <v>0</v>
      </c>
      <c r="I107" s="302">
        <v>0</v>
      </c>
      <c r="J107" s="302">
        <v>0</v>
      </c>
      <c r="K107" s="302">
        <v>0</v>
      </c>
      <c r="L107" s="56">
        <v>2696</v>
      </c>
      <c r="M107" s="56">
        <v>2637</v>
      </c>
      <c r="N107" s="56">
        <v>2682</v>
      </c>
      <c r="O107" s="56">
        <v>2780</v>
      </c>
      <c r="Q107" s="299" t="s">
        <v>5266</v>
      </c>
    </row>
    <row r="108" spans="1:17" ht="15.75" thickBot="1">
      <c r="A108" s="312"/>
      <c r="B108" s="299"/>
      <c r="C108" s="55" t="s">
        <v>12636</v>
      </c>
      <c r="D108" s="309">
        <f t="shared" ref="D108:L108" si="61">D106+D107</f>
        <v>0</v>
      </c>
      <c r="E108" s="309">
        <f t="shared" si="61"/>
        <v>0</v>
      </c>
      <c r="F108" s="309">
        <f t="shared" si="61"/>
        <v>0</v>
      </c>
      <c r="G108" s="309">
        <f t="shared" si="61"/>
        <v>0</v>
      </c>
      <c r="H108" s="309">
        <f t="shared" si="61"/>
        <v>0</v>
      </c>
      <c r="I108" s="309">
        <f t="shared" si="61"/>
        <v>0</v>
      </c>
      <c r="J108" s="309">
        <f t="shared" si="61"/>
        <v>0</v>
      </c>
      <c r="K108" s="309">
        <f t="shared" si="61"/>
        <v>0</v>
      </c>
      <c r="L108" s="309">
        <f t="shared" si="61"/>
        <v>7676</v>
      </c>
      <c r="M108" s="309">
        <f>M106+M107</f>
        <v>7535</v>
      </c>
      <c r="N108" s="309">
        <f>N106+N107</f>
        <v>7640</v>
      </c>
      <c r="O108" s="309">
        <f>O106+O107</f>
        <v>7889</v>
      </c>
      <c r="Q108" s="299"/>
    </row>
    <row r="109" spans="1:17">
      <c r="A109" s="312" t="s">
        <v>5429</v>
      </c>
      <c r="B109" s="299" t="s">
        <v>1612</v>
      </c>
      <c r="C109" s="55" t="s">
        <v>12637</v>
      </c>
      <c r="D109" s="302">
        <v>0</v>
      </c>
      <c r="E109" s="302">
        <v>0</v>
      </c>
      <c r="F109" s="302">
        <v>0</v>
      </c>
      <c r="G109" s="302">
        <v>0</v>
      </c>
      <c r="H109" s="302">
        <v>0</v>
      </c>
      <c r="I109" s="302">
        <v>0</v>
      </c>
      <c r="J109" s="302">
        <v>0</v>
      </c>
      <c r="K109" s="302">
        <v>0</v>
      </c>
      <c r="L109" s="56">
        <v>7715</v>
      </c>
      <c r="M109" s="56">
        <v>7053</v>
      </c>
      <c r="N109" s="56">
        <v>6794</v>
      </c>
      <c r="O109" s="56">
        <v>8106</v>
      </c>
      <c r="Q109" s="299" t="s">
        <v>3709</v>
      </c>
    </row>
    <row r="110" spans="1:17">
      <c r="A110" s="312" t="s">
        <v>5431</v>
      </c>
      <c r="B110" s="299" t="s">
        <v>3992</v>
      </c>
      <c r="C110" s="55" t="s">
        <v>12638</v>
      </c>
      <c r="D110" s="302">
        <v>0</v>
      </c>
      <c r="E110" s="302">
        <v>0</v>
      </c>
      <c r="F110" s="302">
        <v>0</v>
      </c>
      <c r="G110" s="302">
        <v>0</v>
      </c>
      <c r="H110" s="302">
        <v>0</v>
      </c>
      <c r="I110" s="302">
        <v>0</v>
      </c>
      <c r="J110" s="302">
        <v>0</v>
      </c>
      <c r="K110" s="302">
        <v>0</v>
      </c>
      <c r="L110" s="56">
        <v>5103</v>
      </c>
      <c r="M110" s="56">
        <v>5077</v>
      </c>
      <c r="N110" s="56">
        <v>5061</v>
      </c>
      <c r="O110" s="56">
        <v>5198</v>
      </c>
      <c r="Q110" s="299" t="s">
        <v>3707</v>
      </c>
    </row>
    <row r="111" spans="1:17" ht="15.75" thickBot="1">
      <c r="A111" s="312"/>
      <c r="B111" s="299"/>
      <c r="C111" s="55" t="s">
        <v>12638</v>
      </c>
      <c r="D111" s="302">
        <v>0</v>
      </c>
      <c r="E111" s="302">
        <v>0</v>
      </c>
      <c r="F111" s="302">
        <v>0</v>
      </c>
      <c r="G111" s="302">
        <v>0</v>
      </c>
      <c r="H111" s="302">
        <v>0</v>
      </c>
      <c r="I111" s="302">
        <v>0</v>
      </c>
      <c r="J111" s="302">
        <v>0</v>
      </c>
      <c r="K111" s="302">
        <v>0</v>
      </c>
      <c r="L111" s="56">
        <v>1999</v>
      </c>
      <c r="M111" s="56">
        <v>2063</v>
      </c>
      <c r="N111" s="56">
        <v>2067</v>
      </c>
      <c r="O111" s="56">
        <v>2138</v>
      </c>
      <c r="Q111" s="299" t="s">
        <v>5266</v>
      </c>
    </row>
    <row r="112" spans="1:17" ht="15.75" thickBot="1">
      <c r="A112" s="312"/>
      <c r="B112" s="299"/>
      <c r="C112" s="55" t="s">
        <v>12638</v>
      </c>
      <c r="D112" s="309">
        <f t="shared" ref="D112:L112" si="62">D110+D111</f>
        <v>0</v>
      </c>
      <c r="E112" s="309">
        <f t="shared" si="62"/>
        <v>0</v>
      </c>
      <c r="F112" s="309">
        <f t="shared" si="62"/>
        <v>0</v>
      </c>
      <c r="G112" s="309">
        <f t="shared" si="62"/>
        <v>0</v>
      </c>
      <c r="H112" s="309">
        <f t="shared" si="62"/>
        <v>0</v>
      </c>
      <c r="I112" s="309">
        <f t="shared" si="62"/>
        <v>0</v>
      </c>
      <c r="J112" s="309">
        <f t="shared" si="62"/>
        <v>0</v>
      </c>
      <c r="K112" s="309">
        <f t="shared" si="62"/>
        <v>0</v>
      </c>
      <c r="L112" s="309">
        <f t="shared" si="62"/>
        <v>7102</v>
      </c>
      <c r="M112" s="309">
        <f>M110+M111</f>
        <v>7140</v>
      </c>
      <c r="N112" s="309">
        <f>N110+N111</f>
        <v>7128</v>
      </c>
      <c r="O112" s="309">
        <f>O110+O111</f>
        <v>7336</v>
      </c>
      <c r="Q112" s="299"/>
    </row>
    <row r="113" spans="1:17">
      <c r="A113" s="312" t="s">
        <v>5433</v>
      </c>
      <c r="B113" s="299" t="s">
        <v>12216</v>
      </c>
      <c r="C113" s="55" t="s">
        <v>12639</v>
      </c>
      <c r="D113" s="302">
        <v>0</v>
      </c>
      <c r="E113" s="302">
        <v>0</v>
      </c>
      <c r="F113" s="302">
        <v>0</v>
      </c>
      <c r="G113" s="302">
        <v>0</v>
      </c>
      <c r="H113" s="302">
        <v>0</v>
      </c>
      <c r="I113" s="302">
        <v>0</v>
      </c>
      <c r="J113" s="302">
        <v>0</v>
      </c>
      <c r="K113" s="302">
        <v>0</v>
      </c>
      <c r="L113" s="56">
        <v>6699</v>
      </c>
      <c r="M113" s="56">
        <v>6773</v>
      </c>
      <c r="N113" s="56">
        <v>6807</v>
      </c>
      <c r="O113" s="56">
        <v>7055</v>
      </c>
      <c r="Q113" s="299" t="s">
        <v>5266</v>
      </c>
    </row>
    <row r="114" spans="1:17">
      <c r="A114" s="312" t="s">
        <v>5435</v>
      </c>
      <c r="B114" s="299" t="s">
        <v>3815</v>
      </c>
      <c r="C114" s="55" t="s">
        <v>12640</v>
      </c>
      <c r="D114" s="302">
        <v>0</v>
      </c>
      <c r="E114" s="302">
        <v>0</v>
      </c>
      <c r="F114" s="302">
        <v>0</v>
      </c>
      <c r="G114" s="302">
        <v>0</v>
      </c>
      <c r="H114" s="302">
        <v>0</v>
      </c>
      <c r="I114" s="302">
        <v>0</v>
      </c>
      <c r="J114" s="302">
        <v>0</v>
      </c>
      <c r="K114" s="302">
        <v>0</v>
      </c>
      <c r="L114" s="56">
        <v>7113</v>
      </c>
      <c r="M114" s="56">
        <v>7064</v>
      </c>
      <c r="N114" s="56">
        <v>7108</v>
      </c>
      <c r="O114" s="56">
        <v>7298</v>
      </c>
      <c r="Q114" s="299" t="s">
        <v>5266</v>
      </c>
    </row>
    <row r="115" spans="1:17">
      <c r="A115" s="312" t="s">
        <v>5436</v>
      </c>
      <c r="B115" s="299" t="s">
        <v>67</v>
      </c>
      <c r="C115" s="55" t="s">
        <v>12641</v>
      </c>
      <c r="D115" s="302">
        <v>0</v>
      </c>
      <c r="E115" s="302">
        <v>0</v>
      </c>
      <c r="F115" s="302">
        <v>0</v>
      </c>
      <c r="G115" s="302">
        <v>0</v>
      </c>
      <c r="H115" s="302">
        <v>0</v>
      </c>
      <c r="I115" s="302">
        <v>0</v>
      </c>
      <c r="J115" s="302">
        <v>0</v>
      </c>
      <c r="K115" s="302">
        <v>0</v>
      </c>
      <c r="L115" s="56">
        <v>7041</v>
      </c>
      <c r="M115" s="56">
        <v>6948</v>
      </c>
      <c r="N115" s="56">
        <v>6959</v>
      </c>
      <c r="O115" s="56">
        <v>7201</v>
      </c>
      <c r="Q115" s="299" t="s">
        <v>3709</v>
      </c>
    </row>
    <row r="116" spans="1:17">
      <c r="A116" s="312" t="s">
        <v>5437</v>
      </c>
      <c r="B116" s="299" t="s">
        <v>680</v>
      </c>
      <c r="C116" s="55" t="s">
        <v>12642</v>
      </c>
      <c r="D116" s="302">
        <v>0</v>
      </c>
      <c r="E116" s="302">
        <v>0</v>
      </c>
      <c r="F116" s="302">
        <v>0</v>
      </c>
      <c r="G116" s="302">
        <v>0</v>
      </c>
      <c r="H116" s="302">
        <v>0</v>
      </c>
      <c r="I116" s="302">
        <v>0</v>
      </c>
      <c r="J116" s="302">
        <v>0</v>
      </c>
      <c r="K116" s="302">
        <v>0</v>
      </c>
      <c r="L116" s="58">
        <v>3180</v>
      </c>
      <c r="M116" s="58">
        <v>3088</v>
      </c>
      <c r="N116" s="58">
        <v>3117</v>
      </c>
      <c r="O116" s="58">
        <v>3970</v>
      </c>
      <c r="Q116" s="299" t="s">
        <v>3707</v>
      </c>
    </row>
    <row r="117" spans="1:17" ht="15.75" thickBot="1">
      <c r="A117" s="312"/>
      <c r="B117" s="299"/>
      <c r="C117" s="55" t="s">
        <v>12642</v>
      </c>
      <c r="D117" s="302">
        <v>0</v>
      </c>
      <c r="E117" s="302">
        <v>0</v>
      </c>
      <c r="F117" s="302">
        <v>0</v>
      </c>
      <c r="G117" s="302">
        <v>0</v>
      </c>
      <c r="H117" s="302">
        <v>0</v>
      </c>
      <c r="I117" s="302">
        <v>0</v>
      </c>
      <c r="J117" s="302">
        <v>0</v>
      </c>
      <c r="K117" s="302">
        <v>0</v>
      </c>
      <c r="L117" s="56">
        <v>1040</v>
      </c>
      <c r="M117" s="56">
        <v>930</v>
      </c>
      <c r="N117" s="56">
        <v>870</v>
      </c>
      <c r="O117" s="56">
        <v>1624</v>
      </c>
      <c r="Q117" s="299" t="s">
        <v>3709</v>
      </c>
    </row>
    <row r="118" spans="1:17" ht="15.75" thickBot="1">
      <c r="A118" s="312"/>
      <c r="B118" s="299"/>
      <c r="C118" s="55" t="s">
        <v>12642</v>
      </c>
      <c r="D118" s="309">
        <f t="shared" ref="D118:L118" si="63">D116+D117</f>
        <v>0</v>
      </c>
      <c r="E118" s="309">
        <f t="shared" si="63"/>
        <v>0</v>
      </c>
      <c r="F118" s="309">
        <f t="shared" si="63"/>
        <v>0</v>
      </c>
      <c r="G118" s="309">
        <f t="shared" si="63"/>
        <v>0</v>
      </c>
      <c r="H118" s="309">
        <f t="shared" si="63"/>
        <v>0</v>
      </c>
      <c r="I118" s="309">
        <f t="shared" si="63"/>
        <v>0</v>
      </c>
      <c r="J118" s="309">
        <f t="shared" si="63"/>
        <v>0</v>
      </c>
      <c r="K118" s="309">
        <f t="shared" si="63"/>
        <v>0</v>
      </c>
      <c r="L118" s="309">
        <f t="shared" si="63"/>
        <v>4220</v>
      </c>
      <c r="M118" s="309">
        <f>M116+M117</f>
        <v>4018</v>
      </c>
      <c r="N118" s="309">
        <f>N116+N117</f>
        <v>3987</v>
      </c>
      <c r="O118" s="309">
        <f>O116+O117</f>
        <v>5594</v>
      </c>
      <c r="Q118" s="299"/>
    </row>
    <row r="119" spans="1:17">
      <c r="A119" s="312" t="s">
        <v>5439</v>
      </c>
      <c r="B119" s="299" t="s">
        <v>3816</v>
      </c>
      <c r="C119" s="55" t="s">
        <v>12643</v>
      </c>
      <c r="D119" s="302">
        <v>0</v>
      </c>
      <c r="E119" s="302">
        <v>0</v>
      </c>
      <c r="F119" s="302">
        <v>0</v>
      </c>
      <c r="G119" s="302">
        <v>0</v>
      </c>
      <c r="H119" s="302">
        <v>0</v>
      </c>
      <c r="I119" s="302">
        <v>0</v>
      </c>
      <c r="J119" s="302">
        <v>0</v>
      </c>
      <c r="K119" s="302">
        <v>0</v>
      </c>
      <c r="L119" s="56">
        <v>6238</v>
      </c>
      <c r="M119" s="56">
        <v>5284</v>
      </c>
      <c r="N119" s="56">
        <v>4711</v>
      </c>
      <c r="O119" s="56">
        <v>6990</v>
      </c>
      <c r="Q119" s="299" t="s">
        <v>3709</v>
      </c>
    </row>
    <row r="120" spans="1:17">
      <c r="A120" s="312" t="s">
        <v>5441</v>
      </c>
      <c r="B120" s="299" t="s">
        <v>5607</v>
      </c>
      <c r="C120" s="55" t="s">
        <v>12644</v>
      </c>
      <c r="D120" s="302">
        <v>0</v>
      </c>
      <c r="E120" s="302">
        <v>0</v>
      </c>
      <c r="F120" s="302">
        <v>0</v>
      </c>
      <c r="G120" s="302">
        <v>0</v>
      </c>
      <c r="H120" s="302">
        <v>0</v>
      </c>
      <c r="I120" s="302">
        <v>0</v>
      </c>
      <c r="J120" s="302">
        <v>0</v>
      </c>
      <c r="K120" s="302">
        <v>0</v>
      </c>
      <c r="L120" s="58">
        <v>5204</v>
      </c>
      <c r="M120" s="58">
        <v>4742</v>
      </c>
      <c r="N120" s="58">
        <v>4579</v>
      </c>
      <c r="O120" s="58">
        <v>6819</v>
      </c>
      <c r="Q120" s="299" t="s">
        <v>3709</v>
      </c>
    </row>
    <row r="121" spans="1:17">
      <c r="A121" s="312" t="s">
        <v>5886</v>
      </c>
      <c r="B121" s="299" t="s">
        <v>4839</v>
      </c>
      <c r="C121" s="55" t="s">
        <v>12645</v>
      </c>
      <c r="D121" s="302">
        <v>0</v>
      </c>
      <c r="E121" s="302">
        <v>0</v>
      </c>
      <c r="F121" s="302">
        <v>0</v>
      </c>
      <c r="G121" s="302">
        <v>0</v>
      </c>
      <c r="H121" s="302">
        <v>0</v>
      </c>
      <c r="I121" s="302">
        <v>0</v>
      </c>
      <c r="J121" s="302">
        <v>0</v>
      </c>
      <c r="K121" s="302">
        <v>0</v>
      </c>
      <c r="L121" s="58">
        <v>8569</v>
      </c>
      <c r="M121" s="58">
        <v>8511</v>
      </c>
      <c r="N121" s="58">
        <v>8626</v>
      </c>
      <c r="O121" s="58">
        <v>8924</v>
      </c>
      <c r="Q121" s="299" t="s">
        <v>5266</v>
      </c>
    </row>
    <row r="122" spans="1:17">
      <c r="A122" s="312" t="s">
        <v>5888</v>
      </c>
      <c r="B122" s="299" t="s">
        <v>3817</v>
      </c>
      <c r="C122" s="55" t="s">
        <v>12646</v>
      </c>
      <c r="D122" s="302">
        <v>0</v>
      </c>
      <c r="E122" s="302">
        <v>0</v>
      </c>
      <c r="F122" s="302">
        <v>0</v>
      </c>
      <c r="G122" s="302">
        <v>0</v>
      </c>
      <c r="H122" s="302">
        <v>0</v>
      </c>
      <c r="I122" s="302">
        <v>0</v>
      </c>
      <c r="J122" s="302">
        <v>0</v>
      </c>
      <c r="K122" s="302">
        <v>0</v>
      </c>
      <c r="L122" s="56">
        <v>6339</v>
      </c>
      <c r="M122" s="56">
        <v>5329</v>
      </c>
      <c r="N122" s="56">
        <v>4913</v>
      </c>
      <c r="O122" s="56">
        <v>6878</v>
      </c>
      <c r="Q122" s="299" t="s">
        <v>3709</v>
      </c>
    </row>
    <row r="123" spans="1:17">
      <c r="A123" s="312" t="s">
        <v>5889</v>
      </c>
      <c r="B123" s="299" t="s">
        <v>3818</v>
      </c>
      <c r="C123" s="55" t="s">
        <v>12647</v>
      </c>
      <c r="D123" s="302">
        <v>0</v>
      </c>
      <c r="E123" s="302">
        <v>0</v>
      </c>
      <c r="F123" s="302">
        <v>0</v>
      </c>
      <c r="G123" s="302">
        <v>0</v>
      </c>
      <c r="H123" s="302">
        <v>0</v>
      </c>
      <c r="I123" s="302">
        <v>0</v>
      </c>
      <c r="J123" s="302">
        <v>0</v>
      </c>
      <c r="K123" s="302">
        <v>0</v>
      </c>
      <c r="L123" s="58">
        <v>6700</v>
      </c>
      <c r="M123" s="58">
        <v>6724</v>
      </c>
      <c r="N123" s="58">
        <v>6755</v>
      </c>
      <c r="O123" s="58">
        <v>6970</v>
      </c>
      <c r="Q123" s="299" t="s">
        <v>3709</v>
      </c>
    </row>
    <row r="124" spans="1:17">
      <c r="A124" s="312" t="s">
        <v>4431</v>
      </c>
      <c r="B124" s="299" t="s">
        <v>3819</v>
      </c>
      <c r="C124" s="55" t="s">
        <v>12648</v>
      </c>
      <c r="D124" s="302">
        <v>0</v>
      </c>
      <c r="E124" s="302">
        <v>0</v>
      </c>
      <c r="F124" s="302">
        <v>0</v>
      </c>
      <c r="G124" s="302">
        <v>0</v>
      </c>
      <c r="H124" s="302">
        <v>0</v>
      </c>
      <c r="I124" s="302">
        <v>0</v>
      </c>
      <c r="J124" s="302">
        <v>0</v>
      </c>
      <c r="K124" s="302">
        <v>0</v>
      </c>
      <c r="L124" s="56">
        <v>8208</v>
      </c>
      <c r="M124" s="56">
        <v>8180</v>
      </c>
      <c r="N124" s="56">
        <v>8202</v>
      </c>
      <c r="O124" s="56">
        <v>8417</v>
      </c>
      <c r="Q124" s="299" t="s">
        <v>3709</v>
      </c>
    </row>
    <row r="125" spans="1:17">
      <c r="A125" s="312" t="s">
        <v>4432</v>
      </c>
      <c r="B125" s="299" t="s">
        <v>12211</v>
      </c>
      <c r="C125" s="55" t="s">
        <v>12649</v>
      </c>
      <c r="D125" s="302">
        <v>0</v>
      </c>
      <c r="E125" s="302">
        <v>0</v>
      </c>
      <c r="F125" s="302">
        <v>0</v>
      </c>
      <c r="G125" s="302">
        <v>0</v>
      </c>
      <c r="H125" s="302">
        <v>0</v>
      </c>
      <c r="I125" s="302">
        <v>0</v>
      </c>
      <c r="J125" s="302">
        <v>0</v>
      </c>
      <c r="K125" s="302">
        <v>0</v>
      </c>
      <c r="L125" s="56">
        <v>7008</v>
      </c>
      <c r="M125" s="56">
        <v>6894</v>
      </c>
      <c r="N125" s="56">
        <v>6938</v>
      </c>
      <c r="O125" s="56">
        <v>7129</v>
      </c>
      <c r="Q125" s="299" t="s">
        <v>3707</v>
      </c>
    </row>
    <row r="126" spans="1:17">
      <c r="A126" s="312" t="s">
        <v>4434</v>
      </c>
      <c r="B126" s="299" t="s">
        <v>3820</v>
      </c>
      <c r="C126" s="55" t="s">
        <v>12650</v>
      </c>
      <c r="D126" s="302">
        <v>0</v>
      </c>
      <c r="E126" s="302">
        <v>0</v>
      </c>
      <c r="F126" s="302">
        <v>0</v>
      </c>
      <c r="G126" s="302">
        <v>0</v>
      </c>
      <c r="H126" s="302">
        <v>0</v>
      </c>
      <c r="I126" s="302">
        <v>0</v>
      </c>
      <c r="J126" s="302">
        <v>0</v>
      </c>
      <c r="K126" s="302">
        <v>0</v>
      </c>
      <c r="L126" s="58">
        <v>6725</v>
      </c>
      <c r="M126" s="58">
        <v>6758</v>
      </c>
      <c r="N126" s="58">
        <v>6841</v>
      </c>
      <c r="O126" s="58">
        <v>7344</v>
      </c>
      <c r="Q126" s="299" t="s">
        <v>3707</v>
      </c>
    </row>
    <row r="127" spans="1:17">
      <c r="D127" s="302"/>
      <c r="E127" s="302"/>
      <c r="F127" s="302"/>
      <c r="G127" s="302"/>
      <c r="H127" s="302"/>
      <c r="I127" s="302"/>
      <c r="J127" s="302"/>
      <c r="K127" s="302"/>
      <c r="L127" s="302"/>
      <c r="M127" s="302"/>
      <c r="N127" s="302"/>
      <c r="O127" s="302"/>
    </row>
    <row r="128" spans="1:17">
      <c r="A128" s="299" t="s">
        <v>3707</v>
      </c>
      <c r="D128" s="301">
        <f t="shared" ref="D128:L128" si="64">SUM(D91:D93)+D102+D103+D106+D110+D116+D125+D126</f>
        <v>60565</v>
      </c>
      <c r="E128" s="301">
        <f t="shared" si="64"/>
        <v>60795</v>
      </c>
      <c r="F128" s="301">
        <f t="shared" si="64"/>
        <v>61943</v>
      </c>
      <c r="G128" s="301">
        <f t="shared" si="64"/>
        <v>62464</v>
      </c>
      <c r="H128" s="301">
        <f t="shared" si="64"/>
        <v>60853</v>
      </c>
      <c r="I128" s="301">
        <f t="shared" si="64"/>
        <v>55337</v>
      </c>
      <c r="J128" s="301">
        <f t="shared" si="64"/>
        <v>55483</v>
      </c>
      <c r="K128" s="301">
        <f t="shared" si="64"/>
        <v>58571</v>
      </c>
      <c r="L128" s="301">
        <f t="shared" si="64"/>
        <v>53420</v>
      </c>
      <c r="M128" s="301">
        <f>SUM(M91:M93)+M102+M103+M106+M110+M116+M125+M126</f>
        <v>53362</v>
      </c>
      <c r="N128" s="301">
        <f>SUM(N91:N93)+N102+N103+N106+N110+N116+N125+N126</f>
        <v>54057</v>
      </c>
      <c r="O128" s="301">
        <f>SUM(O91:O93)+O102+O103+O106+O110+O116+O125+O126</f>
        <v>58302</v>
      </c>
    </row>
    <row r="129" spans="1:17">
      <c r="A129" s="299" t="s">
        <v>3709</v>
      </c>
      <c r="D129" s="301">
        <f t="shared" ref="D129:L129" si="65">D94+D98+D109+D115+D117+D119+D120+D122+D123+D124</f>
        <v>64647</v>
      </c>
      <c r="E129" s="301">
        <f t="shared" si="65"/>
        <v>65203</v>
      </c>
      <c r="F129" s="301">
        <f t="shared" si="65"/>
        <v>68908</v>
      </c>
      <c r="G129" s="301">
        <f t="shared" si="65"/>
        <v>69589</v>
      </c>
      <c r="H129" s="301">
        <f t="shared" si="65"/>
        <v>67945</v>
      </c>
      <c r="I129" s="301">
        <f t="shared" si="65"/>
        <v>58557</v>
      </c>
      <c r="J129" s="301">
        <f t="shared" si="65"/>
        <v>58407</v>
      </c>
      <c r="K129" s="301">
        <f t="shared" si="65"/>
        <v>62469</v>
      </c>
      <c r="L129" s="301">
        <f t="shared" si="65"/>
        <v>58877</v>
      </c>
      <c r="M129" s="301">
        <f>M94+M98+M109+M115+M117+M119+M120+M122+M123+M124</f>
        <v>55459</v>
      </c>
      <c r="N129" s="301">
        <f>N94+N98+N109+N115+N117+N119+N120+N122+N123+N124</f>
        <v>54042</v>
      </c>
      <c r="O129" s="301">
        <f>O94+O98+O109+O115+O117+O119+O120+O122+O123+O124</f>
        <v>63723</v>
      </c>
    </row>
    <row r="130" spans="1:17">
      <c r="A130" s="299" t="s">
        <v>5266</v>
      </c>
      <c r="D130" s="301">
        <f t="shared" ref="D130:L130" si="66">D95+D96+D97+D99+D101+D104+D107+D111+D113+D114+D121</f>
        <v>67285</v>
      </c>
      <c r="E130" s="301">
        <f t="shared" si="66"/>
        <v>67401</v>
      </c>
      <c r="F130" s="301">
        <f t="shared" si="66"/>
        <v>68112</v>
      </c>
      <c r="G130" s="301">
        <f t="shared" si="66"/>
        <v>68639</v>
      </c>
      <c r="H130" s="301">
        <f t="shared" si="66"/>
        <v>68188</v>
      </c>
      <c r="I130" s="301">
        <f t="shared" si="66"/>
        <v>66587</v>
      </c>
      <c r="J130" s="301">
        <f t="shared" si="66"/>
        <v>66293</v>
      </c>
      <c r="K130" s="301">
        <f t="shared" si="66"/>
        <v>68202</v>
      </c>
      <c r="L130" s="301">
        <f t="shared" si="66"/>
        <v>66064</v>
      </c>
      <c r="M130" s="301">
        <f>M95+M96+M97+M99+M101+M104+M107+M111+M113+M114+M121</f>
        <v>66146</v>
      </c>
      <c r="N130" s="301">
        <f>N95+N96+N97+N99+N101+N104+N107+N111+N113+N114+N121</f>
        <v>66721</v>
      </c>
      <c r="O130" s="301">
        <f>O95+O96+O97+O99+O101+O104+O107+O111+O113+O114+O121</f>
        <v>69032</v>
      </c>
    </row>
    <row r="131" spans="1:17">
      <c r="A131" s="299"/>
      <c r="B131" s="299"/>
      <c r="D131" s="301"/>
      <c r="E131" s="301"/>
      <c r="F131" s="301"/>
      <c r="G131" s="301"/>
      <c r="H131" s="301"/>
      <c r="I131" s="301"/>
      <c r="J131" s="301"/>
      <c r="K131" s="301"/>
      <c r="L131" s="301"/>
      <c r="M131" s="301"/>
      <c r="N131" s="301"/>
      <c r="O131" s="301"/>
    </row>
    <row r="132" spans="1:17">
      <c r="A132" s="118" t="s">
        <v>12218</v>
      </c>
    </row>
    <row r="135" spans="1:17">
      <c r="E135" s="51" t="s">
        <v>1526</v>
      </c>
      <c r="F135" s="51"/>
      <c r="G135" s="51"/>
      <c r="H135" s="51"/>
      <c r="I135" s="51"/>
      <c r="J135" s="51"/>
      <c r="K135" s="51"/>
      <c r="L135" s="51"/>
      <c r="M135" s="51"/>
      <c r="N135" s="51"/>
      <c r="O135" s="51"/>
      <c r="P135" s="173"/>
      <c r="Q135" s="173" t="s">
        <v>9479</v>
      </c>
    </row>
    <row r="136" spans="1:17">
      <c r="D136" s="300">
        <v>2010</v>
      </c>
      <c r="E136" s="300">
        <v>2011</v>
      </c>
      <c r="F136" s="300">
        <v>2012</v>
      </c>
      <c r="G136" s="300">
        <v>2013</v>
      </c>
      <c r="H136" s="300">
        <v>2014</v>
      </c>
      <c r="I136" s="300">
        <v>2015</v>
      </c>
      <c r="J136" s="300">
        <v>2016</v>
      </c>
      <c r="K136" s="300">
        <v>2017</v>
      </c>
      <c r="L136" s="300">
        <v>2018</v>
      </c>
      <c r="M136" s="300">
        <v>2019</v>
      </c>
      <c r="N136" s="300">
        <v>2020</v>
      </c>
      <c r="O136" s="934" t="s">
        <v>14823</v>
      </c>
      <c r="Q136" s="206" t="s">
        <v>1527</v>
      </c>
    </row>
    <row r="137" spans="1:17">
      <c r="A137" s="299" t="s">
        <v>5353</v>
      </c>
      <c r="D137" s="301">
        <f t="shared" ref="D137:I137" si="67">SUM(D138:D157)</f>
        <v>154834</v>
      </c>
      <c r="E137" s="301">
        <f t="shared" si="67"/>
        <v>155235</v>
      </c>
      <c r="F137" s="301">
        <f t="shared" si="67"/>
        <v>156824</v>
      </c>
      <c r="G137" s="301">
        <f t="shared" si="67"/>
        <v>157479</v>
      </c>
      <c r="H137" s="301">
        <f t="shared" si="67"/>
        <v>157043</v>
      </c>
      <c r="I137" s="301">
        <f t="shared" si="67"/>
        <v>154774</v>
      </c>
      <c r="J137" s="301">
        <f t="shared" ref="J137:O137" si="68">SUM(J138:J157)</f>
        <v>151045</v>
      </c>
      <c r="K137" s="301">
        <f t="shared" si="68"/>
        <v>154638</v>
      </c>
      <c r="L137" s="301">
        <f t="shared" si="68"/>
        <v>153243</v>
      </c>
      <c r="M137" s="301">
        <f t="shared" si="68"/>
        <v>152214</v>
      </c>
      <c r="N137" s="301">
        <f t="shared" si="68"/>
        <v>153400</v>
      </c>
      <c r="O137" s="301">
        <f t="shared" si="68"/>
        <v>156415</v>
      </c>
    </row>
    <row r="138" spans="1:17">
      <c r="A138" s="299" t="s">
        <v>5387</v>
      </c>
      <c r="B138" s="299" t="s">
        <v>5354</v>
      </c>
      <c r="C138" s="55" t="s">
        <v>7284</v>
      </c>
      <c r="D138" s="301">
        <v>8344</v>
      </c>
      <c r="E138" s="301">
        <v>8331</v>
      </c>
      <c r="F138" s="301">
        <v>8384</v>
      </c>
      <c r="G138" s="301">
        <v>8414</v>
      </c>
      <c r="H138" s="63">
        <v>8343</v>
      </c>
      <c r="I138" s="63">
        <v>8275</v>
      </c>
      <c r="J138" s="63">
        <v>7985</v>
      </c>
      <c r="K138" s="63">
        <v>8225</v>
      </c>
      <c r="L138" s="63">
        <v>8090</v>
      </c>
      <c r="M138" s="63">
        <v>7955</v>
      </c>
      <c r="N138" s="63">
        <v>7870</v>
      </c>
      <c r="O138" s="63">
        <v>8002</v>
      </c>
      <c r="Q138" s="299" t="s">
        <v>5267</v>
      </c>
    </row>
    <row r="139" spans="1:17">
      <c r="A139" s="299" t="s">
        <v>5389</v>
      </c>
      <c r="B139" s="299" t="s">
        <v>5355</v>
      </c>
      <c r="C139" s="55" t="s">
        <v>7285</v>
      </c>
      <c r="D139" s="301">
        <v>7918</v>
      </c>
      <c r="E139" s="301">
        <v>7863</v>
      </c>
      <c r="F139" s="301">
        <v>7867</v>
      </c>
      <c r="G139" s="301">
        <v>7888</v>
      </c>
      <c r="H139" s="63">
        <v>7852</v>
      </c>
      <c r="I139" s="63">
        <v>7755</v>
      </c>
      <c r="J139" s="63">
        <v>7622</v>
      </c>
      <c r="K139" s="63">
        <v>7799</v>
      </c>
      <c r="L139" s="63">
        <v>7755</v>
      </c>
      <c r="M139" s="63">
        <v>7650</v>
      </c>
      <c r="N139" s="63">
        <v>7755</v>
      </c>
      <c r="O139" s="63">
        <v>7869</v>
      </c>
      <c r="Q139" s="299" t="s">
        <v>5267</v>
      </c>
    </row>
    <row r="140" spans="1:17">
      <c r="A140" s="299" t="s">
        <v>5391</v>
      </c>
      <c r="B140" s="299" t="s">
        <v>5356</v>
      </c>
      <c r="C140" s="55" t="s">
        <v>7286</v>
      </c>
      <c r="D140" s="301">
        <v>7944</v>
      </c>
      <c r="E140" s="301">
        <v>7882</v>
      </c>
      <c r="F140" s="301">
        <v>7925</v>
      </c>
      <c r="G140" s="301">
        <v>7934</v>
      </c>
      <c r="H140" s="63">
        <v>7989</v>
      </c>
      <c r="I140" s="63">
        <v>7811</v>
      </c>
      <c r="J140" s="63">
        <v>7711</v>
      </c>
      <c r="K140" s="63">
        <v>7955</v>
      </c>
      <c r="L140" s="63">
        <v>7644</v>
      </c>
      <c r="M140" s="63">
        <v>7646</v>
      </c>
      <c r="N140" s="63">
        <v>7643</v>
      </c>
      <c r="O140" s="63">
        <v>7787</v>
      </c>
      <c r="Q140" s="299" t="s">
        <v>5267</v>
      </c>
    </row>
    <row r="141" spans="1:17">
      <c r="A141" s="299" t="s">
        <v>5393</v>
      </c>
      <c r="B141" s="299" t="s">
        <v>5357</v>
      </c>
      <c r="C141" s="55" t="s">
        <v>7287</v>
      </c>
      <c r="D141" s="308">
        <v>8215</v>
      </c>
      <c r="E141" s="308">
        <v>8267</v>
      </c>
      <c r="F141" s="308">
        <v>8490</v>
      </c>
      <c r="G141" s="308">
        <v>8504</v>
      </c>
      <c r="H141" s="63">
        <v>8439</v>
      </c>
      <c r="I141" s="63">
        <v>8247</v>
      </c>
      <c r="J141" s="63">
        <v>7771</v>
      </c>
      <c r="K141" s="63">
        <v>7871</v>
      </c>
      <c r="L141" s="63">
        <v>7701</v>
      </c>
      <c r="M141" s="63">
        <v>7572</v>
      </c>
      <c r="N141" s="63">
        <v>7528</v>
      </c>
      <c r="O141" s="63">
        <v>7672</v>
      </c>
      <c r="Q141" s="299" t="s">
        <v>5271</v>
      </c>
    </row>
    <row r="142" spans="1:17">
      <c r="A142" s="299" t="s">
        <v>5394</v>
      </c>
      <c r="B142" s="299" t="s">
        <v>5358</v>
      </c>
      <c r="C142" s="55" t="s">
        <v>7288</v>
      </c>
      <c r="D142" s="301">
        <v>8512</v>
      </c>
      <c r="E142" s="301">
        <v>8578</v>
      </c>
      <c r="F142" s="301">
        <v>8584</v>
      </c>
      <c r="G142" s="301">
        <v>8627</v>
      </c>
      <c r="H142" s="63">
        <v>8558</v>
      </c>
      <c r="I142" s="63">
        <v>8470</v>
      </c>
      <c r="J142" s="63">
        <v>8096</v>
      </c>
      <c r="K142" s="63">
        <v>8411</v>
      </c>
      <c r="L142" s="63">
        <v>8372</v>
      </c>
      <c r="M142" s="63">
        <v>8280</v>
      </c>
      <c r="N142" s="63">
        <v>8244</v>
      </c>
      <c r="O142" s="63">
        <v>8360</v>
      </c>
      <c r="Q142" s="299" t="s">
        <v>5271</v>
      </c>
    </row>
    <row r="143" spans="1:17">
      <c r="A143" s="299" t="s">
        <v>5416</v>
      </c>
      <c r="B143" s="299" t="s">
        <v>5359</v>
      </c>
      <c r="C143" s="55" t="s">
        <v>7289</v>
      </c>
      <c r="D143" s="301">
        <v>7555</v>
      </c>
      <c r="E143" s="301">
        <v>7513</v>
      </c>
      <c r="F143" s="301">
        <v>7577</v>
      </c>
      <c r="G143" s="301">
        <v>7624</v>
      </c>
      <c r="H143" s="63">
        <v>7597</v>
      </c>
      <c r="I143" s="63">
        <v>7581</v>
      </c>
      <c r="J143" s="63">
        <v>7424</v>
      </c>
      <c r="K143" s="63">
        <v>7523</v>
      </c>
      <c r="L143" s="63">
        <v>7412</v>
      </c>
      <c r="M143" s="63">
        <v>7339</v>
      </c>
      <c r="N143" s="63">
        <v>7402</v>
      </c>
      <c r="O143" s="63">
        <v>7551</v>
      </c>
      <c r="Q143" s="299" t="s">
        <v>5271</v>
      </c>
    </row>
    <row r="144" spans="1:17">
      <c r="A144" s="299" t="s">
        <v>5418</v>
      </c>
      <c r="B144" s="299" t="s">
        <v>5360</v>
      </c>
      <c r="C144" s="55" t="s">
        <v>7290</v>
      </c>
      <c r="D144" s="308">
        <v>8206</v>
      </c>
      <c r="E144" s="308">
        <v>8257</v>
      </c>
      <c r="F144" s="308">
        <v>8283</v>
      </c>
      <c r="G144" s="308">
        <v>8263</v>
      </c>
      <c r="H144" s="63">
        <v>8228</v>
      </c>
      <c r="I144" s="63">
        <v>8060</v>
      </c>
      <c r="J144" s="63">
        <v>7717</v>
      </c>
      <c r="K144" s="63">
        <v>7758</v>
      </c>
      <c r="L144" s="63">
        <v>7810</v>
      </c>
      <c r="M144" s="63">
        <v>7673</v>
      </c>
      <c r="N144" s="63">
        <v>7660</v>
      </c>
      <c r="O144" s="63">
        <v>7798</v>
      </c>
      <c r="Q144" s="299" t="s">
        <v>5267</v>
      </c>
    </row>
    <row r="145" spans="1:17">
      <c r="A145" s="299" t="s">
        <v>5420</v>
      </c>
      <c r="B145" s="299" t="s">
        <v>5361</v>
      </c>
      <c r="C145" s="55" t="s">
        <v>7291</v>
      </c>
      <c r="D145" s="301">
        <v>7797</v>
      </c>
      <c r="E145" s="301">
        <v>7935</v>
      </c>
      <c r="F145" s="301">
        <v>7963</v>
      </c>
      <c r="G145" s="301">
        <v>8122</v>
      </c>
      <c r="H145" s="63">
        <v>8187</v>
      </c>
      <c r="I145" s="63">
        <v>8150</v>
      </c>
      <c r="J145" s="63">
        <v>8087</v>
      </c>
      <c r="K145" s="63">
        <v>8285</v>
      </c>
      <c r="L145" s="63">
        <v>8472</v>
      </c>
      <c r="M145" s="63">
        <v>8532</v>
      </c>
      <c r="N145" s="63">
        <v>8604</v>
      </c>
      <c r="O145" s="63">
        <v>8823</v>
      </c>
      <c r="Q145" s="299" t="s">
        <v>5267</v>
      </c>
    </row>
    <row r="146" spans="1:17">
      <c r="A146" s="299" t="s">
        <v>5422</v>
      </c>
      <c r="B146" s="299" t="s">
        <v>6783</v>
      </c>
      <c r="C146" s="55" t="s">
        <v>7292</v>
      </c>
      <c r="D146" s="301">
        <v>8096</v>
      </c>
      <c r="E146" s="301">
        <v>8147</v>
      </c>
      <c r="F146" s="301">
        <v>8229</v>
      </c>
      <c r="G146" s="301">
        <v>8277</v>
      </c>
      <c r="H146" s="63">
        <v>8240</v>
      </c>
      <c r="I146" s="63">
        <v>8041</v>
      </c>
      <c r="J146" s="63">
        <v>7845</v>
      </c>
      <c r="K146" s="63">
        <v>8018</v>
      </c>
      <c r="L146" s="63">
        <v>7704</v>
      </c>
      <c r="M146" s="63">
        <v>7843</v>
      </c>
      <c r="N146" s="63">
        <v>7995</v>
      </c>
      <c r="O146" s="63">
        <v>8194</v>
      </c>
      <c r="Q146" s="299" t="s">
        <v>5267</v>
      </c>
    </row>
    <row r="147" spans="1:17">
      <c r="A147" s="299" t="s">
        <v>5424</v>
      </c>
      <c r="B147" s="299" t="s">
        <v>6784</v>
      </c>
      <c r="C147" s="55" t="s">
        <v>7293</v>
      </c>
      <c r="D147" s="301">
        <v>7033</v>
      </c>
      <c r="E147" s="301">
        <v>6996</v>
      </c>
      <c r="F147" s="301">
        <v>7068</v>
      </c>
      <c r="G147" s="301">
        <v>7080</v>
      </c>
      <c r="H147" s="63">
        <v>7020</v>
      </c>
      <c r="I147" s="63">
        <v>6953</v>
      </c>
      <c r="J147" s="63">
        <v>6869</v>
      </c>
      <c r="K147" s="63">
        <v>7005</v>
      </c>
      <c r="L147" s="63">
        <v>7058</v>
      </c>
      <c r="M147" s="63">
        <v>6897</v>
      </c>
      <c r="N147" s="63">
        <v>6887</v>
      </c>
      <c r="O147" s="63">
        <v>6989</v>
      </c>
      <c r="Q147" s="299" t="s">
        <v>5271</v>
      </c>
    </row>
    <row r="148" spans="1:17">
      <c r="A148" s="299" t="s">
        <v>5426</v>
      </c>
      <c r="B148" s="299" t="s">
        <v>6853</v>
      </c>
      <c r="C148" s="55" t="s">
        <v>7294</v>
      </c>
      <c r="D148" s="301">
        <v>7740</v>
      </c>
      <c r="E148" s="301">
        <v>7686</v>
      </c>
      <c r="F148" s="301">
        <v>7641</v>
      </c>
      <c r="G148" s="301">
        <v>7682</v>
      </c>
      <c r="H148" s="63">
        <v>7703</v>
      </c>
      <c r="I148" s="63">
        <v>7623</v>
      </c>
      <c r="J148" s="63">
        <v>7427</v>
      </c>
      <c r="K148" s="63">
        <v>7571</v>
      </c>
      <c r="L148" s="63">
        <v>7553</v>
      </c>
      <c r="M148" s="63">
        <v>7481</v>
      </c>
      <c r="N148" s="63">
        <v>7487</v>
      </c>
      <c r="O148" s="63">
        <v>7593</v>
      </c>
      <c r="Q148" s="299" t="s">
        <v>5271</v>
      </c>
    </row>
    <row r="149" spans="1:17">
      <c r="A149" s="299" t="s">
        <v>5428</v>
      </c>
      <c r="B149" s="299" t="s">
        <v>6854</v>
      </c>
      <c r="C149" s="55" t="s">
        <v>7295</v>
      </c>
      <c r="D149" s="308">
        <v>6874</v>
      </c>
      <c r="E149" s="308">
        <v>6860</v>
      </c>
      <c r="F149" s="308">
        <v>6946</v>
      </c>
      <c r="G149" s="308">
        <v>6845</v>
      </c>
      <c r="H149" s="63">
        <v>6868</v>
      </c>
      <c r="I149" s="63">
        <v>6777</v>
      </c>
      <c r="J149" s="63">
        <v>6580</v>
      </c>
      <c r="K149" s="63">
        <v>6634</v>
      </c>
      <c r="L149" s="63">
        <v>6699</v>
      </c>
      <c r="M149" s="63">
        <v>6766</v>
      </c>
      <c r="N149" s="63">
        <v>6893</v>
      </c>
      <c r="O149" s="63">
        <v>7019</v>
      </c>
      <c r="Q149" s="299" t="s">
        <v>5267</v>
      </c>
    </row>
    <row r="150" spans="1:17">
      <c r="A150" s="299" t="s">
        <v>5429</v>
      </c>
      <c r="B150" s="299" t="s">
        <v>3783</v>
      </c>
      <c r="C150" s="55" t="s">
        <v>7296</v>
      </c>
      <c r="D150" s="301">
        <v>7071</v>
      </c>
      <c r="E150" s="301">
        <v>7040</v>
      </c>
      <c r="F150" s="301">
        <v>7051</v>
      </c>
      <c r="G150" s="301">
        <v>7004</v>
      </c>
      <c r="H150" s="63">
        <v>6880</v>
      </c>
      <c r="I150" s="63">
        <v>6751</v>
      </c>
      <c r="J150" s="63">
        <v>6587</v>
      </c>
      <c r="K150" s="63">
        <v>6655</v>
      </c>
      <c r="L150" s="63">
        <v>6650</v>
      </c>
      <c r="M150" s="63">
        <v>6530</v>
      </c>
      <c r="N150" s="63">
        <v>6527</v>
      </c>
      <c r="O150" s="63">
        <v>6646</v>
      </c>
      <c r="Q150" s="299" t="s">
        <v>5271</v>
      </c>
    </row>
    <row r="151" spans="1:17">
      <c r="A151" s="299" t="s">
        <v>5431</v>
      </c>
      <c r="B151" s="299" t="s">
        <v>6695</v>
      </c>
      <c r="C151" s="55" t="s">
        <v>7297</v>
      </c>
      <c r="D151" s="301">
        <v>7958</v>
      </c>
      <c r="E151" s="301">
        <v>7930</v>
      </c>
      <c r="F151" s="301">
        <v>8230</v>
      </c>
      <c r="G151" s="301">
        <v>8290</v>
      </c>
      <c r="H151" s="63">
        <v>8214</v>
      </c>
      <c r="I151" s="63">
        <v>8055</v>
      </c>
      <c r="J151" s="63">
        <v>7805</v>
      </c>
      <c r="K151" s="63">
        <v>8054</v>
      </c>
      <c r="L151" s="63">
        <v>7944</v>
      </c>
      <c r="M151" s="63">
        <v>7762</v>
      </c>
      <c r="N151" s="63">
        <v>7919</v>
      </c>
      <c r="O151" s="63">
        <v>8120</v>
      </c>
      <c r="Q151" s="299" t="s">
        <v>5267</v>
      </c>
    </row>
    <row r="152" spans="1:17">
      <c r="A152" s="299" t="s">
        <v>5433</v>
      </c>
      <c r="B152" s="299" t="s">
        <v>6912</v>
      </c>
      <c r="C152" s="55" t="s">
        <v>7298</v>
      </c>
      <c r="D152" s="308">
        <v>6989</v>
      </c>
      <c r="E152" s="308">
        <v>6909</v>
      </c>
      <c r="F152" s="308">
        <v>6954</v>
      </c>
      <c r="G152" s="308">
        <v>6957</v>
      </c>
      <c r="H152" s="63">
        <v>6948</v>
      </c>
      <c r="I152" s="63">
        <v>6913</v>
      </c>
      <c r="J152" s="63">
        <v>6844</v>
      </c>
      <c r="K152" s="63">
        <v>6985</v>
      </c>
      <c r="L152" s="63">
        <v>6998</v>
      </c>
      <c r="M152" s="63">
        <v>6999</v>
      </c>
      <c r="N152" s="63">
        <v>7091</v>
      </c>
      <c r="O152" s="63">
        <v>7162</v>
      </c>
      <c r="Q152" s="299" t="s">
        <v>5271</v>
      </c>
    </row>
    <row r="153" spans="1:17">
      <c r="A153" s="299" t="s">
        <v>5435</v>
      </c>
      <c r="B153" s="299" t="s">
        <v>6855</v>
      </c>
      <c r="C153" s="55" t="s">
        <v>7299</v>
      </c>
      <c r="D153" s="301">
        <v>8349</v>
      </c>
      <c r="E153" s="301">
        <v>8407</v>
      </c>
      <c r="F153" s="301">
        <v>8533</v>
      </c>
      <c r="G153" s="301">
        <v>8505</v>
      </c>
      <c r="H153" s="63">
        <v>8550</v>
      </c>
      <c r="I153" s="63">
        <v>8425</v>
      </c>
      <c r="J153" s="63">
        <v>8201</v>
      </c>
      <c r="K153" s="63">
        <v>8452</v>
      </c>
      <c r="L153" s="63">
        <v>8220</v>
      </c>
      <c r="M153" s="63">
        <v>8082</v>
      </c>
      <c r="N153" s="63">
        <v>8135</v>
      </c>
      <c r="O153" s="63">
        <v>8374</v>
      </c>
      <c r="Q153" s="299" t="s">
        <v>5271</v>
      </c>
    </row>
    <row r="154" spans="1:17">
      <c r="A154" s="299" t="s">
        <v>5436</v>
      </c>
      <c r="B154" s="299" t="s">
        <v>6073</v>
      </c>
      <c r="C154" s="55" t="s">
        <v>7300</v>
      </c>
      <c r="D154" s="301">
        <v>7859</v>
      </c>
      <c r="E154" s="301">
        <v>8054</v>
      </c>
      <c r="F154" s="301">
        <v>8307</v>
      </c>
      <c r="G154" s="301">
        <v>8499</v>
      </c>
      <c r="H154" s="63">
        <v>8540</v>
      </c>
      <c r="I154" s="63">
        <v>8494</v>
      </c>
      <c r="J154" s="63">
        <v>8301</v>
      </c>
      <c r="K154" s="63">
        <v>8654</v>
      </c>
      <c r="L154" s="63">
        <v>8852</v>
      </c>
      <c r="M154" s="63">
        <v>9093</v>
      </c>
      <c r="N154" s="63">
        <v>9499</v>
      </c>
      <c r="O154" s="63">
        <v>9785</v>
      </c>
      <c r="Q154" s="299" t="s">
        <v>5271</v>
      </c>
    </row>
    <row r="155" spans="1:17">
      <c r="A155" s="299" t="s">
        <v>5437</v>
      </c>
      <c r="B155" s="299" t="s">
        <v>6856</v>
      </c>
      <c r="C155" s="55" t="s">
        <v>7301</v>
      </c>
      <c r="D155" s="301">
        <v>7578</v>
      </c>
      <c r="E155" s="301">
        <v>7766</v>
      </c>
      <c r="F155" s="301">
        <v>7847</v>
      </c>
      <c r="G155" s="301">
        <v>7948</v>
      </c>
      <c r="H155" s="63">
        <v>7902</v>
      </c>
      <c r="I155" s="63">
        <v>7590</v>
      </c>
      <c r="J155" s="63">
        <v>7425</v>
      </c>
      <c r="K155" s="63">
        <v>7575</v>
      </c>
      <c r="L155" s="63">
        <v>7392</v>
      </c>
      <c r="M155" s="63">
        <v>7253</v>
      </c>
      <c r="N155" s="63">
        <v>7282</v>
      </c>
      <c r="O155" s="63">
        <v>7442</v>
      </c>
      <c r="Q155" s="299" t="s">
        <v>5267</v>
      </c>
    </row>
    <row r="156" spans="1:17">
      <c r="A156" s="299" t="s">
        <v>5439</v>
      </c>
      <c r="B156" s="299" t="s">
        <v>6857</v>
      </c>
      <c r="C156" s="55" t="s">
        <v>7302</v>
      </c>
      <c r="D156" s="301">
        <v>7674</v>
      </c>
      <c r="E156" s="301">
        <v>7646</v>
      </c>
      <c r="F156" s="301">
        <v>7702</v>
      </c>
      <c r="G156" s="301">
        <v>7700</v>
      </c>
      <c r="H156" s="63">
        <v>7742</v>
      </c>
      <c r="I156" s="63">
        <v>7668</v>
      </c>
      <c r="J156" s="63">
        <v>7650</v>
      </c>
      <c r="K156" s="63">
        <v>7888</v>
      </c>
      <c r="L156" s="63">
        <v>7742</v>
      </c>
      <c r="M156" s="63">
        <v>7793</v>
      </c>
      <c r="N156" s="63">
        <v>7856</v>
      </c>
      <c r="O156" s="63">
        <v>7979</v>
      </c>
      <c r="Q156" s="299" t="s">
        <v>5267</v>
      </c>
    </row>
    <row r="157" spans="1:17">
      <c r="A157" s="299" t="s">
        <v>5441</v>
      </c>
      <c r="B157" s="299" t="s">
        <v>6858</v>
      </c>
      <c r="C157" s="55" t="s">
        <v>7303</v>
      </c>
      <c r="D157" s="301">
        <v>7122</v>
      </c>
      <c r="E157" s="301">
        <v>7168</v>
      </c>
      <c r="F157" s="301">
        <v>7243</v>
      </c>
      <c r="G157" s="301">
        <v>7316</v>
      </c>
      <c r="H157" s="63">
        <v>7243</v>
      </c>
      <c r="I157" s="63">
        <v>7135</v>
      </c>
      <c r="J157" s="63">
        <v>7098</v>
      </c>
      <c r="K157" s="63">
        <v>7320</v>
      </c>
      <c r="L157" s="63">
        <v>7175</v>
      </c>
      <c r="M157" s="63">
        <v>7068</v>
      </c>
      <c r="N157" s="63">
        <v>7123</v>
      </c>
      <c r="O157" s="63">
        <v>7250</v>
      </c>
      <c r="Q157" s="299" t="s">
        <v>5271</v>
      </c>
    </row>
    <row r="158" spans="1:17">
      <c r="D158" s="302"/>
      <c r="E158" s="302"/>
      <c r="F158" s="302"/>
      <c r="G158" s="302"/>
      <c r="H158" s="302"/>
      <c r="I158" s="302"/>
      <c r="J158" s="302"/>
      <c r="K158" s="302"/>
      <c r="L158" s="302"/>
      <c r="M158" s="302"/>
      <c r="N158" s="302"/>
      <c r="O158" s="302"/>
    </row>
    <row r="159" spans="1:17">
      <c r="A159" s="299" t="s">
        <v>5267</v>
      </c>
      <c r="D159" s="301">
        <f t="shared" ref="D159:I159" si="69">SUM(D138:D140)+SUM(D144:D146)+D149+D151+D155+D156</f>
        <v>78389</v>
      </c>
      <c r="E159" s="301">
        <f t="shared" si="69"/>
        <v>78617</v>
      </c>
      <c r="F159" s="301">
        <f t="shared" si="69"/>
        <v>79376</v>
      </c>
      <c r="G159" s="301">
        <f t="shared" si="69"/>
        <v>79681</v>
      </c>
      <c r="H159" s="301">
        <f t="shared" si="69"/>
        <v>79565</v>
      </c>
      <c r="I159" s="301">
        <f t="shared" si="69"/>
        <v>78182</v>
      </c>
      <c r="J159" s="301">
        <f t="shared" ref="J159:O159" si="70">SUM(J138:J140)+SUM(J144:J146)+J149+J151+J155+J156</f>
        <v>76427</v>
      </c>
      <c r="K159" s="301">
        <f t="shared" si="70"/>
        <v>78191</v>
      </c>
      <c r="L159" s="301">
        <f t="shared" si="70"/>
        <v>77252</v>
      </c>
      <c r="M159" s="301">
        <f t="shared" si="70"/>
        <v>76873</v>
      </c>
      <c r="N159" s="301">
        <f t="shared" si="70"/>
        <v>77477</v>
      </c>
      <c r="O159" s="301">
        <f t="shared" si="70"/>
        <v>79033</v>
      </c>
    </row>
    <row r="160" spans="1:17">
      <c r="A160" s="299" t="s">
        <v>5271</v>
      </c>
      <c r="D160" s="301">
        <f t="shared" ref="D160:I160" si="71">SUM(D141:D143)+D147+D148+D150+SUM(D152:D154)+D157</f>
        <v>76445</v>
      </c>
      <c r="E160" s="301">
        <f t="shared" si="71"/>
        <v>76618</v>
      </c>
      <c r="F160" s="301">
        <f t="shared" si="71"/>
        <v>77448</v>
      </c>
      <c r="G160" s="301">
        <f t="shared" si="71"/>
        <v>77798</v>
      </c>
      <c r="H160" s="301">
        <f t="shared" si="71"/>
        <v>77478</v>
      </c>
      <c r="I160" s="301">
        <f t="shared" si="71"/>
        <v>76592</v>
      </c>
      <c r="J160" s="301">
        <f t="shared" ref="J160:O160" si="72">SUM(J141:J143)+J147+J148+J150+SUM(J152:J154)+J157</f>
        <v>74618</v>
      </c>
      <c r="K160" s="301">
        <f t="shared" si="72"/>
        <v>76447</v>
      </c>
      <c r="L160" s="301">
        <f t="shared" si="72"/>
        <v>75991</v>
      </c>
      <c r="M160" s="301">
        <f t="shared" si="72"/>
        <v>75341</v>
      </c>
      <c r="N160" s="301">
        <f t="shared" si="72"/>
        <v>75923</v>
      </c>
      <c r="O160" s="301">
        <f t="shared" si="72"/>
        <v>77382</v>
      </c>
    </row>
    <row r="161" spans="1:17">
      <c r="A161" s="299"/>
      <c r="D161" s="301"/>
      <c r="E161" s="301"/>
      <c r="F161" s="301"/>
      <c r="G161" s="301"/>
      <c r="H161" s="301"/>
      <c r="I161" s="301"/>
      <c r="J161" s="301"/>
      <c r="K161" s="301"/>
      <c r="L161" s="301"/>
      <c r="M161" s="301"/>
      <c r="N161" s="301"/>
      <c r="O161" s="301"/>
    </row>
    <row r="162" spans="1:17">
      <c r="A162" s="299" t="s">
        <v>6859</v>
      </c>
      <c r="D162" s="301"/>
      <c r="E162" s="301"/>
      <c r="F162" s="301"/>
      <c r="G162" s="301"/>
      <c r="H162" s="301"/>
      <c r="I162" s="301"/>
      <c r="J162" s="301"/>
      <c r="K162" s="301"/>
      <c r="L162" s="301"/>
      <c r="M162" s="301"/>
      <c r="N162" s="301"/>
      <c r="O162" s="301"/>
    </row>
    <row r="163" spans="1:17" ht="15.75" customHeight="1">
      <c r="A163" s="299"/>
      <c r="B163" s="299"/>
      <c r="D163" s="311"/>
      <c r="E163" s="311"/>
      <c r="F163" s="311"/>
      <c r="G163" s="311"/>
      <c r="H163" s="311"/>
      <c r="I163" s="311"/>
      <c r="J163" s="311"/>
      <c r="K163" s="311"/>
      <c r="L163" s="311"/>
      <c r="M163" s="311"/>
      <c r="N163" s="311"/>
      <c r="O163" s="311"/>
    </row>
    <row r="164" spans="1:17">
      <c r="A164" s="299"/>
      <c r="B164" s="299"/>
      <c r="D164" s="311"/>
      <c r="E164" s="311"/>
      <c r="F164" s="311"/>
      <c r="G164" s="311"/>
      <c r="H164" s="311"/>
      <c r="I164" s="311"/>
      <c r="J164" s="311"/>
      <c r="K164" s="311"/>
      <c r="L164" s="311"/>
      <c r="M164" s="311"/>
      <c r="N164" s="311"/>
      <c r="O164" s="311"/>
    </row>
    <row r="165" spans="1:17">
      <c r="E165" s="51" t="s">
        <v>1526</v>
      </c>
      <c r="F165" s="51"/>
      <c r="G165" s="51"/>
      <c r="H165" s="51"/>
      <c r="I165" s="51"/>
      <c r="J165" s="51"/>
      <c r="K165" s="51"/>
      <c r="L165" s="51"/>
      <c r="M165" s="51"/>
      <c r="N165" s="51"/>
      <c r="O165" s="51"/>
      <c r="P165" s="173"/>
      <c r="Q165" s="173" t="s">
        <v>9479</v>
      </c>
    </row>
    <row r="166" spans="1:17">
      <c r="D166" s="300">
        <v>2010</v>
      </c>
      <c r="E166" s="300">
        <v>2011</v>
      </c>
      <c r="F166" s="300">
        <v>2012</v>
      </c>
      <c r="G166" s="300">
        <v>2013</v>
      </c>
      <c r="H166" s="300">
        <v>2014</v>
      </c>
      <c r="I166" s="300">
        <v>2015</v>
      </c>
      <c r="J166" s="300">
        <v>2016</v>
      </c>
      <c r="K166" s="300">
        <v>2017</v>
      </c>
      <c r="L166" s="300">
        <v>2018</v>
      </c>
      <c r="M166" s="300">
        <v>2019</v>
      </c>
      <c r="N166" s="300">
        <v>2020</v>
      </c>
      <c r="O166" s="934" t="s">
        <v>14823</v>
      </c>
      <c r="Q166" s="206" t="s">
        <v>1527</v>
      </c>
    </row>
    <row r="167" spans="1:17">
      <c r="A167" s="299" t="s">
        <v>6711</v>
      </c>
      <c r="D167" s="301">
        <f t="shared" ref="D167:I167" si="73">SUM(D168:D185)</f>
        <v>115648</v>
      </c>
      <c r="E167" s="301">
        <f t="shared" si="73"/>
        <v>115688</v>
      </c>
      <c r="F167" s="301">
        <f t="shared" si="73"/>
        <v>115818</v>
      </c>
      <c r="G167" s="301">
        <f t="shared" si="73"/>
        <v>116396</v>
      </c>
      <c r="H167" s="301">
        <f t="shared" si="73"/>
        <v>115153</v>
      </c>
      <c r="I167" s="301">
        <f t="shared" si="73"/>
        <v>114494</v>
      </c>
      <c r="J167" s="301">
        <f t="shared" ref="J167:O167" si="74">SUM(J168:J185)</f>
        <v>115022</v>
      </c>
      <c r="K167" s="301">
        <f t="shared" si="74"/>
        <v>115223</v>
      </c>
      <c r="L167" s="301">
        <f t="shared" si="74"/>
        <v>115083</v>
      </c>
      <c r="M167" s="301">
        <f t="shared" si="74"/>
        <v>114391</v>
      </c>
      <c r="N167" s="301">
        <f t="shared" si="74"/>
        <v>115912</v>
      </c>
      <c r="O167" s="301">
        <f t="shared" si="74"/>
        <v>115370</v>
      </c>
    </row>
    <row r="168" spans="1:17">
      <c r="A168" s="299" t="s">
        <v>5387</v>
      </c>
      <c r="B168" s="299" t="s">
        <v>6712</v>
      </c>
      <c r="C168" s="55" t="s">
        <v>7304</v>
      </c>
      <c r="D168" s="301">
        <v>6947</v>
      </c>
      <c r="E168" s="301">
        <v>6862</v>
      </c>
      <c r="F168" s="301">
        <v>6917</v>
      </c>
      <c r="G168" s="301">
        <v>6982</v>
      </c>
      <c r="H168" s="63">
        <v>6818</v>
      </c>
      <c r="I168" s="63">
        <v>6715</v>
      </c>
      <c r="J168" s="63">
        <v>6735</v>
      </c>
      <c r="K168" s="63">
        <v>6746</v>
      </c>
      <c r="L168" s="63">
        <v>6592</v>
      </c>
      <c r="M168" s="63">
        <v>6621</v>
      </c>
      <c r="N168" s="63">
        <v>6763</v>
      </c>
      <c r="O168" s="63">
        <v>6753</v>
      </c>
      <c r="Q168" s="299" t="s">
        <v>5269</v>
      </c>
    </row>
    <row r="169" spans="1:17">
      <c r="A169" s="299" t="s">
        <v>5389</v>
      </c>
      <c r="B169" s="299" t="s">
        <v>2672</v>
      </c>
      <c r="C169" s="55" t="s">
        <v>7305</v>
      </c>
      <c r="D169" s="308">
        <v>6080</v>
      </c>
      <c r="E169" s="308">
        <v>6097</v>
      </c>
      <c r="F169" s="308">
        <v>6050</v>
      </c>
      <c r="G169" s="308">
        <v>6107</v>
      </c>
      <c r="H169" s="63">
        <v>6051</v>
      </c>
      <c r="I169" s="63">
        <v>6009</v>
      </c>
      <c r="J169" s="63">
        <v>5956</v>
      </c>
      <c r="K169" s="63">
        <v>5808</v>
      </c>
      <c r="L169" s="63">
        <v>5826</v>
      </c>
      <c r="M169" s="63">
        <v>5799</v>
      </c>
      <c r="N169" s="63">
        <v>5874</v>
      </c>
      <c r="O169" s="63">
        <v>5839</v>
      </c>
      <c r="Q169" s="299" t="s">
        <v>3705</v>
      </c>
    </row>
    <row r="170" spans="1:17">
      <c r="A170" s="299" t="s">
        <v>5391</v>
      </c>
      <c r="B170" s="299" t="s">
        <v>6713</v>
      </c>
      <c r="C170" s="55" t="s">
        <v>7306</v>
      </c>
      <c r="D170" s="301">
        <v>6407</v>
      </c>
      <c r="E170" s="301">
        <v>6336</v>
      </c>
      <c r="F170" s="301">
        <v>6404</v>
      </c>
      <c r="G170" s="301">
        <v>6460</v>
      </c>
      <c r="H170" s="63">
        <v>6489</v>
      </c>
      <c r="I170" s="63">
        <v>6365</v>
      </c>
      <c r="J170" s="63">
        <v>6429</v>
      </c>
      <c r="K170" s="63">
        <v>6434</v>
      </c>
      <c r="L170" s="63">
        <v>6496</v>
      </c>
      <c r="M170" s="63">
        <v>6372</v>
      </c>
      <c r="N170" s="63">
        <v>6461</v>
      </c>
      <c r="O170" s="63">
        <v>6453</v>
      </c>
      <c r="Q170" s="299" t="s">
        <v>5269</v>
      </c>
    </row>
    <row r="171" spans="1:17">
      <c r="A171" s="299" t="s">
        <v>5393</v>
      </c>
      <c r="B171" s="299" t="s">
        <v>6714</v>
      </c>
      <c r="C171" s="55" t="s">
        <v>7307</v>
      </c>
      <c r="D171" s="301">
        <v>7257</v>
      </c>
      <c r="E171" s="301">
        <v>7340</v>
      </c>
      <c r="F171" s="301">
        <v>7399</v>
      </c>
      <c r="G171" s="301">
        <v>7442</v>
      </c>
      <c r="H171" s="63">
        <v>7335</v>
      </c>
      <c r="I171" s="63">
        <v>7322</v>
      </c>
      <c r="J171" s="63">
        <v>7358</v>
      </c>
      <c r="K171" s="63">
        <v>7363</v>
      </c>
      <c r="L171" s="63">
        <v>7312</v>
      </c>
      <c r="M171" s="63">
        <v>7243</v>
      </c>
      <c r="N171" s="63">
        <v>7336</v>
      </c>
      <c r="O171" s="63">
        <v>7313</v>
      </c>
      <c r="Q171" s="299" t="s">
        <v>3705</v>
      </c>
    </row>
    <row r="172" spans="1:17">
      <c r="A172" s="299" t="s">
        <v>5394</v>
      </c>
      <c r="B172" s="299" t="s">
        <v>6715</v>
      </c>
      <c r="C172" s="55" t="s">
        <v>7308</v>
      </c>
      <c r="D172" s="301">
        <v>6929</v>
      </c>
      <c r="E172" s="301">
        <v>6996</v>
      </c>
      <c r="F172" s="301">
        <v>6969</v>
      </c>
      <c r="G172" s="301">
        <v>7026</v>
      </c>
      <c r="H172" s="63">
        <v>6987</v>
      </c>
      <c r="I172" s="63">
        <v>6976</v>
      </c>
      <c r="J172" s="63">
        <v>6954</v>
      </c>
      <c r="K172" s="63">
        <v>7007</v>
      </c>
      <c r="L172" s="63">
        <v>6988</v>
      </c>
      <c r="M172" s="63">
        <v>6926</v>
      </c>
      <c r="N172" s="63">
        <v>6940</v>
      </c>
      <c r="O172" s="63">
        <v>6929</v>
      </c>
      <c r="Q172" s="299" t="s">
        <v>3705</v>
      </c>
    </row>
    <row r="173" spans="1:17">
      <c r="A173" s="299" t="s">
        <v>5416</v>
      </c>
      <c r="B173" s="299" t="s">
        <v>6716</v>
      </c>
      <c r="C173" s="55" t="s">
        <v>7309</v>
      </c>
      <c r="D173" s="301">
        <v>5252</v>
      </c>
      <c r="E173" s="301">
        <v>5287</v>
      </c>
      <c r="F173" s="301">
        <v>5372</v>
      </c>
      <c r="G173" s="301">
        <v>5507</v>
      </c>
      <c r="H173" s="63">
        <v>5581</v>
      </c>
      <c r="I173" s="63">
        <v>5652</v>
      </c>
      <c r="J173" s="63">
        <v>5695</v>
      </c>
      <c r="K173" s="63">
        <v>5819</v>
      </c>
      <c r="L173" s="63">
        <v>5898</v>
      </c>
      <c r="M173" s="63">
        <v>5856</v>
      </c>
      <c r="N173" s="63">
        <v>5893</v>
      </c>
      <c r="O173" s="63">
        <v>5889</v>
      </c>
      <c r="Q173" s="299" t="s">
        <v>5269</v>
      </c>
    </row>
    <row r="174" spans="1:17">
      <c r="A174" s="299" t="s">
        <v>5418</v>
      </c>
      <c r="B174" s="299" t="s">
        <v>6717</v>
      </c>
      <c r="C174" s="55" t="s">
        <v>7310</v>
      </c>
      <c r="D174" s="301">
        <v>6030</v>
      </c>
      <c r="E174" s="301">
        <v>6031</v>
      </c>
      <c r="F174" s="301">
        <v>5950</v>
      </c>
      <c r="G174" s="301">
        <v>5935</v>
      </c>
      <c r="H174" s="63">
        <v>5876</v>
      </c>
      <c r="I174" s="63">
        <v>5807</v>
      </c>
      <c r="J174" s="63">
        <v>5835</v>
      </c>
      <c r="K174" s="63">
        <v>5869</v>
      </c>
      <c r="L174" s="63">
        <v>5796</v>
      </c>
      <c r="M174" s="63">
        <v>5750</v>
      </c>
      <c r="N174" s="63">
        <v>5731</v>
      </c>
      <c r="O174" s="63">
        <v>5717</v>
      </c>
      <c r="Q174" s="299" t="s">
        <v>3705</v>
      </c>
    </row>
    <row r="175" spans="1:17">
      <c r="A175" s="299" t="s">
        <v>5420</v>
      </c>
      <c r="B175" s="299" t="s">
        <v>6718</v>
      </c>
      <c r="C175" s="55" t="s">
        <v>7311</v>
      </c>
      <c r="D175" s="301">
        <v>6798</v>
      </c>
      <c r="E175" s="301">
        <v>6828</v>
      </c>
      <c r="F175" s="301">
        <v>6816</v>
      </c>
      <c r="G175" s="301">
        <v>6817</v>
      </c>
      <c r="H175" s="63">
        <v>6815</v>
      </c>
      <c r="I175" s="63">
        <v>6777</v>
      </c>
      <c r="J175" s="63">
        <v>6775</v>
      </c>
      <c r="K175" s="63">
        <v>6737</v>
      </c>
      <c r="L175" s="63">
        <v>6730</v>
      </c>
      <c r="M175" s="63">
        <v>6663</v>
      </c>
      <c r="N175" s="63">
        <v>6689</v>
      </c>
      <c r="O175" s="63">
        <v>6680</v>
      </c>
      <c r="Q175" s="299" t="s">
        <v>5269</v>
      </c>
    </row>
    <row r="176" spans="1:17">
      <c r="A176" s="299" t="s">
        <v>5422</v>
      </c>
      <c r="B176" s="299" t="s">
        <v>5287</v>
      </c>
      <c r="C176" s="55" t="s">
        <v>7312</v>
      </c>
      <c r="D176" s="301">
        <v>6499</v>
      </c>
      <c r="E176" s="301">
        <v>6502</v>
      </c>
      <c r="F176" s="301">
        <v>6639</v>
      </c>
      <c r="G176" s="301">
        <v>6742</v>
      </c>
      <c r="H176" s="63">
        <v>6750</v>
      </c>
      <c r="I176" s="63">
        <v>6805</v>
      </c>
      <c r="J176" s="63">
        <v>6930</v>
      </c>
      <c r="K176" s="63">
        <v>6990</v>
      </c>
      <c r="L176" s="63">
        <v>7083</v>
      </c>
      <c r="M176" s="63">
        <v>7068</v>
      </c>
      <c r="N176" s="63">
        <v>7242</v>
      </c>
      <c r="O176" s="63">
        <v>7175</v>
      </c>
      <c r="Q176" s="299" t="s">
        <v>3705</v>
      </c>
    </row>
    <row r="177" spans="1:17">
      <c r="A177" s="299" t="s">
        <v>5424</v>
      </c>
      <c r="B177" s="299" t="s">
        <v>5288</v>
      </c>
      <c r="C177" s="55" t="s">
        <v>7313</v>
      </c>
      <c r="D177" s="301">
        <v>6151</v>
      </c>
      <c r="E177" s="301">
        <v>6147</v>
      </c>
      <c r="F177" s="301">
        <v>6156</v>
      </c>
      <c r="G177" s="301">
        <v>6108</v>
      </c>
      <c r="H177" s="63">
        <v>6016</v>
      </c>
      <c r="I177" s="63">
        <v>6026</v>
      </c>
      <c r="J177" s="63">
        <v>6234</v>
      </c>
      <c r="K177" s="63">
        <v>6384</v>
      </c>
      <c r="L177" s="63">
        <v>6610</v>
      </c>
      <c r="M177" s="63">
        <v>6767</v>
      </c>
      <c r="N177" s="63">
        <v>7056</v>
      </c>
      <c r="O177" s="63">
        <v>7026</v>
      </c>
      <c r="Q177" s="299" t="s">
        <v>3705</v>
      </c>
    </row>
    <row r="178" spans="1:17">
      <c r="A178" s="299" t="s">
        <v>5426</v>
      </c>
      <c r="B178" s="299" t="s">
        <v>5289</v>
      </c>
      <c r="C178" s="55" t="s">
        <v>7314</v>
      </c>
      <c r="D178" s="301">
        <v>6906</v>
      </c>
      <c r="E178" s="301">
        <v>7024</v>
      </c>
      <c r="F178" s="301">
        <v>7066</v>
      </c>
      <c r="G178" s="301">
        <v>7159</v>
      </c>
      <c r="H178" s="63">
        <v>7146</v>
      </c>
      <c r="I178" s="63">
        <v>7049</v>
      </c>
      <c r="J178" s="63">
        <v>7114</v>
      </c>
      <c r="K178" s="63">
        <v>7097</v>
      </c>
      <c r="L178" s="63">
        <v>6989</v>
      </c>
      <c r="M178" s="63">
        <v>6891</v>
      </c>
      <c r="N178" s="63">
        <v>6894</v>
      </c>
      <c r="O178" s="63">
        <v>6898</v>
      </c>
      <c r="Q178" s="299" t="s">
        <v>5269</v>
      </c>
    </row>
    <row r="179" spans="1:17">
      <c r="A179" s="299" t="s">
        <v>5428</v>
      </c>
      <c r="B179" s="299" t="s">
        <v>5290</v>
      </c>
      <c r="C179" s="55" t="s">
        <v>7315</v>
      </c>
      <c r="D179" s="301">
        <v>6469</v>
      </c>
      <c r="E179" s="301">
        <v>6487</v>
      </c>
      <c r="F179" s="301">
        <v>6480</v>
      </c>
      <c r="G179" s="301">
        <v>6409</v>
      </c>
      <c r="H179" s="63">
        <v>6356</v>
      </c>
      <c r="I179" s="63">
        <v>6313</v>
      </c>
      <c r="J179" s="63">
        <v>6307</v>
      </c>
      <c r="K179" s="63">
        <v>6281</v>
      </c>
      <c r="L179" s="63">
        <v>6230</v>
      </c>
      <c r="M179" s="63">
        <v>6273</v>
      </c>
      <c r="N179" s="63">
        <v>6383</v>
      </c>
      <c r="O179" s="63">
        <v>6350</v>
      </c>
      <c r="Q179" s="299" t="s">
        <v>3705</v>
      </c>
    </row>
    <row r="180" spans="1:17">
      <c r="A180" s="299" t="s">
        <v>5429</v>
      </c>
      <c r="B180" s="299" t="s">
        <v>2103</v>
      </c>
      <c r="C180" s="55" t="s">
        <v>7316</v>
      </c>
      <c r="D180" s="301">
        <v>6392</v>
      </c>
      <c r="E180" s="301">
        <v>6323</v>
      </c>
      <c r="F180" s="301">
        <v>6205</v>
      </c>
      <c r="G180" s="301">
        <v>6391</v>
      </c>
      <c r="H180" s="63">
        <v>6344</v>
      </c>
      <c r="I180" s="63">
        <v>6290</v>
      </c>
      <c r="J180" s="63">
        <v>6293</v>
      </c>
      <c r="K180" s="63">
        <v>6262</v>
      </c>
      <c r="L180" s="63">
        <v>6235</v>
      </c>
      <c r="M180" s="63">
        <v>6212</v>
      </c>
      <c r="N180" s="63">
        <v>6269</v>
      </c>
      <c r="O180" s="63">
        <v>6225</v>
      </c>
      <c r="Q180" s="299" t="s">
        <v>3705</v>
      </c>
    </row>
    <row r="181" spans="1:17">
      <c r="A181" s="299" t="s">
        <v>5431</v>
      </c>
      <c r="B181" s="299" t="s">
        <v>5291</v>
      </c>
      <c r="C181" s="55" t="s">
        <v>7317</v>
      </c>
      <c r="D181" s="301">
        <v>6450</v>
      </c>
      <c r="E181" s="301">
        <v>6426</v>
      </c>
      <c r="F181" s="301">
        <v>6430</v>
      </c>
      <c r="G181" s="301">
        <v>6378</v>
      </c>
      <c r="H181" s="63">
        <v>6181</v>
      </c>
      <c r="I181" s="63">
        <v>6226</v>
      </c>
      <c r="J181" s="63">
        <v>6324</v>
      </c>
      <c r="K181" s="63">
        <v>6366</v>
      </c>
      <c r="L181" s="63">
        <v>6339</v>
      </c>
      <c r="M181" s="63">
        <v>6293</v>
      </c>
      <c r="N181" s="63">
        <v>6396</v>
      </c>
      <c r="O181" s="63">
        <v>6325</v>
      </c>
      <c r="Q181" s="299" t="s">
        <v>5269</v>
      </c>
    </row>
    <row r="182" spans="1:17">
      <c r="A182" s="299" t="s">
        <v>5433</v>
      </c>
      <c r="B182" s="299" t="s">
        <v>5292</v>
      </c>
      <c r="C182" s="55" t="s">
        <v>7318</v>
      </c>
      <c r="D182" s="301">
        <v>6626</v>
      </c>
      <c r="E182" s="301">
        <v>6616</v>
      </c>
      <c r="F182" s="301">
        <v>6622</v>
      </c>
      <c r="G182" s="301">
        <v>6558</v>
      </c>
      <c r="H182" s="63">
        <v>6320</v>
      </c>
      <c r="I182" s="63">
        <v>6200</v>
      </c>
      <c r="J182" s="63">
        <v>6205</v>
      </c>
      <c r="K182" s="63">
        <v>6120</v>
      </c>
      <c r="L182" s="63">
        <v>6144</v>
      </c>
      <c r="M182" s="63">
        <v>6051</v>
      </c>
      <c r="N182" s="63">
        <v>5544</v>
      </c>
      <c r="O182" s="63">
        <v>6122</v>
      </c>
      <c r="Q182" s="299" t="s">
        <v>5269</v>
      </c>
    </row>
    <row r="183" spans="1:17">
      <c r="A183" s="299" t="s">
        <v>5435</v>
      </c>
      <c r="B183" s="299" t="s">
        <v>1447</v>
      </c>
      <c r="C183" s="55" t="s">
        <v>7319</v>
      </c>
      <c r="D183" s="301">
        <v>5931</v>
      </c>
      <c r="E183" s="301">
        <v>5869</v>
      </c>
      <c r="F183" s="301">
        <v>5817</v>
      </c>
      <c r="G183" s="301">
        <v>5751</v>
      </c>
      <c r="H183" s="63">
        <v>5625</v>
      </c>
      <c r="I183" s="63">
        <v>5556</v>
      </c>
      <c r="J183" s="63">
        <v>5568</v>
      </c>
      <c r="K183" s="63">
        <v>5540</v>
      </c>
      <c r="L183" s="63">
        <v>5491</v>
      </c>
      <c r="M183" s="63">
        <v>5377</v>
      </c>
      <c r="N183" s="63">
        <v>6193</v>
      </c>
      <c r="O183" s="63">
        <v>5481</v>
      </c>
      <c r="Q183" s="299" t="s">
        <v>5269</v>
      </c>
    </row>
    <row r="184" spans="1:17">
      <c r="A184" s="299" t="s">
        <v>5436</v>
      </c>
      <c r="B184" s="299" t="s">
        <v>5847</v>
      </c>
      <c r="C184" s="55" t="s">
        <v>7320</v>
      </c>
      <c r="D184" s="301">
        <v>5882</v>
      </c>
      <c r="E184" s="301">
        <v>5833</v>
      </c>
      <c r="F184" s="301">
        <v>5907</v>
      </c>
      <c r="G184" s="301">
        <v>5974</v>
      </c>
      <c r="H184" s="63">
        <v>5921</v>
      </c>
      <c r="I184" s="63">
        <v>5856</v>
      </c>
      <c r="J184" s="63">
        <v>5781</v>
      </c>
      <c r="K184" s="63">
        <v>5867</v>
      </c>
      <c r="L184" s="63">
        <v>5894</v>
      </c>
      <c r="M184" s="63">
        <v>5812</v>
      </c>
      <c r="N184" s="63">
        <v>5855</v>
      </c>
      <c r="O184" s="63">
        <v>5831</v>
      </c>
      <c r="Q184" s="299" t="s">
        <v>5269</v>
      </c>
    </row>
    <row r="185" spans="1:17">
      <c r="A185" s="299" t="s">
        <v>5437</v>
      </c>
      <c r="B185" s="299" t="s">
        <v>5848</v>
      </c>
      <c r="C185" s="55" t="s">
        <v>7321</v>
      </c>
      <c r="D185" s="301">
        <v>6642</v>
      </c>
      <c r="E185" s="301">
        <v>6684</v>
      </c>
      <c r="F185" s="301">
        <v>6619</v>
      </c>
      <c r="G185" s="301">
        <v>6650</v>
      </c>
      <c r="H185" s="63">
        <v>6542</v>
      </c>
      <c r="I185" s="63">
        <v>6550</v>
      </c>
      <c r="J185" s="63">
        <v>6529</v>
      </c>
      <c r="K185" s="63">
        <v>6533</v>
      </c>
      <c r="L185" s="63">
        <v>6430</v>
      </c>
      <c r="M185" s="63">
        <v>6417</v>
      </c>
      <c r="N185" s="63">
        <v>6393</v>
      </c>
      <c r="O185" s="63">
        <v>6364</v>
      </c>
      <c r="Q185" s="299" t="s">
        <v>5269</v>
      </c>
    </row>
    <row r="186" spans="1:17">
      <c r="D186" s="302"/>
      <c r="E186" s="302"/>
      <c r="F186" s="302"/>
      <c r="G186" s="302"/>
      <c r="H186" s="302"/>
      <c r="I186" s="302"/>
      <c r="J186" s="302"/>
      <c r="K186" s="302"/>
      <c r="L186" s="302"/>
      <c r="M186" s="302"/>
      <c r="N186" s="302"/>
      <c r="O186" s="302"/>
    </row>
    <row r="187" spans="1:17">
      <c r="A187" s="299" t="s">
        <v>3442</v>
      </c>
      <c r="D187" s="301">
        <f t="shared" ref="D187:I187" si="75">D169+D171+D172+D174+D176+D177+D179+D180</f>
        <v>51807</v>
      </c>
      <c r="E187" s="301">
        <f t="shared" si="75"/>
        <v>51923</v>
      </c>
      <c r="F187" s="301">
        <f t="shared" si="75"/>
        <v>51848</v>
      </c>
      <c r="G187" s="301">
        <f t="shared" si="75"/>
        <v>52160</v>
      </c>
      <c r="H187" s="301">
        <f t="shared" si="75"/>
        <v>51715</v>
      </c>
      <c r="I187" s="301">
        <f t="shared" si="75"/>
        <v>51548</v>
      </c>
      <c r="J187" s="301">
        <f t="shared" ref="J187:O187" si="76">J169+J171+J172+J174+J176+J177+J179+J180</f>
        <v>51867</v>
      </c>
      <c r="K187" s="301">
        <f t="shared" si="76"/>
        <v>51964</v>
      </c>
      <c r="L187" s="301">
        <f t="shared" si="76"/>
        <v>52080</v>
      </c>
      <c r="M187" s="301">
        <f t="shared" si="76"/>
        <v>52038</v>
      </c>
      <c r="N187" s="301">
        <f t="shared" si="76"/>
        <v>52831</v>
      </c>
      <c r="O187" s="301">
        <f t="shared" si="76"/>
        <v>52574</v>
      </c>
    </row>
    <row r="188" spans="1:17">
      <c r="A188" s="299" t="s">
        <v>5269</v>
      </c>
      <c r="D188" s="301">
        <f t="shared" ref="D188:I188" si="77">D168+D170+D173+D175+D178+SUM(D181:D185)</f>
        <v>63841</v>
      </c>
      <c r="E188" s="301">
        <f t="shared" si="77"/>
        <v>63765</v>
      </c>
      <c r="F188" s="301">
        <f t="shared" si="77"/>
        <v>63970</v>
      </c>
      <c r="G188" s="301">
        <f t="shared" si="77"/>
        <v>64236</v>
      </c>
      <c r="H188" s="301">
        <f t="shared" si="77"/>
        <v>63438</v>
      </c>
      <c r="I188" s="301">
        <f t="shared" si="77"/>
        <v>62946</v>
      </c>
      <c r="J188" s="301">
        <f t="shared" ref="J188:O188" si="78">J168+J170+J173+J175+J178+SUM(J181:J185)</f>
        <v>63155</v>
      </c>
      <c r="K188" s="301">
        <f t="shared" si="78"/>
        <v>63259</v>
      </c>
      <c r="L188" s="301">
        <f t="shared" si="78"/>
        <v>63003</v>
      </c>
      <c r="M188" s="301">
        <f t="shared" si="78"/>
        <v>62353</v>
      </c>
      <c r="N188" s="301">
        <f t="shared" si="78"/>
        <v>63081</v>
      </c>
      <c r="O188" s="301">
        <f t="shared" si="78"/>
        <v>62796</v>
      </c>
    </row>
    <row r="189" spans="1:17">
      <c r="A189" s="299"/>
      <c r="D189" s="301"/>
      <c r="E189" s="301"/>
      <c r="F189" s="301"/>
      <c r="G189" s="301"/>
      <c r="H189" s="301"/>
      <c r="I189" s="301"/>
      <c r="J189" s="301"/>
      <c r="K189" s="301"/>
      <c r="L189" s="301"/>
      <c r="M189" s="301"/>
      <c r="N189" s="301"/>
      <c r="O189" s="301"/>
    </row>
    <row r="190" spans="1:17">
      <c r="A190" s="299" t="s">
        <v>5849</v>
      </c>
      <c r="D190" s="301"/>
      <c r="E190" s="301"/>
      <c r="F190" s="301"/>
      <c r="G190" s="301"/>
      <c r="H190" s="301"/>
      <c r="I190" s="301"/>
      <c r="J190" s="301"/>
      <c r="K190" s="301"/>
      <c r="L190" s="301"/>
      <c r="M190" s="301"/>
      <c r="N190" s="301"/>
      <c r="O190" s="301"/>
    </row>
    <row r="193" spans="1:17">
      <c r="E193" s="51" t="s">
        <v>1526</v>
      </c>
      <c r="F193" s="51"/>
      <c r="G193" s="51"/>
      <c r="H193" s="51"/>
      <c r="I193" s="51"/>
      <c r="J193" s="51"/>
      <c r="K193" s="51"/>
      <c r="L193" s="51"/>
      <c r="M193" s="51"/>
      <c r="N193" s="51"/>
      <c r="O193" s="51"/>
      <c r="P193" s="173"/>
      <c r="Q193" s="173" t="s">
        <v>9479</v>
      </c>
    </row>
    <row r="194" spans="1:17">
      <c r="D194" s="300">
        <v>2010</v>
      </c>
      <c r="E194" s="300">
        <v>2011</v>
      </c>
      <c r="F194" s="300">
        <v>2012</v>
      </c>
      <c r="G194" s="300">
        <v>2013</v>
      </c>
      <c r="H194" s="300">
        <v>2014</v>
      </c>
      <c r="I194" s="300">
        <v>2015</v>
      </c>
      <c r="J194" s="300">
        <v>2016</v>
      </c>
      <c r="K194" s="300">
        <v>2017</v>
      </c>
      <c r="L194" s="300">
        <v>2018</v>
      </c>
      <c r="M194" s="300">
        <v>2019</v>
      </c>
      <c r="N194" s="300">
        <v>2020</v>
      </c>
      <c r="O194" s="934" t="s">
        <v>14823</v>
      </c>
      <c r="Q194" s="206" t="s">
        <v>1527</v>
      </c>
    </row>
    <row r="195" spans="1:17">
      <c r="A195" s="299" t="s">
        <v>5850</v>
      </c>
      <c r="D195" s="301">
        <f t="shared" ref="D195:I195" si="79">SUM(D196:D220)</f>
        <v>213163</v>
      </c>
      <c r="E195" s="301">
        <f t="shared" si="79"/>
        <v>216584</v>
      </c>
      <c r="F195" s="301">
        <f t="shared" si="79"/>
        <v>218220</v>
      </c>
      <c r="G195" s="301">
        <f t="shared" si="79"/>
        <v>215432</v>
      </c>
      <c r="H195" s="301">
        <f t="shared" si="79"/>
        <v>213711</v>
      </c>
      <c r="I195" s="301">
        <f t="shared" si="79"/>
        <v>208509</v>
      </c>
      <c r="J195" s="301">
        <f t="shared" ref="J195:O195" si="80">SUM(J196:J220)</f>
        <v>205546</v>
      </c>
      <c r="K195" s="301">
        <f t="shared" si="80"/>
        <v>202319</v>
      </c>
      <c r="L195" s="301">
        <f t="shared" si="80"/>
        <v>204776</v>
      </c>
      <c r="M195" s="301">
        <f t="shared" si="80"/>
        <v>203345</v>
      </c>
      <c r="N195" s="301">
        <f t="shared" si="80"/>
        <v>207918</v>
      </c>
      <c r="O195" s="301">
        <f t="shared" si="80"/>
        <v>207990</v>
      </c>
    </row>
    <row r="196" spans="1:17">
      <c r="A196" s="299" t="s">
        <v>5387</v>
      </c>
      <c r="B196" s="299" t="s">
        <v>1122</v>
      </c>
      <c r="C196" s="55" t="s">
        <v>7322</v>
      </c>
      <c r="D196" s="301">
        <v>8874</v>
      </c>
      <c r="E196" s="301">
        <v>8959</v>
      </c>
      <c r="F196" s="301">
        <v>9036</v>
      </c>
      <c r="G196" s="56">
        <v>8935</v>
      </c>
      <c r="H196" s="56">
        <v>8850</v>
      </c>
      <c r="I196" s="56">
        <v>8719</v>
      </c>
      <c r="J196" s="56">
        <v>8501</v>
      </c>
      <c r="K196" s="56">
        <v>8411</v>
      </c>
      <c r="L196" s="56">
        <v>8430</v>
      </c>
      <c r="M196" s="56">
        <v>8274</v>
      </c>
      <c r="N196" s="56">
        <v>8433</v>
      </c>
      <c r="O196" s="56">
        <v>8435</v>
      </c>
      <c r="Q196" s="299" t="s">
        <v>5270</v>
      </c>
    </row>
    <row r="197" spans="1:17">
      <c r="A197" s="299" t="s">
        <v>5389</v>
      </c>
      <c r="B197" s="299" t="s">
        <v>5904</v>
      </c>
      <c r="C197" s="55" t="s">
        <v>7323</v>
      </c>
      <c r="D197" s="301">
        <v>8526</v>
      </c>
      <c r="E197" s="301">
        <v>8668</v>
      </c>
      <c r="F197" s="301">
        <v>8721</v>
      </c>
      <c r="G197" s="58">
        <v>8590</v>
      </c>
      <c r="H197" s="58">
        <v>8637</v>
      </c>
      <c r="I197" s="58">
        <v>8491</v>
      </c>
      <c r="J197" s="58">
        <v>8332</v>
      </c>
      <c r="K197" s="58">
        <v>8187</v>
      </c>
      <c r="L197" s="58">
        <v>8295</v>
      </c>
      <c r="M197" s="58">
        <v>8190</v>
      </c>
      <c r="N197" s="58">
        <v>8211</v>
      </c>
      <c r="O197" s="58">
        <v>8210</v>
      </c>
      <c r="Q197" s="299" t="s">
        <v>5272</v>
      </c>
    </row>
    <row r="198" spans="1:17">
      <c r="A198" s="299" t="s">
        <v>5391</v>
      </c>
      <c r="B198" s="299" t="s">
        <v>5851</v>
      </c>
      <c r="C198" s="55" t="s">
        <v>7324</v>
      </c>
      <c r="D198" s="301">
        <v>8921</v>
      </c>
      <c r="E198" s="301">
        <v>8977</v>
      </c>
      <c r="F198" s="301">
        <v>9098</v>
      </c>
      <c r="G198" s="56">
        <v>9127</v>
      </c>
      <c r="H198" s="56">
        <v>9114</v>
      </c>
      <c r="I198" s="56">
        <v>8877</v>
      </c>
      <c r="J198" s="56">
        <v>8767</v>
      </c>
      <c r="K198" s="56">
        <v>8557</v>
      </c>
      <c r="L198" s="56">
        <v>8821</v>
      </c>
      <c r="M198" s="56">
        <v>8684</v>
      </c>
      <c r="N198" s="56">
        <v>9016</v>
      </c>
      <c r="O198" s="56">
        <v>9027</v>
      </c>
      <c r="Q198" s="299" t="s">
        <v>3703</v>
      </c>
    </row>
    <row r="199" spans="1:17">
      <c r="A199" s="299" t="s">
        <v>5393</v>
      </c>
      <c r="B199" s="299" t="s">
        <v>3490</v>
      </c>
      <c r="C199" s="55" t="s">
        <v>7325</v>
      </c>
      <c r="D199" s="301">
        <v>7875</v>
      </c>
      <c r="E199" s="301">
        <v>7992</v>
      </c>
      <c r="F199" s="301">
        <v>7952</v>
      </c>
      <c r="G199" s="56">
        <v>7870</v>
      </c>
      <c r="H199" s="56">
        <v>7752</v>
      </c>
      <c r="I199" s="56">
        <v>7597</v>
      </c>
      <c r="J199" s="56">
        <v>7563</v>
      </c>
      <c r="K199" s="56">
        <v>7533</v>
      </c>
      <c r="L199" s="56">
        <v>7594</v>
      </c>
      <c r="M199" s="56">
        <v>7628</v>
      </c>
      <c r="N199" s="56">
        <v>7852</v>
      </c>
      <c r="O199" s="56">
        <v>7856</v>
      </c>
      <c r="Q199" s="299" t="s">
        <v>3703</v>
      </c>
    </row>
    <row r="200" spans="1:17">
      <c r="A200" s="299" t="s">
        <v>5394</v>
      </c>
      <c r="B200" s="299" t="s">
        <v>3491</v>
      </c>
      <c r="C200" s="55" t="s">
        <v>7326</v>
      </c>
      <c r="D200" s="301">
        <v>9156</v>
      </c>
      <c r="E200" s="301">
        <v>9211</v>
      </c>
      <c r="F200" s="301">
        <v>9196</v>
      </c>
      <c r="G200" s="56">
        <v>9176</v>
      </c>
      <c r="H200" s="56">
        <v>9099</v>
      </c>
      <c r="I200" s="56">
        <v>8975</v>
      </c>
      <c r="J200" s="56">
        <v>8984</v>
      </c>
      <c r="K200" s="56">
        <v>8989</v>
      </c>
      <c r="L200" s="56">
        <v>8983</v>
      </c>
      <c r="M200" s="56">
        <v>8907</v>
      </c>
      <c r="N200" s="56">
        <v>8987</v>
      </c>
      <c r="O200" s="56">
        <v>8987</v>
      </c>
      <c r="Q200" s="299" t="s">
        <v>5270</v>
      </c>
    </row>
    <row r="201" spans="1:17">
      <c r="A201" s="299" t="s">
        <v>5416</v>
      </c>
      <c r="B201" s="299" t="s">
        <v>5430</v>
      </c>
      <c r="C201" s="55" t="s">
        <v>7327</v>
      </c>
      <c r="D201" s="301">
        <v>8329</v>
      </c>
      <c r="E201" s="301">
        <v>8744</v>
      </c>
      <c r="F201" s="301">
        <v>8870</v>
      </c>
      <c r="G201" s="56">
        <v>8478</v>
      </c>
      <c r="H201" s="56">
        <v>8288</v>
      </c>
      <c r="I201" s="56">
        <v>7777</v>
      </c>
      <c r="J201" s="56">
        <v>7538</v>
      </c>
      <c r="K201" s="56">
        <v>7438</v>
      </c>
      <c r="L201" s="56">
        <v>7574</v>
      </c>
      <c r="M201" s="56">
        <v>7521</v>
      </c>
      <c r="N201" s="56">
        <v>7761</v>
      </c>
      <c r="O201" s="56">
        <v>7759</v>
      </c>
      <c r="Q201" s="299" t="s">
        <v>5270</v>
      </c>
    </row>
    <row r="202" spans="1:17">
      <c r="A202" s="299" t="s">
        <v>5418</v>
      </c>
      <c r="B202" s="299" t="s">
        <v>3492</v>
      </c>
      <c r="C202" s="55" t="s">
        <v>7328</v>
      </c>
      <c r="D202" s="301">
        <v>8825</v>
      </c>
      <c r="E202" s="301">
        <v>8902</v>
      </c>
      <c r="F202" s="301">
        <v>9020</v>
      </c>
      <c r="G202" s="56">
        <v>8937</v>
      </c>
      <c r="H202" s="56">
        <v>8907</v>
      </c>
      <c r="I202" s="56">
        <v>8788</v>
      </c>
      <c r="J202" s="56">
        <v>8632</v>
      </c>
      <c r="K202" s="56">
        <v>8584</v>
      </c>
      <c r="L202" s="56">
        <v>8824</v>
      </c>
      <c r="M202" s="56">
        <v>8902</v>
      </c>
      <c r="N202" s="56">
        <v>9177</v>
      </c>
      <c r="O202" s="56">
        <v>9171</v>
      </c>
      <c r="Q202" s="299" t="s">
        <v>3703</v>
      </c>
    </row>
    <row r="203" spans="1:17">
      <c r="A203" s="299" t="s">
        <v>5420</v>
      </c>
      <c r="B203" s="299" t="s">
        <v>4279</v>
      </c>
      <c r="C203" s="55" t="s">
        <v>7329</v>
      </c>
      <c r="D203" s="301">
        <v>9001</v>
      </c>
      <c r="E203" s="301">
        <v>9150</v>
      </c>
      <c r="F203" s="301">
        <v>9200</v>
      </c>
      <c r="G203" s="56">
        <v>9122</v>
      </c>
      <c r="H203" s="56">
        <v>9163</v>
      </c>
      <c r="I203" s="56">
        <v>9028</v>
      </c>
      <c r="J203" s="56">
        <v>9016</v>
      </c>
      <c r="K203" s="56">
        <v>8992</v>
      </c>
      <c r="L203" s="56">
        <v>9268</v>
      </c>
      <c r="M203" s="56">
        <v>9474</v>
      </c>
      <c r="N203" s="56">
        <v>9875</v>
      </c>
      <c r="O203" s="56">
        <v>9886</v>
      </c>
      <c r="Q203" s="299" t="s">
        <v>3703</v>
      </c>
    </row>
    <row r="204" spans="1:17">
      <c r="A204" s="299" t="s">
        <v>5422</v>
      </c>
      <c r="B204" s="299" t="s">
        <v>3855</v>
      </c>
      <c r="C204" s="55" t="s">
        <v>7330</v>
      </c>
      <c r="D204" s="301">
        <v>7400</v>
      </c>
      <c r="E204" s="301">
        <v>7656</v>
      </c>
      <c r="F204" s="301">
        <v>8052</v>
      </c>
      <c r="G204" s="56">
        <v>7706</v>
      </c>
      <c r="H204" s="56">
        <v>7532</v>
      </c>
      <c r="I204" s="56">
        <v>7273</v>
      </c>
      <c r="J204" s="56">
        <v>6920</v>
      </c>
      <c r="K204" s="56">
        <v>6758</v>
      </c>
      <c r="L204" s="56">
        <v>6881</v>
      </c>
      <c r="M204" s="56">
        <v>6808</v>
      </c>
      <c r="N204" s="56">
        <v>7109</v>
      </c>
      <c r="O204" s="56">
        <v>7109</v>
      </c>
      <c r="Q204" s="299" t="s">
        <v>5270</v>
      </c>
    </row>
    <row r="205" spans="1:17">
      <c r="A205" s="299" t="s">
        <v>5424</v>
      </c>
      <c r="B205" s="299" t="s">
        <v>4280</v>
      </c>
      <c r="C205" s="55" t="s">
        <v>7331</v>
      </c>
      <c r="D205" s="301">
        <v>7518</v>
      </c>
      <c r="E205" s="301">
        <v>7602</v>
      </c>
      <c r="F205" s="301">
        <v>7622</v>
      </c>
      <c r="G205" s="56">
        <v>7469</v>
      </c>
      <c r="H205" s="56">
        <v>7358</v>
      </c>
      <c r="I205" s="56">
        <v>7251</v>
      </c>
      <c r="J205" s="56">
        <v>7202</v>
      </c>
      <c r="K205" s="56">
        <v>7002</v>
      </c>
      <c r="L205" s="56">
        <v>7250</v>
      </c>
      <c r="M205" s="56">
        <v>7222</v>
      </c>
      <c r="N205" s="56">
        <v>7609</v>
      </c>
      <c r="O205" s="56">
        <v>7631</v>
      </c>
      <c r="Q205" s="299" t="s">
        <v>5270</v>
      </c>
    </row>
    <row r="206" spans="1:17">
      <c r="A206" s="299" t="s">
        <v>5426</v>
      </c>
      <c r="B206" s="299" t="s">
        <v>4281</v>
      </c>
      <c r="C206" s="55" t="s">
        <v>7332</v>
      </c>
      <c r="D206" s="301">
        <v>8685</v>
      </c>
      <c r="E206" s="301">
        <v>8705</v>
      </c>
      <c r="F206" s="301">
        <v>8703</v>
      </c>
      <c r="G206" s="58">
        <v>8657</v>
      </c>
      <c r="H206" s="58">
        <v>8591</v>
      </c>
      <c r="I206" s="58">
        <v>8300</v>
      </c>
      <c r="J206" s="58">
        <v>8107</v>
      </c>
      <c r="K206" s="58">
        <v>7774</v>
      </c>
      <c r="L206" s="58">
        <v>7884</v>
      </c>
      <c r="M206" s="58">
        <v>7903</v>
      </c>
      <c r="N206" s="58">
        <v>7966</v>
      </c>
      <c r="O206" s="58">
        <v>7987</v>
      </c>
      <c r="Q206" s="299" t="s">
        <v>5272</v>
      </c>
    </row>
    <row r="207" spans="1:17">
      <c r="A207" s="299" t="s">
        <v>5428</v>
      </c>
      <c r="B207" s="299" t="s">
        <v>4282</v>
      </c>
      <c r="C207" s="55" t="s">
        <v>7333</v>
      </c>
      <c r="D207" s="301">
        <v>8139</v>
      </c>
      <c r="E207" s="301">
        <v>8227</v>
      </c>
      <c r="F207" s="301">
        <v>8254</v>
      </c>
      <c r="G207" s="56">
        <v>8199</v>
      </c>
      <c r="H207" s="56">
        <v>8171</v>
      </c>
      <c r="I207" s="56">
        <v>7950</v>
      </c>
      <c r="J207" s="56">
        <v>7964</v>
      </c>
      <c r="K207" s="56">
        <v>7964</v>
      </c>
      <c r="L207" s="56">
        <v>8049</v>
      </c>
      <c r="M207" s="56">
        <v>8072</v>
      </c>
      <c r="N207" s="56">
        <v>8497</v>
      </c>
      <c r="O207" s="56">
        <v>8497</v>
      </c>
      <c r="Q207" s="299" t="s">
        <v>5270</v>
      </c>
    </row>
    <row r="208" spans="1:17">
      <c r="A208" s="299" t="s">
        <v>5429</v>
      </c>
      <c r="B208" s="299" t="s">
        <v>1690</v>
      </c>
      <c r="C208" s="55" t="s">
        <v>7334</v>
      </c>
      <c r="D208" s="301">
        <v>8473</v>
      </c>
      <c r="E208" s="301">
        <v>8661</v>
      </c>
      <c r="F208" s="301">
        <v>8678</v>
      </c>
      <c r="G208" s="58">
        <v>8643</v>
      </c>
      <c r="H208" s="58">
        <v>8514</v>
      </c>
      <c r="I208" s="58">
        <v>8248</v>
      </c>
      <c r="J208" s="58">
        <v>8084</v>
      </c>
      <c r="K208" s="58">
        <v>7789</v>
      </c>
      <c r="L208" s="58">
        <v>7792</v>
      </c>
      <c r="M208" s="58">
        <v>7726</v>
      </c>
      <c r="N208" s="58">
        <v>7924</v>
      </c>
      <c r="O208" s="58">
        <v>7920</v>
      </c>
      <c r="Q208" s="299" t="s">
        <v>5272</v>
      </c>
    </row>
    <row r="209" spans="1:17">
      <c r="A209" s="299" t="s">
        <v>5431</v>
      </c>
      <c r="B209" s="299" t="s">
        <v>2471</v>
      </c>
      <c r="C209" s="55" t="s">
        <v>7335</v>
      </c>
      <c r="D209" s="301">
        <v>7893</v>
      </c>
      <c r="E209" s="301">
        <v>7965</v>
      </c>
      <c r="F209" s="301">
        <v>8039</v>
      </c>
      <c r="G209" s="56">
        <v>7979</v>
      </c>
      <c r="H209" s="56">
        <v>7940</v>
      </c>
      <c r="I209" s="56">
        <v>7730</v>
      </c>
      <c r="J209" s="56">
        <v>7547</v>
      </c>
      <c r="K209" s="56">
        <v>7339</v>
      </c>
      <c r="L209" s="56">
        <v>7427</v>
      </c>
      <c r="M209" s="56">
        <v>7376</v>
      </c>
      <c r="N209" s="56">
        <v>7491</v>
      </c>
      <c r="O209" s="56">
        <v>7501</v>
      </c>
      <c r="Q209" s="299" t="s">
        <v>3703</v>
      </c>
    </row>
    <row r="210" spans="1:17">
      <c r="A210" s="299" t="s">
        <v>5433</v>
      </c>
      <c r="B210" s="299" t="s">
        <v>6913</v>
      </c>
      <c r="C210" s="55" t="s">
        <v>7336</v>
      </c>
      <c r="D210" s="301">
        <v>8538</v>
      </c>
      <c r="E210" s="301">
        <v>9031</v>
      </c>
      <c r="F210" s="301">
        <v>9134</v>
      </c>
      <c r="G210" s="58">
        <v>8872</v>
      </c>
      <c r="H210" s="58">
        <v>8665</v>
      </c>
      <c r="I210" s="58">
        <v>8304</v>
      </c>
      <c r="J210" s="58">
        <v>8157</v>
      </c>
      <c r="K210" s="58">
        <v>8157</v>
      </c>
      <c r="L210" s="58">
        <v>8271</v>
      </c>
      <c r="M210" s="58">
        <v>8057</v>
      </c>
      <c r="N210" s="58">
        <v>8334</v>
      </c>
      <c r="O210" s="58">
        <v>8335</v>
      </c>
      <c r="Q210" s="299" t="s">
        <v>5270</v>
      </c>
    </row>
    <row r="211" spans="1:17">
      <c r="A211" s="299" t="s">
        <v>5435</v>
      </c>
      <c r="B211" s="299" t="s">
        <v>6728</v>
      </c>
      <c r="C211" s="55" t="s">
        <v>7337</v>
      </c>
      <c r="D211" s="301">
        <v>8520</v>
      </c>
      <c r="E211" s="301">
        <v>8566</v>
      </c>
      <c r="F211" s="301">
        <v>8692</v>
      </c>
      <c r="G211" s="58">
        <v>8377</v>
      </c>
      <c r="H211" s="58">
        <v>8226</v>
      </c>
      <c r="I211" s="58">
        <v>8071</v>
      </c>
      <c r="J211" s="58">
        <v>8081</v>
      </c>
      <c r="K211" s="58">
        <v>7920</v>
      </c>
      <c r="L211" s="58">
        <v>8052</v>
      </c>
      <c r="M211" s="58">
        <v>7960</v>
      </c>
      <c r="N211" s="58">
        <v>8057</v>
      </c>
      <c r="O211" s="58">
        <v>8054</v>
      </c>
      <c r="Q211" s="299" t="s">
        <v>5270</v>
      </c>
    </row>
    <row r="212" spans="1:17">
      <c r="A212" s="299" t="s">
        <v>5436</v>
      </c>
      <c r="B212" s="299" t="s">
        <v>2472</v>
      </c>
      <c r="C212" s="55" t="s">
        <v>7338</v>
      </c>
      <c r="D212" s="301">
        <v>8358</v>
      </c>
      <c r="E212" s="301">
        <v>8514</v>
      </c>
      <c r="F212" s="301">
        <v>8578</v>
      </c>
      <c r="G212" s="56">
        <v>8523</v>
      </c>
      <c r="H212" s="56">
        <v>8375</v>
      </c>
      <c r="I212" s="56">
        <v>8149</v>
      </c>
      <c r="J212" s="56">
        <v>7976</v>
      </c>
      <c r="K212" s="56">
        <v>7690</v>
      </c>
      <c r="L212" s="56">
        <v>7780</v>
      </c>
      <c r="M212" s="56">
        <v>7647</v>
      </c>
      <c r="N212" s="56">
        <v>7776</v>
      </c>
      <c r="O212" s="56">
        <v>7790</v>
      </c>
      <c r="Q212" s="299" t="s">
        <v>3703</v>
      </c>
    </row>
    <row r="213" spans="1:17">
      <c r="A213" s="299" t="s">
        <v>5437</v>
      </c>
      <c r="B213" s="299" t="s">
        <v>2473</v>
      </c>
      <c r="C213" s="55" t="s">
        <v>7339</v>
      </c>
      <c r="D213" s="301">
        <v>9850</v>
      </c>
      <c r="E213" s="301">
        <v>10082</v>
      </c>
      <c r="F213" s="301">
        <v>10206</v>
      </c>
      <c r="G213" s="56">
        <v>10123</v>
      </c>
      <c r="H213" s="56">
        <v>9975</v>
      </c>
      <c r="I213" s="56">
        <v>9782</v>
      </c>
      <c r="J213" s="56">
        <v>9719</v>
      </c>
      <c r="K213" s="56">
        <v>9601</v>
      </c>
      <c r="L213" s="56">
        <v>9664</v>
      </c>
      <c r="M213" s="56">
        <v>9571</v>
      </c>
      <c r="N213" s="56">
        <v>9690</v>
      </c>
      <c r="O213" s="56">
        <v>9697</v>
      </c>
      <c r="Q213" s="299" t="s">
        <v>3703</v>
      </c>
    </row>
    <row r="214" spans="1:17">
      <c r="A214" s="299" t="s">
        <v>5439</v>
      </c>
      <c r="B214" s="299" t="s">
        <v>2474</v>
      </c>
      <c r="C214" s="55" t="s">
        <v>7340</v>
      </c>
      <c r="D214" s="301">
        <v>8467</v>
      </c>
      <c r="E214" s="301">
        <v>8533</v>
      </c>
      <c r="F214" s="301">
        <v>8592</v>
      </c>
      <c r="G214" s="56">
        <v>8560</v>
      </c>
      <c r="H214" s="56">
        <v>8554</v>
      </c>
      <c r="I214" s="56">
        <v>8265</v>
      </c>
      <c r="J214" s="56">
        <v>8109</v>
      </c>
      <c r="K214" s="56">
        <v>7978</v>
      </c>
      <c r="L214" s="56">
        <v>8013</v>
      </c>
      <c r="M214" s="56">
        <v>7965</v>
      </c>
      <c r="N214" s="56">
        <v>8026</v>
      </c>
      <c r="O214" s="56">
        <v>8035</v>
      </c>
      <c r="Q214" s="299" t="s">
        <v>3703</v>
      </c>
    </row>
    <row r="215" spans="1:17">
      <c r="A215" s="299" t="s">
        <v>5441</v>
      </c>
      <c r="B215" s="299" t="s">
        <v>792</v>
      </c>
      <c r="C215" s="55" t="s">
        <v>7341</v>
      </c>
      <c r="D215" s="301">
        <v>8194</v>
      </c>
      <c r="E215" s="301">
        <v>8296</v>
      </c>
      <c r="F215" s="301">
        <v>8360</v>
      </c>
      <c r="G215" s="56">
        <v>8134</v>
      </c>
      <c r="H215" s="56">
        <v>8177</v>
      </c>
      <c r="I215" s="56">
        <v>7918</v>
      </c>
      <c r="J215" s="56">
        <v>7885</v>
      </c>
      <c r="K215" s="56">
        <v>7839</v>
      </c>
      <c r="L215" s="56">
        <v>7942</v>
      </c>
      <c r="M215" s="56">
        <v>7816</v>
      </c>
      <c r="N215" s="56">
        <v>7886</v>
      </c>
      <c r="O215" s="56">
        <v>7881</v>
      </c>
      <c r="Q215" s="299" t="s">
        <v>5270</v>
      </c>
    </row>
    <row r="216" spans="1:17">
      <c r="A216" s="299" t="s">
        <v>5886</v>
      </c>
      <c r="B216" s="299" t="s">
        <v>5445</v>
      </c>
      <c r="C216" s="55" t="s">
        <v>7342</v>
      </c>
      <c r="D216" s="301">
        <v>8829</v>
      </c>
      <c r="E216" s="301">
        <v>8998</v>
      </c>
      <c r="F216" s="301">
        <v>9031</v>
      </c>
      <c r="G216" s="58">
        <v>8983</v>
      </c>
      <c r="H216" s="58">
        <v>8941</v>
      </c>
      <c r="I216" s="58">
        <v>8814</v>
      </c>
      <c r="J216" s="58">
        <v>8654</v>
      </c>
      <c r="K216" s="58">
        <v>8466</v>
      </c>
      <c r="L216" s="58">
        <v>8526</v>
      </c>
      <c r="M216" s="58">
        <v>8451</v>
      </c>
      <c r="N216" s="58">
        <v>8554</v>
      </c>
      <c r="O216" s="58">
        <v>8550</v>
      </c>
      <c r="Q216" s="299" t="s">
        <v>5272</v>
      </c>
    </row>
    <row r="217" spans="1:17">
      <c r="A217" s="299" t="s">
        <v>5888</v>
      </c>
      <c r="B217" s="299" t="s">
        <v>5446</v>
      </c>
      <c r="C217" s="55" t="s">
        <v>7343</v>
      </c>
      <c r="D217" s="301">
        <v>8765</v>
      </c>
      <c r="E217" s="301">
        <v>8856</v>
      </c>
      <c r="F217" s="301">
        <v>8872</v>
      </c>
      <c r="G217" s="58">
        <v>8848</v>
      </c>
      <c r="H217" s="58">
        <v>8907</v>
      </c>
      <c r="I217" s="58">
        <v>8689</v>
      </c>
      <c r="J217" s="58">
        <v>8801</v>
      </c>
      <c r="K217" s="58">
        <v>8783</v>
      </c>
      <c r="L217" s="58">
        <v>8935</v>
      </c>
      <c r="M217" s="58">
        <v>8899</v>
      </c>
      <c r="N217" s="58">
        <v>9092</v>
      </c>
      <c r="O217" s="58">
        <v>9090</v>
      </c>
      <c r="Q217" s="299" t="s">
        <v>5272</v>
      </c>
    </row>
    <row r="218" spans="1:17">
      <c r="A218" s="299" t="s">
        <v>5889</v>
      </c>
      <c r="B218" s="299" t="s">
        <v>5447</v>
      </c>
      <c r="C218" s="55" t="s">
        <v>7344</v>
      </c>
      <c r="D218" s="301">
        <v>8696</v>
      </c>
      <c r="E218" s="301">
        <v>8824</v>
      </c>
      <c r="F218" s="301">
        <v>8910</v>
      </c>
      <c r="G218" s="58">
        <v>8808</v>
      </c>
      <c r="H218" s="58">
        <v>8680</v>
      </c>
      <c r="I218" s="58">
        <v>8442</v>
      </c>
      <c r="J218" s="58">
        <v>8183</v>
      </c>
      <c r="K218" s="58">
        <v>7980</v>
      </c>
      <c r="L218" s="58">
        <v>7930</v>
      </c>
      <c r="M218" s="58">
        <v>7845</v>
      </c>
      <c r="N218" s="58">
        <v>7942</v>
      </c>
      <c r="O218" s="58">
        <v>7935</v>
      </c>
      <c r="Q218" s="299" t="s">
        <v>5272</v>
      </c>
    </row>
    <row r="219" spans="1:17">
      <c r="A219" s="299" t="s">
        <v>4431</v>
      </c>
      <c r="B219" s="299" t="s">
        <v>5448</v>
      </c>
      <c r="C219" s="55" t="s">
        <v>7345</v>
      </c>
      <c r="D219" s="301">
        <v>8272</v>
      </c>
      <c r="E219" s="301">
        <v>8275</v>
      </c>
      <c r="F219" s="301">
        <v>8243</v>
      </c>
      <c r="G219" s="58">
        <v>8179</v>
      </c>
      <c r="H219" s="58">
        <v>8151</v>
      </c>
      <c r="I219" s="58">
        <v>7975</v>
      </c>
      <c r="J219" s="58">
        <v>7846</v>
      </c>
      <c r="K219" s="58">
        <v>7747</v>
      </c>
      <c r="L219" s="58">
        <v>7757</v>
      </c>
      <c r="M219" s="58">
        <v>7701</v>
      </c>
      <c r="N219" s="58">
        <v>7840</v>
      </c>
      <c r="O219" s="58">
        <v>7837</v>
      </c>
      <c r="Q219" s="299" t="s">
        <v>5272</v>
      </c>
    </row>
    <row r="220" spans="1:17">
      <c r="A220" s="299" t="s">
        <v>4432</v>
      </c>
      <c r="B220" s="299" t="s">
        <v>5449</v>
      </c>
      <c r="C220" s="55" t="s">
        <v>7346</v>
      </c>
      <c r="D220" s="301">
        <v>9059</v>
      </c>
      <c r="E220" s="301">
        <v>9190</v>
      </c>
      <c r="F220" s="301">
        <v>9161</v>
      </c>
      <c r="G220" s="58">
        <v>9137</v>
      </c>
      <c r="H220" s="58">
        <v>9144</v>
      </c>
      <c r="I220" s="58">
        <v>9096</v>
      </c>
      <c r="J220" s="58">
        <v>8978</v>
      </c>
      <c r="K220" s="58">
        <v>8841</v>
      </c>
      <c r="L220" s="58">
        <v>8834</v>
      </c>
      <c r="M220" s="58">
        <v>8746</v>
      </c>
      <c r="N220" s="58">
        <v>8813</v>
      </c>
      <c r="O220" s="58">
        <v>8810</v>
      </c>
      <c r="Q220" s="299" t="s">
        <v>5272</v>
      </c>
    </row>
    <row r="221" spans="1:17">
      <c r="D221" s="302"/>
      <c r="E221" s="302"/>
      <c r="F221" s="302"/>
      <c r="G221" s="302"/>
      <c r="H221" s="302"/>
      <c r="I221" s="302"/>
      <c r="J221" s="302"/>
      <c r="K221" s="302"/>
      <c r="L221" s="302"/>
      <c r="M221" s="302"/>
      <c r="N221" s="302"/>
      <c r="O221" s="302"/>
    </row>
    <row r="222" spans="1:17">
      <c r="A222" s="299" t="s">
        <v>3703</v>
      </c>
      <c r="D222" s="301">
        <f t="shared" ref="D222:I222" si="81">D198+D199+D202+D203+D209+SUM(D212:D214)</f>
        <v>69190</v>
      </c>
      <c r="E222" s="301">
        <f t="shared" si="81"/>
        <v>70115</v>
      </c>
      <c r="F222" s="301">
        <f t="shared" si="81"/>
        <v>70685</v>
      </c>
      <c r="G222" s="301">
        <f t="shared" si="81"/>
        <v>70241</v>
      </c>
      <c r="H222" s="301">
        <f t="shared" si="81"/>
        <v>69780</v>
      </c>
      <c r="I222" s="301">
        <f t="shared" si="81"/>
        <v>68216</v>
      </c>
      <c r="J222" s="301">
        <f t="shared" ref="J222:O222" si="82">J198+J199+J202+J203+J209+SUM(J212:J214)</f>
        <v>67329</v>
      </c>
      <c r="K222" s="301">
        <f t="shared" si="82"/>
        <v>66274</v>
      </c>
      <c r="L222" s="301">
        <f t="shared" si="82"/>
        <v>67391</v>
      </c>
      <c r="M222" s="301">
        <f t="shared" si="82"/>
        <v>67247</v>
      </c>
      <c r="N222" s="301">
        <f t="shared" si="82"/>
        <v>68903</v>
      </c>
      <c r="O222" s="301">
        <f t="shared" si="82"/>
        <v>68963</v>
      </c>
    </row>
    <row r="223" spans="1:17">
      <c r="A223" s="299" t="s">
        <v>5270</v>
      </c>
      <c r="D223" s="301">
        <f t="shared" ref="D223:I223" si="83">D196+D200+D201+D204+D205+D207+D210+D211+D215</f>
        <v>74668</v>
      </c>
      <c r="E223" s="301">
        <f t="shared" si="83"/>
        <v>76292</v>
      </c>
      <c r="F223" s="301">
        <f t="shared" si="83"/>
        <v>77216</v>
      </c>
      <c r="G223" s="301">
        <f t="shared" si="83"/>
        <v>75346</v>
      </c>
      <c r="H223" s="301">
        <f t="shared" si="83"/>
        <v>74366</v>
      </c>
      <c r="I223" s="301">
        <f t="shared" si="83"/>
        <v>72238</v>
      </c>
      <c r="J223" s="301">
        <f t="shared" ref="J223:O223" si="84">J196+J200+J201+J204+J205+J207+J210+J211+J215</f>
        <v>71232</v>
      </c>
      <c r="K223" s="301">
        <f t="shared" si="84"/>
        <v>70478</v>
      </c>
      <c r="L223" s="301">
        <f t="shared" si="84"/>
        <v>71432</v>
      </c>
      <c r="M223" s="301">
        <f t="shared" si="84"/>
        <v>70637</v>
      </c>
      <c r="N223" s="301">
        <f t="shared" si="84"/>
        <v>72673</v>
      </c>
      <c r="O223" s="301">
        <f t="shared" si="84"/>
        <v>72688</v>
      </c>
    </row>
    <row r="224" spans="1:17">
      <c r="A224" s="299" t="s">
        <v>5272</v>
      </c>
      <c r="D224" s="301">
        <f t="shared" ref="D224:I224" si="85">D197+D206+D208+SUM(D216:D220)</f>
        <v>69305</v>
      </c>
      <c r="E224" s="301">
        <f t="shared" si="85"/>
        <v>70177</v>
      </c>
      <c r="F224" s="301">
        <f t="shared" si="85"/>
        <v>70319</v>
      </c>
      <c r="G224" s="301">
        <f t="shared" si="85"/>
        <v>69845</v>
      </c>
      <c r="H224" s="301">
        <f t="shared" si="85"/>
        <v>69565</v>
      </c>
      <c r="I224" s="301">
        <f t="shared" si="85"/>
        <v>68055</v>
      </c>
      <c r="J224" s="301">
        <f t="shared" ref="J224:O224" si="86">J197+J206+J208+SUM(J216:J220)</f>
        <v>66985</v>
      </c>
      <c r="K224" s="301">
        <f t="shared" si="86"/>
        <v>65567</v>
      </c>
      <c r="L224" s="301">
        <f t="shared" si="86"/>
        <v>65953</v>
      </c>
      <c r="M224" s="301">
        <f t="shared" si="86"/>
        <v>65461</v>
      </c>
      <c r="N224" s="301">
        <f t="shared" si="86"/>
        <v>66342</v>
      </c>
      <c r="O224" s="301">
        <f t="shared" si="86"/>
        <v>66339</v>
      </c>
    </row>
  </sheetData>
  <phoneticPr fontId="6" type="noConversion"/>
  <printOptions gridLinesSet="0"/>
  <pageMargins left="0.78740157480314965" right="0" top="1.1023622047244095" bottom="0.51181102362204722" header="0.51181102362204722" footer="0.51181102362204722"/>
  <pageSetup paperSize="9" scale="71" orientation="portrait" horizontalDpi="300" verticalDpi="300" r:id="rId1"/>
  <headerFooter alignWithMargins="0">
    <oddFooter>&amp;C&amp;8&amp;P of &amp;N</oddFooter>
  </headerFooter>
  <ignoredErrors>
    <ignoredError sqref="D167:K167 D195:K195 D137:K137 E46:E48 D79:I82 D22:D48 E22:E44 F22:G48 D53:K53 D59:I59 D13:G17 D20:G20 D3:I11 H13:I48 D187:I188 D222:I224 D159:I160 D12:I12 J79:J82 J187:J188 J222:J224 J159:J160 J3:J48 K187:K188 K159:K160 K222:K224 K79:K82 K3:K48 D100:K127 L3:L224 D90:K90 D129:K130" unlockedFormula="1"/>
    <ignoredError sqref="D128:K128" formulaRange="1" unlocked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dimension ref="A1:Q49"/>
  <sheetViews>
    <sheetView showGridLines="0" topLeftCell="A32" zoomScale="90" zoomScaleNormal="90" workbookViewId="0">
      <selection activeCell="Q23" sqref="Q23"/>
    </sheetView>
  </sheetViews>
  <sheetFormatPr defaultColWidth="12.5703125" defaultRowHeight="15"/>
  <cols>
    <col min="1" max="1" width="4.85546875" style="117" customWidth="1"/>
    <col min="2" max="2" width="40.7109375" style="117" customWidth="1"/>
    <col min="3" max="3" width="11.42578125" style="117" customWidth="1"/>
    <col min="4" max="15" width="10" style="117" customWidth="1"/>
    <col min="16" max="16" width="2" style="117" customWidth="1"/>
    <col min="17" max="17" width="34.5703125" style="117" customWidth="1"/>
    <col min="18" max="16384" width="12.5703125" style="117"/>
  </cols>
  <sheetData>
    <row r="1" spans="1:17">
      <c r="A1" s="292" t="s">
        <v>5719</v>
      </c>
      <c r="D1" s="293">
        <v>2010</v>
      </c>
      <c r="E1" s="293">
        <v>2011</v>
      </c>
      <c r="F1" s="293">
        <v>2012</v>
      </c>
      <c r="G1" s="293">
        <v>2013</v>
      </c>
      <c r="H1" s="293">
        <v>2014</v>
      </c>
      <c r="I1" s="293">
        <v>2015</v>
      </c>
      <c r="J1" s="293">
        <v>2016</v>
      </c>
      <c r="K1" s="293">
        <v>2017</v>
      </c>
      <c r="L1" s="293">
        <v>2018</v>
      </c>
      <c r="M1" s="293">
        <v>2019</v>
      </c>
      <c r="N1" s="293">
        <v>2020</v>
      </c>
      <c r="O1" s="933" t="s">
        <v>14823</v>
      </c>
    </row>
    <row r="3" spans="1:17">
      <c r="A3" s="292" t="s">
        <v>5985</v>
      </c>
      <c r="D3" s="294">
        <f t="shared" ref="D3:I3" si="0">SUM(D27:D46)</f>
        <v>157516</v>
      </c>
      <c r="E3" s="294">
        <f t="shared" si="0"/>
        <v>158450</v>
      </c>
      <c r="F3" s="294">
        <f t="shared" si="0"/>
        <v>159638</v>
      </c>
      <c r="G3" s="294">
        <f t="shared" si="0"/>
        <v>159760</v>
      </c>
      <c r="H3" s="294">
        <f t="shared" si="0"/>
        <v>160570</v>
      </c>
      <c r="I3" s="294">
        <f t="shared" si="0"/>
        <v>156890</v>
      </c>
      <c r="J3" s="294">
        <f t="shared" ref="J3:O3" si="1">SUM(J27:J46)</f>
        <v>155532</v>
      </c>
      <c r="K3" s="294">
        <f t="shared" si="1"/>
        <v>158024</v>
      </c>
      <c r="L3" s="294">
        <f t="shared" si="1"/>
        <v>160876</v>
      </c>
      <c r="M3" s="294">
        <f t="shared" si="1"/>
        <v>158678</v>
      </c>
      <c r="N3" s="294">
        <f t="shared" si="1"/>
        <v>160831</v>
      </c>
      <c r="O3" s="294">
        <f t="shared" si="1"/>
        <v>167791</v>
      </c>
    </row>
    <row r="5" spans="1:17">
      <c r="A5" s="292" t="s">
        <v>5720</v>
      </c>
      <c r="D5" s="294">
        <f t="shared" ref="D5:I5" si="2">D3/2</f>
        <v>78758</v>
      </c>
      <c r="E5" s="294">
        <f t="shared" si="2"/>
        <v>79225</v>
      </c>
      <c r="F5" s="294">
        <f t="shared" si="2"/>
        <v>79819</v>
      </c>
      <c r="G5" s="294">
        <f t="shared" si="2"/>
        <v>79880</v>
      </c>
      <c r="H5" s="294">
        <f t="shared" si="2"/>
        <v>80285</v>
      </c>
      <c r="I5" s="294">
        <f t="shared" si="2"/>
        <v>78445</v>
      </c>
      <c r="J5" s="294">
        <f t="shared" ref="J5:O5" si="3">J3/2</f>
        <v>77766</v>
      </c>
      <c r="K5" s="294">
        <f t="shared" si="3"/>
        <v>79012</v>
      </c>
      <c r="L5" s="294">
        <f t="shared" si="3"/>
        <v>80438</v>
      </c>
      <c r="M5" s="294">
        <f t="shared" si="3"/>
        <v>79339</v>
      </c>
      <c r="N5" s="294">
        <f t="shared" si="3"/>
        <v>80415.5</v>
      </c>
      <c r="O5" s="294">
        <f t="shared" si="3"/>
        <v>83895.5</v>
      </c>
    </row>
    <row r="6" spans="1:17">
      <c r="D6" s="295"/>
      <c r="E6" s="295"/>
      <c r="F6" s="295"/>
      <c r="G6" s="295"/>
      <c r="H6" s="295"/>
      <c r="I6" s="295"/>
      <c r="J6" s="295"/>
      <c r="K6" s="295"/>
      <c r="L6" s="295"/>
      <c r="M6" s="295"/>
      <c r="N6" s="295"/>
      <c r="O6" s="295"/>
    </row>
    <row r="7" spans="1:17">
      <c r="A7" s="292" t="s">
        <v>6536</v>
      </c>
      <c r="D7" s="294">
        <f>REDBRIDGE!D7</f>
        <v>16493</v>
      </c>
      <c r="E7" s="294">
        <f>REDBRIDGE!E7</f>
        <v>16475</v>
      </c>
      <c r="F7" s="294">
        <f>REDBRIDGE!F7</f>
        <v>16792</v>
      </c>
      <c r="G7" s="294">
        <f>REDBRIDGE!G7</f>
        <v>16786</v>
      </c>
      <c r="H7" s="294">
        <f>REDBRIDGE!H7</f>
        <v>16983</v>
      </c>
      <c r="I7" s="294">
        <f>REDBRIDGE!I7</f>
        <v>16566</v>
      </c>
      <c r="J7" s="294">
        <f>REDBRIDGE!J7</f>
        <v>15580</v>
      </c>
      <c r="K7" s="294">
        <f>REDBRIDGE!K7</f>
        <v>16174</v>
      </c>
      <c r="L7" s="294">
        <f>REDBRIDGE!L7</f>
        <v>16860</v>
      </c>
      <c r="M7" s="294">
        <f>REDBRIDGE!M7</f>
        <v>15686</v>
      </c>
      <c r="N7" s="294">
        <f>REDBRIDGE!N7</f>
        <v>16250</v>
      </c>
      <c r="O7" s="294">
        <f>REDBRIDGE!O7</f>
        <v>16485</v>
      </c>
      <c r="Q7" s="292" t="s">
        <v>6537</v>
      </c>
    </row>
    <row r="8" spans="1:17" ht="15.75" thickBot="1">
      <c r="D8" s="296">
        <f t="shared" ref="D8:I8" si="4">D30+D31+D34+D35+D39+D44</f>
        <v>48311</v>
      </c>
      <c r="E8" s="296">
        <f t="shared" si="4"/>
        <v>48295</v>
      </c>
      <c r="F8" s="296">
        <f t="shared" si="4"/>
        <v>48641</v>
      </c>
      <c r="G8" s="296">
        <f t="shared" si="4"/>
        <v>48699</v>
      </c>
      <c r="H8" s="296">
        <f t="shared" si="4"/>
        <v>49063</v>
      </c>
      <c r="I8" s="296">
        <f t="shared" si="4"/>
        <v>48518</v>
      </c>
      <c r="J8" s="296">
        <f t="shared" ref="J8:O8" si="5">J30+J31+J34+J35+J39+J44</f>
        <v>47671</v>
      </c>
      <c r="K8" s="296">
        <f t="shared" si="5"/>
        <v>47917</v>
      </c>
      <c r="L8" s="296">
        <f t="shared" si="5"/>
        <v>48448</v>
      </c>
      <c r="M8" s="296">
        <f t="shared" si="5"/>
        <v>47849</v>
      </c>
      <c r="N8" s="296">
        <f t="shared" si="5"/>
        <v>47953</v>
      </c>
      <c r="O8" s="296">
        <f t="shared" si="5"/>
        <v>49246</v>
      </c>
      <c r="Q8" s="292" t="s">
        <v>6538</v>
      </c>
    </row>
    <row r="9" spans="1:17" ht="15.75" thickBot="1">
      <c r="D9" s="296">
        <f t="shared" ref="D9:I9" si="6">SUM(D7:D8)</f>
        <v>64804</v>
      </c>
      <c r="E9" s="296">
        <f t="shared" si="6"/>
        <v>64770</v>
      </c>
      <c r="F9" s="296">
        <f t="shared" si="6"/>
        <v>65433</v>
      </c>
      <c r="G9" s="296">
        <f t="shared" si="6"/>
        <v>65485</v>
      </c>
      <c r="H9" s="296">
        <f t="shared" si="6"/>
        <v>66046</v>
      </c>
      <c r="I9" s="296">
        <f t="shared" si="6"/>
        <v>65084</v>
      </c>
      <c r="J9" s="296">
        <f t="shared" ref="J9:O9" si="7">SUM(J7:J8)</f>
        <v>63251</v>
      </c>
      <c r="K9" s="296">
        <f t="shared" si="7"/>
        <v>64091</v>
      </c>
      <c r="L9" s="296">
        <f t="shared" si="7"/>
        <v>65308</v>
      </c>
      <c r="M9" s="296">
        <f t="shared" si="7"/>
        <v>63535</v>
      </c>
      <c r="N9" s="296">
        <f t="shared" si="7"/>
        <v>64203</v>
      </c>
      <c r="O9" s="296">
        <f t="shared" si="7"/>
        <v>65731</v>
      </c>
    </row>
    <row r="10" spans="1:17">
      <c r="D10" s="295"/>
      <c r="E10" s="295"/>
      <c r="F10" s="295"/>
      <c r="G10" s="295"/>
      <c r="H10" s="295"/>
      <c r="I10" s="295"/>
      <c r="J10" s="295"/>
      <c r="K10" s="295"/>
      <c r="L10" s="295"/>
      <c r="M10" s="295"/>
      <c r="N10" s="295"/>
      <c r="O10" s="295"/>
    </row>
    <row r="11" spans="1:17">
      <c r="A11" s="292" t="s">
        <v>5986</v>
      </c>
      <c r="D11" s="294">
        <f>REDBRIDGE!D15</f>
        <v>17190</v>
      </c>
      <c r="E11" s="294">
        <f>REDBRIDGE!E15</f>
        <v>17348</v>
      </c>
      <c r="F11" s="294">
        <f>REDBRIDGE!F15</f>
        <v>17529</v>
      </c>
      <c r="G11" s="294">
        <f>REDBRIDGE!G15</f>
        <v>17488</v>
      </c>
      <c r="H11" s="294">
        <f>REDBRIDGE!H15</f>
        <v>17693</v>
      </c>
      <c r="I11" s="294">
        <f>REDBRIDGE!I15</f>
        <v>17166</v>
      </c>
      <c r="J11" s="294">
        <f>REDBRIDGE!J15</f>
        <v>16248</v>
      </c>
      <c r="K11" s="294">
        <f>REDBRIDGE!K15</f>
        <v>17184</v>
      </c>
      <c r="L11" s="294">
        <f>REDBRIDGE!L15</f>
        <v>17827</v>
      </c>
      <c r="M11" s="294">
        <f>REDBRIDGE!M15</f>
        <v>16481</v>
      </c>
      <c r="N11" s="294">
        <f>REDBRIDGE!N15</f>
        <v>17197</v>
      </c>
      <c r="O11" s="294">
        <f>REDBRIDGE!O15</f>
        <v>17404</v>
      </c>
      <c r="Q11" s="292" t="s">
        <v>6537</v>
      </c>
    </row>
    <row r="12" spans="1:17" ht="15.75" thickBot="1">
      <c r="D12" s="296">
        <f t="shared" ref="D12:I12" si="8">D27+D28+D32+D33+D41+D42</f>
        <v>44912</v>
      </c>
      <c r="E12" s="296">
        <f t="shared" si="8"/>
        <v>45673</v>
      </c>
      <c r="F12" s="296">
        <f t="shared" si="8"/>
        <v>45901</v>
      </c>
      <c r="G12" s="296">
        <f t="shared" si="8"/>
        <v>45866</v>
      </c>
      <c r="H12" s="296">
        <f t="shared" si="8"/>
        <v>45783</v>
      </c>
      <c r="I12" s="296">
        <f t="shared" si="8"/>
        <v>43969</v>
      </c>
      <c r="J12" s="296">
        <f t="shared" ref="J12:O12" si="9">J27+J28+J32+J33+J41+J42</f>
        <v>43902</v>
      </c>
      <c r="K12" s="296">
        <f t="shared" si="9"/>
        <v>45012</v>
      </c>
      <c r="L12" s="296">
        <f t="shared" si="9"/>
        <v>45875</v>
      </c>
      <c r="M12" s="296">
        <f t="shared" si="9"/>
        <v>44894</v>
      </c>
      <c r="N12" s="296">
        <f t="shared" si="9"/>
        <v>45428</v>
      </c>
      <c r="O12" s="296">
        <f t="shared" si="9"/>
        <v>47678</v>
      </c>
      <c r="Q12" s="292" t="s">
        <v>6538</v>
      </c>
    </row>
    <row r="13" spans="1:17" ht="15.75" thickBot="1">
      <c r="D13" s="296">
        <f t="shared" ref="D13:I13" si="10">D11+D12</f>
        <v>62102</v>
      </c>
      <c r="E13" s="296">
        <f t="shared" si="10"/>
        <v>63021</v>
      </c>
      <c r="F13" s="296">
        <f t="shared" si="10"/>
        <v>63430</v>
      </c>
      <c r="G13" s="296">
        <f t="shared" si="10"/>
        <v>63354</v>
      </c>
      <c r="H13" s="296">
        <f t="shared" si="10"/>
        <v>63476</v>
      </c>
      <c r="I13" s="296">
        <f t="shared" si="10"/>
        <v>61135</v>
      </c>
      <c r="J13" s="296">
        <f t="shared" ref="J13:O13" si="11">J11+J12</f>
        <v>60150</v>
      </c>
      <c r="K13" s="296">
        <f t="shared" si="11"/>
        <v>62196</v>
      </c>
      <c r="L13" s="296">
        <f t="shared" si="11"/>
        <v>63702</v>
      </c>
      <c r="M13" s="296">
        <f t="shared" si="11"/>
        <v>61375</v>
      </c>
      <c r="N13" s="296">
        <f t="shared" si="11"/>
        <v>62625</v>
      </c>
      <c r="O13" s="296">
        <f t="shared" si="11"/>
        <v>65082</v>
      </c>
    </row>
    <row r="14" spans="1:17">
      <c r="D14" s="295"/>
      <c r="E14" s="295"/>
      <c r="F14" s="295"/>
      <c r="G14" s="295"/>
      <c r="H14" s="295"/>
      <c r="I14" s="295"/>
      <c r="J14" s="295"/>
      <c r="K14" s="295"/>
      <c r="L14" s="295"/>
      <c r="M14" s="295"/>
      <c r="N14" s="295"/>
      <c r="O14" s="295"/>
    </row>
    <row r="15" spans="1:17">
      <c r="A15" s="292" t="s">
        <v>6542</v>
      </c>
      <c r="D15" s="294">
        <f t="shared" ref="D15:I15" si="12">D29+D37+D36+D38+D40+D43+D45+D46</f>
        <v>64293</v>
      </c>
      <c r="E15" s="294">
        <f t="shared" si="12"/>
        <v>64482</v>
      </c>
      <c r="F15" s="294">
        <f t="shared" si="12"/>
        <v>65096</v>
      </c>
      <c r="G15" s="294">
        <f t="shared" si="12"/>
        <v>65195</v>
      </c>
      <c r="H15" s="294">
        <f t="shared" si="12"/>
        <v>65724</v>
      </c>
      <c r="I15" s="294">
        <f t="shared" si="12"/>
        <v>64403</v>
      </c>
      <c r="J15" s="294">
        <f t="shared" ref="J15:O15" si="13">J29+J36+J37+J38+J40+J43+J45+J46</f>
        <v>63959</v>
      </c>
      <c r="K15" s="294">
        <f t="shared" si="13"/>
        <v>65095</v>
      </c>
      <c r="L15" s="294">
        <f t="shared" si="13"/>
        <v>66553</v>
      </c>
      <c r="M15" s="294">
        <f t="shared" si="13"/>
        <v>65935</v>
      </c>
      <c r="N15" s="294">
        <f t="shared" si="13"/>
        <v>67450</v>
      </c>
      <c r="O15" s="294">
        <f t="shared" si="13"/>
        <v>70867</v>
      </c>
      <c r="Q15" s="292" t="s">
        <v>6538</v>
      </c>
    </row>
    <row r="16" spans="1:17">
      <c r="A16" s="292"/>
      <c r="D16" s="294"/>
      <c r="E16" s="294"/>
      <c r="F16" s="294"/>
      <c r="G16" s="294"/>
      <c r="H16" s="294"/>
      <c r="I16" s="294"/>
      <c r="J16" s="294"/>
      <c r="K16" s="294"/>
      <c r="L16" s="294"/>
      <c r="M16" s="294"/>
      <c r="N16" s="294"/>
      <c r="O16" s="294"/>
      <c r="Q16" s="292"/>
    </row>
    <row r="17" spans="1:17">
      <c r="A17" s="292" t="s">
        <v>5987</v>
      </c>
      <c r="D17" s="294">
        <f>REDBRIDGE!D11</f>
        <v>72281</v>
      </c>
      <c r="E17" s="294">
        <f>REDBRIDGE!E11</f>
        <v>72702</v>
      </c>
      <c r="F17" s="294">
        <f>REDBRIDGE!F11</f>
        <v>73513</v>
      </c>
      <c r="G17" s="294">
        <f>REDBRIDGE!G11</f>
        <v>73360</v>
      </c>
      <c r="H17" s="294">
        <f>REDBRIDGE!H11</f>
        <v>74271</v>
      </c>
      <c r="I17" s="294">
        <f>REDBRIDGE!I11</f>
        <v>72947</v>
      </c>
      <c r="J17" s="294">
        <f>REDBRIDGE!J11</f>
        <v>67980</v>
      </c>
      <c r="K17" s="294">
        <f>REDBRIDGE!K11</f>
        <v>71090</v>
      </c>
      <c r="L17" s="294">
        <f>REDBRIDGE!L11</f>
        <v>73538</v>
      </c>
      <c r="M17" s="294">
        <f>REDBRIDGE!M11</f>
        <v>70159</v>
      </c>
      <c r="N17" s="294">
        <f>REDBRIDGE!N11</f>
        <v>72027</v>
      </c>
      <c r="O17" s="294">
        <f>REDBRIDGE!O11</f>
        <v>73037</v>
      </c>
      <c r="Q17" s="292" t="s">
        <v>6537</v>
      </c>
    </row>
    <row r="18" spans="1:17">
      <c r="D18" s="295"/>
      <c r="E18" s="295"/>
      <c r="F18" s="295"/>
      <c r="G18" s="295"/>
      <c r="H18" s="295"/>
      <c r="I18" s="295"/>
      <c r="J18" s="295"/>
      <c r="K18" s="295"/>
      <c r="L18" s="295"/>
      <c r="M18" s="295"/>
      <c r="N18" s="295"/>
      <c r="O18" s="295"/>
    </row>
    <row r="19" spans="1:17">
      <c r="A19" s="292" t="s">
        <v>6540</v>
      </c>
      <c r="D19" s="294">
        <f>REDBRIDGE!D13</f>
        <v>84599</v>
      </c>
      <c r="E19" s="294">
        <f>REDBRIDGE!E13</f>
        <v>86401</v>
      </c>
      <c r="F19" s="294">
        <f>REDBRIDGE!F13</f>
        <v>88563</v>
      </c>
      <c r="G19" s="294">
        <f>REDBRIDGE!G13</f>
        <v>88125</v>
      </c>
      <c r="H19" s="294">
        <f>REDBRIDGE!H13</f>
        <v>89668</v>
      </c>
      <c r="I19" s="294">
        <f>REDBRIDGE!I13</f>
        <v>88135</v>
      </c>
      <c r="J19" s="294">
        <f>REDBRIDGE!J13</f>
        <v>78212</v>
      </c>
      <c r="K19" s="294">
        <f>REDBRIDGE!K13</f>
        <v>82975</v>
      </c>
      <c r="L19" s="294">
        <f>REDBRIDGE!L13</f>
        <v>86396</v>
      </c>
      <c r="M19" s="294">
        <f>REDBRIDGE!M13</f>
        <v>80492</v>
      </c>
      <c r="N19" s="294">
        <f>REDBRIDGE!N13</f>
        <v>83398</v>
      </c>
      <c r="O19" s="294">
        <f>REDBRIDGE!O13</f>
        <v>84797</v>
      </c>
      <c r="Q19" s="292" t="s">
        <v>6537</v>
      </c>
    </row>
    <row r="20" spans="1:17">
      <c r="A20" s="292"/>
      <c r="B20" s="292"/>
      <c r="C20" s="292"/>
      <c r="D20" s="294"/>
      <c r="E20" s="294"/>
      <c r="F20" s="294"/>
      <c r="G20" s="294"/>
      <c r="H20" s="294"/>
      <c r="I20" s="294"/>
      <c r="J20" s="294"/>
      <c r="K20" s="294"/>
      <c r="L20" s="294"/>
      <c r="M20" s="294"/>
      <c r="N20" s="294"/>
      <c r="O20" s="294"/>
      <c r="Q20" s="292"/>
    </row>
    <row r="21" spans="1:17">
      <c r="A21" s="292" t="s">
        <v>6796</v>
      </c>
      <c r="D21" s="294">
        <f t="shared" ref="D21:I21" si="14">D8+D12+D15</f>
        <v>157516</v>
      </c>
      <c r="E21" s="294">
        <f t="shared" si="14"/>
        <v>158450</v>
      </c>
      <c r="F21" s="294">
        <f t="shared" si="14"/>
        <v>159638</v>
      </c>
      <c r="G21" s="294">
        <f t="shared" si="14"/>
        <v>159760</v>
      </c>
      <c r="H21" s="294">
        <f t="shared" si="14"/>
        <v>160570</v>
      </c>
      <c r="I21" s="294">
        <f t="shared" si="14"/>
        <v>156890</v>
      </c>
      <c r="J21" s="294">
        <f t="shared" ref="J21:O21" si="15">J8+J12+J15</f>
        <v>155532</v>
      </c>
      <c r="K21" s="294">
        <f t="shared" si="15"/>
        <v>158024</v>
      </c>
      <c r="L21" s="294">
        <f t="shared" si="15"/>
        <v>160876</v>
      </c>
      <c r="M21" s="294">
        <f t="shared" si="15"/>
        <v>158678</v>
      </c>
      <c r="N21" s="294">
        <f t="shared" si="15"/>
        <v>160831</v>
      </c>
      <c r="O21" s="294">
        <f t="shared" si="15"/>
        <v>167791</v>
      </c>
    </row>
    <row r="22" spans="1:17">
      <c r="D22" s="295"/>
      <c r="E22" s="295"/>
      <c r="F22" s="295"/>
      <c r="G22" s="295"/>
      <c r="H22" s="295"/>
      <c r="I22" s="295"/>
      <c r="J22" s="295"/>
      <c r="K22" s="295"/>
      <c r="L22" s="295"/>
      <c r="M22" s="295"/>
      <c r="N22" s="295"/>
      <c r="O22" s="295"/>
    </row>
    <row r="23" spans="1:17">
      <c r="A23" s="292" t="s">
        <v>6797</v>
      </c>
      <c r="D23" s="294">
        <f t="shared" ref="D23:I23" si="16">MAXA(D9,D13,D15,D17,D19)-MINA(D9,D13,D15,D17,D19)</f>
        <v>22497</v>
      </c>
      <c r="E23" s="294">
        <f t="shared" si="16"/>
        <v>23380</v>
      </c>
      <c r="F23" s="294">
        <f t="shared" si="16"/>
        <v>25133</v>
      </c>
      <c r="G23" s="294">
        <f t="shared" si="16"/>
        <v>24771</v>
      </c>
      <c r="H23" s="294">
        <f t="shared" si="16"/>
        <v>26192</v>
      </c>
      <c r="I23" s="294">
        <f t="shared" si="16"/>
        <v>27000</v>
      </c>
      <c r="J23" s="294">
        <f t="shared" ref="J23:O23" si="17">MAXA(J9,J13,J15,J17,J19)-MINA(J9,J13,J15,J17,J19)</f>
        <v>18062</v>
      </c>
      <c r="K23" s="294">
        <f t="shared" si="17"/>
        <v>20779</v>
      </c>
      <c r="L23" s="294">
        <f t="shared" si="17"/>
        <v>22694</v>
      </c>
      <c r="M23" s="294">
        <f t="shared" si="17"/>
        <v>19117</v>
      </c>
      <c r="N23" s="294">
        <f t="shared" si="17"/>
        <v>20773</v>
      </c>
      <c r="O23" s="294">
        <f t="shared" si="17"/>
        <v>19715</v>
      </c>
    </row>
    <row r="24" spans="1:17">
      <c r="D24" s="295"/>
      <c r="E24" s="295"/>
      <c r="F24" s="295"/>
      <c r="G24" s="295"/>
      <c r="H24" s="295"/>
      <c r="I24" s="295"/>
      <c r="J24" s="295"/>
      <c r="K24" s="295"/>
      <c r="L24" s="295"/>
      <c r="M24" s="295"/>
      <c r="N24" s="295"/>
      <c r="O24" s="295"/>
    </row>
    <row r="25" spans="1:17">
      <c r="A25" s="292" t="s">
        <v>6800</v>
      </c>
      <c r="D25" s="294">
        <f t="shared" ref="D25:I25" si="18">STDEVP(D9,D13,D15,D17,D19)</f>
        <v>8240.6599590081369</v>
      </c>
      <c r="E25" s="294">
        <f t="shared" si="18"/>
        <v>8745.5428053380419</v>
      </c>
      <c r="F25" s="294">
        <f t="shared" si="18"/>
        <v>9356.4255781788797</v>
      </c>
      <c r="G25" s="294">
        <f t="shared" si="18"/>
        <v>9179.9337557522722</v>
      </c>
      <c r="H25" s="294">
        <f t="shared" si="18"/>
        <v>9640.328708088744</v>
      </c>
      <c r="I25" s="294">
        <f t="shared" si="18"/>
        <v>9706.327841155995</v>
      </c>
      <c r="J25" s="294">
        <f t="shared" ref="J25:O25" si="19">STDEVP(J9,J13,J15,J17,J19)</f>
        <v>6268.5753596810173</v>
      </c>
      <c r="K25" s="294">
        <f t="shared" si="19"/>
        <v>7553.4162496184463</v>
      </c>
      <c r="L25" s="294">
        <f t="shared" si="19"/>
        <v>8353.0154459332825</v>
      </c>
      <c r="M25" s="294">
        <f t="shared" si="19"/>
        <v>6758.0295471387217</v>
      </c>
      <c r="N25" s="294">
        <f t="shared" si="19"/>
        <v>7457.8257582220303</v>
      </c>
      <c r="O25" s="294">
        <f t="shared" si="19"/>
        <v>7116.6581033516004</v>
      </c>
    </row>
    <row r="26" spans="1:17">
      <c r="D26" s="295"/>
      <c r="E26" s="295"/>
      <c r="F26" s="295"/>
      <c r="G26" s="295"/>
      <c r="H26" s="295"/>
      <c r="I26" s="295"/>
      <c r="J26" s="295"/>
      <c r="K26" s="295"/>
      <c r="L26" s="295"/>
      <c r="M26" s="295"/>
      <c r="N26" s="295"/>
      <c r="O26" s="295"/>
    </row>
    <row r="27" spans="1:17">
      <c r="A27" s="292" t="s">
        <v>5387</v>
      </c>
      <c r="B27" s="292" t="s">
        <v>5988</v>
      </c>
      <c r="C27" s="55" t="s">
        <v>6948</v>
      </c>
      <c r="D27" s="297">
        <v>7232</v>
      </c>
      <c r="E27" s="297">
        <v>7347</v>
      </c>
      <c r="F27" s="297">
        <v>7419</v>
      </c>
      <c r="G27" s="297">
        <v>7342</v>
      </c>
      <c r="H27" s="56">
        <v>7322</v>
      </c>
      <c r="I27" s="56">
        <v>6966</v>
      </c>
      <c r="J27" s="56">
        <v>6921</v>
      </c>
      <c r="K27" s="56">
        <v>7154</v>
      </c>
      <c r="L27" s="56">
        <v>7340</v>
      </c>
      <c r="M27" s="56">
        <v>7260</v>
      </c>
      <c r="N27" s="56">
        <v>7250</v>
      </c>
      <c r="O27" s="56">
        <v>7598</v>
      </c>
      <c r="Q27" s="292" t="s">
        <v>4595</v>
      </c>
    </row>
    <row r="28" spans="1:17">
      <c r="A28" s="292" t="s">
        <v>5389</v>
      </c>
      <c r="B28" s="292" t="s">
        <v>5989</v>
      </c>
      <c r="C28" s="55" t="s">
        <v>6949</v>
      </c>
      <c r="D28" s="297">
        <v>6952</v>
      </c>
      <c r="E28" s="297">
        <v>7046</v>
      </c>
      <c r="F28" s="297">
        <v>7027</v>
      </c>
      <c r="G28" s="297">
        <v>7053</v>
      </c>
      <c r="H28" s="56">
        <v>6928</v>
      </c>
      <c r="I28" s="56">
        <v>6566</v>
      </c>
      <c r="J28" s="56">
        <v>6515</v>
      </c>
      <c r="K28" s="56">
        <v>6559</v>
      </c>
      <c r="L28" s="56">
        <v>6672</v>
      </c>
      <c r="M28" s="56">
        <v>6541</v>
      </c>
      <c r="N28" s="56">
        <v>6657</v>
      </c>
      <c r="O28" s="56">
        <v>6926</v>
      </c>
      <c r="Q28" s="292" t="s">
        <v>4595</v>
      </c>
    </row>
    <row r="29" spans="1:17">
      <c r="A29" s="292" t="s">
        <v>5391</v>
      </c>
      <c r="B29" s="292" t="s">
        <v>6010</v>
      </c>
      <c r="C29" s="55" t="s">
        <v>6950</v>
      </c>
      <c r="D29" s="297">
        <v>8069</v>
      </c>
      <c r="E29" s="297">
        <v>8140</v>
      </c>
      <c r="F29" s="297">
        <v>8192</v>
      </c>
      <c r="G29" s="297">
        <v>8131</v>
      </c>
      <c r="H29" s="56">
        <v>8196</v>
      </c>
      <c r="I29" s="56">
        <v>8020</v>
      </c>
      <c r="J29" s="56">
        <v>8001</v>
      </c>
      <c r="K29" s="56">
        <v>8031</v>
      </c>
      <c r="L29" s="56">
        <v>8230</v>
      </c>
      <c r="M29" s="56">
        <v>8082</v>
      </c>
      <c r="N29" s="56">
        <v>8209</v>
      </c>
      <c r="O29" s="56">
        <v>8538</v>
      </c>
      <c r="Q29" s="292" t="s">
        <v>1649</v>
      </c>
    </row>
    <row r="30" spans="1:17">
      <c r="A30" s="292" t="s">
        <v>5393</v>
      </c>
      <c r="B30" s="292" t="s">
        <v>1650</v>
      </c>
      <c r="C30" s="55" t="s">
        <v>6951</v>
      </c>
      <c r="D30" s="297">
        <v>7861</v>
      </c>
      <c r="E30" s="297">
        <v>7848</v>
      </c>
      <c r="F30" s="297">
        <v>7926</v>
      </c>
      <c r="G30" s="297">
        <v>7991</v>
      </c>
      <c r="H30" s="56">
        <v>8026</v>
      </c>
      <c r="I30" s="56">
        <v>7909</v>
      </c>
      <c r="J30" s="56">
        <v>7777</v>
      </c>
      <c r="K30" s="56">
        <v>7779</v>
      </c>
      <c r="L30" s="56">
        <v>7849</v>
      </c>
      <c r="M30" s="56">
        <v>7730</v>
      </c>
      <c r="N30" s="56">
        <v>7747</v>
      </c>
      <c r="O30" s="56">
        <v>7969</v>
      </c>
      <c r="Q30" s="292" t="s">
        <v>6546</v>
      </c>
    </row>
    <row r="31" spans="1:17">
      <c r="A31" s="292" t="s">
        <v>5394</v>
      </c>
      <c r="B31" s="292" t="s">
        <v>1651</v>
      </c>
      <c r="C31" s="55" t="s">
        <v>6952</v>
      </c>
      <c r="D31" s="297">
        <v>8087</v>
      </c>
      <c r="E31" s="297">
        <v>8139</v>
      </c>
      <c r="F31" s="297">
        <v>8199</v>
      </c>
      <c r="G31" s="297">
        <v>8126</v>
      </c>
      <c r="H31" s="56">
        <v>8174</v>
      </c>
      <c r="I31" s="56">
        <v>8086</v>
      </c>
      <c r="J31" s="56">
        <v>8015</v>
      </c>
      <c r="K31" s="56">
        <v>8040</v>
      </c>
      <c r="L31" s="56">
        <v>8067</v>
      </c>
      <c r="M31" s="56">
        <v>7974</v>
      </c>
      <c r="N31" s="56">
        <v>7902</v>
      </c>
      <c r="O31" s="56">
        <v>8158</v>
      </c>
      <c r="Q31" s="292" t="s">
        <v>6546</v>
      </c>
    </row>
    <row r="32" spans="1:17">
      <c r="A32" s="292" t="s">
        <v>5416</v>
      </c>
      <c r="B32" s="292" t="s">
        <v>2873</v>
      </c>
      <c r="C32" s="55" t="s">
        <v>6953</v>
      </c>
      <c r="D32" s="297">
        <v>7515</v>
      </c>
      <c r="E32" s="297">
        <v>7650</v>
      </c>
      <c r="F32" s="297">
        <v>7627</v>
      </c>
      <c r="G32" s="297">
        <v>7581</v>
      </c>
      <c r="H32" s="56">
        <v>7573</v>
      </c>
      <c r="I32" s="56">
        <v>7354</v>
      </c>
      <c r="J32" s="56">
        <v>7321</v>
      </c>
      <c r="K32" s="56">
        <v>7422</v>
      </c>
      <c r="L32" s="56">
        <v>7557</v>
      </c>
      <c r="M32" s="56">
        <v>7405</v>
      </c>
      <c r="N32" s="56">
        <v>7469</v>
      </c>
      <c r="O32" s="56">
        <v>7813</v>
      </c>
      <c r="Q32" s="292" t="s">
        <v>4595</v>
      </c>
    </row>
    <row r="33" spans="1:17">
      <c r="A33" s="292" t="s">
        <v>5418</v>
      </c>
      <c r="B33" s="292" t="s">
        <v>1652</v>
      </c>
      <c r="C33" s="55" t="s">
        <v>6954</v>
      </c>
      <c r="D33" s="297">
        <v>7676</v>
      </c>
      <c r="E33" s="297">
        <v>7678</v>
      </c>
      <c r="F33" s="297">
        <v>7685</v>
      </c>
      <c r="G33" s="297">
        <v>7723</v>
      </c>
      <c r="H33" s="56">
        <v>7742</v>
      </c>
      <c r="I33" s="56">
        <v>7386</v>
      </c>
      <c r="J33" s="56">
        <v>7387</v>
      </c>
      <c r="K33" s="56">
        <v>7784</v>
      </c>
      <c r="L33" s="56">
        <v>7863</v>
      </c>
      <c r="M33" s="56">
        <v>7704</v>
      </c>
      <c r="N33" s="56">
        <v>7805</v>
      </c>
      <c r="O33" s="56">
        <v>8310</v>
      </c>
      <c r="Q33" s="292" t="s">
        <v>4595</v>
      </c>
    </row>
    <row r="34" spans="1:17">
      <c r="A34" s="292" t="s">
        <v>5420</v>
      </c>
      <c r="B34" s="292" t="s">
        <v>1653</v>
      </c>
      <c r="C34" s="55" t="s">
        <v>6955</v>
      </c>
      <c r="D34" s="297">
        <v>7917</v>
      </c>
      <c r="E34" s="297">
        <v>7883</v>
      </c>
      <c r="F34" s="297">
        <v>7914</v>
      </c>
      <c r="G34" s="297">
        <v>7983</v>
      </c>
      <c r="H34" s="56">
        <v>8116</v>
      </c>
      <c r="I34" s="56">
        <v>8079</v>
      </c>
      <c r="J34" s="56">
        <v>8023</v>
      </c>
      <c r="K34" s="56">
        <v>8164</v>
      </c>
      <c r="L34" s="56">
        <v>8246</v>
      </c>
      <c r="M34" s="56">
        <v>8177</v>
      </c>
      <c r="N34" s="56">
        <v>8277</v>
      </c>
      <c r="O34" s="56">
        <v>8530</v>
      </c>
      <c r="Q34" s="292" t="s">
        <v>6546</v>
      </c>
    </row>
    <row r="35" spans="1:17">
      <c r="A35" s="292" t="s">
        <v>5422</v>
      </c>
      <c r="B35" s="292" t="s">
        <v>1654</v>
      </c>
      <c r="C35" s="55" t="s">
        <v>6956</v>
      </c>
      <c r="D35" s="297">
        <v>8192</v>
      </c>
      <c r="E35" s="297">
        <v>8131</v>
      </c>
      <c r="F35" s="297">
        <v>8129</v>
      </c>
      <c r="G35" s="297">
        <v>8212</v>
      </c>
      <c r="H35" s="56">
        <v>8306</v>
      </c>
      <c r="I35" s="56">
        <v>8161</v>
      </c>
      <c r="J35" s="56">
        <v>8063</v>
      </c>
      <c r="K35" s="56">
        <v>8104</v>
      </c>
      <c r="L35" s="56">
        <v>8125</v>
      </c>
      <c r="M35" s="56">
        <v>7953</v>
      </c>
      <c r="N35" s="56">
        <v>7933</v>
      </c>
      <c r="O35" s="56">
        <v>8118</v>
      </c>
      <c r="Q35" s="292" t="s">
        <v>6546</v>
      </c>
    </row>
    <row r="36" spans="1:17">
      <c r="A36" s="292" t="s">
        <v>5424</v>
      </c>
      <c r="B36" s="292" t="s">
        <v>901</v>
      </c>
      <c r="C36" s="55" t="s">
        <v>6957</v>
      </c>
      <c r="D36" s="297">
        <v>7967</v>
      </c>
      <c r="E36" s="297">
        <v>8017</v>
      </c>
      <c r="F36" s="297">
        <v>8061</v>
      </c>
      <c r="G36" s="297">
        <v>8040</v>
      </c>
      <c r="H36" s="56">
        <v>8154</v>
      </c>
      <c r="I36" s="56">
        <v>8021</v>
      </c>
      <c r="J36" s="56">
        <v>8197</v>
      </c>
      <c r="K36" s="56">
        <v>8419</v>
      </c>
      <c r="L36" s="56">
        <v>8314</v>
      </c>
      <c r="M36" s="56">
        <v>8421</v>
      </c>
      <c r="N36" s="56">
        <v>8584</v>
      </c>
      <c r="O36" s="56">
        <v>9145</v>
      </c>
      <c r="Q36" s="292" t="s">
        <v>1649</v>
      </c>
    </row>
    <row r="37" spans="1:17">
      <c r="A37" s="292" t="s">
        <v>5426</v>
      </c>
      <c r="B37" s="292" t="s">
        <v>1655</v>
      </c>
      <c r="C37" s="55" t="s">
        <v>6958</v>
      </c>
      <c r="D37" s="298">
        <v>7521</v>
      </c>
      <c r="E37" s="298">
        <v>7644</v>
      </c>
      <c r="F37" s="298">
        <v>7837</v>
      </c>
      <c r="G37" s="298">
        <v>7845</v>
      </c>
      <c r="H37" s="56">
        <v>7982</v>
      </c>
      <c r="I37" s="56">
        <v>7918</v>
      </c>
      <c r="J37" s="56">
        <v>7737</v>
      </c>
      <c r="K37" s="56">
        <v>8051</v>
      </c>
      <c r="L37" s="56">
        <v>8459</v>
      </c>
      <c r="M37" s="56">
        <v>8460</v>
      </c>
      <c r="N37" s="56">
        <v>8694</v>
      </c>
      <c r="O37" s="56">
        <v>9058</v>
      </c>
      <c r="Q37" s="292" t="s">
        <v>1649</v>
      </c>
    </row>
    <row r="38" spans="1:17">
      <c r="A38" s="292" t="s">
        <v>5428</v>
      </c>
      <c r="B38" s="292" t="s">
        <v>1656</v>
      </c>
      <c r="C38" s="55" t="s">
        <v>6959</v>
      </c>
      <c r="D38" s="297">
        <v>8058</v>
      </c>
      <c r="E38" s="297">
        <v>7923</v>
      </c>
      <c r="F38" s="297">
        <v>8013</v>
      </c>
      <c r="G38" s="297">
        <v>8100</v>
      </c>
      <c r="H38" s="58">
        <v>8177</v>
      </c>
      <c r="I38" s="58">
        <v>7858</v>
      </c>
      <c r="J38" s="58">
        <v>7960</v>
      </c>
      <c r="K38" s="58">
        <v>8155</v>
      </c>
      <c r="L38" s="58">
        <v>8373</v>
      </c>
      <c r="M38" s="58">
        <v>8238</v>
      </c>
      <c r="N38" s="58">
        <v>8377</v>
      </c>
      <c r="O38" s="58">
        <v>8770</v>
      </c>
      <c r="Q38" s="292" t="s">
        <v>1649</v>
      </c>
    </row>
    <row r="39" spans="1:17">
      <c r="A39" s="292" t="s">
        <v>5429</v>
      </c>
      <c r="B39" s="292" t="s">
        <v>1657</v>
      </c>
      <c r="C39" s="55" t="s">
        <v>6960</v>
      </c>
      <c r="D39" s="297">
        <v>8191</v>
      </c>
      <c r="E39" s="297">
        <v>8200</v>
      </c>
      <c r="F39" s="297">
        <v>8246</v>
      </c>
      <c r="G39" s="297">
        <v>8248</v>
      </c>
      <c r="H39" s="56">
        <v>8232</v>
      </c>
      <c r="I39" s="56">
        <v>8190</v>
      </c>
      <c r="J39" s="56">
        <v>7919</v>
      </c>
      <c r="K39" s="56">
        <v>7971</v>
      </c>
      <c r="L39" s="56">
        <v>8184</v>
      </c>
      <c r="M39" s="56">
        <v>8174</v>
      </c>
      <c r="N39" s="56">
        <v>8194</v>
      </c>
      <c r="O39" s="56">
        <v>8398</v>
      </c>
      <c r="Q39" s="292" t="s">
        <v>6546</v>
      </c>
    </row>
    <row r="40" spans="1:17">
      <c r="A40" s="292" t="s">
        <v>5431</v>
      </c>
      <c r="B40" s="292" t="s">
        <v>1658</v>
      </c>
      <c r="C40" s="55" t="s">
        <v>6961</v>
      </c>
      <c r="D40" s="297">
        <v>9003</v>
      </c>
      <c r="E40" s="297">
        <v>9004</v>
      </c>
      <c r="F40" s="297">
        <v>9122</v>
      </c>
      <c r="G40" s="297">
        <v>9090</v>
      </c>
      <c r="H40" s="58">
        <v>9065</v>
      </c>
      <c r="I40" s="58">
        <v>8653</v>
      </c>
      <c r="J40" s="58">
        <v>8459</v>
      </c>
      <c r="K40" s="58">
        <v>8435</v>
      </c>
      <c r="L40" s="58">
        <v>8661</v>
      </c>
      <c r="M40" s="58">
        <v>8586</v>
      </c>
      <c r="N40" s="58">
        <v>8834</v>
      </c>
      <c r="O40" s="58">
        <v>9286</v>
      </c>
      <c r="Q40" s="292" t="s">
        <v>1649</v>
      </c>
    </row>
    <row r="41" spans="1:17">
      <c r="A41" s="292" t="s">
        <v>5433</v>
      </c>
      <c r="B41" s="292" t="s">
        <v>1659</v>
      </c>
      <c r="C41" s="55" t="s">
        <v>6962</v>
      </c>
      <c r="D41" s="297">
        <v>7782</v>
      </c>
      <c r="E41" s="297">
        <v>8068</v>
      </c>
      <c r="F41" s="297">
        <v>8198</v>
      </c>
      <c r="G41" s="297">
        <v>8278</v>
      </c>
      <c r="H41" s="56">
        <v>8310</v>
      </c>
      <c r="I41" s="56">
        <v>8052</v>
      </c>
      <c r="J41" s="56">
        <v>8067</v>
      </c>
      <c r="K41" s="56">
        <v>8328</v>
      </c>
      <c r="L41" s="56">
        <v>8648</v>
      </c>
      <c r="M41" s="56">
        <v>8460</v>
      </c>
      <c r="N41" s="56">
        <v>8617</v>
      </c>
      <c r="O41" s="56">
        <v>9004</v>
      </c>
      <c r="Q41" s="292" t="s">
        <v>4595</v>
      </c>
    </row>
    <row r="42" spans="1:17">
      <c r="A42" s="292" t="s">
        <v>5435</v>
      </c>
      <c r="B42" s="292" t="s">
        <v>4469</v>
      </c>
      <c r="C42" s="55" t="s">
        <v>6963</v>
      </c>
      <c r="D42" s="297">
        <v>7755</v>
      </c>
      <c r="E42" s="297">
        <v>7884</v>
      </c>
      <c r="F42" s="297">
        <v>7945</v>
      </c>
      <c r="G42" s="297">
        <v>7889</v>
      </c>
      <c r="H42" s="56">
        <v>7908</v>
      </c>
      <c r="I42" s="56">
        <v>7645</v>
      </c>
      <c r="J42" s="56">
        <v>7691</v>
      </c>
      <c r="K42" s="56">
        <v>7765</v>
      </c>
      <c r="L42" s="56">
        <v>7795</v>
      </c>
      <c r="M42" s="56">
        <v>7524</v>
      </c>
      <c r="N42" s="56">
        <v>7630</v>
      </c>
      <c r="O42" s="56">
        <v>8027</v>
      </c>
      <c r="Q42" s="292" t="s">
        <v>4595</v>
      </c>
    </row>
    <row r="43" spans="1:17">
      <c r="A43" s="292" t="s">
        <v>5436</v>
      </c>
      <c r="B43" s="292" t="s">
        <v>4458</v>
      </c>
      <c r="C43" s="55" t="s">
        <v>6964</v>
      </c>
      <c r="D43" s="297">
        <v>7805</v>
      </c>
      <c r="E43" s="297">
        <v>7760</v>
      </c>
      <c r="F43" s="297">
        <v>7834</v>
      </c>
      <c r="G43" s="297">
        <v>7785</v>
      </c>
      <c r="H43" s="58">
        <v>7908</v>
      </c>
      <c r="I43" s="58">
        <v>7891</v>
      </c>
      <c r="J43" s="58">
        <v>7735</v>
      </c>
      <c r="K43" s="58">
        <v>8010</v>
      </c>
      <c r="L43" s="58">
        <v>8198</v>
      </c>
      <c r="M43" s="58">
        <v>8071</v>
      </c>
      <c r="N43" s="58">
        <v>8262</v>
      </c>
      <c r="O43" s="58">
        <v>8729</v>
      </c>
      <c r="Q43" s="292" t="s">
        <v>1649</v>
      </c>
    </row>
    <row r="44" spans="1:17">
      <c r="A44" s="292" t="s">
        <v>5437</v>
      </c>
      <c r="B44" s="292" t="s">
        <v>6073</v>
      </c>
      <c r="C44" s="55" t="s">
        <v>6965</v>
      </c>
      <c r="D44" s="297">
        <v>8063</v>
      </c>
      <c r="E44" s="297">
        <v>8094</v>
      </c>
      <c r="F44" s="297">
        <v>8227</v>
      </c>
      <c r="G44" s="297">
        <v>8139</v>
      </c>
      <c r="H44" s="56">
        <v>8209</v>
      </c>
      <c r="I44" s="56">
        <v>8093</v>
      </c>
      <c r="J44" s="56">
        <v>7874</v>
      </c>
      <c r="K44" s="56">
        <v>7859</v>
      </c>
      <c r="L44" s="56">
        <v>7977</v>
      </c>
      <c r="M44" s="56">
        <v>7841</v>
      </c>
      <c r="N44" s="56">
        <v>7900</v>
      </c>
      <c r="O44" s="56">
        <v>8073</v>
      </c>
      <c r="Q44" s="292" t="s">
        <v>6546</v>
      </c>
    </row>
    <row r="45" spans="1:17">
      <c r="A45" s="292" t="s">
        <v>5439</v>
      </c>
      <c r="B45" s="292" t="s">
        <v>4459</v>
      </c>
      <c r="C45" s="55" t="s">
        <v>6966</v>
      </c>
      <c r="D45" s="297">
        <v>7665</v>
      </c>
      <c r="E45" s="297">
        <v>7719</v>
      </c>
      <c r="F45" s="297">
        <v>7713</v>
      </c>
      <c r="G45" s="297">
        <v>7798</v>
      </c>
      <c r="H45" s="58">
        <v>7724</v>
      </c>
      <c r="I45" s="58">
        <v>7632</v>
      </c>
      <c r="J45" s="58">
        <v>7597</v>
      </c>
      <c r="K45" s="58">
        <v>7711</v>
      </c>
      <c r="L45" s="58">
        <v>7823</v>
      </c>
      <c r="M45" s="58">
        <v>7818</v>
      </c>
      <c r="N45" s="58">
        <v>8156</v>
      </c>
      <c r="O45" s="58">
        <v>8706</v>
      </c>
      <c r="Q45" s="292" t="s">
        <v>1649</v>
      </c>
    </row>
    <row r="46" spans="1:17">
      <c r="A46" s="292" t="s">
        <v>5441</v>
      </c>
      <c r="B46" s="292" t="s">
        <v>4460</v>
      </c>
      <c r="C46" s="55" t="s">
        <v>6967</v>
      </c>
      <c r="D46" s="297">
        <v>8205</v>
      </c>
      <c r="E46" s="297">
        <v>8275</v>
      </c>
      <c r="F46" s="297">
        <v>8324</v>
      </c>
      <c r="G46" s="297">
        <v>8406</v>
      </c>
      <c r="H46" s="58">
        <v>8518</v>
      </c>
      <c r="I46" s="58">
        <v>8410</v>
      </c>
      <c r="J46" s="58">
        <v>8273</v>
      </c>
      <c r="K46" s="58">
        <v>8283</v>
      </c>
      <c r="L46" s="58">
        <v>8495</v>
      </c>
      <c r="M46" s="58">
        <v>8259</v>
      </c>
      <c r="N46" s="58">
        <v>8334</v>
      </c>
      <c r="O46" s="58">
        <v>8635</v>
      </c>
      <c r="Q46" s="292" t="s">
        <v>1649</v>
      </c>
    </row>
    <row r="48" spans="1:17">
      <c r="A48" s="117" t="s">
        <v>4461</v>
      </c>
    </row>
    <row r="49" spans="1:1">
      <c r="A49" s="117" t="s">
        <v>4462</v>
      </c>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3:D4 E3:E4 F3:F4 G3:G4 D5:D25 E5:E25 F5:F25 G5:G25 H3:H4 H5:H25 I3:I25 J3:J25 K3:K21 K23:K25 L3:L25" unlocked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ransitionEvaluation="1"/>
  <dimension ref="A1:Q40"/>
  <sheetViews>
    <sheetView showGridLines="0" zoomScale="90" zoomScaleNormal="90" workbookViewId="0">
      <selection activeCell="R12" sqref="R12"/>
    </sheetView>
  </sheetViews>
  <sheetFormatPr defaultColWidth="12.5703125" defaultRowHeight="15"/>
  <cols>
    <col min="1" max="1" width="4.85546875" style="116" customWidth="1"/>
    <col min="2" max="2" width="40.7109375" style="116" customWidth="1"/>
    <col min="3" max="3" width="11.42578125" style="116" customWidth="1"/>
    <col min="4" max="15" width="10" style="116" customWidth="1"/>
    <col min="16" max="16" width="2.28515625" style="116" customWidth="1"/>
    <col min="17" max="17" width="25.5703125" style="116" customWidth="1"/>
    <col min="18" max="16384" width="12.5703125" style="116"/>
  </cols>
  <sheetData>
    <row r="1" spans="1:17">
      <c r="A1" s="286" t="s">
        <v>5719</v>
      </c>
      <c r="D1" s="287">
        <v>2010</v>
      </c>
      <c r="E1" s="287">
        <v>2011</v>
      </c>
      <c r="F1" s="287">
        <v>2012</v>
      </c>
      <c r="G1" s="287">
        <v>2013</v>
      </c>
      <c r="H1" s="287">
        <v>2014</v>
      </c>
      <c r="I1" s="287">
        <v>2015</v>
      </c>
      <c r="J1" s="287">
        <v>2016</v>
      </c>
      <c r="K1" s="287">
        <v>2017</v>
      </c>
      <c r="L1" s="287">
        <v>2018</v>
      </c>
      <c r="M1" s="287">
        <v>2019</v>
      </c>
      <c r="N1" s="287">
        <v>2020</v>
      </c>
      <c r="O1" s="932" t="s">
        <v>14823</v>
      </c>
      <c r="P1" s="287"/>
    </row>
    <row r="3" spans="1:17">
      <c r="A3" s="286" t="s">
        <v>5450</v>
      </c>
      <c r="D3" s="288">
        <f t="shared" ref="D3:I3" si="0">SUM(D19:D38)</f>
        <v>206157</v>
      </c>
      <c r="E3" s="288">
        <f t="shared" si="0"/>
        <v>207888</v>
      </c>
      <c r="F3" s="288">
        <f t="shared" si="0"/>
        <v>207153</v>
      </c>
      <c r="G3" s="288">
        <f t="shared" si="0"/>
        <v>206035</v>
      </c>
      <c r="H3" s="288">
        <f t="shared" si="0"/>
        <v>206553</v>
      </c>
      <c r="I3" s="288">
        <f t="shared" si="0"/>
        <v>198785</v>
      </c>
      <c r="J3" s="288">
        <f t="shared" ref="J3:O3" si="1">SUM(J19:J38)</f>
        <v>201174</v>
      </c>
      <c r="K3" s="288">
        <f t="shared" si="1"/>
        <v>203436</v>
      </c>
      <c r="L3" s="288">
        <f t="shared" si="1"/>
        <v>207739</v>
      </c>
      <c r="M3" s="288">
        <f t="shared" si="1"/>
        <v>197606</v>
      </c>
      <c r="N3" s="288">
        <f t="shared" si="1"/>
        <v>204696</v>
      </c>
      <c r="O3" s="288">
        <f t="shared" si="1"/>
        <v>221976</v>
      </c>
      <c r="P3" s="288"/>
    </row>
    <row r="5" spans="1:17">
      <c r="A5" s="286" t="s">
        <v>5382</v>
      </c>
      <c r="D5" s="288">
        <f t="shared" ref="D5:I5" si="2">D3/3</f>
        <v>68719</v>
      </c>
      <c r="E5" s="288">
        <f t="shared" si="2"/>
        <v>69296</v>
      </c>
      <c r="F5" s="288">
        <f t="shared" si="2"/>
        <v>69051</v>
      </c>
      <c r="G5" s="288">
        <f t="shared" si="2"/>
        <v>68678.333333333328</v>
      </c>
      <c r="H5" s="288">
        <f t="shared" si="2"/>
        <v>68851</v>
      </c>
      <c r="I5" s="288">
        <f t="shared" si="2"/>
        <v>66261.666666666672</v>
      </c>
      <c r="J5" s="288">
        <f t="shared" ref="J5:O5" si="3">J3/3</f>
        <v>67058</v>
      </c>
      <c r="K5" s="288">
        <f t="shared" si="3"/>
        <v>67812</v>
      </c>
      <c r="L5" s="288">
        <f t="shared" si="3"/>
        <v>69246.333333333328</v>
      </c>
      <c r="M5" s="288">
        <f t="shared" si="3"/>
        <v>65868.666666666672</v>
      </c>
      <c r="N5" s="288">
        <f t="shared" si="3"/>
        <v>68232</v>
      </c>
      <c r="O5" s="288">
        <f t="shared" si="3"/>
        <v>73992</v>
      </c>
      <c r="P5" s="288"/>
    </row>
    <row r="6" spans="1:17">
      <c r="D6" s="289"/>
      <c r="E6" s="289"/>
      <c r="F6" s="289"/>
      <c r="G6" s="289"/>
      <c r="H6" s="289"/>
      <c r="I6" s="289"/>
      <c r="J6" s="289"/>
      <c r="K6" s="289"/>
      <c r="L6" s="289"/>
      <c r="M6" s="289"/>
      <c r="N6" s="289"/>
      <c r="O6" s="289"/>
      <c r="P6" s="289"/>
    </row>
    <row r="7" spans="1:17">
      <c r="A7" s="286" t="s">
        <v>5451</v>
      </c>
      <c r="D7" s="288">
        <f t="shared" ref="D7:I7" si="4">D19+D23+D26+D28+D29+D31+D32</f>
        <v>71941</v>
      </c>
      <c r="E7" s="288">
        <f t="shared" si="4"/>
        <v>73028</v>
      </c>
      <c r="F7" s="288">
        <f t="shared" si="4"/>
        <v>72350</v>
      </c>
      <c r="G7" s="288">
        <f t="shared" si="4"/>
        <v>71513</v>
      </c>
      <c r="H7" s="288">
        <f t="shared" si="4"/>
        <v>71409</v>
      </c>
      <c r="I7" s="288">
        <f t="shared" si="4"/>
        <v>69082</v>
      </c>
      <c r="J7" s="288">
        <f t="shared" ref="J7:O7" si="5">J19+J23+J26+J28+J29+J31+J32</f>
        <v>69924</v>
      </c>
      <c r="K7" s="288">
        <f t="shared" si="5"/>
        <v>71401</v>
      </c>
      <c r="L7" s="288">
        <f t="shared" si="5"/>
        <v>72761</v>
      </c>
      <c r="M7" s="288">
        <f t="shared" si="5"/>
        <v>69345</v>
      </c>
      <c r="N7" s="288">
        <f t="shared" si="5"/>
        <v>72115</v>
      </c>
      <c r="O7" s="288">
        <f t="shared" si="5"/>
        <v>79325</v>
      </c>
      <c r="P7" s="288"/>
      <c r="Q7" s="286" t="s">
        <v>5452</v>
      </c>
    </row>
    <row r="8" spans="1:17">
      <c r="D8" s="289"/>
      <c r="E8" s="289"/>
      <c r="F8" s="289"/>
      <c r="G8" s="289"/>
      <c r="H8" s="289"/>
      <c r="I8" s="289"/>
      <c r="J8" s="289"/>
      <c r="K8" s="289"/>
      <c r="L8" s="289"/>
      <c r="M8" s="289"/>
      <c r="N8" s="289"/>
      <c r="O8" s="289"/>
      <c r="P8" s="289"/>
    </row>
    <row r="9" spans="1:17">
      <c r="A9" s="286" t="s">
        <v>5453</v>
      </c>
      <c r="D9" s="288">
        <f t="shared" ref="D9:I9" si="6">D22+D30+D33+D34+D37+D38</f>
        <v>62223</v>
      </c>
      <c r="E9" s="288">
        <f t="shared" si="6"/>
        <v>62153</v>
      </c>
      <c r="F9" s="288">
        <f t="shared" si="6"/>
        <v>62006</v>
      </c>
      <c r="G9" s="288">
        <f t="shared" si="6"/>
        <v>61984</v>
      </c>
      <c r="H9" s="288">
        <f t="shared" si="6"/>
        <v>62007</v>
      </c>
      <c r="I9" s="288">
        <f t="shared" si="6"/>
        <v>59417</v>
      </c>
      <c r="J9" s="288">
        <f t="shared" ref="J9:O9" si="7">J22+J30+J33+J34+J37+J38</f>
        <v>59822</v>
      </c>
      <c r="K9" s="288">
        <f t="shared" si="7"/>
        <v>60652</v>
      </c>
      <c r="L9" s="288">
        <f t="shared" si="7"/>
        <v>61765</v>
      </c>
      <c r="M9" s="288">
        <f t="shared" si="7"/>
        <v>59382</v>
      </c>
      <c r="N9" s="288">
        <f t="shared" si="7"/>
        <v>61211</v>
      </c>
      <c r="O9" s="288">
        <f t="shared" si="7"/>
        <v>65665</v>
      </c>
      <c r="P9" s="288"/>
      <c r="Q9" s="286" t="s">
        <v>5452</v>
      </c>
    </row>
    <row r="10" spans="1:17">
      <c r="D10" s="289"/>
      <c r="E10" s="289"/>
      <c r="F10" s="289"/>
      <c r="G10" s="289"/>
      <c r="H10" s="289"/>
      <c r="I10" s="289"/>
      <c r="J10" s="289"/>
      <c r="K10" s="289"/>
      <c r="L10" s="289"/>
      <c r="M10" s="289"/>
      <c r="N10" s="289"/>
      <c r="O10" s="289"/>
      <c r="P10" s="289"/>
    </row>
    <row r="11" spans="1:17">
      <c r="A11" s="286" t="s">
        <v>5454</v>
      </c>
      <c r="D11" s="288">
        <f t="shared" ref="D11:I11" si="8">D20+D21+D24+D25+D27+D35+D36</f>
        <v>71993</v>
      </c>
      <c r="E11" s="288">
        <f t="shared" si="8"/>
        <v>72707</v>
      </c>
      <c r="F11" s="288">
        <f t="shared" si="8"/>
        <v>72797</v>
      </c>
      <c r="G11" s="288">
        <f t="shared" si="8"/>
        <v>72538</v>
      </c>
      <c r="H11" s="288">
        <f t="shared" si="8"/>
        <v>73137</v>
      </c>
      <c r="I11" s="288">
        <f t="shared" si="8"/>
        <v>70286</v>
      </c>
      <c r="J11" s="288">
        <f t="shared" ref="J11:O11" si="9">J20+J21+J24+J25+J27+J35+J36</f>
        <v>71428</v>
      </c>
      <c r="K11" s="288">
        <f t="shared" si="9"/>
        <v>71383</v>
      </c>
      <c r="L11" s="288">
        <f t="shared" si="9"/>
        <v>73213</v>
      </c>
      <c r="M11" s="288">
        <f t="shared" si="9"/>
        <v>68879</v>
      </c>
      <c r="N11" s="288">
        <f t="shared" si="9"/>
        <v>71370</v>
      </c>
      <c r="O11" s="288">
        <f t="shared" si="9"/>
        <v>76986</v>
      </c>
      <c r="P11" s="288"/>
      <c r="Q11" s="286" t="s">
        <v>5452</v>
      </c>
    </row>
    <row r="12" spans="1:17">
      <c r="D12" s="289"/>
      <c r="E12" s="289"/>
      <c r="F12" s="289"/>
      <c r="G12" s="289"/>
      <c r="H12" s="289"/>
      <c r="I12" s="289"/>
      <c r="J12" s="289"/>
      <c r="K12" s="289"/>
      <c r="L12" s="289"/>
      <c r="M12" s="289"/>
      <c r="N12" s="289"/>
      <c r="O12" s="289"/>
      <c r="P12" s="289"/>
    </row>
    <row r="13" spans="1:17">
      <c r="A13" s="286" t="s">
        <v>6796</v>
      </c>
      <c r="D13" s="288">
        <f t="shared" ref="D13:I13" si="10">D7+D9+D11</f>
        <v>206157</v>
      </c>
      <c r="E13" s="288">
        <f t="shared" si="10"/>
        <v>207888</v>
      </c>
      <c r="F13" s="288">
        <f t="shared" si="10"/>
        <v>207153</v>
      </c>
      <c r="G13" s="288">
        <f t="shared" si="10"/>
        <v>206035</v>
      </c>
      <c r="H13" s="288">
        <f t="shared" si="10"/>
        <v>206553</v>
      </c>
      <c r="I13" s="288">
        <f t="shared" si="10"/>
        <v>198785</v>
      </c>
      <c r="J13" s="288">
        <f t="shared" ref="J13:O13" si="11">J7+J9+J11</f>
        <v>201174</v>
      </c>
      <c r="K13" s="288">
        <f t="shared" si="11"/>
        <v>203436</v>
      </c>
      <c r="L13" s="288">
        <f t="shared" si="11"/>
        <v>207739</v>
      </c>
      <c r="M13" s="288">
        <f t="shared" si="11"/>
        <v>197606</v>
      </c>
      <c r="N13" s="288">
        <f t="shared" si="11"/>
        <v>204696</v>
      </c>
      <c r="O13" s="288">
        <f t="shared" si="11"/>
        <v>221976</v>
      </c>
      <c r="P13" s="288"/>
    </row>
    <row r="14" spans="1:17">
      <c r="D14" s="289"/>
      <c r="E14" s="289"/>
      <c r="F14" s="289"/>
      <c r="G14" s="289"/>
      <c r="H14" s="289"/>
      <c r="I14" s="289"/>
      <c r="J14" s="289"/>
      <c r="K14" s="289"/>
      <c r="L14" s="289"/>
      <c r="M14" s="289"/>
      <c r="N14" s="289"/>
      <c r="O14" s="289"/>
      <c r="P14" s="289"/>
    </row>
    <row r="15" spans="1:17">
      <c r="A15" s="286" t="s">
        <v>6797</v>
      </c>
      <c r="D15" s="288">
        <f t="shared" ref="D15:I15" si="12">MAX(D7,D9,D11)-MIN(D7,D9,D11)</f>
        <v>9770</v>
      </c>
      <c r="E15" s="288">
        <f t="shared" si="12"/>
        <v>10875</v>
      </c>
      <c r="F15" s="288">
        <f t="shared" si="12"/>
        <v>10791</v>
      </c>
      <c r="G15" s="288">
        <f t="shared" si="12"/>
        <v>10554</v>
      </c>
      <c r="H15" s="288">
        <f t="shared" si="12"/>
        <v>11130</v>
      </c>
      <c r="I15" s="288">
        <f t="shared" si="12"/>
        <v>10869</v>
      </c>
      <c r="J15" s="288">
        <f t="shared" ref="J15:O15" si="13">MAX(J7,J9,J11)-MIN(J7,J9,J11)</f>
        <v>11606</v>
      </c>
      <c r="K15" s="288">
        <f t="shared" si="13"/>
        <v>10749</v>
      </c>
      <c r="L15" s="288">
        <f t="shared" si="13"/>
        <v>11448</v>
      </c>
      <c r="M15" s="288">
        <f t="shared" si="13"/>
        <v>9963</v>
      </c>
      <c r="N15" s="288">
        <f t="shared" si="13"/>
        <v>10904</v>
      </c>
      <c r="O15" s="288">
        <f t="shared" si="13"/>
        <v>13660</v>
      </c>
      <c r="P15" s="288"/>
    </row>
    <row r="16" spans="1:17">
      <c r="D16" s="289"/>
      <c r="E16" s="289"/>
      <c r="F16" s="289"/>
      <c r="G16" s="289"/>
      <c r="H16" s="289"/>
      <c r="I16" s="289"/>
      <c r="J16" s="289"/>
      <c r="K16" s="289"/>
      <c r="L16" s="289"/>
      <c r="M16" s="289"/>
      <c r="N16" s="289"/>
      <c r="O16" s="289"/>
      <c r="P16" s="289"/>
    </row>
    <row r="17" spans="1:17">
      <c r="A17" s="286" t="s">
        <v>6800</v>
      </c>
      <c r="D17" s="288">
        <f t="shared" ref="D17:I17" si="14">STDEVP(D7,D9,D11)</f>
        <v>4593.4147065844891</v>
      </c>
      <c r="E17" s="288">
        <f t="shared" si="14"/>
        <v>5052.5635077651423</v>
      </c>
      <c r="F17" s="288">
        <f t="shared" si="14"/>
        <v>4984.9086250401824</v>
      </c>
      <c r="G17" s="288">
        <f t="shared" si="14"/>
        <v>4752.0683450004753</v>
      </c>
      <c r="H17" s="288">
        <f t="shared" si="14"/>
        <v>4890.5860589503991</v>
      </c>
      <c r="I17" s="288">
        <f t="shared" si="14"/>
        <v>4864.8056030591351</v>
      </c>
      <c r="J17" s="288">
        <f t="shared" ref="J17:O17" si="15">STDEVP(J7,J9,J11)</f>
        <v>5153.3339370417934</v>
      </c>
      <c r="K17" s="288">
        <f t="shared" si="15"/>
        <v>5062.8898862211099</v>
      </c>
      <c r="L17" s="288">
        <f t="shared" si="15"/>
        <v>5293.3188916679564</v>
      </c>
      <c r="M17" s="288">
        <f t="shared" si="15"/>
        <v>4590.7096280301685</v>
      </c>
      <c r="N17" s="288">
        <f t="shared" si="15"/>
        <v>4973.9043684681619</v>
      </c>
      <c r="O17" s="288">
        <f t="shared" si="15"/>
        <v>5965.0050013949412</v>
      </c>
      <c r="P17" s="288"/>
    </row>
    <row r="18" spans="1:17">
      <c r="D18" s="289"/>
      <c r="E18" s="289"/>
      <c r="F18" s="289"/>
      <c r="G18" s="289"/>
      <c r="H18" s="289"/>
      <c r="I18" s="289"/>
      <c r="J18" s="289"/>
      <c r="K18" s="289"/>
      <c r="L18" s="289"/>
      <c r="M18" s="289"/>
      <c r="N18" s="289"/>
      <c r="O18" s="289"/>
      <c r="P18" s="289"/>
    </row>
    <row r="19" spans="1:17">
      <c r="A19" s="286" t="s">
        <v>5387</v>
      </c>
      <c r="B19" s="286" t="s">
        <v>5487</v>
      </c>
      <c r="C19" s="55" t="s">
        <v>6968</v>
      </c>
      <c r="D19" s="290">
        <v>10725</v>
      </c>
      <c r="E19" s="290">
        <v>10883</v>
      </c>
      <c r="F19" s="290">
        <v>10753</v>
      </c>
      <c r="G19" s="290">
        <v>10524</v>
      </c>
      <c r="H19" s="56">
        <v>10593</v>
      </c>
      <c r="I19" s="56">
        <v>10261</v>
      </c>
      <c r="J19" s="56">
        <v>10443</v>
      </c>
      <c r="K19" s="56">
        <v>10527</v>
      </c>
      <c r="L19" s="56">
        <v>10832</v>
      </c>
      <c r="M19" s="56">
        <v>10013</v>
      </c>
      <c r="N19" s="56">
        <v>10350</v>
      </c>
      <c r="O19" s="56">
        <v>11444</v>
      </c>
      <c r="P19" s="56"/>
      <c r="Q19" s="286" t="s">
        <v>5451</v>
      </c>
    </row>
    <row r="20" spans="1:17">
      <c r="A20" s="286" t="s">
        <v>5389</v>
      </c>
      <c r="B20" s="286" t="s">
        <v>5488</v>
      </c>
      <c r="C20" s="55" t="s">
        <v>6969</v>
      </c>
      <c r="D20" s="290">
        <v>10553</v>
      </c>
      <c r="E20" s="290">
        <v>10625</v>
      </c>
      <c r="F20" s="290">
        <v>10518</v>
      </c>
      <c r="G20" s="290">
        <v>10395</v>
      </c>
      <c r="H20" s="56">
        <v>10415</v>
      </c>
      <c r="I20" s="56">
        <v>10009</v>
      </c>
      <c r="J20" s="56">
        <v>10234</v>
      </c>
      <c r="K20" s="56">
        <v>10232</v>
      </c>
      <c r="L20" s="56">
        <v>10747</v>
      </c>
      <c r="M20" s="56">
        <v>9879</v>
      </c>
      <c r="N20" s="56">
        <v>10272</v>
      </c>
      <c r="O20" s="56">
        <v>11126</v>
      </c>
      <c r="P20" s="56"/>
      <c r="Q20" s="286" t="s">
        <v>5454</v>
      </c>
    </row>
    <row r="21" spans="1:17">
      <c r="A21" s="286" t="s">
        <v>5391</v>
      </c>
      <c r="B21" s="286" t="s">
        <v>5489</v>
      </c>
      <c r="C21" s="55" t="s">
        <v>6970</v>
      </c>
      <c r="D21" s="290">
        <v>10574</v>
      </c>
      <c r="E21" s="290">
        <v>10885</v>
      </c>
      <c r="F21" s="290">
        <v>11144</v>
      </c>
      <c r="G21" s="290">
        <v>11222</v>
      </c>
      <c r="H21" s="56">
        <v>11381</v>
      </c>
      <c r="I21" s="56">
        <v>10648</v>
      </c>
      <c r="J21" s="56">
        <v>10820</v>
      </c>
      <c r="K21" s="56">
        <v>10762</v>
      </c>
      <c r="L21" s="56">
        <v>10850</v>
      </c>
      <c r="M21" s="56">
        <v>10367</v>
      </c>
      <c r="N21" s="56">
        <v>10744</v>
      </c>
      <c r="O21" s="56">
        <v>11578</v>
      </c>
      <c r="P21" s="56"/>
      <c r="Q21" s="286" t="s">
        <v>5454</v>
      </c>
    </row>
    <row r="22" spans="1:17">
      <c r="A22" s="286" t="s">
        <v>5393</v>
      </c>
      <c r="B22" s="286" t="s">
        <v>5490</v>
      </c>
      <c r="C22" s="55" t="s">
        <v>6971</v>
      </c>
      <c r="D22" s="290">
        <v>10564</v>
      </c>
      <c r="E22" s="290">
        <v>10586</v>
      </c>
      <c r="F22" s="290">
        <v>10747</v>
      </c>
      <c r="G22" s="290">
        <v>10625</v>
      </c>
      <c r="H22" s="56">
        <v>10510</v>
      </c>
      <c r="I22" s="56">
        <v>10141</v>
      </c>
      <c r="J22" s="56">
        <v>10060</v>
      </c>
      <c r="K22" s="56">
        <v>10330</v>
      </c>
      <c r="L22" s="56">
        <v>10688</v>
      </c>
      <c r="M22" s="56">
        <v>10077</v>
      </c>
      <c r="N22" s="56">
        <v>10499</v>
      </c>
      <c r="O22" s="56">
        <v>11393</v>
      </c>
      <c r="P22" s="56"/>
      <c r="Q22" s="286" t="s">
        <v>5453</v>
      </c>
    </row>
    <row r="23" spans="1:17">
      <c r="A23" s="286" t="s">
        <v>5394</v>
      </c>
      <c r="B23" s="286" t="s">
        <v>2040</v>
      </c>
      <c r="C23" s="55" t="s">
        <v>6972</v>
      </c>
      <c r="D23" s="290">
        <v>10511</v>
      </c>
      <c r="E23" s="290">
        <v>10594</v>
      </c>
      <c r="F23" s="290">
        <v>10373</v>
      </c>
      <c r="G23" s="290">
        <v>10223</v>
      </c>
      <c r="H23" s="56">
        <v>10178</v>
      </c>
      <c r="I23" s="56">
        <v>9756</v>
      </c>
      <c r="J23" s="56">
        <v>9986</v>
      </c>
      <c r="K23" s="56">
        <v>10101</v>
      </c>
      <c r="L23" s="56">
        <v>10173</v>
      </c>
      <c r="M23" s="56">
        <v>9650</v>
      </c>
      <c r="N23" s="56">
        <v>9922</v>
      </c>
      <c r="O23" s="56">
        <v>11003</v>
      </c>
      <c r="P23" s="56"/>
      <c r="Q23" s="286" t="s">
        <v>5451</v>
      </c>
    </row>
    <row r="24" spans="1:17">
      <c r="A24" s="286" t="s">
        <v>5416</v>
      </c>
      <c r="B24" s="286" t="s">
        <v>5491</v>
      </c>
      <c r="C24" s="55" t="s">
        <v>6973</v>
      </c>
      <c r="D24" s="290">
        <v>9831</v>
      </c>
      <c r="E24" s="290">
        <v>9875</v>
      </c>
      <c r="F24" s="290">
        <v>9798</v>
      </c>
      <c r="G24" s="290">
        <v>9831</v>
      </c>
      <c r="H24" s="58">
        <v>9935</v>
      </c>
      <c r="I24" s="58">
        <v>9726</v>
      </c>
      <c r="J24" s="58">
        <v>9791</v>
      </c>
      <c r="K24" s="58">
        <v>9832</v>
      </c>
      <c r="L24" s="58">
        <v>10060</v>
      </c>
      <c r="M24" s="58">
        <v>9607</v>
      </c>
      <c r="N24" s="58">
        <v>9792</v>
      </c>
      <c r="O24" s="58">
        <v>10356</v>
      </c>
      <c r="P24" s="58"/>
      <c r="Q24" s="286" t="s">
        <v>5454</v>
      </c>
    </row>
    <row r="25" spans="1:17">
      <c r="A25" s="286" t="s">
        <v>5418</v>
      </c>
      <c r="B25" s="286" t="s">
        <v>6556</v>
      </c>
      <c r="C25" s="55" t="s">
        <v>6974</v>
      </c>
      <c r="D25" s="290">
        <v>9944</v>
      </c>
      <c r="E25" s="290">
        <v>9956</v>
      </c>
      <c r="F25" s="290">
        <v>10077</v>
      </c>
      <c r="G25" s="290">
        <v>10084</v>
      </c>
      <c r="H25" s="58">
        <v>10157</v>
      </c>
      <c r="I25" s="58">
        <v>9767</v>
      </c>
      <c r="J25" s="58">
        <v>9892</v>
      </c>
      <c r="K25" s="58">
        <v>9864</v>
      </c>
      <c r="L25" s="58">
        <v>10219</v>
      </c>
      <c r="M25" s="58">
        <v>9577</v>
      </c>
      <c r="N25" s="58">
        <v>10033</v>
      </c>
      <c r="O25" s="58">
        <v>10864</v>
      </c>
      <c r="P25" s="58"/>
      <c r="Q25" s="286" t="s">
        <v>5454</v>
      </c>
    </row>
    <row r="26" spans="1:17">
      <c r="A26" s="286" t="s">
        <v>5420</v>
      </c>
      <c r="B26" s="286" t="s">
        <v>5458</v>
      </c>
      <c r="C26" s="55" t="s">
        <v>6975</v>
      </c>
      <c r="D26" s="290">
        <v>9538</v>
      </c>
      <c r="E26" s="290">
        <v>9698</v>
      </c>
      <c r="F26" s="290">
        <v>9793</v>
      </c>
      <c r="G26" s="290">
        <v>9701</v>
      </c>
      <c r="H26" s="56">
        <v>9809</v>
      </c>
      <c r="I26" s="56">
        <v>9508</v>
      </c>
      <c r="J26" s="56">
        <v>9569</v>
      </c>
      <c r="K26" s="56">
        <v>9682</v>
      </c>
      <c r="L26" s="56">
        <v>9974</v>
      </c>
      <c r="M26" s="56">
        <v>9363</v>
      </c>
      <c r="N26" s="56">
        <v>9678</v>
      </c>
      <c r="O26" s="56">
        <v>10522</v>
      </c>
      <c r="P26" s="56"/>
      <c r="Q26" s="286" t="s">
        <v>5451</v>
      </c>
    </row>
    <row r="27" spans="1:17">
      <c r="A27" s="286" t="s">
        <v>5422</v>
      </c>
      <c r="B27" s="286" t="s">
        <v>5459</v>
      </c>
      <c r="C27" s="55" t="s">
        <v>6976</v>
      </c>
      <c r="D27" s="290">
        <v>10785</v>
      </c>
      <c r="E27" s="290">
        <v>10882</v>
      </c>
      <c r="F27" s="290">
        <v>10779</v>
      </c>
      <c r="G27" s="290">
        <v>10633</v>
      </c>
      <c r="H27" s="58">
        <v>10610</v>
      </c>
      <c r="I27" s="58">
        <v>10237</v>
      </c>
      <c r="J27" s="58">
        <v>10555</v>
      </c>
      <c r="K27" s="58">
        <v>10533</v>
      </c>
      <c r="L27" s="58">
        <v>10845</v>
      </c>
      <c r="M27" s="58">
        <v>10234</v>
      </c>
      <c r="N27" s="58">
        <v>10611</v>
      </c>
      <c r="O27" s="58">
        <v>11497</v>
      </c>
      <c r="P27" s="58"/>
      <c r="Q27" s="286" t="s">
        <v>5454</v>
      </c>
    </row>
    <row r="28" spans="1:17">
      <c r="A28" s="286" t="s">
        <v>5424</v>
      </c>
      <c r="B28" s="286" t="s">
        <v>5460</v>
      </c>
      <c r="C28" s="55" t="s">
        <v>6977</v>
      </c>
      <c r="D28" s="290">
        <v>10404</v>
      </c>
      <c r="E28" s="290">
        <v>10439</v>
      </c>
      <c r="F28" s="290">
        <v>10339</v>
      </c>
      <c r="G28" s="290">
        <v>10019</v>
      </c>
      <c r="H28" s="56">
        <v>9779</v>
      </c>
      <c r="I28" s="56">
        <v>9442</v>
      </c>
      <c r="J28" s="56">
        <v>9292</v>
      </c>
      <c r="K28" s="56">
        <v>9475</v>
      </c>
      <c r="L28" s="56">
        <v>9589</v>
      </c>
      <c r="M28" s="56">
        <v>8993</v>
      </c>
      <c r="N28" s="56">
        <v>9403</v>
      </c>
      <c r="O28" s="56">
        <v>10384</v>
      </c>
      <c r="P28" s="56"/>
      <c r="Q28" s="286" t="s">
        <v>5451</v>
      </c>
    </row>
    <row r="29" spans="1:17">
      <c r="A29" s="286" t="s">
        <v>5426</v>
      </c>
      <c r="B29" s="286" t="s">
        <v>5461</v>
      </c>
      <c r="C29" s="55" t="s">
        <v>6978</v>
      </c>
      <c r="D29" s="290">
        <v>10074</v>
      </c>
      <c r="E29" s="290">
        <v>10200</v>
      </c>
      <c r="F29" s="290">
        <v>10186</v>
      </c>
      <c r="G29" s="290">
        <v>10146</v>
      </c>
      <c r="H29" s="56">
        <v>10035</v>
      </c>
      <c r="I29" s="56">
        <v>9864</v>
      </c>
      <c r="J29" s="56">
        <v>9948</v>
      </c>
      <c r="K29" s="56">
        <v>10571</v>
      </c>
      <c r="L29" s="56">
        <v>10840</v>
      </c>
      <c r="M29" s="56">
        <v>10954</v>
      </c>
      <c r="N29" s="56">
        <v>11596</v>
      </c>
      <c r="O29" s="56">
        <v>12758</v>
      </c>
      <c r="P29" s="56"/>
      <c r="Q29" s="286" t="s">
        <v>5451</v>
      </c>
    </row>
    <row r="30" spans="1:17">
      <c r="A30" s="286" t="s">
        <v>5428</v>
      </c>
      <c r="B30" s="286" t="s">
        <v>860</v>
      </c>
      <c r="C30" s="55" t="s">
        <v>6979</v>
      </c>
      <c r="D30" s="290">
        <v>9639</v>
      </c>
      <c r="E30" s="290">
        <v>9332</v>
      </c>
      <c r="F30" s="290">
        <v>9379</v>
      </c>
      <c r="G30" s="290">
        <v>9344</v>
      </c>
      <c r="H30" s="56">
        <v>9134</v>
      </c>
      <c r="I30" s="56">
        <v>8408</v>
      </c>
      <c r="J30" s="56">
        <v>8269</v>
      </c>
      <c r="K30" s="56">
        <v>7953</v>
      </c>
      <c r="L30" s="56">
        <v>8086</v>
      </c>
      <c r="M30" s="56">
        <v>7879</v>
      </c>
      <c r="N30" s="56">
        <v>7999</v>
      </c>
      <c r="O30" s="56">
        <v>8863</v>
      </c>
      <c r="P30" s="56"/>
      <c r="Q30" s="286" t="s">
        <v>5453</v>
      </c>
    </row>
    <row r="31" spans="1:17">
      <c r="A31" s="286" t="s">
        <v>5429</v>
      </c>
      <c r="B31" s="286" t="s">
        <v>5462</v>
      </c>
      <c r="C31" s="55" t="s">
        <v>6980</v>
      </c>
      <c r="D31" s="290">
        <v>10419</v>
      </c>
      <c r="E31" s="290">
        <v>10739</v>
      </c>
      <c r="F31" s="290">
        <v>10652</v>
      </c>
      <c r="G31" s="290">
        <v>10745</v>
      </c>
      <c r="H31" s="56">
        <v>10826</v>
      </c>
      <c r="I31" s="56">
        <v>10587</v>
      </c>
      <c r="J31" s="56">
        <v>10765</v>
      </c>
      <c r="K31" s="56">
        <v>11048</v>
      </c>
      <c r="L31" s="56">
        <v>11308</v>
      </c>
      <c r="M31" s="56">
        <v>11062</v>
      </c>
      <c r="N31" s="56">
        <v>11450</v>
      </c>
      <c r="O31" s="56">
        <v>12426</v>
      </c>
      <c r="P31" s="56"/>
      <c r="Q31" s="286" t="s">
        <v>5451</v>
      </c>
    </row>
    <row r="32" spans="1:17">
      <c r="A32" s="286" t="s">
        <v>5431</v>
      </c>
      <c r="B32" s="286" t="s">
        <v>5463</v>
      </c>
      <c r="C32" s="55" t="s">
        <v>6981</v>
      </c>
      <c r="D32" s="290">
        <v>10270</v>
      </c>
      <c r="E32" s="290">
        <v>10475</v>
      </c>
      <c r="F32" s="290">
        <v>10254</v>
      </c>
      <c r="G32" s="290">
        <v>10155</v>
      </c>
      <c r="H32" s="56">
        <v>10189</v>
      </c>
      <c r="I32" s="56">
        <v>9664</v>
      </c>
      <c r="J32" s="56">
        <v>9921</v>
      </c>
      <c r="K32" s="56">
        <v>9997</v>
      </c>
      <c r="L32" s="56">
        <v>10045</v>
      </c>
      <c r="M32" s="56">
        <v>9310</v>
      </c>
      <c r="N32" s="56">
        <v>9716</v>
      </c>
      <c r="O32" s="56">
        <v>10788</v>
      </c>
      <c r="P32" s="56"/>
      <c r="Q32" s="286" t="s">
        <v>5451</v>
      </c>
    </row>
    <row r="33" spans="1:17">
      <c r="A33" s="286" t="s">
        <v>5433</v>
      </c>
      <c r="B33" s="286" t="s">
        <v>5464</v>
      </c>
      <c r="C33" s="55" t="s">
        <v>6982</v>
      </c>
      <c r="D33" s="290">
        <v>11000</v>
      </c>
      <c r="E33" s="290">
        <v>11106</v>
      </c>
      <c r="F33" s="290">
        <v>11090</v>
      </c>
      <c r="G33" s="290">
        <v>11225</v>
      </c>
      <c r="H33" s="56">
        <v>11325</v>
      </c>
      <c r="I33" s="56">
        <v>10876</v>
      </c>
      <c r="J33" s="56">
        <v>11168</v>
      </c>
      <c r="K33" s="56">
        <v>11539</v>
      </c>
      <c r="L33" s="56">
        <v>11655</v>
      </c>
      <c r="M33" s="56">
        <v>11388</v>
      </c>
      <c r="N33" s="56">
        <v>11835</v>
      </c>
      <c r="O33" s="56">
        <v>12530</v>
      </c>
      <c r="P33" s="56"/>
      <c r="Q33" s="286" t="s">
        <v>5453</v>
      </c>
    </row>
    <row r="34" spans="1:17">
      <c r="A34" s="286" t="s">
        <v>5435</v>
      </c>
      <c r="B34" s="286" t="s">
        <v>5465</v>
      </c>
      <c r="C34" s="55" t="s">
        <v>6983</v>
      </c>
      <c r="D34" s="290">
        <v>10845</v>
      </c>
      <c r="E34" s="290">
        <v>10928</v>
      </c>
      <c r="F34" s="290">
        <v>10714</v>
      </c>
      <c r="G34" s="290">
        <v>10727</v>
      </c>
      <c r="H34" s="56">
        <v>10858</v>
      </c>
      <c r="I34" s="56">
        <v>10473</v>
      </c>
      <c r="J34" s="56">
        <v>10761</v>
      </c>
      <c r="K34" s="56">
        <v>11081</v>
      </c>
      <c r="L34" s="56">
        <v>11282</v>
      </c>
      <c r="M34" s="56">
        <v>10752</v>
      </c>
      <c r="N34" s="56">
        <v>11077</v>
      </c>
      <c r="O34" s="56">
        <v>12097</v>
      </c>
      <c r="P34" s="56"/>
      <c r="Q34" s="286" t="s">
        <v>5453</v>
      </c>
    </row>
    <row r="35" spans="1:17">
      <c r="A35" s="286" t="s">
        <v>5436</v>
      </c>
      <c r="B35" s="286" t="s">
        <v>5466</v>
      </c>
      <c r="C35" s="55" t="s">
        <v>6984</v>
      </c>
      <c r="D35" s="290">
        <v>10355</v>
      </c>
      <c r="E35" s="290">
        <v>10465</v>
      </c>
      <c r="F35" s="290">
        <v>10547</v>
      </c>
      <c r="G35" s="290">
        <v>10489</v>
      </c>
      <c r="H35" s="58">
        <v>10700</v>
      </c>
      <c r="I35" s="58">
        <v>10204</v>
      </c>
      <c r="J35" s="58">
        <v>10498</v>
      </c>
      <c r="K35" s="58">
        <v>10411</v>
      </c>
      <c r="L35" s="58">
        <v>10773</v>
      </c>
      <c r="M35" s="58">
        <v>9944</v>
      </c>
      <c r="N35" s="58">
        <v>10450</v>
      </c>
      <c r="O35" s="58">
        <v>11422</v>
      </c>
      <c r="P35" s="58"/>
      <c r="Q35" s="286" t="s">
        <v>5454</v>
      </c>
    </row>
    <row r="36" spans="1:17">
      <c r="A36" s="286" t="s">
        <v>5437</v>
      </c>
      <c r="B36" s="286" t="s">
        <v>5467</v>
      </c>
      <c r="C36" s="55" t="s">
        <v>6985</v>
      </c>
      <c r="D36" s="291">
        <v>9951</v>
      </c>
      <c r="E36" s="291">
        <v>10019</v>
      </c>
      <c r="F36" s="291">
        <v>9934</v>
      </c>
      <c r="G36" s="291">
        <v>9884</v>
      </c>
      <c r="H36" s="58">
        <v>9939</v>
      </c>
      <c r="I36" s="58">
        <v>9695</v>
      </c>
      <c r="J36" s="58">
        <v>9638</v>
      </c>
      <c r="K36" s="58">
        <v>9749</v>
      </c>
      <c r="L36" s="58">
        <v>9719</v>
      </c>
      <c r="M36" s="58">
        <v>9271</v>
      </c>
      <c r="N36" s="58">
        <v>9468</v>
      </c>
      <c r="O36" s="58">
        <v>10143</v>
      </c>
      <c r="P36" s="58"/>
      <c r="Q36" s="286" t="s">
        <v>5454</v>
      </c>
    </row>
    <row r="37" spans="1:17">
      <c r="A37" s="286" t="s">
        <v>5439</v>
      </c>
      <c r="B37" s="286" t="s">
        <v>1927</v>
      </c>
      <c r="C37" s="55" t="s">
        <v>6986</v>
      </c>
      <c r="D37" s="290">
        <v>10361</v>
      </c>
      <c r="E37" s="290">
        <v>10288</v>
      </c>
      <c r="F37" s="290">
        <v>10121</v>
      </c>
      <c r="G37" s="290">
        <v>10155</v>
      </c>
      <c r="H37" s="56">
        <v>10075</v>
      </c>
      <c r="I37" s="56">
        <v>9720</v>
      </c>
      <c r="J37" s="56">
        <v>9704</v>
      </c>
      <c r="K37" s="56">
        <v>9808</v>
      </c>
      <c r="L37" s="56">
        <v>9937</v>
      </c>
      <c r="M37" s="56">
        <v>9547</v>
      </c>
      <c r="N37" s="56">
        <v>9840</v>
      </c>
      <c r="O37" s="56">
        <v>10290</v>
      </c>
      <c r="P37" s="56"/>
      <c r="Q37" s="286" t="s">
        <v>5453</v>
      </c>
    </row>
    <row r="38" spans="1:17">
      <c r="A38" s="286" t="s">
        <v>5441</v>
      </c>
      <c r="B38" s="286" t="s">
        <v>5468</v>
      </c>
      <c r="C38" s="55" t="s">
        <v>6987</v>
      </c>
      <c r="D38" s="290">
        <v>9814</v>
      </c>
      <c r="E38" s="290">
        <v>9913</v>
      </c>
      <c r="F38" s="290">
        <v>9955</v>
      </c>
      <c r="G38" s="290">
        <v>9908</v>
      </c>
      <c r="H38" s="56">
        <v>10105</v>
      </c>
      <c r="I38" s="56">
        <v>9799</v>
      </c>
      <c r="J38" s="56">
        <v>9860</v>
      </c>
      <c r="K38" s="56">
        <v>9941</v>
      </c>
      <c r="L38" s="56">
        <v>10117</v>
      </c>
      <c r="M38" s="56">
        <v>9739</v>
      </c>
      <c r="N38" s="56">
        <v>9961</v>
      </c>
      <c r="O38" s="56">
        <v>10492</v>
      </c>
      <c r="P38" s="56"/>
      <c r="Q38" s="286" t="s">
        <v>5453</v>
      </c>
    </row>
    <row r="40" spans="1:17">
      <c r="A40" s="116" t="s">
        <v>5469</v>
      </c>
    </row>
  </sheetData>
  <phoneticPr fontId="6" type="noConversion"/>
  <printOptions gridLinesSet="0"/>
  <pageMargins left="0.78740157480314965" right="0" top="0.51181102362204722" bottom="0.51181102362204722" header="0.51181102362204722" footer="0.51181102362204722"/>
  <pageSetup paperSize="9" scale="73" orientation="portrait" horizontalDpi="300" verticalDpi="300" r:id="rId1"/>
  <headerFooter alignWithMargins="0">
    <oddFooter>&amp;C&amp;"Times New Roman,Regular"&amp;8&amp;P of &amp;N</oddFooter>
  </headerFooter>
  <ignoredErrors>
    <ignoredError sqref="D3:D4 E3:E4 F3:F4 G3:G4 D5:D17 E5:E17 F5:F17 G5:G17 H3:H4 H5:H17 I3:I17 J3:J18 K3:K17 L3:L17" unlockedFormula="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ransitionEvaluation="1"/>
  <dimension ref="A1:Q46"/>
  <sheetViews>
    <sheetView showGridLines="0" zoomScale="90" zoomScaleNormal="90" workbookViewId="0">
      <selection activeCell="Q17" sqref="Q17"/>
    </sheetView>
  </sheetViews>
  <sheetFormatPr defaultColWidth="12.5703125" defaultRowHeight="15"/>
  <cols>
    <col min="1" max="1" width="4.7109375" style="115" customWidth="1"/>
    <col min="2" max="2" width="36" style="115" customWidth="1"/>
    <col min="3" max="3" width="11.5703125" style="115" customWidth="1"/>
    <col min="4" max="15" width="10" style="115" customWidth="1"/>
    <col min="16" max="16" width="2.28515625" style="115" customWidth="1"/>
    <col min="17" max="17" width="30.7109375" style="115" customWidth="1"/>
    <col min="18" max="16384" width="12.5703125" style="115"/>
  </cols>
  <sheetData>
    <row r="1" spans="1:17">
      <c r="A1" s="277" t="s">
        <v>6924</v>
      </c>
      <c r="D1" s="278">
        <v>2010</v>
      </c>
      <c r="E1" s="278">
        <v>2011</v>
      </c>
      <c r="F1" s="278">
        <v>2012</v>
      </c>
      <c r="G1" s="278">
        <v>2013</v>
      </c>
      <c r="H1" s="278">
        <v>2014</v>
      </c>
      <c r="I1" s="278">
        <v>2015</v>
      </c>
      <c r="J1" s="278">
        <v>2016</v>
      </c>
      <c r="K1" s="278">
        <v>2017</v>
      </c>
      <c r="L1" s="278">
        <v>2018</v>
      </c>
      <c r="M1" s="278">
        <v>2019</v>
      </c>
      <c r="N1" s="278">
        <v>2020</v>
      </c>
      <c r="O1" s="931" t="s">
        <v>14823</v>
      </c>
    </row>
    <row r="3" spans="1:17">
      <c r="A3" s="277" t="s">
        <v>5470</v>
      </c>
      <c r="D3" s="279">
        <f t="shared" ref="D3:M3" si="0">SUM(D17:D22)+SUM(D24:D35)+SUM(D36:D40)</f>
        <v>150586</v>
      </c>
      <c r="E3" s="279">
        <f t="shared" si="0"/>
        <v>153048</v>
      </c>
      <c r="F3" s="279">
        <f t="shared" si="0"/>
        <v>154422</v>
      </c>
      <c r="G3" s="279">
        <f t="shared" si="0"/>
        <v>156070</v>
      </c>
      <c r="H3" s="279">
        <f t="shared" si="0"/>
        <v>159271</v>
      </c>
      <c r="I3" s="279">
        <f t="shared" si="0"/>
        <v>156073</v>
      </c>
      <c r="J3" s="279">
        <f t="shared" si="0"/>
        <v>152989</v>
      </c>
      <c r="K3" s="279">
        <f t="shared" si="0"/>
        <v>154119</v>
      </c>
      <c r="L3" s="279">
        <f t="shared" si="0"/>
        <v>154399</v>
      </c>
      <c r="M3" s="279">
        <f t="shared" si="0"/>
        <v>156440</v>
      </c>
      <c r="N3" s="279">
        <f>SUM(N17:N22)+SUM(N24:N35)+SUM(N36:N40)</f>
        <v>157233</v>
      </c>
      <c r="O3" s="279">
        <f>SUM(O17:O22)+SUM(O24:O35)+SUM(O36:O40)</f>
        <v>158937</v>
      </c>
    </row>
    <row r="4" spans="1:17">
      <c r="A4" s="76"/>
      <c r="B4" s="76"/>
      <c r="C4" s="76"/>
      <c r="D4" s="199"/>
      <c r="E4" s="199"/>
      <c r="F4" s="199"/>
      <c r="G4" s="199"/>
      <c r="H4" s="199"/>
      <c r="I4" s="199"/>
      <c r="J4" s="199"/>
      <c r="K4" s="199"/>
      <c r="L4" s="199"/>
      <c r="M4" s="199"/>
      <c r="N4" s="199"/>
      <c r="O4" s="199"/>
      <c r="P4" s="76"/>
      <c r="Q4" s="76"/>
    </row>
    <row r="5" spans="1:17">
      <c r="A5" s="277" t="s">
        <v>2476</v>
      </c>
      <c r="D5" s="280">
        <f t="shared" ref="D5:I5" si="1">D3/2</f>
        <v>75293</v>
      </c>
      <c r="E5" s="280">
        <f t="shared" si="1"/>
        <v>76524</v>
      </c>
      <c r="F5" s="280">
        <f t="shared" si="1"/>
        <v>77211</v>
      </c>
      <c r="G5" s="280">
        <f t="shared" si="1"/>
        <v>78035</v>
      </c>
      <c r="H5" s="280">
        <f t="shared" si="1"/>
        <v>79635.5</v>
      </c>
      <c r="I5" s="280">
        <f t="shared" si="1"/>
        <v>78036.5</v>
      </c>
      <c r="J5" s="280">
        <f t="shared" ref="J5:O5" si="2">J3/2</f>
        <v>76494.5</v>
      </c>
      <c r="K5" s="280">
        <f t="shared" si="2"/>
        <v>77059.5</v>
      </c>
      <c r="L5" s="280">
        <f t="shared" si="2"/>
        <v>77199.5</v>
      </c>
      <c r="M5" s="280">
        <f t="shared" si="2"/>
        <v>78220</v>
      </c>
      <c r="N5" s="280">
        <f t="shared" si="2"/>
        <v>78616.5</v>
      </c>
      <c r="O5" s="280">
        <f t="shared" si="2"/>
        <v>79468.5</v>
      </c>
    </row>
    <row r="7" spans="1:17">
      <c r="A7" s="277" t="s">
        <v>5471</v>
      </c>
      <c r="D7" s="280">
        <f t="shared" ref="D7:M7" si="3">SUM(D19:D21)+D24+D25+D33+D35+SUM(D36:D38)+D40</f>
        <v>70953</v>
      </c>
      <c r="E7" s="280">
        <f t="shared" si="3"/>
        <v>71836</v>
      </c>
      <c r="F7" s="280">
        <f t="shared" si="3"/>
        <v>72097</v>
      </c>
      <c r="G7" s="280">
        <f t="shared" si="3"/>
        <v>72450</v>
      </c>
      <c r="H7" s="280">
        <f t="shared" si="3"/>
        <v>73741</v>
      </c>
      <c r="I7" s="280">
        <f t="shared" si="3"/>
        <v>72030</v>
      </c>
      <c r="J7" s="280">
        <f t="shared" si="3"/>
        <v>70035</v>
      </c>
      <c r="K7" s="280">
        <f t="shared" si="3"/>
        <v>70469</v>
      </c>
      <c r="L7" s="280">
        <f t="shared" si="3"/>
        <v>70559</v>
      </c>
      <c r="M7" s="280">
        <f t="shared" si="3"/>
        <v>71699</v>
      </c>
      <c r="N7" s="280">
        <f>SUM(N19:N21)+N24+N25+N33+N35+SUM(N36:N38)+N40</f>
        <v>71756</v>
      </c>
      <c r="O7" s="280">
        <f>SUM(O19:O21)+O24+O25+O33+O35+SUM(O36:O38)+O40</f>
        <v>72515</v>
      </c>
      <c r="Q7" s="277" t="s">
        <v>5472</v>
      </c>
    </row>
    <row r="8" spans="1:17">
      <c r="D8" s="281"/>
      <c r="E8" s="281"/>
      <c r="F8" s="281"/>
      <c r="G8" s="281"/>
      <c r="H8" s="281"/>
      <c r="I8" s="281"/>
      <c r="J8" s="281"/>
      <c r="K8" s="281"/>
      <c r="L8" s="281"/>
      <c r="M8" s="281"/>
      <c r="N8" s="281"/>
      <c r="O8" s="281"/>
    </row>
    <row r="9" spans="1:17">
      <c r="A9" s="277" t="s">
        <v>5473</v>
      </c>
      <c r="D9" s="280">
        <f t="shared" ref="D9:L9" si="4">D17+D18+D22+SUM(D26:D32)+D34+D39</f>
        <v>79633</v>
      </c>
      <c r="E9" s="280">
        <f t="shared" si="4"/>
        <v>81212</v>
      </c>
      <c r="F9" s="280">
        <f t="shared" si="4"/>
        <v>82325</v>
      </c>
      <c r="G9" s="280">
        <f t="shared" si="4"/>
        <v>83620</v>
      </c>
      <c r="H9" s="280">
        <f t="shared" si="4"/>
        <v>85530</v>
      </c>
      <c r="I9" s="280">
        <f t="shared" si="4"/>
        <v>84043</v>
      </c>
      <c r="J9" s="280">
        <f t="shared" si="4"/>
        <v>82954</v>
      </c>
      <c r="K9" s="280">
        <f t="shared" si="4"/>
        <v>83650</v>
      </c>
      <c r="L9" s="280">
        <f t="shared" si="4"/>
        <v>83840</v>
      </c>
      <c r="M9" s="280">
        <f>M17+M18+M22+SUM(M26:M32)+M34+M39</f>
        <v>84741</v>
      </c>
      <c r="N9" s="280">
        <f>N17+N18+N22+SUM(N26:N32)+N34+N39</f>
        <v>85477</v>
      </c>
      <c r="O9" s="280">
        <f>O17+O18+O22+SUM(O26:O32)+O34+O39</f>
        <v>86422</v>
      </c>
      <c r="Q9" s="277" t="s">
        <v>5472</v>
      </c>
    </row>
    <row r="10" spans="1:17">
      <c r="D10" s="281"/>
      <c r="E10" s="281"/>
      <c r="F10" s="281"/>
      <c r="G10" s="281"/>
      <c r="H10" s="281"/>
      <c r="I10" s="281"/>
      <c r="J10" s="281"/>
      <c r="K10" s="281"/>
      <c r="L10" s="281"/>
      <c r="M10" s="281"/>
      <c r="N10" s="281"/>
      <c r="O10" s="281"/>
    </row>
    <row r="11" spans="1:17">
      <c r="A11" s="115" t="s">
        <v>6796</v>
      </c>
      <c r="D11" s="281">
        <f t="shared" ref="D11:I11" si="5">D7+D9</f>
        <v>150586</v>
      </c>
      <c r="E11" s="281">
        <f t="shared" si="5"/>
        <v>153048</v>
      </c>
      <c r="F11" s="281">
        <f t="shared" si="5"/>
        <v>154422</v>
      </c>
      <c r="G11" s="281">
        <f t="shared" si="5"/>
        <v>156070</v>
      </c>
      <c r="H11" s="281">
        <f t="shared" si="5"/>
        <v>159271</v>
      </c>
      <c r="I11" s="281">
        <f t="shared" si="5"/>
        <v>156073</v>
      </c>
      <c r="J11" s="281">
        <f t="shared" ref="J11:O11" si="6">J7+J9</f>
        <v>152989</v>
      </c>
      <c r="K11" s="281">
        <f t="shared" si="6"/>
        <v>154119</v>
      </c>
      <c r="L11" s="281">
        <f t="shared" si="6"/>
        <v>154399</v>
      </c>
      <c r="M11" s="281">
        <f t="shared" si="6"/>
        <v>156440</v>
      </c>
      <c r="N11" s="281">
        <f t="shared" si="6"/>
        <v>157233</v>
      </c>
      <c r="O11" s="281">
        <f t="shared" si="6"/>
        <v>158937</v>
      </c>
    </row>
    <row r="12" spans="1:17">
      <c r="D12" s="281"/>
      <c r="E12" s="281"/>
      <c r="F12" s="281"/>
      <c r="G12" s="281"/>
      <c r="H12" s="281"/>
      <c r="I12" s="281"/>
      <c r="J12" s="281"/>
      <c r="K12" s="281"/>
      <c r="L12" s="281"/>
      <c r="M12" s="281"/>
      <c r="N12" s="281"/>
      <c r="O12" s="281"/>
    </row>
    <row r="13" spans="1:17">
      <c r="A13" s="277" t="s">
        <v>6797</v>
      </c>
      <c r="D13" s="280">
        <f t="shared" ref="D13:I13" si="7">MAX(D7,D9)-MIN(D7,D9)</f>
        <v>8680</v>
      </c>
      <c r="E13" s="280">
        <f t="shared" si="7"/>
        <v>9376</v>
      </c>
      <c r="F13" s="280">
        <f t="shared" si="7"/>
        <v>10228</v>
      </c>
      <c r="G13" s="280">
        <f t="shared" si="7"/>
        <v>11170</v>
      </c>
      <c r="H13" s="280">
        <f t="shared" si="7"/>
        <v>11789</v>
      </c>
      <c r="I13" s="280">
        <f t="shared" si="7"/>
        <v>12013</v>
      </c>
      <c r="J13" s="280">
        <f t="shared" ref="J13:O13" si="8">MAX(J7,J9)-MIN(J7,J9)</f>
        <v>12919</v>
      </c>
      <c r="K13" s="280">
        <f t="shared" si="8"/>
        <v>13181</v>
      </c>
      <c r="L13" s="280">
        <f t="shared" si="8"/>
        <v>13281</v>
      </c>
      <c r="M13" s="280">
        <f t="shared" si="8"/>
        <v>13042</v>
      </c>
      <c r="N13" s="280">
        <f t="shared" si="8"/>
        <v>13721</v>
      </c>
      <c r="O13" s="280">
        <f t="shared" si="8"/>
        <v>13907</v>
      </c>
    </row>
    <row r="14" spans="1:17">
      <c r="D14" s="281"/>
      <c r="E14" s="281"/>
      <c r="F14" s="281"/>
      <c r="G14" s="281"/>
      <c r="H14" s="281"/>
      <c r="I14" s="281"/>
      <c r="J14" s="281"/>
      <c r="K14" s="281"/>
      <c r="L14" s="281"/>
      <c r="M14" s="281"/>
      <c r="N14" s="281"/>
      <c r="O14" s="281"/>
    </row>
    <row r="15" spans="1:17">
      <c r="A15" s="277" t="s">
        <v>6800</v>
      </c>
      <c r="D15" s="280">
        <f t="shared" ref="D15:I15" si="9">STDEVP(D7,D9)</f>
        <v>4340</v>
      </c>
      <c r="E15" s="280">
        <f t="shared" si="9"/>
        <v>4688</v>
      </c>
      <c r="F15" s="280">
        <f t="shared" si="9"/>
        <v>5114</v>
      </c>
      <c r="G15" s="280">
        <f t="shared" si="9"/>
        <v>5585</v>
      </c>
      <c r="H15" s="280">
        <f t="shared" si="9"/>
        <v>5894.5</v>
      </c>
      <c r="I15" s="280">
        <f t="shared" si="9"/>
        <v>6006.5</v>
      </c>
      <c r="J15" s="280">
        <f t="shared" ref="J15:O15" si="10">STDEVP(J7,J9)</f>
        <v>6459.5</v>
      </c>
      <c r="K15" s="280">
        <f t="shared" si="10"/>
        <v>6590.5</v>
      </c>
      <c r="L15" s="280">
        <f t="shared" si="10"/>
        <v>6640.5</v>
      </c>
      <c r="M15" s="280">
        <f t="shared" si="10"/>
        <v>6521</v>
      </c>
      <c r="N15" s="280">
        <f t="shared" si="10"/>
        <v>6860.5</v>
      </c>
      <c r="O15" s="280">
        <f t="shared" si="10"/>
        <v>6953.5</v>
      </c>
    </row>
    <row r="16" spans="1:17">
      <c r="A16" s="277"/>
      <c r="D16" s="282"/>
      <c r="E16" s="282"/>
      <c r="F16" s="282"/>
      <c r="G16" s="282"/>
      <c r="H16" s="282"/>
      <c r="I16" s="282"/>
      <c r="J16" s="282"/>
      <c r="K16" s="282"/>
      <c r="L16" s="282"/>
      <c r="M16" s="282"/>
      <c r="N16" s="282"/>
      <c r="O16" s="282"/>
    </row>
    <row r="17" spans="1:17">
      <c r="A17" s="277" t="s">
        <v>5387</v>
      </c>
      <c r="B17" s="277" t="s">
        <v>6682</v>
      </c>
      <c r="C17" s="55" t="s">
        <v>11774</v>
      </c>
      <c r="D17" s="280">
        <v>79633</v>
      </c>
      <c r="E17" s="280">
        <v>81212</v>
      </c>
      <c r="F17" s="280">
        <v>82325</v>
      </c>
      <c r="G17" s="280">
        <v>83620</v>
      </c>
      <c r="H17" s="56">
        <v>85530</v>
      </c>
      <c r="I17" s="56">
        <v>84043</v>
      </c>
      <c r="J17" s="56">
        <v>82954</v>
      </c>
      <c r="K17" s="56">
        <v>8351</v>
      </c>
      <c r="L17" s="56">
        <v>8387</v>
      </c>
      <c r="M17" s="56">
        <v>8298</v>
      </c>
      <c r="N17" s="56">
        <v>8295</v>
      </c>
      <c r="O17" s="56">
        <v>8383</v>
      </c>
      <c r="Q17" s="277" t="s">
        <v>5473</v>
      </c>
    </row>
    <row r="18" spans="1:17">
      <c r="A18" s="277" t="s">
        <v>5389</v>
      </c>
      <c r="B18" s="277" t="s">
        <v>5474</v>
      </c>
      <c r="C18" s="55" t="s">
        <v>11775</v>
      </c>
      <c r="D18" s="280">
        <v>0</v>
      </c>
      <c r="E18" s="280">
        <v>0</v>
      </c>
      <c r="F18" s="280">
        <v>0</v>
      </c>
      <c r="G18" s="280">
        <v>0</v>
      </c>
      <c r="H18" s="56">
        <v>0</v>
      </c>
      <c r="I18" s="56">
        <v>0</v>
      </c>
      <c r="J18" s="56">
        <v>0</v>
      </c>
      <c r="K18" s="56">
        <v>7062</v>
      </c>
      <c r="L18" s="56">
        <v>7037</v>
      </c>
      <c r="M18" s="56">
        <v>7398</v>
      </c>
      <c r="N18" s="56">
        <v>7375</v>
      </c>
      <c r="O18" s="56">
        <v>7557</v>
      </c>
      <c r="Q18" s="277" t="s">
        <v>5473</v>
      </c>
    </row>
    <row r="19" spans="1:17">
      <c r="A19" s="277" t="s">
        <v>5391</v>
      </c>
      <c r="B19" s="76" t="s">
        <v>3028</v>
      </c>
      <c r="C19" s="55" t="s">
        <v>11776</v>
      </c>
      <c r="D19" s="280">
        <v>70953</v>
      </c>
      <c r="E19" s="280">
        <v>71836</v>
      </c>
      <c r="F19" s="280">
        <v>72097</v>
      </c>
      <c r="G19" s="280">
        <v>72450</v>
      </c>
      <c r="H19" s="56">
        <v>73741</v>
      </c>
      <c r="I19" s="56">
        <v>72030</v>
      </c>
      <c r="J19" s="56">
        <v>70035</v>
      </c>
      <c r="K19" s="56">
        <v>8058</v>
      </c>
      <c r="L19" s="56">
        <v>7951</v>
      </c>
      <c r="M19" s="56">
        <v>7990</v>
      </c>
      <c r="N19" s="56">
        <v>7998</v>
      </c>
      <c r="O19" s="56">
        <v>8072</v>
      </c>
      <c r="Q19" s="277" t="s">
        <v>5471</v>
      </c>
    </row>
    <row r="20" spans="1:17">
      <c r="A20" s="277" t="s">
        <v>5393</v>
      </c>
      <c r="B20" s="76" t="s">
        <v>11796</v>
      </c>
      <c r="C20" s="55" t="s">
        <v>11777</v>
      </c>
      <c r="D20" s="280">
        <v>0</v>
      </c>
      <c r="E20" s="280">
        <v>0</v>
      </c>
      <c r="F20" s="280">
        <v>0</v>
      </c>
      <c r="G20" s="280">
        <v>0</v>
      </c>
      <c r="H20" s="56">
        <v>0</v>
      </c>
      <c r="I20" s="56">
        <v>0</v>
      </c>
      <c r="J20" s="56">
        <v>0</v>
      </c>
      <c r="K20" s="56">
        <v>5012</v>
      </c>
      <c r="L20" s="56">
        <v>5075</v>
      </c>
      <c r="M20" s="56">
        <v>5114</v>
      </c>
      <c r="N20" s="56">
        <v>5056</v>
      </c>
      <c r="O20" s="56">
        <v>5066</v>
      </c>
      <c r="Q20" s="277" t="s">
        <v>5471</v>
      </c>
    </row>
    <row r="21" spans="1:17">
      <c r="A21" s="277" t="s">
        <v>5394</v>
      </c>
      <c r="B21" s="277" t="s">
        <v>11806</v>
      </c>
      <c r="C21" s="55" t="s">
        <v>11778</v>
      </c>
      <c r="D21" s="280">
        <v>0</v>
      </c>
      <c r="E21" s="280">
        <v>0</v>
      </c>
      <c r="F21" s="280">
        <v>0</v>
      </c>
      <c r="G21" s="280">
        <v>0</v>
      </c>
      <c r="H21" s="56">
        <v>0</v>
      </c>
      <c r="I21" s="56">
        <v>0</v>
      </c>
      <c r="J21" s="56">
        <v>0</v>
      </c>
      <c r="K21" s="56">
        <v>171</v>
      </c>
      <c r="L21" s="56">
        <v>174</v>
      </c>
      <c r="M21" s="56">
        <v>168</v>
      </c>
      <c r="N21" s="56">
        <v>164</v>
      </c>
      <c r="O21" s="56">
        <v>165</v>
      </c>
      <c r="Q21" s="277" t="s">
        <v>5471</v>
      </c>
    </row>
    <row r="22" spans="1:17" ht="15.75" thickBot="1">
      <c r="A22" s="277"/>
      <c r="B22" s="277"/>
      <c r="C22" s="55" t="s">
        <v>11778</v>
      </c>
      <c r="D22" s="283">
        <v>0</v>
      </c>
      <c r="E22" s="283">
        <v>0</v>
      </c>
      <c r="F22" s="283">
        <v>0</v>
      </c>
      <c r="G22" s="283">
        <v>0</v>
      </c>
      <c r="H22" s="274">
        <v>0</v>
      </c>
      <c r="I22" s="274">
        <v>0</v>
      </c>
      <c r="J22" s="274">
        <v>0</v>
      </c>
      <c r="K22" s="56">
        <v>8317</v>
      </c>
      <c r="L22" s="56">
        <v>8418</v>
      </c>
      <c r="M22" s="56">
        <v>8501</v>
      </c>
      <c r="N22" s="56">
        <v>8492</v>
      </c>
      <c r="O22" s="56">
        <v>8606</v>
      </c>
      <c r="Q22" s="277" t="s">
        <v>5473</v>
      </c>
    </row>
    <row r="23" spans="1:17" ht="15.75" thickBot="1">
      <c r="A23" s="277"/>
      <c r="B23" s="277"/>
      <c r="C23" s="55" t="s">
        <v>11778</v>
      </c>
      <c r="D23" s="284">
        <f t="shared" ref="D23:O23" si="11">D21+D22</f>
        <v>0</v>
      </c>
      <c r="E23" s="284">
        <f t="shared" si="11"/>
        <v>0</v>
      </c>
      <c r="F23" s="284">
        <f t="shared" si="11"/>
        <v>0</v>
      </c>
      <c r="G23" s="284">
        <f t="shared" si="11"/>
        <v>0</v>
      </c>
      <c r="H23" s="284">
        <f t="shared" si="11"/>
        <v>0</v>
      </c>
      <c r="I23" s="284">
        <f t="shared" si="11"/>
        <v>0</v>
      </c>
      <c r="J23" s="284">
        <f t="shared" si="11"/>
        <v>0</v>
      </c>
      <c r="K23" s="284">
        <f t="shared" si="11"/>
        <v>8488</v>
      </c>
      <c r="L23" s="284">
        <f t="shared" si="11"/>
        <v>8592</v>
      </c>
      <c r="M23" s="284">
        <f t="shared" si="11"/>
        <v>8669</v>
      </c>
      <c r="N23" s="284">
        <f t="shared" si="11"/>
        <v>8656</v>
      </c>
      <c r="O23" s="284">
        <f t="shared" si="11"/>
        <v>8771</v>
      </c>
      <c r="Q23" s="277"/>
    </row>
    <row r="24" spans="1:17">
      <c r="A24" s="277" t="s">
        <v>5416</v>
      </c>
      <c r="B24" s="277" t="s">
        <v>11805</v>
      </c>
      <c r="C24" s="55" t="s">
        <v>11779</v>
      </c>
      <c r="D24" s="56">
        <v>0</v>
      </c>
      <c r="E24" s="56">
        <v>0</v>
      </c>
      <c r="F24" s="56">
        <v>0</v>
      </c>
      <c r="G24" s="56">
        <v>0</v>
      </c>
      <c r="H24" s="56">
        <v>0</v>
      </c>
      <c r="I24" s="56">
        <v>0</v>
      </c>
      <c r="J24" s="56">
        <v>0</v>
      </c>
      <c r="K24" s="56">
        <v>8675</v>
      </c>
      <c r="L24" s="56">
        <v>8634</v>
      </c>
      <c r="M24" s="56">
        <v>8684</v>
      </c>
      <c r="N24" s="56">
        <v>8746</v>
      </c>
      <c r="O24" s="56">
        <v>8813</v>
      </c>
      <c r="Q24" s="277" t="s">
        <v>5471</v>
      </c>
    </row>
    <row r="25" spans="1:17">
      <c r="A25" s="277" t="s">
        <v>5418</v>
      </c>
      <c r="B25" s="277" t="s">
        <v>11804</v>
      </c>
      <c r="C25" s="55" t="s">
        <v>11780</v>
      </c>
      <c r="D25" s="56">
        <v>0</v>
      </c>
      <c r="E25" s="56">
        <v>0</v>
      </c>
      <c r="F25" s="56">
        <v>0</v>
      </c>
      <c r="G25" s="56">
        <v>0</v>
      </c>
      <c r="H25" s="56">
        <v>0</v>
      </c>
      <c r="I25" s="56">
        <v>0</v>
      </c>
      <c r="J25" s="56">
        <v>0</v>
      </c>
      <c r="K25" s="56">
        <v>7299</v>
      </c>
      <c r="L25" s="56">
        <v>7297</v>
      </c>
      <c r="M25" s="56">
        <v>7553</v>
      </c>
      <c r="N25" s="56">
        <v>7640</v>
      </c>
      <c r="O25" s="56">
        <v>7740</v>
      </c>
      <c r="Q25" s="277" t="s">
        <v>5471</v>
      </c>
    </row>
    <row r="26" spans="1:17">
      <c r="A26" s="277" t="s">
        <v>5420</v>
      </c>
      <c r="B26" s="277" t="s">
        <v>11803</v>
      </c>
      <c r="C26" s="55" t="s">
        <v>11781</v>
      </c>
      <c r="D26" s="56">
        <v>0</v>
      </c>
      <c r="E26" s="56">
        <v>0</v>
      </c>
      <c r="F26" s="56">
        <v>0</v>
      </c>
      <c r="G26" s="56">
        <v>0</v>
      </c>
      <c r="H26" s="56">
        <v>0</v>
      </c>
      <c r="I26" s="56">
        <v>0</v>
      </c>
      <c r="J26" s="56">
        <v>0</v>
      </c>
      <c r="K26" s="56">
        <v>5433</v>
      </c>
      <c r="L26" s="56">
        <v>5444</v>
      </c>
      <c r="M26" s="56">
        <v>5432</v>
      </c>
      <c r="N26" s="56">
        <v>5436</v>
      </c>
      <c r="O26" s="56">
        <v>5531</v>
      </c>
      <c r="Q26" s="277" t="s">
        <v>5473</v>
      </c>
    </row>
    <row r="27" spans="1:17">
      <c r="A27" s="277" t="s">
        <v>5422</v>
      </c>
      <c r="B27" s="277" t="s">
        <v>11802</v>
      </c>
      <c r="C27" s="55" t="s">
        <v>11782</v>
      </c>
      <c r="D27" s="56">
        <v>0</v>
      </c>
      <c r="E27" s="56">
        <v>0</v>
      </c>
      <c r="F27" s="56">
        <v>0</v>
      </c>
      <c r="G27" s="56">
        <v>0</v>
      </c>
      <c r="H27" s="56">
        <v>0</v>
      </c>
      <c r="I27" s="56">
        <v>0</v>
      </c>
      <c r="J27" s="56">
        <v>0</v>
      </c>
      <c r="K27" s="58">
        <v>6924</v>
      </c>
      <c r="L27" s="58">
        <v>6929</v>
      </c>
      <c r="M27" s="58">
        <v>7003</v>
      </c>
      <c r="N27" s="58">
        <v>7366</v>
      </c>
      <c r="O27" s="58">
        <v>7503</v>
      </c>
      <c r="Q27" s="277" t="s">
        <v>5473</v>
      </c>
    </row>
    <row r="28" spans="1:17">
      <c r="A28" s="277" t="s">
        <v>5424</v>
      </c>
      <c r="B28" s="277" t="s">
        <v>3941</v>
      </c>
      <c r="C28" s="55" t="s">
        <v>11783</v>
      </c>
      <c r="D28" s="58">
        <v>0</v>
      </c>
      <c r="E28" s="58">
        <v>0</v>
      </c>
      <c r="F28" s="58">
        <v>0</v>
      </c>
      <c r="G28" s="58">
        <v>0</v>
      </c>
      <c r="H28" s="58">
        <v>0</v>
      </c>
      <c r="I28" s="58">
        <v>0</v>
      </c>
      <c r="J28" s="58">
        <v>0</v>
      </c>
      <c r="K28" s="58">
        <v>8206</v>
      </c>
      <c r="L28" s="58">
        <v>8213</v>
      </c>
      <c r="M28" s="58">
        <v>8248</v>
      </c>
      <c r="N28" s="58">
        <v>8280</v>
      </c>
      <c r="O28" s="58">
        <v>8327</v>
      </c>
      <c r="Q28" s="277" t="s">
        <v>5473</v>
      </c>
    </row>
    <row r="29" spans="1:17">
      <c r="A29" s="277" t="s">
        <v>5426</v>
      </c>
      <c r="B29" s="277" t="s">
        <v>3942</v>
      </c>
      <c r="C29" s="55" t="s">
        <v>11784</v>
      </c>
      <c r="D29" s="58">
        <v>0</v>
      </c>
      <c r="E29" s="58">
        <v>0</v>
      </c>
      <c r="F29" s="58">
        <v>0</v>
      </c>
      <c r="G29" s="58">
        <v>0</v>
      </c>
      <c r="H29" s="58">
        <v>0</v>
      </c>
      <c r="I29" s="58">
        <v>0</v>
      </c>
      <c r="J29" s="58">
        <v>0</v>
      </c>
      <c r="K29" s="58">
        <v>5834</v>
      </c>
      <c r="L29" s="58">
        <v>5878</v>
      </c>
      <c r="M29" s="58">
        <v>6078</v>
      </c>
      <c r="N29" s="58">
        <v>6147</v>
      </c>
      <c r="O29" s="58">
        <v>6238</v>
      </c>
      <c r="Q29" s="277" t="s">
        <v>5473</v>
      </c>
    </row>
    <row r="30" spans="1:17">
      <c r="A30" s="277" t="s">
        <v>5428</v>
      </c>
      <c r="B30" s="277" t="s">
        <v>3943</v>
      </c>
      <c r="C30" s="55" t="s">
        <v>11785</v>
      </c>
      <c r="D30" s="58">
        <v>0</v>
      </c>
      <c r="E30" s="58">
        <v>0</v>
      </c>
      <c r="F30" s="58">
        <v>0</v>
      </c>
      <c r="G30" s="58">
        <v>0</v>
      </c>
      <c r="H30" s="58">
        <v>0</v>
      </c>
      <c r="I30" s="58">
        <v>0</v>
      </c>
      <c r="J30" s="58">
        <v>0</v>
      </c>
      <c r="K30" s="58">
        <v>5631</v>
      </c>
      <c r="L30" s="58">
        <v>5595</v>
      </c>
      <c r="M30" s="58">
        <v>5673</v>
      </c>
      <c r="N30" s="58">
        <v>5796</v>
      </c>
      <c r="O30" s="58">
        <v>5839</v>
      </c>
      <c r="Q30" s="277" t="s">
        <v>5473</v>
      </c>
    </row>
    <row r="31" spans="1:17">
      <c r="A31" s="277" t="s">
        <v>5429</v>
      </c>
      <c r="B31" s="277" t="s">
        <v>11801</v>
      </c>
      <c r="C31" s="55" t="s">
        <v>11786</v>
      </c>
      <c r="D31" s="58">
        <v>0</v>
      </c>
      <c r="E31" s="58">
        <v>0</v>
      </c>
      <c r="F31" s="58">
        <v>0</v>
      </c>
      <c r="G31" s="58">
        <v>0</v>
      </c>
      <c r="H31" s="58">
        <v>0</v>
      </c>
      <c r="I31" s="58">
        <v>0</v>
      </c>
      <c r="J31" s="58">
        <v>0</v>
      </c>
      <c r="K31" s="58">
        <v>8917</v>
      </c>
      <c r="L31" s="58">
        <v>8955</v>
      </c>
      <c r="M31" s="58">
        <v>9056</v>
      </c>
      <c r="N31" s="58">
        <v>9064</v>
      </c>
      <c r="O31" s="58">
        <v>9162</v>
      </c>
      <c r="Q31" s="277" t="s">
        <v>5473</v>
      </c>
    </row>
    <row r="32" spans="1:17">
      <c r="A32" s="277" t="s">
        <v>5431</v>
      </c>
      <c r="B32" s="277" t="s">
        <v>11800</v>
      </c>
      <c r="C32" s="55" t="s">
        <v>11787</v>
      </c>
      <c r="D32" s="56">
        <v>0</v>
      </c>
      <c r="E32" s="56">
        <v>0</v>
      </c>
      <c r="F32" s="56">
        <v>0</v>
      </c>
      <c r="G32" s="56">
        <v>0</v>
      </c>
      <c r="H32" s="56">
        <v>0</v>
      </c>
      <c r="I32" s="56">
        <v>0</v>
      </c>
      <c r="J32" s="56">
        <v>0</v>
      </c>
      <c r="K32" s="58">
        <v>5046</v>
      </c>
      <c r="L32" s="58">
        <v>4995</v>
      </c>
      <c r="M32" s="58">
        <v>5026</v>
      </c>
      <c r="N32" s="58">
        <v>5125</v>
      </c>
      <c r="O32" s="58">
        <v>5139</v>
      </c>
      <c r="Q32" s="277" t="s">
        <v>5473</v>
      </c>
    </row>
    <row r="33" spans="1:17">
      <c r="A33" s="277" t="s">
        <v>5433</v>
      </c>
      <c r="B33" s="277" t="s">
        <v>3944</v>
      </c>
      <c r="C33" s="55" t="s">
        <v>11788</v>
      </c>
      <c r="D33" s="58">
        <v>0</v>
      </c>
      <c r="E33" s="58">
        <v>0</v>
      </c>
      <c r="F33" s="58">
        <v>0</v>
      </c>
      <c r="G33" s="58">
        <v>0</v>
      </c>
      <c r="H33" s="58">
        <v>0</v>
      </c>
      <c r="I33" s="58">
        <v>0</v>
      </c>
      <c r="J33" s="58">
        <v>0</v>
      </c>
      <c r="K33" s="56">
        <v>8180</v>
      </c>
      <c r="L33" s="56">
        <v>8057</v>
      </c>
      <c r="M33" s="56">
        <v>8362</v>
      </c>
      <c r="N33" s="56">
        <v>8307</v>
      </c>
      <c r="O33" s="56">
        <v>8365</v>
      </c>
      <c r="Q33" s="277" t="s">
        <v>5471</v>
      </c>
    </row>
    <row r="34" spans="1:17">
      <c r="A34" s="277" t="s">
        <v>5435</v>
      </c>
      <c r="B34" s="277" t="s">
        <v>11799</v>
      </c>
      <c r="C34" s="55" t="s">
        <v>11789</v>
      </c>
      <c r="D34" s="56">
        <v>0</v>
      </c>
      <c r="E34" s="56">
        <v>0</v>
      </c>
      <c r="F34" s="56">
        <v>0</v>
      </c>
      <c r="G34" s="56">
        <v>0</v>
      </c>
      <c r="H34" s="56">
        <v>0</v>
      </c>
      <c r="I34" s="56">
        <v>0</v>
      </c>
      <c r="J34" s="56">
        <v>0</v>
      </c>
      <c r="K34" s="58">
        <v>8374</v>
      </c>
      <c r="L34" s="58">
        <v>8425</v>
      </c>
      <c r="M34" s="58">
        <v>8441</v>
      </c>
      <c r="N34" s="58">
        <v>8477</v>
      </c>
      <c r="O34" s="58">
        <v>8467</v>
      </c>
      <c r="Q34" s="277" t="s">
        <v>5473</v>
      </c>
    </row>
    <row r="35" spans="1:17">
      <c r="A35" s="277" t="s">
        <v>5436</v>
      </c>
      <c r="B35" s="277" t="s">
        <v>11798</v>
      </c>
      <c r="C35" s="55" t="s">
        <v>11790</v>
      </c>
      <c r="D35" s="280">
        <v>0</v>
      </c>
      <c r="E35" s="280">
        <v>0</v>
      </c>
      <c r="F35" s="280">
        <v>0</v>
      </c>
      <c r="G35" s="280">
        <v>0</v>
      </c>
      <c r="H35" s="56">
        <v>0</v>
      </c>
      <c r="I35" s="56">
        <v>0</v>
      </c>
      <c r="J35" s="56">
        <v>0</v>
      </c>
      <c r="K35" s="56">
        <v>8163</v>
      </c>
      <c r="L35" s="56">
        <v>8156</v>
      </c>
      <c r="M35" s="56">
        <v>8301</v>
      </c>
      <c r="N35" s="56">
        <v>8276</v>
      </c>
      <c r="O35" s="56">
        <v>8393</v>
      </c>
      <c r="Q35" s="277" t="s">
        <v>5471</v>
      </c>
    </row>
    <row r="36" spans="1:17">
      <c r="A36" s="277" t="s">
        <v>5437</v>
      </c>
      <c r="B36" s="277" t="s">
        <v>6446</v>
      </c>
      <c r="C36" s="55" t="s">
        <v>11791</v>
      </c>
      <c r="D36" s="56">
        <v>0</v>
      </c>
      <c r="E36" s="56">
        <v>0</v>
      </c>
      <c r="F36" s="56">
        <v>0</v>
      </c>
      <c r="G36" s="56">
        <v>0</v>
      </c>
      <c r="H36" s="56">
        <v>0</v>
      </c>
      <c r="I36" s="56">
        <v>0</v>
      </c>
      <c r="J36" s="56">
        <v>0</v>
      </c>
      <c r="K36" s="56">
        <v>7686</v>
      </c>
      <c r="L36" s="56">
        <v>7765</v>
      </c>
      <c r="M36" s="56">
        <v>7935</v>
      </c>
      <c r="N36" s="56">
        <v>7961</v>
      </c>
      <c r="O36" s="56">
        <v>8121</v>
      </c>
      <c r="Q36" s="277" t="s">
        <v>5471</v>
      </c>
    </row>
    <row r="37" spans="1:17">
      <c r="A37" s="277" t="s">
        <v>5439</v>
      </c>
      <c r="B37" s="277" t="s">
        <v>6447</v>
      </c>
      <c r="C37" s="55" t="s">
        <v>11792</v>
      </c>
      <c r="D37" s="56">
        <v>0</v>
      </c>
      <c r="E37" s="56">
        <v>0</v>
      </c>
      <c r="F37" s="56">
        <v>0</v>
      </c>
      <c r="G37" s="56">
        <v>0</v>
      </c>
      <c r="H37" s="56">
        <v>0</v>
      </c>
      <c r="I37" s="56">
        <v>0</v>
      </c>
      <c r="J37" s="56">
        <v>0</v>
      </c>
      <c r="K37" s="56">
        <v>4649</v>
      </c>
      <c r="L37" s="56">
        <v>4794</v>
      </c>
      <c r="M37" s="56">
        <v>4850</v>
      </c>
      <c r="N37" s="56">
        <v>4847</v>
      </c>
      <c r="O37" s="56">
        <v>4904</v>
      </c>
      <c r="Q37" s="277" t="s">
        <v>5471</v>
      </c>
    </row>
    <row r="38" spans="1:17">
      <c r="A38" s="277" t="s">
        <v>5441</v>
      </c>
      <c r="B38" s="277" t="s">
        <v>11797</v>
      </c>
      <c r="C38" s="55" t="s">
        <v>11793</v>
      </c>
      <c r="D38" s="58">
        <v>0</v>
      </c>
      <c r="E38" s="58">
        <v>0</v>
      </c>
      <c r="F38" s="58">
        <v>0</v>
      </c>
      <c r="G38" s="58">
        <v>0</v>
      </c>
      <c r="H38" s="58">
        <v>0</v>
      </c>
      <c r="I38" s="58">
        <v>0</v>
      </c>
      <c r="J38" s="58">
        <v>0</v>
      </c>
      <c r="K38" s="56">
        <v>7624</v>
      </c>
      <c r="L38" s="56">
        <v>7615</v>
      </c>
      <c r="M38" s="56">
        <v>7666</v>
      </c>
      <c r="N38" s="56">
        <v>7679</v>
      </c>
      <c r="O38" s="56">
        <v>7730</v>
      </c>
      <c r="Q38" s="277" t="s">
        <v>5471</v>
      </c>
    </row>
    <row r="39" spans="1:17">
      <c r="A39" s="277" t="s">
        <v>5886</v>
      </c>
      <c r="B39" s="76" t="s">
        <v>6448</v>
      </c>
      <c r="C39" s="55" t="s">
        <v>11794</v>
      </c>
      <c r="D39" s="56">
        <v>0</v>
      </c>
      <c r="E39" s="56">
        <v>0</v>
      </c>
      <c r="F39" s="56">
        <v>0</v>
      </c>
      <c r="G39" s="56">
        <v>0</v>
      </c>
      <c r="H39" s="56">
        <v>0</v>
      </c>
      <c r="I39" s="56">
        <v>0</v>
      </c>
      <c r="J39" s="56">
        <v>0</v>
      </c>
      <c r="K39" s="58">
        <v>5555</v>
      </c>
      <c r="L39" s="58">
        <v>5564</v>
      </c>
      <c r="M39" s="58">
        <v>5587</v>
      </c>
      <c r="N39" s="58">
        <v>5624</v>
      </c>
      <c r="O39" s="58">
        <v>5670</v>
      </c>
      <c r="Q39" s="277" t="s">
        <v>5473</v>
      </c>
    </row>
    <row r="40" spans="1:17">
      <c r="A40" s="277" t="s">
        <v>5888</v>
      </c>
      <c r="B40" s="277" t="s">
        <v>3800</v>
      </c>
      <c r="C40" s="55" t="s">
        <v>11795</v>
      </c>
      <c r="D40" s="58">
        <v>0</v>
      </c>
      <c r="E40" s="58">
        <v>0</v>
      </c>
      <c r="F40" s="58">
        <v>0</v>
      </c>
      <c r="G40" s="58">
        <v>0</v>
      </c>
      <c r="H40" s="58">
        <v>0</v>
      </c>
      <c r="I40" s="58">
        <v>0</v>
      </c>
      <c r="J40" s="58">
        <v>0</v>
      </c>
      <c r="K40" s="56">
        <v>4952</v>
      </c>
      <c r="L40" s="56">
        <v>5041</v>
      </c>
      <c r="M40" s="56">
        <v>5076</v>
      </c>
      <c r="N40" s="56">
        <v>5082</v>
      </c>
      <c r="O40" s="56">
        <v>5146</v>
      </c>
      <c r="Q40" s="277" t="s">
        <v>5471</v>
      </c>
    </row>
    <row r="42" spans="1:17">
      <c r="A42" s="277" t="s">
        <v>11807</v>
      </c>
    </row>
    <row r="43" spans="1:17">
      <c r="A43" s="76"/>
      <c r="D43" s="282"/>
      <c r="E43" s="282"/>
      <c r="F43" s="282"/>
      <c r="G43" s="282"/>
      <c r="H43" s="282"/>
      <c r="I43" s="282"/>
      <c r="J43" s="282"/>
      <c r="K43" s="282"/>
      <c r="L43" s="282"/>
    </row>
    <row r="44" spans="1:17">
      <c r="A44" s="76"/>
      <c r="D44" s="282"/>
      <c r="E44" s="282"/>
      <c r="F44" s="282"/>
      <c r="G44" s="282"/>
      <c r="H44" s="282"/>
      <c r="I44" s="282"/>
      <c r="J44" s="282"/>
      <c r="K44" s="282"/>
      <c r="L44" s="282"/>
    </row>
    <row r="45" spans="1:17">
      <c r="A45" s="277"/>
      <c r="B45" s="277"/>
      <c r="C45" s="277"/>
      <c r="D45" s="285"/>
      <c r="E45" s="285"/>
      <c r="F45" s="285"/>
      <c r="G45" s="285"/>
      <c r="H45" s="285"/>
      <c r="I45" s="285"/>
      <c r="J45" s="285"/>
      <c r="K45" s="285"/>
      <c r="L45" s="285"/>
    </row>
    <row r="46" spans="1:17">
      <c r="A46" s="277"/>
      <c r="B46" s="277"/>
      <c r="C46" s="277"/>
      <c r="D46" s="285"/>
      <c r="E46" s="285"/>
      <c r="F46" s="285"/>
      <c r="G46" s="285"/>
      <c r="H46" s="285"/>
      <c r="I46" s="285"/>
      <c r="J46" s="285"/>
      <c r="K46" s="285"/>
      <c r="L46" s="285"/>
    </row>
  </sheetData>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&amp;C&amp;"Times New Roman,Regular"&amp;8&amp;P of &amp;N</oddFooter>
  </headerFooter>
  <ignoredErrors>
    <ignoredError sqref="D13:D15 D4 E4 F4 G4 D5:D6 E5:E6 F5:F6 G5:G6 H4 H5:H6 I4:I6 J4:J6 D23:L23 D10 E10:E15 F10:F15 G10:G15 H10:H15 I10:I15 J10:J15 D7:J8 D3:K3 K5:K8 K10:K15 L3:L8 L10:L15" unlockedFormula="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dimension ref="A1:Q212"/>
  <sheetViews>
    <sheetView showGridLines="0" zoomScale="90" zoomScaleNormal="90" workbookViewId="0">
      <selection activeCell="R208" sqref="R208"/>
    </sheetView>
  </sheetViews>
  <sheetFormatPr defaultColWidth="12.5703125" defaultRowHeight="15"/>
  <cols>
    <col min="1" max="1" width="4.85546875" style="114" customWidth="1"/>
    <col min="2" max="2" width="40.85546875" style="114" customWidth="1"/>
    <col min="3" max="3" width="11.5703125" style="114" customWidth="1"/>
    <col min="4" max="12" width="10.140625" style="114" customWidth="1"/>
    <col min="13" max="15" width="10" style="114" customWidth="1"/>
    <col min="16" max="16" width="2.28515625" style="114" customWidth="1"/>
    <col min="17" max="17" width="30.7109375" style="114" customWidth="1"/>
    <col min="18" max="16384" width="12.5703125" style="114"/>
  </cols>
  <sheetData>
    <row r="1" spans="1:17">
      <c r="A1" s="260" t="s">
        <v>6924</v>
      </c>
      <c r="D1" s="261">
        <v>2010</v>
      </c>
      <c r="E1" s="261">
        <v>2011</v>
      </c>
      <c r="F1" s="261">
        <v>2012</v>
      </c>
      <c r="G1" s="261">
        <v>2013</v>
      </c>
      <c r="H1" s="261">
        <v>2014</v>
      </c>
      <c r="I1" s="261">
        <v>2015</v>
      </c>
      <c r="J1" s="261">
        <v>2016</v>
      </c>
      <c r="K1" s="261">
        <v>2017</v>
      </c>
      <c r="L1" s="261">
        <v>2018</v>
      </c>
      <c r="M1" s="261">
        <v>2019</v>
      </c>
      <c r="N1" s="261">
        <v>2020</v>
      </c>
      <c r="O1" s="930" t="s">
        <v>14823</v>
      </c>
    </row>
    <row r="3" spans="1:17">
      <c r="A3" s="260" t="s">
        <v>6838</v>
      </c>
      <c r="D3" s="262">
        <f t="shared" ref="D3:I3" si="0">SUM(D5:D9)</f>
        <v>407618</v>
      </c>
      <c r="E3" s="262">
        <f t="shared" si="0"/>
        <v>407922</v>
      </c>
      <c r="F3" s="262">
        <f t="shared" si="0"/>
        <v>410420</v>
      </c>
      <c r="G3" s="262">
        <f t="shared" si="0"/>
        <v>415204</v>
      </c>
      <c r="H3" s="262">
        <f t="shared" si="0"/>
        <v>411458</v>
      </c>
      <c r="I3" s="262">
        <f t="shared" si="0"/>
        <v>407881</v>
      </c>
      <c r="J3" s="262">
        <f t="shared" ref="J3:O3" si="1">SUM(J5:J9)</f>
        <v>401316</v>
      </c>
      <c r="K3" s="262">
        <f t="shared" si="1"/>
        <v>413640</v>
      </c>
      <c r="L3" s="262">
        <f t="shared" si="1"/>
        <v>419347</v>
      </c>
      <c r="M3" s="262">
        <f t="shared" si="1"/>
        <v>416110</v>
      </c>
      <c r="N3" s="262">
        <f t="shared" si="1"/>
        <v>420800</v>
      </c>
      <c r="O3" s="262">
        <f t="shared" si="1"/>
        <v>432462</v>
      </c>
    </row>
    <row r="5" spans="1:17">
      <c r="A5" s="260" t="s">
        <v>4792</v>
      </c>
      <c r="C5" s="260"/>
      <c r="D5" s="262">
        <f t="shared" ref="D5:I5" si="2">D44</f>
        <v>49662</v>
      </c>
      <c r="E5" s="262">
        <f t="shared" si="2"/>
        <v>49627</v>
      </c>
      <c r="F5" s="262">
        <f t="shared" si="2"/>
        <v>49788</v>
      </c>
      <c r="G5" s="262">
        <f t="shared" si="2"/>
        <v>49987</v>
      </c>
      <c r="H5" s="262">
        <f t="shared" si="2"/>
        <v>49456</v>
      </c>
      <c r="I5" s="262">
        <f t="shared" si="2"/>
        <v>48520</v>
      </c>
      <c r="J5" s="262">
        <f t="shared" ref="J5:O5" si="3">J44</f>
        <v>47339</v>
      </c>
      <c r="K5" s="262">
        <f t="shared" si="3"/>
        <v>48761</v>
      </c>
      <c r="L5" s="262">
        <f t="shared" si="3"/>
        <v>48994</v>
      </c>
      <c r="M5" s="262">
        <f t="shared" si="3"/>
        <v>48511</v>
      </c>
      <c r="N5" s="262">
        <f t="shared" si="3"/>
        <v>48421</v>
      </c>
      <c r="O5" s="262">
        <f t="shared" si="3"/>
        <v>49542</v>
      </c>
      <c r="Q5" s="263"/>
    </row>
    <row r="6" spans="1:17">
      <c r="A6" s="260" t="s">
        <v>4793</v>
      </c>
      <c r="C6" s="260"/>
      <c r="D6" s="262">
        <f t="shared" ref="D6:I6" si="4">D71</f>
        <v>94012</v>
      </c>
      <c r="E6" s="262">
        <f t="shared" si="4"/>
        <v>94340</v>
      </c>
      <c r="F6" s="262">
        <f t="shared" si="4"/>
        <v>94713</v>
      </c>
      <c r="G6" s="262">
        <f t="shared" si="4"/>
        <v>95735</v>
      </c>
      <c r="H6" s="262">
        <f t="shared" si="4"/>
        <v>94069</v>
      </c>
      <c r="I6" s="262">
        <f t="shared" si="4"/>
        <v>92436</v>
      </c>
      <c r="J6" s="262">
        <f t="shared" ref="J6:O6" si="5">J71</f>
        <v>90571</v>
      </c>
      <c r="K6" s="262">
        <f t="shared" si="5"/>
        <v>93023</v>
      </c>
      <c r="L6" s="262">
        <f t="shared" si="5"/>
        <v>94409</v>
      </c>
      <c r="M6" s="262">
        <f t="shared" si="5"/>
        <v>93870</v>
      </c>
      <c r="N6" s="262">
        <f t="shared" si="5"/>
        <v>94623</v>
      </c>
      <c r="O6" s="262">
        <f t="shared" si="5"/>
        <v>96134</v>
      </c>
      <c r="Q6" s="263"/>
    </row>
    <row r="7" spans="1:17">
      <c r="A7" s="260" t="s">
        <v>4794</v>
      </c>
      <c r="C7" s="260"/>
      <c r="D7" s="262">
        <f t="shared" ref="D7:I7" si="6">D99</f>
        <v>71178</v>
      </c>
      <c r="E7" s="262">
        <f t="shared" si="6"/>
        <v>72604</v>
      </c>
      <c r="F7" s="262">
        <f t="shared" si="6"/>
        <v>72426</v>
      </c>
      <c r="G7" s="262">
        <f t="shared" si="6"/>
        <v>73069</v>
      </c>
      <c r="H7" s="262">
        <f t="shared" si="6"/>
        <v>73362</v>
      </c>
      <c r="I7" s="262">
        <f t="shared" si="6"/>
        <v>73393</v>
      </c>
      <c r="J7" s="262">
        <f t="shared" ref="J7:O7" si="7">J99</f>
        <v>71187</v>
      </c>
      <c r="K7" s="262">
        <f t="shared" si="7"/>
        <v>73539</v>
      </c>
      <c r="L7" s="262">
        <f t="shared" si="7"/>
        <v>74005</v>
      </c>
      <c r="M7" s="262">
        <f t="shared" si="7"/>
        <v>73330</v>
      </c>
      <c r="N7" s="262">
        <f t="shared" si="7"/>
        <v>74224</v>
      </c>
      <c r="O7" s="262">
        <f t="shared" si="7"/>
        <v>75851</v>
      </c>
      <c r="Q7" s="263"/>
    </row>
    <row r="8" spans="1:17">
      <c r="A8" s="260" t="s">
        <v>11869</v>
      </c>
      <c r="C8" s="260"/>
      <c r="D8" s="262">
        <f t="shared" ref="D8:I8" si="8">D130</f>
        <v>94499</v>
      </c>
      <c r="E8" s="262">
        <f t="shared" si="8"/>
        <v>93887</v>
      </c>
      <c r="F8" s="262">
        <f t="shared" si="8"/>
        <v>95227</v>
      </c>
      <c r="G8" s="262">
        <f t="shared" si="8"/>
        <v>96193</v>
      </c>
      <c r="H8" s="262">
        <f t="shared" si="8"/>
        <v>96494</v>
      </c>
      <c r="I8" s="262">
        <f t="shared" si="8"/>
        <v>95396</v>
      </c>
      <c r="J8" s="262">
        <f t="shared" ref="J8:O8" si="9">J130</f>
        <v>94292</v>
      </c>
      <c r="K8" s="262">
        <f t="shared" si="9"/>
        <v>97284</v>
      </c>
      <c r="L8" s="262">
        <f t="shared" si="9"/>
        <v>97272</v>
      </c>
      <c r="M8" s="262">
        <f t="shared" si="9"/>
        <v>97515</v>
      </c>
      <c r="N8" s="262">
        <f t="shared" si="9"/>
        <v>99096</v>
      </c>
      <c r="O8" s="262">
        <f t="shared" si="9"/>
        <v>102450</v>
      </c>
      <c r="Q8" s="263"/>
    </row>
    <row r="9" spans="1:17">
      <c r="A9" s="260" t="s">
        <v>4051</v>
      </c>
      <c r="C9" s="260"/>
      <c r="D9" s="262">
        <f t="shared" ref="D9:I9" si="10">D184</f>
        <v>98267</v>
      </c>
      <c r="E9" s="262">
        <f t="shared" si="10"/>
        <v>97464</v>
      </c>
      <c r="F9" s="262">
        <f t="shared" si="10"/>
        <v>98266</v>
      </c>
      <c r="G9" s="262">
        <f t="shared" si="10"/>
        <v>100220</v>
      </c>
      <c r="H9" s="262">
        <f t="shared" si="10"/>
        <v>98077</v>
      </c>
      <c r="I9" s="262">
        <f t="shared" si="10"/>
        <v>98136</v>
      </c>
      <c r="J9" s="262">
        <f t="shared" ref="J9:O9" si="11">J184</f>
        <v>97927</v>
      </c>
      <c r="K9" s="262">
        <f t="shared" si="11"/>
        <v>101033</v>
      </c>
      <c r="L9" s="262">
        <f t="shared" si="11"/>
        <v>104667</v>
      </c>
      <c r="M9" s="262">
        <f t="shared" si="11"/>
        <v>102884</v>
      </c>
      <c r="N9" s="262">
        <f t="shared" si="11"/>
        <v>104436</v>
      </c>
      <c r="O9" s="262">
        <f t="shared" si="11"/>
        <v>108485</v>
      </c>
      <c r="Q9" s="263"/>
    </row>
    <row r="10" spans="1:17">
      <c r="B10" s="260"/>
      <c r="C10" s="260"/>
      <c r="D10" s="262"/>
      <c r="E10" s="262"/>
      <c r="F10" s="262"/>
      <c r="G10" s="262"/>
      <c r="H10" s="262"/>
      <c r="I10" s="262"/>
      <c r="J10" s="262"/>
      <c r="K10" s="262"/>
      <c r="L10" s="262"/>
      <c r="M10" s="262"/>
      <c r="N10" s="262"/>
      <c r="O10" s="262"/>
      <c r="Q10" s="263"/>
    </row>
    <row r="11" spans="1:17">
      <c r="A11" s="260" t="s">
        <v>5522</v>
      </c>
      <c r="D11" s="262">
        <f t="shared" ref="D11:I11" si="12">D3/5</f>
        <v>81523.600000000006</v>
      </c>
      <c r="E11" s="262">
        <f t="shared" si="12"/>
        <v>81584.399999999994</v>
      </c>
      <c r="F11" s="262">
        <f t="shared" si="12"/>
        <v>82084</v>
      </c>
      <c r="G11" s="262">
        <f t="shared" si="12"/>
        <v>83040.800000000003</v>
      </c>
      <c r="H11" s="262">
        <f t="shared" si="12"/>
        <v>82291.600000000006</v>
      </c>
      <c r="I11" s="262">
        <f t="shared" si="12"/>
        <v>81576.2</v>
      </c>
      <c r="J11" s="262">
        <f t="shared" ref="J11:O11" si="13">J3/5</f>
        <v>80263.199999999997</v>
      </c>
      <c r="K11" s="262">
        <f t="shared" si="13"/>
        <v>82728</v>
      </c>
      <c r="L11" s="262">
        <f t="shared" si="13"/>
        <v>83869.399999999994</v>
      </c>
      <c r="M11" s="262">
        <f t="shared" si="13"/>
        <v>83222</v>
      </c>
      <c r="N11" s="262">
        <f t="shared" si="13"/>
        <v>84160</v>
      </c>
      <c r="O11" s="262">
        <f t="shared" si="13"/>
        <v>86492.4</v>
      </c>
    </row>
    <row r="12" spans="1:17">
      <c r="A12" s="260" t="s">
        <v>639</v>
      </c>
      <c r="D12" s="262">
        <f>D3/6</f>
        <v>67936.333333333328</v>
      </c>
      <c r="E12" s="262">
        <f t="shared" ref="E12:J12" si="14">E3/6</f>
        <v>67987</v>
      </c>
      <c r="F12" s="262">
        <f t="shared" si="14"/>
        <v>68403.333333333328</v>
      </c>
      <c r="G12" s="262">
        <f t="shared" si="14"/>
        <v>69200.666666666672</v>
      </c>
      <c r="H12" s="262">
        <f t="shared" si="14"/>
        <v>68576.333333333328</v>
      </c>
      <c r="I12" s="262">
        <f t="shared" si="14"/>
        <v>67980.166666666672</v>
      </c>
      <c r="J12" s="262">
        <f t="shared" si="14"/>
        <v>66886</v>
      </c>
      <c r="K12" s="262">
        <f>K3/6</f>
        <v>68940</v>
      </c>
      <c r="L12" s="262">
        <f>L3/6</f>
        <v>69891.166666666672</v>
      </c>
      <c r="M12" s="262">
        <f>M3/6</f>
        <v>69351.666666666672</v>
      </c>
      <c r="N12" s="262">
        <f>N3/6</f>
        <v>70133.333333333328</v>
      </c>
      <c r="O12" s="262">
        <f>O3/6</f>
        <v>72077</v>
      </c>
    </row>
    <row r="13" spans="1:17">
      <c r="D13" s="264"/>
      <c r="E13" s="264"/>
      <c r="F13" s="264"/>
      <c r="G13" s="264"/>
      <c r="H13" s="264"/>
      <c r="I13" s="264"/>
      <c r="J13" s="264"/>
      <c r="K13" s="264"/>
      <c r="L13" s="264"/>
      <c r="M13" s="264"/>
      <c r="N13" s="264"/>
      <c r="O13" s="264"/>
    </row>
    <row r="14" spans="1:17">
      <c r="A14" s="114" t="s">
        <v>4052</v>
      </c>
      <c r="D14" s="264">
        <f t="shared" ref="D14:I14" si="15">D121</f>
        <v>7561</v>
      </c>
      <c r="E14" s="264">
        <f t="shared" si="15"/>
        <v>7807</v>
      </c>
      <c r="F14" s="264">
        <f t="shared" si="15"/>
        <v>7751</v>
      </c>
      <c r="G14" s="264">
        <f t="shared" si="15"/>
        <v>7799</v>
      </c>
      <c r="H14" s="264">
        <f t="shared" si="15"/>
        <v>7764</v>
      </c>
      <c r="I14" s="264">
        <f t="shared" si="15"/>
        <v>7828</v>
      </c>
      <c r="J14" s="264">
        <f t="shared" ref="J14:O14" si="16">J121</f>
        <v>7625</v>
      </c>
      <c r="K14" s="264">
        <f t="shared" si="16"/>
        <v>7820</v>
      </c>
      <c r="L14" s="264">
        <f t="shared" si="16"/>
        <v>7880</v>
      </c>
      <c r="M14" s="264">
        <f t="shared" si="16"/>
        <v>8008</v>
      </c>
      <c r="N14" s="264">
        <f t="shared" si="16"/>
        <v>8359</v>
      </c>
      <c r="O14" s="264">
        <f t="shared" si="16"/>
        <v>8624</v>
      </c>
      <c r="Q14" s="260" t="s">
        <v>4053</v>
      </c>
    </row>
    <row r="15" spans="1:17">
      <c r="D15" s="264">
        <f t="shared" ref="D15:I15" si="17">D176</f>
        <v>25133</v>
      </c>
      <c r="E15" s="264">
        <f t="shared" si="17"/>
        <v>24779</v>
      </c>
      <c r="F15" s="264">
        <f t="shared" si="17"/>
        <v>25281</v>
      </c>
      <c r="G15" s="264">
        <f t="shared" si="17"/>
        <v>25664</v>
      </c>
      <c r="H15" s="264">
        <f t="shared" si="17"/>
        <v>25664</v>
      </c>
      <c r="I15" s="264">
        <f t="shared" si="17"/>
        <v>25390</v>
      </c>
      <c r="J15" s="264">
        <f t="shared" ref="J15:O15" si="18">J176</f>
        <v>25081</v>
      </c>
      <c r="K15" s="264">
        <f t="shared" si="18"/>
        <v>25953</v>
      </c>
      <c r="L15" s="264">
        <f t="shared" si="18"/>
        <v>26241</v>
      </c>
      <c r="M15" s="264">
        <f t="shared" si="18"/>
        <v>26715</v>
      </c>
      <c r="N15" s="264">
        <f t="shared" si="18"/>
        <v>27373</v>
      </c>
      <c r="O15" s="264">
        <f t="shared" si="18"/>
        <v>28340</v>
      </c>
      <c r="Q15" s="260" t="s">
        <v>11870</v>
      </c>
    </row>
    <row r="16" spans="1:17" ht="15.75" thickBot="1">
      <c r="D16" s="265">
        <f t="shared" ref="D16:I16" si="19">D209</f>
        <v>31237</v>
      </c>
      <c r="E16" s="265">
        <f t="shared" si="19"/>
        <v>31186</v>
      </c>
      <c r="F16" s="265">
        <f t="shared" si="19"/>
        <v>31005</v>
      </c>
      <c r="G16" s="265">
        <f t="shared" si="19"/>
        <v>30910</v>
      </c>
      <c r="H16" s="265">
        <f t="shared" si="19"/>
        <v>31659</v>
      </c>
      <c r="I16" s="265">
        <f t="shared" si="19"/>
        <v>30692</v>
      </c>
      <c r="J16" s="265">
        <f t="shared" ref="J16:O16" si="20">J209</f>
        <v>30286</v>
      </c>
      <c r="K16" s="265">
        <f t="shared" si="20"/>
        <v>31070</v>
      </c>
      <c r="L16" s="265">
        <f t="shared" si="20"/>
        <v>31228</v>
      </c>
      <c r="M16" s="265">
        <f t="shared" si="20"/>
        <v>30717</v>
      </c>
      <c r="N16" s="265">
        <f t="shared" si="20"/>
        <v>31520</v>
      </c>
      <c r="O16" s="265">
        <f t="shared" si="20"/>
        <v>32376</v>
      </c>
      <c r="Q16" s="260" t="s">
        <v>4054</v>
      </c>
    </row>
    <row r="17" spans="1:17" ht="15.75" thickBot="1">
      <c r="D17" s="266">
        <f t="shared" ref="D17:I17" si="21">SUM(D14:D16)</f>
        <v>63931</v>
      </c>
      <c r="E17" s="266">
        <f t="shared" si="21"/>
        <v>63772</v>
      </c>
      <c r="F17" s="266">
        <f t="shared" si="21"/>
        <v>64037</v>
      </c>
      <c r="G17" s="266">
        <f t="shared" si="21"/>
        <v>64373</v>
      </c>
      <c r="H17" s="266">
        <f t="shared" si="21"/>
        <v>65087</v>
      </c>
      <c r="I17" s="266">
        <f t="shared" si="21"/>
        <v>63910</v>
      </c>
      <c r="J17" s="266">
        <f t="shared" ref="J17:O17" si="22">SUM(J14:J16)</f>
        <v>62992</v>
      </c>
      <c r="K17" s="266">
        <f t="shared" si="22"/>
        <v>64843</v>
      </c>
      <c r="L17" s="266">
        <f t="shared" si="22"/>
        <v>65349</v>
      </c>
      <c r="M17" s="266">
        <f t="shared" si="22"/>
        <v>65440</v>
      </c>
      <c r="N17" s="266">
        <f t="shared" si="22"/>
        <v>67252</v>
      </c>
      <c r="O17" s="266">
        <f t="shared" si="22"/>
        <v>69340</v>
      </c>
    </row>
    <row r="18" spans="1:17">
      <c r="D18" s="264"/>
      <c r="E18" s="264"/>
      <c r="F18" s="264"/>
      <c r="G18" s="264"/>
      <c r="H18" s="264"/>
      <c r="I18" s="264"/>
      <c r="J18" s="264"/>
      <c r="K18" s="264"/>
      <c r="L18" s="264"/>
      <c r="M18" s="264"/>
      <c r="N18" s="264"/>
      <c r="O18" s="264"/>
    </row>
    <row r="19" spans="1:17">
      <c r="A19" s="260" t="s">
        <v>6331</v>
      </c>
      <c r="D19" s="262">
        <f t="shared" ref="D19:I19" si="23">D63</f>
        <v>42536</v>
      </c>
      <c r="E19" s="262">
        <f t="shared" si="23"/>
        <v>42471</v>
      </c>
      <c r="F19" s="262">
        <f t="shared" si="23"/>
        <v>42571</v>
      </c>
      <c r="G19" s="262">
        <f t="shared" si="23"/>
        <v>42771</v>
      </c>
      <c r="H19" s="262">
        <f t="shared" si="23"/>
        <v>42299</v>
      </c>
      <c r="I19" s="262">
        <f t="shared" si="23"/>
        <v>41479</v>
      </c>
      <c r="J19" s="262">
        <f t="shared" ref="J19:O19" si="24">J63</f>
        <v>40452</v>
      </c>
      <c r="K19" s="262">
        <f t="shared" si="24"/>
        <v>41667</v>
      </c>
      <c r="L19" s="262">
        <f t="shared" si="24"/>
        <v>41900</v>
      </c>
      <c r="M19" s="262">
        <f t="shared" si="24"/>
        <v>41471</v>
      </c>
      <c r="N19" s="262">
        <f t="shared" si="24"/>
        <v>41365</v>
      </c>
      <c r="O19" s="262">
        <f t="shared" si="24"/>
        <v>42327</v>
      </c>
      <c r="Q19" s="260" t="s">
        <v>6332</v>
      </c>
    </row>
    <row r="20" spans="1:17" ht="15.75" thickBot="1">
      <c r="D20" s="267">
        <f t="shared" ref="D20:I20" si="25">D90</f>
        <v>27879</v>
      </c>
      <c r="E20" s="267">
        <f t="shared" si="25"/>
        <v>28073</v>
      </c>
      <c r="F20" s="267">
        <f t="shared" si="25"/>
        <v>28254</v>
      </c>
      <c r="G20" s="267">
        <f t="shared" si="25"/>
        <v>28500</v>
      </c>
      <c r="H20" s="267">
        <f t="shared" si="25"/>
        <v>28115</v>
      </c>
      <c r="I20" s="267">
        <f t="shared" si="25"/>
        <v>27609</v>
      </c>
      <c r="J20" s="267">
        <f t="shared" ref="J20:O20" si="26">J90</f>
        <v>26785</v>
      </c>
      <c r="K20" s="267">
        <f t="shared" si="26"/>
        <v>27491</v>
      </c>
      <c r="L20" s="267">
        <f t="shared" si="26"/>
        <v>27739</v>
      </c>
      <c r="M20" s="267">
        <f t="shared" si="26"/>
        <v>27438</v>
      </c>
      <c r="N20" s="267">
        <f t="shared" si="26"/>
        <v>27524</v>
      </c>
      <c r="O20" s="267">
        <f t="shared" si="26"/>
        <v>27918</v>
      </c>
      <c r="Q20" s="260" t="s">
        <v>6298</v>
      </c>
    </row>
    <row r="21" spans="1:17" ht="15.75" thickBot="1">
      <c r="D21" s="267">
        <f t="shared" ref="D21:I21" si="27">D19+D20</f>
        <v>70415</v>
      </c>
      <c r="E21" s="267">
        <f t="shared" si="27"/>
        <v>70544</v>
      </c>
      <c r="F21" s="267">
        <f t="shared" si="27"/>
        <v>70825</v>
      </c>
      <c r="G21" s="267">
        <f t="shared" si="27"/>
        <v>71271</v>
      </c>
      <c r="H21" s="267">
        <f t="shared" si="27"/>
        <v>70414</v>
      </c>
      <c r="I21" s="267">
        <f t="shared" si="27"/>
        <v>69088</v>
      </c>
      <c r="J21" s="267">
        <f t="shared" ref="J21:O21" si="28">J19+J20</f>
        <v>67237</v>
      </c>
      <c r="K21" s="267">
        <f t="shared" si="28"/>
        <v>69158</v>
      </c>
      <c r="L21" s="267">
        <f t="shared" si="28"/>
        <v>69639</v>
      </c>
      <c r="M21" s="267">
        <f t="shared" si="28"/>
        <v>68909</v>
      </c>
      <c r="N21" s="267">
        <f t="shared" si="28"/>
        <v>68889</v>
      </c>
      <c r="O21" s="267">
        <f t="shared" si="28"/>
        <v>70245</v>
      </c>
    </row>
    <row r="22" spans="1:17">
      <c r="D22" s="264"/>
      <c r="E22" s="264"/>
      <c r="F22" s="264"/>
      <c r="G22" s="264"/>
      <c r="H22" s="264"/>
      <c r="I22" s="264"/>
      <c r="J22" s="264"/>
      <c r="K22" s="264"/>
      <c r="L22" s="264"/>
      <c r="M22" s="264"/>
      <c r="N22" s="264"/>
      <c r="O22" s="264"/>
    </row>
    <row r="23" spans="1:17">
      <c r="A23" s="260" t="s">
        <v>2217</v>
      </c>
      <c r="D23" s="264">
        <f t="shared" ref="D23:I23" si="29">D64</f>
        <v>7126</v>
      </c>
      <c r="E23" s="264">
        <f t="shared" si="29"/>
        <v>7156</v>
      </c>
      <c r="F23" s="264">
        <f t="shared" si="29"/>
        <v>7217</v>
      </c>
      <c r="G23" s="264">
        <f t="shared" si="29"/>
        <v>7216</v>
      </c>
      <c r="H23" s="264">
        <f t="shared" si="29"/>
        <v>7157</v>
      </c>
      <c r="I23" s="264">
        <f t="shared" si="29"/>
        <v>7041</v>
      </c>
      <c r="J23" s="264">
        <f t="shared" ref="J23:O23" si="30">J64</f>
        <v>6887</v>
      </c>
      <c r="K23" s="264">
        <f t="shared" si="30"/>
        <v>7094</v>
      </c>
      <c r="L23" s="264">
        <f t="shared" si="30"/>
        <v>7094</v>
      </c>
      <c r="M23" s="264">
        <f t="shared" si="30"/>
        <v>7040</v>
      </c>
      <c r="N23" s="264">
        <f t="shared" si="30"/>
        <v>7056</v>
      </c>
      <c r="O23" s="264">
        <f t="shared" si="30"/>
        <v>7215</v>
      </c>
      <c r="Q23" s="260" t="s">
        <v>6332</v>
      </c>
    </row>
    <row r="24" spans="1:17" ht="15.75" thickBot="1">
      <c r="D24" s="267">
        <f t="shared" ref="D24:I24" si="31">D91</f>
        <v>60991</v>
      </c>
      <c r="E24" s="267">
        <f t="shared" si="31"/>
        <v>61132</v>
      </c>
      <c r="F24" s="267">
        <f t="shared" si="31"/>
        <v>61363</v>
      </c>
      <c r="G24" s="267">
        <f t="shared" si="31"/>
        <v>62104</v>
      </c>
      <c r="H24" s="267">
        <f t="shared" si="31"/>
        <v>60880</v>
      </c>
      <c r="I24" s="267">
        <f t="shared" si="31"/>
        <v>59837</v>
      </c>
      <c r="J24" s="267">
        <f t="shared" ref="J24:O24" si="32">J91</f>
        <v>58870</v>
      </c>
      <c r="K24" s="267">
        <f t="shared" si="32"/>
        <v>60500</v>
      </c>
      <c r="L24" s="267">
        <f t="shared" si="32"/>
        <v>61543</v>
      </c>
      <c r="M24" s="267">
        <f t="shared" si="32"/>
        <v>61364</v>
      </c>
      <c r="N24" s="267">
        <f t="shared" si="32"/>
        <v>62047</v>
      </c>
      <c r="O24" s="267">
        <f t="shared" si="32"/>
        <v>63120</v>
      </c>
      <c r="Q24" s="260" t="s">
        <v>6298</v>
      </c>
    </row>
    <row r="25" spans="1:17" ht="15.75" thickBot="1">
      <c r="D25" s="267">
        <f t="shared" ref="D25:I25" si="33">D23+D24</f>
        <v>68117</v>
      </c>
      <c r="E25" s="267">
        <f t="shared" si="33"/>
        <v>68288</v>
      </c>
      <c r="F25" s="267">
        <f t="shared" si="33"/>
        <v>68580</v>
      </c>
      <c r="G25" s="267">
        <f t="shared" si="33"/>
        <v>69320</v>
      </c>
      <c r="H25" s="267">
        <f t="shared" si="33"/>
        <v>68037</v>
      </c>
      <c r="I25" s="267">
        <f t="shared" si="33"/>
        <v>66878</v>
      </c>
      <c r="J25" s="267">
        <f t="shared" ref="J25:O25" si="34">J23+J24</f>
        <v>65757</v>
      </c>
      <c r="K25" s="267">
        <f t="shared" si="34"/>
        <v>67594</v>
      </c>
      <c r="L25" s="267">
        <f t="shared" si="34"/>
        <v>68637</v>
      </c>
      <c r="M25" s="267">
        <f t="shared" si="34"/>
        <v>68404</v>
      </c>
      <c r="N25" s="267">
        <f t="shared" si="34"/>
        <v>69103</v>
      </c>
      <c r="O25" s="267">
        <f t="shared" si="34"/>
        <v>70335</v>
      </c>
    </row>
    <row r="26" spans="1:17">
      <c r="D26" s="264"/>
      <c r="E26" s="264"/>
      <c r="F26" s="264"/>
      <c r="G26" s="264"/>
      <c r="H26" s="264"/>
      <c r="I26" s="264"/>
      <c r="J26" s="264"/>
      <c r="K26" s="264"/>
      <c r="L26" s="264"/>
      <c r="M26" s="264"/>
      <c r="N26" s="264"/>
      <c r="O26" s="264"/>
    </row>
    <row r="27" spans="1:17">
      <c r="A27" s="260" t="s">
        <v>2674</v>
      </c>
      <c r="D27" s="262">
        <f t="shared" ref="D27:I27" si="35">D92</f>
        <v>5142</v>
      </c>
      <c r="E27" s="262">
        <f t="shared" si="35"/>
        <v>5135</v>
      </c>
      <c r="F27" s="262">
        <f t="shared" si="35"/>
        <v>5096</v>
      </c>
      <c r="G27" s="262">
        <f t="shared" si="35"/>
        <v>5131</v>
      </c>
      <c r="H27" s="262">
        <f t="shared" si="35"/>
        <v>5074</v>
      </c>
      <c r="I27" s="262">
        <f t="shared" si="35"/>
        <v>4990</v>
      </c>
      <c r="J27" s="262">
        <f t="shared" ref="J27:O27" si="36">J92</f>
        <v>4916</v>
      </c>
      <c r="K27" s="262">
        <f t="shared" si="36"/>
        <v>5032</v>
      </c>
      <c r="L27" s="262">
        <f t="shared" si="36"/>
        <v>5127</v>
      </c>
      <c r="M27" s="262">
        <f t="shared" si="36"/>
        <v>5068</v>
      </c>
      <c r="N27" s="262">
        <f t="shared" si="36"/>
        <v>5052</v>
      </c>
      <c r="O27" s="262">
        <f t="shared" si="36"/>
        <v>5096</v>
      </c>
      <c r="Q27" s="260" t="s">
        <v>6298</v>
      </c>
    </row>
    <row r="28" spans="1:17" ht="15.75" thickBot="1">
      <c r="D28" s="267">
        <f t="shared" ref="D28:I28" si="37">D122</f>
        <v>63617</v>
      </c>
      <c r="E28" s="267">
        <f t="shared" si="37"/>
        <v>64797</v>
      </c>
      <c r="F28" s="267">
        <f t="shared" si="37"/>
        <v>64675</v>
      </c>
      <c r="G28" s="267">
        <f t="shared" si="37"/>
        <v>65270</v>
      </c>
      <c r="H28" s="267">
        <f t="shared" si="37"/>
        <v>65598</v>
      </c>
      <c r="I28" s="267">
        <f t="shared" si="37"/>
        <v>65565</v>
      </c>
      <c r="J28" s="267">
        <f t="shared" ref="J28:O28" si="38">J122</f>
        <v>63562</v>
      </c>
      <c r="K28" s="267">
        <f t="shared" si="38"/>
        <v>65719</v>
      </c>
      <c r="L28" s="267">
        <f t="shared" si="38"/>
        <v>66125</v>
      </c>
      <c r="M28" s="267">
        <f t="shared" si="38"/>
        <v>65322</v>
      </c>
      <c r="N28" s="267">
        <f t="shared" si="38"/>
        <v>65865</v>
      </c>
      <c r="O28" s="267">
        <f t="shared" si="38"/>
        <v>67227</v>
      </c>
      <c r="Q28" s="260" t="s">
        <v>4053</v>
      </c>
    </row>
    <row r="29" spans="1:17" ht="15.75" thickBot="1">
      <c r="D29" s="267">
        <f t="shared" ref="D29:I29" si="39">D27+D28</f>
        <v>68759</v>
      </c>
      <c r="E29" s="267">
        <f t="shared" si="39"/>
        <v>69932</v>
      </c>
      <c r="F29" s="267">
        <f t="shared" si="39"/>
        <v>69771</v>
      </c>
      <c r="G29" s="267">
        <f t="shared" si="39"/>
        <v>70401</v>
      </c>
      <c r="H29" s="267">
        <f t="shared" si="39"/>
        <v>70672</v>
      </c>
      <c r="I29" s="267">
        <f t="shared" si="39"/>
        <v>70555</v>
      </c>
      <c r="J29" s="267">
        <f t="shared" ref="J29:O29" si="40">J27+J28</f>
        <v>68478</v>
      </c>
      <c r="K29" s="267">
        <f t="shared" si="40"/>
        <v>70751</v>
      </c>
      <c r="L29" s="267">
        <f t="shared" si="40"/>
        <v>71252</v>
      </c>
      <c r="M29" s="267">
        <f t="shared" si="40"/>
        <v>70390</v>
      </c>
      <c r="N29" s="267">
        <f t="shared" si="40"/>
        <v>70917</v>
      </c>
      <c r="O29" s="267">
        <f t="shared" si="40"/>
        <v>72323</v>
      </c>
    </row>
    <row r="30" spans="1:17">
      <c r="D30" s="264"/>
      <c r="E30" s="264"/>
      <c r="F30" s="264"/>
      <c r="G30" s="264"/>
      <c r="H30" s="264"/>
      <c r="I30" s="264"/>
      <c r="J30" s="264"/>
      <c r="K30" s="264"/>
      <c r="L30" s="264"/>
      <c r="M30" s="264"/>
      <c r="N30" s="264"/>
      <c r="O30" s="264"/>
    </row>
    <row r="31" spans="1:17">
      <c r="A31" s="260" t="s">
        <v>3630</v>
      </c>
      <c r="D31" s="262">
        <f t="shared" ref="D31:I31" si="41">D177</f>
        <v>69366</v>
      </c>
      <c r="E31" s="262">
        <f t="shared" si="41"/>
        <v>69108</v>
      </c>
      <c r="F31" s="262">
        <f t="shared" si="41"/>
        <v>69946</v>
      </c>
      <c r="G31" s="262">
        <f t="shared" si="41"/>
        <v>70529</v>
      </c>
      <c r="H31" s="262">
        <f t="shared" si="41"/>
        <v>70830</v>
      </c>
      <c r="I31" s="262">
        <f t="shared" si="41"/>
        <v>70006</v>
      </c>
      <c r="J31" s="262">
        <f t="shared" ref="J31:O31" si="42">J177</f>
        <v>69211</v>
      </c>
      <c r="K31" s="262">
        <f t="shared" si="42"/>
        <v>71331</v>
      </c>
      <c r="L31" s="262">
        <f t="shared" si="42"/>
        <v>71031</v>
      </c>
      <c r="M31" s="262">
        <f t="shared" si="42"/>
        <v>70800</v>
      </c>
      <c r="N31" s="262">
        <f t="shared" si="42"/>
        <v>71723</v>
      </c>
      <c r="O31" s="262">
        <f t="shared" si="42"/>
        <v>74110</v>
      </c>
      <c r="Q31" s="260" t="s">
        <v>11870</v>
      </c>
    </row>
    <row r="32" spans="1:17">
      <c r="D32" s="264"/>
      <c r="E32" s="264"/>
      <c r="F32" s="264"/>
      <c r="G32" s="264"/>
      <c r="H32" s="264"/>
      <c r="I32" s="264"/>
      <c r="J32" s="264"/>
      <c r="K32" s="264"/>
      <c r="L32" s="264"/>
      <c r="M32" s="264"/>
      <c r="N32" s="264"/>
      <c r="O32" s="264"/>
    </row>
    <row r="33" spans="1:17">
      <c r="A33" s="260" t="s">
        <v>3631</v>
      </c>
      <c r="D33" s="268">
        <f t="shared" ref="D33:I33" si="43">D210</f>
        <v>67030</v>
      </c>
      <c r="E33" s="268">
        <f t="shared" si="43"/>
        <v>66278</v>
      </c>
      <c r="F33" s="268">
        <f t="shared" si="43"/>
        <v>67261</v>
      </c>
      <c r="G33" s="268">
        <f t="shared" si="43"/>
        <v>69310</v>
      </c>
      <c r="H33" s="268">
        <f t="shared" si="43"/>
        <v>66418</v>
      </c>
      <c r="I33" s="268">
        <f t="shared" si="43"/>
        <v>67444</v>
      </c>
      <c r="J33" s="268">
        <f t="shared" ref="J33:O33" si="44">J210</f>
        <v>67641</v>
      </c>
      <c r="K33" s="268">
        <f t="shared" si="44"/>
        <v>69963</v>
      </c>
      <c r="L33" s="268">
        <f t="shared" si="44"/>
        <v>73439</v>
      </c>
      <c r="M33" s="268">
        <f t="shared" si="44"/>
        <v>72167</v>
      </c>
      <c r="N33" s="268">
        <f t="shared" si="44"/>
        <v>72916</v>
      </c>
      <c r="O33" s="268">
        <f t="shared" si="44"/>
        <v>76109</v>
      </c>
      <c r="Q33" s="260" t="s">
        <v>4054</v>
      </c>
    </row>
    <row r="34" spans="1:17">
      <c r="D34" s="264"/>
      <c r="E34" s="264"/>
      <c r="F34" s="264"/>
      <c r="G34" s="264"/>
      <c r="H34" s="264"/>
      <c r="I34" s="264"/>
      <c r="J34" s="264"/>
      <c r="K34" s="264"/>
      <c r="L34" s="264"/>
      <c r="M34" s="264"/>
      <c r="N34" s="264"/>
      <c r="O34" s="264"/>
    </row>
    <row r="35" spans="1:17">
      <c r="A35" s="260" t="s">
        <v>6796</v>
      </c>
      <c r="D35" s="262">
        <f t="shared" ref="D35:I35" si="45">D17+D21+D25+D29+D31+D33</f>
        <v>407618</v>
      </c>
      <c r="E35" s="262">
        <f t="shared" si="45"/>
        <v>407922</v>
      </c>
      <c r="F35" s="262">
        <f t="shared" si="45"/>
        <v>410420</v>
      </c>
      <c r="G35" s="262">
        <f t="shared" si="45"/>
        <v>415204</v>
      </c>
      <c r="H35" s="262">
        <f t="shared" si="45"/>
        <v>411458</v>
      </c>
      <c r="I35" s="262">
        <f t="shared" si="45"/>
        <v>407881</v>
      </c>
      <c r="J35" s="262">
        <f t="shared" ref="J35:O35" si="46">J17+J21+J25+J29+J31+J33</f>
        <v>401316</v>
      </c>
      <c r="K35" s="262">
        <f t="shared" si="46"/>
        <v>413640</v>
      </c>
      <c r="L35" s="262">
        <f t="shared" si="46"/>
        <v>419347</v>
      </c>
      <c r="M35" s="262">
        <f t="shared" si="46"/>
        <v>416110</v>
      </c>
      <c r="N35" s="262">
        <f t="shared" si="46"/>
        <v>420800</v>
      </c>
      <c r="O35" s="262">
        <f t="shared" si="46"/>
        <v>432462</v>
      </c>
    </row>
    <row r="36" spans="1:17">
      <c r="D36" s="264"/>
      <c r="E36" s="264"/>
      <c r="F36" s="264"/>
      <c r="G36" s="264"/>
      <c r="H36" s="264"/>
      <c r="I36" s="264"/>
      <c r="J36" s="264"/>
      <c r="K36" s="264"/>
      <c r="L36" s="264"/>
      <c r="M36" s="264"/>
      <c r="N36" s="264"/>
      <c r="O36" s="264"/>
    </row>
    <row r="37" spans="1:17">
      <c r="A37" s="260" t="s">
        <v>6797</v>
      </c>
      <c r="D37" s="262">
        <f t="shared" ref="D37:I37" si="47">MAX(D17,D21,D25,D29,D31,D33)-MIN(D17,D21,D25,D29,D31,D33)</f>
        <v>6484</v>
      </c>
      <c r="E37" s="262">
        <f t="shared" si="47"/>
        <v>6772</v>
      </c>
      <c r="F37" s="262">
        <f t="shared" si="47"/>
        <v>6788</v>
      </c>
      <c r="G37" s="262">
        <f t="shared" si="47"/>
        <v>6898</v>
      </c>
      <c r="H37" s="262">
        <f t="shared" si="47"/>
        <v>5743</v>
      </c>
      <c r="I37" s="262">
        <f t="shared" si="47"/>
        <v>6645</v>
      </c>
      <c r="J37" s="262">
        <f t="shared" ref="J37:O37" si="48">MAX(J17,J21,J25,J29,J31,J33)-MIN(J17,J21,J25,J29,J31,J33)</f>
        <v>6219</v>
      </c>
      <c r="K37" s="262">
        <f t="shared" si="48"/>
        <v>6488</v>
      </c>
      <c r="L37" s="262">
        <f t="shared" si="48"/>
        <v>8090</v>
      </c>
      <c r="M37" s="262">
        <f t="shared" si="48"/>
        <v>6727</v>
      </c>
      <c r="N37" s="262">
        <f t="shared" si="48"/>
        <v>5664</v>
      </c>
      <c r="O37" s="262">
        <f t="shared" si="48"/>
        <v>6769</v>
      </c>
    </row>
    <row r="38" spans="1:17">
      <c r="D38" s="264"/>
      <c r="E38" s="264"/>
      <c r="F38" s="264"/>
      <c r="G38" s="264"/>
      <c r="H38" s="264"/>
      <c r="I38" s="264"/>
      <c r="J38" s="264"/>
      <c r="K38" s="264"/>
      <c r="L38" s="264"/>
      <c r="M38" s="264"/>
      <c r="N38" s="264"/>
      <c r="O38" s="264"/>
    </row>
    <row r="39" spans="1:17">
      <c r="A39" s="260" t="s">
        <v>6800</v>
      </c>
      <c r="D39" s="262">
        <f t="shared" ref="D39:I39" si="49">STDEVP(D17,D21,D25,D29,D31,D33)</f>
        <v>2072.0879700330183</v>
      </c>
      <c r="E39" s="262">
        <f t="shared" si="49"/>
        <v>2322.190847741273</v>
      </c>
      <c r="F39" s="262">
        <f t="shared" si="49"/>
        <v>2255.2089826788902</v>
      </c>
      <c r="G39" s="262">
        <f t="shared" si="49"/>
        <v>2266.5726451088117</v>
      </c>
      <c r="H39" s="262">
        <f t="shared" si="49"/>
        <v>2235.0459105401442</v>
      </c>
      <c r="I39" s="262">
        <f t="shared" si="49"/>
        <v>2237.1695224596242</v>
      </c>
      <c r="J39" s="262">
        <f t="shared" ref="J39:O39" si="50">STDEVP(J17,J21,J25,J29,J31,J33)</f>
        <v>2044.1457873644922</v>
      </c>
      <c r="K39" s="262">
        <f t="shared" si="50"/>
        <v>2186.617631564025</v>
      </c>
      <c r="L39" s="262">
        <f t="shared" si="50"/>
        <v>2516.8104429129253</v>
      </c>
      <c r="M39" s="262">
        <f t="shared" si="50"/>
        <v>2140.7580173594793</v>
      </c>
      <c r="N39" s="262">
        <f t="shared" si="50"/>
        <v>1905.974874499195</v>
      </c>
      <c r="O39" s="262">
        <f t="shared" si="50"/>
        <v>2392.0906476692448</v>
      </c>
    </row>
    <row r="40" spans="1:17">
      <c r="A40" s="260"/>
      <c r="D40" s="269"/>
      <c r="E40" s="269"/>
      <c r="F40" s="269"/>
      <c r="G40" s="269"/>
      <c r="H40" s="269"/>
      <c r="I40" s="269"/>
      <c r="J40" s="269"/>
      <c r="K40" s="269"/>
      <c r="L40" s="269"/>
      <c r="M40" s="269"/>
      <c r="N40" s="269"/>
      <c r="O40" s="269"/>
    </row>
    <row r="42" spans="1:17">
      <c r="E42" s="51" t="s">
        <v>1526</v>
      </c>
      <c r="F42" s="51"/>
      <c r="G42" s="51"/>
      <c r="H42" s="51"/>
      <c r="I42" s="51"/>
      <c r="J42" s="51"/>
      <c r="K42" s="51"/>
      <c r="L42" s="51"/>
      <c r="M42" s="51"/>
      <c r="N42" s="51"/>
      <c r="O42" s="51"/>
      <c r="P42" s="11"/>
      <c r="Q42" s="11" t="s">
        <v>9479</v>
      </c>
    </row>
    <row r="43" spans="1:17">
      <c r="D43" s="270">
        <v>2010</v>
      </c>
      <c r="E43" s="270">
        <v>2011</v>
      </c>
      <c r="F43" s="270">
        <v>2012</v>
      </c>
      <c r="G43" s="270">
        <v>2013</v>
      </c>
      <c r="H43" s="270">
        <v>2014</v>
      </c>
      <c r="I43" s="270">
        <v>2015</v>
      </c>
      <c r="J43" s="270">
        <v>2016</v>
      </c>
      <c r="K43" s="270">
        <v>2017</v>
      </c>
      <c r="L43" s="270">
        <v>2018</v>
      </c>
      <c r="M43" s="270">
        <v>2019</v>
      </c>
      <c r="N43" s="270">
        <v>2020</v>
      </c>
      <c r="O43" s="930" t="s">
        <v>14823</v>
      </c>
      <c r="P43" s="121"/>
      <c r="Q43" s="13" t="s">
        <v>1527</v>
      </c>
    </row>
    <row r="44" spans="1:17">
      <c r="A44" s="260" t="s">
        <v>3632</v>
      </c>
      <c r="C44" s="260"/>
      <c r="D44" s="262">
        <f t="shared" ref="D44:I44" si="51">SUM(D45:D61)</f>
        <v>49662</v>
      </c>
      <c r="E44" s="262">
        <f t="shared" si="51"/>
        <v>49627</v>
      </c>
      <c r="F44" s="262">
        <f t="shared" si="51"/>
        <v>49788</v>
      </c>
      <c r="G44" s="262">
        <f t="shared" si="51"/>
        <v>49987</v>
      </c>
      <c r="H44" s="262">
        <f t="shared" si="51"/>
        <v>49456</v>
      </c>
      <c r="I44" s="262">
        <f t="shared" si="51"/>
        <v>48520</v>
      </c>
      <c r="J44" s="262">
        <f t="shared" ref="J44:O44" si="52">SUM(J45:J61)</f>
        <v>47339</v>
      </c>
      <c r="K44" s="262">
        <f t="shared" si="52"/>
        <v>48761</v>
      </c>
      <c r="L44" s="262">
        <f t="shared" si="52"/>
        <v>48994</v>
      </c>
      <c r="M44" s="262">
        <f t="shared" si="52"/>
        <v>48511</v>
      </c>
      <c r="N44" s="262">
        <f t="shared" si="52"/>
        <v>48421</v>
      </c>
      <c r="O44" s="262">
        <f t="shared" si="52"/>
        <v>49542</v>
      </c>
    </row>
    <row r="45" spans="1:17">
      <c r="A45" s="260" t="s">
        <v>5387</v>
      </c>
      <c r="B45" s="260" t="s">
        <v>3633</v>
      </c>
      <c r="C45" s="55" t="s">
        <v>8129</v>
      </c>
      <c r="D45" s="264">
        <v>4152</v>
      </c>
      <c r="E45" s="264">
        <v>4169</v>
      </c>
      <c r="F45" s="264">
        <v>4231</v>
      </c>
      <c r="G45" s="58">
        <v>4242</v>
      </c>
      <c r="H45" s="58">
        <v>4196</v>
      </c>
      <c r="I45" s="58">
        <v>4103</v>
      </c>
      <c r="J45" s="58">
        <v>4050</v>
      </c>
      <c r="K45" s="58">
        <v>4205</v>
      </c>
      <c r="L45" s="58">
        <v>4197</v>
      </c>
      <c r="M45" s="58">
        <v>4194</v>
      </c>
      <c r="N45" s="58">
        <v>4216</v>
      </c>
      <c r="O45" s="58">
        <v>4330</v>
      </c>
      <c r="Q45" s="260" t="s">
        <v>2217</v>
      </c>
    </row>
    <row r="46" spans="1:17">
      <c r="A46" s="260" t="s">
        <v>5389</v>
      </c>
      <c r="B46" s="260" t="s">
        <v>3634</v>
      </c>
      <c r="C46" s="55" t="s">
        <v>8130</v>
      </c>
      <c r="D46" s="264">
        <v>2960</v>
      </c>
      <c r="E46" s="264">
        <v>3013</v>
      </c>
      <c r="F46" s="264">
        <v>3035</v>
      </c>
      <c r="G46" s="56">
        <v>3055</v>
      </c>
      <c r="H46" s="56">
        <v>2930</v>
      </c>
      <c r="I46" s="56">
        <v>2782</v>
      </c>
      <c r="J46" s="56">
        <v>2728</v>
      </c>
      <c r="K46" s="56">
        <v>2797</v>
      </c>
      <c r="L46" s="56">
        <v>2872</v>
      </c>
      <c r="M46" s="56">
        <v>2808</v>
      </c>
      <c r="N46" s="56">
        <v>2811</v>
      </c>
      <c r="O46" s="56">
        <v>2867</v>
      </c>
      <c r="Q46" s="260" t="s">
        <v>6331</v>
      </c>
    </row>
    <row r="47" spans="1:17">
      <c r="A47" s="260" t="s">
        <v>5391</v>
      </c>
      <c r="B47" s="260" t="s">
        <v>3635</v>
      </c>
      <c r="C47" s="55" t="s">
        <v>8131</v>
      </c>
      <c r="D47" s="264">
        <v>2734</v>
      </c>
      <c r="E47" s="264">
        <v>2738</v>
      </c>
      <c r="F47" s="264">
        <v>2739</v>
      </c>
      <c r="G47" s="56">
        <v>2746</v>
      </c>
      <c r="H47" s="56">
        <v>2707</v>
      </c>
      <c r="I47" s="56">
        <v>2640</v>
      </c>
      <c r="J47" s="56">
        <v>2659</v>
      </c>
      <c r="K47" s="56">
        <v>2814</v>
      </c>
      <c r="L47" s="56">
        <v>2866</v>
      </c>
      <c r="M47" s="56">
        <v>2899</v>
      </c>
      <c r="N47" s="56">
        <v>2841</v>
      </c>
      <c r="O47" s="56">
        <v>2879</v>
      </c>
      <c r="Q47" s="260" t="s">
        <v>6331</v>
      </c>
    </row>
    <row r="48" spans="1:17">
      <c r="A48" s="260" t="s">
        <v>5393</v>
      </c>
      <c r="B48" s="260" t="s">
        <v>3636</v>
      </c>
      <c r="C48" s="55" t="s">
        <v>8132</v>
      </c>
      <c r="D48" s="264">
        <v>2945</v>
      </c>
      <c r="E48" s="264">
        <v>2929</v>
      </c>
      <c r="F48" s="264">
        <v>2919</v>
      </c>
      <c r="G48" s="56">
        <v>2924</v>
      </c>
      <c r="H48" s="56">
        <v>2884</v>
      </c>
      <c r="I48" s="56">
        <v>2874</v>
      </c>
      <c r="J48" s="56">
        <v>2768</v>
      </c>
      <c r="K48" s="56">
        <v>2835</v>
      </c>
      <c r="L48" s="56">
        <v>2929</v>
      </c>
      <c r="M48" s="56">
        <v>2909</v>
      </c>
      <c r="N48" s="56">
        <v>2906</v>
      </c>
      <c r="O48" s="56">
        <v>2976</v>
      </c>
      <c r="Q48" s="260" t="s">
        <v>6331</v>
      </c>
    </row>
    <row r="49" spans="1:17">
      <c r="A49" s="260" t="s">
        <v>5394</v>
      </c>
      <c r="B49" s="260" t="s">
        <v>3637</v>
      </c>
      <c r="C49" s="55" t="s">
        <v>8133</v>
      </c>
      <c r="D49" s="264">
        <v>3138</v>
      </c>
      <c r="E49" s="264">
        <v>3112</v>
      </c>
      <c r="F49" s="264">
        <v>3129</v>
      </c>
      <c r="G49" s="56">
        <v>3136</v>
      </c>
      <c r="H49" s="56">
        <v>3185</v>
      </c>
      <c r="I49" s="56">
        <v>3133</v>
      </c>
      <c r="J49" s="56">
        <v>3063</v>
      </c>
      <c r="K49" s="56">
        <v>3196</v>
      </c>
      <c r="L49" s="56">
        <v>3251</v>
      </c>
      <c r="M49" s="56">
        <v>3222</v>
      </c>
      <c r="N49" s="56">
        <v>3208</v>
      </c>
      <c r="O49" s="56">
        <v>3308</v>
      </c>
      <c r="Q49" s="260" t="s">
        <v>6331</v>
      </c>
    </row>
    <row r="50" spans="1:17">
      <c r="A50" s="260" t="s">
        <v>5416</v>
      </c>
      <c r="B50" s="260" t="s">
        <v>3604</v>
      </c>
      <c r="C50" s="55" t="s">
        <v>8134</v>
      </c>
      <c r="D50" s="264">
        <v>2590</v>
      </c>
      <c r="E50" s="264">
        <v>2582</v>
      </c>
      <c r="F50" s="264">
        <v>2604</v>
      </c>
      <c r="G50" s="56">
        <v>2632</v>
      </c>
      <c r="H50" s="56">
        <v>2635</v>
      </c>
      <c r="I50" s="56">
        <v>2530</v>
      </c>
      <c r="J50" s="56">
        <v>2468</v>
      </c>
      <c r="K50" s="56">
        <v>2554</v>
      </c>
      <c r="L50" s="56">
        <v>2532</v>
      </c>
      <c r="M50" s="56">
        <v>2491</v>
      </c>
      <c r="N50" s="56">
        <v>2461</v>
      </c>
      <c r="O50" s="56">
        <v>2512</v>
      </c>
      <c r="Q50" s="260" t="s">
        <v>6331</v>
      </c>
    </row>
    <row r="51" spans="1:17">
      <c r="A51" s="260" t="s">
        <v>5418</v>
      </c>
      <c r="B51" s="260" t="s">
        <v>3605</v>
      </c>
      <c r="C51" s="55" t="s">
        <v>8135</v>
      </c>
      <c r="D51" s="264">
        <v>2764</v>
      </c>
      <c r="E51" s="264">
        <v>2743</v>
      </c>
      <c r="F51" s="264">
        <v>2742</v>
      </c>
      <c r="G51" s="56">
        <v>2747</v>
      </c>
      <c r="H51" s="56">
        <v>2771</v>
      </c>
      <c r="I51" s="56">
        <v>2691</v>
      </c>
      <c r="J51" s="56">
        <v>2698</v>
      </c>
      <c r="K51" s="56">
        <v>2841</v>
      </c>
      <c r="L51" s="56">
        <v>2866</v>
      </c>
      <c r="M51" s="56">
        <v>2788</v>
      </c>
      <c r="N51" s="56">
        <v>2734</v>
      </c>
      <c r="O51" s="56">
        <v>2831</v>
      </c>
      <c r="Q51" s="260" t="s">
        <v>6331</v>
      </c>
    </row>
    <row r="52" spans="1:17">
      <c r="A52" s="260" t="s">
        <v>5420</v>
      </c>
      <c r="B52" s="260" t="s">
        <v>3606</v>
      </c>
      <c r="C52" s="55" t="s">
        <v>8136</v>
      </c>
      <c r="D52" s="264">
        <v>2776</v>
      </c>
      <c r="E52" s="264">
        <v>2754</v>
      </c>
      <c r="F52" s="264">
        <v>2775</v>
      </c>
      <c r="G52" s="56">
        <v>2765</v>
      </c>
      <c r="H52" s="56">
        <v>2747</v>
      </c>
      <c r="I52" s="56">
        <v>2737</v>
      </c>
      <c r="J52" s="56">
        <v>2666</v>
      </c>
      <c r="K52" s="56">
        <v>2783</v>
      </c>
      <c r="L52" s="56">
        <v>2756</v>
      </c>
      <c r="M52" s="56">
        <v>2742</v>
      </c>
      <c r="N52" s="56">
        <v>2712</v>
      </c>
      <c r="O52" s="56">
        <v>2764</v>
      </c>
      <c r="Q52" s="260" t="s">
        <v>6331</v>
      </c>
    </row>
    <row r="53" spans="1:17">
      <c r="A53" s="260" t="s">
        <v>5422</v>
      </c>
      <c r="B53" s="260" t="s">
        <v>3607</v>
      </c>
      <c r="C53" s="55" t="s">
        <v>8137</v>
      </c>
      <c r="D53" s="264">
        <v>2491</v>
      </c>
      <c r="E53" s="264">
        <v>2498</v>
      </c>
      <c r="F53" s="264">
        <v>2468</v>
      </c>
      <c r="G53" s="56">
        <v>2458</v>
      </c>
      <c r="H53" s="56">
        <v>2430</v>
      </c>
      <c r="I53" s="56">
        <v>2387</v>
      </c>
      <c r="J53" s="56">
        <v>2276</v>
      </c>
      <c r="K53" s="56">
        <v>2314</v>
      </c>
      <c r="L53" s="56">
        <v>2277</v>
      </c>
      <c r="M53" s="56">
        <v>2231</v>
      </c>
      <c r="N53" s="56">
        <v>2225</v>
      </c>
      <c r="O53" s="56">
        <v>2261</v>
      </c>
      <c r="Q53" s="260" t="s">
        <v>6331</v>
      </c>
    </row>
    <row r="54" spans="1:17">
      <c r="A54" s="260" t="s">
        <v>5424</v>
      </c>
      <c r="B54" s="260" t="s">
        <v>3608</v>
      </c>
      <c r="C54" s="55" t="s">
        <v>8138</v>
      </c>
      <c r="D54" s="264">
        <v>2811</v>
      </c>
      <c r="E54" s="264">
        <v>2789</v>
      </c>
      <c r="F54" s="264">
        <v>2783</v>
      </c>
      <c r="G54" s="56">
        <v>2801</v>
      </c>
      <c r="H54" s="56">
        <v>2768</v>
      </c>
      <c r="I54" s="56">
        <v>2710</v>
      </c>
      <c r="J54" s="56">
        <v>2643</v>
      </c>
      <c r="K54" s="56">
        <v>2714</v>
      </c>
      <c r="L54" s="56">
        <v>2675</v>
      </c>
      <c r="M54" s="56">
        <v>2680</v>
      </c>
      <c r="N54" s="56">
        <v>2678</v>
      </c>
      <c r="O54" s="56">
        <v>2784</v>
      </c>
      <c r="Q54" s="260" t="s">
        <v>6331</v>
      </c>
    </row>
    <row r="55" spans="1:17">
      <c r="A55" s="260" t="s">
        <v>5426</v>
      </c>
      <c r="B55" s="260" t="s">
        <v>3609</v>
      </c>
      <c r="C55" s="55" t="s">
        <v>8139</v>
      </c>
      <c r="D55" s="264">
        <v>2974</v>
      </c>
      <c r="E55" s="264">
        <v>2987</v>
      </c>
      <c r="F55" s="264">
        <v>2986</v>
      </c>
      <c r="G55" s="58">
        <v>2974</v>
      </c>
      <c r="H55" s="58">
        <v>2961</v>
      </c>
      <c r="I55" s="58">
        <v>2938</v>
      </c>
      <c r="J55" s="58">
        <v>2837</v>
      </c>
      <c r="K55" s="58">
        <v>2889</v>
      </c>
      <c r="L55" s="58">
        <v>2897</v>
      </c>
      <c r="M55" s="58">
        <v>2846</v>
      </c>
      <c r="N55" s="58">
        <v>2840</v>
      </c>
      <c r="O55" s="58">
        <v>2885</v>
      </c>
      <c r="Q55" s="260" t="s">
        <v>2217</v>
      </c>
    </row>
    <row r="56" spans="1:17">
      <c r="A56" s="260" t="s">
        <v>5428</v>
      </c>
      <c r="B56" s="260" t="s">
        <v>3686</v>
      </c>
      <c r="C56" s="55" t="s">
        <v>8140</v>
      </c>
      <c r="D56" s="264">
        <v>3090</v>
      </c>
      <c r="E56" s="264">
        <v>3071</v>
      </c>
      <c r="F56" s="264">
        <v>3033</v>
      </c>
      <c r="G56" s="56">
        <v>3064</v>
      </c>
      <c r="H56" s="56">
        <v>2993</v>
      </c>
      <c r="I56" s="56">
        <v>2971</v>
      </c>
      <c r="J56" s="56">
        <v>2880</v>
      </c>
      <c r="K56" s="56">
        <v>2985</v>
      </c>
      <c r="L56" s="56">
        <v>2992</v>
      </c>
      <c r="M56" s="56">
        <v>2911</v>
      </c>
      <c r="N56" s="56">
        <v>2940</v>
      </c>
      <c r="O56" s="56">
        <v>3008</v>
      </c>
      <c r="Q56" s="260" t="s">
        <v>6331</v>
      </c>
    </row>
    <row r="57" spans="1:17">
      <c r="A57" s="260" t="s">
        <v>5429</v>
      </c>
      <c r="B57" s="260" t="s">
        <v>1309</v>
      </c>
      <c r="C57" s="55" t="s">
        <v>8141</v>
      </c>
      <c r="D57" s="264">
        <v>3035</v>
      </c>
      <c r="E57" s="264">
        <v>3048</v>
      </c>
      <c r="F57" s="264">
        <v>3090</v>
      </c>
      <c r="G57" s="56">
        <v>3133</v>
      </c>
      <c r="H57" s="56">
        <v>3111</v>
      </c>
      <c r="I57" s="56">
        <v>3048</v>
      </c>
      <c r="J57" s="56">
        <v>2945</v>
      </c>
      <c r="K57" s="56">
        <v>3007</v>
      </c>
      <c r="L57" s="56">
        <v>2966</v>
      </c>
      <c r="M57" s="56">
        <v>2930</v>
      </c>
      <c r="N57" s="56">
        <v>2931</v>
      </c>
      <c r="O57" s="56">
        <v>2980</v>
      </c>
      <c r="Q57" s="260" t="s">
        <v>6331</v>
      </c>
    </row>
    <row r="58" spans="1:17">
      <c r="A58" s="260" t="s">
        <v>5431</v>
      </c>
      <c r="B58" s="260" t="s">
        <v>1310</v>
      </c>
      <c r="C58" s="55" t="s">
        <v>8142</v>
      </c>
      <c r="D58" s="264">
        <v>2851</v>
      </c>
      <c r="E58" s="264">
        <v>2828</v>
      </c>
      <c r="F58" s="264">
        <v>2847</v>
      </c>
      <c r="G58" s="56">
        <v>2878</v>
      </c>
      <c r="H58" s="56">
        <v>2819</v>
      </c>
      <c r="I58" s="56">
        <v>2774</v>
      </c>
      <c r="J58" s="56">
        <v>2712</v>
      </c>
      <c r="K58" s="56">
        <v>2750</v>
      </c>
      <c r="L58" s="56">
        <v>2763</v>
      </c>
      <c r="M58" s="56">
        <v>2746</v>
      </c>
      <c r="N58" s="56">
        <v>2797</v>
      </c>
      <c r="O58" s="56">
        <v>2852</v>
      </c>
      <c r="Q58" s="260" t="s">
        <v>6331</v>
      </c>
    </row>
    <row r="59" spans="1:17">
      <c r="A59" s="271">
        <v>15</v>
      </c>
      <c r="B59" s="260" t="s">
        <v>2664</v>
      </c>
      <c r="C59" s="55" t="s">
        <v>8143</v>
      </c>
      <c r="D59" s="264">
        <v>2666</v>
      </c>
      <c r="E59" s="264">
        <v>2694</v>
      </c>
      <c r="F59" s="264">
        <v>2716</v>
      </c>
      <c r="G59" s="56">
        <v>2747</v>
      </c>
      <c r="H59" s="56">
        <v>2673</v>
      </c>
      <c r="I59" s="56">
        <v>2647</v>
      </c>
      <c r="J59" s="56">
        <v>2602</v>
      </c>
      <c r="K59" s="56">
        <v>2651</v>
      </c>
      <c r="L59" s="56">
        <v>2709</v>
      </c>
      <c r="M59" s="56">
        <v>2758</v>
      </c>
      <c r="N59" s="56">
        <v>2797</v>
      </c>
      <c r="O59" s="56">
        <v>2904</v>
      </c>
      <c r="Q59" s="260" t="s">
        <v>6331</v>
      </c>
    </row>
    <row r="60" spans="1:17">
      <c r="A60" s="271">
        <v>16</v>
      </c>
      <c r="B60" s="260" t="s">
        <v>2665</v>
      </c>
      <c r="C60" s="55" t="s">
        <v>8144</v>
      </c>
      <c r="D60" s="264">
        <v>2813</v>
      </c>
      <c r="E60" s="264">
        <v>2803</v>
      </c>
      <c r="F60" s="264">
        <v>2786</v>
      </c>
      <c r="G60" s="56">
        <v>2806</v>
      </c>
      <c r="H60" s="56">
        <v>2772</v>
      </c>
      <c r="I60" s="56">
        <v>2731</v>
      </c>
      <c r="J60" s="56">
        <v>2623</v>
      </c>
      <c r="K60" s="56">
        <v>2657</v>
      </c>
      <c r="L60" s="56">
        <v>2653</v>
      </c>
      <c r="M60" s="56">
        <v>2566</v>
      </c>
      <c r="N60" s="56">
        <v>2572</v>
      </c>
      <c r="O60" s="56">
        <v>2602</v>
      </c>
      <c r="Q60" s="260" t="s">
        <v>6331</v>
      </c>
    </row>
    <row r="61" spans="1:17">
      <c r="A61" s="271">
        <v>17</v>
      </c>
      <c r="B61" s="260" t="s">
        <v>2666</v>
      </c>
      <c r="C61" s="55" t="s">
        <v>8145</v>
      </c>
      <c r="D61" s="264">
        <v>2872</v>
      </c>
      <c r="E61" s="264">
        <v>2869</v>
      </c>
      <c r="F61" s="264">
        <v>2905</v>
      </c>
      <c r="G61" s="56">
        <v>2879</v>
      </c>
      <c r="H61" s="56">
        <v>2874</v>
      </c>
      <c r="I61" s="56">
        <v>2824</v>
      </c>
      <c r="J61" s="56">
        <v>2721</v>
      </c>
      <c r="K61" s="56">
        <v>2769</v>
      </c>
      <c r="L61" s="56">
        <v>2793</v>
      </c>
      <c r="M61" s="56">
        <v>2790</v>
      </c>
      <c r="N61" s="56">
        <v>2752</v>
      </c>
      <c r="O61" s="56">
        <v>2799</v>
      </c>
      <c r="Q61" s="260" t="s">
        <v>6331</v>
      </c>
    </row>
    <row r="62" spans="1:17">
      <c r="D62" s="264"/>
      <c r="E62" s="264"/>
      <c r="F62" s="264"/>
      <c r="G62" s="264"/>
      <c r="H62" s="264"/>
      <c r="I62" s="264"/>
      <c r="J62" s="264"/>
      <c r="K62" s="58"/>
      <c r="L62" s="58"/>
      <c r="M62" s="58"/>
      <c r="N62" s="58"/>
      <c r="O62" s="58"/>
    </row>
    <row r="63" spans="1:17">
      <c r="A63" s="260" t="s">
        <v>2667</v>
      </c>
      <c r="D63" s="262">
        <f t="shared" ref="D63:I63" si="53">SUM(D46:D54)+SUM(D56:D61)</f>
        <v>42536</v>
      </c>
      <c r="E63" s="262">
        <f t="shared" si="53"/>
        <v>42471</v>
      </c>
      <c r="F63" s="262">
        <f t="shared" si="53"/>
        <v>42571</v>
      </c>
      <c r="G63" s="262">
        <f t="shared" si="53"/>
        <v>42771</v>
      </c>
      <c r="H63" s="262">
        <f t="shared" si="53"/>
        <v>42299</v>
      </c>
      <c r="I63" s="262">
        <f t="shared" si="53"/>
        <v>41479</v>
      </c>
      <c r="J63" s="262">
        <f t="shared" ref="J63:O63" si="54">SUM(J46:J54)+SUM(J56:J61)</f>
        <v>40452</v>
      </c>
      <c r="K63" s="262">
        <f t="shared" si="54"/>
        <v>41667</v>
      </c>
      <c r="L63" s="262">
        <f t="shared" si="54"/>
        <v>41900</v>
      </c>
      <c r="M63" s="262">
        <f t="shared" si="54"/>
        <v>41471</v>
      </c>
      <c r="N63" s="262">
        <f t="shared" si="54"/>
        <v>41365</v>
      </c>
      <c r="O63" s="262">
        <f t="shared" si="54"/>
        <v>42327</v>
      </c>
    </row>
    <row r="64" spans="1:17">
      <c r="A64" s="260" t="s">
        <v>2217</v>
      </c>
      <c r="D64" s="262">
        <f t="shared" ref="D64:I64" si="55">D45+D55</f>
        <v>7126</v>
      </c>
      <c r="E64" s="262">
        <f t="shared" si="55"/>
        <v>7156</v>
      </c>
      <c r="F64" s="262">
        <f t="shared" si="55"/>
        <v>7217</v>
      </c>
      <c r="G64" s="262">
        <f t="shared" si="55"/>
        <v>7216</v>
      </c>
      <c r="H64" s="262">
        <f t="shared" si="55"/>
        <v>7157</v>
      </c>
      <c r="I64" s="262">
        <f t="shared" si="55"/>
        <v>7041</v>
      </c>
      <c r="J64" s="262">
        <f t="shared" ref="J64:O64" si="56">J45+J55</f>
        <v>6887</v>
      </c>
      <c r="K64" s="262">
        <f t="shared" si="56"/>
        <v>7094</v>
      </c>
      <c r="L64" s="262">
        <f t="shared" si="56"/>
        <v>7094</v>
      </c>
      <c r="M64" s="262">
        <f t="shared" si="56"/>
        <v>7040</v>
      </c>
      <c r="N64" s="262">
        <f t="shared" si="56"/>
        <v>7056</v>
      </c>
      <c r="O64" s="262">
        <f t="shared" si="56"/>
        <v>7215</v>
      </c>
    </row>
    <row r="65" spans="1:17">
      <c r="D65" s="264"/>
      <c r="E65" s="264"/>
      <c r="F65" s="264"/>
      <c r="G65" s="264"/>
      <c r="H65" s="264"/>
      <c r="I65" s="264"/>
      <c r="J65" s="264"/>
      <c r="K65" s="264"/>
      <c r="L65" s="264"/>
      <c r="M65" s="264"/>
      <c r="N65" s="264"/>
      <c r="O65" s="264"/>
    </row>
    <row r="66" spans="1:17" ht="15" customHeight="1">
      <c r="A66" s="114" t="s">
        <v>2668</v>
      </c>
    </row>
    <row r="67" spans="1:17">
      <c r="A67" s="260"/>
      <c r="B67" s="260"/>
      <c r="D67" s="272"/>
      <c r="E67" s="272"/>
      <c r="F67" s="272"/>
      <c r="G67" s="272"/>
      <c r="H67" s="272"/>
      <c r="I67" s="272"/>
      <c r="J67" s="272"/>
      <c r="K67" s="272"/>
      <c r="L67" s="272"/>
      <c r="M67" s="272"/>
      <c r="N67" s="272"/>
      <c r="O67" s="272"/>
    </row>
    <row r="68" spans="1:17">
      <c r="A68" s="260"/>
      <c r="B68" s="260"/>
      <c r="D68" s="272"/>
      <c r="E68" s="272"/>
      <c r="F68" s="272"/>
      <c r="G68" s="272"/>
      <c r="H68" s="272"/>
      <c r="I68" s="272"/>
      <c r="J68" s="272"/>
      <c r="K68" s="272"/>
      <c r="L68" s="272"/>
      <c r="M68" s="272"/>
      <c r="N68" s="272"/>
      <c r="O68" s="272"/>
    </row>
    <row r="69" spans="1:17">
      <c r="E69" s="51" t="s">
        <v>1526</v>
      </c>
      <c r="F69" s="51"/>
      <c r="G69" s="51"/>
      <c r="H69" s="51"/>
      <c r="I69" s="51"/>
      <c r="J69" s="51"/>
      <c r="K69" s="51"/>
      <c r="L69" s="51"/>
      <c r="M69" s="51"/>
      <c r="N69" s="51"/>
      <c r="O69" s="51"/>
      <c r="P69" s="11"/>
      <c r="Q69" s="11" t="s">
        <v>9479</v>
      </c>
    </row>
    <row r="70" spans="1:17">
      <c r="D70" s="270">
        <v>2010</v>
      </c>
      <c r="E70" s="270">
        <v>2011</v>
      </c>
      <c r="F70" s="270">
        <v>2012</v>
      </c>
      <c r="G70" s="270">
        <v>2013</v>
      </c>
      <c r="H70" s="270">
        <v>2014</v>
      </c>
      <c r="I70" s="270">
        <v>2015</v>
      </c>
      <c r="J70" s="270">
        <v>2016</v>
      </c>
      <c r="K70" s="270">
        <v>2017</v>
      </c>
      <c r="L70" s="270">
        <v>2018</v>
      </c>
      <c r="M70" s="270">
        <v>2019</v>
      </c>
      <c r="N70" s="270">
        <v>2020</v>
      </c>
      <c r="O70" s="930" t="s">
        <v>14823</v>
      </c>
      <c r="P70" s="121"/>
      <c r="Q70" s="13" t="s">
        <v>1527</v>
      </c>
    </row>
    <row r="71" spans="1:17">
      <c r="A71" s="260" t="s">
        <v>2669</v>
      </c>
      <c r="D71" s="262">
        <f t="shared" ref="D71:I71" si="57">SUM(D72:D76)+SUM(D77:D85)+SUM(D86:D88)</f>
        <v>94012</v>
      </c>
      <c r="E71" s="262">
        <f t="shared" si="57"/>
        <v>94340</v>
      </c>
      <c r="F71" s="262">
        <f t="shared" si="57"/>
        <v>94713</v>
      </c>
      <c r="G71" s="262">
        <f t="shared" si="57"/>
        <v>95735</v>
      </c>
      <c r="H71" s="262">
        <f t="shared" si="57"/>
        <v>94069</v>
      </c>
      <c r="I71" s="262">
        <f t="shared" si="57"/>
        <v>92436</v>
      </c>
      <c r="J71" s="262">
        <f t="shared" ref="J71:O71" si="58">SUM(J72:J76)+SUM(J77:J85)+SUM(J86:J88)</f>
        <v>90571</v>
      </c>
      <c r="K71" s="262">
        <f t="shared" si="58"/>
        <v>93023</v>
      </c>
      <c r="L71" s="262">
        <f t="shared" si="58"/>
        <v>94409</v>
      </c>
      <c r="M71" s="262">
        <f t="shared" si="58"/>
        <v>93870</v>
      </c>
      <c r="N71" s="262">
        <f t="shared" si="58"/>
        <v>94623</v>
      </c>
      <c r="O71" s="262">
        <f t="shared" si="58"/>
        <v>96134</v>
      </c>
    </row>
    <row r="72" spans="1:17">
      <c r="A72" s="260" t="s">
        <v>5387</v>
      </c>
      <c r="B72" s="260" t="s">
        <v>6402</v>
      </c>
      <c r="C72" s="55" t="s">
        <v>8146</v>
      </c>
      <c r="D72" s="264">
        <v>5716</v>
      </c>
      <c r="E72" s="264">
        <v>5730</v>
      </c>
      <c r="F72" s="264">
        <v>5810</v>
      </c>
      <c r="G72" s="56">
        <v>5896</v>
      </c>
      <c r="H72" s="56">
        <v>5617</v>
      </c>
      <c r="I72" s="56">
        <v>5552</v>
      </c>
      <c r="J72" s="56">
        <v>5583</v>
      </c>
      <c r="K72" s="56">
        <v>5655</v>
      </c>
      <c r="L72" s="56">
        <v>5768</v>
      </c>
      <c r="M72" s="56">
        <v>5711</v>
      </c>
      <c r="N72" s="56">
        <v>5732</v>
      </c>
      <c r="O72" s="56">
        <v>5832</v>
      </c>
      <c r="Q72" s="260" t="s">
        <v>2217</v>
      </c>
    </row>
    <row r="73" spans="1:17">
      <c r="A73" s="260" t="s">
        <v>5389</v>
      </c>
      <c r="B73" s="260" t="s">
        <v>6093</v>
      </c>
      <c r="C73" s="55" t="s">
        <v>8147</v>
      </c>
      <c r="D73" s="264">
        <v>5190</v>
      </c>
      <c r="E73" s="264">
        <v>5177</v>
      </c>
      <c r="F73" s="264">
        <v>5152</v>
      </c>
      <c r="G73" s="56">
        <v>5154</v>
      </c>
      <c r="H73" s="56">
        <v>5192</v>
      </c>
      <c r="I73" s="56">
        <v>5074</v>
      </c>
      <c r="J73" s="56">
        <v>5084</v>
      </c>
      <c r="K73" s="56">
        <v>5155</v>
      </c>
      <c r="L73" s="56">
        <v>5209</v>
      </c>
      <c r="M73" s="56">
        <v>5116</v>
      </c>
      <c r="N73" s="56">
        <v>5174</v>
      </c>
      <c r="O73" s="56">
        <v>5256</v>
      </c>
      <c r="Q73" s="260" t="s">
        <v>2217</v>
      </c>
    </row>
    <row r="74" spans="1:17">
      <c r="A74" s="260" t="s">
        <v>5391</v>
      </c>
      <c r="B74" s="260" t="s">
        <v>2670</v>
      </c>
      <c r="C74" s="55" t="s">
        <v>8148</v>
      </c>
      <c r="D74" s="264">
        <v>5681</v>
      </c>
      <c r="E74" s="264">
        <v>5724</v>
      </c>
      <c r="F74" s="264">
        <v>5753</v>
      </c>
      <c r="G74" s="56">
        <v>5832</v>
      </c>
      <c r="H74" s="56">
        <v>5625</v>
      </c>
      <c r="I74" s="56">
        <v>5447</v>
      </c>
      <c r="J74" s="56">
        <v>5385</v>
      </c>
      <c r="K74" s="56">
        <v>5506</v>
      </c>
      <c r="L74" s="56">
        <v>5548</v>
      </c>
      <c r="M74" s="56">
        <v>5565</v>
      </c>
      <c r="N74" s="56">
        <v>5575</v>
      </c>
      <c r="O74" s="56">
        <v>5609</v>
      </c>
      <c r="Q74" s="260" t="s">
        <v>2217</v>
      </c>
    </row>
    <row r="75" spans="1:17">
      <c r="A75" s="260" t="s">
        <v>5393</v>
      </c>
      <c r="B75" s="260" t="s">
        <v>2671</v>
      </c>
      <c r="C75" s="55" t="s">
        <v>8149</v>
      </c>
      <c r="D75" s="264">
        <v>5596</v>
      </c>
      <c r="E75" s="264">
        <v>5491</v>
      </c>
      <c r="F75" s="264">
        <v>5460</v>
      </c>
      <c r="G75" s="56">
        <v>5450</v>
      </c>
      <c r="H75" s="56">
        <v>5391</v>
      </c>
      <c r="I75" s="56">
        <v>5306</v>
      </c>
      <c r="J75" s="56">
        <v>5160</v>
      </c>
      <c r="K75" s="56">
        <v>5246</v>
      </c>
      <c r="L75" s="56">
        <v>5281</v>
      </c>
      <c r="M75" s="56">
        <v>5206</v>
      </c>
      <c r="N75" s="56">
        <v>5214</v>
      </c>
      <c r="O75" s="56">
        <v>5278</v>
      </c>
      <c r="Q75" s="260" t="s">
        <v>2217</v>
      </c>
    </row>
    <row r="76" spans="1:17">
      <c r="A76" s="260" t="s">
        <v>5394</v>
      </c>
      <c r="B76" s="260" t="s">
        <v>2672</v>
      </c>
      <c r="C76" s="55" t="s">
        <v>8150</v>
      </c>
      <c r="D76" s="264">
        <v>5056</v>
      </c>
      <c r="E76" s="264">
        <v>5114</v>
      </c>
      <c r="F76" s="264">
        <v>5062</v>
      </c>
      <c r="G76" s="56">
        <v>5162</v>
      </c>
      <c r="H76" s="56">
        <v>5113</v>
      </c>
      <c r="I76" s="56">
        <v>5040</v>
      </c>
      <c r="J76" s="56">
        <v>4910</v>
      </c>
      <c r="K76" s="56">
        <v>5069</v>
      </c>
      <c r="L76" s="56">
        <v>5083</v>
      </c>
      <c r="M76" s="56">
        <v>5026</v>
      </c>
      <c r="N76" s="56">
        <v>5058</v>
      </c>
      <c r="O76" s="56">
        <v>5149</v>
      </c>
      <c r="Q76" s="260" t="s">
        <v>6331</v>
      </c>
    </row>
    <row r="77" spans="1:17">
      <c r="A77" s="260" t="s">
        <v>5416</v>
      </c>
      <c r="B77" s="260" t="s">
        <v>2673</v>
      </c>
      <c r="C77" s="55" t="s">
        <v>8151</v>
      </c>
      <c r="D77" s="264">
        <v>5142</v>
      </c>
      <c r="E77" s="264">
        <v>5135</v>
      </c>
      <c r="F77" s="264">
        <v>5096</v>
      </c>
      <c r="G77" s="58">
        <v>5131</v>
      </c>
      <c r="H77" s="58">
        <v>5074</v>
      </c>
      <c r="I77" s="58">
        <v>4990</v>
      </c>
      <c r="J77" s="58">
        <v>4916</v>
      </c>
      <c r="K77" s="58">
        <v>5032</v>
      </c>
      <c r="L77" s="58">
        <v>5127</v>
      </c>
      <c r="M77" s="58">
        <v>5068</v>
      </c>
      <c r="N77" s="58">
        <v>5052</v>
      </c>
      <c r="O77" s="58">
        <v>5096</v>
      </c>
      <c r="Q77" s="260" t="s">
        <v>2674</v>
      </c>
    </row>
    <row r="78" spans="1:17">
      <c r="A78" s="260" t="s">
        <v>5418</v>
      </c>
      <c r="B78" s="260" t="s">
        <v>2675</v>
      </c>
      <c r="C78" s="55" t="s">
        <v>8152</v>
      </c>
      <c r="D78" s="264">
        <v>5166</v>
      </c>
      <c r="E78" s="264">
        <v>5178</v>
      </c>
      <c r="F78" s="264">
        <v>5281</v>
      </c>
      <c r="G78" s="56">
        <v>5512</v>
      </c>
      <c r="H78" s="56">
        <v>5517</v>
      </c>
      <c r="I78" s="56">
        <v>5441</v>
      </c>
      <c r="J78" s="56">
        <v>5312</v>
      </c>
      <c r="K78" s="56">
        <v>5564</v>
      </c>
      <c r="L78" s="56">
        <v>5788</v>
      </c>
      <c r="M78" s="56">
        <v>5755</v>
      </c>
      <c r="N78" s="56">
        <v>5813</v>
      </c>
      <c r="O78" s="56">
        <v>5982</v>
      </c>
      <c r="Q78" s="260" t="s">
        <v>2217</v>
      </c>
    </row>
    <row r="79" spans="1:17">
      <c r="A79" s="260" t="s">
        <v>5420</v>
      </c>
      <c r="B79" s="260" t="s">
        <v>2676</v>
      </c>
      <c r="C79" s="55" t="s">
        <v>8153</v>
      </c>
      <c r="D79" s="264">
        <v>5908</v>
      </c>
      <c r="E79" s="264">
        <v>5982</v>
      </c>
      <c r="F79" s="264">
        <v>6118</v>
      </c>
      <c r="G79" s="56">
        <v>6120</v>
      </c>
      <c r="H79" s="56">
        <v>6024</v>
      </c>
      <c r="I79" s="56">
        <v>5971</v>
      </c>
      <c r="J79" s="56">
        <v>5760</v>
      </c>
      <c r="K79" s="56">
        <v>5909</v>
      </c>
      <c r="L79" s="56">
        <v>5992</v>
      </c>
      <c r="M79" s="56">
        <v>5905</v>
      </c>
      <c r="N79" s="56">
        <v>5912</v>
      </c>
      <c r="O79" s="56">
        <v>5963</v>
      </c>
      <c r="Q79" s="260" t="s">
        <v>6331</v>
      </c>
    </row>
    <row r="80" spans="1:17">
      <c r="A80" s="260" t="s">
        <v>5422</v>
      </c>
      <c r="B80" s="260" t="s">
        <v>2677</v>
      </c>
      <c r="C80" s="55" t="s">
        <v>8154</v>
      </c>
      <c r="D80" s="264">
        <v>6131</v>
      </c>
      <c r="E80" s="264">
        <v>6135</v>
      </c>
      <c r="F80" s="264">
        <v>6124</v>
      </c>
      <c r="G80" s="56">
        <v>6204</v>
      </c>
      <c r="H80" s="56">
        <v>6050</v>
      </c>
      <c r="I80" s="56">
        <v>5973</v>
      </c>
      <c r="J80" s="56">
        <v>5834</v>
      </c>
      <c r="K80" s="56">
        <v>6035</v>
      </c>
      <c r="L80" s="56">
        <v>6089</v>
      </c>
      <c r="M80" s="56">
        <v>6032</v>
      </c>
      <c r="N80" s="56">
        <v>6063</v>
      </c>
      <c r="O80" s="56">
        <v>6148</v>
      </c>
      <c r="Q80" s="260" t="s">
        <v>2217</v>
      </c>
    </row>
    <row r="81" spans="1:17">
      <c r="A81" s="260" t="s">
        <v>5424</v>
      </c>
      <c r="B81" s="260" t="s">
        <v>6410</v>
      </c>
      <c r="C81" s="55" t="s">
        <v>8155</v>
      </c>
      <c r="D81" s="264">
        <v>5559</v>
      </c>
      <c r="E81" s="264">
        <v>5611</v>
      </c>
      <c r="F81" s="264">
        <v>5683</v>
      </c>
      <c r="G81" s="56">
        <v>5775</v>
      </c>
      <c r="H81" s="56">
        <v>5751</v>
      </c>
      <c r="I81" s="56">
        <v>5624</v>
      </c>
      <c r="J81" s="56">
        <v>5480</v>
      </c>
      <c r="K81" s="56">
        <v>5552</v>
      </c>
      <c r="L81" s="56">
        <v>5654</v>
      </c>
      <c r="M81" s="56">
        <v>5617</v>
      </c>
      <c r="N81" s="56">
        <v>5638</v>
      </c>
      <c r="O81" s="56">
        <v>5735</v>
      </c>
      <c r="Q81" s="260" t="s">
        <v>6331</v>
      </c>
    </row>
    <row r="82" spans="1:17">
      <c r="A82" s="260" t="s">
        <v>5426</v>
      </c>
      <c r="B82" s="260" t="s">
        <v>6065</v>
      </c>
      <c r="C82" s="55" t="s">
        <v>8156</v>
      </c>
      <c r="D82" s="264">
        <v>4906</v>
      </c>
      <c r="E82" s="264">
        <v>5021</v>
      </c>
      <c r="F82" s="264">
        <v>5093</v>
      </c>
      <c r="G82" s="56">
        <v>5102</v>
      </c>
      <c r="H82" s="56">
        <v>4943</v>
      </c>
      <c r="I82" s="56">
        <v>4878</v>
      </c>
      <c r="J82" s="56">
        <v>4768</v>
      </c>
      <c r="K82" s="56">
        <v>4978</v>
      </c>
      <c r="L82" s="56">
        <v>5028</v>
      </c>
      <c r="M82" s="56">
        <v>4997</v>
      </c>
      <c r="N82" s="56">
        <v>5002</v>
      </c>
      <c r="O82" s="56">
        <v>5070</v>
      </c>
      <c r="Q82" s="260" t="s">
        <v>2217</v>
      </c>
    </row>
    <row r="83" spans="1:17">
      <c r="A83" s="260" t="s">
        <v>5428</v>
      </c>
      <c r="B83" s="260" t="s">
        <v>2678</v>
      </c>
      <c r="C83" s="55" t="s">
        <v>8157</v>
      </c>
      <c r="D83" s="264">
        <v>5932</v>
      </c>
      <c r="E83" s="264">
        <v>5920</v>
      </c>
      <c r="F83" s="264">
        <v>5949</v>
      </c>
      <c r="G83" s="56">
        <v>5999</v>
      </c>
      <c r="H83" s="56">
        <v>5863</v>
      </c>
      <c r="I83" s="56">
        <v>5714</v>
      </c>
      <c r="J83" s="56">
        <v>5449</v>
      </c>
      <c r="K83" s="56">
        <v>5583</v>
      </c>
      <c r="L83" s="56">
        <v>5622</v>
      </c>
      <c r="M83" s="56">
        <v>5531</v>
      </c>
      <c r="N83" s="56">
        <v>5574</v>
      </c>
      <c r="O83" s="56">
        <v>5680</v>
      </c>
      <c r="Q83" s="260" t="s">
        <v>6331</v>
      </c>
    </row>
    <row r="84" spans="1:17">
      <c r="A84" s="260" t="s">
        <v>5429</v>
      </c>
      <c r="B84" s="260" t="s">
        <v>2679</v>
      </c>
      <c r="C84" s="55" t="s">
        <v>8158</v>
      </c>
      <c r="D84" s="264">
        <v>5692</v>
      </c>
      <c r="E84" s="264">
        <v>5659</v>
      </c>
      <c r="F84" s="264">
        <v>5613</v>
      </c>
      <c r="G84" s="56">
        <v>5669</v>
      </c>
      <c r="H84" s="56">
        <v>5602</v>
      </c>
      <c r="I84" s="56">
        <v>5515</v>
      </c>
      <c r="J84" s="56">
        <v>5427</v>
      </c>
      <c r="K84" s="56">
        <v>5641</v>
      </c>
      <c r="L84" s="56">
        <v>5752</v>
      </c>
      <c r="M84" s="56">
        <v>5839</v>
      </c>
      <c r="N84" s="56">
        <v>6098</v>
      </c>
      <c r="O84" s="56">
        <v>6291</v>
      </c>
      <c r="Q84" s="260" t="s">
        <v>2217</v>
      </c>
    </row>
    <row r="85" spans="1:17">
      <c r="A85" s="260" t="s">
        <v>5431</v>
      </c>
      <c r="B85" s="260" t="s">
        <v>2680</v>
      </c>
      <c r="C85" s="55" t="s">
        <v>8159</v>
      </c>
      <c r="D85" s="264">
        <v>5424</v>
      </c>
      <c r="E85" s="264">
        <v>5446</v>
      </c>
      <c r="F85" s="264">
        <v>5442</v>
      </c>
      <c r="G85" s="56">
        <v>5444</v>
      </c>
      <c r="H85" s="56">
        <v>5364</v>
      </c>
      <c r="I85" s="56">
        <v>5260</v>
      </c>
      <c r="J85" s="56">
        <v>5186</v>
      </c>
      <c r="K85" s="56">
        <v>5378</v>
      </c>
      <c r="L85" s="56">
        <v>5388</v>
      </c>
      <c r="M85" s="56">
        <v>5359</v>
      </c>
      <c r="N85" s="56">
        <v>5342</v>
      </c>
      <c r="O85" s="56">
        <v>5391</v>
      </c>
      <c r="Q85" s="260" t="s">
        <v>6331</v>
      </c>
    </row>
    <row r="86" spans="1:17">
      <c r="A86" s="260" t="s">
        <v>5433</v>
      </c>
      <c r="B86" s="260" t="s">
        <v>2681</v>
      </c>
      <c r="C86" s="55" t="s">
        <v>8160</v>
      </c>
      <c r="D86" s="264">
        <v>5859</v>
      </c>
      <c r="E86" s="264">
        <v>5889</v>
      </c>
      <c r="F86" s="264">
        <v>5895</v>
      </c>
      <c r="G86" s="56">
        <v>5968</v>
      </c>
      <c r="H86" s="56">
        <v>5830</v>
      </c>
      <c r="I86" s="56">
        <v>5799</v>
      </c>
      <c r="J86" s="56">
        <v>5748</v>
      </c>
      <c r="K86" s="56">
        <v>5886</v>
      </c>
      <c r="L86" s="56">
        <v>6191</v>
      </c>
      <c r="M86" s="56">
        <v>6428</v>
      </c>
      <c r="N86" s="56">
        <v>6821</v>
      </c>
      <c r="O86" s="56">
        <v>7002</v>
      </c>
      <c r="Q86" s="260" t="s">
        <v>2217</v>
      </c>
    </row>
    <row r="87" spans="1:17">
      <c r="A87" s="271">
        <v>16</v>
      </c>
      <c r="B87" s="260" t="s">
        <v>2682</v>
      </c>
      <c r="C87" s="55" t="s">
        <v>8161</v>
      </c>
      <c r="D87" s="264">
        <v>5216</v>
      </c>
      <c r="E87" s="264">
        <v>5288</v>
      </c>
      <c r="F87" s="264">
        <v>5379</v>
      </c>
      <c r="G87" s="56">
        <v>5478</v>
      </c>
      <c r="H87" s="56">
        <v>5353</v>
      </c>
      <c r="I87" s="56">
        <v>5204</v>
      </c>
      <c r="J87" s="56">
        <v>5040</v>
      </c>
      <c r="K87" s="56">
        <v>5190</v>
      </c>
      <c r="L87" s="56">
        <v>5205</v>
      </c>
      <c r="M87" s="56">
        <v>5156</v>
      </c>
      <c r="N87" s="56">
        <v>5085</v>
      </c>
      <c r="O87" s="56">
        <v>5095</v>
      </c>
      <c r="Q87" s="260" t="s">
        <v>2217</v>
      </c>
    </row>
    <row r="88" spans="1:17">
      <c r="A88" s="273">
        <v>17</v>
      </c>
      <c r="B88" s="260" t="s">
        <v>2683</v>
      </c>
      <c r="C88" s="55" t="s">
        <v>8162</v>
      </c>
      <c r="D88" s="264">
        <v>5838</v>
      </c>
      <c r="E88" s="264">
        <v>5840</v>
      </c>
      <c r="F88" s="264">
        <v>5803</v>
      </c>
      <c r="G88" s="58">
        <v>5839</v>
      </c>
      <c r="H88" s="58">
        <v>5760</v>
      </c>
      <c r="I88" s="58">
        <v>5648</v>
      </c>
      <c r="J88" s="58">
        <v>5529</v>
      </c>
      <c r="K88" s="58">
        <v>5644</v>
      </c>
      <c r="L88" s="58">
        <v>5684</v>
      </c>
      <c r="M88" s="58">
        <v>5559</v>
      </c>
      <c r="N88" s="58">
        <v>5470</v>
      </c>
      <c r="O88" s="58">
        <v>5557</v>
      </c>
      <c r="Q88" s="260" t="s">
        <v>2217</v>
      </c>
    </row>
    <row r="89" spans="1:17">
      <c r="D89" s="264"/>
      <c r="E89" s="264"/>
      <c r="F89" s="264"/>
      <c r="G89" s="264"/>
      <c r="H89" s="264"/>
      <c r="I89" s="264"/>
      <c r="J89" s="264"/>
      <c r="K89" s="264"/>
      <c r="L89" s="264"/>
      <c r="M89" s="264"/>
      <c r="N89" s="264"/>
      <c r="O89" s="264"/>
    </row>
    <row r="90" spans="1:17">
      <c r="A90" s="260" t="s">
        <v>2667</v>
      </c>
      <c r="D90" s="262">
        <f t="shared" ref="D90:I90" si="59">D76+D79+D81+D83+D85</f>
        <v>27879</v>
      </c>
      <c r="E90" s="262">
        <f t="shared" si="59"/>
        <v>28073</v>
      </c>
      <c r="F90" s="262">
        <f t="shared" si="59"/>
        <v>28254</v>
      </c>
      <c r="G90" s="262">
        <f t="shared" si="59"/>
        <v>28500</v>
      </c>
      <c r="H90" s="262">
        <f t="shared" si="59"/>
        <v>28115</v>
      </c>
      <c r="I90" s="262">
        <f t="shared" si="59"/>
        <v>27609</v>
      </c>
      <c r="J90" s="262">
        <f t="shared" ref="J90:O90" si="60">J76+J79+J81+J83+J85</f>
        <v>26785</v>
      </c>
      <c r="K90" s="262">
        <f t="shared" si="60"/>
        <v>27491</v>
      </c>
      <c r="L90" s="262">
        <f t="shared" si="60"/>
        <v>27739</v>
      </c>
      <c r="M90" s="262">
        <f t="shared" si="60"/>
        <v>27438</v>
      </c>
      <c r="N90" s="262">
        <f t="shared" si="60"/>
        <v>27524</v>
      </c>
      <c r="O90" s="262">
        <f t="shared" si="60"/>
        <v>27918</v>
      </c>
    </row>
    <row r="91" spans="1:17">
      <c r="A91" s="260" t="s">
        <v>2684</v>
      </c>
      <c r="D91" s="262">
        <f t="shared" ref="D91:I91" si="61">SUM(D72:D75)+D78+D80+D82+D84+SUM(D86:D88)</f>
        <v>60991</v>
      </c>
      <c r="E91" s="262">
        <f t="shared" si="61"/>
        <v>61132</v>
      </c>
      <c r="F91" s="262">
        <f t="shared" si="61"/>
        <v>61363</v>
      </c>
      <c r="G91" s="262">
        <f t="shared" si="61"/>
        <v>62104</v>
      </c>
      <c r="H91" s="262">
        <f t="shared" si="61"/>
        <v>60880</v>
      </c>
      <c r="I91" s="262">
        <f t="shared" si="61"/>
        <v>59837</v>
      </c>
      <c r="J91" s="262">
        <f t="shared" ref="J91:O91" si="62">SUM(J72:J75)+J78+J80+J82+J84+SUM(J86:J88)</f>
        <v>58870</v>
      </c>
      <c r="K91" s="262">
        <f t="shared" si="62"/>
        <v>60500</v>
      </c>
      <c r="L91" s="262">
        <f t="shared" si="62"/>
        <v>61543</v>
      </c>
      <c r="M91" s="262">
        <f t="shared" si="62"/>
        <v>61364</v>
      </c>
      <c r="N91" s="262">
        <f t="shared" si="62"/>
        <v>62047</v>
      </c>
      <c r="O91" s="262">
        <f t="shared" si="62"/>
        <v>63120</v>
      </c>
    </row>
    <row r="92" spans="1:17">
      <c r="A92" s="260" t="s">
        <v>11866</v>
      </c>
      <c r="D92" s="262">
        <f t="shared" ref="D92:I92" si="63">D77</f>
        <v>5142</v>
      </c>
      <c r="E92" s="262">
        <f t="shared" si="63"/>
        <v>5135</v>
      </c>
      <c r="F92" s="262">
        <f t="shared" si="63"/>
        <v>5096</v>
      </c>
      <c r="G92" s="262">
        <f t="shared" si="63"/>
        <v>5131</v>
      </c>
      <c r="H92" s="262">
        <f t="shared" si="63"/>
        <v>5074</v>
      </c>
      <c r="I92" s="262">
        <f t="shared" si="63"/>
        <v>4990</v>
      </c>
      <c r="J92" s="262">
        <f t="shared" ref="J92:O92" si="64">J77</f>
        <v>4916</v>
      </c>
      <c r="K92" s="262">
        <f t="shared" si="64"/>
        <v>5032</v>
      </c>
      <c r="L92" s="262">
        <f t="shared" si="64"/>
        <v>5127</v>
      </c>
      <c r="M92" s="262">
        <f t="shared" si="64"/>
        <v>5068</v>
      </c>
      <c r="N92" s="262">
        <f t="shared" si="64"/>
        <v>5052</v>
      </c>
      <c r="O92" s="262">
        <f t="shared" si="64"/>
        <v>5096</v>
      </c>
    </row>
    <row r="93" spans="1:17">
      <c r="A93" s="260"/>
      <c r="D93" s="262"/>
      <c r="E93" s="262"/>
      <c r="F93" s="262"/>
      <c r="G93" s="262"/>
      <c r="H93" s="262"/>
      <c r="I93" s="262"/>
      <c r="J93" s="262"/>
      <c r="K93" s="262"/>
      <c r="L93" s="262"/>
      <c r="M93" s="262"/>
      <c r="N93" s="262"/>
      <c r="O93" s="262"/>
    </row>
    <row r="94" spans="1:17">
      <c r="A94" s="260" t="s">
        <v>5696</v>
      </c>
      <c r="D94" s="262"/>
      <c r="E94" s="262"/>
      <c r="F94" s="262"/>
      <c r="G94" s="262"/>
      <c r="H94" s="262"/>
      <c r="I94" s="262"/>
      <c r="J94" s="262"/>
      <c r="K94" s="262"/>
      <c r="L94" s="262"/>
      <c r="M94" s="262"/>
      <c r="N94" s="262"/>
      <c r="O94" s="262"/>
    </row>
    <row r="95" spans="1:17">
      <c r="A95" s="260"/>
      <c r="B95" s="260"/>
      <c r="D95" s="272"/>
      <c r="E95" s="272"/>
      <c r="F95" s="272"/>
      <c r="G95" s="272"/>
      <c r="H95" s="272"/>
      <c r="I95" s="272"/>
      <c r="J95" s="272"/>
      <c r="K95" s="272"/>
      <c r="L95" s="272"/>
      <c r="M95" s="272"/>
      <c r="N95" s="272"/>
      <c r="O95" s="272"/>
    </row>
    <row r="96" spans="1:17">
      <c r="A96" s="260"/>
      <c r="B96" s="260"/>
      <c r="D96" s="272"/>
      <c r="E96" s="272"/>
      <c r="F96" s="272"/>
      <c r="G96" s="272"/>
      <c r="H96" s="272"/>
      <c r="I96" s="272"/>
      <c r="J96" s="272"/>
      <c r="K96" s="272"/>
      <c r="L96" s="272"/>
      <c r="M96" s="272"/>
      <c r="N96" s="272"/>
      <c r="O96" s="272"/>
    </row>
    <row r="97" spans="1:17">
      <c r="E97" s="51" t="s">
        <v>1526</v>
      </c>
      <c r="F97" s="51"/>
      <c r="G97" s="51"/>
      <c r="H97" s="51"/>
      <c r="I97" s="51"/>
      <c r="J97" s="51"/>
      <c r="K97" s="51"/>
      <c r="L97" s="51"/>
      <c r="M97" s="51"/>
      <c r="N97" s="51"/>
      <c r="O97" s="51"/>
      <c r="P97" s="11"/>
      <c r="Q97" s="11" t="s">
        <v>9479</v>
      </c>
    </row>
    <row r="98" spans="1:17">
      <c r="D98" s="270">
        <v>2010</v>
      </c>
      <c r="E98" s="270">
        <v>2011</v>
      </c>
      <c r="F98" s="270">
        <v>2012</v>
      </c>
      <c r="G98" s="270">
        <v>2013</v>
      </c>
      <c r="H98" s="270">
        <v>2014</v>
      </c>
      <c r="I98" s="270">
        <v>2015</v>
      </c>
      <c r="J98" s="270">
        <v>2016</v>
      </c>
      <c r="K98" s="270">
        <v>2017</v>
      </c>
      <c r="L98" s="270">
        <v>2018</v>
      </c>
      <c r="M98" s="270">
        <v>2019</v>
      </c>
      <c r="N98" s="270">
        <v>2020</v>
      </c>
      <c r="O98" s="930" t="s">
        <v>14823</v>
      </c>
      <c r="P98" s="121"/>
      <c r="Q98" s="13" t="s">
        <v>1527</v>
      </c>
    </row>
    <row r="99" spans="1:17">
      <c r="A99" s="260" t="s">
        <v>5697</v>
      </c>
      <c r="D99" s="262">
        <f>D100+D101+SUM(D103:D108)+SUM(D110:D119)</f>
        <v>71178</v>
      </c>
      <c r="E99" s="262">
        <f t="shared" ref="E99:J99" si="65">E100+E101+SUM(E103:E108)+SUM(E110:E119)</f>
        <v>72604</v>
      </c>
      <c r="F99" s="262">
        <f t="shared" si="65"/>
        <v>72426</v>
      </c>
      <c r="G99" s="262">
        <f t="shared" si="65"/>
        <v>73069</v>
      </c>
      <c r="H99" s="262">
        <f t="shared" si="65"/>
        <v>73362</v>
      </c>
      <c r="I99" s="262">
        <f t="shared" si="65"/>
        <v>73393</v>
      </c>
      <c r="J99" s="262">
        <f t="shared" si="65"/>
        <v>71187</v>
      </c>
      <c r="K99" s="262">
        <f>K100+K101+SUM(K103:K108)+SUM(K110:K119)</f>
        <v>73539</v>
      </c>
      <c r="L99" s="262">
        <f>L100+L101+SUM(L103:L108)+SUM(L110:L119)</f>
        <v>74005</v>
      </c>
      <c r="M99" s="262">
        <f>M100+M101+SUM(M103:M108)+SUM(M110:M119)</f>
        <v>73330</v>
      </c>
      <c r="N99" s="262">
        <f>N100+N101+SUM(N103:N108)+SUM(N110:N119)</f>
        <v>74224</v>
      </c>
      <c r="O99" s="262">
        <f>O100+O101+SUM(O103:O108)+SUM(O110:O119)</f>
        <v>75851</v>
      </c>
    </row>
    <row r="100" spans="1:17">
      <c r="A100" s="260" t="s">
        <v>5387</v>
      </c>
      <c r="B100" s="260" t="s">
        <v>9357</v>
      </c>
      <c r="C100" s="55" t="s">
        <v>11252</v>
      </c>
      <c r="D100" s="264">
        <v>0</v>
      </c>
      <c r="E100" s="264">
        <v>0</v>
      </c>
      <c r="F100" s="264">
        <v>0</v>
      </c>
      <c r="G100" s="56">
        <v>0</v>
      </c>
      <c r="H100" s="56">
        <v>0</v>
      </c>
      <c r="I100" s="56">
        <v>0</v>
      </c>
      <c r="J100" s="56">
        <v>68</v>
      </c>
      <c r="K100" s="56">
        <v>72</v>
      </c>
      <c r="L100" s="56">
        <v>105</v>
      </c>
      <c r="M100" s="56">
        <v>197</v>
      </c>
      <c r="N100" s="56">
        <v>364</v>
      </c>
      <c r="O100" s="56">
        <v>446</v>
      </c>
      <c r="Q100" s="114" t="s">
        <v>4052</v>
      </c>
    </row>
    <row r="101" spans="1:17" ht="15.75" thickBot="1">
      <c r="A101" s="260"/>
      <c r="B101" s="260"/>
      <c r="C101" s="55" t="s">
        <v>11252</v>
      </c>
      <c r="D101" s="265">
        <v>0</v>
      </c>
      <c r="E101" s="265">
        <v>0</v>
      </c>
      <c r="F101" s="265">
        <v>0</v>
      </c>
      <c r="G101" s="274">
        <v>5171</v>
      </c>
      <c r="H101" s="274">
        <v>5356</v>
      </c>
      <c r="I101" s="274">
        <v>5454</v>
      </c>
      <c r="J101" s="56">
        <v>5440</v>
      </c>
      <c r="K101" s="56">
        <v>5707</v>
      </c>
      <c r="L101" s="56">
        <v>5784</v>
      </c>
      <c r="M101" s="56">
        <v>5633</v>
      </c>
      <c r="N101" s="56">
        <v>5713</v>
      </c>
      <c r="O101" s="56">
        <v>5797</v>
      </c>
      <c r="Q101" s="260" t="s">
        <v>2674</v>
      </c>
    </row>
    <row r="102" spans="1:17" ht="15.75" thickBot="1">
      <c r="A102" s="260"/>
      <c r="B102" s="260"/>
      <c r="C102" s="55" t="s">
        <v>11252</v>
      </c>
      <c r="D102" s="266">
        <f>D100+D101</f>
        <v>0</v>
      </c>
      <c r="E102" s="266">
        <f t="shared" ref="E102:L102" si="66">E100+E101</f>
        <v>0</v>
      </c>
      <c r="F102" s="266">
        <f t="shared" si="66"/>
        <v>0</v>
      </c>
      <c r="G102" s="266">
        <f t="shared" si="66"/>
        <v>5171</v>
      </c>
      <c r="H102" s="266">
        <f t="shared" si="66"/>
        <v>5356</v>
      </c>
      <c r="I102" s="266">
        <f t="shared" si="66"/>
        <v>5454</v>
      </c>
      <c r="J102" s="266">
        <f t="shared" si="66"/>
        <v>5508</v>
      </c>
      <c r="K102" s="266">
        <f t="shared" si="66"/>
        <v>5779</v>
      </c>
      <c r="L102" s="266">
        <f t="shared" si="66"/>
        <v>5889</v>
      </c>
      <c r="M102" s="266">
        <f>M100+M101</f>
        <v>5830</v>
      </c>
      <c r="N102" s="266">
        <f>N100+N101</f>
        <v>6077</v>
      </c>
      <c r="O102" s="266">
        <f>O100+O101</f>
        <v>6243</v>
      </c>
      <c r="Q102" s="260"/>
    </row>
    <row r="103" spans="1:17">
      <c r="A103" s="260" t="s">
        <v>5389</v>
      </c>
      <c r="B103" s="260" t="s">
        <v>5698</v>
      </c>
      <c r="C103" s="55" t="s">
        <v>9355</v>
      </c>
      <c r="D103" s="264">
        <v>63617</v>
      </c>
      <c r="E103" s="264">
        <v>64797</v>
      </c>
      <c r="F103" s="264">
        <v>64675</v>
      </c>
      <c r="G103" s="56">
        <v>5005</v>
      </c>
      <c r="H103" s="56">
        <v>4925</v>
      </c>
      <c r="I103" s="56">
        <v>4864</v>
      </c>
      <c r="J103" s="56">
        <v>4487</v>
      </c>
      <c r="K103" s="56">
        <v>4638</v>
      </c>
      <c r="L103" s="56">
        <v>4738</v>
      </c>
      <c r="M103" s="56">
        <v>4607</v>
      </c>
      <c r="N103" s="56">
        <v>4535</v>
      </c>
      <c r="O103" s="56">
        <v>4648</v>
      </c>
      <c r="Q103" s="260" t="s">
        <v>2674</v>
      </c>
    </row>
    <row r="104" spans="1:17">
      <c r="A104" s="260" t="s">
        <v>5391</v>
      </c>
      <c r="B104" s="260" t="s">
        <v>5699</v>
      </c>
      <c r="C104" s="55" t="s">
        <v>9356</v>
      </c>
      <c r="D104" s="264">
        <v>0</v>
      </c>
      <c r="E104" s="264">
        <v>0</v>
      </c>
      <c r="F104" s="264">
        <v>0</v>
      </c>
      <c r="G104" s="56">
        <v>5093</v>
      </c>
      <c r="H104" s="56">
        <v>5017</v>
      </c>
      <c r="I104" s="56">
        <v>4984</v>
      </c>
      <c r="J104" s="56">
        <v>5000</v>
      </c>
      <c r="K104" s="56">
        <v>5077</v>
      </c>
      <c r="L104" s="56">
        <v>5092</v>
      </c>
      <c r="M104" s="56">
        <v>5063</v>
      </c>
      <c r="N104" s="56">
        <v>4973</v>
      </c>
      <c r="O104" s="56">
        <v>5056</v>
      </c>
      <c r="Q104" s="260" t="s">
        <v>2674</v>
      </c>
    </row>
    <row r="105" spans="1:17">
      <c r="A105" s="260" t="s">
        <v>5393</v>
      </c>
      <c r="B105" s="260" t="s">
        <v>9358</v>
      </c>
      <c r="C105" s="55" t="s">
        <v>9366</v>
      </c>
      <c r="D105" s="264">
        <v>0</v>
      </c>
      <c r="E105" s="264">
        <v>0</v>
      </c>
      <c r="F105" s="264">
        <v>0</v>
      </c>
      <c r="G105" s="56">
        <v>1512</v>
      </c>
      <c r="H105" s="56">
        <v>1603</v>
      </c>
      <c r="I105" s="56">
        <v>1640</v>
      </c>
      <c r="J105" s="56">
        <v>1683</v>
      </c>
      <c r="K105" s="56">
        <v>1811</v>
      </c>
      <c r="L105" s="56">
        <v>1860</v>
      </c>
      <c r="M105" s="56">
        <v>1909</v>
      </c>
      <c r="N105" s="56">
        <v>1966</v>
      </c>
      <c r="O105" s="56">
        <v>2044</v>
      </c>
      <c r="Q105" s="260" t="s">
        <v>2674</v>
      </c>
    </row>
    <row r="106" spans="1:17">
      <c r="A106" s="260" t="s">
        <v>5394</v>
      </c>
      <c r="B106" s="260" t="s">
        <v>9359</v>
      </c>
      <c r="C106" s="55" t="s">
        <v>9367</v>
      </c>
      <c r="D106" s="264">
        <v>0</v>
      </c>
      <c r="E106" s="264">
        <v>0</v>
      </c>
      <c r="F106" s="264">
        <v>0</v>
      </c>
      <c r="G106" s="56">
        <v>4749</v>
      </c>
      <c r="H106" s="56">
        <v>4809</v>
      </c>
      <c r="I106" s="56">
        <v>4818</v>
      </c>
      <c r="J106" s="56">
        <v>4789</v>
      </c>
      <c r="K106" s="56">
        <v>4893</v>
      </c>
      <c r="L106" s="56">
        <v>4872</v>
      </c>
      <c r="M106" s="56">
        <v>4847</v>
      </c>
      <c r="N106" s="56">
        <v>5032</v>
      </c>
      <c r="O106" s="56">
        <v>5157</v>
      </c>
      <c r="Q106" s="260" t="s">
        <v>2674</v>
      </c>
    </row>
    <row r="107" spans="1:17">
      <c r="A107" s="260" t="s">
        <v>5416</v>
      </c>
      <c r="B107" s="114" t="s">
        <v>9360</v>
      </c>
      <c r="C107" s="55" t="s">
        <v>11253</v>
      </c>
      <c r="D107" s="264">
        <v>0</v>
      </c>
      <c r="E107" s="264">
        <v>0</v>
      </c>
      <c r="F107" s="264">
        <v>0</v>
      </c>
      <c r="G107" s="56">
        <v>5853</v>
      </c>
      <c r="H107" s="56">
        <v>5833</v>
      </c>
      <c r="I107" s="56">
        <v>5869</v>
      </c>
      <c r="J107" s="56">
        <v>5639</v>
      </c>
      <c r="K107" s="56">
        <v>5770</v>
      </c>
      <c r="L107" s="56">
        <v>5802</v>
      </c>
      <c r="M107" s="56">
        <v>5839</v>
      </c>
      <c r="N107" s="56">
        <v>6029</v>
      </c>
      <c r="O107" s="56">
        <v>6174</v>
      </c>
      <c r="Q107" s="114" t="s">
        <v>4052</v>
      </c>
    </row>
    <row r="108" spans="1:17" ht="15.75" thickBot="1">
      <c r="C108" s="55" t="s">
        <v>11253</v>
      </c>
      <c r="D108" s="275">
        <v>0</v>
      </c>
      <c r="E108" s="275">
        <v>0</v>
      </c>
      <c r="F108" s="275">
        <v>0</v>
      </c>
      <c r="G108" s="56">
        <v>116</v>
      </c>
      <c r="H108" s="56">
        <v>105</v>
      </c>
      <c r="I108" s="56">
        <v>110</v>
      </c>
      <c r="J108" s="56">
        <v>122</v>
      </c>
      <c r="K108" s="56">
        <v>134</v>
      </c>
      <c r="L108" s="56">
        <v>138</v>
      </c>
      <c r="M108" s="56">
        <v>124</v>
      </c>
      <c r="N108" s="56">
        <v>134</v>
      </c>
      <c r="O108" s="56">
        <v>166</v>
      </c>
      <c r="Q108" s="114" t="s">
        <v>2674</v>
      </c>
    </row>
    <row r="109" spans="1:17" ht="15.75" thickBot="1">
      <c r="C109" s="55" t="s">
        <v>11253</v>
      </c>
      <c r="D109" s="266">
        <f>D107+D108</f>
        <v>0</v>
      </c>
      <c r="E109" s="266">
        <f t="shared" ref="E109:L109" si="67">E107+E108</f>
        <v>0</v>
      </c>
      <c r="F109" s="266">
        <f t="shared" si="67"/>
        <v>0</v>
      </c>
      <c r="G109" s="266">
        <f t="shared" si="67"/>
        <v>5969</v>
      </c>
      <c r="H109" s="266">
        <f t="shared" si="67"/>
        <v>5938</v>
      </c>
      <c r="I109" s="266">
        <f t="shared" si="67"/>
        <v>5979</v>
      </c>
      <c r="J109" s="266">
        <f t="shared" si="67"/>
        <v>5761</v>
      </c>
      <c r="K109" s="266">
        <f t="shared" si="67"/>
        <v>5904</v>
      </c>
      <c r="L109" s="266">
        <f t="shared" si="67"/>
        <v>5940</v>
      </c>
      <c r="M109" s="266">
        <f>M107+M108</f>
        <v>5963</v>
      </c>
      <c r="N109" s="266">
        <f>N107+N108</f>
        <v>6163</v>
      </c>
      <c r="O109" s="266">
        <f>O107+O108</f>
        <v>6340</v>
      </c>
    </row>
    <row r="110" spans="1:17">
      <c r="A110" s="260" t="s">
        <v>5418</v>
      </c>
      <c r="B110" s="114" t="s">
        <v>9381</v>
      </c>
      <c r="C110" s="114" t="s">
        <v>9404</v>
      </c>
      <c r="D110" s="264">
        <v>0</v>
      </c>
      <c r="E110" s="264">
        <v>0</v>
      </c>
      <c r="F110" s="264">
        <v>0</v>
      </c>
      <c r="G110" s="56">
        <v>5472</v>
      </c>
      <c r="H110" s="56">
        <v>5496</v>
      </c>
      <c r="I110" s="56">
        <v>5372</v>
      </c>
      <c r="J110" s="56">
        <v>5099</v>
      </c>
      <c r="K110" s="56">
        <v>5309</v>
      </c>
      <c r="L110" s="56">
        <v>5427</v>
      </c>
      <c r="M110" s="56">
        <v>5293</v>
      </c>
      <c r="N110" s="56">
        <v>5310</v>
      </c>
      <c r="O110" s="56">
        <v>5400</v>
      </c>
      <c r="Q110" s="260" t="s">
        <v>2674</v>
      </c>
    </row>
    <row r="111" spans="1:17">
      <c r="A111" s="260" t="s">
        <v>5420</v>
      </c>
      <c r="B111" s="260" t="s">
        <v>6616</v>
      </c>
      <c r="C111" s="55" t="s">
        <v>9368</v>
      </c>
      <c r="D111" s="264">
        <v>0</v>
      </c>
      <c r="E111" s="264">
        <v>0</v>
      </c>
      <c r="F111" s="264">
        <v>0</v>
      </c>
      <c r="G111" s="56">
        <v>4125</v>
      </c>
      <c r="H111" s="56">
        <v>4138</v>
      </c>
      <c r="I111" s="56">
        <v>4144</v>
      </c>
      <c r="J111" s="56">
        <v>4073</v>
      </c>
      <c r="K111" s="56">
        <v>4136</v>
      </c>
      <c r="L111" s="56">
        <v>4128</v>
      </c>
      <c r="M111" s="56">
        <v>4167</v>
      </c>
      <c r="N111" s="56">
        <v>4427</v>
      </c>
      <c r="O111" s="56">
        <v>4616</v>
      </c>
      <c r="Q111" s="114" t="s">
        <v>2674</v>
      </c>
    </row>
    <row r="112" spans="1:17">
      <c r="A112" s="260" t="s">
        <v>5422</v>
      </c>
      <c r="B112" s="260" t="s">
        <v>6617</v>
      </c>
      <c r="C112" s="55" t="s">
        <v>9369</v>
      </c>
      <c r="D112" s="264">
        <v>7561</v>
      </c>
      <c r="E112" s="264">
        <v>7807</v>
      </c>
      <c r="F112" s="264">
        <v>7751</v>
      </c>
      <c r="G112" s="56">
        <v>1946</v>
      </c>
      <c r="H112" s="56">
        <v>1931</v>
      </c>
      <c r="I112" s="56">
        <v>1959</v>
      </c>
      <c r="J112" s="56">
        <v>1918</v>
      </c>
      <c r="K112" s="56">
        <v>1978</v>
      </c>
      <c r="L112" s="56">
        <v>1973</v>
      </c>
      <c r="M112" s="56">
        <v>1972</v>
      </c>
      <c r="N112" s="56">
        <v>1966</v>
      </c>
      <c r="O112" s="56">
        <v>2004</v>
      </c>
      <c r="Q112" s="260" t="s">
        <v>4052</v>
      </c>
    </row>
    <row r="113" spans="1:17">
      <c r="A113" s="260" t="s">
        <v>5424</v>
      </c>
      <c r="B113" s="260" t="s">
        <v>6618</v>
      </c>
      <c r="C113" s="55" t="s">
        <v>9370</v>
      </c>
      <c r="D113" s="264">
        <v>0</v>
      </c>
      <c r="E113" s="264">
        <v>0</v>
      </c>
      <c r="F113" s="264">
        <v>0</v>
      </c>
      <c r="G113" s="56">
        <v>5039</v>
      </c>
      <c r="H113" s="56">
        <v>4957</v>
      </c>
      <c r="I113" s="56">
        <v>4917</v>
      </c>
      <c r="J113" s="56">
        <v>4476</v>
      </c>
      <c r="K113" s="56">
        <v>4681</v>
      </c>
      <c r="L113" s="56">
        <v>4710</v>
      </c>
      <c r="M113" s="56">
        <v>4506</v>
      </c>
      <c r="N113" s="56">
        <v>4520</v>
      </c>
      <c r="O113" s="56">
        <v>4580</v>
      </c>
      <c r="Q113" s="260" t="s">
        <v>2674</v>
      </c>
    </row>
    <row r="114" spans="1:17">
      <c r="A114" s="260" t="s">
        <v>5426</v>
      </c>
      <c r="B114" s="260" t="s">
        <v>9361</v>
      </c>
      <c r="C114" s="55" t="s">
        <v>9371</v>
      </c>
      <c r="D114" s="264">
        <v>0</v>
      </c>
      <c r="E114" s="264">
        <v>0</v>
      </c>
      <c r="F114" s="264">
        <v>0</v>
      </c>
      <c r="G114" s="56">
        <v>4858</v>
      </c>
      <c r="H114" s="56">
        <v>4931</v>
      </c>
      <c r="I114" s="56">
        <v>4952</v>
      </c>
      <c r="J114" s="56">
        <v>4839</v>
      </c>
      <c r="K114" s="56">
        <v>5155</v>
      </c>
      <c r="L114" s="56">
        <v>5275</v>
      </c>
      <c r="M114" s="56">
        <v>5264</v>
      </c>
      <c r="N114" s="56">
        <v>5315</v>
      </c>
      <c r="O114" s="56">
        <v>5421</v>
      </c>
      <c r="Q114" s="260" t="s">
        <v>2674</v>
      </c>
    </row>
    <row r="115" spans="1:17">
      <c r="A115" s="260" t="s">
        <v>5428</v>
      </c>
      <c r="B115" s="260" t="s">
        <v>5936</v>
      </c>
      <c r="C115" s="55" t="s">
        <v>9372</v>
      </c>
      <c r="D115" s="264">
        <v>0</v>
      </c>
      <c r="E115" s="264">
        <v>0</v>
      </c>
      <c r="F115" s="264">
        <v>0</v>
      </c>
      <c r="G115" s="56">
        <v>5432</v>
      </c>
      <c r="H115" s="56">
        <v>5482</v>
      </c>
      <c r="I115" s="56">
        <v>5521</v>
      </c>
      <c r="J115" s="56">
        <v>5396</v>
      </c>
      <c r="K115" s="56">
        <v>5517</v>
      </c>
      <c r="L115" s="56">
        <v>5473</v>
      </c>
      <c r="M115" s="56">
        <v>5488</v>
      </c>
      <c r="N115" s="56">
        <v>5486</v>
      </c>
      <c r="O115" s="56">
        <v>5589</v>
      </c>
      <c r="Q115" s="114" t="s">
        <v>2674</v>
      </c>
    </row>
    <row r="116" spans="1:17">
      <c r="A116" s="260" t="s">
        <v>5429</v>
      </c>
      <c r="B116" s="260" t="s">
        <v>9363</v>
      </c>
      <c r="C116" s="55" t="s">
        <v>9373</v>
      </c>
      <c r="D116" s="264">
        <v>0</v>
      </c>
      <c r="E116" s="264">
        <v>0</v>
      </c>
      <c r="F116" s="264">
        <v>0</v>
      </c>
      <c r="G116" s="56">
        <v>5387</v>
      </c>
      <c r="H116" s="56">
        <v>5312</v>
      </c>
      <c r="I116" s="56">
        <v>5312</v>
      </c>
      <c r="J116" s="56">
        <v>5170</v>
      </c>
      <c r="K116" s="56">
        <v>5286</v>
      </c>
      <c r="L116" s="56">
        <v>5289</v>
      </c>
      <c r="M116" s="56">
        <v>5248</v>
      </c>
      <c r="N116" s="56">
        <v>5202</v>
      </c>
      <c r="O116" s="56">
        <v>5254</v>
      </c>
      <c r="Q116" s="260" t="s">
        <v>2674</v>
      </c>
    </row>
    <row r="117" spans="1:17">
      <c r="A117" s="260" t="s">
        <v>5431</v>
      </c>
      <c r="B117" s="260" t="s">
        <v>9362</v>
      </c>
      <c r="C117" s="55" t="s">
        <v>9374</v>
      </c>
      <c r="D117" s="264">
        <v>0</v>
      </c>
      <c r="E117" s="264">
        <v>0</v>
      </c>
      <c r="F117" s="264">
        <v>0</v>
      </c>
      <c r="G117" s="56">
        <v>5857</v>
      </c>
      <c r="H117" s="56">
        <v>5811</v>
      </c>
      <c r="I117" s="56">
        <v>5803</v>
      </c>
      <c r="J117" s="58">
        <v>5559</v>
      </c>
      <c r="K117" s="58">
        <v>5681</v>
      </c>
      <c r="L117" s="58">
        <v>5633</v>
      </c>
      <c r="M117" s="58">
        <v>5480</v>
      </c>
      <c r="N117" s="58">
        <v>5514</v>
      </c>
      <c r="O117" s="58">
        <v>5560</v>
      </c>
      <c r="Q117" s="260" t="s">
        <v>2674</v>
      </c>
    </row>
    <row r="118" spans="1:17">
      <c r="A118" s="260" t="s">
        <v>5433</v>
      </c>
      <c r="B118" s="260" t="s">
        <v>9364</v>
      </c>
      <c r="C118" s="55" t="s">
        <v>11254</v>
      </c>
      <c r="D118" s="264">
        <v>0</v>
      </c>
      <c r="E118" s="264">
        <v>0</v>
      </c>
      <c r="F118" s="264">
        <v>0</v>
      </c>
      <c r="G118" s="58">
        <v>5418</v>
      </c>
      <c r="H118" s="58">
        <v>5598</v>
      </c>
      <c r="I118" s="58">
        <v>5614</v>
      </c>
      <c r="J118" s="58">
        <v>5439</v>
      </c>
      <c r="K118" s="58">
        <v>5676</v>
      </c>
      <c r="L118" s="58">
        <v>5712</v>
      </c>
      <c r="M118" s="58">
        <v>5695</v>
      </c>
      <c r="N118" s="58">
        <v>5746</v>
      </c>
      <c r="O118" s="58">
        <v>5855</v>
      </c>
      <c r="Q118" s="260" t="s">
        <v>2674</v>
      </c>
    </row>
    <row r="119" spans="1:17">
      <c r="A119" s="260" t="s">
        <v>5435</v>
      </c>
      <c r="B119" s="260" t="s">
        <v>9365</v>
      </c>
      <c r="C119" s="55" t="s">
        <v>9375</v>
      </c>
      <c r="D119" s="264">
        <v>0</v>
      </c>
      <c r="E119" s="264">
        <v>0</v>
      </c>
      <c r="F119" s="264">
        <v>0</v>
      </c>
      <c r="G119" s="58">
        <v>2036</v>
      </c>
      <c r="H119" s="58">
        <v>2058</v>
      </c>
      <c r="I119" s="58">
        <v>2060</v>
      </c>
      <c r="J119" s="58">
        <v>1990</v>
      </c>
      <c r="K119" s="58">
        <v>2018</v>
      </c>
      <c r="L119" s="58">
        <v>1994</v>
      </c>
      <c r="M119" s="58">
        <v>1998</v>
      </c>
      <c r="N119" s="58">
        <v>1992</v>
      </c>
      <c r="O119" s="58">
        <v>2084</v>
      </c>
      <c r="Q119" s="260" t="s">
        <v>2674</v>
      </c>
    </row>
    <row r="120" spans="1:17">
      <c r="A120" s="260"/>
      <c r="D120" s="264"/>
      <c r="E120" s="264"/>
      <c r="F120" s="264"/>
      <c r="G120" s="264"/>
      <c r="H120" s="264"/>
      <c r="I120" s="264"/>
      <c r="J120" s="264"/>
      <c r="K120" s="264"/>
      <c r="L120" s="264"/>
      <c r="M120" s="264"/>
      <c r="N120" s="264"/>
      <c r="O120" s="264"/>
    </row>
    <row r="121" spans="1:17">
      <c r="A121" s="114" t="s">
        <v>5937</v>
      </c>
      <c r="D121" s="262">
        <f>D100+D107+D112</f>
        <v>7561</v>
      </c>
      <c r="E121" s="262">
        <f t="shared" ref="E121:J121" si="68">E100+E107+E112</f>
        <v>7807</v>
      </c>
      <c r="F121" s="262">
        <f t="shared" si="68"/>
        <v>7751</v>
      </c>
      <c r="G121" s="262">
        <f t="shared" si="68"/>
        <v>7799</v>
      </c>
      <c r="H121" s="262">
        <f t="shared" si="68"/>
        <v>7764</v>
      </c>
      <c r="I121" s="262">
        <f t="shared" si="68"/>
        <v>7828</v>
      </c>
      <c r="J121" s="262">
        <f t="shared" si="68"/>
        <v>7625</v>
      </c>
      <c r="K121" s="262">
        <f>K100+K107+K112</f>
        <v>7820</v>
      </c>
      <c r="L121" s="262">
        <f>L100+L107+L112</f>
        <v>7880</v>
      </c>
      <c r="M121" s="262">
        <f>M100+M107+M112</f>
        <v>8008</v>
      </c>
      <c r="N121" s="262">
        <f>N100+N107+N112</f>
        <v>8359</v>
      </c>
      <c r="O121" s="262">
        <f>O100+O107+O112</f>
        <v>8624</v>
      </c>
    </row>
    <row r="122" spans="1:17">
      <c r="A122" s="260" t="s">
        <v>5938</v>
      </c>
      <c r="D122" s="262">
        <f>D101+SUM(D103:D106)+D108+D110+D111+SUM(D113:D119)</f>
        <v>63617</v>
      </c>
      <c r="E122" s="262">
        <f t="shared" ref="E122:J122" si="69">E101+SUM(E103:E106)+E108+E110+E111+SUM(E113:E119)</f>
        <v>64797</v>
      </c>
      <c r="F122" s="262">
        <f t="shared" si="69"/>
        <v>64675</v>
      </c>
      <c r="G122" s="262">
        <f t="shared" si="69"/>
        <v>65270</v>
      </c>
      <c r="H122" s="262">
        <f t="shared" si="69"/>
        <v>65598</v>
      </c>
      <c r="I122" s="262">
        <f t="shared" si="69"/>
        <v>65565</v>
      </c>
      <c r="J122" s="262">
        <f t="shared" si="69"/>
        <v>63562</v>
      </c>
      <c r="K122" s="262">
        <f>K101+SUM(K103:K106)+K108+K110+K111+SUM(K113:K119)</f>
        <v>65719</v>
      </c>
      <c r="L122" s="262">
        <f>L101+SUM(L103:L106)+L108+L110+L111+SUM(L113:L119)</f>
        <v>66125</v>
      </c>
      <c r="M122" s="262">
        <f>M101+SUM(M103:M106)+M108+M110+M111+SUM(M113:M119)</f>
        <v>65322</v>
      </c>
      <c r="N122" s="262">
        <f>N101+SUM(N103:N106)+N108+N110+N111+SUM(N113:N119)</f>
        <v>65865</v>
      </c>
      <c r="O122" s="262">
        <f>O101+SUM(O103:O106)+O108+O110+O111+SUM(O113:O119)</f>
        <v>67227</v>
      </c>
    </row>
    <row r="123" spans="1:17">
      <c r="A123" s="260"/>
      <c r="B123" s="260"/>
      <c r="D123" s="272"/>
      <c r="E123" s="272"/>
      <c r="F123" s="272"/>
      <c r="G123" s="272"/>
      <c r="H123" s="272"/>
      <c r="I123" s="272"/>
      <c r="J123" s="272"/>
      <c r="K123" s="272"/>
      <c r="L123" s="272"/>
      <c r="M123" s="272"/>
      <c r="N123" s="272"/>
      <c r="O123" s="272"/>
    </row>
    <row r="124" spans="1:17">
      <c r="A124" s="260" t="s">
        <v>11255</v>
      </c>
      <c r="B124" s="260"/>
      <c r="D124" s="272"/>
      <c r="E124" s="272"/>
      <c r="F124" s="272"/>
      <c r="G124" s="272"/>
      <c r="H124" s="272"/>
      <c r="I124" s="272"/>
      <c r="J124" s="272"/>
      <c r="K124" s="272"/>
      <c r="L124" s="272"/>
      <c r="M124" s="272"/>
      <c r="N124" s="272"/>
      <c r="O124" s="272"/>
    </row>
    <row r="125" spans="1:17">
      <c r="A125" s="260" t="s">
        <v>11256</v>
      </c>
      <c r="B125" s="260"/>
      <c r="D125" s="272"/>
      <c r="E125" s="272"/>
      <c r="F125" s="272"/>
      <c r="G125" s="272"/>
      <c r="H125" s="272"/>
      <c r="I125" s="272"/>
      <c r="J125" s="272"/>
      <c r="K125" s="272"/>
      <c r="L125" s="272"/>
      <c r="M125" s="272"/>
      <c r="N125" s="272"/>
      <c r="O125" s="272"/>
    </row>
    <row r="126" spans="1:17">
      <c r="A126" s="260"/>
      <c r="B126" s="260"/>
      <c r="D126" s="272"/>
      <c r="E126" s="272"/>
      <c r="F126" s="272"/>
      <c r="G126" s="272"/>
      <c r="H126" s="272"/>
      <c r="I126" s="272"/>
      <c r="J126" s="272"/>
      <c r="K126" s="272"/>
      <c r="L126" s="272"/>
      <c r="M126" s="272"/>
      <c r="N126" s="272"/>
      <c r="O126" s="272"/>
    </row>
    <row r="127" spans="1:17">
      <c r="A127" s="260"/>
      <c r="B127" s="260"/>
      <c r="D127" s="272"/>
      <c r="E127" s="272"/>
      <c r="F127" s="272"/>
      <c r="G127" s="272"/>
      <c r="H127" s="272"/>
      <c r="I127" s="272"/>
      <c r="J127" s="272"/>
      <c r="K127" s="272"/>
      <c r="L127" s="272"/>
      <c r="M127" s="272"/>
      <c r="N127" s="272"/>
      <c r="O127" s="272"/>
    </row>
    <row r="128" spans="1:17">
      <c r="A128" s="260"/>
      <c r="E128" s="51" t="s">
        <v>1526</v>
      </c>
      <c r="F128" s="51"/>
      <c r="G128" s="51"/>
      <c r="H128" s="51"/>
      <c r="I128" s="51"/>
      <c r="J128" s="51"/>
      <c r="K128" s="51"/>
      <c r="L128" s="51"/>
      <c r="M128" s="51"/>
      <c r="N128" s="51"/>
      <c r="O128" s="51"/>
      <c r="P128" s="11"/>
      <c r="Q128" s="11" t="s">
        <v>9479</v>
      </c>
    </row>
    <row r="129" spans="1:17">
      <c r="D129" s="270">
        <v>2010</v>
      </c>
      <c r="E129" s="270">
        <v>2011</v>
      </c>
      <c r="F129" s="270">
        <v>2012</v>
      </c>
      <c r="G129" s="270">
        <v>2013</v>
      </c>
      <c r="H129" s="270">
        <v>2014</v>
      </c>
      <c r="I129" s="270">
        <v>2015</v>
      </c>
      <c r="J129" s="270">
        <v>2016</v>
      </c>
      <c r="K129" s="270">
        <v>2017</v>
      </c>
      <c r="L129" s="270">
        <v>2018</v>
      </c>
      <c r="M129" s="270">
        <v>2019</v>
      </c>
      <c r="N129" s="270">
        <v>2020</v>
      </c>
      <c r="O129" s="930" t="s">
        <v>14823</v>
      </c>
      <c r="P129" s="121"/>
      <c r="Q129" s="13" t="s">
        <v>1527</v>
      </c>
    </row>
    <row r="130" spans="1:17">
      <c r="A130" s="260" t="s">
        <v>11871</v>
      </c>
      <c r="D130" s="262">
        <f t="shared" ref="D130:I130" si="70">SUM(D131:D147)+SUM(D149:D154)+SUM(D156:D160)+SUM(D162:D171)+D173+D174</f>
        <v>94499</v>
      </c>
      <c r="E130" s="262">
        <f t="shared" si="70"/>
        <v>93887</v>
      </c>
      <c r="F130" s="262">
        <f t="shared" si="70"/>
        <v>95227</v>
      </c>
      <c r="G130" s="262">
        <f t="shared" si="70"/>
        <v>96193</v>
      </c>
      <c r="H130" s="262">
        <f t="shared" si="70"/>
        <v>96494</v>
      </c>
      <c r="I130" s="262">
        <f t="shared" si="70"/>
        <v>95396</v>
      </c>
      <c r="J130" s="262">
        <f t="shared" ref="J130:O130" si="71">SUM(J131:J147)+SUM(J149:J154)+SUM(J156:J160)+SUM(J162:J171)+J173+J174</f>
        <v>94292</v>
      </c>
      <c r="K130" s="262">
        <f t="shared" si="71"/>
        <v>97284</v>
      </c>
      <c r="L130" s="262">
        <f t="shared" si="71"/>
        <v>97272</v>
      </c>
      <c r="M130" s="262">
        <f t="shared" si="71"/>
        <v>97515</v>
      </c>
      <c r="N130" s="262">
        <f t="shared" si="71"/>
        <v>99096</v>
      </c>
      <c r="O130" s="262">
        <f t="shared" si="71"/>
        <v>102450</v>
      </c>
    </row>
    <row r="131" spans="1:17">
      <c r="A131" s="260" t="s">
        <v>5387</v>
      </c>
      <c r="B131" s="260" t="s">
        <v>11257</v>
      </c>
      <c r="C131" s="55" t="s">
        <v>11259</v>
      </c>
      <c r="D131" s="264">
        <v>69366</v>
      </c>
      <c r="E131" s="264">
        <v>69108</v>
      </c>
      <c r="F131" s="264">
        <v>69946</v>
      </c>
      <c r="G131" s="264">
        <v>70529</v>
      </c>
      <c r="H131" s="56">
        <v>70830</v>
      </c>
      <c r="I131" s="56">
        <v>70006</v>
      </c>
      <c r="J131" s="56">
        <v>3005</v>
      </c>
      <c r="K131" s="56">
        <v>3056</v>
      </c>
      <c r="L131" s="56">
        <v>2972</v>
      </c>
      <c r="M131" s="56">
        <v>2959</v>
      </c>
      <c r="N131" s="56">
        <v>2880</v>
      </c>
      <c r="O131" s="56">
        <v>3011</v>
      </c>
      <c r="Q131" s="260" t="s">
        <v>3630</v>
      </c>
    </row>
    <row r="132" spans="1:17">
      <c r="A132" s="260" t="s">
        <v>5389</v>
      </c>
      <c r="B132" s="260" t="s">
        <v>11258</v>
      </c>
      <c r="C132" s="55" t="s">
        <v>11286</v>
      </c>
      <c r="D132" s="264">
        <v>0</v>
      </c>
      <c r="E132" s="264">
        <v>0</v>
      </c>
      <c r="F132" s="264">
        <v>0</v>
      </c>
      <c r="G132" s="264">
        <v>0</v>
      </c>
      <c r="H132" s="56">
        <v>0</v>
      </c>
      <c r="I132" s="56">
        <v>0</v>
      </c>
      <c r="J132" s="56">
        <v>2878</v>
      </c>
      <c r="K132" s="56">
        <v>2927</v>
      </c>
      <c r="L132" s="56">
        <v>2896</v>
      </c>
      <c r="M132" s="56">
        <v>2881</v>
      </c>
      <c r="N132" s="56">
        <v>2921</v>
      </c>
      <c r="O132" s="56">
        <v>2961</v>
      </c>
      <c r="Q132" s="260" t="s">
        <v>3630</v>
      </c>
    </row>
    <row r="133" spans="1:17">
      <c r="A133" s="260" t="s">
        <v>5391</v>
      </c>
      <c r="B133" s="260" t="s">
        <v>1720</v>
      </c>
      <c r="C133" s="55" t="s">
        <v>11287</v>
      </c>
      <c r="D133" s="264">
        <v>0</v>
      </c>
      <c r="E133" s="264">
        <v>0</v>
      </c>
      <c r="F133" s="264">
        <v>0</v>
      </c>
      <c r="G133" s="264">
        <v>0</v>
      </c>
      <c r="H133" s="56">
        <v>0</v>
      </c>
      <c r="I133" s="56">
        <v>0</v>
      </c>
      <c r="J133" s="56">
        <v>1902</v>
      </c>
      <c r="K133" s="56">
        <v>1985</v>
      </c>
      <c r="L133" s="56">
        <v>2092</v>
      </c>
      <c r="M133" s="56">
        <v>2177</v>
      </c>
      <c r="N133" s="56">
        <v>2247</v>
      </c>
      <c r="O133" s="56">
        <v>2343</v>
      </c>
      <c r="Q133" s="260" t="s">
        <v>3630</v>
      </c>
    </row>
    <row r="134" spans="1:17">
      <c r="A134" s="260" t="s">
        <v>5393</v>
      </c>
      <c r="B134" s="260" t="s">
        <v>11260</v>
      </c>
      <c r="C134" s="55" t="s">
        <v>11288</v>
      </c>
      <c r="D134" s="264">
        <v>0</v>
      </c>
      <c r="E134" s="264">
        <v>0</v>
      </c>
      <c r="F134" s="264">
        <v>0</v>
      </c>
      <c r="G134" s="264">
        <v>0</v>
      </c>
      <c r="H134" s="56">
        <v>0</v>
      </c>
      <c r="I134" s="56">
        <v>0</v>
      </c>
      <c r="J134" s="56">
        <v>2664</v>
      </c>
      <c r="K134" s="56">
        <v>2886</v>
      </c>
      <c r="L134" s="56">
        <v>2978</v>
      </c>
      <c r="M134" s="56">
        <v>2985</v>
      </c>
      <c r="N134" s="56">
        <v>3041</v>
      </c>
      <c r="O134" s="56">
        <v>3145</v>
      </c>
      <c r="Q134" s="260" t="s">
        <v>3630</v>
      </c>
    </row>
    <row r="135" spans="1:17">
      <c r="A135" s="260" t="s">
        <v>5394</v>
      </c>
      <c r="B135" s="114" t="s">
        <v>11261</v>
      </c>
      <c r="C135" s="55" t="s">
        <v>11289</v>
      </c>
      <c r="D135" s="264">
        <v>0</v>
      </c>
      <c r="E135" s="264">
        <v>0</v>
      </c>
      <c r="F135" s="264">
        <v>0</v>
      </c>
      <c r="G135" s="264">
        <v>0</v>
      </c>
      <c r="H135" s="56">
        <v>0</v>
      </c>
      <c r="I135" s="56">
        <v>0</v>
      </c>
      <c r="J135" s="58">
        <v>2592</v>
      </c>
      <c r="K135" s="58">
        <v>2628</v>
      </c>
      <c r="L135" s="58">
        <v>2705</v>
      </c>
      <c r="M135" s="58">
        <v>2821</v>
      </c>
      <c r="N135" s="58">
        <v>2930</v>
      </c>
      <c r="O135" s="58">
        <v>3022</v>
      </c>
      <c r="Q135" s="260" t="s">
        <v>3630</v>
      </c>
    </row>
    <row r="136" spans="1:17">
      <c r="A136" s="260" t="s">
        <v>5416</v>
      </c>
      <c r="B136" s="260" t="s">
        <v>11262</v>
      </c>
      <c r="C136" s="55" t="s">
        <v>11290</v>
      </c>
      <c r="D136" s="264">
        <v>25133</v>
      </c>
      <c r="E136" s="264">
        <v>24779</v>
      </c>
      <c r="F136" s="264">
        <v>25281</v>
      </c>
      <c r="G136" s="264">
        <v>25664</v>
      </c>
      <c r="H136" s="56">
        <v>25664</v>
      </c>
      <c r="I136" s="56">
        <v>25390</v>
      </c>
      <c r="J136" s="56">
        <v>2771</v>
      </c>
      <c r="K136" s="56">
        <v>2978</v>
      </c>
      <c r="L136" s="56">
        <v>3001</v>
      </c>
      <c r="M136" s="56">
        <v>2980</v>
      </c>
      <c r="N136" s="56">
        <v>3018</v>
      </c>
      <c r="O136" s="56">
        <v>3171</v>
      </c>
      <c r="Q136" s="114" t="s">
        <v>4052</v>
      </c>
    </row>
    <row r="137" spans="1:17">
      <c r="A137" s="260" t="s">
        <v>5418</v>
      </c>
      <c r="B137" s="260" t="s">
        <v>11263</v>
      </c>
      <c r="C137" s="55" t="s">
        <v>11291</v>
      </c>
      <c r="D137" s="264">
        <v>0</v>
      </c>
      <c r="E137" s="264">
        <v>0</v>
      </c>
      <c r="F137" s="264">
        <v>0</v>
      </c>
      <c r="G137" s="264">
        <v>0</v>
      </c>
      <c r="H137" s="56">
        <v>0</v>
      </c>
      <c r="I137" s="56">
        <v>0</v>
      </c>
      <c r="J137" s="58">
        <v>2488</v>
      </c>
      <c r="K137" s="58">
        <v>2507</v>
      </c>
      <c r="L137" s="58">
        <v>2401</v>
      </c>
      <c r="M137" s="58">
        <v>2390</v>
      </c>
      <c r="N137" s="58">
        <v>2355</v>
      </c>
      <c r="O137" s="58">
        <v>2415</v>
      </c>
      <c r="Q137" s="260" t="s">
        <v>3630</v>
      </c>
    </row>
    <row r="138" spans="1:17">
      <c r="A138" s="260" t="s">
        <v>5420</v>
      </c>
      <c r="B138" s="260" t="s">
        <v>11264</v>
      </c>
      <c r="C138" s="55" t="s">
        <v>11292</v>
      </c>
      <c r="D138" s="264">
        <v>0</v>
      </c>
      <c r="E138" s="264">
        <v>0</v>
      </c>
      <c r="F138" s="264">
        <v>0</v>
      </c>
      <c r="G138" s="264">
        <v>0</v>
      </c>
      <c r="H138" s="264">
        <v>0</v>
      </c>
      <c r="I138" s="58">
        <v>0</v>
      </c>
      <c r="J138" s="58">
        <v>2764</v>
      </c>
      <c r="K138" s="58">
        <v>2816</v>
      </c>
      <c r="L138" s="58">
        <v>2758</v>
      </c>
      <c r="M138" s="58">
        <v>2711</v>
      </c>
      <c r="N138" s="58">
        <v>2751</v>
      </c>
      <c r="O138" s="58">
        <v>2836</v>
      </c>
      <c r="Q138" s="114" t="s">
        <v>3630</v>
      </c>
    </row>
    <row r="139" spans="1:17">
      <c r="A139" s="260" t="s">
        <v>5422</v>
      </c>
      <c r="B139" s="260" t="s">
        <v>11265</v>
      </c>
      <c r="C139" s="55" t="s">
        <v>11293</v>
      </c>
      <c r="D139" s="264">
        <v>0</v>
      </c>
      <c r="E139" s="264">
        <v>0</v>
      </c>
      <c r="F139" s="264">
        <v>0</v>
      </c>
      <c r="G139" s="264">
        <v>0</v>
      </c>
      <c r="H139" s="264">
        <v>0</v>
      </c>
      <c r="I139" s="58">
        <v>0</v>
      </c>
      <c r="J139" s="58">
        <v>3024</v>
      </c>
      <c r="K139" s="58">
        <v>3079</v>
      </c>
      <c r="L139" s="58">
        <v>3025</v>
      </c>
      <c r="M139" s="58">
        <v>2958</v>
      </c>
      <c r="N139" s="58">
        <v>3025</v>
      </c>
      <c r="O139" s="58">
        <v>3119</v>
      </c>
      <c r="Q139" s="114" t="s">
        <v>3630</v>
      </c>
    </row>
    <row r="140" spans="1:17">
      <c r="A140" s="260" t="s">
        <v>5424</v>
      </c>
      <c r="B140" s="260" t="s">
        <v>11266</v>
      </c>
      <c r="C140" s="55" t="s">
        <v>11294</v>
      </c>
      <c r="D140" s="264">
        <v>0</v>
      </c>
      <c r="E140" s="264">
        <v>0</v>
      </c>
      <c r="F140" s="264">
        <v>0</v>
      </c>
      <c r="G140" s="264">
        <v>0</v>
      </c>
      <c r="H140" s="264">
        <v>0</v>
      </c>
      <c r="I140" s="58">
        <v>0</v>
      </c>
      <c r="J140" s="58">
        <v>1690</v>
      </c>
      <c r="K140" s="58">
        <v>1676</v>
      </c>
      <c r="L140" s="58">
        <v>1648</v>
      </c>
      <c r="M140" s="58">
        <v>1664</v>
      </c>
      <c r="N140" s="58">
        <v>1679</v>
      </c>
      <c r="O140" s="58">
        <v>1738</v>
      </c>
      <c r="Q140" s="114" t="s">
        <v>3630</v>
      </c>
    </row>
    <row r="141" spans="1:17">
      <c r="A141" s="260" t="s">
        <v>5426</v>
      </c>
      <c r="B141" s="260" t="s">
        <v>5940</v>
      </c>
      <c r="C141" s="55" t="s">
        <v>11295</v>
      </c>
      <c r="D141" s="264">
        <v>0</v>
      </c>
      <c r="E141" s="264">
        <v>0</v>
      </c>
      <c r="F141" s="264">
        <v>0</v>
      </c>
      <c r="G141" s="264">
        <v>0</v>
      </c>
      <c r="H141" s="264">
        <v>0</v>
      </c>
      <c r="I141" s="58">
        <v>0</v>
      </c>
      <c r="J141" s="58">
        <v>2703</v>
      </c>
      <c r="K141" s="58">
        <v>2731</v>
      </c>
      <c r="L141" s="58">
        <v>2725</v>
      </c>
      <c r="M141" s="58">
        <v>2705</v>
      </c>
      <c r="N141" s="58">
        <v>2790</v>
      </c>
      <c r="O141" s="58">
        <v>2906</v>
      </c>
      <c r="Q141" s="114" t="s">
        <v>3630</v>
      </c>
    </row>
    <row r="142" spans="1:17">
      <c r="A142" s="271">
        <v>12</v>
      </c>
      <c r="B142" s="260" t="s">
        <v>6439</v>
      </c>
      <c r="C142" s="55" t="s">
        <v>11296</v>
      </c>
      <c r="D142" s="264">
        <v>0</v>
      </c>
      <c r="E142" s="264">
        <v>0</v>
      </c>
      <c r="F142" s="264">
        <v>0</v>
      </c>
      <c r="G142" s="264">
        <v>0</v>
      </c>
      <c r="H142" s="264">
        <v>0</v>
      </c>
      <c r="I142" s="58">
        <v>0</v>
      </c>
      <c r="J142" s="58">
        <v>2457</v>
      </c>
      <c r="K142" s="58">
        <v>2551</v>
      </c>
      <c r="L142" s="58">
        <v>2504</v>
      </c>
      <c r="M142" s="58">
        <v>2464</v>
      </c>
      <c r="N142" s="58">
        <v>2434</v>
      </c>
      <c r="O142" s="58">
        <v>2520</v>
      </c>
      <c r="Q142" s="114" t="s">
        <v>3630</v>
      </c>
    </row>
    <row r="143" spans="1:17">
      <c r="A143" s="271">
        <v>13</v>
      </c>
      <c r="B143" s="260" t="s">
        <v>5941</v>
      </c>
      <c r="C143" s="55" t="s">
        <v>11297</v>
      </c>
      <c r="D143" s="264">
        <v>0</v>
      </c>
      <c r="E143" s="264">
        <v>0</v>
      </c>
      <c r="F143" s="264">
        <v>0</v>
      </c>
      <c r="G143" s="264">
        <v>0</v>
      </c>
      <c r="H143" s="264">
        <v>0</v>
      </c>
      <c r="I143" s="58">
        <v>0</v>
      </c>
      <c r="J143" s="56">
        <v>2649</v>
      </c>
      <c r="K143" s="56">
        <v>2715</v>
      </c>
      <c r="L143" s="56">
        <v>2694</v>
      </c>
      <c r="M143" s="56">
        <v>2775</v>
      </c>
      <c r="N143" s="56">
        <v>2827</v>
      </c>
      <c r="O143" s="56">
        <v>2879</v>
      </c>
      <c r="Q143" s="114" t="s">
        <v>4052</v>
      </c>
    </row>
    <row r="144" spans="1:17">
      <c r="A144" s="271">
        <v>14</v>
      </c>
      <c r="B144" s="260" t="s">
        <v>11267</v>
      </c>
      <c r="C144" s="55" t="s">
        <v>11298</v>
      </c>
      <c r="D144" s="264">
        <v>0</v>
      </c>
      <c r="E144" s="264">
        <v>0</v>
      </c>
      <c r="F144" s="264">
        <v>0</v>
      </c>
      <c r="G144" s="264">
        <v>0</v>
      </c>
      <c r="H144" s="264">
        <v>0</v>
      </c>
      <c r="I144" s="58">
        <v>0</v>
      </c>
      <c r="J144" s="58">
        <v>2023</v>
      </c>
      <c r="K144" s="58">
        <v>2086</v>
      </c>
      <c r="L144" s="58">
        <v>2088</v>
      </c>
      <c r="M144" s="58">
        <v>2079</v>
      </c>
      <c r="N144" s="58">
        <v>2104</v>
      </c>
      <c r="O144" s="58">
        <v>2166</v>
      </c>
      <c r="Q144" s="114" t="s">
        <v>3630</v>
      </c>
    </row>
    <row r="145" spans="1:17">
      <c r="A145" s="271">
        <v>15</v>
      </c>
      <c r="B145" s="260" t="s">
        <v>11268</v>
      </c>
      <c r="C145" s="55" t="s">
        <v>11299</v>
      </c>
      <c r="D145" s="264">
        <v>0</v>
      </c>
      <c r="E145" s="264">
        <v>0</v>
      </c>
      <c r="F145" s="264">
        <v>0</v>
      </c>
      <c r="G145" s="264">
        <v>0</v>
      </c>
      <c r="H145" s="264">
        <v>0</v>
      </c>
      <c r="I145" s="58">
        <v>0</v>
      </c>
      <c r="J145" s="58">
        <v>3147</v>
      </c>
      <c r="K145" s="58">
        <v>3188</v>
      </c>
      <c r="L145" s="58">
        <v>3144</v>
      </c>
      <c r="M145" s="58">
        <v>3094</v>
      </c>
      <c r="N145" s="58">
        <v>3111</v>
      </c>
      <c r="O145" s="58">
        <v>3178</v>
      </c>
      <c r="Q145" s="114" t="s">
        <v>3630</v>
      </c>
    </row>
    <row r="146" spans="1:17">
      <c r="A146" s="271">
        <v>16</v>
      </c>
      <c r="B146" s="260" t="s">
        <v>5943</v>
      </c>
      <c r="C146" s="55" t="s">
        <v>11300</v>
      </c>
      <c r="D146" s="264">
        <v>0</v>
      </c>
      <c r="E146" s="264">
        <v>0</v>
      </c>
      <c r="F146" s="264">
        <v>0</v>
      </c>
      <c r="G146" s="264">
        <v>0</v>
      </c>
      <c r="H146" s="264">
        <v>0</v>
      </c>
      <c r="I146" s="58">
        <v>0</v>
      </c>
      <c r="J146" s="56">
        <v>2525</v>
      </c>
      <c r="K146" s="56">
        <v>2593</v>
      </c>
      <c r="L146" s="56">
        <v>2647</v>
      </c>
      <c r="M146" s="56">
        <v>2700</v>
      </c>
      <c r="N146" s="56">
        <v>2694</v>
      </c>
      <c r="O146" s="56">
        <v>2769</v>
      </c>
      <c r="Q146" s="114" t="s">
        <v>4052</v>
      </c>
    </row>
    <row r="147" spans="1:17" ht="15.75" thickBot="1">
      <c r="B147" s="260"/>
      <c r="C147" s="55" t="s">
        <v>11300</v>
      </c>
      <c r="D147" s="264">
        <v>0</v>
      </c>
      <c r="E147" s="264">
        <v>0</v>
      </c>
      <c r="F147" s="264">
        <v>0</v>
      </c>
      <c r="G147" s="264">
        <v>0</v>
      </c>
      <c r="H147" s="58">
        <v>0</v>
      </c>
      <c r="I147" s="58">
        <v>0</v>
      </c>
      <c r="J147" s="58">
        <v>195</v>
      </c>
      <c r="K147" s="58">
        <v>202</v>
      </c>
      <c r="L147" s="58">
        <v>201</v>
      </c>
      <c r="M147" s="58">
        <v>198</v>
      </c>
      <c r="N147" s="58">
        <v>195</v>
      </c>
      <c r="O147" s="58">
        <v>200</v>
      </c>
      <c r="Q147" s="260" t="s">
        <v>3630</v>
      </c>
    </row>
    <row r="148" spans="1:17" ht="15.75" thickBot="1">
      <c r="A148" s="260"/>
      <c r="C148" s="55" t="s">
        <v>11300</v>
      </c>
      <c r="D148" s="266">
        <f t="shared" ref="D148:L148" si="72">D138+D147</f>
        <v>0</v>
      </c>
      <c r="E148" s="266">
        <f t="shared" si="72"/>
        <v>0</v>
      </c>
      <c r="F148" s="266">
        <f t="shared" si="72"/>
        <v>0</v>
      </c>
      <c r="G148" s="266">
        <f t="shared" si="72"/>
        <v>0</v>
      </c>
      <c r="H148" s="266">
        <f t="shared" si="72"/>
        <v>0</v>
      </c>
      <c r="I148" s="266">
        <f t="shared" si="72"/>
        <v>0</v>
      </c>
      <c r="J148" s="266">
        <f t="shared" si="72"/>
        <v>2959</v>
      </c>
      <c r="K148" s="266">
        <f t="shared" si="72"/>
        <v>3018</v>
      </c>
      <c r="L148" s="266">
        <f t="shared" si="72"/>
        <v>2959</v>
      </c>
      <c r="M148" s="266">
        <f>M138+M147</f>
        <v>2909</v>
      </c>
      <c r="N148" s="266">
        <f>N138+N147</f>
        <v>2946</v>
      </c>
      <c r="O148" s="266">
        <f>O138+O147</f>
        <v>3036</v>
      </c>
      <c r="Q148" s="260"/>
    </row>
    <row r="149" spans="1:17">
      <c r="A149" s="271">
        <v>17</v>
      </c>
      <c r="B149" s="260" t="s">
        <v>5944</v>
      </c>
      <c r="C149" s="55" t="s">
        <v>11301</v>
      </c>
      <c r="D149" s="264">
        <v>0</v>
      </c>
      <c r="E149" s="264">
        <v>0</v>
      </c>
      <c r="F149" s="264">
        <v>0</v>
      </c>
      <c r="G149" s="264">
        <v>0</v>
      </c>
      <c r="H149" s="56">
        <v>0</v>
      </c>
      <c r="I149" s="56">
        <v>0</v>
      </c>
      <c r="J149" s="58">
        <v>2229</v>
      </c>
      <c r="K149" s="58">
        <v>2325</v>
      </c>
      <c r="L149" s="58">
        <v>2297</v>
      </c>
      <c r="M149" s="58">
        <v>2287</v>
      </c>
      <c r="N149" s="58">
        <v>2305</v>
      </c>
      <c r="O149" s="58">
        <v>2380</v>
      </c>
      <c r="Q149" s="114" t="s">
        <v>3630</v>
      </c>
    </row>
    <row r="150" spans="1:17">
      <c r="A150" s="271">
        <v>18</v>
      </c>
      <c r="B150" s="260" t="s">
        <v>11269</v>
      </c>
      <c r="C150" s="55" t="s">
        <v>11302</v>
      </c>
      <c r="D150" s="264">
        <v>0</v>
      </c>
      <c r="E150" s="264">
        <v>0</v>
      </c>
      <c r="F150" s="264">
        <v>0</v>
      </c>
      <c r="G150" s="264">
        <v>0</v>
      </c>
      <c r="H150" s="56">
        <v>0</v>
      </c>
      <c r="I150" s="56">
        <v>0</v>
      </c>
      <c r="J150" s="56">
        <v>2949</v>
      </c>
      <c r="K150" s="56">
        <v>3018</v>
      </c>
      <c r="L150" s="56">
        <v>3076</v>
      </c>
      <c r="M150" s="56">
        <v>3234</v>
      </c>
      <c r="N150" s="56">
        <v>3364</v>
      </c>
      <c r="O150" s="56">
        <v>3479</v>
      </c>
      <c r="Q150" s="114" t="s">
        <v>4052</v>
      </c>
    </row>
    <row r="151" spans="1:17">
      <c r="A151" s="271">
        <v>19</v>
      </c>
      <c r="B151" s="260" t="s">
        <v>11270</v>
      </c>
      <c r="C151" s="55" t="s">
        <v>11303</v>
      </c>
      <c r="D151" s="264">
        <v>0</v>
      </c>
      <c r="E151" s="264">
        <v>0</v>
      </c>
      <c r="F151" s="264">
        <v>0</v>
      </c>
      <c r="G151" s="264">
        <v>0</v>
      </c>
      <c r="H151" s="56">
        <v>0</v>
      </c>
      <c r="I151" s="56">
        <v>0</v>
      </c>
      <c r="J151" s="56">
        <v>2548</v>
      </c>
      <c r="K151" s="56">
        <v>2607</v>
      </c>
      <c r="L151" s="56">
        <v>2575</v>
      </c>
      <c r="M151" s="56">
        <v>2580</v>
      </c>
      <c r="N151" s="56">
        <v>2674</v>
      </c>
      <c r="O151" s="56">
        <v>2806</v>
      </c>
      <c r="Q151" s="260" t="s">
        <v>4052</v>
      </c>
    </row>
    <row r="152" spans="1:17">
      <c r="A152" s="271">
        <v>20</v>
      </c>
      <c r="B152" s="260" t="s">
        <v>5945</v>
      </c>
      <c r="C152" s="55" t="s">
        <v>11304</v>
      </c>
      <c r="D152" s="264">
        <v>0</v>
      </c>
      <c r="E152" s="264">
        <v>0</v>
      </c>
      <c r="F152" s="264">
        <v>0</v>
      </c>
      <c r="G152" s="264">
        <v>0</v>
      </c>
      <c r="H152" s="56">
        <v>0</v>
      </c>
      <c r="I152" s="56">
        <v>0</v>
      </c>
      <c r="J152" s="58">
        <v>2360</v>
      </c>
      <c r="K152" s="58">
        <v>2594</v>
      </c>
      <c r="L152" s="58">
        <v>2609</v>
      </c>
      <c r="M152" s="58">
        <v>2617</v>
      </c>
      <c r="N152" s="58">
        <v>2603</v>
      </c>
      <c r="O152" s="58">
        <v>2692</v>
      </c>
      <c r="Q152" s="114" t="s">
        <v>3630</v>
      </c>
    </row>
    <row r="153" spans="1:17">
      <c r="A153" s="271">
        <v>21</v>
      </c>
      <c r="B153" s="260" t="s">
        <v>11271</v>
      </c>
      <c r="C153" s="55" t="s">
        <v>11305</v>
      </c>
      <c r="D153" s="264">
        <v>0</v>
      </c>
      <c r="E153" s="264">
        <v>0</v>
      </c>
      <c r="F153" s="264">
        <v>0</v>
      </c>
      <c r="G153" s="264">
        <v>0</v>
      </c>
      <c r="H153" s="264">
        <v>0</v>
      </c>
      <c r="I153" s="58">
        <v>0</v>
      </c>
      <c r="J153" s="56">
        <v>1328</v>
      </c>
      <c r="K153" s="56">
        <v>1360</v>
      </c>
      <c r="L153" s="56">
        <v>1360</v>
      </c>
      <c r="M153" s="56">
        <v>1348</v>
      </c>
      <c r="N153" s="56">
        <v>1351</v>
      </c>
      <c r="O153" s="56">
        <v>1379</v>
      </c>
      <c r="Q153" s="114" t="s">
        <v>4052</v>
      </c>
    </row>
    <row r="154" spans="1:17" ht="15.75" thickBot="1">
      <c r="B154" s="260"/>
      <c r="C154" s="55" t="s">
        <v>11305</v>
      </c>
      <c r="D154" s="275">
        <v>0</v>
      </c>
      <c r="E154" s="275">
        <v>0</v>
      </c>
      <c r="F154" s="275">
        <v>0</v>
      </c>
      <c r="G154" s="275">
        <v>0</v>
      </c>
      <c r="H154" s="58">
        <v>0</v>
      </c>
      <c r="I154" s="58">
        <v>0</v>
      </c>
      <c r="J154" s="58">
        <v>1311</v>
      </c>
      <c r="K154" s="58">
        <v>1345</v>
      </c>
      <c r="L154" s="58">
        <v>1320</v>
      </c>
      <c r="M154" s="58">
        <v>1298</v>
      </c>
      <c r="N154" s="58">
        <v>1337</v>
      </c>
      <c r="O154" s="58">
        <v>1374</v>
      </c>
      <c r="Q154" s="260" t="s">
        <v>3630</v>
      </c>
    </row>
    <row r="155" spans="1:17" ht="15.75" thickBot="1">
      <c r="B155" s="260"/>
      <c r="C155" s="55" t="s">
        <v>11305</v>
      </c>
      <c r="D155" s="266">
        <f t="shared" ref="D155:L155" si="73">D153+D154</f>
        <v>0</v>
      </c>
      <c r="E155" s="266">
        <f t="shared" si="73"/>
        <v>0</v>
      </c>
      <c r="F155" s="266">
        <f t="shared" si="73"/>
        <v>0</v>
      </c>
      <c r="G155" s="266">
        <f t="shared" si="73"/>
        <v>0</v>
      </c>
      <c r="H155" s="266">
        <f t="shared" si="73"/>
        <v>0</v>
      </c>
      <c r="I155" s="266">
        <f t="shared" si="73"/>
        <v>0</v>
      </c>
      <c r="J155" s="266">
        <f t="shared" si="73"/>
        <v>2639</v>
      </c>
      <c r="K155" s="266">
        <f t="shared" si="73"/>
        <v>2705</v>
      </c>
      <c r="L155" s="266">
        <f t="shared" si="73"/>
        <v>2680</v>
      </c>
      <c r="M155" s="266">
        <f>M153+M154</f>
        <v>2646</v>
      </c>
      <c r="N155" s="266">
        <f>N153+N154</f>
        <v>2688</v>
      </c>
      <c r="O155" s="266">
        <f>O153+O154</f>
        <v>2753</v>
      </c>
      <c r="Q155" s="260"/>
    </row>
    <row r="156" spans="1:17">
      <c r="A156" s="271">
        <v>22</v>
      </c>
      <c r="B156" s="260" t="s">
        <v>11272</v>
      </c>
      <c r="C156" s="55" t="s">
        <v>11306</v>
      </c>
      <c r="D156" s="264">
        <v>0</v>
      </c>
      <c r="E156" s="264">
        <v>0</v>
      </c>
      <c r="F156" s="264">
        <v>0</v>
      </c>
      <c r="G156" s="264">
        <v>0</v>
      </c>
      <c r="H156" s="56">
        <v>0</v>
      </c>
      <c r="I156" s="56">
        <v>0</v>
      </c>
      <c r="J156" s="58">
        <v>2846</v>
      </c>
      <c r="K156" s="58">
        <v>2921</v>
      </c>
      <c r="L156" s="58">
        <v>2883</v>
      </c>
      <c r="M156" s="58">
        <v>2910</v>
      </c>
      <c r="N156" s="58">
        <v>2997</v>
      </c>
      <c r="O156" s="58">
        <v>3074</v>
      </c>
      <c r="Q156" s="260" t="s">
        <v>3630</v>
      </c>
    </row>
    <row r="157" spans="1:17">
      <c r="A157" s="271">
        <v>23</v>
      </c>
      <c r="B157" s="260" t="s">
        <v>11273</v>
      </c>
      <c r="C157" s="55" t="s">
        <v>11307</v>
      </c>
      <c r="D157" s="264">
        <v>0</v>
      </c>
      <c r="E157" s="264">
        <v>0</v>
      </c>
      <c r="F157" s="264">
        <v>0</v>
      </c>
      <c r="G157" s="264">
        <v>0</v>
      </c>
      <c r="H157" s="56">
        <v>0</v>
      </c>
      <c r="I157" s="56">
        <v>0</v>
      </c>
      <c r="J157" s="58">
        <v>2801</v>
      </c>
      <c r="K157" s="58">
        <v>2829</v>
      </c>
      <c r="L157" s="58">
        <v>2762</v>
      </c>
      <c r="M157" s="58">
        <v>2763</v>
      </c>
      <c r="N157" s="58">
        <v>2843</v>
      </c>
      <c r="O157" s="58">
        <v>2982</v>
      </c>
      <c r="Q157" s="114" t="s">
        <v>3630</v>
      </c>
    </row>
    <row r="158" spans="1:17">
      <c r="A158" s="271">
        <v>24</v>
      </c>
      <c r="B158" s="260" t="s">
        <v>11274</v>
      </c>
      <c r="C158" s="55" t="s">
        <v>11308</v>
      </c>
      <c r="D158" s="264">
        <v>0</v>
      </c>
      <c r="E158" s="264">
        <v>0</v>
      </c>
      <c r="F158" s="264">
        <v>0</v>
      </c>
      <c r="G158" s="264">
        <v>0</v>
      </c>
      <c r="H158" s="56">
        <v>0</v>
      </c>
      <c r="I158" s="56">
        <v>0</v>
      </c>
      <c r="J158" s="58">
        <v>2358</v>
      </c>
      <c r="K158" s="58">
        <v>2428</v>
      </c>
      <c r="L158" s="58">
        <v>2380</v>
      </c>
      <c r="M158" s="58">
        <v>2308</v>
      </c>
      <c r="N158" s="58">
        <v>2322</v>
      </c>
      <c r="O158" s="58">
        <v>2415</v>
      </c>
      <c r="Q158" s="260" t="s">
        <v>3630</v>
      </c>
    </row>
    <row r="159" spans="1:17">
      <c r="A159" s="271">
        <v>25</v>
      </c>
      <c r="B159" s="260" t="s">
        <v>5935</v>
      </c>
      <c r="C159" s="55" t="s">
        <v>11309</v>
      </c>
      <c r="D159" s="264">
        <v>0</v>
      </c>
      <c r="E159" s="264">
        <v>0</v>
      </c>
      <c r="F159" s="264">
        <v>0</v>
      </c>
      <c r="G159" s="264">
        <v>0</v>
      </c>
      <c r="H159" s="264">
        <v>0</v>
      </c>
      <c r="I159" s="58">
        <v>0</v>
      </c>
      <c r="J159" s="56">
        <v>9</v>
      </c>
      <c r="K159" s="56">
        <v>3</v>
      </c>
      <c r="L159" s="56">
        <v>3</v>
      </c>
      <c r="M159" s="56">
        <v>3</v>
      </c>
      <c r="N159" s="56">
        <v>3</v>
      </c>
      <c r="O159" s="56">
        <v>3</v>
      </c>
      <c r="Q159" s="114" t="s">
        <v>4052</v>
      </c>
    </row>
    <row r="160" spans="1:17" ht="15.75" thickBot="1">
      <c r="A160" s="271"/>
      <c r="B160" s="260"/>
      <c r="C160" s="55" t="s">
        <v>11309</v>
      </c>
      <c r="D160" s="275">
        <v>0</v>
      </c>
      <c r="E160" s="275">
        <v>0</v>
      </c>
      <c r="F160" s="275">
        <v>0</v>
      </c>
      <c r="G160" s="275">
        <v>0</v>
      </c>
      <c r="H160" s="58">
        <v>0</v>
      </c>
      <c r="I160" s="58">
        <v>0</v>
      </c>
      <c r="J160" s="58">
        <v>2749</v>
      </c>
      <c r="K160" s="58">
        <v>2904</v>
      </c>
      <c r="L160" s="58">
        <v>2877</v>
      </c>
      <c r="M160" s="58">
        <v>2838</v>
      </c>
      <c r="N160" s="58">
        <v>2847</v>
      </c>
      <c r="O160" s="58">
        <v>2941</v>
      </c>
      <c r="Q160" s="260" t="s">
        <v>3630</v>
      </c>
    </row>
    <row r="161" spans="1:17" ht="15.75" thickBot="1">
      <c r="A161" s="271"/>
      <c r="B161" s="260"/>
      <c r="C161" s="55" t="s">
        <v>11309</v>
      </c>
      <c r="D161" s="266">
        <f t="shared" ref="D161:L161" si="74">D159+D160</f>
        <v>0</v>
      </c>
      <c r="E161" s="266">
        <f t="shared" si="74"/>
        <v>0</v>
      </c>
      <c r="F161" s="266">
        <f t="shared" si="74"/>
        <v>0</v>
      </c>
      <c r="G161" s="266">
        <f t="shared" si="74"/>
        <v>0</v>
      </c>
      <c r="H161" s="266">
        <f t="shared" si="74"/>
        <v>0</v>
      </c>
      <c r="I161" s="266">
        <f t="shared" si="74"/>
        <v>0</v>
      </c>
      <c r="J161" s="266">
        <f t="shared" si="74"/>
        <v>2758</v>
      </c>
      <c r="K161" s="266">
        <f t="shared" si="74"/>
        <v>2907</v>
      </c>
      <c r="L161" s="266">
        <f t="shared" si="74"/>
        <v>2880</v>
      </c>
      <c r="M161" s="266">
        <f>M159+M160</f>
        <v>2841</v>
      </c>
      <c r="N161" s="266">
        <f>N159+N160</f>
        <v>2850</v>
      </c>
      <c r="O161" s="266">
        <f>O159+O160</f>
        <v>2944</v>
      </c>
      <c r="Q161" s="260"/>
    </row>
    <row r="162" spans="1:17">
      <c r="A162" s="271">
        <v>26</v>
      </c>
      <c r="B162" s="260" t="s">
        <v>11275</v>
      </c>
      <c r="C162" s="55" t="s">
        <v>11310</v>
      </c>
      <c r="D162" s="264">
        <v>0</v>
      </c>
      <c r="E162" s="264">
        <v>0</v>
      </c>
      <c r="F162" s="264">
        <v>0</v>
      </c>
      <c r="G162" s="264">
        <v>0</v>
      </c>
      <c r="H162" s="56">
        <v>0</v>
      </c>
      <c r="I162" s="56">
        <v>0</v>
      </c>
      <c r="J162" s="56">
        <v>2440</v>
      </c>
      <c r="K162" s="56">
        <v>2539</v>
      </c>
      <c r="L162" s="56">
        <v>2610</v>
      </c>
      <c r="M162" s="56">
        <v>2651</v>
      </c>
      <c r="N162" s="56">
        <v>2740</v>
      </c>
      <c r="O162" s="56">
        <v>2799</v>
      </c>
      <c r="Q162" s="114" t="s">
        <v>4052</v>
      </c>
    </row>
    <row r="163" spans="1:17">
      <c r="A163" s="271">
        <v>27</v>
      </c>
      <c r="B163" s="260" t="s">
        <v>11276</v>
      </c>
      <c r="C163" s="55" t="s">
        <v>11311</v>
      </c>
      <c r="D163" s="264">
        <v>0</v>
      </c>
      <c r="E163" s="264">
        <v>0</v>
      </c>
      <c r="F163" s="264">
        <v>0</v>
      </c>
      <c r="G163" s="264">
        <v>0</v>
      </c>
      <c r="H163" s="56">
        <v>0</v>
      </c>
      <c r="I163" s="56">
        <v>0</v>
      </c>
      <c r="J163" s="56">
        <v>2565</v>
      </c>
      <c r="K163" s="56">
        <v>2646</v>
      </c>
      <c r="L163" s="56">
        <v>2666</v>
      </c>
      <c r="M163" s="56">
        <v>2747</v>
      </c>
      <c r="N163" s="56">
        <v>2823</v>
      </c>
      <c r="O163" s="56">
        <v>3000</v>
      </c>
      <c r="Q163" s="260" t="s">
        <v>4052</v>
      </c>
    </row>
    <row r="164" spans="1:17">
      <c r="A164" s="271">
        <v>28</v>
      </c>
      <c r="B164" s="260" t="s">
        <v>11277</v>
      </c>
      <c r="C164" s="55" t="s">
        <v>11312</v>
      </c>
      <c r="D164" s="264">
        <v>0</v>
      </c>
      <c r="E164" s="264">
        <v>0</v>
      </c>
      <c r="F164" s="264">
        <v>0</v>
      </c>
      <c r="G164" s="264">
        <v>0</v>
      </c>
      <c r="H164" s="56">
        <v>0</v>
      </c>
      <c r="I164" s="56">
        <v>0</v>
      </c>
      <c r="J164" s="58">
        <v>2849</v>
      </c>
      <c r="K164" s="58">
        <v>2946</v>
      </c>
      <c r="L164" s="58">
        <v>2942</v>
      </c>
      <c r="M164" s="58">
        <v>2927</v>
      </c>
      <c r="N164" s="58">
        <v>2964</v>
      </c>
      <c r="O164" s="58">
        <v>3058</v>
      </c>
      <c r="Q164" s="260" t="s">
        <v>3630</v>
      </c>
    </row>
    <row r="165" spans="1:17">
      <c r="A165" s="271">
        <v>29</v>
      </c>
      <c r="B165" s="260" t="s">
        <v>11278</v>
      </c>
      <c r="C165" s="55" t="s">
        <v>11313</v>
      </c>
      <c r="D165" s="264">
        <v>0</v>
      </c>
      <c r="E165" s="264">
        <v>0</v>
      </c>
      <c r="F165" s="264">
        <v>0</v>
      </c>
      <c r="G165" s="264">
        <v>0</v>
      </c>
      <c r="H165" s="56">
        <v>0</v>
      </c>
      <c r="I165" s="56">
        <v>0</v>
      </c>
      <c r="J165" s="58">
        <v>2864</v>
      </c>
      <c r="K165" s="58">
        <v>2927</v>
      </c>
      <c r="L165" s="58">
        <v>2961</v>
      </c>
      <c r="M165" s="58">
        <v>2903</v>
      </c>
      <c r="N165" s="58">
        <v>2915</v>
      </c>
      <c r="O165" s="58">
        <v>2992</v>
      </c>
      <c r="Q165" s="260" t="s">
        <v>3630</v>
      </c>
    </row>
    <row r="166" spans="1:17">
      <c r="A166" s="271">
        <v>30</v>
      </c>
      <c r="B166" s="260" t="s">
        <v>11279</v>
      </c>
      <c r="C166" s="55" t="s">
        <v>11314</v>
      </c>
      <c r="D166" s="264">
        <v>0</v>
      </c>
      <c r="E166" s="264">
        <v>0</v>
      </c>
      <c r="F166" s="264">
        <v>0</v>
      </c>
      <c r="G166" s="264">
        <v>0</v>
      </c>
      <c r="H166" s="56">
        <v>0</v>
      </c>
      <c r="I166" s="56">
        <v>0</v>
      </c>
      <c r="J166" s="58">
        <v>2582</v>
      </c>
      <c r="K166" s="58">
        <v>2659</v>
      </c>
      <c r="L166" s="58">
        <v>2628</v>
      </c>
      <c r="M166" s="58">
        <v>2596</v>
      </c>
      <c r="N166" s="58">
        <v>2634</v>
      </c>
      <c r="O166" s="58">
        <v>2698</v>
      </c>
      <c r="Q166" s="260" t="s">
        <v>3630</v>
      </c>
    </row>
    <row r="167" spans="1:17">
      <c r="A167" s="271">
        <v>31</v>
      </c>
      <c r="B167" s="260" t="s">
        <v>11280</v>
      </c>
      <c r="C167" s="55" t="s">
        <v>11315</v>
      </c>
      <c r="D167" s="264">
        <v>0</v>
      </c>
      <c r="E167" s="264">
        <v>0</v>
      </c>
      <c r="F167" s="264">
        <v>0</v>
      </c>
      <c r="G167" s="264">
        <v>0</v>
      </c>
      <c r="H167" s="56">
        <v>0</v>
      </c>
      <c r="I167" s="56">
        <v>0</v>
      </c>
      <c r="J167" s="58">
        <v>2805</v>
      </c>
      <c r="K167" s="58">
        <v>2890</v>
      </c>
      <c r="L167" s="58">
        <v>2929</v>
      </c>
      <c r="M167" s="58">
        <v>2930</v>
      </c>
      <c r="N167" s="58">
        <v>2960</v>
      </c>
      <c r="O167" s="58">
        <v>3060</v>
      </c>
      <c r="Q167" s="260" t="s">
        <v>3630</v>
      </c>
    </row>
    <row r="168" spans="1:17">
      <c r="A168" s="238" t="s">
        <v>6159</v>
      </c>
      <c r="B168" s="260" t="s">
        <v>11281</v>
      </c>
      <c r="C168" s="55" t="s">
        <v>11316</v>
      </c>
      <c r="D168" s="264">
        <v>0</v>
      </c>
      <c r="E168" s="264">
        <v>0</v>
      </c>
      <c r="F168" s="264">
        <v>0</v>
      </c>
      <c r="G168" s="264">
        <v>0</v>
      </c>
      <c r="H168" s="56">
        <v>0</v>
      </c>
      <c r="I168" s="56">
        <v>0</v>
      </c>
      <c r="J168" s="58">
        <v>2309</v>
      </c>
      <c r="K168" s="58">
        <v>2398</v>
      </c>
      <c r="L168" s="58">
        <v>2364</v>
      </c>
      <c r="M168" s="58">
        <v>2349</v>
      </c>
      <c r="N168" s="58">
        <v>2338</v>
      </c>
      <c r="O168" s="58">
        <v>2439</v>
      </c>
      <c r="Q168" s="260" t="s">
        <v>3630</v>
      </c>
    </row>
    <row r="169" spans="1:17">
      <c r="A169" s="238" t="s">
        <v>6160</v>
      </c>
      <c r="B169" s="260" t="s">
        <v>11282</v>
      </c>
      <c r="C169" s="55" t="s">
        <v>11317</v>
      </c>
      <c r="D169" s="264">
        <v>0</v>
      </c>
      <c r="E169" s="264">
        <v>0</v>
      </c>
      <c r="F169" s="264">
        <v>0</v>
      </c>
      <c r="G169" s="264">
        <v>0</v>
      </c>
      <c r="H169" s="56">
        <v>0</v>
      </c>
      <c r="I169" s="56">
        <v>0</v>
      </c>
      <c r="J169" s="58">
        <v>2587</v>
      </c>
      <c r="K169" s="58">
        <v>2745</v>
      </c>
      <c r="L169" s="58">
        <v>2870</v>
      </c>
      <c r="M169" s="58">
        <v>2937</v>
      </c>
      <c r="N169" s="58">
        <v>3128</v>
      </c>
      <c r="O169" s="58">
        <v>3322</v>
      </c>
      <c r="Q169" s="260" t="s">
        <v>3630</v>
      </c>
    </row>
    <row r="170" spans="1:17">
      <c r="A170" s="238" t="s">
        <v>6162</v>
      </c>
      <c r="B170" s="260" t="s">
        <v>11283</v>
      </c>
      <c r="C170" s="55" t="s">
        <v>11318</v>
      </c>
      <c r="D170" s="264">
        <v>0</v>
      </c>
      <c r="E170" s="264">
        <v>0</v>
      </c>
      <c r="F170" s="264">
        <v>0</v>
      </c>
      <c r="G170" s="264">
        <v>0</v>
      </c>
      <c r="H170" s="56">
        <v>0</v>
      </c>
      <c r="I170" s="56">
        <v>0</v>
      </c>
      <c r="J170" s="56">
        <v>2851</v>
      </c>
      <c r="K170" s="56">
        <v>2835</v>
      </c>
      <c r="L170" s="56">
        <v>2794</v>
      </c>
      <c r="M170" s="56">
        <v>2784</v>
      </c>
      <c r="N170" s="56">
        <v>2790</v>
      </c>
      <c r="O170" s="56">
        <v>2870</v>
      </c>
      <c r="Q170" s="260" t="s">
        <v>4052</v>
      </c>
    </row>
    <row r="171" spans="1:17" ht="15.75" thickBot="1">
      <c r="A171" s="238"/>
      <c r="B171" s="260"/>
      <c r="C171" s="55" t="s">
        <v>11318</v>
      </c>
      <c r="D171" s="264">
        <v>0</v>
      </c>
      <c r="E171" s="264">
        <v>0</v>
      </c>
      <c r="F171" s="264">
        <v>0</v>
      </c>
      <c r="G171" s="264">
        <v>0</v>
      </c>
      <c r="H171" s="56">
        <v>0</v>
      </c>
      <c r="I171" s="56">
        <v>0</v>
      </c>
      <c r="J171" s="58">
        <v>143</v>
      </c>
      <c r="K171" s="58">
        <v>148</v>
      </c>
      <c r="L171" s="58">
        <v>149</v>
      </c>
      <c r="M171" s="58">
        <v>144</v>
      </c>
      <c r="N171" s="58">
        <v>149</v>
      </c>
      <c r="O171" s="58">
        <v>151</v>
      </c>
      <c r="Q171" s="260" t="s">
        <v>3630</v>
      </c>
    </row>
    <row r="172" spans="1:17" ht="15.75" thickBot="1">
      <c r="A172" s="238"/>
      <c r="B172" s="260"/>
      <c r="C172" s="55" t="s">
        <v>11318</v>
      </c>
      <c r="D172" s="266">
        <f t="shared" ref="D172:L172" si="75">D173+D171</f>
        <v>0</v>
      </c>
      <c r="E172" s="266">
        <f t="shared" si="75"/>
        <v>0</v>
      </c>
      <c r="F172" s="266">
        <f t="shared" si="75"/>
        <v>0</v>
      </c>
      <c r="G172" s="266">
        <f t="shared" si="75"/>
        <v>0</v>
      </c>
      <c r="H172" s="266">
        <f t="shared" si="75"/>
        <v>0</v>
      </c>
      <c r="I172" s="266">
        <f t="shared" si="75"/>
        <v>0</v>
      </c>
      <c r="J172" s="266">
        <f t="shared" si="75"/>
        <v>2589</v>
      </c>
      <c r="K172" s="266">
        <f t="shared" si="75"/>
        <v>2807</v>
      </c>
      <c r="L172" s="266">
        <f t="shared" si="75"/>
        <v>2964</v>
      </c>
      <c r="M172" s="266">
        <f>M173+M171</f>
        <v>3057</v>
      </c>
      <c r="N172" s="266">
        <f>N173+N171</f>
        <v>3238</v>
      </c>
      <c r="O172" s="266">
        <f>O173+O171</f>
        <v>3336</v>
      </c>
      <c r="Q172" s="260"/>
    </row>
    <row r="173" spans="1:17">
      <c r="A173" s="238" t="s">
        <v>2157</v>
      </c>
      <c r="B173" s="260" t="s">
        <v>11284</v>
      </c>
      <c r="C173" s="55" t="s">
        <v>11319</v>
      </c>
      <c r="D173" s="264">
        <v>0</v>
      </c>
      <c r="E173" s="264">
        <v>0</v>
      </c>
      <c r="F173" s="264">
        <v>0</v>
      </c>
      <c r="G173" s="264">
        <v>0</v>
      </c>
      <c r="H173" s="56">
        <v>0</v>
      </c>
      <c r="I173" s="56">
        <v>0</v>
      </c>
      <c r="J173" s="56">
        <v>2446</v>
      </c>
      <c r="K173" s="56">
        <v>2659</v>
      </c>
      <c r="L173" s="56">
        <v>2815</v>
      </c>
      <c r="M173" s="56">
        <v>2913</v>
      </c>
      <c r="N173" s="56">
        <v>3089</v>
      </c>
      <c r="O173" s="56">
        <v>3185</v>
      </c>
      <c r="Q173" s="114" t="s">
        <v>4052</v>
      </c>
    </row>
    <row r="174" spans="1:17">
      <c r="A174" s="238" t="s">
        <v>2158</v>
      </c>
      <c r="B174" s="114" t="s">
        <v>11469</v>
      </c>
      <c r="C174" s="55" t="s">
        <v>11320</v>
      </c>
      <c r="D174" s="264">
        <v>0</v>
      </c>
      <c r="E174" s="264">
        <v>0</v>
      </c>
      <c r="F174" s="264">
        <v>0</v>
      </c>
      <c r="G174" s="264">
        <v>0</v>
      </c>
      <c r="H174" s="56">
        <v>0</v>
      </c>
      <c r="I174" s="56">
        <v>0</v>
      </c>
      <c r="J174" s="58">
        <v>2886</v>
      </c>
      <c r="K174" s="58">
        <v>2954</v>
      </c>
      <c r="L174" s="58">
        <v>2923</v>
      </c>
      <c r="M174" s="58">
        <v>2907</v>
      </c>
      <c r="N174" s="58">
        <v>2918</v>
      </c>
      <c r="O174" s="58">
        <v>2972</v>
      </c>
      <c r="Q174" s="260" t="s">
        <v>3630</v>
      </c>
    </row>
    <row r="175" spans="1:17">
      <c r="D175" s="264"/>
      <c r="E175" s="264"/>
      <c r="F175" s="264"/>
      <c r="G175" s="264"/>
      <c r="H175" s="264"/>
      <c r="I175" s="264"/>
      <c r="J175" s="264"/>
      <c r="K175" s="264"/>
      <c r="L175" s="264"/>
      <c r="M175" s="264"/>
      <c r="N175" s="264"/>
      <c r="O175" s="264"/>
    </row>
    <row r="176" spans="1:17">
      <c r="A176" s="114" t="s">
        <v>5937</v>
      </c>
      <c r="D176" s="264">
        <f t="shared" ref="D176:I176" si="76">D136+D143+D146+D150+D151+D153+D159+D162+D163+D170+D173</f>
        <v>25133</v>
      </c>
      <c r="E176" s="264">
        <f t="shared" si="76"/>
        <v>24779</v>
      </c>
      <c r="F176" s="264">
        <f t="shared" si="76"/>
        <v>25281</v>
      </c>
      <c r="G176" s="264">
        <f t="shared" si="76"/>
        <v>25664</v>
      </c>
      <c r="H176" s="264">
        <f t="shared" si="76"/>
        <v>25664</v>
      </c>
      <c r="I176" s="264">
        <f t="shared" si="76"/>
        <v>25390</v>
      </c>
      <c r="J176" s="264">
        <f t="shared" ref="J176:O176" si="77">J136+J143+J146+J150+J151+J153+J159+J162+J163+J170+J173</f>
        <v>25081</v>
      </c>
      <c r="K176" s="264">
        <f t="shared" si="77"/>
        <v>25953</v>
      </c>
      <c r="L176" s="264">
        <f t="shared" si="77"/>
        <v>26241</v>
      </c>
      <c r="M176" s="264">
        <f t="shared" si="77"/>
        <v>26715</v>
      </c>
      <c r="N176" s="264">
        <f t="shared" si="77"/>
        <v>27373</v>
      </c>
      <c r="O176" s="264">
        <f t="shared" si="77"/>
        <v>28340</v>
      </c>
    </row>
    <row r="177" spans="1:17">
      <c r="A177" s="260" t="s">
        <v>3630</v>
      </c>
      <c r="D177" s="262">
        <f t="shared" ref="D177:I177" si="78">SUM(D131:D135)+SUM(D137:D142)+D144+D145+D147+D149+D152+D154+SUM(D156:D158)+D160+SUM(D164:D169)+D171+D174</f>
        <v>69366</v>
      </c>
      <c r="E177" s="262">
        <f t="shared" si="78"/>
        <v>69108</v>
      </c>
      <c r="F177" s="262">
        <f t="shared" si="78"/>
        <v>69946</v>
      </c>
      <c r="G177" s="262">
        <f t="shared" si="78"/>
        <v>70529</v>
      </c>
      <c r="H177" s="262">
        <f t="shared" si="78"/>
        <v>70830</v>
      </c>
      <c r="I177" s="262">
        <f t="shared" si="78"/>
        <v>70006</v>
      </c>
      <c r="J177" s="262">
        <f t="shared" ref="J177:O177" si="79">SUM(J131:J135)+SUM(J137:J142)+J144+J145+J147+J149+J152+J154+SUM(J156:J158)+J160+SUM(J164:J169)+J171+J174</f>
        <v>69211</v>
      </c>
      <c r="K177" s="262">
        <f t="shared" si="79"/>
        <v>71331</v>
      </c>
      <c r="L177" s="262">
        <f t="shared" si="79"/>
        <v>71031</v>
      </c>
      <c r="M177" s="262">
        <f t="shared" si="79"/>
        <v>70800</v>
      </c>
      <c r="N177" s="262">
        <f t="shared" si="79"/>
        <v>71723</v>
      </c>
      <c r="O177" s="262">
        <f t="shared" si="79"/>
        <v>74110</v>
      </c>
    </row>
    <row r="178" spans="1:17">
      <c r="A178" s="260"/>
      <c r="B178" s="260"/>
      <c r="D178" s="272"/>
      <c r="E178" s="272"/>
      <c r="F178" s="272"/>
      <c r="G178" s="272"/>
      <c r="H178" s="272"/>
      <c r="I178" s="272"/>
      <c r="J178" s="272"/>
      <c r="K178" s="272"/>
      <c r="L178" s="272"/>
      <c r="M178" s="272"/>
      <c r="N178" s="272"/>
      <c r="O178" s="272"/>
    </row>
    <row r="179" spans="1:17">
      <c r="A179" s="114" t="s">
        <v>11285</v>
      </c>
      <c r="B179" s="260"/>
      <c r="D179" s="272"/>
      <c r="E179" s="272"/>
      <c r="F179" s="272"/>
      <c r="G179" s="272"/>
      <c r="H179" s="272"/>
      <c r="I179" s="272"/>
      <c r="J179" s="272"/>
      <c r="K179" s="272"/>
      <c r="L179" s="272"/>
      <c r="M179" s="272"/>
      <c r="N179" s="272"/>
      <c r="O179" s="272"/>
    </row>
    <row r="180" spans="1:17">
      <c r="B180" s="260"/>
      <c r="D180" s="272"/>
      <c r="E180" s="272"/>
      <c r="F180" s="272"/>
      <c r="G180" s="272"/>
      <c r="H180" s="272"/>
      <c r="I180" s="272"/>
      <c r="J180" s="272"/>
      <c r="K180" s="272"/>
      <c r="L180" s="272"/>
      <c r="M180" s="272"/>
      <c r="N180" s="272"/>
      <c r="O180" s="272"/>
    </row>
    <row r="181" spans="1:17">
      <c r="B181" s="260"/>
      <c r="D181" s="272"/>
      <c r="E181" s="272"/>
      <c r="F181" s="272"/>
      <c r="G181" s="272"/>
      <c r="H181" s="272"/>
      <c r="I181" s="272"/>
      <c r="J181" s="272"/>
      <c r="K181" s="272"/>
      <c r="L181" s="272"/>
      <c r="M181" s="272"/>
      <c r="N181" s="272"/>
      <c r="O181" s="272"/>
    </row>
    <row r="182" spans="1:17">
      <c r="E182" s="51" t="s">
        <v>1526</v>
      </c>
      <c r="F182" s="51"/>
      <c r="G182" s="51"/>
      <c r="H182" s="51"/>
      <c r="I182" s="51"/>
      <c r="J182" s="51"/>
      <c r="K182" s="51"/>
      <c r="L182" s="51"/>
      <c r="M182" s="51"/>
      <c r="N182" s="51"/>
      <c r="O182" s="51"/>
      <c r="P182" s="11"/>
      <c r="Q182" s="11" t="s">
        <v>9479</v>
      </c>
    </row>
    <row r="183" spans="1:17">
      <c r="B183" s="51"/>
      <c r="D183" s="270">
        <v>2010</v>
      </c>
      <c r="E183" s="270">
        <v>2011</v>
      </c>
      <c r="F183" s="270">
        <v>2012</v>
      </c>
      <c r="G183" s="270">
        <v>2013</v>
      </c>
      <c r="H183" s="270">
        <v>2014</v>
      </c>
      <c r="I183" s="270">
        <v>2015</v>
      </c>
      <c r="J183" s="270">
        <v>2016</v>
      </c>
      <c r="K183" s="270">
        <v>2017</v>
      </c>
      <c r="L183" s="270">
        <v>2018</v>
      </c>
      <c r="M183" s="270">
        <v>2019</v>
      </c>
      <c r="N183" s="270">
        <v>2020</v>
      </c>
      <c r="O183" s="930" t="s">
        <v>14823</v>
      </c>
      <c r="P183" s="121"/>
      <c r="Q183" s="13" t="s">
        <v>1527</v>
      </c>
    </row>
    <row r="184" spans="1:17">
      <c r="A184" s="260" t="s">
        <v>5897</v>
      </c>
      <c r="D184" s="262">
        <f t="shared" ref="D184:M184" si="80">SUM(D185:D188,D190:D196,D198:D199,D201:D207)</f>
        <v>98267</v>
      </c>
      <c r="E184" s="262">
        <f t="shared" si="80"/>
        <v>97464</v>
      </c>
      <c r="F184" s="262">
        <f t="shared" si="80"/>
        <v>98266</v>
      </c>
      <c r="G184" s="262">
        <f t="shared" si="80"/>
        <v>100220</v>
      </c>
      <c r="H184" s="262">
        <f t="shared" si="80"/>
        <v>98077</v>
      </c>
      <c r="I184" s="262">
        <f t="shared" si="80"/>
        <v>98136</v>
      </c>
      <c r="J184" s="262">
        <f t="shared" si="80"/>
        <v>97927</v>
      </c>
      <c r="K184" s="262">
        <f t="shared" si="80"/>
        <v>101033</v>
      </c>
      <c r="L184" s="262">
        <f t="shared" si="80"/>
        <v>104667</v>
      </c>
      <c r="M184" s="262">
        <f t="shared" si="80"/>
        <v>102884</v>
      </c>
      <c r="N184" s="262">
        <f>SUM(N185:N188,N190:N196,N198:N199,N201:N207)</f>
        <v>104436</v>
      </c>
      <c r="O184" s="262">
        <f>SUM(O185:O188,O190:O196,O198:O199,O201:O207)</f>
        <v>108485</v>
      </c>
      <c r="P184" s="262"/>
    </row>
    <row r="185" spans="1:17">
      <c r="A185" s="260" t="s">
        <v>5387</v>
      </c>
      <c r="B185" s="260" t="s">
        <v>5898</v>
      </c>
      <c r="C185" s="55" t="s">
        <v>13400</v>
      </c>
      <c r="D185" s="264">
        <v>67030</v>
      </c>
      <c r="E185" s="264">
        <v>66278</v>
      </c>
      <c r="F185" s="264">
        <v>67261</v>
      </c>
      <c r="G185" s="264">
        <v>69310</v>
      </c>
      <c r="H185" s="264">
        <v>66418</v>
      </c>
      <c r="I185" s="264">
        <v>67444</v>
      </c>
      <c r="J185" s="264">
        <v>67641</v>
      </c>
      <c r="K185" s="264">
        <v>69963</v>
      </c>
      <c r="L185" s="264">
        <v>73439</v>
      </c>
      <c r="M185" s="264">
        <v>72167</v>
      </c>
      <c r="N185" s="264">
        <v>3336</v>
      </c>
      <c r="O185" s="264">
        <v>3557</v>
      </c>
      <c r="Q185" s="114" t="s">
        <v>3631</v>
      </c>
    </row>
    <row r="186" spans="1:17">
      <c r="A186" s="260" t="s">
        <v>5389</v>
      </c>
      <c r="B186" s="260" t="s">
        <v>5918</v>
      </c>
      <c r="C186" s="55" t="s">
        <v>13401</v>
      </c>
      <c r="D186" s="264">
        <v>0</v>
      </c>
      <c r="E186" s="264">
        <v>0</v>
      </c>
      <c r="F186" s="264">
        <v>0</v>
      </c>
      <c r="G186" s="264">
        <v>0</v>
      </c>
      <c r="H186" s="264">
        <v>0</v>
      </c>
      <c r="I186" s="264">
        <v>0</v>
      </c>
      <c r="J186" s="264">
        <v>0</v>
      </c>
      <c r="K186" s="264">
        <v>0</v>
      </c>
      <c r="L186" s="264">
        <v>0</v>
      </c>
      <c r="M186" s="264">
        <v>0</v>
      </c>
      <c r="N186" s="264">
        <v>4885</v>
      </c>
      <c r="O186" s="264">
        <v>5013</v>
      </c>
      <c r="Q186" s="260" t="s">
        <v>3631</v>
      </c>
    </row>
    <row r="187" spans="1:17">
      <c r="A187" s="260" t="s">
        <v>5391</v>
      </c>
      <c r="B187" s="260" t="s">
        <v>13403</v>
      </c>
      <c r="C187" s="55" t="s">
        <v>13402</v>
      </c>
      <c r="D187" s="264">
        <v>0</v>
      </c>
      <c r="E187" s="264">
        <v>0</v>
      </c>
      <c r="F187" s="264">
        <v>0</v>
      </c>
      <c r="G187" s="264">
        <v>0</v>
      </c>
      <c r="H187" s="264">
        <v>0</v>
      </c>
      <c r="I187" s="264">
        <v>0</v>
      </c>
      <c r="J187" s="264">
        <v>0</v>
      </c>
      <c r="K187" s="264">
        <v>0</v>
      </c>
      <c r="L187" s="264">
        <v>0</v>
      </c>
      <c r="M187" s="264">
        <v>0</v>
      </c>
      <c r="N187" s="264">
        <v>4458</v>
      </c>
      <c r="O187" s="264">
        <v>4538</v>
      </c>
      <c r="Q187" s="260" t="s">
        <v>4052</v>
      </c>
    </row>
    <row r="188" spans="1:17" ht="15.75" thickBot="1">
      <c r="B188" s="260"/>
      <c r="C188" s="55" t="s">
        <v>13402</v>
      </c>
      <c r="D188" s="265">
        <v>0</v>
      </c>
      <c r="E188" s="265">
        <v>0</v>
      </c>
      <c r="F188" s="265">
        <v>0</v>
      </c>
      <c r="G188" s="265">
        <v>0</v>
      </c>
      <c r="H188" s="265">
        <v>0</v>
      </c>
      <c r="I188" s="265">
        <v>0</v>
      </c>
      <c r="J188" s="265">
        <v>0</v>
      </c>
      <c r="K188" s="265">
        <v>0</v>
      </c>
      <c r="L188" s="265">
        <v>0</v>
      </c>
      <c r="M188" s="265">
        <v>0</v>
      </c>
      <c r="N188" s="265">
        <v>15</v>
      </c>
      <c r="O188" s="265">
        <v>14</v>
      </c>
      <c r="Q188" s="260" t="s">
        <v>3631</v>
      </c>
    </row>
    <row r="189" spans="1:17" ht="15.75" thickBot="1">
      <c r="B189" s="260"/>
      <c r="C189" s="55" t="s">
        <v>13402</v>
      </c>
      <c r="D189" s="266">
        <f t="shared" ref="D189:M189" si="81">SUM(D187:D188)</f>
        <v>0</v>
      </c>
      <c r="E189" s="266">
        <f t="shared" si="81"/>
        <v>0</v>
      </c>
      <c r="F189" s="266">
        <f t="shared" si="81"/>
        <v>0</v>
      </c>
      <c r="G189" s="266">
        <f t="shared" si="81"/>
        <v>0</v>
      </c>
      <c r="H189" s="266">
        <f t="shared" si="81"/>
        <v>0</v>
      </c>
      <c r="I189" s="266">
        <f t="shared" si="81"/>
        <v>0</v>
      </c>
      <c r="J189" s="266">
        <f t="shared" si="81"/>
        <v>0</v>
      </c>
      <c r="K189" s="266">
        <f t="shared" si="81"/>
        <v>0</v>
      </c>
      <c r="L189" s="266">
        <f t="shared" si="81"/>
        <v>0</v>
      </c>
      <c r="M189" s="266">
        <f t="shared" si="81"/>
        <v>0</v>
      </c>
      <c r="N189" s="266">
        <f>SUM(N187:N188)</f>
        <v>4473</v>
      </c>
      <c r="O189" s="266">
        <f>SUM(O187:O188)</f>
        <v>4552</v>
      </c>
      <c r="Q189" s="260"/>
    </row>
    <row r="190" spans="1:17">
      <c r="A190" s="260" t="s">
        <v>5393</v>
      </c>
      <c r="B190" s="260" t="s">
        <v>13405</v>
      </c>
      <c r="C190" s="55" t="s">
        <v>13404</v>
      </c>
      <c r="D190" s="264">
        <v>31237</v>
      </c>
      <c r="E190" s="264">
        <v>31186</v>
      </c>
      <c r="F190" s="264">
        <v>31005</v>
      </c>
      <c r="G190" s="264">
        <v>30910</v>
      </c>
      <c r="H190" s="264">
        <v>31659</v>
      </c>
      <c r="I190" s="264">
        <v>30692</v>
      </c>
      <c r="J190" s="264">
        <v>30286</v>
      </c>
      <c r="K190" s="264">
        <v>31070</v>
      </c>
      <c r="L190" s="264">
        <v>31228</v>
      </c>
      <c r="M190" s="264">
        <v>30717</v>
      </c>
      <c r="N190" s="264">
        <v>7474</v>
      </c>
      <c r="O190" s="264">
        <v>7905</v>
      </c>
      <c r="Q190" s="260" t="s">
        <v>4052</v>
      </c>
    </row>
    <row r="191" spans="1:17">
      <c r="A191" s="260" t="s">
        <v>5394</v>
      </c>
      <c r="B191" s="260" t="s">
        <v>13407</v>
      </c>
      <c r="C191" s="55" t="s">
        <v>13406</v>
      </c>
      <c r="D191" s="264">
        <v>0</v>
      </c>
      <c r="E191" s="264">
        <v>0</v>
      </c>
      <c r="F191" s="264">
        <v>0</v>
      </c>
      <c r="G191" s="264">
        <v>0</v>
      </c>
      <c r="H191" s="264">
        <v>0</v>
      </c>
      <c r="I191" s="264">
        <v>0</v>
      </c>
      <c r="J191" s="264">
        <v>0</v>
      </c>
      <c r="K191" s="264">
        <v>0</v>
      </c>
      <c r="L191" s="264">
        <v>0</v>
      </c>
      <c r="M191" s="264">
        <v>0</v>
      </c>
      <c r="N191" s="264">
        <v>7771</v>
      </c>
      <c r="O191" s="264">
        <v>7887</v>
      </c>
      <c r="Q191" s="114" t="s">
        <v>4052</v>
      </c>
    </row>
    <row r="192" spans="1:17">
      <c r="A192" s="260" t="s">
        <v>5416</v>
      </c>
      <c r="B192" s="260" t="s">
        <v>13409</v>
      </c>
      <c r="C192" s="55" t="s">
        <v>13408</v>
      </c>
      <c r="D192" s="264">
        <v>0</v>
      </c>
      <c r="E192" s="264">
        <v>0</v>
      </c>
      <c r="F192" s="264">
        <v>0</v>
      </c>
      <c r="G192" s="264">
        <v>0</v>
      </c>
      <c r="H192" s="264">
        <v>0</v>
      </c>
      <c r="I192" s="264">
        <v>0</v>
      </c>
      <c r="J192" s="264">
        <v>0</v>
      </c>
      <c r="K192" s="264">
        <v>0</v>
      </c>
      <c r="L192" s="264">
        <v>0</v>
      </c>
      <c r="M192" s="264">
        <v>0</v>
      </c>
      <c r="N192" s="264">
        <v>7573</v>
      </c>
      <c r="O192" s="264">
        <v>7688</v>
      </c>
      <c r="Q192" s="114" t="s">
        <v>4052</v>
      </c>
    </row>
    <row r="193" spans="1:17">
      <c r="A193" s="260" t="s">
        <v>5418</v>
      </c>
      <c r="B193" s="260" t="s">
        <v>13411</v>
      </c>
      <c r="C193" s="55" t="s">
        <v>13410</v>
      </c>
      <c r="D193" s="264">
        <v>0</v>
      </c>
      <c r="E193" s="264">
        <v>0</v>
      </c>
      <c r="F193" s="264">
        <v>0</v>
      </c>
      <c r="G193" s="264">
        <v>0</v>
      </c>
      <c r="H193" s="264">
        <v>0</v>
      </c>
      <c r="I193" s="264">
        <v>0</v>
      </c>
      <c r="J193" s="264">
        <v>0</v>
      </c>
      <c r="K193" s="264">
        <v>0</v>
      </c>
      <c r="L193" s="264">
        <v>0</v>
      </c>
      <c r="M193" s="264">
        <v>0</v>
      </c>
      <c r="N193" s="264">
        <v>6666</v>
      </c>
      <c r="O193" s="264">
        <v>7292</v>
      </c>
      <c r="Q193" s="114" t="s">
        <v>3631</v>
      </c>
    </row>
    <row r="194" spans="1:17">
      <c r="A194" s="260" t="s">
        <v>5420</v>
      </c>
      <c r="B194" s="260" t="s">
        <v>13413</v>
      </c>
      <c r="C194" s="55" t="s">
        <v>13412</v>
      </c>
      <c r="D194" s="264">
        <v>0</v>
      </c>
      <c r="E194" s="264">
        <v>0</v>
      </c>
      <c r="F194" s="264">
        <v>0</v>
      </c>
      <c r="G194" s="264">
        <v>0</v>
      </c>
      <c r="H194" s="264">
        <v>0</v>
      </c>
      <c r="I194" s="264">
        <v>0</v>
      </c>
      <c r="J194" s="264">
        <v>0</v>
      </c>
      <c r="K194" s="264">
        <v>0</v>
      </c>
      <c r="L194" s="264">
        <v>0</v>
      </c>
      <c r="M194" s="264">
        <v>0</v>
      </c>
      <c r="N194" s="264">
        <v>7132</v>
      </c>
      <c r="O194" s="264">
        <v>7742</v>
      </c>
      <c r="Q194" s="260" t="s">
        <v>3631</v>
      </c>
    </row>
    <row r="195" spans="1:17">
      <c r="A195" s="260" t="s">
        <v>5422</v>
      </c>
      <c r="B195" s="260" t="s">
        <v>13415</v>
      </c>
      <c r="C195" s="55" t="s">
        <v>13414</v>
      </c>
      <c r="D195" s="264">
        <v>0</v>
      </c>
      <c r="E195" s="264">
        <v>0</v>
      </c>
      <c r="F195" s="264">
        <v>0</v>
      </c>
      <c r="G195" s="264">
        <v>0</v>
      </c>
      <c r="H195" s="264">
        <v>0</v>
      </c>
      <c r="I195" s="264">
        <v>0</v>
      </c>
      <c r="J195" s="264">
        <v>0</v>
      </c>
      <c r="K195" s="264">
        <v>0</v>
      </c>
      <c r="L195" s="264">
        <v>0</v>
      </c>
      <c r="M195" s="264">
        <v>0</v>
      </c>
      <c r="N195" s="264">
        <v>1286</v>
      </c>
      <c r="O195" s="264">
        <v>1306</v>
      </c>
      <c r="Q195" s="114" t="s">
        <v>4052</v>
      </c>
    </row>
    <row r="196" spans="1:17" ht="15.75" thickBot="1">
      <c r="B196" s="260"/>
      <c r="C196" s="55" t="s">
        <v>13414</v>
      </c>
      <c r="D196" s="265">
        <v>0</v>
      </c>
      <c r="E196" s="265">
        <v>0</v>
      </c>
      <c r="F196" s="265">
        <v>0</v>
      </c>
      <c r="G196" s="265">
        <v>0</v>
      </c>
      <c r="H196" s="265">
        <v>0</v>
      </c>
      <c r="I196" s="265">
        <v>0</v>
      </c>
      <c r="J196" s="265">
        <v>0</v>
      </c>
      <c r="K196" s="265">
        <v>0</v>
      </c>
      <c r="L196" s="265">
        <v>0</v>
      </c>
      <c r="M196" s="265">
        <v>0</v>
      </c>
      <c r="N196" s="265">
        <v>7349</v>
      </c>
      <c r="O196" s="265">
        <v>7487</v>
      </c>
      <c r="Q196" s="114" t="s">
        <v>3631</v>
      </c>
    </row>
    <row r="197" spans="1:17" ht="15.75" thickBot="1">
      <c r="B197" s="260"/>
      <c r="C197" s="55" t="s">
        <v>13414</v>
      </c>
      <c r="D197" s="266">
        <f t="shared" ref="D197:O197" si="82">SUM(D195:D196)</f>
        <v>0</v>
      </c>
      <c r="E197" s="266">
        <f t="shared" si="82"/>
        <v>0</v>
      </c>
      <c r="F197" s="266">
        <f t="shared" si="82"/>
        <v>0</v>
      </c>
      <c r="G197" s="266">
        <f t="shared" si="82"/>
        <v>0</v>
      </c>
      <c r="H197" s="266">
        <f t="shared" si="82"/>
        <v>0</v>
      </c>
      <c r="I197" s="266">
        <f t="shared" si="82"/>
        <v>0</v>
      </c>
      <c r="J197" s="266">
        <f t="shared" si="82"/>
        <v>0</v>
      </c>
      <c r="K197" s="266">
        <f t="shared" si="82"/>
        <v>0</v>
      </c>
      <c r="L197" s="266">
        <f t="shared" si="82"/>
        <v>0</v>
      </c>
      <c r="M197" s="266">
        <f t="shared" si="82"/>
        <v>0</v>
      </c>
      <c r="N197" s="266">
        <f t="shared" si="82"/>
        <v>8635</v>
      </c>
      <c r="O197" s="266">
        <f t="shared" si="82"/>
        <v>8793</v>
      </c>
    </row>
    <row r="198" spans="1:17">
      <c r="A198" s="260" t="s">
        <v>5424</v>
      </c>
      <c r="B198" s="260" t="s">
        <v>13417</v>
      </c>
      <c r="C198" s="55" t="s">
        <v>13416</v>
      </c>
      <c r="D198" s="264">
        <v>0</v>
      </c>
      <c r="E198" s="264">
        <v>0</v>
      </c>
      <c r="F198" s="264">
        <v>0</v>
      </c>
      <c r="G198" s="264">
        <v>0</v>
      </c>
      <c r="H198" s="264">
        <v>0</v>
      </c>
      <c r="I198" s="264">
        <v>0</v>
      </c>
      <c r="J198" s="264">
        <v>0</v>
      </c>
      <c r="K198" s="264">
        <v>0</v>
      </c>
      <c r="L198" s="264">
        <v>0</v>
      </c>
      <c r="M198" s="264">
        <v>0</v>
      </c>
      <c r="N198" s="264">
        <v>371</v>
      </c>
      <c r="O198" s="264">
        <v>396</v>
      </c>
      <c r="Q198" s="114" t="s">
        <v>4052</v>
      </c>
    </row>
    <row r="199" spans="1:17" ht="15.75" thickBot="1">
      <c r="A199" s="260"/>
      <c r="B199" s="260"/>
      <c r="C199" s="55" t="s">
        <v>13416</v>
      </c>
      <c r="D199" s="265">
        <v>0</v>
      </c>
      <c r="E199" s="265">
        <v>0</v>
      </c>
      <c r="F199" s="265">
        <v>0</v>
      </c>
      <c r="G199" s="265">
        <v>0</v>
      </c>
      <c r="H199" s="265">
        <v>0</v>
      </c>
      <c r="I199" s="265">
        <v>0</v>
      </c>
      <c r="J199" s="265">
        <v>0</v>
      </c>
      <c r="K199" s="265">
        <v>0</v>
      </c>
      <c r="L199" s="265">
        <v>0</v>
      </c>
      <c r="M199" s="265">
        <v>0</v>
      </c>
      <c r="N199" s="265">
        <v>6746</v>
      </c>
      <c r="O199" s="265">
        <v>7002</v>
      </c>
      <c r="Q199" s="114" t="s">
        <v>3631</v>
      </c>
    </row>
    <row r="200" spans="1:17" ht="15.75" thickBot="1">
      <c r="A200" s="260"/>
      <c r="B200" s="260"/>
      <c r="C200" s="55" t="s">
        <v>13416</v>
      </c>
      <c r="D200" s="266">
        <f t="shared" ref="D200:O200" si="83">SUM(D198:D199)</f>
        <v>0</v>
      </c>
      <c r="E200" s="266">
        <f t="shared" si="83"/>
        <v>0</v>
      </c>
      <c r="F200" s="266">
        <f t="shared" si="83"/>
        <v>0</v>
      </c>
      <c r="G200" s="266">
        <f t="shared" si="83"/>
        <v>0</v>
      </c>
      <c r="H200" s="266">
        <f t="shared" si="83"/>
        <v>0</v>
      </c>
      <c r="I200" s="266">
        <f t="shared" si="83"/>
        <v>0</v>
      </c>
      <c r="J200" s="266">
        <f t="shared" si="83"/>
        <v>0</v>
      </c>
      <c r="K200" s="266">
        <f t="shared" si="83"/>
        <v>0</v>
      </c>
      <c r="L200" s="266">
        <f t="shared" si="83"/>
        <v>0</v>
      </c>
      <c r="M200" s="266">
        <f t="shared" si="83"/>
        <v>0</v>
      </c>
      <c r="N200" s="266">
        <f t="shared" si="83"/>
        <v>7117</v>
      </c>
      <c r="O200" s="266">
        <f t="shared" si="83"/>
        <v>7398</v>
      </c>
    </row>
    <row r="201" spans="1:17">
      <c r="A201" s="260" t="s">
        <v>5426</v>
      </c>
      <c r="B201" s="260" t="s">
        <v>13419</v>
      </c>
      <c r="C201" s="55" t="s">
        <v>13418</v>
      </c>
      <c r="D201" s="264">
        <v>0</v>
      </c>
      <c r="E201" s="264">
        <v>0</v>
      </c>
      <c r="F201" s="264">
        <v>0</v>
      </c>
      <c r="G201" s="264">
        <v>0</v>
      </c>
      <c r="H201" s="264">
        <v>0</v>
      </c>
      <c r="I201" s="264">
        <v>0</v>
      </c>
      <c r="J201" s="264">
        <v>0</v>
      </c>
      <c r="K201" s="264">
        <v>0</v>
      </c>
      <c r="L201" s="264">
        <v>0</v>
      </c>
      <c r="M201" s="264">
        <v>0</v>
      </c>
      <c r="N201" s="264">
        <v>6872</v>
      </c>
      <c r="O201" s="264">
        <v>7316</v>
      </c>
      <c r="Q201" s="114" t="s">
        <v>3631</v>
      </c>
    </row>
    <row r="202" spans="1:17">
      <c r="A202" s="260" t="s">
        <v>5428</v>
      </c>
      <c r="B202" s="260" t="s">
        <v>5921</v>
      </c>
      <c r="C202" s="55" t="s">
        <v>13420</v>
      </c>
      <c r="D202" s="264">
        <v>0</v>
      </c>
      <c r="E202" s="264">
        <v>0</v>
      </c>
      <c r="F202" s="264">
        <v>0</v>
      </c>
      <c r="G202" s="264">
        <v>0</v>
      </c>
      <c r="H202" s="264">
        <v>0</v>
      </c>
      <c r="I202" s="264">
        <v>0</v>
      </c>
      <c r="J202" s="264">
        <v>0</v>
      </c>
      <c r="K202" s="264">
        <v>0</v>
      </c>
      <c r="L202" s="264">
        <v>0</v>
      </c>
      <c r="M202" s="264">
        <v>0</v>
      </c>
      <c r="N202" s="264">
        <v>2587</v>
      </c>
      <c r="O202" s="264">
        <v>2656</v>
      </c>
      <c r="Q202" s="114" t="s">
        <v>4052</v>
      </c>
    </row>
    <row r="203" spans="1:17">
      <c r="A203" s="260" t="s">
        <v>5429</v>
      </c>
      <c r="B203" s="260" t="s">
        <v>13422</v>
      </c>
      <c r="C203" s="55" t="s">
        <v>13421</v>
      </c>
      <c r="D203" s="264">
        <v>0</v>
      </c>
      <c r="E203" s="264">
        <v>0</v>
      </c>
      <c r="F203" s="264">
        <v>0</v>
      </c>
      <c r="G203" s="264">
        <v>0</v>
      </c>
      <c r="H203" s="264">
        <v>0</v>
      </c>
      <c r="I203" s="264">
        <v>0</v>
      </c>
      <c r="J203" s="264">
        <v>0</v>
      </c>
      <c r="K203" s="264">
        <v>0</v>
      </c>
      <c r="L203" s="264">
        <v>0</v>
      </c>
      <c r="M203" s="264">
        <v>0</v>
      </c>
      <c r="N203" s="264">
        <v>7068</v>
      </c>
      <c r="O203" s="264">
        <v>7238</v>
      </c>
      <c r="Q203" s="114" t="s">
        <v>3631</v>
      </c>
    </row>
    <row r="204" spans="1:17">
      <c r="A204" s="260" t="s">
        <v>5431</v>
      </c>
      <c r="B204" s="260" t="s">
        <v>13424</v>
      </c>
      <c r="C204" s="55" t="s">
        <v>13423</v>
      </c>
      <c r="D204" s="264">
        <v>0</v>
      </c>
      <c r="E204" s="264">
        <v>0</v>
      </c>
      <c r="F204" s="264">
        <v>0</v>
      </c>
      <c r="G204" s="264">
        <v>0</v>
      </c>
      <c r="H204" s="264">
        <v>0</v>
      </c>
      <c r="I204" s="264">
        <v>0</v>
      </c>
      <c r="J204" s="264">
        <v>0</v>
      </c>
      <c r="K204" s="264">
        <v>0</v>
      </c>
      <c r="L204" s="264">
        <v>0</v>
      </c>
      <c r="M204" s="264">
        <v>0</v>
      </c>
      <c r="N204" s="264">
        <v>4901</v>
      </c>
      <c r="O204" s="264">
        <v>5014</v>
      </c>
      <c r="Q204" s="114" t="s">
        <v>3631</v>
      </c>
    </row>
    <row r="205" spans="1:17">
      <c r="A205" s="260" t="s">
        <v>5433</v>
      </c>
      <c r="B205" s="260" t="s">
        <v>13426</v>
      </c>
      <c r="C205" s="55" t="s">
        <v>13425</v>
      </c>
      <c r="D205" s="264">
        <v>0</v>
      </c>
      <c r="E205" s="264">
        <v>0</v>
      </c>
      <c r="F205" s="264">
        <v>0</v>
      </c>
      <c r="G205" s="264">
        <v>0</v>
      </c>
      <c r="H205" s="264">
        <v>0</v>
      </c>
      <c r="I205" s="264">
        <v>0</v>
      </c>
      <c r="J205" s="264">
        <v>0</v>
      </c>
      <c r="K205" s="264">
        <v>0</v>
      </c>
      <c r="L205" s="264">
        <v>0</v>
      </c>
      <c r="M205" s="264">
        <v>0</v>
      </c>
      <c r="N205" s="264">
        <v>5531</v>
      </c>
      <c r="O205" s="264">
        <v>5676</v>
      </c>
      <c r="Q205" s="114" t="s">
        <v>3631</v>
      </c>
    </row>
    <row r="206" spans="1:17">
      <c r="A206" s="260" t="s">
        <v>5435</v>
      </c>
      <c r="B206" s="260" t="s">
        <v>13428</v>
      </c>
      <c r="C206" s="55" t="s">
        <v>13427</v>
      </c>
      <c r="D206" s="264">
        <v>0</v>
      </c>
      <c r="E206" s="264">
        <v>0</v>
      </c>
      <c r="F206" s="264">
        <v>0</v>
      </c>
      <c r="G206" s="264">
        <v>0</v>
      </c>
      <c r="H206" s="264">
        <v>0</v>
      </c>
      <c r="I206" s="264">
        <v>0</v>
      </c>
      <c r="J206" s="264">
        <v>0</v>
      </c>
      <c r="K206" s="264">
        <v>0</v>
      </c>
      <c r="L206" s="264">
        <v>0</v>
      </c>
      <c r="M206" s="264">
        <v>0</v>
      </c>
      <c r="N206" s="264">
        <v>5220</v>
      </c>
      <c r="O206" s="264">
        <v>5396</v>
      </c>
      <c r="Q206" s="260" t="s">
        <v>3631</v>
      </c>
    </row>
    <row r="207" spans="1:17">
      <c r="A207" s="260" t="s">
        <v>5436</v>
      </c>
      <c r="B207" s="260" t="s">
        <v>6658</v>
      </c>
      <c r="C207" s="55" t="s">
        <v>13429</v>
      </c>
      <c r="D207" s="264">
        <v>0</v>
      </c>
      <c r="E207" s="264">
        <v>0</v>
      </c>
      <c r="F207" s="264">
        <v>0</v>
      </c>
      <c r="G207" s="264">
        <v>0</v>
      </c>
      <c r="H207" s="264">
        <v>0</v>
      </c>
      <c r="I207" s="264">
        <v>0</v>
      </c>
      <c r="J207" s="264">
        <v>0</v>
      </c>
      <c r="K207" s="264">
        <v>0</v>
      </c>
      <c r="L207" s="264">
        <v>0</v>
      </c>
      <c r="M207" s="264">
        <v>0</v>
      </c>
      <c r="N207" s="264">
        <v>7195</v>
      </c>
      <c r="O207" s="264">
        <v>7362</v>
      </c>
      <c r="Q207" s="260" t="s">
        <v>3631</v>
      </c>
    </row>
    <row r="208" spans="1:17">
      <c r="D208" s="264"/>
      <c r="E208" s="264"/>
      <c r="F208" s="264"/>
      <c r="G208" s="264"/>
      <c r="H208" s="264"/>
      <c r="I208" s="264"/>
      <c r="J208" s="264"/>
      <c r="K208" s="264"/>
      <c r="L208" s="264"/>
      <c r="M208" s="264"/>
      <c r="N208" s="264"/>
      <c r="O208" s="264"/>
    </row>
    <row r="209" spans="1:15">
      <c r="A209" s="114" t="s">
        <v>5937</v>
      </c>
      <c r="D209" s="262">
        <f t="shared" ref="D209:M209" si="84">SUM(D187,D190:D192,D195,D198,D202)</f>
        <v>31237</v>
      </c>
      <c r="E209" s="262">
        <f t="shared" si="84"/>
        <v>31186</v>
      </c>
      <c r="F209" s="262">
        <f t="shared" si="84"/>
        <v>31005</v>
      </c>
      <c r="G209" s="262">
        <f t="shared" si="84"/>
        <v>30910</v>
      </c>
      <c r="H209" s="262">
        <f t="shared" si="84"/>
        <v>31659</v>
      </c>
      <c r="I209" s="262">
        <f t="shared" si="84"/>
        <v>30692</v>
      </c>
      <c r="J209" s="262">
        <f t="shared" si="84"/>
        <v>30286</v>
      </c>
      <c r="K209" s="262">
        <f t="shared" si="84"/>
        <v>31070</v>
      </c>
      <c r="L209" s="262">
        <f t="shared" si="84"/>
        <v>31228</v>
      </c>
      <c r="M209" s="262">
        <f t="shared" si="84"/>
        <v>30717</v>
      </c>
      <c r="N209" s="262">
        <f>SUM(N187,N190:N192,N195,N198,N202)</f>
        <v>31520</v>
      </c>
      <c r="O209" s="262">
        <f>SUM(O187,O190:O192,O195,O198,O202)</f>
        <v>32376</v>
      </c>
    </row>
    <row r="210" spans="1:15">
      <c r="A210" s="260" t="s">
        <v>3631</v>
      </c>
      <c r="D210" s="262">
        <f t="shared" ref="D210:M210" si="85">SUM(D185:D186,D188,D193:D194,D196,D199,D201,D203:D207)</f>
        <v>67030</v>
      </c>
      <c r="E210" s="262">
        <f t="shared" si="85"/>
        <v>66278</v>
      </c>
      <c r="F210" s="262">
        <f t="shared" si="85"/>
        <v>67261</v>
      </c>
      <c r="G210" s="262">
        <f t="shared" si="85"/>
        <v>69310</v>
      </c>
      <c r="H210" s="262">
        <f t="shared" si="85"/>
        <v>66418</v>
      </c>
      <c r="I210" s="262">
        <f t="shared" si="85"/>
        <v>67444</v>
      </c>
      <c r="J210" s="262">
        <f t="shared" si="85"/>
        <v>67641</v>
      </c>
      <c r="K210" s="262">
        <f t="shared" si="85"/>
        <v>69963</v>
      </c>
      <c r="L210" s="262">
        <f t="shared" si="85"/>
        <v>73439</v>
      </c>
      <c r="M210" s="262">
        <f t="shared" si="85"/>
        <v>72167</v>
      </c>
      <c r="N210" s="262">
        <f>SUM(N185:N186,N188,N193:N194,N196,N199,N201,N203:N207)</f>
        <v>72916</v>
      </c>
      <c r="O210" s="262">
        <f>SUM(O185:O186,O188,O193:O194,O196,O199,O201,O203:O207)</f>
        <v>76109</v>
      </c>
    </row>
    <row r="212" spans="1:15">
      <c r="A212" s="114" t="s">
        <v>13430</v>
      </c>
    </row>
  </sheetData>
  <phoneticPr fontId="6" type="noConversion"/>
  <printOptions gridLinesSet="0"/>
  <pageMargins left="0.78740157480314965" right="0" top="0.51181102362204722" bottom="0.51181102362204722" header="0.51181102362204722" footer="0.51181102362204722"/>
  <pageSetup paperSize="9" scale="70" orientation="portrait" horizontalDpi="300" verticalDpi="300" r:id="rId1"/>
  <headerFooter alignWithMargins="0">
    <oddFooter>&amp;C&amp;8&amp;P of &amp;N</oddFooter>
  </headerFooter>
  <ignoredErrors>
    <ignoredError sqref="D71:K71 D44:K44 D3:J11 D99:K99 D121:J122 D63:J64 D90:J92 D177:I177 D130:K130 D13:J39 D12:J12 K90:K92 K121:K122 K63:K64 K3:K39 L3:L183 L208" unlockedFormula="1"/>
    <ignoredError sqref="J177:K177" formula="1" unlockedFormula="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dimension ref="A1:Q72"/>
  <sheetViews>
    <sheetView showGridLines="0" topLeftCell="A16" zoomScale="90" zoomScaleNormal="90" workbookViewId="0">
      <selection activeCell="A45" sqref="A45:A46"/>
    </sheetView>
  </sheetViews>
  <sheetFormatPr defaultColWidth="12.5703125" defaultRowHeight="15"/>
  <cols>
    <col min="1" max="1" width="4.85546875" style="113" customWidth="1"/>
    <col min="2" max="2" width="39.7109375" style="113" customWidth="1"/>
    <col min="3" max="3" width="11.5703125" style="113" customWidth="1"/>
    <col min="4" max="15" width="10" style="113" customWidth="1"/>
    <col min="16" max="16" width="2.28515625" style="113" customWidth="1"/>
    <col min="17" max="17" width="35.85546875" style="113" customWidth="1"/>
    <col min="18" max="16384" width="12.5703125" style="113"/>
  </cols>
  <sheetData>
    <row r="1" spans="1:17">
      <c r="A1" s="250" t="s">
        <v>5719</v>
      </c>
      <c r="D1" s="251">
        <v>2010</v>
      </c>
      <c r="E1" s="251">
        <v>2011</v>
      </c>
      <c r="F1" s="251">
        <v>2012</v>
      </c>
      <c r="G1" s="251">
        <v>2013</v>
      </c>
      <c r="H1" s="251">
        <v>2014</v>
      </c>
      <c r="I1" s="251">
        <v>2015</v>
      </c>
      <c r="J1" s="251">
        <v>2016</v>
      </c>
      <c r="K1" s="251">
        <v>2017</v>
      </c>
      <c r="L1" s="251">
        <v>2018</v>
      </c>
      <c r="M1" s="251">
        <v>2019</v>
      </c>
      <c r="N1" s="251">
        <v>2020</v>
      </c>
      <c r="O1" s="929" t="s">
        <v>14823</v>
      </c>
    </row>
    <row r="3" spans="1:17">
      <c r="A3" s="250" t="s">
        <v>6988</v>
      </c>
      <c r="D3" s="252">
        <f t="shared" ref="D3:N3" si="0">SUM(D19:D26,D28:D35,D37:D40)</f>
        <v>122556</v>
      </c>
      <c r="E3" s="252">
        <f t="shared" si="0"/>
        <v>125143</v>
      </c>
      <c r="F3" s="252">
        <f t="shared" si="0"/>
        <v>121693</v>
      </c>
      <c r="G3" s="252">
        <f t="shared" si="0"/>
        <v>119176</v>
      </c>
      <c r="H3" s="252">
        <f t="shared" si="0"/>
        <v>115815</v>
      </c>
      <c r="I3" s="252">
        <f t="shared" si="0"/>
        <v>107953</v>
      </c>
      <c r="J3" s="252">
        <f t="shared" si="0"/>
        <v>111349</v>
      </c>
      <c r="K3" s="252">
        <f t="shared" si="0"/>
        <v>118059</v>
      </c>
      <c r="L3" s="252">
        <f t="shared" si="0"/>
        <v>118134</v>
      </c>
      <c r="M3" s="252">
        <f t="shared" si="0"/>
        <v>114056</v>
      </c>
      <c r="N3" s="252">
        <f t="shared" si="0"/>
        <v>120656</v>
      </c>
      <c r="O3" s="252">
        <f>SUM(O19:O26,O28:O35,O37:O40)</f>
        <v>120686</v>
      </c>
    </row>
    <row r="4" spans="1:17">
      <c r="A4" s="250"/>
      <c r="D4" s="253"/>
      <c r="E4" s="253"/>
      <c r="F4" s="253"/>
      <c r="G4" s="253"/>
      <c r="H4" s="253"/>
      <c r="I4" s="253"/>
      <c r="J4" s="253"/>
      <c r="K4" s="253"/>
      <c r="L4" s="253"/>
      <c r="M4" s="253"/>
      <c r="N4" s="253"/>
      <c r="O4" s="253"/>
    </row>
    <row r="5" spans="1:17">
      <c r="A5" s="254" t="s">
        <v>5720</v>
      </c>
      <c r="D5" s="255">
        <f t="shared" ref="D5:N5" si="1">D3/2</f>
        <v>61278</v>
      </c>
      <c r="E5" s="255">
        <f t="shared" si="1"/>
        <v>62571.5</v>
      </c>
      <c r="F5" s="255">
        <f t="shared" si="1"/>
        <v>60846.5</v>
      </c>
      <c r="G5" s="255">
        <f t="shared" si="1"/>
        <v>59588</v>
      </c>
      <c r="H5" s="255">
        <f t="shared" si="1"/>
        <v>57907.5</v>
      </c>
      <c r="I5" s="255">
        <f t="shared" si="1"/>
        <v>53976.5</v>
      </c>
      <c r="J5" s="255">
        <f t="shared" si="1"/>
        <v>55674.5</v>
      </c>
      <c r="K5" s="255">
        <f t="shared" si="1"/>
        <v>59029.5</v>
      </c>
      <c r="L5" s="255">
        <f t="shared" si="1"/>
        <v>59067</v>
      </c>
      <c r="M5" s="255">
        <f t="shared" si="1"/>
        <v>57028</v>
      </c>
      <c r="N5" s="255">
        <f t="shared" si="1"/>
        <v>60328</v>
      </c>
      <c r="O5" s="255">
        <f t="shared" ref="O5" si="2">O3/2</f>
        <v>60343</v>
      </c>
    </row>
    <row r="6" spans="1:17">
      <c r="D6" s="256"/>
      <c r="E6" s="256"/>
      <c r="F6" s="256"/>
      <c r="G6" s="256"/>
      <c r="H6" s="256"/>
      <c r="I6" s="256"/>
      <c r="J6" s="256"/>
      <c r="K6" s="256"/>
      <c r="L6" s="256"/>
      <c r="M6" s="256"/>
      <c r="N6" s="256"/>
      <c r="O6" s="256"/>
    </row>
    <row r="7" spans="1:17">
      <c r="A7" s="250" t="s">
        <v>6328</v>
      </c>
      <c r="D7" s="255">
        <f>'CITY OF LONDON'!D5</f>
        <v>5947</v>
      </c>
      <c r="E7" s="255">
        <f>'CITY OF LONDON'!E5</f>
        <v>5933</v>
      </c>
      <c r="F7" s="255">
        <f>'CITY OF LONDON'!F5</f>
        <v>5992</v>
      </c>
      <c r="G7" s="255">
        <f>'CITY OF LONDON'!G5</f>
        <v>5898</v>
      </c>
      <c r="H7" s="255">
        <f>'CITY OF LONDON'!H5</f>
        <v>5921</v>
      </c>
      <c r="I7" s="255">
        <f>'CITY OF LONDON'!I5</f>
        <v>5853</v>
      </c>
      <c r="J7" s="255">
        <f>'CITY OF LONDON'!J5</f>
        <v>6158</v>
      </c>
      <c r="K7" s="255">
        <f>'CITY OF LONDON'!K5</f>
        <v>6055</v>
      </c>
      <c r="L7" s="255">
        <f>'CITY OF LONDON'!L5</f>
        <v>6034</v>
      </c>
      <c r="M7" s="255">
        <f>'CITY OF LONDON'!M5</f>
        <v>5903</v>
      </c>
      <c r="N7" s="255">
        <f>'CITY OF LONDON'!N5</f>
        <v>5804</v>
      </c>
      <c r="O7" s="255">
        <f>'CITY OF LONDON'!O5</f>
        <v>6304</v>
      </c>
      <c r="Q7" s="250" t="s">
        <v>6895</v>
      </c>
    </row>
    <row r="8" spans="1:17" ht="15.75" thickBot="1">
      <c r="D8" s="257">
        <f t="shared" ref="D8:N8" si="3">SUM(D23:D25,D30:D32,D34,D37:D39)</f>
        <v>58097</v>
      </c>
      <c r="E8" s="257">
        <f t="shared" si="3"/>
        <v>59207</v>
      </c>
      <c r="F8" s="257">
        <f t="shared" si="3"/>
        <v>57502</v>
      </c>
      <c r="G8" s="257">
        <f t="shared" si="3"/>
        <v>56495</v>
      </c>
      <c r="H8" s="257">
        <f t="shared" si="3"/>
        <v>54936</v>
      </c>
      <c r="I8" s="257">
        <f t="shared" si="3"/>
        <v>50068</v>
      </c>
      <c r="J8" s="257">
        <f t="shared" si="3"/>
        <v>51913</v>
      </c>
      <c r="K8" s="257">
        <f t="shared" si="3"/>
        <v>55167</v>
      </c>
      <c r="L8" s="257">
        <f t="shared" si="3"/>
        <v>54542</v>
      </c>
      <c r="M8" s="257">
        <f t="shared" si="3"/>
        <v>52736</v>
      </c>
      <c r="N8" s="257">
        <f t="shared" si="3"/>
        <v>56244</v>
      </c>
      <c r="O8" s="257">
        <f>SUM(O23:O25,O30:O32,O34,O37:O39)</f>
        <v>56266</v>
      </c>
      <c r="Q8" s="250" t="s">
        <v>6329</v>
      </c>
    </row>
    <row r="9" spans="1:17" ht="15.75" thickBot="1">
      <c r="D9" s="257">
        <f t="shared" ref="D9:N9" si="4">D7+D8</f>
        <v>64044</v>
      </c>
      <c r="E9" s="257">
        <f t="shared" si="4"/>
        <v>65140</v>
      </c>
      <c r="F9" s="257">
        <f t="shared" si="4"/>
        <v>63494</v>
      </c>
      <c r="G9" s="257">
        <f t="shared" si="4"/>
        <v>62393</v>
      </c>
      <c r="H9" s="257">
        <f t="shared" si="4"/>
        <v>60857</v>
      </c>
      <c r="I9" s="257">
        <f t="shared" si="4"/>
        <v>55921</v>
      </c>
      <c r="J9" s="257">
        <f t="shared" si="4"/>
        <v>58071</v>
      </c>
      <c r="K9" s="257">
        <f t="shared" si="4"/>
        <v>61222</v>
      </c>
      <c r="L9" s="257">
        <f t="shared" si="4"/>
        <v>60576</v>
      </c>
      <c r="M9" s="257">
        <f t="shared" si="4"/>
        <v>58639</v>
      </c>
      <c r="N9" s="257">
        <f t="shared" si="4"/>
        <v>62048</v>
      </c>
      <c r="O9" s="257">
        <f t="shared" ref="O9" si="5">O7+O8</f>
        <v>62570</v>
      </c>
    </row>
    <row r="10" spans="1:17">
      <c r="D10" s="256"/>
      <c r="E10" s="256"/>
      <c r="F10" s="256"/>
      <c r="G10" s="256"/>
      <c r="H10" s="256"/>
      <c r="I10" s="256"/>
      <c r="J10" s="256"/>
      <c r="K10" s="256"/>
      <c r="L10" s="256"/>
      <c r="M10" s="256"/>
      <c r="N10" s="256"/>
      <c r="O10" s="256"/>
    </row>
    <row r="11" spans="1:17">
      <c r="A11" s="250" t="s">
        <v>3366</v>
      </c>
      <c r="D11" s="252">
        <f t="shared" ref="D11:N11" si="6">SUM(D19:D22,D26,D28:D29,D33,D35,D40)</f>
        <v>64459</v>
      </c>
      <c r="E11" s="252">
        <f t="shared" si="6"/>
        <v>65936</v>
      </c>
      <c r="F11" s="252">
        <f t="shared" si="6"/>
        <v>64191</v>
      </c>
      <c r="G11" s="252">
        <f t="shared" si="6"/>
        <v>62681</v>
      </c>
      <c r="H11" s="252">
        <f t="shared" si="6"/>
        <v>60879</v>
      </c>
      <c r="I11" s="252">
        <f t="shared" si="6"/>
        <v>57885</v>
      </c>
      <c r="J11" s="252">
        <f t="shared" si="6"/>
        <v>59436</v>
      </c>
      <c r="K11" s="252">
        <f t="shared" si="6"/>
        <v>62892</v>
      </c>
      <c r="L11" s="252">
        <f t="shared" si="6"/>
        <v>63592</v>
      </c>
      <c r="M11" s="252">
        <f t="shared" si="6"/>
        <v>61320</v>
      </c>
      <c r="N11" s="252">
        <f t="shared" si="6"/>
        <v>64412</v>
      </c>
      <c r="O11" s="252">
        <f>SUM(O19:O22,O26,O28:O29,O33,O35,O40)</f>
        <v>64420</v>
      </c>
      <c r="Q11" s="250" t="s">
        <v>6329</v>
      </c>
    </row>
    <row r="12" spans="1:17">
      <c r="D12" s="256"/>
      <c r="E12" s="256"/>
      <c r="F12" s="256"/>
      <c r="G12" s="256"/>
      <c r="H12" s="256"/>
      <c r="I12" s="256"/>
      <c r="J12" s="256"/>
      <c r="K12" s="256"/>
      <c r="L12" s="256"/>
      <c r="M12" s="256"/>
      <c r="N12" s="256"/>
      <c r="O12" s="256"/>
    </row>
    <row r="13" spans="1:17">
      <c r="A13" s="250" t="s">
        <v>6796</v>
      </c>
      <c r="D13" s="255">
        <f t="shared" ref="D13:I13" si="7">D8+D11</f>
        <v>122556</v>
      </c>
      <c r="E13" s="255">
        <f t="shared" si="7"/>
        <v>125143</v>
      </c>
      <c r="F13" s="255">
        <f t="shared" si="7"/>
        <v>121693</v>
      </c>
      <c r="G13" s="255">
        <f t="shared" si="7"/>
        <v>119176</v>
      </c>
      <c r="H13" s="255">
        <f t="shared" si="7"/>
        <v>115815</v>
      </c>
      <c r="I13" s="255">
        <f t="shared" si="7"/>
        <v>107953</v>
      </c>
      <c r="J13" s="255">
        <f t="shared" ref="J13:O13" si="8">J8+J11</f>
        <v>111349</v>
      </c>
      <c r="K13" s="255">
        <f t="shared" si="8"/>
        <v>118059</v>
      </c>
      <c r="L13" s="255">
        <f t="shared" si="8"/>
        <v>118134</v>
      </c>
      <c r="M13" s="255">
        <f t="shared" si="8"/>
        <v>114056</v>
      </c>
      <c r="N13" s="255">
        <f t="shared" si="8"/>
        <v>120656</v>
      </c>
      <c r="O13" s="255">
        <f t="shared" si="8"/>
        <v>120686</v>
      </c>
    </row>
    <row r="14" spans="1:17">
      <c r="D14" s="256"/>
      <c r="E14" s="256"/>
      <c r="F14" s="256"/>
      <c r="G14" s="256"/>
      <c r="H14" s="256"/>
      <c r="I14" s="256"/>
      <c r="J14" s="256"/>
      <c r="K14" s="256"/>
      <c r="L14" s="256"/>
      <c r="M14" s="256"/>
      <c r="N14" s="256"/>
      <c r="O14" s="256"/>
    </row>
    <row r="15" spans="1:17">
      <c r="A15" s="250" t="s">
        <v>6797</v>
      </c>
      <c r="D15" s="255">
        <f t="shared" ref="D15:I15" si="9">MAX(D9,D11)-MIN(D9,D11)</f>
        <v>415</v>
      </c>
      <c r="E15" s="255">
        <f t="shared" si="9"/>
        <v>796</v>
      </c>
      <c r="F15" s="255">
        <f t="shared" si="9"/>
        <v>697</v>
      </c>
      <c r="G15" s="255">
        <f t="shared" si="9"/>
        <v>288</v>
      </c>
      <c r="H15" s="255">
        <f t="shared" si="9"/>
        <v>22</v>
      </c>
      <c r="I15" s="255">
        <f t="shared" si="9"/>
        <v>1964</v>
      </c>
      <c r="J15" s="255">
        <f t="shared" ref="J15:O15" si="10">MAX(J9,J11)-MIN(J9,J11)</f>
        <v>1365</v>
      </c>
      <c r="K15" s="255">
        <f t="shared" si="10"/>
        <v>1670</v>
      </c>
      <c r="L15" s="255">
        <f t="shared" si="10"/>
        <v>3016</v>
      </c>
      <c r="M15" s="255">
        <f t="shared" si="10"/>
        <v>2681</v>
      </c>
      <c r="N15" s="255">
        <f t="shared" si="10"/>
        <v>2364</v>
      </c>
      <c r="O15" s="255">
        <f t="shared" si="10"/>
        <v>1850</v>
      </c>
    </row>
    <row r="16" spans="1:17">
      <c r="D16" s="256"/>
      <c r="E16" s="256"/>
      <c r="F16" s="256"/>
      <c r="G16" s="256"/>
      <c r="H16" s="256"/>
      <c r="I16" s="256"/>
      <c r="J16" s="256"/>
      <c r="K16" s="256"/>
      <c r="L16" s="256"/>
      <c r="M16" s="256"/>
      <c r="N16" s="256"/>
      <c r="O16" s="256"/>
    </row>
    <row r="17" spans="1:17">
      <c r="A17" s="254" t="s">
        <v>6800</v>
      </c>
      <c r="D17" s="255">
        <f t="shared" ref="D17:I17" si="11">STDEVP(D9,D11)</f>
        <v>207.5</v>
      </c>
      <c r="E17" s="255">
        <f t="shared" si="11"/>
        <v>398</v>
      </c>
      <c r="F17" s="255">
        <f t="shared" si="11"/>
        <v>348.5</v>
      </c>
      <c r="G17" s="255">
        <f t="shared" si="11"/>
        <v>144</v>
      </c>
      <c r="H17" s="255">
        <f t="shared" si="11"/>
        <v>11</v>
      </c>
      <c r="I17" s="255">
        <f t="shared" si="11"/>
        <v>982</v>
      </c>
      <c r="J17" s="255">
        <f t="shared" ref="J17:O17" si="12">STDEVP(J9,J11)</f>
        <v>682.5</v>
      </c>
      <c r="K17" s="255">
        <f t="shared" si="12"/>
        <v>835</v>
      </c>
      <c r="L17" s="255">
        <f t="shared" si="12"/>
        <v>1508</v>
      </c>
      <c r="M17" s="255">
        <f t="shared" si="12"/>
        <v>1340.5</v>
      </c>
      <c r="N17" s="255">
        <f t="shared" si="12"/>
        <v>1182</v>
      </c>
      <c r="O17" s="255">
        <f t="shared" si="12"/>
        <v>925</v>
      </c>
    </row>
    <row r="18" spans="1:17">
      <c r="D18" s="256"/>
      <c r="E18" s="256"/>
      <c r="F18" s="256"/>
      <c r="G18" s="256"/>
      <c r="H18" s="256"/>
      <c r="I18" s="256"/>
      <c r="J18" s="256"/>
      <c r="K18" s="256"/>
      <c r="L18" s="256"/>
      <c r="M18" s="256"/>
      <c r="N18" s="256"/>
      <c r="O18" s="256"/>
    </row>
    <row r="19" spans="1:17">
      <c r="A19" s="250" t="s">
        <v>5387</v>
      </c>
      <c r="B19" s="250" t="s">
        <v>1986</v>
      </c>
      <c r="C19" s="55" t="s">
        <v>15951</v>
      </c>
      <c r="D19" s="258">
        <v>64459</v>
      </c>
      <c r="E19" s="258">
        <v>65936</v>
      </c>
      <c r="F19" s="258">
        <v>64191</v>
      </c>
      <c r="G19" s="258">
        <v>62681</v>
      </c>
      <c r="H19" s="258">
        <v>60879</v>
      </c>
      <c r="I19" s="258">
        <v>57885</v>
      </c>
      <c r="J19" s="258">
        <v>59436</v>
      </c>
      <c r="K19" s="258">
        <v>62892</v>
      </c>
      <c r="L19" s="258">
        <v>63592</v>
      </c>
      <c r="M19" s="258">
        <v>61320</v>
      </c>
      <c r="N19" s="258">
        <v>64412</v>
      </c>
      <c r="O19" s="63">
        <v>7201</v>
      </c>
      <c r="Q19" s="250" t="s">
        <v>3366</v>
      </c>
    </row>
    <row r="20" spans="1:17">
      <c r="A20" s="250" t="s">
        <v>5389</v>
      </c>
      <c r="B20" s="250" t="s">
        <v>1987</v>
      </c>
      <c r="C20" s="55" t="s">
        <v>15952</v>
      </c>
      <c r="D20" s="258">
        <v>0</v>
      </c>
      <c r="E20" s="258">
        <v>0</v>
      </c>
      <c r="F20" s="258">
        <v>0</v>
      </c>
      <c r="G20" s="258">
        <v>0</v>
      </c>
      <c r="H20" s="258">
        <v>0</v>
      </c>
      <c r="I20" s="258">
        <v>0</v>
      </c>
      <c r="J20" s="258">
        <v>0</v>
      </c>
      <c r="K20" s="258">
        <v>0</v>
      </c>
      <c r="L20" s="258">
        <v>0</v>
      </c>
      <c r="M20" s="258">
        <v>0</v>
      </c>
      <c r="N20" s="258">
        <v>0</v>
      </c>
      <c r="O20" s="63">
        <v>6765</v>
      </c>
      <c r="Q20" s="250" t="s">
        <v>3366</v>
      </c>
    </row>
    <row r="21" spans="1:17">
      <c r="A21" s="250" t="s">
        <v>5391</v>
      </c>
      <c r="B21" s="250" t="s">
        <v>1989</v>
      </c>
      <c r="C21" s="55" t="s">
        <v>15953</v>
      </c>
      <c r="D21" s="258">
        <v>0</v>
      </c>
      <c r="E21" s="258">
        <v>0</v>
      </c>
      <c r="F21" s="258">
        <v>0</v>
      </c>
      <c r="G21" s="258">
        <v>0</v>
      </c>
      <c r="H21" s="258">
        <v>0</v>
      </c>
      <c r="I21" s="258">
        <v>0</v>
      </c>
      <c r="J21" s="258">
        <v>0</v>
      </c>
      <c r="K21" s="258">
        <v>0</v>
      </c>
      <c r="L21" s="258">
        <v>0</v>
      </c>
      <c r="M21" s="258">
        <v>0</v>
      </c>
      <c r="N21" s="258">
        <v>0</v>
      </c>
      <c r="O21" s="63">
        <v>6923</v>
      </c>
      <c r="Q21" s="250" t="s">
        <v>3366</v>
      </c>
    </row>
    <row r="22" spans="1:17">
      <c r="A22" s="250" t="s">
        <v>5393</v>
      </c>
      <c r="B22" s="250" t="s">
        <v>1990</v>
      </c>
      <c r="C22" s="55" t="s">
        <v>15954</v>
      </c>
      <c r="D22" s="258">
        <v>0</v>
      </c>
      <c r="E22" s="258">
        <v>0</v>
      </c>
      <c r="F22" s="258">
        <v>0</v>
      </c>
      <c r="G22" s="258">
        <v>0</v>
      </c>
      <c r="H22" s="258">
        <v>0</v>
      </c>
      <c r="I22" s="258">
        <v>0</v>
      </c>
      <c r="J22" s="258">
        <v>0</v>
      </c>
      <c r="K22" s="258">
        <v>0</v>
      </c>
      <c r="L22" s="258">
        <v>0</v>
      </c>
      <c r="M22" s="258">
        <v>0</v>
      </c>
      <c r="N22" s="258">
        <v>0</v>
      </c>
      <c r="O22" s="63">
        <v>6964</v>
      </c>
      <c r="Q22" s="250" t="s">
        <v>3366</v>
      </c>
    </row>
    <row r="23" spans="1:17">
      <c r="A23" s="250" t="s">
        <v>5394</v>
      </c>
      <c r="B23" s="250" t="s">
        <v>1991</v>
      </c>
      <c r="C23" s="55" t="s">
        <v>15955</v>
      </c>
      <c r="D23" s="258">
        <v>58097</v>
      </c>
      <c r="E23" s="258">
        <v>59207</v>
      </c>
      <c r="F23" s="258">
        <v>57502</v>
      </c>
      <c r="G23" s="258">
        <v>56495</v>
      </c>
      <c r="H23" s="258">
        <v>54936</v>
      </c>
      <c r="I23" s="258">
        <v>50068</v>
      </c>
      <c r="J23" s="258">
        <v>51913</v>
      </c>
      <c r="K23" s="258">
        <v>55167</v>
      </c>
      <c r="L23" s="258">
        <v>54542</v>
      </c>
      <c r="M23" s="258">
        <v>52736</v>
      </c>
      <c r="N23" s="258">
        <v>56244</v>
      </c>
      <c r="O23" s="63">
        <v>5162</v>
      </c>
      <c r="Q23" s="250" t="s">
        <v>6328</v>
      </c>
    </row>
    <row r="24" spans="1:17">
      <c r="A24" s="250" t="s">
        <v>5416</v>
      </c>
      <c r="B24" s="250" t="s">
        <v>15947</v>
      </c>
      <c r="C24" s="55" t="s">
        <v>15956</v>
      </c>
      <c r="D24" s="258">
        <v>0</v>
      </c>
      <c r="E24" s="258">
        <v>0</v>
      </c>
      <c r="F24" s="258">
        <v>0</v>
      </c>
      <c r="G24" s="258">
        <v>0</v>
      </c>
      <c r="H24" s="258">
        <v>0</v>
      </c>
      <c r="I24" s="258">
        <v>0</v>
      </c>
      <c r="J24" s="258">
        <v>0</v>
      </c>
      <c r="K24" s="258">
        <v>0</v>
      </c>
      <c r="L24" s="258">
        <v>0</v>
      </c>
      <c r="M24" s="258">
        <v>0</v>
      </c>
      <c r="N24" s="258">
        <v>0</v>
      </c>
      <c r="O24" s="63">
        <v>6330</v>
      </c>
      <c r="Q24" s="250" t="s">
        <v>6328</v>
      </c>
    </row>
    <row r="25" spans="1:17">
      <c r="A25" s="250" t="s">
        <v>5418</v>
      </c>
      <c r="B25" s="250" t="s">
        <v>1992</v>
      </c>
      <c r="C25" s="55" t="s">
        <v>15957</v>
      </c>
      <c r="D25" s="258">
        <v>0</v>
      </c>
      <c r="E25" s="258">
        <v>0</v>
      </c>
      <c r="F25" s="258">
        <v>0</v>
      </c>
      <c r="G25" s="258">
        <v>0</v>
      </c>
      <c r="H25" s="258">
        <v>0</v>
      </c>
      <c r="I25" s="258">
        <v>0</v>
      </c>
      <c r="J25" s="258">
        <v>0</v>
      </c>
      <c r="K25" s="258">
        <v>0</v>
      </c>
      <c r="L25" s="258">
        <v>0</v>
      </c>
      <c r="M25" s="258">
        <v>0</v>
      </c>
      <c r="N25" s="258">
        <v>0</v>
      </c>
      <c r="O25" s="63">
        <v>1495</v>
      </c>
      <c r="Q25" s="250" t="s">
        <v>6328</v>
      </c>
    </row>
    <row r="26" spans="1:17" ht="15.75" thickBot="1">
      <c r="A26" s="250"/>
      <c r="B26" s="250"/>
      <c r="C26" s="55" t="s">
        <v>15957</v>
      </c>
      <c r="D26" s="258">
        <v>0</v>
      </c>
      <c r="E26" s="258">
        <v>0</v>
      </c>
      <c r="F26" s="258">
        <v>0</v>
      </c>
      <c r="G26" s="258">
        <v>0</v>
      </c>
      <c r="H26" s="258">
        <v>0</v>
      </c>
      <c r="I26" s="258">
        <v>0</v>
      </c>
      <c r="J26" s="258">
        <v>0</v>
      </c>
      <c r="K26" s="258">
        <v>0</v>
      </c>
      <c r="L26" s="258">
        <v>0</v>
      </c>
      <c r="M26" s="258">
        <v>0</v>
      </c>
      <c r="N26" s="258">
        <v>0</v>
      </c>
      <c r="O26" s="63">
        <v>4246</v>
      </c>
      <c r="Q26" s="250" t="s">
        <v>3366</v>
      </c>
    </row>
    <row r="27" spans="1:17" ht="15.75" thickBot="1">
      <c r="A27" s="250"/>
      <c r="B27" s="250"/>
      <c r="C27" s="55" t="s">
        <v>15957</v>
      </c>
      <c r="D27" s="266">
        <f t="shared" ref="D27:M27" si="13">SUM(D25:D26)</f>
        <v>0</v>
      </c>
      <c r="E27" s="266">
        <f t="shared" si="13"/>
        <v>0</v>
      </c>
      <c r="F27" s="266">
        <f t="shared" si="13"/>
        <v>0</v>
      </c>
      <c r="G27" s="266">
        <f t="shared" si="13"/>
        <v>0</v>
      </c>
      <c r="H27" s="266">
        <f t="shared" si="13"/>
        <v>0</v>
      </c>
      <c r="I27" s="266">
        <f t="shared" si="13"/>
        <v>0</v>
      </c>
      <c r="J27" s="266">
        <f t="shared" si="13"/>
        <v>0</v>
      </c>
      <c r="K27" s="266">
        <f t="shared" si="13"/>
        <v>0</v>
      </c>
      <c r="L27" s="266">
        <f t="shared" si="13"/>
        <v>0</v>
      </c>
      <c r="M27" s="266">
        <f t="shared" si="13"/>
        <v>0</v>
      </c>
      <c r="N27" s="266">
        <f>SUM(N25:N26)</f>
        <v>0</v>
      </c>
      <c r="O27" s="266">
        <f>SUM(O25:O26)</f>
        <v>5741</v>
      </c>
      <c r="Q27" s="250"/>
    </row>
    <row r="28" spans="1:17">
      <c r="A28" s="250" t="s">
        <v>5420</v>
      </c>
      <c r="B28" s="250" t="s">
        <v>1993</v>
      </c>
      <c r="C28" s="55" t="s">
        <v>15958</v>
      </c>
      <c r="D28" s="258">
        <v>0</v>
      </c>
      <c r="E28" s="258">
        <v>0</v>
      </c>
      <c r="F28" s="258">
        <v>0</v>
      </c>
      <c r="G28" s="258">
        <v>0</v>
      </c>
      <c r="H28" s="258">
        <v>0</v>
      </c>
      <c r="I28" s="258">
        <v>0</v>
      </c>
      <c r="J28" s="258">
        <v>0</v>
      </c>
      <c r="K28" s="258">
        <v>0</v>
      </c>
      <c r="L28" s="258">
        <v>0</v>
      </c>
      <c r="M28" s="258">
        <v>0</v>
      </c>
      <c r="N28" s="258">
        <v>0</v>
      </c>
      <c r="O28" s="63">
        <v>5930</v>
      </c>
      <c r="Q28" s="250" t="s">
        <v>3366</v>
      </c>
    </row>
    <row r="29" spans="1:17">
      <c r="A29" s="250" t="s">
        <v>5422</v>
      </c>
      <c r="B29" s="250" t="s">
        <v>1994</v>
      </c>
      <c r="C29" s="55" t="s">
        <v>15959</v>
      </c>
      <c r="D29" s="258">
        <v>0</v>
      </c>
      <c r="E29" s="258">
        <v>0</v>
      </c>
      <c r="F29" s="258">
        <v>0</v>
      </c>
      <c r="G29" s="258">
        <v>0</v>
      </c>
      <c r="H29" s="258">
        <v>0</v>
      </c>
      <c r="I29" s="258">
        <v>0</v>
      </c>
      <c r="J29" s="258">
        <v>0</v>
      </c>
      <c r="K29" s="258">
        <v>0</v>
      </c>
      <c r="L29" s="258">
        <v>0</v>
      </c>
      <c r="M29" s="258">
        <v>0</v>
      </c>
      <c r="N29" s="258">
        <v>0</v>
      </c>
      <c r="O29" s="63">
        <v>6776</v>
      </c>
      <c r="Q29" s="250" t="s">
        <v>3366</v>
      </c>
    </row>
    <row r="30" spans="1:17">
      <c r="A30" s="250" t="s">
        <v>5424</v>
      </c>
      <c r="B30" s="250" t="s">
        <v>15948</v>
      </c>
      <c r="C30" s="55" t="s">
        <v>15960</v>
      </c>
      <c r="D30" s="258">
        <v>0</v>
      </c>
      <c r="E30" s="258">
        <v>0</v>
      </c>
      <c r="F30" s="258">
        <v>0</v>
      </c>
      <c r="G30" s="258">
        <v>0</v>
      </c>
      <c r="H30" s="258">
        <v>0</v>
      </c>
      <c r="I30" s="258">
        <v>0</v>
      </c>
      <c r="J30" s="258">
        <v>0</v>
      </c>
      <c r="K30" s="258">
        <v>0</v>
      </c>
      <c r="L30" s="258">
        <v>0</v>
      </c>
      <c r="M30" s="258">
        <v>0</v>
      </c>
      <c r="N30" s="258">
        <v>0</v>
      </c>
      <c r="O30" s="63">
        <v>7131</v>
      </c>
      <c r="Q30" s="250" t="s">
        <v>6328</v>
      </c>
    </row>
    <row r="31" spans="1:17">
      <c r="A31" s="250" t="s">
        <v>5426</v>
      </c>
      <c r="B31" s="250" t="s">
        <v>15949</v>
      </c>
      <c r="C31" s="55" t="s">
        <v>15961</v>
      </c>
      <c r="D31" s="258">
        <v>0</v>
      </c>
      <c r="E31" s="258">
        <v>0</v>
      </c>
      <c r="F31" s="258">
        <v>0</v>
      </c>
      <c r="G31" s="258">
        <v>0</v>
      </c>
      <c r="H31" s="258">
        <v>0</v>
      </c>
      <c r="I31" s="258">
        <v>0</v>
      </c>
      <c r="J31" s="258">
        <v>0</v>
      </c>
      <c r="K31" s="258">
        <v>0</v>
      </c>
      <c r="L31" s="258">
        <v>0</v>
      </c>
      <c r="M31" s="258">
        <v>0</v>
      </c>
      <c r="N31" s="258">
        <v>0</v>
      </c>
      <c r="O31" s="63">
        <v>7135</v>
      </c>
      <c r="Q31" s="250" t="s">
        <v>6328</v>
      </c>
    </row>
    <row r="32" spans="1:17">
      <c r="A32" s="250" t="s">
        <v>5428</v>
      </c>
      <c r="B32" s="250" t="s">
        <v>15950</v>
      </c>
      <c r="C32" s="55" t="s">
        <v>15962</v>
      </c>
      <c r="D32" s="258">
        <v>0</v>
      </c>
      <c r="E32" s="258">
        <v>0</v>
      </c>
      <c r="F32" s="258">
        <v>0</v>
      </c>
      <c r="G32" s="258">
        <v>0</v>
      </c>
      <c r="H32" s="258">
        <v>0</v>
      </c>
      <c r="I32" s="258">
        <v>0</v>
      </c>
      <c r="J32" s="258">
        <v>0</v>
      </c>
      <c r="K32" s="258">
        <v>0</v>
      </c>
      <c r="L32" s="258">
        <v>0</v>
      </c>
      <c r="M32" s="258">
        <v>0</v>
      </c>
      <c r="N32" s="258">
        <v>0</v>
      </c>
      <c r="O32" s="63">
        <v>7076</v>
      </c>
      <c r="Q32" s="250" t="s">
        <v>6328</v>
      </c>
    </row>
    <row r="33" spans="1:17">
      <c r="A33" s="250" t="s">
        <v>5429</v>
      </c>
      <c r="B33" s="250" t="s">
        <v>5885</v>
      </c>
      <c r="C33" s="55" t="s">
        <v>15963</v>
      </c>
      <c r="D33" s="258">
        <v>0</v>
      </c>
      <c r="E33" s="258">
        <v>0</v>
      </c>
      <c r="F33" s="258">
        <v>0</v>
      </c>
      <c r="G33" s="258">
        <v>0</v>
      </c>
      <c r="H33" s="258">
        <v>0</v>
      </c>
      <c r="I33" s="258">
        <v>0</v>
      </c>
      <c r="J33" s="258">
        <v>0</v>
      </c>
      <c r="K33" s="258">
        <v>0</v>
      </c>
      <c r="L33" s="258">
        <v>0</v>
      </c>
      <c r="M33" s="258">
        <v>0</v>
      </c>
      <c r="N33" s="258">
        <v>0</v>
      </c>
      <c r="O33" s="63">
        <v>7874</v>
      </c>
      <c r="Q33" s="250" t="s">
        <v>3366</v>
      </c>
    </row>
    <row r="34" spans="1:17">
      <c r="A34" s="250" t="s">
        <v>5431</v>
      </c>
      <c r="B34" s="250" t="s">
        <v>583</v>
      </c>
      <c r="C34" s="55" t="s">
        <v>15964</v>
      </c>
      <c r="D34" s="258">
        <v>0</v>
      </c>
      <c r="E34" s="258">
        <v>0</v>
      </c>
      <c r="F34" s="258">
        <v>0</v>
      </c>
      <c r="G34" s="258">
        <v>0</v>
      </c>
      <c r="H34" s="258">
        <v>0</v>
      </c>
      <c r="I34" s="258">
        <v>0</v>
      </c>
      <c r="J34" s="258">
        <v>0</v>
      </c>
      <c r="K34" s="258">
        <v>0</v>
      </c>
      <c r="L34" s="258">
        <v>0</v>
      </c>
      <c r="M34" s="258">
        <v>0</v>
      </c>
      <c r="N34" s="258">
        <v>0</v>
      </c>
      <c r="O34" s="63">
        <v>2064</v>
      </c>
      <c r="Q34" s="250" t="s">
        <v>6328</v>
      </c>
    </row>
    <row r="35" spans="1:17" ht="15.75" thickBot="1">
      <c r="A35" s="250"/>
      <c r="B35" s="250"/>
      <c r="C35" s="55" t="s">
        <v>15964</v>
      </c>
      <c r="D35" s="258">
        <v>0</v>
      </c>
      <c r="E35" s="258">
        <v>0</v>
      </c>
      <c r="F35" s="258">
        <v>0</v>
      </c>
      <c r="G35" s="258">
        <v>0</v>
      </c>
      <c r="H35" s="258">
        <v>0</v>
      </c>
      <c r="I35" s="258">
        <v>0</v>
      </c>
      <c r="J35" s="258">
        <v>0</v>
      </c>
      <c r="K35" s="258">
        <v>0</v>
      </c>
      <c r="L35" s="258">
        <v>0</v>
      </c>
      <c r="M35" s="258">
        <v>0</v>
      </c>
      <c r="N35" s="258">
        <v>0</v>
      </c>
      <c r="O35" s="63">
        <v>4864</v>
      </c>
      <c r="Q35" s="250" t="s">
        <v>3366</v>
      </c>
    </row>
    <row r="36" spans="1:17" ht="15.75" thickBot="1">
      <c r="A36" s="250"/>
      <c r="B36" s="250"/>
      <c r="C36" s="55" t="s">
        <v>15964</v>
      </c>
      <c r="D36" s="266">
        <f t="shared" ref="D36:M36" si="14">SUM(D34:D35)</f>
        <v>0</v>
      </c>
      <c r="E36" s="266">
        <f t="shared" si="14"/>
        <v>0</v>
      </c>
      <c r="F36" s="266">
        <f t="shared" si="14"/>
        <v>0</v>
      </c>
      <c r="G36" s="266">
        <f t="shared" si="14"/>
        <v>0</v>
      </c>
      <c r="H36" s="266">
        <f t="shared" si="14"/>
        <v>0</v>
      </c>
      <c r="I36" s="266">
        <f t="shared" si="14"/>
        <v>0</v>
      </c>
      <c r="J36" s="266">
        <f t="shared" si="14"/>
        <v>0</v>
      </c>
      <c r="K36" s="266">
        <f t="shared" si="14"/>
        <v>0</v>
      </c>
      <c r="L36" s="266">
        <f t="shared" si="14"/>
        <v>0</v>
      </c>
      <c r="M36" s="266">
        <f t="shared" si="14"/>
        <v>0</v>
      </c>
      <c r="N36" s="266">
        <f>SUM(N34:N35)</f>
        <v>0</v>
      </c>
      <c r="O36" s="266">
        <f>SUM(O34:O35)</f>
        <v>6928</v>
      </c>
      <c r="Q36" s="250"/>
    </row>
    <row r="37" spans="1:17">
      <c r="A37" s="250" t="s">
        <v>5433</v>
      </c>
      <c r="B37" s="250" t="s">
        <v>1995</v>
      </c>
      <c r="C37" s="55" t="s">
        <v>15965</v>
      </c>
      <c r="D37" s="258">
        <v>0</v>
      </c>
      <c r="E37" s="258">
        <v>0</v>
      </c>
      <c r="F37" s="258">
        <v>0</v>
      </c>
      <c r="G37" s="258">
        <v>0</v>
      </c>
      <c r="H37" s="258">
        <v>0</v>
      </c>
      <c r="I37" s="258">
        <v>0</v>
      </c>
      <c r="J37" s="258">
        <v>0</v>
      </c>
      <c r="K37" s="258">
        <v>0</v>
      </c>
      <c r="L37" s="258">
        <v>0</v>
      </c>
      <c r="M37" s="258">
        <v>0</v>
      </c>
      <c r="N37" s="258">
        <v>0</v>
      </c>
      <c r="O37" s="63">
        <v>6318</v>
      </c>
      <c r="Q37" s="250" t="s">
        <v>6328</v>
      </c>
    </row>
    <row r="38" spans="1:17">
      <c r="A38" s="250" t="s">
        <v>5435</v>
      </c>
      <c r="B38" s="250" t="s">
        <v>634</v>
      </c>
      <c r="C38" s="55" t="s">
        <v>15966</v>
      </c>
      <c r="D38" s="258">
        <v>0</v>
      </c>
      <c r="E38" s="258">
        <v>0</v>
      </c>
      <c r="F38" s="258">
        <v>0</v>
      </c>
      <c r="G38" s="258">
        <v>0</v>
      </c>
      <c r="H38" s="258">
        <v>0</v>
      </c>
      <c r="I38" s="258">
        <v>0</v>
      </c>
      <c r="J38" s="258">
        <v>0</v>
      </c>
      <c r="K38" s="258">
        <v>0</v>
      </c>
      <c r="L38" s="258">
        <v>0</v>
      </c>
      <c r="M38" s="258">
        <v>0</v>
      </c>
      <c r="N38" s="258">
        <v>0</v>
      </c>
      <c r="O38" s="63">
        <v>7042</v>
      </c>
      <c r="Q38" s="250" t="s">
        <v>6328</v>
      </c>
    </row>
    <row r="39" spans="1:17">
      <c r="A39" s="250" t="s">
        <v>5436</v>
      </c>
      <c r="B39" s="250" t="s">
        <v>636</v>
      </c>
      <c r="C39" s="55" t="s">
        <v>15967</v>
      </c>
      <c r="D39" s="258">
        <v>0</v>
      </c>
      <c r="E39" s="258">
        <v>0</v>
      </c>
      <c r="F39" s="258">
        <v>0</v>
      </c>
      <c r="G39" s="258">
        <v>0</v>
      </c>
      <c r="H39" s="258">
        <v>0</v>
      </c>
      <c r="I39" s="258">
        <v>0</v>
      </c>
      <c r="J39" s="258">
        <v>0</v>
      </c>
      <c r="K39" s="258">
        <v>0</v>
      </c>
      <c r="L39" s="258">
        <v>0</v>
      </c>
      <c r="M39" s="258">
        <v>0</v>
      </c>
      <c r="N39" s="258">
        <v>0</v>
      </c>
      <c r="O39" s="63">
        <v>6513</v>
      </c>
      <c r="Q39" s="250" t="s">
        <v>6328</v>
      </c>
    </row>
    <row r="40" spans="1:17">
      <c r="A40" s="250" t="s">
        <v>5437</v>
      </c>
      <c r="B40" s="250" t="s">
        <v>635</v>
      </c>
      <c r="C40" s="55" t="s">
        <v>15968</v>
      </c>
      <c r="D40" s="258">
        <v>0</v>
      </c>
      <c r="E40" s="258">
        <v>0</v>
      </c>
      <c r="F40" s="258">
        <v>0</v>
      </c>
      <c r="G40" s="258">
        <v>0</v>
      </c>
      <c r="H40" s="258">
        <v>0</v>
      </c>
      <c r="I40" s="258">
        <v>0</v>
      </c>
      <c r="J40" s="258">
        <v>0</v>
      </c>
      <c r="K40" s="258">
        <v>0</v>
      </c>
      <c r="L40" s="258">
        <v>0</v>
      </c>
      <c r="M40" s="258">
        <v>0</v>
      </c>
      <c r="N40" s="258">
        <v>0</v>
      </c>
      <c r="O40" s="63">
        <v>6877</v>
      </c>
      <c r="Q40" s="250" t="s">
        <v>3366</v>
      </c>
    </row>
    <row r="41" spans="1:17">
      <c r="Q41" s="250"/>
    </row>
    <row r="42" spans="1:17">
      <c r="A42" s="113" t="s">
        <v>637</v>
      </c>
    </row>
    <row r="43" spans="1:17">
      <c r="A43" s="113" t="s">
        <v>16098</v>
      </c>
    </row>
    <row r="44" spans="1:17">
      <c r="A44" s="250"/>
      <c r="B44" s="250"/>
      <c r="C44" s="250"/>
      <c r="D44" s="251"/>
      <c r="E44" s="251"/>
      <c r="F44" s="251"/>
      <c r="G44" s="251"/>
      <c r="H44" s="251"/>
      <c r="I44" s="251"/>
      <c r="J44" s="251"/>
      <c r="K44" s="251"/>
      <c r="L44" s="251"/>
      <c r="Q44" s="250"/>
    </row>
    <row r="45" spans="1:17">
      <c r="A45" s="1012" t="s">
        <v>16023</v>
      </c>
      <c r="B45" s="250"/>
      <c r="C45" s="250"/>
      <c r="D45" s="251"/>
      <c r="E45" s="251"/>
      <c r="F45" s="251"/>
      <c r="G45" s="251"/>
      <c r="H45" s="251"/>
      <c r="I45" s="251"/>
      <c r="J45" s="251"/>
      <c r="K45" s="251"/>
      <c r="L45" s="251"/>
      <c r="Q45" s="250"/>
    </row>
    <row r="46" spans="1:17">
      <c r="A46" s="167" t="s">
        <v>16099</v>
      </c>
      <c r="D46" s="251"/>
      <c r="E46" s="251"/>
      <c r="F46" s="251"/>
      <c r="G46" s="251"/>
      <c r="H46" s="251"/>
      <c r="I46" s="251"/>
      <c r="J46" s="251"/>
      <c r="K46" s="251"/>
      <c r="L46" s="251"/>
      <c r="Q46" s="250"/>
    </row>
    <row r="47" spans="1:17">
      <c r="D47" s="259"/>
      <c r="E47" s="259"/>
      <c r="F47" s="259"/>
      <c r="G47" s="259"/>
      <c r="H47" s="259"/>
      <c r="I47" s="259"/>
      <c r="J47" s="259"/>
      <c r="K47" s="259"/>
      <c r="L47" s="259"/>
    </row>
    <row r="48" spans="1:17">
      <c r="D48" s="251"/>
      <c r="E48" s="251"/>
      <c r="F48" s="251"/>
      <c r="G48" s="251"/>
      <c r="H48" s="251"/>
      <c r="I48" s="251"/>
      <c r="J48" s="251"/>
      <c r="K48" s="251"/>
      <c r="L48" s="251"/>
    </row>
    <row r="49" spans="1:17">
      <c r="D49" s="259"/>
      <c r="E49" s="259"/>
      <c r="F49" s="259"/>
      <c r="G49" s="259"/>
      <c r="H49" s="259"/>
      <c r="I49" s="259"/>
      <c r="J49" s="259"/>
      <c r="K49" s="259"/>
      <c r="L49" s="259"/>
    </row>
    <row r="50" spans="1:17">
      <c r="A50" s="250"/>
      <c r="B50" s="250"/>
      <c r="C50" s="250"/>
      <c r="D50" s="251"/>
      <c r="E50" s="251"/>
      <c r="F50" s="251"/>
      <c r="G50" s="251"/>
      <c r="H50" s="251"/>
      <c r="I50" s="251"/>
      <c r="J50" s="251"/>
      <c r="K50" s="251"/>
      <c r="L50" s="251"/>
      <c r="Q50" s="250"/>
    </row>
    <row r="51" spans="1:17">
      <c r="D51" s="251"/>
      <c r="E51" s="251"/>
      <c r="F51" s="251"/>
      <c r="G51" s="251"/>
      <c r="H51" s="251"/>
      <c r="I51" s="251"/>
      <c r="J51" s="251"/>
      <c r="K51" s="251"/>
      <c r="L51" s="251"/>
      <c r="Q51" s="250"/>
    </row>
    <row r="52" spans="1:17">
      <c r="D52" s="259"/>
      <c r="E52" s="259"/>
      <c r="F52" s="259"/>
      <c r="G52" s="259"/>
      <c r="H52" s="259"/>
      <c r="I52" s="259"/>
      <c r="J52" s="259"/>
      <c r="K52" s="259"/>
      <c r="L52" s="259"/>
    </row>
    <row r="53" spans="1:17">
      <c r="D53" s="251"/>
      <c r="E53" s="251"/>
      <c r="F53" s="251"/>
      <c r="G53" s="251"/>
      <c r="H53" s="251"/>
      <c r="I53" s="251"/>
      <c r="J53" s="251"/>
      <c r="K53" s="251"/>
      <c r="L53" s="251"/>
    </row>
    <row r="54" spans="1:17">
      <c r="D54" s="259"/>
      <c r="E54" s="259"/>
      <c r="F54" s="259"/>
      <c r="G54" s="259"/>
      <c r="H54" s="259"/>
      <c r="I54" s="259"/>
      <c r="J54" s="259"/>
      <c r="K54" s="259"/>
      <c r="L54" s="259"/>
    </row>
    <row r="55" spans="1:17">
      <c r="A55" s="250"/>
      <c r="B55" s="250"/>
      <c r="C55" s="250"/>
      <c r="D55" s="251"/>
      <c r="E55" s="251"/>
      <c r="F55" s="251"/>
      <c r="G55" s="251"/>
      <c r="H55" s="251"/>
      <c r="I55" s="251"/>
      <c r="J55" s="251"/>
      <c r="K55" s="251"/>
      <c r="L55" s="251"/>
      <c r="Q55" s="250"/>
    </row>
    <row r="56" spans="1:17">
      <c r="A56" s="250"/>
      <c r="B56" s="250"/>
      <c r="C56" s="250"/>
      <c r="D56" s="251"/>
      <c r="E56" s="251"/>
      <c r="F56" s="251"/>
      <c r="G56" s="251"/>
      <c r="H56" s="251"/>
      <c r="I56" s="251"/>
      <c r="J56" s="251"/>
      <c r="K56" s="251"/>
      <c r="L56" s="251"/>
      <c r="Q56" s="250"/>
    </row>
    <row r="57" spans="1:17">
      <c r="A57" s="250"/>
      <c r="B57" s="250"/>
      <c r="C57" s="250"/>
      <c r="D57" s="251"/>
      <c r="E57" s="251"/>
      <c r="F57" s="251"/>
      <c r="G57" s="251"/>
      <c r="H57" s="251"/>
      <c r="I57" s="251"/>
      <c r="J57" s="251"/>
      <c r="K57" s="251"/>
      <c r="L57" s="251"/>
      <c r="Q57" s="250"/>
    </row>
    <row r="58" spans="1:17">
      <c r="A58" s="250"/>
      <c r="B58" s="250"/>
      <c r="C58" s="250"/>
      <c r="D58" s="251"/>
      <c r="E58" s="251"/>
      <c r="F58" s="251"/>
      <c r="G58" s="251"/>
      <c r="H58" s="251"/>
      <c r="I58" s="251"/>
      <c r="J58" s="251"/>
      <c r="K58" s="251"/>
      <c r="L58" s="251"/>
      <c r="Q58" s="250"/>
    </row>
    <row r="59" spans="1:17">
      <c r="A59" s="250"/>
      <c r="B59" s="250"/>
      <c r="C59" s="250"/>
      <c r="D59" s="251"/>
      <c r="E59" s="251"/>
      <c r="F59" s="251"/>
      <c r="G59" s="251"/>
      <c r="H59" s="251"/>
      <c r="I59" s="251"/>
      <c r="J59" s="251"/>
      <c r="K59" s="251"/>
      <c r="L59" s="251"/>
      <c r="Q59" s="250"/>
    </row>
    <row r="60" spans="1:17">
      <c r="A60" s="250"/>
      <c r="B60" s="250"/>
      <c r="C60" s="250"/>
      <c r="D60" s="251"/>
      <c r="E60" s="251"/>
      <c r="F60" s="251"/>
      <c r="G60" s="251"/>
      <c r="H60" s="251"/>
      <c r="I60" s="251"/>
      <c r="J60" s="251"/>
      <c r="K60" s="251"/>
      <c r="L60" s="251"/>
      <c r="Q60" s="250"/>
    </row>
    <row r="61" spans="1:17">
      <c r="D61" s="251"/>
      <c r="E61" s="251"/>
      <c r="F61" s="251"/>
      <c r="G61" s="251"/>
      <c r="H61" s="251"/>
      <c r="I61" s="251"/>
      <c r="J61" s="251"/>
      <c r="K61" s="251"/>
      <c r="L61" s="251"/>
      <c r="Q61" s="250"/>
    </row>
    <row r="62" spans="1:17">
      <c r="D62" s="259"/>
      <c r="E62" s="259"/>
      <c r="F62" s="259"/>
      <c r="G62" s="259"/>
      <c r="H62" s="259"/>
      <c r="I62" s="259"/>
      <c r="J62" s="259"/>
      <c r="K62" s="259"/>
      <c r="L62" s="259"/>
    </row>
    <row r="63" spans="1:17">
      <c r="D63" s="251"/>
      <c r="E63" s="251"/>
      <c r="F63" s="251"/>
      <c r="G63" s="251"/>
      <c r="H63" s="251"/>
      <c r="I63" s="251"/>
      <c r="J63" s="251"/>
      <c r="K63" s="251"/>
      <c r="L63" s="251"/>
    </row>
    <row r="64" spans="1:17">
      <c r="D64" s="259"/>
      <c r="E64" s="259"/>
      <c r="F64" s="259"/>
      <c r="G64" s="259"/>
      <c r="H64" s="259"/>
      <c r="I64" s="259"/>
      <c r="J64" s="259"/>
      <c r="K64" s="259"/>
      <c r="L64" s="259"/>
    </row>
    <row r="65" spans="1:17">
      <c r="A65" s="250"/>
      <c r="B65" s="250"/>
      <c r="C65" s="250"/>
      <c r="D65" s="251"/>
      <c r="E65" s="251"/>
      <c r="F65" s="251"/>
      <c r="G65" s="251"/>
      <c r="H65" s="251"/>
      <c r="I65" s="251"/>
      <c r="J65" s="251"/>
      <c r="K65" s="251"/>
      <c r="L65" s="251"/>
      <c r="Q65" s="250"/>
    </row>
    <row r="68" spans="1:17">
      <c r="A68" s="250"/>
      <c r="D68" s="251"/>
      <c r="E68" s="251"/>
      <c r="F68" s="251"/>
      <c r="G68" s="251"/>
      <c r="H68" s="251"/>
      <c r="I68" s="251"/>
      <c r="J68" s="251"/>
      <c r="K68" s="251"/>
      <c r="L68" s="251"/>
    </row>
    <row r="69" spans="1:17">
      <c r="A69" s="250"/>
      <c r="D69" s="251"/>
      <c r="E69" s="251"/>
      <c r="F69" s="251"/>
      <c r="G69" s="251"/>
      <c r="H69" s="251"/>
      <c r="I69" s="251"/>
      <c r="J69" s="251"/>
      <c r="K69" s="251"/>
      <c r="L69" s="251"/>
    </row>
    <row r="70" spans="1:17">
      <c r="A70" s="250"/>
      <c r="D70" s="251"/>
      <c r="E70" s="251"/>
      <c r="F70" s="251"/>
      <c r="G70" s="251"/>
      <c r="H70" s="251"/>
      <c r="I70" s="251"/>
      <c r="J70" s="251"/>
      <c r="K70" s="251"/>
      <c r="L70" s="251"/>
    </row>
    <row r="72" spans="1:17">
      <c r="A72" s="250"/>
    </row>
  </sheetData>
  <phoneticPr fontId="6" type="noConversion"/>
  <printOptions gridLinesSet="0"/>
  <pageMargins left="0.78740157480314965" right="0" top="0.51181102362204722" bottom="0.51181102362204722" header="0.51181102362204722" footer="0.51181102362204722"/>
  <pageSetup paperSize="9" scale="68" orientation="portrait" horizontalDpi="300" verticalDpi="300" r:id="rId1"/>
  <headerFooter alignWithMargins="0">
    <oddFooter>&amp;C&amp;8&amp;P of &amp;N</oddFooter>
  </headerFooter>
  <ignoredErrors>
    <ignoredError sqref="D12:D17 E12:E17 F12:F17 G12:G17 H12:H17 I12:I17 J12:J17 K12:K17 L12:L17"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dimension ref="A1:Q400"/>
  <sheetViews>
    <sheetView showGridLines="0" topLeftCell="A17" zoomScale="90" zoomScaleNormal="90" workbookViewId="0">
      <selection activeCell="Q374" sqref="Q374"/>
    </sheetView>
  </sheetViews>
  <sheetFormatPr defaultColWidth="12.5703125" defaultRowHeight="15"/>
  <cols>
    <col min="1" max="1" width="4.85546875" style="112" customWidth="1"/>
    <col min="2" max="2" width="40.7109375" style="112" customWidth="1"/>
    <col min="3" max="3" width="11.5703125" style="112" customWidth="1"/>
    <col min="4" max="12" width="10.42578125" style="112" customWidth="1"/>
    <col min="13" max="15" width="10" style="112" customWidth="1"/>
    <col min="16" max="16" width="2.28515625" style="112" customWidth="1"/>
    <col min="17" max="17" width="30.140625" style="112" bestFit="1" customWidth="1"/>
    <col min="18" max="16384" width="12.5703125" style="112"/>
  </cols>
  <sheetData>
    <row r="1" spans="1:17">
      <c r="A1" s="238" t="s">
        <v>6924</v>
      </c>
      <c r="D1" s="239">
        <v>2010</v>
      </c>
      <c r="E1" s="239">
        <v>2011</v>
      </c>
      <c r="F1" s="239">
        <v>2012</v>
      </c>
      <c r="G1" s="239">
        <v>2013</v>
      </c>
      <c r="H1" s="239">
        <v>2014</v>
      </c>
      <c r="I1" s="239">
        <v>2015</v>
      </c>
      <c r="J1" s="239">
        <v>2016</v>
      </c>
      <c r="K1" s="239">
        <v>2017</v>
      </c>
      <c r="L1" s="239">
        <v>2018</v>
      </c>
      <c r="M1" s="239">
        <v>2019</v>
      </c>
      <c r="N1" s="239">
        <v>2020</v>
      </c>
      <c r="O1" s="928" t="s">
        <v>14823</v>
      </c>
    </row>
    <row r="3" spans="1:17">
      <c r="A3" s="238" t="s">
        <v>5971</v>
      </c>
      <c r="D3" s="240">
        <f t="shared" ref="D3:I3" si="0">SUM(D5:D11)</f>
        <v>1921952</v>
      </c>
      <c r="E3" s="240">
        <f t="shared" si="0"/>
        <v>1942459</v>
      </c>
      <c r="F3" s="240">
        <f t="shared" si="0"/>
        <v>1963121</v>
      </c>
      <c r="G3" s="240">
        <f t="shared" si="0"/>
        <v>1961097</v>
      </c>
      <c r="H3" s="240">
        <f t="shared" si="0"/>
        <v>1924941</v>
      </c>
      <c r="I3" s="240">
        <f t="shared" si="0"/>
        <v>1905475</v>
      </c>
      <c r="J3" s="240">
        <f t="shared" ref="J3:O3" si="1">SUM(J5:J11)</f>
        <v>1862769</v>
      </c>
      <c r="K3" s="240">
        <f t="shared" si="1"/>
        <v>1887849</v>
      </c>
      <c r="L3" s="240">
        <f t="shared" si="1"/>
        <v>1894396</v>
      </c>
      <c r="M3" s="240">
        <f t="shared" si="1"/>
        <v>1864765</v>
      </c>
      <c r="N3" s="240">
        <f t="shared" si="1"/>
        <v>1946833</v>
      </c>
      <c r="O3" s="240">
        <f t="shared" si="1"/>
        <v>1938351</v>
      </c>
    </row>
    <row r="4" spans="1:17">
      <c r="D4" s="241"/>
      <c r="E4" s="241"/>
      <c r="F4" s="241"/>
      <c r="G4" s="241"/>
      <c r="H4" s="241"/>
      <c r="I4" s="241"/>
      <c r="J4" s="241"/>
      <c r="K4" s="241"/>
      <c r="L4" s="241"/>
      <c r="M4" s="241"/>
      <c r="N4" s="241"/>
      <c r="O4" s="241"/>
      <c r="Q4" s="242"/>
    </row>
    <row r="5" spans="1:17">
      <c r="A5" s="238" t="s">
        <v>2567</v>
      </c>
      <c r="C5" s="238"/>
      <c r="D5" s="240">
        <f t="shared" ref="D5:I5" si="2">D85</f>
        <v>726290</v>
      </c>
      <c r="E5" s="240">
        <f t="shared" si="2"/>
        <v>731731</v>
      </c>
      <c r="F5" s="240">
        <f t="shared" si="2"/>
        <v>743467</v>
      </c>
      <c r="G5" s="240">
        <f t="shared" si="2"/>
        <v>736042</v>
      </c>
      <c r="H5" s="240">
        <f t="shared" si="2"/>
        <v>715434</v>
      </c>
      <c r="I5" s="240">
        <f t="shared" si="2"/>
        <v>707888</v>
      </c>
      <c r="J5" s="240">
        <f t="shared" ref="J5:O5" si="3">J85</f>
        <v>686804</v>
      </c>
      <c r="K5" s="240">
        <f t="shared" si="3"/>
        <v>688561</v>
      </c>
      <c r="L5" s="240">
        <f t="shared" si="3"/>
        <v>695370</v>
      </c>
      <c r="M5" s="240">
        <f t="shared" si="3"/>
        <v>687172</v>
      </c>
      <c r="N5" s="240">
        <f t="shared" si="3"/>
        <v>735443</v>
      </c>
      <c r="O5" s="240">
        <f t="shared" si="3"/>
        <v>729944</v>
      </c>
      <c r="Q5" s="242"/>
    </row>
    <row r="6" spans="1:17">
      <c r="A6" s="238" t="s">
        <v>2568</v>
      </c>
      <c r="C6" s="238"/>
      <c r="D6" s="240">
        <f t="shared" ref="D6:I6" si="4">D214</f>
        <v>218866</v>
      </c>
      <c r="E6" s="240">
        <f t="shared" si="4"/>
        <v>224755</v>
      </c>
      <c r="F6" s="240">
        <f t="shared" si="4"/>
        <v>227296</v>
      </c>
      <c r="G6" s="240">
        <f t="shared" si="4"/>
        <v>226540</v>
      </c>
      <c r="H6" s="240">
        <f t="shared" si="4"/>
        <v>221669</v>
      </c>
      <c r="I6" s="240">
        <f t="shared" si="4"/>
        <v>214724</v>
      </c>
      <c r="J6" s="240">
        <f t="shared" ref="J6:O6" si="5">J214</f>
        <v>210031</v>
      </c>
      <c r="K6" s="240">
        <f t="shared" si="5"/>
        <v>215348</v>
      </c>
      <c r="L6" s="240">
        <f t="shared" si="5"/>
        <v>214219</v>
      </c>
      <c r="M6" s="240">
        <f t="shared" si="5"/>
        <v>211069</v>
      </c>
      <c r="N6" s="240">
        <f t="shared" si="5"/>
        <v>218047</v>
      </c>
      <c r="O6" s="240">
        <f t="shared" si="5"/>
        <v>217818</v>
      </c>
      <c r="Q6" s="242"/>
    </row>
    <row r="7" spans="1:17">
      <c r="A7" s="238" t="s">
        <v>2569</v>
      </c>
      <c r="C7" s="238"/>
      <c r="D7" s="240">
        <f t="shared" ref="D7:I7" si="6">D243</f>
        <v>240213</v>
      </c>
      <c r="E7" s="240">
        <f t="shared" si="6"/>
        <v>242131</v>
      </c>
      <c r="F7" s="240">
        <f t="shared" si="6"/>
        <v>242929</v>
      </c>
      <c r="G7" s="240">
        <f t="shared" si="6"/>
        <v>243645</v>
      </c>
      <c r="H7" s="240">
        <f t="shared" si="6"/>
        <v>237787</v>
      </c>
      <c r="I7" s="240">
        <f t="shared" si="6"/>
        <v>237550</v>
      </c>
      <c r="J7" s="240">
        <f t="shared" ref="J7:O7" si="7">J243</f>
        <v>239405</v>
      </c>
      <c r="K7" s="240">
        <f t="shared" si="7"/>
        <v>241620</v>
      </c>
      <c r="L7" s="240">
        <f t="shared" si="7"/>
        <v>240020</v>
      </c>
      <c r="M7" s="240">
        <f t="shared" si="7"/>
        <v>238475</v>
      </c>
      <c r="N7" s="240">
        <f t="shared" si="7"/>
        <v>243015</v>
      </c>
      <c r="O7" s="240">
        <f t="shared" si="7"/>
        <v>239722</v>
      </c>
      <c r="Q7" s="242"/>
    </row>
    <row r="8" spans="1:17">
      <c r="A8" s="238" t="s">
        <v>5608</v>
      </c>
      <c r="C8" s="238"/>
      <c r="D8" s="240">
        <f t="shared" ref="D8:I8" si="8">D280</f>
        <v>220403</v>
      </c>
      <c r="E8" s="240">
        <f t="shared" si="8"/>
        <v>219710</v>
      </c>
      <c r="F8" s="240">
        <f t="shared" si="8"/>
        <v>222014</v>
      </c>
      <c r="G8" s="240">
        <f t="shared" si="8"/>
        <v>224705</v>
      </c>
      <c r="H8" s="240">
        <f t="shared" si="8"/>
        <v>221702</v>
      </c>
      <c r="I8" s="240">
        <f t="shared" si="8"/>
        <v>221691</v>
      </c>
      <c r="J8" s="240">
        <f t="shared" ref="J8:O8" si="9">J280</f>
        <v>215484</v>
      </c>
      <c r="K8" s="240">
        <f t="shared" si="9"/>
        <v>219141</v>
      </c>
      <c r="L8" s="240">
        <f t="shared" si="9"/>
        <v>222016</v>
      </c>
      <c r="M8" s="240">
        <f t="shared" si="9"/>
        <v>209837</v>
      </c>
      <c r="N8" s="240">
        <f t="shared" si="9"/>
        <v>219242</v>
      </c>
      <c r="O8" s="240">
        <f t="shared" si="9"/>
        <v>218539</v>
      </c>
      <c r="Q8" s="242"/>
    </row>
    <row r="9" spans="1:17">
      <c r="A9" s="238" t="s">
        <v>5609</v>
      </c>
      <c r="C9" s="238"/>
      <c r="D9" s="240">
        <f t="shared" ref="D9:I9" si="10">D316</f>
        <v>159038</v>
      </c>
      <c r="E9" s="240">
        <f t="shared" si="10"/>
        <v>160782</v>
      </c>
      <c r="F9" s="240">
        <f t="shared" si="10"/>
        <v>157202</v>
      </c>
      <c r="G9" s="240">
        <f t="shared" si="10"/>
        <v>159215</v>
      </c>
      <c r="H9" s="240">
        <f t="shared" si="10"/>
        <v>160752</v>
      </c>
      <c r="I9" s="240">
        <f t="shared" si="10"/>
        <v>156714</v>
      </c>
      <c r="J9" s="240">
        <f t="shared" ref="J9:O9" si="11">J316</f>
        <v>153873</v>
      </c>
      <c r="K9" s="240">
        <f t="shared" si="11"/>
        <v>160380</v>
      </c>
      <c r="L9" s="240">
        <f t="shared" si="11"/>
        <v>158603</v>
      </c>
      <c r="M9" s="240">
        <f t="shared" si="11"/>
        <v>157620</v>
      </c>
      <c r="N9" s="240">
        <f t="shared" si="11"/>
        <v>161156</v>
      </c>
      <c r="O9" s="240">
        <f t="shared" si="11"/>
        <v>162614</v>
      </c>
      <c r="Q9" s="242"/>
    </row>
    <row r="10" spans="1:17">
      <c r="A10" s="238" t="s">
        <v>5610</v>
      </c>
      <c r="C10" s="238"/>
      <c r="D10" s="240">
        <f t="shared" ref="D10:I10" si="12">D343</f>
        <v>188908</v>
      </c>
      <c r="E10" s="240">
        <f t="shared" si="12"/>
        <v>191056</v>
      </c>
      <c r="F10" s="240">
        <f t="shared" si="12"/>
        <v>195268</v>
      </c>
      <c r="G10" s="240">
        <f t="shared" si="12"/>
        <v>196935</v>
      </c>
      <c r="H10" s="240">
        <f t="shared" si="12"/>
        <v>194347</v>
      </c>
      <c r="I10" s="240">
        <f t="shared" si="12"/>
        <v>193557</v>
      </c>
      <c r="J10" s="240">
        <f t="shared" ref="J10:O10" si="13">J343</f>
        <v>186960</v>
      </c>
      <c r="K10" s="240">
        <f t="shared" si="13"/>
        <v>191066</v>
      </c>
      <c r="L10" s="240">
        <f t="shared" si="13"/>
        <v>192252</v>
      </c>
      <c r="M10" s="240">
        <f t="shared" si="13"/>
        <v>192586</v>
      </c>
      <c r="N10" s="240">
        <f t="shared" si="13"/>
        <v>193027</v>
      </c>
      <c r="O10" s="240">
        <f t="shared" si="13"/>
        <v>197239</v>
      </c>
      <c r="Q10" s="242"/>
    </row>
    <row r="11" spans="1:17">
      <c r="A11" s="238" t="s">
        <v>5611</v>
      </c>
      <c r="C11" s="238"/>
      <c r="D11" s="240">
        <f t="shared" ref="D11:I11" si="14">D374</f>
        <v>168234</v>
      </c>
      <c r="E11" s="240">
        <f t="shared" si="14"/>
        <v>172294</v>
      </c>
      <c r="F11" s="240">
        <f t="shared" si="14"/>
        <v>174945</v>
      </c>
      <c r="G11" s="240">
        <f t="shared" si="14"/>
        <v>174015</v>
      </c>
      <c r="H11" s="240">
        <f t="shared" si="14"/>
        <v>173250</v>
      </c>
      <c r="I11" s="240">
        <f t="shared" si="14"/>
        <v>173351</v>
      </c>
      <c r="J11" s="240">
        <f t="shared" ref="J11:O11" si="15">J374</f>
        <v>170212</v>
      </c>
      <c r="K11" s="240">
        <f t="shared" si="15"/>
        <v>171733</v>
      </c>
      <c r="L11" s="240">
        <f t="shared" si="15"/>
        <v>171916</v>
      </c>
      <c r="M11" s="240">
        <f t="shared" si="15"/>
        <v>168006</v>
      </c>
      <c r="N11" s="240">
        <f t="shared" si="15"/>
        <v>176903</v>
      </c>
      <c r="O11" s="240">
        <f t="shared" si="15"/>
        <v>172475</v>
      </c>
      <c r="Q11" s="242"/>
    </row>
    <row r="13" spans="1:17">
      <c r="A13" s="238" t="s">
        <v>9507</v>
      </c>
      <c r="D13" s="240">
        <f t="shared" ref="D13:I13" si="16">D3/25</f>
        <v>76878.080000000002</v>
      </c>
      <c r="E13" s="240">
        <f t="shared" si="16"/>
        <v>77698.36</v>
      </c>
      <c r="F13" s="240">
        <f t="shared" si="16"/>
        <v>78524.84</v>
      </c>
      <c r="G13" s="240">
        <f t="shared" si="16"/>
        <v>78443.88</v>
      </c>
      <c r="H13" s="240">
        <f t="shared" si="16"/>
        <v>76997.64</v>
      </c>
      <c r="I13" s="240">
        <f t="shared" si="16"/>
        <v>76219</v>
      </c>
      <c r="J13" s="240">
        <f t="shared" ref="J13:O13" si="17">J3/25</f>
        <v>74510.759999999995</v>
      </c>
      <c r="K13" s="240">
        <f t="shared" si="17"/>
        <v>75513.960000000006</v>
      </c>
      <c r="L13" s="240">
        <f t="shared" si="17"/>
        <v>75775.839999999997</v>
      </c>
      <c r="M13" s="240">
        <f t="shared" si="17"/>
        <v>74590.600000000006</v>
      </c>
      <c r="N13" s="240">
        <f t="shared" si="17"/>
        <v>77873.320000000007</v>
      </c>
      <c r="O13" s="240">
        <f t="shared" si="17"/>
        <v>77534.039999999994</v>
      </c>
    </row>
    <row r="14" spans="1:17">
      <c r="D14" s="241"/>
      <c r="E14" s="241"/>
      <c r="F14" s="241"/>
      <c r="G14" s="241"/>
      <c r="H14" s="241"/>
      <c r="I14" s="241"/>
      <c r="J14" s="241"/>
      <c r="K14" s="241"/>
      <c r="L14" s="241"/>
      <c r="M14" s="241"/>
      <c r="N14" s="241"/>
      <c r="O14" s="241"/>
    </row>
    <row r="15" spans="1:17">
      <c r="A15" s="238" t="s">
        <v>5612</v>
      </c>
      <c r="D15" s="240">
        <f t="shared" ref="D15:I15" si="18">D365</f>
        <v>59214</v>
      </c>
      <c r="E15" s="240">
        <f t="shared" si="18"/>
        <v>59506</v>
      </c>
      <c r="F15" s="240">
        <f t="shared" si="18"/>
        <v>60315</v>
      </c>
      <c r="G15" s="240">
        <f t="shared" si="18"/>
        <v>60777</v>
      </c>
      <c r="H15" s="240">
        <f t="shared" si="18"/>
        <v>60313</v>
      </c>
      <c r="I15" s="240">
        <f t="shared" si="18"/>
        <v>59874</v>
      </c>
      <c r="J15" s="240">
        <f t="shared" ref="J15:O15" si="19">J365</f>
        <v>58359</v>
      </c>
      <c r="K15" s="240">
        <f t="shared" si="19"/>
        <v>59296</v>
      </c>
      <c r="L15" s="240">
        <f t="shared" si="19"/>
        <v>59373</v>
      </c>
      <c r="M15" s="240">
        <f t="shared" si="19"/>
        <v>59382</v>
      </c>
      <c r="N15" s="240">
        <f t="shared" si="19"/>
        <v>59540</v>
      </c>
      <c r="O15" s="240">
        <f t="shared" si="19"/>
        <v>60602</v>
      </c>
      <c r="Q15" s="238" t="s">
        <v>5613</v>
      </c>
    </row>
    <row r="16" spans="1:17">
      <c r="D16" s="241"/>
      <c r="E16" s="241"/>
      <c r="F16" s="241"/>
      <c r="G16" s="241"/>
      <c r="H16" s="241"/>
      <c r="I16" s="241"/>
      <c r="J16" s="241"/>
      <c r="K16" s="241"/>
      <c r="L16" s="241"/>
      <c r="M16" s="241"/>
      <c r="N16" s="241"/>
      <c r="O16" s="241"/>
    </row>
    <row r="17" spans="1:17">
      <c r="A17" s="243" t="s">
        <v>5614</v>
      </c>
      <c r="D17" s="240">
        <f t="shared" ref="D17:I17" si="20">D198</f>
        <v>68566</v>
      </c>
      <c r="E17" s="240">
        <f t="shared" si="20"/>
        <v>69039</v>
      </c>
      <c r="F17" s="240">
        <f t="shared" si="20"/>
        <v>70384</v>
      </c>
      <c r="G17" s="240">
        <f t="shared" si="20"/>
        <v>68876</v>
      </c>
      <c r="H17" s="240">
        <f t="shared" si="20"/>
        <v>66612</v>
      </c>
      <c r="I17" s="240">
        <f t="shared" si="20"/>
        <v>63153</v>
      </c>
      <c r="J17" s="240">
        <f t="shared" ref="J17:O17" si="21">J198</f>
        <v>62795</v>
      </c>
      <c r="K17" s="240">
        <f t="shared" si="21"/>
        <v>63043</v>
      </c>
      <c r="L17" s="240">
        <f t="shared" si="21"/>
        <v>62185</v>
      </c>
      <c r="M17" s="240">
        <f t="shared" si="21"/>
        <v>62299</v>
      </c>
      <c r="N17" s="240">
        <f t="shared" si="21"/>
        <v>67327</v>
      </c>
      <c r="O17" s="240">
        <f t="shared" si="21"/>
        <v>67047</v>
      </c>
      <c r="Q17" s="238" t="s">
        <v>5615</v>
      </c>
    </row>
    <row r="18" spans="1:17">
      <c r="D18" s="241"/>
      <c r="E18" s="241"/>
      <c r="F18" s="241"/>
      <c r="G18" s="241"/>
      <c r="H18" s="241"/>
      <c r="I18" s="241"/>
      <c r="J18" s="241"/>
      <c r="K18" s="241"/>
      <c r="L18" s="241"/>
      <c r="M18" s="241"/>
      <c r="N18" s="241"/>
      <c r="O18" s="241"/>
    </row>
    <row r="19" spans="1:17">
      <c r="A19" s="238" t="s">
        <v>5616</v>
      </c>
      <c r="D19" s="240">
        <f t="shared" ref="D19:I19" si="22">D199</f>
        <v>66839</v>
      </c>
      <c r="E19" s="240">
        <f t="shared" si="22"/>
        <v>67598</v>
      </c>
      <c r="F19" s="240">
        <f t="shared" si="22"/>
        <v>68502</v>
      </c>
      <c r="G19" s="240">
        <f t="shared" si="22"/>
        <v>67691</v>
      </c>
      <c r="H19" s="240">
        <f t="shared" si="22"/>
        <v>65005</v>
      </c>
      <c r="I19" s="240">
        <f t="shared" si="22"/>
        <v>65226</v>
      </c>
      <c r="J19" s="240">
        <f t="shared" ref="J19:O19" si="23">J199</f>
        <v>62552</v>
      </c>
      <c r="K19" s="240">
        <f t="shared" si="23"/>
        <v>62672</v>
      </c>
      <c r="L19" s="240">
        <f t="shared" si="23"/>
        <v>63432</v>
      </c>
      <c r="M19" s="240">
        <f t="shared" si="23"/>
        <v>62257</v>
      </c>
      <c r="N19" s="240">
        <f t="shared" si="23"/>
        <v>65355</v>
      </c>
      <c r="O19" s="240">
        <f t="shared" si="23"/>
        <v>64921</v>
      </c>
      <c r="Q19" s="238" t="s">
        <v>5615</v>
      </c>
    </row>
    <row r="20" spans="1:17">
      <c r="D20" s="241"/>
      <c r="E20" s="241"/>
      <c r="F20" s="241"/>
      <c r="G20" s="241"/>
      <c r="H20" s="241"/>
      <c r="I20" s="241"/>
      <c r="J20" s="241"/>
      <c r="K20" s="241"/>
      <c r="L20" s="241"/>
      <c r="M20" s="241"/>
      <c r="N20" s="241"/>
      <c r="O20" s="241"/>
    </row>
    <row r="21" spans="1:17">
      <c r="A21" s="238" t="s">
        <v>5617</v>
      </c>
      <c r="D21" s="240">
        <f t="shared" ref="D21:I21" si="24">D200</f>
        <v>76576</v>
      </c>
      <c r="E21" s="240">
        <f t="shared" si="24"/>
        <v>77157</v>
      </c>
      <c r="F21" s="240">
        <f t="shared" si="24"/>
        <v>78332</v>
      </c>
      <c r="G21" s="240">
        <f t="shared" si="24"/>
        <v>77606</v>
      </c>
      <c r="H21" s="240">
        <f t="shared" si="24"/>
        <v>75756</v>
      </c>
      <c r="I21" s="240">
        <f t="shared" si="24"/>
        <v>76176</v>
      </c>
      <c r="J21" s="240">
        <f t="shared" ref="J21:O21" si="25">J200</f>
        <v>73938</v>
      </c>
      <c r="K21" s="240">
        <f t="shared" si="25"/>
        <v>74790</v>
      </c>
      <c r="L21" s="240">
        <f t="shared" si="25"/>
        <v>76050</v>
      </c>
      <c r="M21" s="240">
        <f t="shared" si="25"/>
        <v>75061</v>
      </c>
      <c r="N21" s="240">
        <f t="shared" si="25"/>
        <v>79247</v>
      </c>
      <c r="O21" s="240">
        <f t="shared" si="25"/>
        <v>78994</v>
      </c>
      <c r="Q21" s="238" t="s">
        <v>5615</v>
      </c>
    </row>
    <row r="22" spans="1:17">
      <c r="D22" s="241"/>
      <c r="E22" s="241"/>
      <c r="F22" s="241"/>
      <c r="G22" s="241"/>
      <c r="H22" s="241"/>
      <c r="I22" s="241"/>
      <c r="J22" s="241"/>
      <c r="K22" s="241"/>
      <c r="L22" s="241"/>
      <c r="M22" s="241"/>
      <c r="N22" s="241"/>
      <c r="O22" s="241"/>
    </row>
    <row r="23" spans="1:17">
      <c r="A23" s="238" t="s">
        <v>5618</v>
      </c>
      <c r="D23" s="240">
        <f t="shared" ref="D23:I23" si="26">D201</f>
        <v>75330</v>
      </c>
      <c r="E23" s="240">
        <f t="shared" si="26"/>
        <v>75985</v>
      </c>
      <c r="F23" s="240">
        <f t="shared" si="26"/>
        <v>77227</v>
      </c>
      <c r="G23" s="240">
        <f t="shared" si="26"/>
        <v>76767</v>
      </c>
      <c r="H23" s="240">
        <f t="shared" si="26"/>
        <v>74885</v>
      </c>
      <c r="I23" s="240">
        <f t="shared" si="26"/>
        <v>75362</v>
      </c>
      <c r="J23" s="240">
        <f t="shared" ref="J23:O23" si="27">J201</f>
        <v>73173</v>
      </c>
      <c r="K23" s="240">
        <f t="shared" si="27"/>
        <v>73384</v>
      </c>
      <c r="L23" s="240">
        <f t="shared" si="27"/>
        <v>74810</v>
      </c>
      <c r="M23" s="240">
        <f t="shared" si="27"/>
        <v>73784</v>
      </c>
      <c r="N23" s="240">
        <f t="shared" si="27"/>
        <v>77716</v>
      </c>
      <c r="O23" s="240">
        <f t="shared" si="27"/>
        <v>77491</v>
      </c>
      <c r="Q23" s="238" t="s">
        <v>5615</v>
      </c>
    </row>
    <row r="24" spans="1:17">
      <c r="D24" s="241"/>
      <c r="E24" s="241"/>
      <c r="F24" s="241"/>
      <c r="G24" s="241"/>
      <c r="H24" s="241"/>
      <c r="I24" s="241"/>
      <c r="J24" s="241"/>
      <c r="K24" s="241"/>
      <c r="L24" s="241"/>
      <c r="M24" s="241"/>
      <c r="N24" s="241"/>
      <c r="O24" s="241"/>
    </row>
    <row r="25" spans="1:17">
      <c r="A25" s="238" t="s">
        <v>5619</v>
      </c>
      <c r="D25" s="240">
        <f t="shared" ref="D25:I25" si="28">D202</f>
        <v>72809</v>
      </c>
      <c r="E25" s="240">
        <f t="shared" si="28"/>
        <v>74008</v>
      </c>
      <c r="F25" s="240">
        <f t="shared" si="28"/>
        <v>76272</v>
      </c>
      <c r="G25" s="240">
        <f t="shared" si="28"/>
        <v>74635</v>
      </c>
      <c r="H25" s="240">
        <f t="shared" si="28"/>
        <v>70289</v>
      </c>
      <c r="I25" s="240">
        <f t="shared" si="28"/>
        <v>65207</v>
      </c>
      <c r="J25" s="240">
        <f t="shared" ref="J25:O25" si="29">J202</f>
        <v>65716</v>
      </c>
      <c r="K25" s="240">
        <f t="shared" si="29"/>
        <v>64608</v>
      </c>
      <c r="L25" s="240">
        <f t="shared" si="29"/>
        <v>65171</v>
      </c>
      <c r="M25" s="240">
        <f t="shared" si="29"/>
        <v>65359</v>
      </c>
      <c r="N25" s="240">
        <f t="shared" si="29"/>
        <v>71883</v>
      </c>
      <c r="O25" s="240">
        <f t="shared" si="29"/>
        <v>72918</v>
      </c>
      <c r="Q25" s="238" t="s">
        <v>5615</v>
      </c>
    </row>
    <row r="26" spans="1:17">
      <c r="D26" s="241"/>
      <c r="E26" s="241"/>
      <c r="F26" s="241"/>
      <c r="G26" s="241"/>
      <c r="H26" s="241"/>
      <c r="I26" s="241"/>
      <c r="J26" s="241"/>
      <c r="K26" s="241"/>
      <c r="L26" s="241"/>
      <c r="M26" s="241"/>
      <c r="N26" s="241"/>
      <c r="O26" s="241"/>
    </row>
    <row r="27" spans="1:17">
      <c r="A27" s="243" t="s">
        <v>5620</v>
      </c>
      <c r="D27" s="240">
        <f t="shared" ref="D27:I27" si="30">D203</f>
        <v>71866</v>
      </c>
      <c r="E27" s="240">
        <f t="shared" si="30"/>
        <v>72190</v>
      </c>
      <c r="F27" s="240">
        <f t="shared" si="30"/>
        <v>73071</v>
      </c>
      <c r="G27" s="240">
        <f t="shared" si="30"/>
        <v>72659</v>
      </c>
      <c r="H27" s="240">
        <f t="shared" si="30"/>
        <v>71315</v>
      </c>
      <c r="I27" s="240">
        <f t="shared" si="30"/>
        <v>71803</v>
      </c>
      <c r="J27" s="240">
        <f t="shared" ref="J27:O27" si="31">J203</f>
        <v>69377</v>
      </c>
      <c r="K27" s="240">
        <f t="shared" si="31"/>
        <v>70001</v>
      </c>
      <c r="L27" s="240">
        <f t="shared" si="31"/>
        <v>70614</v>
      </c>
      <c r="M27" s="240">
        <f t="shared" si="31"/>
        <v>69373</v>
      </c>
      <c r="N27" s="240">
        <f t="shared" si="31"/>
        <v>72880</v>
      </c>
      <c r="O27" s="240">
        <f t="shared" si="31"/>
        <v>72306</v>
      </c>
      <c r="Q27" s="238" t="s">
        <v>5615</v>
      </c>
    </row>
    <row r="28" spans="1:17">
      <c r="D28" s="241"/>
      <c r="E28" s="241"/>
      <c r="F28" s="241"/>
      <c r="G28" s="241"/>
      <c r="H28" s="241"/>
      <c r="I28" s="241"/>
      <c r="J28" s="241"/>
      <c r="K28" s="241"/>
      <c r="L28" s="241"/>
      <c r="M28" s="241"/>
      <c r="N28" s="241"/>
      <c r="O28" s="241"/>
    </row>
    <row r="29" spans="1:17">
      <c r="A29" s="238" t="s">
        <v>5621</v>
      </c>
      <c r="D29" s="240">
        <f t="shared" ref="D29:I29" si="32">D204</f>
        <v>71647</v>
      </c>
      <c r="E29" s="240">
        <f t="shared" si="32"/>
        <v>71794</v>
      </c>
      <c r="F29" s="240">
        <f t="shared" si="32"/>
        <v>73100</v>
      </c>
      <c r="G29" s="240">
        <f t="shared" si="32"/>
        <v>72838</v>
      </c>
      <c r="H29" s="240">
        <f t="shared" si="32"/>
        <v>70560</v>
      </c>
      <c r="I29" s="240">
        <f t="shared" si="32"/>
        <v>70088</v>
      </c>
      <c r="J29" s="240">
        <f t="shared" ref="J29:O29" si="33">J204</f>
        <v>67710</v>
      </c>
      <c r="K29" s="240">
        <f t="shared" si="33"/>
        <v>67895</v>
      </c>
      <c r="L29" s="240">
        <f t="shared" si="33"/>
        <v>68494</v>
      </c>
      <c r="M29" s="240">
        <f t="shared" si="33"/>
        <v>67765</v>
      </c>
      <c r="N29" s="240">
        <f t="shared" si="33"/>
        <v>71118</v>
      </c>
      <c r="O29" s="240">
        <f t="shared" si="33"/>
        <v>70995</v>
      </c>
      <c r="Q29" s="238" t="s">
        <v>5615</v>
      </c>
    </row>
    <row r="30" spans="1:17">
      <c r="D30" s="241"/>
      <c r="E30" s="241"/>
      <c r="F30" s="241"/>
      <c r="G30" s="241"/>
      <c r="H30" s="241"/>
      <c r="I30" s="241"/>
      <c r="J30" s="241"/>
      <c r="K30" s="241"/>
      <c r="L30" s="241"/>
      <c r="M30" s="241"/>
      <c r="N30" s="241"/>
      <c r="O30" s="241"/>
    </row>
    <row r="31" spans="1:17">
      <c r="A31" s="243" t="s">
        <v>5622</v>
      </c>
      <c r="D31" s="240">
        <f t="shared" ref="D31:I31" si="34">D205</f>
        <v>75048</v>
      </c>
      <c r="E31" s="240">
        <f t="shared" si="34"/>
        <v>75668</v>
      </c>
      <c r="F31" s="240">
        <f t="shared" si="34"/>
        <v>76884</v>
      </c>
      <c r="G31" s="240">
        <f t="shared" si="34"/>
        <v>76416</v>
      </c>
      <c r="H31" s="240">
        <f t="shared" si="34"/>
        <v>74339</v>
      </c>
      <c r="I31" s="240">
        <f t="shared" si="34"/>
        <v>73353</v>
      </c>
      <c r="J31" s="240">
        <f t="shared" ref="J31:O31" si="35">J205</f>
        <v>68460</v>
      </c>
      <c r="K31" s="240">
        <f t="shared" si="35"/>
        <v>68514</v>
      </c>
      <c r="L31" s="240">
        <f t="shared" si="35"/>
        <v>70191</v>
      </c>
      <c r="M31" s="240">
        <f t="shared" si="35"/>
        <v>68606</v>
      </c>
      <c r="N31" s="240">
        <f t="shared" si="35"/>
        <v>80825</v>
      </c>
      <c r="O31" s="240">
        <f t="shared" si="35"/>
        <v>77277</v>
      </c>
      <c r="Q31" s="238" t="s">
        <v>5615</v>
      </c>
    </row>
    <row r="32" spans="1:17">
      <c r="D32" s="241"/>
      <c r="E32" s="241"/>
      <c r="F32" s="241"/>
      <c r="G32" s="241"/>
      <c r="H32" s="241"/>
      <c r="I32" s="241"/>
      <c r="J32" s="241"/>
      <c r="K32" s="241"/>
      <c r="L32" s="241"/>
      <c r="M32" s="241"/>
      <c r="N32" s="241"/>
      <c r="O32" s="241"/>
    </row>
    <row r="33" spans="1:17">
      <c r="A33" s="238" t="s">
        <v>5623</v>
      </c>
      <c r="D33" s="240">
        <f t="shared" ref="D33:I33" si="36">D206</f>
        <v>72732</v>
      </c>
      <c r="E33" s="240">
        <f t="shared" si="36"/>
        <v>73261</v>
      </c>
      <c r="F33" s="240">
        <f t="shared" si="36"/>
        <v>74128</v>
      </c>
      <c r="G33" s="240">
        <f t="shared" si="36"/>
        <v>73494</v>
      </c>
      <c r="H33" s="240">
        <f t="shared" si="36"/>
        <v>71818</v>
      </c>
      <c r="I33" s="240">
        <f t="shared" si="36"/>
        <v>72179</v>
      </c>
      <c r="J33" s="240">
        <f t="shared" ref="J33:O33" si="37">J206</f>
        <v>69911</v>
      </c>
      <c r="K33" s="240">
        <f t="shared" si="37"/>
        <v>70235</v>
      </c>
      <c r="L33" s="240">
        <f t="shared" si="37"/>
        <v>70980</v>
      </c>
      <c r="M33" s="240">
        <f t="shared" si="37"/>
        <v>70207</v>
      </c>
      <c r="N33" s="240">
        <f t="shared" si="37"/>
        <v>73877</v>
      </c>
      <c r="O33" s="240">
        <f t="shared" si="37"/>
        <v>73411</v>
      </c>
      <c r="Q33" s="238" t="s">
        <v>5615</v>
      </c>
    </row>
    <row r="34" spans="1:17">
      <c r="D34" s="241"/>
      <c r="E34" s="241"/>
      <c r="F34" s="241"/>
      <c r="G34" s="241"/>
      <c r="H34" s="241"/>
      <c r="I34" s="241"/>
      <c r="J34" s="241"/>
      <c r="K34" s="241"/>
      <c r="L34" s="241"/>
      <c r="M34" s="241"/>
      <c r="N34" s="241"/>
      <c r="O34" s="241"/>
    </row>
    <row r="35" spans="1:17">
      <c r="A35" s="238" t="s">
        <v>6610</v>
      </c>
      <c r="D35" s="240">
        <f t="shared" ref="D35:I35" si="38">D234</f>
        <v>72490</v>
      </c>
      <c r="E35" s="240">
        <f t="shared" si="38"/>
        <v>74870</v>
      </c>
      <c r="F35" s="240">
        <f t="shared" si="38"/>
        <v>75971</v>
      </c>
      <c r="G35" s="240">
        <f t="shared" si="38"/>
        <v>75887</v>
      </c>
      <c r="H35" s="240">
        <f t="shared" si="38"/>
        <v>74993</v>
      </c>
      <c r="I35" s="240">
        <f t="shared" si="38"/>
        <v>75079</v>
      </c>
      <c r="J35" s="240">
        <f t="shared" ref="J35:O35" si="39">J234</f>
        <v>72135</v>
      </c>
      <c r="K35" s="240">
        <f t="shared" si="39"/>
        <v>74723</v>
      </c>
      <c r="L35" s="240">
        <f t="shared" si="39"/>
        <v>74507</v>
      </c>
      <c r="M35" s="240">
        <f t="shared" si="39"/>
        <v>73590</v>
      </c>
      <c r="N35" s="240">
        <f t="shared" si="39"/>
        <v>75349</v>
      </c>
      <c r="O35" s="240">
        <f t="shared" si="39"/>
        <v>75274</v>
      </c>
      <c r="Q35" s="238" t="s">
        <v>6611</v>
      </c>
    </row>
    <row r="36" spans="1:17">
      <c r="A36" s="76"/>
      <c r="D36" s="241"/>
      <c r="E36" s="241"/>
      <c r="F36" s="241"/>
      <c r="G36" s="241"/>
      <c r="H36" s="241"/>
      <c r="I36" s="241"/>
      <c r="J36" s="241"/>
      <c r="K36" s="241"/>
      <c r="L36" s="241"/>
      <c r="M36" s="241"/>
      <c r="N36" s="241"/>
      <c r="O36" s="241"/>
    </row>
    <row r="37" spans="1:17">
      <c r="A37" s="238" t="s">
        <v>2627</v>
      </c>
      <c r="D37" s="240">
        <f t="shared" ref="D37:I37" si="40">D235</f>
        <v>73030</v>
      </c>
      <c r="E37" s="240">
        <f t="shared" si="40"/>
        <v>74180</v>
      </c>
      <c r="F37" s="240">
        <f t="shared" si="40"/>
        <v>74754</v>
      </c>
      <c r="G37" s="240">
        <f t="shared" si="40"/>
        <v>74563</v>
      </c>
      <c r="H37" s="240">
        <f t="shared" si="40"/>
        <v>72487</v>
      </c>
      <c r="I37" s="240">
        <f t="shared" si="40"/>
        <v>72485</v>
      </c>
      <c r="J37" s="240">
        <f t="shared" ref="J37:O37" si="41">J235</f>
        <v>70716</v>
      </c>
      <c r="K37" s="240">
        <f t="shared" si="41"/>
        <v>73685</v>
      </c>
      <c r="L37" s="240">
        <f t="shared" si="41"/>
        <v>73384</v>
      </c>
      <c r="M37" s="240">
        <f t="shared" si="41"/>
        <v>72470</v>
      </c>
      <c r="N37" s="240">
        <f t="shared" si="41"/>
        <v>73539</v>
      </c>
      <c r="O37" s="240">
        <f t="shared" si="41"/>
        <v>73431</v>
      </c>
      <c r="Q37" s="238" t="s">
        <v>6611</v>
      </c>
    </row>
    <row r="38" spans="1:17">
      <c r="D38" s="241"/>
      <c r="E38" s="241"/>
      <c r="F38" s="241"/>
      <c r="G38" s="241"/>
      <c r="H38" s="241"/>
      <c r="I38" s="241"/>
      <c r="J38" s="241"/>
      <c r="K38" s="241"/>
      <c r="L38" s="241"/>
      <c r="M38" s="241"/>
      <c r="N38" s="241"/>
      <c r="O38" s="241"/>
    </row>
    <row r="39" spans="1:17">
      <c r="A39" s="238" t="s">
        <v>2628</v>
      </c>
      <c r="D39" s="240">
        <f t="shared" ref="D39:I39" si="42">D236</f>
        <v>73346</v>
      </c>
      <c r="E39" s="240">
        <f t="shared" si="42"/>
        <v>75705</v>
      </c>
      <c r="F39" s="240">
        <f t="shared" si="42"/>
        <v>76571</v>
      </c>
      <c r="G39" s="240">
        <f t="shared" si="42"/>
        <v>76090</v>
      </c>
      <c r="H39" s="240">
        <f t="shared" si="42"/>
        <v>74189</v>
      </c>
      <c r="I39" s="240">
        <f t="shared" si="42"/>
        <v>67160</v>
      </c>
      <c r="J39" s="240">
        <f t="shared" ref="J39:O39" si="43">J236</f>
        <v>67180</v>
      </c>
      <c r="K39" s="240">
        <f t="shared" si="43"/>
        <v>66940</v>
      </c>
      <c r="L39" s="240">
        <f t="shared" si="43"/>
        <v>66328</v>
      </c>
      <c r="M39" s="240">
        <f t="shared" si="43"/>
        <v>65009</v>
      </c>
      <c r="N39" s="240">
        <f t="shared" si="43"/>
        <v>69159</v>
      </c>
      <c r="O39" s="240">
        <f t="shared" si="43"/>
        <v>69113</v>
      </c>
      <c r="Q39" s="238" t="s">
        <v>6611</v>
      </c>
    </row>
    <row r="40" spans="1:17">
      <c r="D40" s="241"/>
      <c r="E40" s="241"/>
      <c r="F40" s="241"/>
      <c r="G40" s="241"/>
      <c r="H40" s="241"/>
      <c r="I40" s="241"/>
      <c r="J40" s="241"/>
      <c r="K40" s="241"/>
      <c r="L40" s="241"/>
      <c r="M40" s="241"/>
      <c r="N40" s="241"/>
      <c r="O40" s="241"/>
    </row>
    <row r="41" spans="1:17">
      <c r="A41" s="238" t="s">
        <v>2629</v>
      </c>
      <c r="D41" s="240">
        <f t="shared" ref="D41:I41" si="44">D269</f>
        <v>60977</v>
      </c>
      <c r="E41" s="240">
        <f t="shared" si="44"/>
        <v>61714</v>
      </c>
      <c r="F41" s="240">
        <f t="shared" si="44"/>
        <v>61978</v>
      </c>
      <c r="G41" s="240">
        <f t="shared" si="44"/>
        <v>62137</v>
      </c>
      <c r="H41" s="240">
        <f t="shared" si="44"/>
        <v>60485</v>
      </c>
      <c r="I41" s="240">
        <f t="shared" si="44"/>
        <v>60462</v>
      </c>
      <c r="J41" s="240">
        <f t="shared" ref="J41:O41" si="45">J269</f>
        <v>61054</v>
      </c>
      <c r="K41" s="240">
        <f t="shared" si="45"/>
        <v>61719</v>
      </c>
      <c r="L41" s="240">
        <f t="shared" si="45"/>
        <v>60966</v>
      </c>
      <c r="M41" s="240">
        <f t="shared" si="45"/>
        <v>60543</v>
      </c>
      <c r="N41" s="240">
        <f t="shared" si="45"/>
        <v>62321</v>
      </c>
      <c r="O41" s="240">
        <f t="shared" si="45"/>
        <v>61333</v>
      </c>
      <c r="Q41" s="238" t="s">
        <v>2630</v>
      </c>
    </row>
    <row r="42" spans="1:17">
      <c r="D42" s="241"/>
      <c r="E42" s="241"/>
      <c r="F42" s="241"/>
      <c r="G42" s="241"/>
      <c r="H42" s="241"/>
      <c r="I42" s="241"/>
      <c r="J42" s="241"/>
      <c r="K42" s="241"/>
      <c r="L42" s="241"/>
      <c r="M42" s="241"/>
      <c r="N42" s="241"/>
      <c r="O42" s="241"/>
    </row>
    <row r="43" spans="1:17">
      <c r="A43" s="238" t="s">
        <v>2631</v>
      </c>
      <c r="D43" s="240">
        <f t="shared" ref="D43:I43" si="46">D270</f>
        <v>60887</v>
      </c>
      <c r="E43" s="240">
        <f t="shared" si="46"/>
        <v>61308</v>
      </c>
      <c r="F43" s="240">
        <f t="shared" si="46"/>
        <v>61506</v>
      </c>
      <c r="G43" s="240">
        <f t="shared" si="46"/>
        <v>61805</v>
      </c>
      <c r="H43" s="240">
        <f t="shared" si="46"/>
        <v>60171</v>
      </c>
      <c r="I43" s="240">
        <f t="shared" si="46"/>
        <v>60187</v>
      </c>
      <c r="J43" s="240">
        <f t="shared" ref="J43:O43" si="47">J270</f>
        <v>60284</v>
      </c>
      <c r="K43" s="240">
        <f t="shared" si="47"/>
        <v>60957</v>
      </c>
      <c r="L43" s="240">
        <f t="shared" si="47"/>
        <v>60491</v>
      </c>
      <c r="M43" s="240">
        <f t="shared" si="47"/>
        <v>60456</v>
      </c>
      <c r="N43" s="240">
        <f t="shared" si="47"/>
        <v>61083</v>
      </c>
      <c r="O43" s="240">
        <f t="shared" si="47"/>
        <v>60301</v>
      </c>
      <c r="Q43" s="238" t="s">
        <v>2630</v>
      </c>
    </row>
    <row r="44" spans="1:17">
      <c r="D44" s="241"/>
      <c r="E44" s="241"/>
      <c r="F44" s="241"/>
      <c r="G44" s="241"/>
      <c r="H44" s="241"/>
      <c r="I44" s="241"/>
      <c r="J44" s="241"/>
      <c r="K44" s="241"/>
      <c r="L44" s="241"/>
      <c r="M44" s="241"/>
      <c r="N44" s="241"/>
      <c r="O44" s="241"/>
    </row>
    <row r="45" spans="1:17">
      <c r="A45" s="238" t="s">
        <v>2632</v>
      </c>
      <c r="D45" s="240">
        <f t="shared" ref="D45:I45" si="48">D271</f>
        <v>38877</v>
      </c>
      <c r="E45" s="240">
        <f t="shared" si="48"/>
        <v>39227</v>
      </c>
      <c r="F45" s="240">
        <f t="shared" si="48"/>
        <v>39440</v>
      </c>
      <c r="G45" s="240">
        <f t="shared" si="48"/>
        <v>39504</v>
      </c>
      <c r="H45" s="240">
        <f t="shared" si="48"/>
        <v>38848</v>
      </c>
      <c r="I45" s="240">
        <f t="shared" si="48"/>
        <v>38771</v>
      </c>
      <c r="J45" s="240">
        <f t="shared" ref="J45:O45" si="49">J271</f>
        <v>39157</v>
      </c>
      <c r="K45" s="240">
        <f t="shared" si="49"/>
        <v>39543</v>
      </c>
      <c r="L45" s="240">
        <f t="shared" si="49"/>
        <v>39373</v>
      </c>
      <c r="M45" s="240">
        <f t="shared" si="49"/>
        <v>39043</v>
      </c>
      <c r="N45" s="240">
        <f t="shared" si="49"/>
        <v>39806</v>
      </c>
      <c r="O45" s="240">
        <f t="shared" si="49"/>
        <v>39346</v>
      </c>
      <c r="Q45" s="238" t="s">
        <v>2630</v>
      </c>
    </row>
    <row r="46" spans="1:17" ht="15.75" thickBot="1">
      <c r="D46" s="244">
        <f t="shared" ref="D46:I46" si="50">D306</f>
        <v>28481</v>
      </c>
      <c r="E46" s="244">
        <f t="shared" si="50"/>
        <v>28429</v>
      </c>
      <c r="F46" s="244">
        <f t="shared" si="50"/>
        <v>28724</v>
      </c>
      <c r="G46" s="244">
        <f t="shared" si="50"/>
        <v>29072</v>
      </c>
      <c r="H46" s="244">
        <f t="shared" si="50"/>
        <v>28698</v>
      </c>
      <c r="I46" s="244">
        <f t="shared" si="50"/>
        <v>28731</v>
      </c>
      <c r="J46" s="244">
        <f t="shared" ref="J46:O46" si="51">J306</f>
        <v>28142</v>
      </c>
      <c r="K46" s="244">
        <f t="shared" si="51"/>
        <v>28587</v>
      </c>
      <c r="L46" s="244">
        <f t="shared" si="51"/>
        <v>28951</v>
      </c>
      <c r="M46" s="244">
        <f t="shared" si="51"/>
        <v>27784</v>
      </c>
      <c r="N46" s="244">
        <f t="shared" si="51"/>
        <v>28904</v>
      </c>
      <c r="O46" s="244">
        <f t="shared" si="51"/>
        <v>28782</v>
      </c>
      <c r="Q46" s="238" t="s">
        <v>4087</v>
      </c>
    </row>
    <row r="47" spans="1:17" ht="15.75" thickBot="1">
      <c r="D47" s="244">
        <f t="shared" ref="D47:I47" si="52">SUM(D45:D46)</f>
        <v>67358</v>
      </c>
      <c r="E47" s="244">
        <f t="shared" si="52"/>
        <v>67656</v>
      </c>
      <c r="F47" s="244">
        <f t="shared" si="52"/>
        <v>68164</v>
      </c>
      <c r="G47" s="244">
        <f t="shared" si="52"/>
        <v>68576</v>
      </c>
      <c r="H47" s="244">
        <f t="shared" si="52"/>
        <v>67546</v>
      </c>
      <c r="I47" s="244">
        <f t="shared" si="52"/>
        <v>67502</v>
      </c>
      <c r="J47" s="244">
        <f t="shared" ref="J47:O47" si="53">SUM(J45:J46)</f>
        <v>67299</v>
      </c>
      <c r="K47" s="244">
        <f t="shared" si="53"/>
        <v>68130</v>
      </c>
      <c r="L47" s="244">
        <f t="shared" si="53"/>
        <v>68324</v>
      </c>
      <c r="M47" s="244">
        <f t="shared" si="53"/>
        <v>66827</v>
      </c>
      <c r="N47" s="244">
        <f t="shared" si="53"/>
        <v>68710</v>
      </c>
      <c r="O47" s="244">
        <f t="shared" si="53"/>
        <v>68128</v>
      </c>
    </row>
    <row r="48" spans="1:17">
      <c r="D48" s="241"/>
      <c r="E48" s="241"/>
      <c r="F48" s="241"/>
      <c r="G48" s="241"/>
      <c r="H48" s="241"/>
      <c r="I48" s="241"/>
      <c r="J48" s="241"/>
      <c r="K48" s="241"/>
      <c r="L48" s="241"/>
      <c r="M48" s="241"/>
      <c r="N48" s="241"/>
      <c r="O48" s="241"/>
    </row>
    <row r="49" spans="1:17">
      <c r="A49" s="238" t="s">
        <v>4088</v>
      </c>
      <c r="D49" s="240">
        <f t="shared" ref="D49:I49" si="54">D335</f>
        <v>82400</v>
      </c>
      <c r="E49" s="240">
        <f t="shared" si="54"/>
        <v>83428</v>
      </c>
      <c r="F49" s="240">
        <f t="shared" si="54"/>
        <v>81568</v>
      </c>
      <c r="G49" s="240">
        <f t="shared" si="54"/>
        <v>82083</v>
      </c>
      <c r="H49" s="240">
        <f t="shared" si="54"/>
        <v>82599</v>
      </c>
      <c r="I49" s="240">
        <f t="shared" si="54"/>
        <v>80076</v>
      </c>
      <c r="J49" s="240">
        <f t="shared" ref="J49:O49" si="55">J335</f>
        <v>78752</v>
      </c>
      <c r="K49" s="240">
        <f t="shared" si="55"/>
        <v>82268</v>
      </c>
      <c r="L49" s="240">
        <f t="shared" si="55"/>
        <v>81525</v>
      </c>
      <c r="M49" s="240">
        <f t="shared" si="55"/>
        <v>81415</v>
      </c>
      <c r="N49" s="240">
        <f t="shared" si="55"/>
        <v>83643</v>
      </c>
      <c r="O49" s="240">
        <f t="shared" si="55"/>
        <v>84545</v>
      </c>
      <c r="Q49" s="238" t="s">
        <v>4089</v>
      </c>
    </row>
    <row r="50" spans="1:17">
      <c r="D50" s="241"/>
      <c r="E50" s="241"/>
      <c r="F50" s="241"/>
      <c r="G50" s="241"/>
      <c r="H50" s="241"/>
      <c r="I50" s="241"/>
      <c r="J50" s="241"/>
      <c r="K50" s="241"/>
      <c r="L50" s="241"/>
      <c r="M50" s="241"/>
      <c r="N50" s="241"/>
      <c r="O50" s="241"/>
    </row>
    <row r="51" spans="1:17">
      <c r="A51" s="238" t="s">
        <v>4096</v>
      </c>
      <c r="D51" s="240">
        <f t="shared" ref="D51:I51" si="56">D336</f>
        <v>76638</v>
      </c>
      <c r="E51" s="240">
        <f t="shared" si="56"/>
        <v>77354</v>
      </c>
      <c r="F51" s="240">
        <f t="shared" si="56"/>
        <v>75634</v>
      </c>
      <c r="G51" s="240">
        <f t="shared" si="56"/>
        <v>77132</v>
      </c>
      <c r="H51" s="240">
        <f t="shared" si="56"/>
        <v>78153</v>
      </c>
      <c r="I51" s="240">
        <f t="shared" si="56"/>
        <v>76638</v>
      </c>
      <c r="J51" s="240">
        <f t="shared" ref="J51:O51" si="57">J336</f>
        <v>75121</v>
      </c>
      <c r="K51" s="240">
        <f t="shared" si="57"/>
        <v>78112</v>
      </c>
      <c r="L51" s="240">
        <f t="shared" si="57"/>
        <v>77078</v>
      </c>
      <c r="M51" s="240">
        <f t="shared" si="57"/>
        <v>76205</v>
      </c>
      <c r="N51" s="240">
        <f t="shared" si="57"/>
        <v>77513</v>
      </c>
      <c r="O51" s="240">
        <f t="shared" si="57"/>
        <v>78069</v>
      </c>
      <c r="Q51" s="238" t="s">
        <v>4089</v>
      </c>
    </row>
    <row r="52" spans="1:17">
      <c r="D52" s="241"/>
      <c r="E52" s="241"/>
      <c r="F52" s="241"/>
      <c r="G52" s="241"/>
      <c r="H52" s="241"/>
      <c r="I52" s="241"/>
      <c r="J52" s="241"/>
      <c r="K52" s="241"/>
      <c r="L52" s="241"/>
      <c r="M52" s="241"/>
      <c r="N52" s="241"/>
      <c r="O52" s="241"/>
    </row>
    <row r="53" spans="1:17">
      <c r="A53" s="238" t="s">
        <v>4097</v>
      </c>
      <c r="D53" s="240">
        <f t="shared" ref="D53:I53" si="58">D272</f>
        <v>69855</v>
      </c>
      <c r="E53" s="240">
        <f t="shared" si="58"/>
        <v>70225</v>
      </c>
      <c r="F53" s="240">
        <f t="shared" si="58"/>
        <v>70337</v>
      </c>
      <c r="G53" s="240">
        <f t="shared" si="58"/>
        <v>70425</v>
      </c>
      <c r="H53" s="240">
        <f t="shared" si="58"/>
        <v>68747</v>
      </c>
      <c r="I53" s="240">
        <f t="shared" si="58"/>
        <v>68686</v>
      </c>
      <c r="J53" s="240">
        <f t="shared" ref="J53:O53" si="59">J272</f>
        <v>69303</v>
      </c>
      <c r="K53" s="240">
        <f t="shared" si="59"/>
        <v>69791</v>
      </c>
      <c r="L53" s="240">
        <f t="shared" si="59"/>
        <v>69763</v>
      </c>
      <c r="M53" s="240">
        <f t="shared" si="59"/>
        <v>69058</v>
      </c>
      <c r="N53" s="240">
        <f t="shared" si="59"/>
        <v>70280</v>
      </c>
      <c r="O53" s="240">
        <f t="shared" si="59"/>
        <v>69364</v>
      </c>
      <c r="Q53" s="238" t="s">
        <v>2630</v>
      </c>
    </row>
    <row r="54" spans="1:17">
      <c r="D54" s="241"/>
      <c r="E54" s="241"/>
      <c r="F54" s="241"/>
      <c r="G54" s="241"/>
      <c r="H54" s="241"/>
      <c r="I54" s="241"/>
      <c r="J54" s="241"/>
      <c r="K54" s="241"/>
      <c r="L54" s="241"/>
      <c r="M54" s="241"/>
      <c r="N54" s="241"/>
      <c r="O54" s="241"/>
    </row>
    <row r="55" spans="1:17">
      <c r="A55" s="238" t="s">
        <v>4098</v>
      </c>
      <c r="D55" s="240">
        <f t="shared" ref="D55:I55" si="60">D207</f>
        <v>74877</v>
      </c>
      <c r="E55" s="240">
        <f t="shared" si="60"/>
        <v>75031</v>
      </c>
      <c r="F55" s="240">
        <f t="shared" si="60"/>
        <v>75567</v>
      </c>
      <c r="G55" s="240">
        <f t="shared" si="60"/>
        <v>75060</v>
      </c>
      <c r="H55" s="240">
        <f t="shared" si="60"/>
        <v>74855</v>
      </c>
      <c r="I55" s="240">
        <f t="shared" si="60"/>
        <v>75341</v>
      </c>
      <c r="J55" s="240">
        <f t="shared" ref="J55:O55" si="61">J207</f>
        <v>73172</v>
      </c>
      <c r="K55" s="240">
        <f t="shared" si="61"/>
        <v>73419</v>
      </c>
      <c r="L55" s="240">
        <f t="shared" si="61"/>
        <v>73443</v>
      </c>
      <c r="M55" s="240">
        <f t="shared" si="61"/>
        <v>72461</v>
      </c>
      <c r="N55" s="240">
        <f t="shared" si="61"/>
        <v>75215</v>
      </c>
      <c r="O55" s="240">
        <f t="shared" si="61"/>
        <v>74584</v>
      </c>
      <c r="Q55" s="238" t="s">
        <v>5615</v>
      </c>
    </row>
    <row r="56" spans="1:17">
      <c r="D56" s="241"/>
      <c r="E56" s="241"/>
      <c r="F56" s="241"/>
      <c r="G56" s="241"/>
      <c r="H56" s="241"/>
      <c r="I56" s="241"/>
      <c r="J56" s="241"/>
      <c r="K56" s="241"/>
      <c r="L56" s="241"/>
      <c r="M56" s="241"/>
      <c r="N56" s="241"/>
      <c r="O56" s="241"/>
    </row>
    <row r="57" spans="1:17">
      <c r="A57" s="238" t="s">
        <v>4099</v>
      </c>
      <c r="D57" s="240">
        <f t="shared" ref="D57:I57" si="62">D366</f>
        <v>64984</v>
      </c>
      <c r="E57" s="240">
        <f t="shared" si="62"/>
        <v>65468</v>
      </c>
      <c r="F57" s="240">
        <f t="shared" si="62"/>
        <v>67186</v>
      </c>
      <c r="G57" s="240">
        <f t="shared" si="62"/>
        <v>68018</v>
      </c>
      <c r="H57" s="240">
        <f t="shared" si="62"/>
        <v>67003</v>
      </c>
      <c r="I57" s="240">
        <f t="shared" si="62"/>
        <v>66648</v>
      </c>
      <c r="J57" s="240">
        <f t="shared" ref="J57:O57" si="63">J366</f>
        <v>64186</v>
      </c>
      <c r="K57" s="240">
        <f t="shared" si="63"/>
        <v>65731</v>
      </c>
      <c r="L57" s="240">
        <f t="shared" si="63"/>
        <v>66367</v>
      </c>
      <c r="M57" s="240">
        <f t="shared" si="63"/>
        <v>66438</v>
      </c>
      <c r="N57" s="240">
        <f t="shared" si="63"/>
        <v>66435</v>
      </c>
      <c r="O57" s="240">
        <f t="shared" si="63"/>
        <v>67801</v>
      </c>
      <c r="Q57" s="238" t="s">
        <v>5613</v>
      </c>
    </row>
    <row r="58" spans="1:17">
      <c r="D58" s="241"/>
      <c r="E58" s="241"/>
      <c r="F58" s="241"/>
      <c r="G58" s="241"/>
      <c r="H58" s="241"/>
      <c r="I58" s="241"/>
      <c r="J58" s="241"/>
      <c r="K58" s="241"/>
      <c r="L58" s="241"/>
      <c r="M58" s="241"/>
      <c r="N58" s="241"/>
      <c r="O58" s="241"/>
    </row>
    <row r="59" spans="1:17">
      <c r="A59" s="238" t="s">
        <v>4100</v>
      </c>
      <c r="D59" s="240">
        <f t="shared" ref="D59:I59" si="64">D367</f>
        <v>64710</v>
      </c>
      <c r="E59" s="240">
        <f t="shared" si="64"/>
        <v>66082</v>
      </c>
      <c r="F59" s="240">
        <f t="shared" si="64"/>
        <v>67767</v>
      </c>
      <c r="G59" s="240">
        <f t="shared" si="64"/>
        <v>68140</v>
      </c>
      <c r="H59" s="240">
        <f t="shared" si="64"/>
        <v>67031</v>
      </c>
      <c r="I59" s="240">
        <f t="shared" si="64"/>
        <v>67035</v>
      </c>
      <c r="J59" s="240">
        <f t="shared" ref="J59:O59" si="65">J367</f>
        <v>64415</v>
      </c>
      <c r="K59" s="240">
        <f t="shared" si="65"/>
        <v>66039</v>
      </c>
      <c r="L59" s="240">
        <f t="shared" si="65"/>
        <v>66512</v>
      </c>
      <c r="M59" s="240">
        <f t="shared" si="65"/>
        <v>66766</v>
      </c>
      <c r="N59" s="240">
        <f t="shared" si="65"/>
        <v>67052</v>
      </c>
      <c r="O59" s="240">
        <f t="shared" si="65"/>
        <v>68836</v>
      </c>
      <c r="Q59" s="238" t="s">
        <v>5613</v>
      </c>
    </row>
    <row r="60" spans="1:17">
      <c r="D60" s="241"/>
      <c r="E60" s="241"/>
      <c r="F60" s="241"/>
      <c r="G60" s="241"/>
      <c r="H60" s="241"/>
      <c r="I60" s="241"/>
      <c r="J60" s="241"/>
      <c r="K60" s="241"/>
      <c r="L60" s="241"/>
      <c r="M60" s="241"/>
      <c r="N60" s="241"/>
      <c r="O60" s="241"/>
    </row>
    <row r="61" spans="1:17">
      <c r="A61" s="238" t="s">
        <v>4101</v>
      </c>
      <c r="D61" s="240">
        <f t="shared" ref="D61:I61" si="66">D307</f>
        <v>63232</v>
      </c>
      <c r="E61" s="240">
        <f t="shared" si="66"/>
        <v>63024</v>
      </c>
      <c r="F61" s="240">
        <f t="shared" si="66"/>
        <v>63861</v>
      </c>
      <c r="G61" s="240">
        <f t="shared" si="66"/>
        <v>64502</v>
      </c>
      <c r="H61" s="240">
        <f t="shared" si="66"/>
        <v>63642</v>
      </c>
      <c r="I61" s="240">
        <f t="shared" si="66"/>
        <v>63668</v>
      </c>
      <c r="J61" s="240">
        <f t="shared" ref="J61:O61" si="67">J307</f>
        <v>61346</v>
      </c>
      <c r="K61" s="240">
        <f t="shared" si="67"/>
        <v>62633</v>
      </c>
      <c r="L61" s="240">
        <f t="shared" si="67"/>
        <v>63219</v>
      </c>
      <c r="M61" s="240">
        <f t="shared" si="67"/>
        <v>59604</v>
      </c>
      <c r="N61" s="240">
        <f t="shared" si="67"/>
        <v>62874</v>
      </c>
      <c r="O61" s="240">
        <f t="shared" si="67"/>
        <v>62671</v>
      </c>
      <c r="Q61" s="238" t="s">
        <v>4087</v>
      </c>
    </row>
    <row r="62" spans="1:17">
      <c r="D62" s="241"/>
      <c r="E62" s="241"/>
      <c r="F62" s="241"/>
      <c r="G62" s="241"/>
      <c r="H62" s="241"/>
      <c r="I62" s="241"/>
      <c r="J62" s="241"/>
      <c r="K62" s="241"/>
      <c r="L62" s="241"/>
      <c r="M62" s="241"/>
      <c r="N62" s="241"/>
      <c r="O62" s="241"/>
    </row>
    <row r="63" spans="1:17">
      <c r="A63" s="238" t="s">
        <v>4102</v>
      </c>
      <c r="D63" s="240">
        <f t="shared" ref="D63:I63" si="68">D308</f>
        <v>63218</v>
      </c>
      <c r="E63" s="240">
        <f t="shared" si="68"/>
        <v>63008</v>
      </c>
      <c r="F63" s="240">
        <f t="shared" si="68"/>
        <v>63465</v>
      </c>
      <c r="G63" s="240">
        <f t="shared" si="68"/>
        <v>64389</v>
      </c>
      <c r="H63" s="240">
        <f t="shared" si="68"/>
        <v>63641</v>
      </c>
      <c r="I63" s="240">
        <f t="shared" si="68"/>
        <v>63587</v>
      </c>
      <c r="J63" s="240">
        <f t="shared" ref="J63:O63" si="69">J308</f>
        <v>62033</v>
      </c>
      <c r="K63" s="240">
        <f t="shared" si="69"/>
        <v>62968</v>
      </c>
      <c r="L63" s="240">
        <f t="shared" si="69"/>
        <v>64007</v>
      </c>
      <c r="M63" s="240">
        <f t="shared" si="69"/>
        <v>60297</v>
      </c>
      <c r="N63" s="240">
        <f t="shared" si="69"/>
        <v>62514</v>
      </c>
      <c r="O63" s="240">
        <f t="shared" si="69"/>
        <v>62324</v>
      </c>
      <c r="Q63" s="238" t="s">
        <v>4087</v>
      </c>
    </row>
    <row r="64" spans="1:17">
      <c r="D64" s="241"/>
      <c r="E64" s="241"/>
      <c r="F64" s="241"/>
      <c r="G64" s="241"/>
      <c r="H64" s="241"/>
      <c r="I64" s="241"/>
      <c r="J64" s="241"/>
      <c r="K64" s="241"/>
      <c r="L64" s="241"/>
      <c r="M64" s="241"/>
      <c r="N64" s="241"/>
      <c r="O64" s="241"/>
    </row>
    <row r="65" spans="1:17">
      <c r="A65" s="238" t="s">
        <v>4103</v>
      </c>
      <c r="D65" s="240">
        <f t="shared" ref="D65:I65" si="70">D309</f>
        <v>65472</v>
      </c>
      <c r="E65" s="240">
        <f t="shared" si="70"/>
        <v>65249</v>
      </c>
      <c r="F65" s="240">
        <f t="shared" si="70"/>
        <v>65964</v>
      </c>
      <c r="G65" s="240">
        <f t="shared" si="70"/>
        <v>66742</v>
      </c>
      <c r="H65" s="240">
        <f t="shared" si="70"/>
        <v>65721</v>
      </c>
      <c r="I65" s="240">
        <f t="shared" si="70"/>
        <v>65705</v>
      </c>
      <c r="J65" s="240">
        <f t="shared" ref="J65:O65" si="71">J309</f>
        <v>63963</v>
      </c>
      <c r="K65" s="240">
        <f t="shared" si="71"/>
        <v>64953</v>
      </c>
      <c r="L65" s="240">
        <f t="shared" si="71"/>
        <v>65839</v>
      </c>
      <c r="M65" s="240">
        <f t="shared" si="71"/>
        <v>62152</v>
      </c>
      <c r="N65" s="240">
        <f t="shared" si="71"/>
        <v>64950</v>
      </c>
      <c r="O65" s="240">
        <f t="shared" si="71"/>
        <v>64762</v>
      </c>
      <c r="Q65" s="238" t="s">
        <v>4087</v>
      </c>
    </row>
    <row r="66" spans="1:17">
      <c r="D66" s="241"/>
      <c r="E66" s="241"/>
      <c r="F66" s="241"/>
      <c r="G66" s="241"/>
      <c r="H66" s="241"/>
      <c r="I66" s="241"/>
      <c r="J66" s="241"/>
      <c r="K66" s="241"/>
      <c r="L66" s="241"/>
      <c r="M66" s="241"/>
      <c r="N66" s="241"/>
      <c r="O66" s="241"/>
    </row>
    <row r="67" spans="1:17">
      <c r="A67" s="238" t="s">
        <v>4104</v>
      </c>
      <c r="D67" s="240">
        <f t="shared" ref="D67:I67" si="72">D396</f>
        <v>59130</v>
      </c>
      <c r="E67" s="240">
        <f t="shared" si="72"/>
        <v>60354</v>
      </c>
      <c r="F67" s="240">
        <f t="shared" si="72"/>
        <v>61286</v>
      </c>
      <c r="G67" s="240">
        <f t="shared" si="72"/>
        <v>61164</v>
      </c>
      <c r="H67" s="240">
        <f t="shared" si="72"/>
        <v>61043</v>
      </c>
      <c r="I67" s="240">
        <f t="shared" si="72"/>
        <v>60935</v>
      </c>
      <c r="J67" s="240">
        <f t="shared" ref="J67:O67" si="73">J396</f>
        <v>59962</v>
      </c>
      <c r="K67" s="240">
        <f t="shared" si="73"/>
        <v>60383</v>
      </c>
      <c r="L67" s="240">
        <f t="shared" si="73"/>
        <v>60495</v>
      </c>
      <c r="M67" s="240">
        <f t="shared" si="73"/>
        <v>59367</v>
      </c>
      <c r="N67" s="240">
        <f t="shared" si="73"/>
        <v>62058</v>
      </c>
      <c r="O67" s="240">
        <f t="shared" si="73"/>
        <v>60709</v>
      </c>
      <c r="Q67" s="238" t="s">
        <v>4105</v>
      </c>
    </row>
    <row r="68" spans="1:17">
      <c r="D68" s="241"/>
      <c r="E68" s="241"/>
      <c r="F68" s="241"/>
      <c r="G68" s="241"/>
      <c r="H68" s="241"/>
      <c r="I68" s="241"/>
      <c r="J68" s="241"/>
      <c r="K68" s="241"/>
      <c r="L68" s="241"/>
      <c r="M68" s="241"/>
      <c r="N68" s="241"/>
      <c r="O68" s="241"/>
    </row>
    <row r="69" spans="1:17">
      <c r="A69" s="238" t="s">
        <v>4106</v>
      </c>
      <c r="D69" s="240">
        <f t="shared" ref="D69:I69" si="74">D273</f>
        <v>9617</v>
      </c>
      <c r="E69" s="240">
        <f t="shared" si="74"/>
        <v>9657</v>
      </c>
      <c r="F69" s="240">
        <f t="shared" si="74"/>
        <v>9668</v>
      </c>
      <c r="G69" s="240">
        <f t="shared" si="74"/>
        <v>9774</v>
      </c>
      <c r="H69" s="240">
        <f t="shared" si="74"/>
        <v>9536</v>
      </c>
      <c r="I69" s="240">
        <f t="shared" si="74"/>
        <v>9444</v>
      </c>
      <c r="J69" s="240">
        <f t="shared" ref="J69:O69" si="75">J273</f>
        <v>9607</v>
      </c>
      <c r="K69" s="240">
        <f t="shared" si="75"/>
        <v>9610</v>
      </c>
      <c r="L69" s="240">
        <f t="shared" si="75"/>
        <v>9427</v>
      </c>
      <c r="M69" s="240">
        <f t="shared" si="75"/>
        <v>9375</v>
      </c>
      <c r="N69" s="240">
        <f t="shared" si="75"/>
        <v>9525</v>
      </c>
      <c r="O69" s="240">
        <f t="shared" si="75"/>
        <v>9378</v>
      </c>
      <c r="Q69" s="238" t="s">
        <v>2630</v>
      </c>
    </row>
    <row r="70" spans="1:17" ht="15.75" thickBot="1">
      <c r="A70" s="238"/>
      <c r="D70" s="244">
        <f t="shared" ref="D70:I70" si="76">D397</f>
        <v>50673</v>
      </c>
      <c r="E70" s="244">
        <f t="shared" si="76"/>
        <v>52094</v>
      </c>
      <c r="F70" s="244">
        <f t="shared" si="76"/>
        <v>52641</v>
      </c>
      <c r="G70" s="244">
        <f t="shared" si="76"/>
        <v>52906</v>
      </c>
      <c r="H70" s="244">
        <f t="shared" si="76"/>
        <v>52049</v>
      </c>
      <c r="I70" s="244">
        <f t="shared" si="76"/>
        <v>52817</v>
      </c>
      <c r="J70" s="244">
        <f t="shared" ref="J70:O70" si="77">J397</f>
        <v>52026</v>
      </c>
      <c r="K70" s="244">
        <f t="shared" si="77"/>
        <v>52507</v>
      </c>
      <c r="L70" s="244">
        <f t="shared" si="77"/>
        <v>52341</v>
      </c>
      <c r="M70" s="244">
        <f t="shared" si="77"/>
        <v>51161</v>
      </c>
      <c r="N70" s="244">
        <f t="shared" si="77"/>
        <v>53961</v>
      </c>
      <c r="O70" s="244">
        <f t="shared" si="77"/>
        <v>52506</v>
      </c>
      <c r="Q70" s="238" t="s">
        <v>4105</v>
      </c>
    </row>
    <row r="71" spans="1:17" ht="15.75" thickBot="1">
      <c r="A71" s="238"/>
      <c r="D71" s="245">
        <f t="shared" ref="D71:I71" si="78">D69+D70</f>
        <v>60290</v>
      </c>
      <c r="E71" s="245">
        <f t="shared" si="78"/>
        <v>61751</v>
      </c>
      <c r="F71" s="245">
        <f t="shared" si="78"/>
        <v>62309</v>
      </c>
      <c r="G71" s="245">
        <f t="shared" si="78"/>
        <v>62680</v>
      </c>
      <c r="H71" s="245">
        <f t="shared" si="78"/>
        <v>61585</v>
      </c>
      <c r="I71" s="245">
        <f t="shared" si="78"/>
        <v>62261</v>
      </c>
      <c r="J71" s="245">
        <f t="shared" ref="J71:O71" si="79">J69+J70</f>
        <v>61633</v>
      </c>
      <c r="K71" s="245">
        <f t="shared" si="79"/>
        <v>62117</v>
      </c>
      <c r="L71" s="245">
        <f t="shared" si="79"/>
        <v>61768</v>
      </c>
      <c r="M71" s="245">
        <f t="shared" si="79"/>
        <v>60536</v>
      </c>
      <c r="N71" s="245">
        <f t="shared" si="79"/>
        <v>63486</v>
      </c>
      <c r="O71" s="245">
        <f t="shared" si="79"/>
        <v>61884</v>
      </c>
      <c r="Q71" s="238"/>
    </row>
    <row r="72" spans="1:17">
      <c r="D72" s="241"/>
      <c r="E72" s="241"/>
      <c r="F72" s="241"/>
      <c r="G72" s="241"/>
      <c r="H72" s="241"/>
      <c r="I72" s="241"/>
      <c r="J72" s="241"/>
      <c r="K72" s="241"/>
      <c r="L72" s="241"/>
      <c r="M72" s="241"/>
      <c r="N72" s="241"/>
      <c r="O72" s="241"/>
    </row>
    <row r="73" spans="1:17">
      <c r="A73" s="238" t="s">
        <v>5633</v>
      </c>
      <c r="D73" s="240">
        <f t="shared" ref="D73:I73" si="80">D398</f>
        <v>58431</v>
      </c>
      <c r="E73" s="240">
        <f t="shared" si="80"/>
        <v>59846</v>
      </c>
      <c r="F73" s="240">
        <f t="shared" si="80"/>
        <v>61018</v>
      </c>
      <c r="G73" s="240">
        <f t="shared" si="80"/>
        <v>59945</v>
      </c>
      <c r="H73" s="240">
        <f t="shared" si="80"/>
        <v>60158</v>
      </c>
      <c r="I73" s="240">
        <f t="shared" si="80"/>
        <v>59599</v>
      </c>
      <c r="J73" s="240">
        <f t="shared" ref="J73:O73" si="81">J398</f>
        <v>58224</v>
      </c>
      <c r="K73" s="240">
        <f t="shared" si="81"/>
        <v>58843</v>
      </c>
      <c r="L73" s="240">
        <f t="shared" si="81"/>
        <v>59080</v>
      </c>
      <c r="M73" s="240">
        <f t="shared" si="81"/>
        <v>57478</v>
      </c>
      <c r="N73" s="240">
        <f t="shared" si="81"/>
        <v>60884</v>
      </c>
      <c r="O73" s="240">
        <f t="shared" si="81"/>
        <v>59260</v>
      </c>
      <c r="Q73" s="238" t="s">
        <v>4105</v>
      </c>
    </row>
    <row r="74" spans="1:17">
      <c r="D74" s="241"/>
      <c r="E74" s="241"/>
      <c r="F74" s="241"/>
      <c r="G74" s="241"/>
      <c r="H74" s="241"/>
      <c r="I74" s="241"/>
      <c r="J74" s="241"/>
      <c r="K74" s="241"/>
      <c r="L74" s="241"/>
      <c r="M74" s="241"/>
      <c r="N74" s="241"/>
      <c r="O74" s="241"/>
    </row>
    <row r="75" spans="1:17">
      <c r="A75" s="238" t="s">
        <v>6796</v>
      </c>
      <c r="D75" s="240">
        <f t="shared" ref="D75:I75" si="82">SUM(D15:D43)+SUM(D47:D67)+D71+D73</f>
        <v>1921952</v>
      </c>
      <c r="E75" s="240">
        <f t="shared" si="82"/>
        <v>1942459</v>
      </c>
      <c r="F75" s="240">
        <f t="shared" si="82"/>
        <v>1963121</v>
      </c>
      <c r="G75" s="240">
        <f t="shared" si="82"/>
        <v>1961097</v>
      </c>
      <c r="H75" s="240">
        <f t="shared" si="82"/>
        <v>1924941</v>
      </c>
      <c r="I75" s="240">
        <f t="shared" si="82"/>
        <v>1905475</v>
      </c>
      <c r="J75" s="240">
        <f t="shared" ref="J75:O75" si="83">SUM(J15:J43)+SUM(J47:J67)+J71+J73</f>
        <v>1862769</v>
      </c>
      <c r="K75" s="240">
        <f t="shared" si="83"/>
        <v>1887849</v>
      </c>
      <c r="L75" s="240">
        <f t="shared" si="83"/>
        <v>1894396</v>
      </c>
      <c r="M75" s="240">
        <f t="shared" si="83"/>
        <v>1864765</v>
      </c>
      <c r="N75" s="240">
        <f t="shared" si="83"/>
        <v>1946833</v>
      </c>
      <c r="O75" s="240">
        <f t="shared" si="83"/>
        <v>1938351</v>
      </c>
    </row>
    <row r="76" spans="1:17">
      <c r="D76" s="241"/>
      <c r="E76" s="241"/>
      <c r="F76" s="241"/>
      <c r="G76" s="241"/>
      <c r="H76" s="241"/>
      <c r="I76" s="241"/>
      <c r="J76" s="241"/>
      <c r="K76" s="241"/>
      <c r="L76" s="241"/>
      <c r="M76" s="241"/>
      <c r="N76" s="241"/>
      <c r="O76" s="241"/>
    </row>
    <row r="77" spans="1:17">
      <c r="A77" s="238" t="s">
        <v>6797</v>
      </c>
      <c r="D77" s="240">
        <f t="shared" ref="D77:I77" si="84">MAX(D15,D17,D19,D21,D23,D25,D27,D29,D31,D33,D35,D37,D39,D41,D43,D47,D49,D51,D53,D55,D57,D59,D61,D63,D65,D67,D71,D73)-MIN(D15,D17,D19,D21,D23,D25,D27,D29,D31,D33,D35,D37,D39,D41,D43,D47,D49,D51,D53,D55,D57,D59,D61,D63,D65,D67,D71,D73)</f>
        <v>23969</v>
      </c>
      <c r="E77" s="240">
        <f t="shared" si="84"/>
        <v>23922</v>
      </c>
      <c r="F77" s="240">
        <f t="shared" si="84"/>
        <v>21253</v>
      </c>
      <c r="G77" s="240">
        <f t="shared" si="84"/>
        <v>22138</v>
      </c>
      <c r="H77" s="240">
        <f t="shared" si="84"/>
        <v>22441</v>
      </c>
      <c r="I77" s="240">
        <f t="shared" si="84"/>
        <v>20477</v>
      </c>
      <c r="J77" s="240">
        <f t="shared" ref="J77:O77" si="85">MAX(J15,J17,J19,J21,J23,J25,J27,J29,J31,J33,J35,J37,J39,J41,J43,J47,J49,J51,J53,J55,J57,J59,J61,J63,J65,J67,J71,J73)-MIN(J15,J17,J19,J21,J23,J25,J27,J29,J31,J33,J35,J37,J39,J41,J43,J47,J49,J51,J53,J55,J57,J59,J61,J63,J65,J67,J71,J73)</f>
        <v>20528</v>
      </c>
      <c r="K77" s="240">
        <f t="shared" si="85"/>
        <v>23425</v>
      </c>
      <c r="L77" s="240">
        <f t="shared" si="85"/>
        <v>22445</v>
      </c>
      <c r="M77" s="240">
        <f t="shared" si="85"/>
        <v>23937</v>
      </c>
      <c r="N77" s="240">
        <f t="shared" si="85"/>
        <v>24103</v>
      </c>
      <c r="O77" s="240">
        <f t="shared" si="85"/>
        <v>25285</v>
      </c>
    </row>
    <row r="78" spans="1:17">
      <c r="D78" s="241"/>
      <c r="E78" s="241"/>
      <c r="F78" s="241"/>
      <c r="G78" s="241"/>
      <c r="H78" s="241"/>
      <c r="I78" s="241"/>
      <c r="J78" s="241"/>
      <c r="K78" s="241"/>
      <c r="L78" s="241"/>
      <c r="M78" s="241"/>
      <c r="N78" s="241"/>
      <c r="O78" s="241"/>
    </row>
    <row r="79" spans="1:17">
      <c r="A79" s="246" t="s">
        <v>6800</v>
      </c>
      <c r="D79" s="240">
        <f t="shared" ref="D79:I79" si="86">STDEVP(D15,D17,D19,D21,D23,D25,D27,D29,D31,D33,D35,D37,D39,D41,D43,D47,D49,D51,D53,D55,D57,D59,D61,D63,D65,D67,D71,D73)</f>
        <v>6343.5759164814335</v>
      </c>
      <c r="E79" s="240">
        <f t="shared" si="86"/>
        <v>6445.1338204113499</v>
      </c>
      <c r="F79" s="240">
        <f t="shared" si="86"/>
        <v>6278.1400878771574</v>
      </c>
      <c r="G79" s="240">
        <f t="shared" si="86"/>
        <v>6106.0305498134476</v>
      </c>
      <c r="H79" s="240">
        <f t="shared" si="86"/>
        <v>6049.4147434706774</v>
      </c>
      <c r="I79" s="240">
        <f t="shared" si="86"/>
        <v>5838.5296770283539</v>
      </c>
      <c r="J79" s="240">
        <f t="shared" ref="J79:O79" si="87">STDEVP(J15,J17,J19,J21,J23,J25,J27,J29,J31,J33,J35,J37,J39,J41,J43,J47,J49,J51,J53,J55,J57,J59,J61,J63,J65,J67,J71,J73)</f>
        <v>5393.6694538408565</v>
      </c>
      <c r="K79" s="240">
        <f t="shared" si="87"/>
        <v>5886.6440175655962</v>
      </c>
      <c r="L79" s="240">
        <f t="shared" si="87"/>
        <v>5876.6942906462546</v>
      </c>
      <c r="M79" s="240">
        <f t="shared" si="87"/>
        <v>6075.5897869201617</v>
      </c>
      <c r="N79" s="240">
        <f t="shared" si="87"/>
        <v>6591.2729023470329</v>
      </c>
      <c r="O79" s="240">
        <f t="shared" si="87"/>
        <v>6674.766919705733</v>
      </c>
    </row>
    <row r="83" spans="1:17">
      <c r="E83" s="51" t="s">
        <v>1526</v>
      </c>
      <c r="F83" s="51"/>
      <c r="G83" s="51"/>
      <c r="H83" s="51"/>
      <c r="I83" s="51"/>
      <c r="J83" s="51"/>
      <c r="K83" s="51"/>
      <c r="L83" s="51"/>
      <c r="M83" s="51"/>
      <c r="N83" s="51"/>
      <c r="O83" s="51"/>
      <c r="P83" s="173"/>
      <c r="Q83" s="173" t="s">
        <v>9479</v>
      </c>
    </row>
    <row r="84" spans="1:17">
      <c r="D84" s="239">
        <v>2010</v>
      </c>
      <c r="E84" s="239">
        <v>2011</v>
      </c>
      <c r="F84" s="239">
        <v>2012</v>
      </c>
      <c r="G84" s="239">
        <v>2013</v>
      </c>
      <c r="H84" s="239">
        <v>2014</v>
      </c>
      <c r="I84" s="239">
        <v>2015</v>
      </c>
      <c r="J84" s="239">
        <v>2016</v>
      </c>
      <c r="K84" s="239">
        <v>2017</v>
      </c>
      <c r="L84" s="239">
        <v>2018</v>
      </c>
      <c r="M84" s="239">
        <v>2019</v>
      </c>
      <c r="N84" s="239">
        <v>2020</v>
      </c>
      <c r="O84" s="928" t="s">
        <v>14823</v>
      </c>
      <c r="Q84" s="206" t="s">
        <v>1527</v>
      </c>
    </row>
    <row r="85" spans="1:17">
      <c r="A85" s="238" t="s">
        <v>5634</v>
      </c>
      <c r="C85" s="238"/>
      <c r="D85" s="240">
        <f t="shared" ref="D85:K85" si="88">SUM(D86:D90,D92:D93,D95:D97,D99:D101,D103:D105,D107:D109,D111:D112,D114:D122,D124:D126,D128:D135,D137:D138,D140:D142,D144:D147,D149:D152,D154:D155,D157:D167,D169:D172,D174:D176,D178:D188,D190:D193,D195:D196)</f>
        <v>726290</v>
      </c>
      <c r="E85" s="240">
        <f t="shared" si="88"/>
        <v>731731</v>
      </c>
      <c r="F85" s="240">
        <f t="shared" si="88"/>
        <v>743467</v>
      </c>
      <c r="G85" s="240">
        <f t="shared" si="88"/>
        <v>736042</v>
      </c>
      <c r="H85" s="240">
        <f t="shared" si="88"/>
        <v>715434</v>
      </c>
      <c r="I85" s="240">
        <f t="shared" si="88"/>
        <v>707888</v>
      </c>
      <c r="J85" s="240">
        <f t="shared" si="88"/>
        <v>686804</v>
      </c>
      <c r="K85" s="240">
        <f t="shared" si="88"/>
        <v>688561</v>
      </c>
      <c r="L85" s="240">
        <f>SUM(L86:L90,L92:L93,L95:L97,L99:L101,L103:L105,L107:L109,L111:L112,L114:L122,L124:L126,L128:L135,L137:L138,L140:L142,L144:L147,L149:L152,L154:L155,L157:L167,L169:L172,L174:L176,L178:L188,L190:L193,L195:L196)</f>
        <v>695370</v>
      </c>
      <c r="M85" s="240">
        <f>SUM(M86:M90,M92:M93,M95:M97,M99:M101,M103:M105,M107:M109,M111:M112,M114:M122,M124:M126,M128:M135,M137:M138,M140:M142,M144:M147,M149:M152,M154:M155,M157:M167,M169:M172,M174:M176,M178:M188,M190:M193,M195:M196)</f>
        <v>687172</v>
      </c>
      <c r="N85" s="240">
        <f>SUM(N86:N90,N92:N93,N95:N97,N99:N101,N103:N105,N107:N109,N111:N112,N114:N122,N124:N126,N128:N135,N137:N138,N140:N142,N144:N147,N149:N152,N154:N155,N157:N167,N169:N172,N174:N176,N178:N188,N190:N193,N195:N196)</f>
        <v>735443</v>
      </c>
      <c r="O85" s="240">
        <f>SUM(O86:O90,O92:O93,O95:O97,O99:O101,O103:O105,O107:O109,O111:O112,O114:O122,O124:O126,O128:O135,O137:O138,O140:O142,O144:O147,O149:O152,O154:O155,O157:O167,O169:O172,O174:O176,O178:O188,O190:O193,O195:O196)</f>
        <v>729944</v>
      </c>
    </row>
    <row r="86" spans="1:17">
      <c r="A86" s="238" t="s">
        <v>5387</v>
      </c>
      <c r="B86" s="238" t="s">
        <v>5635</v>
      </c>
      <c r="C86" s="55" t="s">
        <v>12069</v>
      </c>
      <c r="D86" s="241">
        <v>72732</v>
      </c>
      <c r="E86" s="241">
        <v>73261</v>
      </c>
      <c r="F86" s="241">
        <v>74128</v>
      </c>
      <c r="G86" s="241">
        <v>73494</v>
      </c>
      <c r="H86" s="63">
        <v>71818</v>
      </c>
      <c r="I86" s="63">
        <v>72179</v>
      </c>
      <c r="J86" s="63">
        <v>69911</v>
      </c>
      <c r="K86" s="63">
        <v>70235</v>
      </c>
      <c r="L86" s="63">
        <v>15160</v>
      </c>
      <c r="M86" s="63">
        <v>14839</v>
      </c>
      <c r="N86" s="63">
        <v>15673</v>
      </c>
      <c r="O86" s="63">
        <v>15586</v>
      </c>
      <c r="Q86" s="238" t="s">
        <v>5623</v>
      </c>
    </row>
    <row r="87" spans="1:17">
      <c r="A87" s="238" t="s">
        <v>5389</v>
      </c>
      <c r="B87" s="112" t="s">
        <v>12070</v>
      </c>
      <c r="C87" s="55" t="s">
        <v>12071</v>
      </c>
      <c r="D87" s="241">
        <v>71866</v>
      </c>
      <c r="E87" s="241">
        <v>72190</v>
      </c>
      <c r="F87" s="241">
        <v>73071</v>
      </c>
      <c r="G87" s="241">
        <v>72659</v>
      </c>
      <c r="H87" s="63">
        <v>71315</v>
      </c>
      <c r="I87" s="63">
        <v>71803</v>
      </c>
      <c r="J87" s="63">
        <v>69377</v>
      </c>
      <c r="K87" s="63">
        <v>70001</v>
      </c>
      <c r="L87" s="63">
        <v>7385</v>
      </c>
      <c r="M87" s="63">
        <v>7184</v>
      </c>
      <c r="N87" s="63">
        <v>7482</v>
      </c>
      <c r="O87" s="63">
        <v>7373</v>
      </c>
      <c r="Q87" s="238" t="s">
        <v>5620</v>
      </c>
    </row>
    <row r="88" spans="1:17">
      <c r="A88" s="238" t="s">
        <v>5391</v>
      </c>
      <c r="B88" s="112" t="s">
        <v>12072</v>
      </c>
      <c r="C88" s="55" t="s">
        <v>12073</v>
      </c>
      <c r="D88" s="241">
        <v>75330</v>
      </c>
      <c r="E88" s="241">
        <v>75985</v>
      </c>
      <c r="F88" s="241">
        <v>77227</v>
      </c>
      <c r="G88" s="241">
        <v>76767</v>
      </c>
      <c r="H88" s="63">
        <v>74885</v>
      </c>
      <c r="I88" s="63">
        <v>75362</v>
      </c>
      <c r="J88" s="63">
        <v>73173</v>
      </c>
      <c r="K88" s="63">
        <v>73384</v>
      </c>
      <c r="L88" s="63">
        <v>14830</v>
      </c>
      <c r="M88" s="63">
        <v>14796</v>
      </c>
      <c r="N88" s="63">
        <v>15551</v>
      </c>
      <c r="O88" s="63">
        <v>15553</v>
      </c>
      <c r="Q88" s="238" t="s">
        <v>5618</v>
      </c>
    </row>
    <row r="89" spans="1:17">
      <c r="A89" s="238" t="s">
        <v>5393</v>
      </c>
      <c r="B89" s="112" t="s">
        <v>1314</v>
      </c>
      <c r="C89" s="55" t="s">
        <v>12074</v>
      </c>
      <c r="D89" s="241">
        <v>0</v>
      </c>
      <c r="E89" s="241">
        <v>0</v>
      </c>
      <c r="F89" s="241">
        <v>0</v>
      </c>
      <c r="G89" s="241">
        <v>0</v>
      </c>
      <c r="H89" s="63">
        <v>0</v>
      </c>
      <c r="I89" s="63">
        <v>0</v>
      </c>
      <c r="J89" s="63">
        <v>0</v>
      </c>
      <c r="K89" s="63">
        <v>0</v>
      </c>
      <c r="L89" s="63">
        <v>11512</v>
      </c>
      <c r="M89" s="63">
        <v>11418</v>
      </c>
      <c r="N89" s="63">
        <v>11911</v>
      </c>
      <c r="O89" s="63">
        <v>11887</v>
      </c>
      <c r="Q89" s="238" t="s">
        <v>5619</v>
      </c>
    </row>
    <row r="90" spans="1:17" ht="15.75" thickBot="1">
      <c r="A90" s="238"/>
      <c r="C90" s="55" t="s">
        <v>12074</v>
      </c>
      <c r="D90" s="241">
        <v>0</v>
      </c>
      <c r="E90" s="241">
        <v>0</v>
      </c>
      <c r="F90" s="241">
        <v>0</v>
      </c>
      <c r="G90" s="241">
        <v>0</v>
      </c>
      <c r="H90" s="63">
        <v>0</v>
      </c>
      <c r="I90" s="63">
        <v>0</v>
      </c>
      <c r="J90" s="63">
        <v>0</v>
      </c>
      <c r="K90" s="63">
        <v>0</v>
      </c>
      <c r="L90" s="63">
        <v>1860</v>
      </c>
      <c r="M90" s="63">
        <v>1871</v>
      </c>
      <c r="N90" s="63">
        <v>1996</v>
      </c>
      <c r="O90" s="63">
        <v>2014</v>
      </c>
      <c r="Q90" s="238" t="s">
        <v>5621</v>
      </c>
    </row>
    <row r="91" spans="1:17" ht="15.75" thickBot="1">
      <c r="A91" s="238"/>
      <c r="C91" s="55" t="s">
        <v>12074</v>
      </c>
      <c r="D91" s="245">
        <f t="shared" ref="D91:M91" si="89">D89+D90</f>
        <v>0</v>
      </c>
      <c r="E91" s="245">
        <f t="shared" si="89"/>
        <v>0</v>
      </c>
      <c r="F91" s="245">
        <f t="shared" si="89"/>
        <v>0</v>
      </c>
      <c r="G91" s="245">
        <f t="shared" si="89"/>
        <v>0</v>
      </c>
      <c r="H91" s="245">
        <f t="shared" si="89"/>
        <v>0</v>
      </c>
      <c r="I91" s="245">
        <f t="shared" si="89"/>
        <v>0</v>
      </c>
      <c r="J91" s="245">
        <f t="shared" si="89"/>
        <v>0</v>
      </c>
      <c r="K91" s="245">
        <f t="shared" si="89"/>
        <v>0</v>
      </c>
      <c r="L91" s="245">
        <f t="shared" si="89"/>
        <v>13372</v>
      </c>
      <c r="M91" s="245">
        <f t="shared" si="89"/>
        <v>13289</v>
      </c>
      <c r="N91" s="245">
        <f>N89+N90</f>
        <v>13907</v>
      </c>
      <c r="O91" s="245">
        <f>O89+O90</f>
        <v>13901</v>
      </c>
      <c r="Q91" s="238"/>
    </row>
    <row r="92" spans="1:17">
      <c r="A92" s="238" t="s">
        <v>5394</v>
      </c>
      <c r="B92" s="238" t="s">
        <v>12075</v>
      </c>
      <c r="C92" s="55" t="s">
        <v>12076</v>
      </c>
      <c r="D92" s="241">
        <v>0</v>
      </c>
      <c r="E92" s="241">
        <v>0</v>
      </c>
      <c r="F92" s="241">
        <v>0</v>
      </c>
      <c r="G92" s="241">
        <v>0</v>
      </c>
      <c r="H92" s="63">
        <v>0</v>
      </c>
      <c r="I92" s="63">
        <v>0</v>
      </c>
      <c r="J92" s="63">
        <v>0</v>
      </c>
      <c r="K92" s="63">
        <v>0</v>
      </c>
      <c r="L92" s="63">
        <v>631</v>
      </c>
      <c r="M92" s="63">
        <v>659</v>
      </c>
      <c r="N92" s="63">
        <v>705</v>
      </c>
      <c r="O92" s="63">
        <v>762</v>
      </c>
      <c r="Q92" s="238" t="s">
        <v>5614</v>
      </c>
    </row>
    <row r="93" spans="1:17" ht="15.75" thickBot="1">
      <c r="A93" s="238"/>
      <c r="B93" s="238"/>
      <c r="C93" s="55" t="s">
        <v>12076</v>
      </c>
      <c r="D93" s="241">
        <v>76576</v>
      </c>
      <c r="E93" s="241">
        <v>77157</v>
      </c>
      <c r="F93" s="241">
        <v>78332</v>
      </c>
      <c r="G93" s="241">
        <v>77606</v>
      </c>
      <c r="H93" s="63">
        <v>75756</v>
      </c>
      <c r="I93" s="63">
        <v>76176</v>
      </c>
      <c r="J93" s="63">
        <v>73938</v>
      </c>
      <c r="K93" s="63">
        <v>74790</v>
      </c>
      <c r="L93" s="63">
        <v>6063</v>
      </c>
      <c r="M93" s="63">
        <v>6036</v>
      </c>
      <c r="N93" s="63">
        <v>6491</v>
      </c>
      <c r="O93" s="63">
        <v>6501</v>
      </c>
      <c r="Q93" s="238" t="s">
        <v>5617</v>
      </c>
    </row>
    <row r="94" spans="1:17" ht="15.75" thickBot="1">
      <c r="A94" s="238"/>
      <c r="B94" s="238"/>
      <c r="C94" s="55" t="s">
        <v>12076</v>
      </c>
      <c r="D94" s="245">
        <f>SUM(D92:D93)</f>
        <v>76576</v>
      </c>
      <c r="E94" s="245">
        <f t="shared" ref="E94:M94" si="90">SUM(E92:E93)</f>
        <v>77157</v>
      </c>
      <c r="F94" s="245">
        <f t="shared" si="90"/>
        <v>78332</v>
      </c>
      <c r="G94" s="245">
        <f t="shared" si="90"/>
        <v>77606</v>
      </c>
      <c r="H94" s="245">
        <f t="shared" si="90"/>
        <v>75756</v>
      </c>
      <c r="I94" s="245">
        <f t="shared" si="90"/>
        <v>76176</v>
      </c>
      <c r="J94" s="245">
        <f t="shared" si="90"/>
        <v>73938</v>
      </c>
      <c r="K94" s="245">
        <f t="shared" si="90"/>
        <v>74790</v>
      </c>
      <c r="L94" s="245">
        <f t="shared" si="90"/>
        <v>6694</v>
      </c>
      <c r="M94" s="245">
        <f t="shared" si="90"/>
        <v>6695</v>
      </c>
      <c r="N94" s="245">
        <f>SUM(N92:N93)</f>
        <v>7196</v>
      </c>
      <c r="O94" s="245">
        <f>SUM(O92:O93)</f>
        <v>7263</v>
      </c>
      <c r="Q94" s="238"/>
    </row>
    <row r="95" spans="1:17">
      <c r="A95" s="238" t="s">
        <v>5416</v>
      </c>
      <c r="B95" s="238" t="s">
        <v>5636</v>
      </c>
      <c r="C95" s="55" t="s">
        <v>12077</v>
      </c>
      <c r="D95" s="241">
        <v>68566</v>
      </c>
      <c r="E95" s="241">
        <v>69039</v>
      </c>
      <c r="F95" s="241">
        <v>70384</v>
      </c>
      <c r="G95" s="241">
        <v>68876</v>
      </c>
      <c r="H95" s="63">
        <v>66612</v>
      </c>
      <c r="I95" s="63">
        <v>63153</v>
      </c>
      <c r="J95" s="63">
        <v>62795</v>
      </c>
      <c r="K95" s="63">
        <v>63043</v>
      </c>
      <c r="L95" s="63">
        <v>15222</v>
      </c>
      <c r="M95" s="63">
        <v>14939</v>
      </c>
      <c r="N95" s="63">
        <v>15710</v>
      </c>
      <c r="O95" s="63">
        <v>15537</v>
      </c>
      <c r="Q95" s="238" t="s">
        <v>5614</v>
      </c>
    </row>
    <row r="96" spans="1:17">
      <c r="A96" s="238" t="s">
        <v>5418</v>
      </c>
      <c r="B96" s="238" t="s">
        <v>5637</v>
      </c>
      <c r="C96" s="55" t="s">
        <v>12078</v>
      </c>
      <c r="D96" s="241">
        <v>0</v>
      </c>
      <c r="E96" s="241">
        <v>0</v>
      </c>
      <c r="F96" s="241">
        <v>0</v>
      </c>
      <c r="G96" s="241">
        <v>0</v>
      </c>
      <c r="H96" s="63">
        <v>0</v>
      </c>
      <c r="I96" s="63">
        <v>0</v>
      </c>
      <c r="J96" s="63">
        <v>0</v>
      </c>
      <c r="K96" s="63">
        <v>0</v>
      </c>
      <c r="L96" s="63">
        <v>1224</v>
      </c>
      <c r="M96" s="63">
        <v>1202</v>
      </c>
      <c r="N96" s="63">
        <v>1244</v>
      </c>
      <c r="O96" s="63">
        <v>1238</v>
      </c>
      <c r="Q96" s="238" t="s">
        <v>5617</v>
      </c>
    </row>
    <row r="97" spans="1:17" ht="15.75" thickBot="1">
      <c r="A97" s="238"/>
      <c r="B97" s="238"/>
      <c r="C97" s="55" t="s">
        <v>12078</v>
      </c>
      <c r="D97" s="241">
        <v>0</v>
      </c>
      <c r="E97" s="241">
        <v>0</v>
      </c>
      <c r="F97" s="241">
        <v>0</v>
      </c>
      <c r="G97" s="241">
        <v>0</v>
      </c>
      <c r="H97" s="63">
        <v>0</v>
      </c>
      <c r="I97" s="63">
        <v>0</v>
      </c>
      <c r="J97" s="63">
        <v>0</v>
      </c>
      <c r="K97" s="63">
        <v>0</v>
      </c>
      <c r="L97" s="63">
        <v>12640</v>
      </c>
      <c r="M97" s="63">
        <v>12299</v>
      </c>
      <c r="N97" s="63">
        <v>12883</v>
      </c>
      <c r="O97" s="63">
        <v>12792</v>
      </c>
      <c r="Q97" s="238" t="s">
        <v>5622</v>
      </c>
    </row>
    <row r="98" spans="1:17" ht="15.75" thickBot="1">
      <c r="A98" s="238"/>
      <c r="B98" s="238"/>
      <c r="C98" s="55" t="s">
        <v>12078</v>
      </c>
      <c r="D98" s="245">
        <f t="shared" ref="D98:M98" si="91">D96+D97</f>
        <v>0</v>
      </c>
      <c r="E98" s="245">
        <f t="shared" si="91"/>
        <v>0</v>
      </c>
      <c r="F98" s="245">
        <f t="shared" si="91"/>
        <v>0</v>
      </c>
      <c r="G98" s="245">
        <f t="shared" si="91"/>
        <v>0</v>
      </c>
      <c r="H98" s="245">
        <f t="shared" si="91"/>
        <v>0</v>
      </c>
      <c r="I98" s="245">
        <f t="shared" si="91"/>
        <v>0</v>
      </c>
      <c r="J98" s="245">
        <f t="shared" si="91"/>
        <v>0</v>
      </c>
      <c r="K98" s="245">
        <f t="shared" si="91"/>
        <v>0</v>
      </c>
      <c r="L98" s="245">
        <f t="shared" si="91"/>
        <v>13864</v>
      </c>
      <c r="M98" s="245">
        <f t="shared" si="91"/>
        <v>13501</v>
      </c>
      <c r="N98" s="245">
        <f>N96+N97</f>
        <v>14127</v>
      </c>
      <c r="O98" s="245">
        <f>O96+O97</f>
        <v>14030</v>
      </c>
      <c r="Q98" s="238"/>
    </row>
    <row r="99" spans="1:17">
      <c r="A99" s="238" t="s">
        <v>5420</v>
      </c>
      <c r="B99" s="112" t="s">
        <v>6683</v>
      </c>
      <c r="C99" s="55" t="s">
        <v>12079</v>
      </c>
      <c r="D99" s="241">
        <v>71647</v>
      </c>
      <c r="E99" s="241">
        <v>71794</v>
      </c>
      <c r="F99" s="241">
        <v>73100</v>
      </c>
      <c r="G99" s="241">
        <v>72838</v>
      </c>
      <c r="H99" s="63">
        <v>70560</v>
      </c>
      <c r="I99" s="63">
        <v>70088</v>
      </c>
      <c r="J99" s="63">
        <v>67710</v>
      </c>
      <c r="K99" s="63">
        <v>67895</v>
      </c>
      <c r="L99" s="63">
        <v>6487</v>
      </c>
      <c r="M99" s="63">
        <v>6434</v>
      </c>
      <c r="N99" s="63">
        <v>6851</v>
      </c>
      <c r="O99" s="63">
        <v>6934</v>
      </c>
      <c r="Q99" s="238" t="s">
        <v>5621</v>
      </c>
    </row>
    <row r="100" spans="1:17">
      <c r="A100" s="238" t="s">
        <v>5422</v>
      </c>
      <c r="B100" s="238" t="s">
        <v>12080</v>
      </c>
      <c r="C100" s="55" t="s">
        <v>12081</v>
      </c>
      <c r="D100" s="241">
        <v>0</v>
      </c>
      <c r="E100" s="241">
        <v>0</v>
      </c>
      <c r="F100" s="241">
        <v>0</v>
      </c>
      <c r="G100" s="241">
        <v>0</v>
      </c>
      <c r="H100" s="63">
        <v>0</v>
      </c>
      <c r="I100" s="63">
        <v>0</v>
      </c>
      <c r="J100" s="63">
        <v>0</v>
      </c>
      <c r="K100" s="63">
        <v>0</v>
      </c>
      <c r="L100" s="63">
        <v>571</v>
      </c>
      <c r="M100" s="63">
        <v>569</v>
      </c>
      <c r="N100" s="63">
        <v>605</v>
      </c>
      <c r="O100" s="63">
        <v>611</v>
      </c>
      <c r="Q100" s="238" t="s">
        <v>5618</v>
      </c>
    </row>
    <row r="101" spans="1:17" ht="15.75" thickBot="1">
      <c r="A101" s="238"/>
      <c r="B101" s="238"/>
      <c r="C101" s="55" t="s">
        <v>12081</v>
      </c>
      <c r="D101" s="241">
        <v>0</v>
      </c>
      <c r="E101" s="241">
        <v>0</v>
      </c>
      <c r="F101" s="241">
        <v>0</v>
      </c>
      <c r="G101" s="241">
        <v>0</v>
      </c>
      <c r="H101" s="63">
        <v>0</v>
      </c>
      <c r="I101" s="63">
        <v>0</v>
      </c>
      <c r="J101" s="63">
        <v>0</v>
      </c>
      <c r="K101" s="63">
        <v>0</v>
      </c>
      <c r="L101" s="63">
        <v>5565</v>
      </c>
      <c r="M101" s="63">
        <v>5518</v>
      </c>
      <c r="N101" s="63">
        <v>6242</v>
      </c>
      <c r="O101" s="63">
        <v>6280</v>
      </c>
      <c r="Q101" s="238" t="s">
        <v>5619</v>
      </c>
    </row>
    <row r="102" spans="1:17" ht="15.75" thickBot="1">
      <c r="A102" s="238"/>
      <c r="B102" s="238"/>
      <c r="C102" s="55" t="s">
        <v>12081</v>
      </c>
      <c r="D102" s="245">
        <f t="shared" ref="D102:M102" si="92">D100+D101</f>
        <v>0</v>
      </c>
      <c r="E102" s="245">
        <f t="shared" si="92"/>
        <v>0</v>
      </c>
      <c r="F102" s="245">
        <f t="shared" si="92"/>
        <v>0</v>
      </c>
      <c r="G102" s="245">
        <f t="shared" si="92"/>
        <v>0</v>
      </c>
      <c r="H102" s="245">
        <f t="shared" si="92"/>
        <v>0</v>
      </c>
      <c r="I102" s="245">
        <f t="shared" si="92"/>
        <v>0</v>
      </c>
      <c r="J102" s="245">
        <f t="shared" si="92"/>
        <v>0</v>
      </c>
      <c r="K102" s="245">
        <f t="shared" si="92"/>
        <v>0</v>
      </c>
      <c r="L102" s="245">
        <f t="shared" si="92"/>
        <v>6136</v>
      </c>
      <c r="M102" s="245">
        <f t="shared" si="92"/>
        <v>6087</v>
      </c>
      <c r="N102" s="245">
        <f>N100+N101</f>
        <v>6847</v>
      </c>
      <c r="O102" s="245">
        <f>O100+O101</f>
        <v>6891</v>
      </c>
      <c r="Q102" s="238"/>
    </row>
    <row r="103" spans="1:17">
      <c r="A103" s="238" t="s">
        <v>5424</v>
      </c>
      <c r="B103" s="112" t="s">
        <v>5638</v>
      </c>
      <c r="C103" s="55" t="s">
        <v>12083</v>
      </c>
      <c r="D103" s="241">
        <v>0</v>
      </c>
      <c r="E103" s="241">
        <v>0</v>
      </c>
      <c r="F103" s="241">
        <v>0</v>
      </c>
      <c r="G103" s="241">
        <v>0</v>
      </c>
      <c r="H103" s="63">
        <v>0</v>
      </c>
      <c r="I103" s="63">
        <v>0</v>
      </c>
      <c r="J103" s="63">
        <v>0</v>
      </c>
      <c r="K103" s="63">
        <v>0</v>
      </c>
      <c r="L103" s="63">
        <v>1653</v>
      </c>
      <c r="M103" s="63">
        <v>1644</v>
      </c>
      <c r="N103" s="63">
        <v>1720</v>
      </c>
      <c r="O103" s="63">
        <v>1731</v>
      </c>
      <c r="Q103" s="238" t="s">
        <v>5618</v>
      </c>
    </row>
    <row r="104" spans="1:17">
      <c r="A104" s="238"/>
      <c r="C104" s="55" t="s">
        <v>12083</v>
      </c>
      <c r="D104" s="241">
        <v>0</v>
      </c>
      <c r="E104" s="241">
        <v>0</v>
      </c>
      <c r="F104" s="241">
        <v>0</v>
      </c>
      <c r="G104" s="241">
        <v>0</v>
      </c>
      <c r="H104" s="63">
        <v>0</v>
      </c>
      <c r="I104" s="63">
        <v>0</v>
      </c>
      <c r="J104" s="63">
        <v>0</v>
      </c>
      <c r="K104" s="63">
        <v>0</v>
      </c>
      <c r="L104" s="63">
        <v>4625</v>
      </c>
      <c r="M104" s="63">
        <v>4636</v>
      </c>
      <c r="N104" s="63">
        <v>4888</v>
      </c>
      <c r="O104" s="63">
        <v>4877</v>
      </c>
      <c r="Q104" s="238" t="s">
        <v>5619</v>
      </c>
    </row>
    <row r="105" spans="1:17" ht="15.75" thickBot="1">
      <c r="A105" s="238"/>
      <c r="C105" s="55" t="s">
        <v>12083</v>
      </c>
      <c r="D105" s="241">
        <v>0</v>
      </c>
      <c r="E105" s="241">
        <v>0</v>
      </c>
      <c r="F105" s="241">
        <v>0</v>
      </c>
      <c r="G105" s="241">
        <v>0</v>
      </c>
      <c r="H105" s="63">
        <v>0</v>
      </c>
      <c r="I105" s="63">
        <v>0</v>
      </c>
      <c r="J105" s="63">
        <v>0</v>
      </c>
      <c r="K105" s="63">
        <v>0</v>
      </c>
      <c r="L105" s="63">
        <v>205</v>
      </c>
      <c r="M105" s="63">
        <v>209</v>
      </c>
      <c r="N105" s="63">
        <v>218</v>
      </c>
      <c r="O105" s="63">
        <v>215</v>
      </c>
      <c r="Q105" s="238" t="s">
        <v>5623</v>
      </c>
    </row>
    <row r="106" spans="1:17" ht="15.75" thickBot="1">
      <c r="A106" s="238"/>
      <c r="C106" s="55" t="s">
        <v>12083</v>
      </c>
      <c r="D106" s="245">
        <f>SUM(D103:D105)</f>
        <v>0</v>
      </c>
      <c r="E106" s="245">
        <f t="shared" ref="E106:M106" si="93">SUM(E103:E105)</f>
        <v>0</v>
      </c>
      <c r="F106" s="245">
        <f t="shared" si="93"/>
        <v>0</v>
      </c>
      <c r="G106" s="245">
        <f t="shared" si="93"/>
        <v>0</v>
      </c>
      <c r="H106" s="245">
        <f t="shared" si="93"/>
        <v>0</v>
      </c>
      <c r="I106" s="245">
        <f t="shared" si="93"/>
        <v>0</v>
      </c>
      <c r="J106" s="245">
        <f t="shared" si="93"/>
        <v>0</v>
      </c>
      <c r="K106" s="245">
        <f t="shared" si="93"/>
        <v>0</v>
      </c>
      <c r="L106" s="245">
        <f t="shared" si="93"/>
        <v>6483</v>
      </c>
      <c r="M106" s="245">
        <f t="shared" si="93"/>
        <v>6489</v>
      </c>
      <c r="N106" s="245">
        <f>SUM(N103:N105)</f>
        <v>6826</v>
      </c>
      <c r="O106" s="245">
        <f>SUM(O103:O105)</f>
        <v>6823</v>
      </c>
      <c r="Q106" s="238"/>
    </row>
    <row r="107" spans="1:17">
      <c r="A107" s="238" t="s">
        <v>5426</v>
      </c>
      <c r="B107" s="112" t="s">
        <v>12082</v>
      </c>
      <c r="C107" s="55" t="s">
        <v>12084</v>
      </c>
      <c r="D107" s="241">
        <v>75048</v>
      </c>
      <c r="E107" s="241">
        <v>75668</v>
      </c>
      <c r="F107" s="241">
        <v>76884</v>
      </c>
      <c r="G107" s="241">
        <v>76416</v>
      </c>
      <c r="H107" s="63">
        <v>74339</v>
      </c>
      <c r="I107" s="63">
        <v>73353</v>
      </c>
      <c r="J107" s="63">
        <v>68460</v>
      </c>
      <c r="K107" s="63">
        <v>68514</v>
      </c>
      <c r="L107" s="63">
        <v>10529</v>
      </c>
      <c r="M107" s="63">
        <v>10211</v>
      </c>
      <c r="N107" s="63">
        <v>18654</v>
      </c>
      <c r="O107" s="63">
        <v>15748</v>
      </c>
      <c r="Q107" s="238" t="s">
        <v>5622</v>
      </c>
    </row>
    <row r="108" spans="1:17">
      <c r="A108" s="238" t="s">
        <v>5428</v>
      </c>
      <c r="B108" s="238" t="s">
        <v>12085</v>
      </c>
      <c r="C108" s="55" t="s">
        <v>12086</v>
      </c>
      <c r="D108" s="241">
        <v>0</v>
      </c>
      <c r="E108" s="241">
        <v>0</v>
      </c>
      <c r="F108" s="241">
        <v>0</v>
      </c>
      <c r="G108" s="241">
        <v>0</v>
      </c>
      <c r="H108" s="63">
        <v>0</v>
      </c>
      <c r="I108" s="63">
        <v>0</v>
      </c>
      <c r="J108" s="63">
        <v>0</v>
      </c>
      <c r="K108" s="63">
        <v>0</v>
      </c>
      <c r="L108" s="63">
        <v>445</v>
      </c>
      <c r="M108" s="63">
        <v>448</v>
      </c>
      <c r="N108" s="63">
        <v>475</v>
      </c>
      <c r="O108" s="63">
        <v>482</v>
      </c>
      <c r="Q108" s="238" t="s">
        <v>5620</v>
      </c>
    </row>
    <row r="109" spans="1:17" ht="15.75" thickBot="1">
      <c r="A109" s="238"/>
      <c r="B109" s="238"/>
      <c r="C109" s="55" t="s">
        <v>12086</v>
      </c>
      <c r="D109" s="241">
        <v>0</v>
      </c>
      <c r="E109" s="241">
        <v>0</v>
      </c>
      <c r="F109" s="241">
        <v>0</v>
      </c>
      <c r="G109" s="241">
        <v>0</v>
      </c>
      <c r="H109" s="63">
        <v>0</v>
      </c>
      <c r="I109" s="63">
        <v>0</v>
      </c>
      <c r="J109" s="63">
        <v>0</v>
      </c>
      <c r="K109" s="63">
        <v>0</v>
      </c>
      <c r="L109" s="63">
        <v>12687</v>
      </c>
      <c r="M109" s="63">
        <v>12643</v>
      </c>
      <c r="N109" s="63">
        <v>13696</v>
      </c>
      <c r="O109" s="63">
        <v>13560</v>
      </c>
      <c r="Q109" s="238" t="s">
        <v>5622</v>
      </c>
    </row>
    <row r="110" spans="1:17" ht="15.75" thickBot="1">
      <c r="A110" s="238"/>
      <c r="B110" s="238"/>
      <c r="C110" s="55" t="s">
        <v>12086</v>
      </c>
      <c r="D110" s="245">
        <f t="shared" ref="D110:M110" si="94">D108+D109</f>
        <v>0</v>
      </c>
      <c r="E110" s="245">
        <f t="shared" si="94"/>
        <v>0</v>
      </c>
      <c r="F110" s="245">
        <f t="shared" si="94"/>
        <v>0</v>
      </c>
      <c r="G110" s="245">
        <f t="shared" si="94"/>
        <v>0</v>
      </c>
      <c r="H110" s="245">
        <f t="shared" si="94"/>
        <v>0</v>
      </c>
      <c r="I110" s="245">
        <f t="shared" si="94"/>
        <v>0</v>
      </c>
      <c r="J110" s="245">
        <f t="shared" si="94"/>
        <v>0</v>
      </c>
      <c r="K110" s="245">
        <f t="shared" si="94"/>
        <v>0</v>
      </c>
      <c r="L110" s="245">
        <f t="shared" si="94"/>
        <v>13132</v>
      </c>
      <c r="M110" s="245">
        <f t="shared" si="94"/>
        <v>13091</v>
      </c>
      <c r="N110" s="245">
        <f>N108+N109</f>
        <v>14171</v>
      </c>
      <c r="O110" s="245">
        <f>O108+O109</f>
        <v>14042</v>
      </c>
      <c r="Q110" s="238"/>
    </row>
    <row r="111" spans="1:17">
      <c r="A111" s="238" t="s">
        <v>5429</v>
      </c>
      <c r="B111" s="238" t="s">
        <v>12087</v>
      </c>
      <c r="C111" s="55" t="s">
        <v>12088</v>
      </c>
      <c r="D111" s="241">
        <v>0</v>
      </c>
      <c r="E111" s="241">
        <v>0</v>
      </c>
      <c r="F111" s="241">
        <v>0</v>
      </c>
      <c r="G111" s="241">
        <v>0</v>
      </c>
      <c r="H111" s="63">
        <v>0</v>
      </c>
      <c r="I111" s="63">
        <v>0</v>
      </c>
      <c r="J111" s="63">
        <v>0</v>
      </c>
      <c r="K111" s="63">
        <v>0</v>
      </c>
      <c r="L111" s="63">
        <v>5160</v>
      </c>
      <c r="M111" s="63">
        <v>5021</v>
      </c>
      <c r="N111" s="63">
        <v>5374</v>
      </c>
      <c r="O111" s="63">
        <v>5330</v>
      </c>
      <c r="Q111" s="238" t="s">
        <v>5617</v>
      </c>
    </row>
    <row r="112" spans="1:17" ht="15.75" thickBot="1">
      <c r="A112" s="238"/>
      <c r="B112" s="238"/>
      <c r="C112" s="55" t="s">
        <v>12088</v>
      </c>
      <c r="D112" s="241">
        <v>0</v>
      </c>
      <c r="E112" s="241">
        <v>0</v>
      </c>
      <c r="F112" s="241">
        <v>0</v>
      </c>
      <c r="G112" s="241">
        <v>0</v>
      </c>
      <c r="H112" s="63">
        <v>0</v>
      </c>
      <c r="I112" s="63">
        <v>0</v>
      </c>
      <c r="J112" s="63">
        <v>0</v>
      </c>
      <c r="K112" s="63">
        <v>0</v>
      </c>
      <c r="L112" s="63">
        <v>8711</v>
      </c>
      <c r="M112" s="63">
        <v>8543</v>
      </c>
      <c r="N112" s="63">
        <v>8927</v>
      </c>
      <c r="O112" s="63">
        <v>8863</v>
      </c>
      <c r="Q112" s="238" t="s">
        <v>5622</v>
      </c>
    </row>
    <row r="113" spans="1:17" ht="15.75" thickBot="1">
      <c r="A113" s="238"/>
      <c r="B113" s="238"/>
      <c r="C113" s="55" t="s">
        <v>12088</v>
      </c>
      <c r="D113" s="245">
        <f t="shared" ref="D113:M113" si="95">D111+D112</f>
        <v>0</v>
      </c>
      <c r="E113" s="245">
        <f t="shared" si="95"/>
        <v>0</v>
      </c>
      <c r="F113" s="245">
        <f t="shared" si="95"/>
        <v>0</v>
      </c>
      <c r="G113" s="245">
        <f t="shared" si="95"/>
        <v>0</v>
      </c>
      <c r="H113" s="245">
        <f t="shared" si="95"/>
        <v>0</v>
      </c>
      <c r="I113" s="245">
        <f t="shared" si="95"/>
        <v>0</v>
      </c>
      <c r="J113" s="245">
        <f t="shared" si="95"/>
        <v>0</v>
      </c>
      <c r="K113" s="245">
        <f t="shared" si="95"/>
        <v>0</v>
      </c>
      <c r="L113" s="245">
        <f t="shared" si="95"/>
        <v>13871</v>
      </c>
      <c r="M113" s="245">
        <f t="shared" si="95"/>
        <v>13564</v>
      </c>
      <c r="N113" s="245">
        <f>N111+N112</f>
        <v>14301</v>
      </c>
      <c r="O113" s="245">
        <f>O111+O112</f>
        <v>14193</v>
      </c>
      <c r="Q113" s="238"/>
    </row>
    <row r="114" spans="1:17">
      <c r="A114" s="238" t="s">
        <v>5431</v>
      </c>
      <c r="B114" s="112" t="s">
        <v>12089</v>
      </c>
      <c r="C114" s="55" t="s">
        <v>12090</v>
      </c>
      <c r="D114" s="241">
        <v>0</v>
      </c>
      <c r="E114" s="241">
        <v>0</v>
      </c>
      <c r="F114" s="241">
        <v>0</v>
      </c>
      <c r="G114" s="241">
        <v>0</v>
      </c>
      <c r="H114" s="63">
        <v>0</v>
      </c>
      <c r="I114" s="63">
        <v>0</v>
      </c>
      <c r="J114" s="63">
        <v>0</v>
      </c>
      <c r="K114" s="63">
        <v>0</v>
      </c>
      <c r="L114" s="63">
        <v>13433</v>
      </c>
      <c r="M114" s="63">
        <v>13122</v>
      </c>
      <c r="N114" s="63">
        <v>13901</v>
      </c>
      <c r="O114" s="63">
        <v>13880</v>
      </c>
      <c r="Q114" s="238" t="s">
        <v>5618</v>
      </c>
    </row>
    <row r="115" spans="1:17">
      <c r="A115" s="238" t="s">
        <v>5433</v>
      </c>
      <c r="B115" s="112" t="s">
        <v>12091</v>
      </c>
      <c r="C115" s="55" t="s">
        <v>12092</v>
      </c>
      <c r="D115" s="241">
        <v>66839</v>
      </c>
      <c r="E115" s="241">
        <v>67598</v>
      </c>
      <c r="F115" s="241">
        <v>68502</v>
      </c>
      <c r="G115" s="241">
        <v>67691</v>
      </c>
      <c r="H115" s="63">
        <v>65005</v>
      </c>
      <c r="I115" s="63">
        <v>65226</v>
      </c>
      <c r="J115" s="63">
        <v>62552</v>
      </c>
      <c r="K115" s="63">
        <v>62672</v>
      </c>
      <c r="L115" s="63">
        <v>6615</v>
      </c>
      <c r="M115" s="63">
        <v>6461</v>
      </c>
      <c r="N115" s="63">
        <v>6801</v>
      </c>
      <c r="O115" s="63">
        <v>6718</v>
      </c>
      <c r="Q115" s="238" t="s">
        <v>5616</v>
      </c>
    </row>
    <row r="116" spans="1:17">
      <c r="A116" s="238" t="s">
        <v>5435</v>
      </c>
      <c r="B116" s="112" t="s">
        <v>12093</v>
      </c>
      <c r="C116" s="55" t="s">
        <v>12094</v>
      </c>
      <c r="D116" s="241">
        <v>0</v>
      </c>
      <c r="E116" s="241">
        <v>0</v>
      </c>
      <c r="F116" s="241">
        <v>0</v>
      </c>
      <c r="G116" s="241">
        <v>0</v>
      </c>
      <c r="H116" s="63">
        <v>0</v>
      </c>
      <c r="I116" s="63">
        <v>0</v>
      </c>
      <c r="J116" s="63">
        <v>0</v>
      </c>
      <c r="K116" s="63">
        <v>0</v>
      </c>
      <c r="L116" s="63">
        <v>7690</v>
      </c>
      <c r="M116" s="63">
        <v>7557</v>
      </c>
      <c r="N116" s="63">
        <v>7913</v>
      </c>
      <c r="O116" s="63">
        <v>7788</v>
      </c>
      <c r="Q116" s="238" t="s">
        <v>5622</v>
      </c>
    </row>
    <row r="117" spans="1:17">
      <c r="A117" s="238" t="s">
        <v>5436</v>
      </c>
      <c r="B117" s="238" t="s">
        <v>5639</v>
      </c>
      <c r="C117" s="55" t="s">
        <v>12095</v>
      </c>
      <c r="D117" s="241">
        <v>0</v>
      </c>
      <c r="E117" s="241">
        <v>0</v>
      </c>
      <c r="F117" s="241">
        <v>0</v>
      </c>
      <c r="G117" s="241">
        <v>0</v>
      </c>
      <c r="H117" s="63">
        <v>0</v>
      </c>
      <c r="I117" s="63">
        <v>0</v>
      </c>
      <c r="J117" s="63">
        <v>0</v>
      </c>
      <c r="K117" s="63">
        <v>0</v>
      </c>
      <c r="L117" s="63">
        <v>9219</v>
      </c>
      <c r="M117" s="63">
        <v>10755</v>
      </c>
      <c r="N117" s="63">
        <v>12274</v>
      </c>
      <c r="O117" s="63">
        <v>12493</v>
      </c>
      <c r="Q117" s="238" t="s">
        <v>5614</v>
      </c>
    </row>
    <row r="118" spans="1:17">
      <c r="A118" s="238" t="s">
        <v>5437</v>
      </c>
      <c r="B118" s="238" t="s">
        <v>5640</v>
      </c>
      <c r="C118" s="55" t="s">
        <v>12096</v>
      </c>
      <c r="D118" s="241">
        <v>0</v>
      </c>
      <c r="E118" s="241">
        <v>0</v>
      </c>
      <c r="F118" s="241">
        <v>0</v>
      </c>
      <c r="G118" s="241">
        <v>0</v>
      </c>
      <c r="H118" s="63">
        <v>0</v>
      </c>
      <c r="I118" s="63">
        <v>0</v>
      </c>
      <c r="J118" s="63">
        <v>0</v>
      </c>
      <c r="K118" s="63">
        <v>0</v>
      </c>
      <c r="L118" s="63">
        <v>13202</v>
      </c>
      <c r="M118" s="63">
        <v>12981</v>
      </c>
      <c r="N118" s="63">
        <v>13690</v>
      </c>
      <c r="O118" s="63">
        <v>13582</v>
      </c>
      <c r="Q118" s="238" t="s">
        <v>5616</v>
      </c>
    </row>
    <row r="119" spans="1:17">
      <c r="A119" s="238" t="s">
        <v>5439</v>
      </c>
      <c r="B119" s="112" t="s">
        <v>12097</v>
      </c>
      <c r="C119" s="55" t="s">
        <v>12098</v>
      </c>
      <c r="D119" s="241">
        <v>0</v>
      </c>
      <c r="E119" s="241">
        <v>0</v>
      </c>
      <c r="F119" s="241">
        <v>0</v>
      </c>
      <c r="G119" s="241">
        <v>0</v>
      </c>
      <c r="H119" s="63">
        <v>0</v>
      </c>
      <c r="I119" s="63">
        <v>0</v>
      </c>
      <c r="J119" s="63">
        <v>0</v>
      </c>
      <c r="K119" s="63">
        <v>0</v>
      </c>
      <c r="L119" s="63">
        <v>7941</v>
      </c>
      <c r="M119" s="63">
        <v>7819</v>
      </c>
      <c r="N119" s="63">
        <v>8226</v>
      </c>
      <c r="O119" s="63">
        <v>8155</v>
      </c>
      <c r="Q119" s="238" t="s">
        <v>5620</v>
      </c>
    </row>
    <row r="120" spans="1:17">
      <c r="A120" s="238" t="s">
        <v>5441</v>
      </c>
      <c r="B120" s="112" t="s">
        <v>12099</v>
      </c>
      <c r="C120" s="55" t="s">
        <v>12100</v>
      </c>
      <c r="D120" s="241">
        <v>0</v>
      </c>
      <c r="E120" s="241">
        <v>0</v>
      </c>
      <c r="F120" s="241">
        <v>0</v>
      </c>
      <c r="G120" s="241">
        <v>0</v>
      </c>
      <c r="H120" s="63">
        <v>0</v>
      </c>
      <c r="I120" s="63">
        <v>0</v>
      </c>
      <c r="J120" s="63">
        <v>0</v>
      </c>
      <c r="K120" s="63">
        <v>0</v>
      </c>
      <c r="L120" s="63">
        <v>6601</v>
      </c>
      <c r="M120" s="63">
        <v>6567</v>
      </c>
      <c r="N120" s="63">
        <v>7011</v>
      </c>
      <c r="O120" s="63">
        <v>6988</v>
      </c>
      <c r="Q120" s="238" t="s">
        <v>5623</v>
      </c>
    </row>
    <row r="121" spans="1:17">
      <c r="A121" s="238" t="s">
        <v>5886</v>
      </c>
      <c r="B121" s="112" t="s">
        <v>12101</v>
      </c>
      <c r="C121" s="55" t="s">
        <v>12102</v>
      </c>
      <c r="D121" s="241">
        <v>0</v>
      </c>
      <c r="E121" s="241">
        <v>0</v>
      </c>
      <c r="F121" s="241">
        <v>0</v>
      </c>
      <c r="G121" s="241">
        <v>0</v>
      </c>
      <c r="H121" s="63">
        <v>0</v>
      </c>
      <c r="I121" s="63">
        <v>0</v>
      </c>
      <c r="J121" s="63">
        <v>0</v>
      </c>
      <c r="K121" s="63">
        <v>0</v>
      </c>
      <c r="L121" s="63">
        <v>11253</v>
      </c>
      <c r="M121" s="63">
        <v>10944</v>
      </c>
      <c r="N121" s="63">
        <v>11564</v>
      </c>
      <c r="O121" s="63">
        <v>11494</v>
      </c>
      <c r="Q121" s="238" t="s">
        <v>5618</v>
      </c>
    </row>
    <row r="122" spans="1:17" ht="15.75" thickBot="1">
      <c r="A122" s="238"/>
      <c r="C122" s="55" t="s">
        <v>12102</v>
      </c>
      <c r="D122" s="241">
        <v>0</v>
      </c>
      <c r="E122" s="241">
        <v>0</v>
      </c>
      <c r="F122" s="241">
        <v>0</v>
      </c>
      <c r="G122" s="241">
        <v>0</v>
      </c>
      <c r="H122" s="63">
        <v>0</v>
      </c>
      <c r="I122" s="63">
        <v>0</v>
      </c>
      <c r="J122" s="63">
        <v>0</v>
      </c>
      <c r="K122" s="63">
        <v>0</v>
      </c>
      <c r="L122" s="63">
        <v>3242</v>
      </c>
      <c r="M122" s="63">
        <v>3265</v>
      </c>
      <c r="N122" s="63">
        <v>3402</v>
      </c>
      <c r="O122" s="63">
        <v>3383</v>
      </c>
      <c r="Q122" s="238" t="s">
        <v>5623</v>
      </c>
    </row>
    <row r="123" spans="1:17" ht="15.75" thickBot="1">
      <c r="A123" s="238"/>
      <c r="C123" s="55" t="s">
        <v>12102</v>
      </c>
      <c r="D123" s="245">
        <f t="shared" ref="D123:M123" si="96">D121+D122</f>
        <v>0</v>
      </c>
      <c r="E123" s="245">
        <f t="shared" si="96"/>
        <v>0</v>
      </c>
      <c r="F123" s="245">
        <f t="shared" si="96"/>
        <v>0</v>
      </c>
      <c r="G123" s="245">
        <f t="shared" si="96"/>
        <v>0</v>
      </c>
      <c r="H123" s="245">
        <f t="shared" si="96"/>
        <v>0</v>
      </c>
      <c r="I123" s="245">
        <f t="shared" si="96"/>
        <v>0</v>
      </c>
      <c r="J123" s="245">
        <f t="shared" si="96"/>
        <v>0</v>
      </c>
      <c r="K123" s="245">
        <f t="shared" si="96"/>
        <v>0</v>
      </c>
      <c r="L123" s="245">
        <f t="shared" si="96"/>
        <v>14495</v>
      </c>
      <c r="M123" s="245">
        <f t="shared" si="96"/>
        <v>14209</v>
      </c>
      <c r="N123" s="245">
        <f>N121+N122</f>
        <v>14966</v>
      </c>
      <c r="O123" s="245">
        <f>O121+O122</f>
        <v>14877</v>
      </c>
      <c r="Q123" s="238"/>
    </row>
    <row r="124" spans="1:17">
      <c r="A124" s="238" t="s">
        <v>5888</v>
      </c>
      <c r="B124" s="112" t="s">
        <v>12103</v>
      </c>
      <c r="C124" s="55" t="s">
        <v>12104</v>
      </c>
      <c r="D124" s="241">
        <v>0</v>
      </c>
      <c r="E124" s="241">
        <v>0</v>
      </c>
      <c r="F124" s="241">
        <v>0</v>
      </c>
      <c r="G124" s="241">
        <v>0</v>
      </c>
      <c r="H124" s="63">
        <v>0</v>
      </c>
      <c r="I124" s="63">
        <v>0</v>
      </c>
      <c r="J124" s="63">
        <v>0</v>
      </c>
      <c r="K124" s="63">
        <v>0</v>
      </c>
      <c r="L124" s="63">
        <v>6064</v>
      </c>
      <c r="M124" s="63">
        <v>5862</v>
      </c>
      <c r="N124" s="63">
        <v>6220</v>
      </c>
      <c r="O124" s="63">
        <v>6195</v>
      </c>
      <c r="Q124" s="238" t="s">
        <v>5616</v>
      </c>
    </row>
    <row r="125" spans="1:17">
      <c r="A125" s="238" t="s">
        <v>5889</v>
      </c>
      <c r="B125" s="238" t="s">
        <v>12105</v>
      </c>
      <c r="C125" s="55" t="s">
        <v>12107</v>
      </c>
      <c r="D125" s="241">
        <v>0</v>
      </c>
      <c r="E125" s="241">
        <v>0</v>
      </c>
      <c r="F125" s="241">
        <v>0</v>
      </c>
      <c r="G125" s="241">
        <v>0</v>
      </c>
      <c r="H125" s="63">
        <v>0</v>
      </c>
      <c r="I125" s="63">
        <v>0</v>
      </c>
      <c r="J125" s="63">
        <v>0</v>
      </c>
      <c r="K125" s="63">
        <v>0</v>
      </c>
      <c r="L125" s="63">
        <v>14631</v>
      </c>
      <c r="M125" s="63">
        <v>14416</v>
      </c>
      <c r="N125" s="63">
        <v>15088</v>
      </c>
      <c r="O125" s="63">
        <v>15025</v>
      </c>
      <c r="Q125" s="238" t="s">
        <v>5617</v>
      </c>
    </row>
    <row r="126" spans="1:17" ht="15.75" thickBot="1">
      <c r="A126" s="238"/>
      <c r="B126" s="238"/>
      <c r="C126" s="55" t="s">
        <v>12107</v>
      </c>
      <c r="D126" s="241">
        <v>0</v>
      </c>
      <c r="E126" s="241">
        <v>0</v>
      </c>
      <c r="F126" s="241">
        <v>0</v>
      </c>
      <c r="G126" s="241">
        <v>0</v>
      </c>
      <c r="H126" s="63">
        <v>0</v>
      </c>
      <c r="I126" s="63">
        <v>0</v>
      </c>
      <c r="J126" s="63">
        <v>0</v>
      </c>
      <c r="K126" s="63">
        <v>0</v>
      </c>
      <c r="L126" s="63">
        <v>131</v>
      </c>
      <c r="M126" s="63">
        <v>123</v>
      </c>
      <c r="N126" s="63">
        <v>238</v>
      </c>
      <c r="O126" s="63">
        <v>244</v>
      </c>
      <c r="Q126" s="238" t="s">
        <v>5623</v>
      </c>
    </row>
    <row r="127" spans="1:17" ht="15.75" thickBot="1">
      <c r="A127" s="238"/>
      <c r="B127" s="238"/>
      <c r="C127" s="55" t="s">
        <v>12107</v>
      </c>
      <c r="D127" s="245">
        <f t="shared" ref="D127:M127" si="97">D125+D126</f>
        <v>0</v>
      </c>
      <c r="E127" s="245">
        <f t="shared" si="97"/>
        <v>0</v>
      </c>
      <c r="F127" s="245">
        <f t="shared" si="97"/>
        <v>0</v>
      </c>
      <c r="G127" s="245">
        <f t="shared" si="97"/>
        <v>0</v>
      </c>
      <c r="H127" s="245">
        <f t="shared" si="97"/>
        <v>0</v>
      </c>
      <c r="I127" s="245">
        <f t="shared" si="97"/>
        <v>0</v>
      </c>
      <c r="J127" s="245">
        <f t="shared" si="97"/>
        <v>0</v>
      </c>
      <c r="K127" s="245">
        <f t="shared" si="97"/>
        <v>0</v>
      </c>
      <c r="L127" s="245">
        <f t="shared" si="97"/>
        <v>14762</v>
      </c>
      <c r="M127" s="245">
        <f t="shared" si="97"/>
        <v>14539</v>
      </c>
      <c r="N127" s="245">
        <f>N125+N126</f>
        <v>15326</v>
      </c>
      <c r="O127" s="245">
        <f>O125+O126</f>
        <v>15269</v>
      </c>
      <c r="Q127" s="238"/>
    </row>
    <row r="128" spans="1:17">
      <c r="A128" s="238" t="s">
        <v>4431</v>
      </c>
      <c r="B128" s="238" t="s">
        <v>12106</v>
      </c>
      <c r="C128" s="55" t="s">
        <v>12108</v>
      </c>
      <c r="D128" s="241">
        <v>0</v>
      </c>
      <c r="E128" s="241">
        <v>0</v>
      </c>
      <c r="F128" s="241">
        <v>0</v>
      </c>
      <c r="G128" s="241">
        <v>0</v>
      </c>
      <c r="H128" s="63">
        <v>0</v>
      </c>
      <c r="I128" s="63">
        <v>0</v>
      </c>
      <c r="J128" s="63">
        <v>0</v>
      </c>
      <c r="K128" s="63">
        <v>0</v>
      </c>
      <c r="L128" s="63">
        <v>7746</v>
      </c>
      <c r="M128" s="63">
        <v>7649</v>
      </c>
      <c r="N128" s="63">
        <v>7935</v>
      </c>
      <c r="O128" s="63">
        <v>7909</v>
      </c>
      <c r="Q128" s="238" t="s">
        <v>5617</v>
      </c>
    </row>
    <row r="129" spans="1:17">
      <c r="A129" s="238" t="s">
        <v>4432</v>
      </c>
      <c r="B129" s="112" t="s">
        <v>12109</v>
      </c>
      <c r="C129" s="55" t="s">
        <v>12110</v>
      </c>
      <c r="D129" s="241">
        <v>0</v>
      </c>
      <c r="E129" s="241">
        <v>0</v>
      </c>
      <c r="F129" s="241">
        <v>0</v>
      </c>
      <c r="G129" s="241">
        <v>0</v>
      </c>
      <c r="H129" s="63">
        <v>0</v>
      </c>
      <c r="I129" s="63">
        <v>0</v>
      </c>
      <c r="J129" s="63">
        <v>0</v>
      </c>
      <c r="K129" s="63">
        <v>0</v>
      </c>
      <c r="L129" s="63">
        <v>6561</v>
      </c>
      <c r="M129" s="63">
        <v>6491</v>
      </c>
      <c r="N129" s="63">
        <v>6837</v>
      </c>
      <c r="O129" s="63">
        <v>6805</v>
      </c>
      <c r="Q129" s="238" t="s">
        <v>5621</v>
      </c>
    </row>
    <row r="130" spans="1:17">
      <c r="A130" s="238" t="s">
        <v>4434</v>
      </c>
      <c r="B130" s="238" t="s">
        <v>5641</v>
      </c>
      <c r="C130" s="55" t="s">
        <v>12111</v>
      </c>
      <c r="D130" s="241">
        <v>0</v>
      </c>
      <c r="E130" s="241">
        <v>0</v>
      </c>
      <c r="F130" s="241">
        <v>0</v>
      </c>
      <c r="G130" s="241">
        <v>0</v>
      </c>
      <c r="H130" s="63">
        <v>0</v>
      </c>
      <c r="I130" s="63">
        <v>0</v>
      </c>
      <c r="J130" s="63">
        <v>0</v>
      </c>
      <c r="K130" s="63">
        <v>0</v>
      </c>
      <c r="L130" s="63">
        <v>12879</v>
      </c>
      <c r="M130" s="63">
        <v>12700</v>
      </c>
      <c r="N130" s="63">
        <v>13368</v>
      </c>
      <c r="O130" s="63">
        <v>13311</v>
      </c>
      <c r="Q130" s="238" t="s">
        <v>5621</v>
      </c>
    </row>
    <row r="131" spans="1:17">
      <c r="A131" s="238" t="s">
        <v>4533</v>
      </c>
      <c r="B131" s="238" t="s">
        <v>5642</v>
      </c>
      <c r="C131" s="55" t="s">
        <v>12112</v>
      </c>
      <c r="D131" s="241">
        <v>0</v>
      </c>
      <c r="E131" s="241">
        <v>0</v>
      </c>
      <c r="F131" s="241">
        <v>0</v>
      </c>
      <c r="G131" s="241">
        <v>0</v>
      </c>
      <c r="H131" s="63">
        <v>0</v>
      </c>
      <c r="I131" s="63">
        <v>0</v>
      </c>
      <c r="J131" s="63">
        <v>0</v>
      </c>
      <c r="K131" s="63">
        <v>0</v>
      </c>
      <c r="L131" s="63">
        <v>14989</v>
      </c>
      <c r="M131" s="63">
        <v>14429</v>
      </c>
      <c r="N131" s="63">
        <v>15807</v>
      </c>
      <c r="O131" s="63">
        <v>15525</v>
      </c>
      <c r="Q131" s="238" t="s">
        <v>5614</v>
      </c>
    </row>
    <row r="132" spans="1:17">
      <c r="A132" s="238" t="s">
        <v>4535</v>
      </c>
      <c r="B132" s="238" t="s">
        <v>12113</v>
      </c>
      <c r="C132" s="55" t="s">
        <v>12114</v>
      </c>
      <c r="D132" s="241">
        <v>0</v>
      </c>
      <c r="E132" s="241">
        <v>0</v>
      </c>
      <c r="F132" s="241">
        <v>0</v>
      </c>
      <c r="G132" s="241">
        <v>0</v>
      </c>
      <c r="H132" s="63">
        <v>0</v>
      </c>
      <c r="I132" s="63">
        <v>0</v>
      </c>
      <c r="J132" s="63">
        <v>0</v>
      </c>
      <c r="K132" s="63">
        <v>0</v>
      </c>
      <c r="L132" s="63">
        <v>6803</v>
      </c>
      <c r="M132" s="63">
        <v>6790</v>
      </c>
      <c r="N132" s="63">
        <v>7202</v>
      </c>
      <c r="O132" s="63">
        <v>7196</v>
      </c>
      <c r="Q132" s="238" t="s">
        <v>5618</v>
      </c>
    </row>
    <row r="133" spans="1:17">
      <c r="A133" s="238" t="s">
        <v>4537</v>
      </c>
      <c r="B133" s="112" t="s">
        <v>12115</v>
      </c>
      <c r="C133" s="55" t="s">
        <v>12116</v>
      </c>
      <c r="D133" s="241">
        <v>0</v>
      </c>
      <c r="E133" s="241">
        <v>0</v>
      </c>
      <c r="F133" s="241">
        <v>0</v>
      </c>
      <c r="G133" s="241">
        <v>0</v>
      </c>
      <c r="H133" s="63">
        <v>0</v>
      </c>
      <c r="I133" s="63">
        <v>0</v>
      </c>
      <c r="J133" s="63">
        <v>0</v>
      </c>
      <c r="K133" s="63">
        <v>0</v>
      </c>
      <c r="L133" s="63">
        <v>7779</v>
      </c>
      <c r="M133" s="63">
        <v>7533</v>
      </c>
      <c r="N133" s="63">
        <v>7865</v>
      </c>
      <c r="O133" s="63">
        <v>7794</v>
      </c>
      <c r="Q133" s="238" t="s">
        <v>5622</v>
      </c>
    </row>
    <row r="134" spans="1:17">
      <c r="A134" s="238" t="s">
        <v>4539</v>
      </c>
      <c r="B134" s="112" t="s">
        <v>12117</v>
      </c>
      <c r="C134" s="55" t="s">
        <v>12118</v>
      </c>
      <c r="D134" s="241">
        <v>0</v>
      </c>
      <c r="E134" s="241">
        <v>0</v>
      </c>
      <c r="F134" s="241">
        <v>0</v>
      </c>
      <c r="G134" s="241">
        <v>0</v>
      </c>
      <c r="H134" s="63">
        <v>0</v>
      </c>
      <c r="I134" s="63">
        <v>0</v>
      </c>
      <c r="J134" s="63">
        <v>0</v>
      </c>
      <c r="K134" s="63">
        <v>0</v>
      </c>
      <c r="L134" s="63">
        <v>2235</v>
      </c>
      <c r="M134" s="63">
        <v>2165</v>
      </c>
      <c r="N134" s="63">
        <v>2324</v>
      </c>
      <c r="O134" s="63">
        <v>2301</v>
      </c>
      <c r="Q134" s="238" t="s">
        <v>5619</v>
      </c>
    </row>
    <row r="135" spans="1:17" ht="15.75" thickBot="1">
      <c r="A135" s="238"/>
      <c r="C135" s="55" t="s">
        <v>12118</v>
      </c>
      <c r="D135" s="241">
        <v>0</v>
      </c>
      <c r="E135" s="241">
        <v>0</v>
      </c>
      <c r="F135" s="241">
        <v>0</v>
      </c>
      <c r="G135" s="241">
        <v>0</v>
      </c>
      <c r="H135" s="63">
        <v>0</v>
      </c>
      <c r="I135" s="63">
        <v>0</v>
      </c>
      <c r="J135" s="63">
        <v>0</v>
      </c>
      <c r="K135" s="63">
        <v>0</v>
      </c>
      <c r="L135" s="63">
        <v>3749</v>
      </c>
      <c r="M135" s="63">
        <v>3696</v>
      </c>
      <c r="N135" s="63">
        <v>3853</v>
      </c>
      <c r="O135" s="63">
        <v>3858</v>
      </c>
      <c r="Q135" s="238" t="s">
        <v>5621</v>
      </c>
    </row>
    <row r="136" spans="1:17" ht="15.75" thickBot="1">
      <c r="A136" s="238"/>
      <c r="C136" s="55" t="s">
        <v>12118</v>
      </c>
      <c r="D136" s="245">
        <f t="shared" ref="D136:M136" si="98">D134+D135</f>
        <v>0</v>
      </c>
      <c r="E136" s="245">
        <f t="shared" si="98"/>
        <v>0</v>
      </c>
      <c r="F136" s="245">
        <f t="shared" si="98"/>
        <v>0</v>
      </c>
      <c r="G136" s="245">
        <f t="shared" si="98"/>
        <v>0</v>
      </c>
      <c r="H136" s="245">
        <f t="shared" si="98"/>
        <v>0</v>
      </c>
      <c r="I136" s="245">
        <f t="shared" si="98"/>
        <v>0</v>
      </c>
      <c r="J136" s="245">
        <f t="shared" si="98"/>
        <v>0</v>
      </c>
      <c r="K136" s="245">
        <f t="shared" si="98"/>
        <v>0</v>
      </c>
      <c r="L136" s="245">
        <f t="shared" si="98"/>
        <v>5984</v>
      </c>
      <c r="M136" s="245">
        <f t="shared" si="98"/>
        <v>5861</v>
      </c>
      <c r="N136" s="245">
        <f>N134+N135</f>
        <v>6177</v>
      </c>
      <c r="O136" s="245">
        <f>O134+O135</f>
        <v>6159</v>
      </c>
      <c r="Q136" s="238"/>
    </row>
    <row r="137" spans="1:17">
      <c r="A137" s="238" t="s">
        <v>6158</v>
      </c>
      <c r="B137" s="238" t="s">
        <v>12119</v>
      </c>
      <c r="C137" s="55" t="s">
        <v>12120</v>
      </c>
      <c r="D137" s="241">
        <v>0</v>
      </c>
      <c r="E137" s="241">
        <v>0</v>
      </c>
      <c r="F137" s="241">
        <v>0</v>
      </c>
      <c r="G137" s="241">
        <v>0</v>
      </c>
      <c r="H137" s="63">
        <v>0</v>
      </c>
      <c r="I137" s="63">
        <v>0</v>
      </c>
      <c r="J137" s="63">
        <v>0</v>
      </c>
      <c r="K137" s="63">
        <v>0</v>
      </c>
      <c r="L137" s="63">
        <v>7565</v>
      </c>
      <c r="M137" s="63">
        <v>7464</v>
      </c>
      <c r="N137" s="63">
        <v>7792</v>
      </c>
      <c r="O137" s="63">
        <v>7706</v>
      </c>
      <c r="Q137" s="238" t="s">
        <v>5620</v>
      </c>
    </row>
    <row r="138" spans="1:17" ht="15.75" thickBot="1">
      <c r="A138" s="238"/>
      <c r="B138" s="238"/>
      <c r="C138" s="55" t="s">
        <v>12120</v>
      </c>
      <c r="D138" s="241">
        <v>0</v>
      </c>
      <c r="E138" s="241">
        <v>0</v>
      </c>
      <c r="F138" s="241">
        <v>0</v>
      </c>
      <c r="G138" s="241">
        <v>0</v>
      </c>
      <c r="H138" s="63">
        <v>0</v>
      </c>
      <c r="I138" s="63">
        <v>0</v>
      </c>
      <c r="J138" s="63">
        <v>0</v>
      </c>
      <c r="K138" s="63">
        <v>0</v>
      </c>
      <c r="L138" s="63">
        <v>10</v>
      </c>
      <c r="M138" s="63">
        <v>9</v>
      </c>
      <c r="N138" s="63">
        <v>10</v>
      </c>
      <c r="O138" s="63">
        <v>10</v>
      </c>
      <c r="Q138" s="238" t="s">
        <v>5622</v>
      </c>
    </row>
    <row r="139" spans="1:17" ht="15.75" thickBot="1">
      <c r="A139" s="238"/>
      <c r="B139" s="238"/>
      <c r="C139" s="55" t="s">
        <v>12120</v>
      </c>
      <c r="D139" s="245">
        <f t="shared" ref="D139:M139" si="99">D137+D138</f>
        <v>0</v>
      </c>
      <c r="E139" s="245">
        <f t="shared" si="99"/>
        <v>0</v>
      </c>
      <c r="F139" s="245">
        <f t="shared" si="99"/>
        <v>0</v>
      </c>
      <c r="G139" s="245">
        <f t="shared" si="99"/>
        <v>0</v>
      </c>
      <c r="H139" s="245">
        <f t="shared" si="99"/>
        <v>0</v>
      </c>
      <c r="I139" s="245">
        <f t="shared" si="99"/>
        <v>0</v>
      </c>
      <c r="J139" s="245">
        <f t="shared" si="99"/>
        <v>0</v>
      </c>
      <c r="K139" s="245">
        <f t="shared" si="99"/>
        <v>0</v>
      </c>
      <c r="L139" s="245">
        <f t="shared" si="99"/>
        <v>7575</v>
      </c>
      <c r="M139" s="245">
        <f t="shared" si="99"/>
        <v>7473</v>
      </c>
      <c r="N139" s="245">
        <f>N137+N138</f>
        <v>7802</v>
      </c>
      <c r="O139" s="245">
        <f>O137+O138</f>
        <v>7716</v>
      </c>
      <c r="Q139" s="238"/>
    </row>
    <row r="140" spans="1:17">
      <c r="A140" s="238" t="s">
        <v>6159</v>
      </c>
      <c r="B140" s="238" t="s">
        <v>12122</v>
      </c>
      <c r="C140" s="55" t="s">
        <v>12121</v>
      </c>
      <c r="D140" s="241">
        <v>0</v>
      </c>
      <c r="E140" s="241">
        <v>0</v>
      </c>
      <c r="F140" s="241">
        <v>0</v>
      </c>
      <c r="G140" s="241">
        <v>0</v>
      </c>
      <c r="H140" s="63">
        <v>0</v>
      </c>
      <c r="I140" s="63">
        <v>0</v>
      </c>
      <c r="J140" s="63">
        <v>0</v>
      </c>
      <c r="K140" s="63">
        <v>0</v>
      </c>
      <c r="L140" s="63">
        <v>7557</v>
      </c>
      <c r="M140" s="63">
        <v>7376</v>
      </c>
      <c r="N140" s="63">
        <v>7758</v>
      </c>
      <c r="O140" s="63">
        <v>7709</v>
      </c>
      <c r="Q140" s="238" t="s">
        <v>5620</v>
      </c>
    </row>
    <row r="141" spans="1:17">
      <c r="A141" s="238" t="s">
        <v>6160</v>
      </c>
      <c r="B141" s="238" t="s">
        <v>5643</v>
      </c>
      <c r="C141" s="55" t="s">
        <v>12123</v>
      </c>
      <c r="D141" s="241">
        <v>0</v>
      </c>
      <c r="E141" s="241">
        <v>0</v>
      </c>
      <c r="F141" s="241">
        <v>0</v>
      </c>
      <c r="G141" s="241">
        <v>0</v>
      </c>
      <c r="H141" s="63">
        <v>0</v>
      </c>
      <c r="I141" s="63">
        <v>0</v>
      </c>
      <c r="J141" s="63">
        <v>0</v>
      </c>
      <c r="K141" s="63">
        <v>0</v>
      </c>
      <c r="L141" s="63">
        <v>9944</v>
      </c>
      <c r="M141" s="63">
        <v>9779</v>
      </c>
      <c r="N141" s="63">
        <v>10138</v>
      </c>
      <c r="O141" s="63">
        <v>10065</v>
      </c>
      <c r="Q141" s="238" t="s">
        <v>5616</v>
      </c>
    </row>
    <row r="142" spans="1:17" ht="15.75" thickBot="1">
      <c r="A142" s="238"/>
      <c r="B142" s="238"/>
      <c r="C142" s="55" t="s">
        <v>12123</v>
      </c>
      <c r="D142" s="241">
        <v>0</v>
      </c>
      <c r="E142" s="241">
        <v>0</v>
      </c>
      <c r="F142" s="241">
        <v>0</v>
      </c>
      <c r="G142" s="241">
        <v>0</v>
      </c>
      <c r="H142" s="63">
        <v>0</v>
      </c>
      <c r="I142" s="63">
        <v>0</v>
      </c>
      <c r="J142" s="63">
        <v>0</v>
      </c>
      <c r="K142" s="63">
        <v>0</v>
      </c>
      <c r="L142" s="63">
        <v>3490</v>
      </c>
      <c r="M142" s="63">
        <v>3458</v>
      </c>
      <c r="N142" s="63">
        <v>3547</v>
      </c>
      <c r="O142" s="63">
        <v>3545</v>
      </c>
      <c r="Q142" s="238" t="s">
        <v>5621</v>
      </c>
    </row>
    <row r="143" spans="1:17" ht="15.75" thickBot="1">
      <c r="A143" s="238"/>
      <c r="B143" s="238"/>
      <c r="C143" s="55" t="s">
        <v>12123</v>
      </c>
      <c r="D143" s="245">
        <f t="shared" ref="D143:M143" si="100">D141+D142</f>
        <v>0</v>
      </c>
      <c r="E143" s="245">
        <f t="shared" si="100"/>
        <v>0</v>
      </c>
      <c r="F143" s="245">
        <f t="shared" si="100"/>
        <v>0</v>
      </c>
      <c r="G143" s="245">
        <f t="shared" si="100"/>
        <v>0</v>
      </c>
      <c r="H143" s="245">
        <f t="shared" si="100"/>
        <v>0</v>
      </c>
      <c r="I143" s="245">
        <f t="shared" si="100"/>
        <v>0</v>
      </c>
      <c r="J143" s="245">
        <f t="shared" si="100"/>
        <v>0</v>
      </c>
      <c r="K143" s="245">
        <f t="shared" si="100"/>
        <v>0</v>
      </c>
      <c r="L143" s="245">
        <f t="shared" si="100"/>
        <v>13434</v>
      </c>
      <c r="M143" s="245">
        <f t="shared" si="100"/>
        <v>13237</v>
      </c>
      <c r="N143" s="245">
        <f>N141+N142</f>
        <v>13685</v>
      </c>
      <c r="O143" s="245">
        <f>O141+O142</f>
        <v>13610</v>
      </c>
      <c r="Q143" s="238"/>
    </row>
    <row r="144" spans="1:17">
      <c r="A144" s="238" t="s">
        <v>6162</v>
      </c>
      <c r="B144" s="238" t="s">
        <v>5644</v>
      </c>
      <c r="C144" s="55" t="s">
        <v>12124</v>
      </c>
      <c r="D144" s="241">
        <v>72809</v>
      </c>
      <c r="E144" s="241">
        <v>74008</v>
      </c>
      <c r="F144" s="241">
        <v>76272</v>
      </c>
      <c r="G144" s="241">
        <v>74635</v>
      </c>
      <c r="H144" s="63">
        <v>70289</v>
      </c>
      <c r="I144" s="63">
        <v>65207</v>
      </c>
      <c r="J144" s="63">
        <v>65716</v>
      </c>
      <c r="K144" s="63">
        <v>64608</v>
      </c>
      <c r="L144" s="63">
        <v>10949</v>
      </c>
      <c r="M144" s="63">
        <v>10945</v>
      </c>
      <c r="N144" s="63">
        <v>12610</v>
      </c>
      <c r="O144" s="63">
        <v>12721</v>
      </c>
      <c r="Q144" s="238" t="s">
        <v>5619</v>
      </c>
    </row>
    <row r="145" spans="1:17">
      <c r="A145" s="238" t="s">
        <v>2157</v>
      </c>
      <c r="B145" s="238" t="s">
        <v>12125</v>
      </c>
      <c r="C145" s="55" t="s">
        <v>12126</v>
      </c>
      <c r="D145" s="241">
        <v>0</v>
      </c>
      <c r="E145" s="241">
        <v>0</v>
      </c>
      <c r="F145" s="241">
        <v>0</v>
      </c>
      <c r="G145" s="241">
        <v>0</v>
      </c>
      <c r="H145" s="63">
        <v>0</v>
      </c>
      <c r="I145" s="63">
        <v>0</v>
      </c>
      <c r="J145" s="63">
        <v>0</v>
      </c>
      <c r="K145" s="63">
        <v>0</v>
      </c>
      <c r="L145" s="63">
        <v>14727</v>
      </c>
      <c r="M145" s="63">
        <v>14657</v>
      </c>
      <c r="N145" s="63">
        <v>15384</v>
      </c>
      <c r="O145" s="63">
        <v>15349</v>
      </c>
      <c r="Q145" s="238" t="s">
        <v>5620</v>
      </c>
    </row>
    <row r="146" spans="1:17">
      <c r="A146" s="238" t="s">
        <v>2158</v>
      </c>
      <c r="B146" s="238" t="s">
        <v>12127</v>
      </c>
      <c r="C146" s="55" t="s">
        <v>12128</v>
      </c>
      <c r="D146" s="241">
        <v>0</v>
      </c>
      <c r="E146" s="241">
        <v>0</v>
      </c>
      <c r="F146" s="241">
        <v>0</v>
      </c>
      <c r="G146" s="241">
        <v>0</v>
      </c>
      <c r="H146" s="63">
        <v>0</v>
      </c>
      <c r="I146" s="63">
        <v>0</v>
      </c>
      <c r="J146" s="63">
        <v>0</v>
      </c>
      <c r="K146" s="63">
        <v>0</v>
      </c>
      <c r="L146" s="63">
        <v>699</v>
      </c>
      <c r="M146" s="63">
        <v>702</v>
      </c>
      <c r="N146" s="63">
        <v>782</v>
      </c>
      <c r="O146" s="63">
        <v>800</v>
      </c>
      <c r="Q146" s="238" t="s">
        <v>5619</v>
      </c>
    </row>
    <row r="147" spans="1:17" ht="15.75" thickBot="1">
      <c r="A147" s="238"/>
      <c r="B147" s="238"/>
      <c r="C147" s="55" t="s">
        <v>12128</v>
      </c>
      <c r="D147" s="241">
        <v>0</v>
      </c>
      <c r="E147" s="241">
        <v>0</v>
      </c>
      <c r="F147" s="241">
        <v>0</v>
      </c>
      <c r="G147" s="241">
        <v>0</v>
      </c>
      <c r="H147" s="63">
        <v>0</v>
      </c>
      <c r="I147" s="63">
        <v>0</v>
      </c>
      <c r="J147" s="63">
        <v>0</v>
      </c>
      <c r="K147" s="63">
        <v>0</v>
      </c>
      <c r="L147" s="63">
        <v>5952</v>
      </c>
      <c r="M147" s="63">
        <v>5911</v>
      </c>
      <c r="N147" s="63">
        <v>6310</v>
      </c>
      <c r="O147" s="63">
        <v>6368</v>
      </c>
      <c r="Q147" s="238" t="s">
        <v>5621</v>
      </c>
    </row>
    <row r="148" spans="1:17" ht="15.75" thickBot="1">
      <c r="A148" s="238"/>
      <c r="B148" s="238"/>
      <c r="C148" s="55" t="s">
        <v>12128</v>
      </c>
      <c r="D148" s="245">
        <f t="shared" ref="D148:M148" si="101">D146+D147</f>
        <v>0</v>
      </c>
      <c r="E148" s="245">
        <f t="shared" si="101"/>
        <v>0</v>
      </c>
      <c r="F148" s="245">
        <f t="shared" si="101"/>
        <v>0</v>
      </c>
      <c r="G148" s="245">
        <f t="shared" si="101"/>
        <v>0</v>
      </c>
      <c r="H148" s="245">
        <f t="shared" si="101"/>
        <v>0</v>
      </c>
      <c r="I148" s="245">
        <f t="shared" si="101"/>
        <v>0</v>
      </c>
      <c r="J148" s="245">
        <f t="shared" si="101"/>
        <v>0</v>
      </c>
      <c r="K148" s="245">
        <f t="shared" si="101"/>
        <v>0</v>
      </c>
      <c r="L148" s="245">
        <f t="shared" si="101"/>
        <v>6651</v>
      </c>
      <c r="M148" s="245">
        <f t="shared" si="101"/>
        <v>6613</v>
      </c>
      <c r="N148" s="245">
        <f>N146+N147</f>
        <v>7092</v>
      </c>
      <c r="O148" s="245">
        <f>O146+O147</f>
        <v>7168</v>
      </c>
    </row>
    <row r="149" spans="1:17">
      <c r="A149" s="238" t="s">
        <v>1838</v>
      </c>
      <c r="B149" s="238" t="s">
        <v>12129</v>
      </c>
      <c r="C149" s="55" t="s">
        <v>12130</v>
      </c>
      <c r="D149" s="241">
        <v>0</v>
      </c>
      <c r="E149" s="241">
        <v>0</v>
      </c>
      <c r="F149" s="241">
        <v>0</v>
      </c>
      <c r="G149" s="241">
        <v>0</v>
      </c>
      <c r="H149" s="63">
        <v>0</v>
      </c>
      <c r="I149" s="63">
        <v>0</v>
      </c>
      <c r="J149" s="63">
        <v>0</v>
      </c>
      <c r="K149" s="63">
        <v>0</v>
      </c>
      <c r="L149" s="63">
        <v>15318</v>
      </c>
      <c r="M149" s="63">
        <v>14950</v>
      </c>
      <c r="N149" s="63">
        <v>16037</v>
      </c>
      <c r="O149" s="63">
        <v>15918</v>
      </c>
      <c r="Q149" s="238" t="s">
        <v>5617</v>
      </c>
    </row>
    <row r="150" spans="1:17">
      <c r="A150" s="238" t="s">
        <v>1839</v>
      </c>
      <c r="B150" s="238" t="s">
        <v>5645</v>
      </c>
      <c r="C150" s="55" t="s">
        <v>12131</v>
      </c>
      <c r="D150" s="241">
        <v>0</v>
      </c>
      <c r="E150" s="241">
        <v>0</v>
      </c>
      <c r="F150" s="241">
        <v>0</v>
      </c>
      <c r="G150" s="241">
        <v>0</v>
      </c>
      <c r="H150" s="63">
        <v>0</v>
      </c>
      <c r="I150" s="63">
        <v>0</v>
      </c>
      <c r="J150" s="63">
        <v>0</v>
      </c>
      <c r="K150" s="63">
        <v>0</v>
      </c>
      <c r="L150" s="63">
        <v>5535</v>
      </c>
      <c r="M150" s="63">
        <v>6187</v>
      </c>
      <c r="N150" s="63">
        <v>6427</v>
      </c>
      <c r="O150" s="63">
        <v>6900</v>
      </c>
      <c r="Q150" s="238" t="s">
        <v>5619</v>
      </c>
    </row>
    <row r="151" spans="1:17">
      <c r="A151" s="238" t="s">
        <v>1841</v>
      </c>
      <c r="B151" s="112" t="s">
        <v>6583</v>
      </c>
      <c r="C151" s="55" t="s">
        <v>12132</v>
      </c>
      <c r="D151" s="241">
        <v>0</v>
      </c>
      <c r="E151" s="241">
        <v>0</v>
      </c>
      <c r="F151" s="241">
        <v>0</v>
      </c>
      <c r="G151" s="241">
        <v>0</v>
      </c>
      <c r="H151" s="63">
        <v>0</v>
      </c>
      <c r="I151" s="63">
        <v>0</v>
      </c>
      <c r="J151" s="63">
        <v>0</v>
      </c>
      <c r="K151" s="63">
        <v>0</v>
      </c>
      <c r="L151" s="63">
        <v>5277</v>
      </c>
      <c r="M151" s="63">
        <v>5448</v>
      </c>
      <c r="N151" s="63">
        <v>6426</v>
      </c>
      <c r="O151" s="63">
        <v>6831</v>
      </c>
      <c r="Q151" s="238" t="s">
        <v>5619</v>
      </c>
    </row>
    <row r="152" spans="1:17" ht="15.75" thickBot="1">
      <c r="A152" s="238"/>
      <c r="C152" s="55" t="s">
        <v>12132</v>
      </c>
      <c r="D152" s="241">
        <v>0</v>
      </c>
      <c r="E152" s="241">
        <v>0</v>
      </c>
      <c r="F152" s="241">
        <v>0</v>
      </c>
      <c r="G152" s="241">
        <v>0</v>
      </c>
      <c r="H152" s="63">
        <v>0</v>
      </c>
      <c r="I152" s="63">
        <v>0</v>
      </c>
      <c r="J152" s="63">
        <v>0</v>
      </c>
      <c r="K152" s="63">
        <v>0</v>
      </c>
      <c r="L152" s="63">
        <v>1</v>
      </c>
      <c r="M152" s="63">
        <v>0</v>
      </c>
      <c r="N152" s="63">
        <v>0</v>
      </c>
      <c r="O152" s="63">
        <v>0</v>
      </c>
      <c r="Q152" s="238" t="s">
        <v>5621</v>
      </c>
    </row>
    <row r="153" spans="1:17" ht="15.75" thickBot="1">
      <c r="A153" s="238"/>
      <c r="C153" s="55" t="s">
        <v>12132</v>
      </c>
      <c r="D153" s="245">
        <f t="shared" ref="D153:K153" si="102">D151+D152</f>
        <v>0</v>
      </c>
      <c r="E153" s="245">
        <f t="shared" si="102"/>
        <v>0</v>
      </c>
      <c r="F153" s="245">
        <f t="shared" si="102"/>
        <v>0</v>
      </c>
      <c r="G153" s="245">
        <f t="shared" si="102"/>
        <v>0</v>
      </c>
      <c r="H153" s="245">
        <f t="shared" si="102"/>
        <v>0</v>
      </c>
      <c r="I153" s="245">
        <f t="shared" si="102"/>
        <v>0</v>
      </c>
      <c r="J153" s="245">
        <f t="shared" si="102"/>
        <v>0</v>
      </c>
      <c r="K153" s="245">
        <f t="shared" si="102"/>
        <v>0</v>
      </c>
      <c r="L153" s="245">
        <f>L151+L152</f>
        <v>5278</v>
      </c>
      <c r="M153" s="245">
        <f>M151+M152</f>
        <v>5448</v>
      </c>
      <c r="N153" s="245">
        <f>N151+N152</f>
        <v>6426</v>
      </c>
      <c r="O153" s="245">
        <f>O151+O152</f>
        <v>6831</v>
      </c>
      <c r="Q153" s="238"/>
    </row>
    <row r="154" spans="1:17">
      <c r="A154" s="247">
        <v>40</v>
      </c>
      <c r="B154" s="112" t="s">
        <v>12133</v>
      </c>
      <c r="C154" s="55" t="s">
        <v>12134</v>
      </c>
      <c r="D154" s="241">
        <v>0</v>
      </c>
      <c r="E154" s="241">
        <v>0</v>
      </c>
      <c r="F154" s="241">
        <v>0</v>
      </c>
      <c r="G154" s="241">
        <v>0</v>
      </c>
      <c r="H154" s="63">
        <v>0</v>
      </c>
      <c r="I154" s="63">
        <v>0</v>
      </c>
      <c r="J154" s="63">
        <v>0</v>
      </c>
      <c r="K154" s="63">
        <v>0</v>
      </c>
      <c r="L154" s="63">
        <v>6026</v>
      </c>
      <c r="M154" s="63">
        <v>5839</v>
      </c>
      <c r="N154" s="63">
        <v>6387</v>
      </c>
      <c r="O154" s="63">
        <v>6353</v>
      </c>
      <c r="Q154" s="238" t="s">
        <v>5614</v>
      </c>
    </row>
    <row r="155" spans="1:17" ht="15.75" thickBot="1">
      <c r="A155" s="247"/>
      <c r="C155" s="55" t="s">
        <v>12134</v>
      </c>
      <c r="D155" s="241">
        <v>0</v>
      </c>
      <c r="E155" s="241">
        <v>0</v>
      </c>
      <c r="F155" s="241">
        <v>0</v>
      </c>
      <c r="G155" s="241">
        <v>0</v>
      </c>
      <c r="H155" s="63">
        <v>0</v>
      </c>
      <c r="I155" s="63">
        <v>0</v>
      </c>
      <c r="J155" s="63">
        <v>0</v>
      </c>
      <c r="K155" s="63">
        <v>0</v>
      </c>
      <c r="L155" s="63">
        <v>6419</v>
      </c>
      <c r="M155" s="63">
        <v>6330</v>
      </c>
      <c r="N155" s="63">
        <v>6693</v>
      </c>
      <c r="O155" s="63">
        <v>6718</v>
      </c>
      <c r="Q155" s="238" t="s">
        <v>5619</v>
      </c>
    </row>
    <row r="156" spans="1:17" ht="15.75" thickBot="1">
      <c r="A156" s="247"/>
      <c r="C156" s="55" t="s">
        <v>12134</v>
      </c>
      <c r="D156" s="245">
        <f t="shared" ref="D156:M156" si="103">D154+D155</f>
        <v>0</v>
      </c>
      <c r="E156" s="245">
        <f t="shared" si="103"/>
        <v>0</v>
      </c>
      <c r="F156" s="245">
        <f t="shared" si="103"/>
        <v>0</v>
      </c>
      <c r="G156" s="245">
        <f t="shared" si="103"/>
        <v>0</v>
      </c>
      <c r="H156" s="245">
        <f t="shared" si="103"/>
        <v>0</v>
      </c>
      <c r="I156" s="245">
        <f t="shared" si="103"/>
        <v>0</v>
      </c>
      <c r="J156" s="245">
        <f t="shared" si="103"/>
        <v>0</v>
      </c>
      <c r="K156" s="245">
        <f t="shared" si="103"/>
        <v>0</v>
      </c>
      <c r="L156" s="245">
        <f t="shared" si="103"/>
        <v>12445</v>
      </c>
      <c r="M156" s="245">
        <f t="shared" si="103"/>
        <v>12169</v>
      </c>
      <c r="N156" s="245">
        <f>N154+N155</f>
        <v>13080</v>
      </c>
      <c r="O156" s="245">
        <f>O154+O155</f>
        <v>13071</v>
      </c>
      <c r="Q156" s="238"/>
    </row>
    <row r="157" spans="1:17">
      <c r="A157" s="247">
        <v>41</v>
      </c>
      <c r="B157" s="238" t="s">
        <v>626</v>
      </c>
      <c r="C157" s="55" t="s">
        <v>12135</v>
      </c>
      <c r="D157" s="241">
        <v>0</v>
      </c>
      <c r="E157" s="241">
        <v>0</v>
      </c>
      <c r="F157" s="241">
        <v>0</v>
      </c>
      <c r="G157" s="241">
        <v>0</v>
      </c>
      <c r="H157" s="63">
        <v>0</v>
      </c>
      <c r="I157" s="63">
        <v>0</v>
      </c>
      <c r="J157" s="63">
        <v>0</v>
      </c>
      <c r="K157" s="63">
        <v>0</v>
      </c>
      <c r="L157" s="63">
        <v>8021</v>
      </c>
      <c r="M157" s="63">
        <v>7792</v>
      </c>
      <c r="N157" s="63">
        <v>8116</v>
      </c>
      <c r="O157" s="63">
        <v>8069</v>
      </c>
      <c r="Q157" s="238" t="s">
        <v>5620</v>
      </c>
    </row>
    <row r="158" spans="1:17">
      <c r="A158" s="247">
        <v>42</v>
      </c>
      <c r="B158" s="238" t="s">
        <v>5646</v>
      </c>
      <c r="C158" s="55" t="s">
        <v>12136</v>
      </c>
      <c r="D158" s="241">
        <v>0</v>
      </c>
      <c r="E158" s="241">
        <v>0</v>
      </c>
      <c r="F158" s="241">
        <v>0</v>
      </c>
      <c r="G158" s="241">
        <v>0</v>
      </c>
      <c r="H158" s="63">
        <v>0</v>
      </c>
      <c r="I158" s="63">
        <v>0</v>
      </c>
      <c r="J158" s="63">
        <v>0</v>
      </c>
      <c r="K158" s="63">
        <v>0</v>
      </c>
      <c r="L158" s="63">
        <v>13946</v>
      </c>
      <c r="M158" s="63">
        <v>13748</v>
      </c>
      <c r="N158" s="63">
        <v>14433</v>
      </c>
      <c r="O158" s="63">
        <v>14341</v>
      </c>
      <c r="Q158" s="238" t="s">
        <v>5621</v>
      </c>
    </row>
    <row r="159" spans="1:17">
      <c r="A159" s="247">
        <v>43</v>
      </c>
      <c r="B159" s="238" t="s">
        <v>5647</v>
      </c>
      <c r="C159" s="55" t="s">
        <v>12137</v>
      </c>
      <c r="D159" s="241">
        <v>0</v>
      </c>
      <c r="E159" s="241">
        <v>0</v>
      </c>
      <c r="F159" s="241">
        <v>0</v>
      </c>
      <c r="G159" s="241">
        <v>0</v>
      </c>
      <c r="H159" s="63">
        <v>0</v>
      </c>
      <c r="I159" s="63">
        <v>0</v>
      </c>
      <c r="J159" s="63">
        <v>0</v>
      </c>
      <c r="K159" s="63">
        <v>0</v>
      </c>
      <c r="L159" s="63">
        <v>13569</v>
      </c>
      <c r="M159" s="63">
        <v>13456</v>
      </c>
      <c r="N159" s="63">
        <v>13923</v>
      </c>
      <c r="O159" s="63">
        <v>13819</v>
      </c>
      <c r="Q159" s="238" t="s">
        <v>5621</v>
      </c>
    </row>
    <row r="160" spans="1:17">
      <c r="A160" s="247">
        <v>44</v>
      </c>
      <c r="B160" s="112" t="s">
        <v>12138</v>
      </c>
      <c r="C160" s="55" t="s">
        <v>12139</v>
      </c>
      <c r="D160" s="241">
        <v>0</v>
      </c>
      <c r="E160" s="241">
        <v>0</v>
      </c>
      <c r="F160" s="241">
        <v>0</v>
      </c>
      <c r="G160" s="241">
        <v>0</v>
      </c>
      <c r="H160" s="63">
        <v>0</v>
      </c>
      <c r="I160" s="63">
        <v>0</v>
      </c>
      <c r="J160" s="63">
        <v>0</v>
      </c>
      <c r="K160" s="63">
        <v>0</v>
      </c>
      <c r="L160" s="63">
        <v>7211</v>
      </c>
      <c r="M160" s="63">
        <v>7113</v>
      </c>
      <c r="N160" s="63">
        <v>7423</v>
      </c>
      <c r="O160" s="63">
        <v>7469</v>
      </c>
      <c r="Q160" s="238" t="s">
        <v>5616</v>
      </c>
    </row>
    <row r="161" spans="1:17">
      <c r="A161" s="247">
        <v>45</v>
      </c>
      <c r="B161" s="112" t="s">
        <v>12140</v>
      </c>
      <c r="C161" s="55" t="s">
        <v>12141</v>
      </c>
      <c r="D161" s="241">
        <v>0</v>
      </c>
      <c r="E161" s="241">
        <v>0</v>
      </c>
      <c r="F161" s="241">
        <v>0</v>
      </c>
      <c r="G161" s="241">
        <v>0</v>
      </c>
      <c r="H161" s="63">
        <v>0</v>
      </c>
      <c r="I161" s="63">
        <v>0</v>
      </c>
      <c r="J161" s="63">
        <v>0</v>
      </c>
      <c r="K161" s="63">
        <v>0</v>
      </c>
      <c r="L161" s="63">
        <v>7133</v>
      </c>
      <c r="M161" s="63">
        <v>7039</v>
      </c>
      <c r="N161" s="63">
        <v>7414</v>
      </c>
      <c r="O161" s="63">
        <v>7315</v>
      </c>
      <c r="Q161" s="238" t="s">
        <v>5616</v>
      </c>
    </row>
    <row r="162" spans="1:17">
      <c r="A162" s="247">
        <v>46</v>
      </c>
      <c r="B162" s="238" t="s">
        <v>5945</v>
      </c>
      <c r="C162" s="55" t="s">
        <v>12142</v>
      </c>
      <c r="D162" s="241">
        <v>0</v>
      </c>
      <c r="E162" s="241">
        <v>0</v>
      </c>
      <c r="F162" s="241">
        <v>0</v>
      </c>
      <c r="G162" s="241">
        <v>0</v>
      </c>
      <c r="H162" s="63">
        <v>0</v>
      </c>
      <c r="I162" s="63">
        <v>0</v>
      </c>
      <c r="J162" s="63">
        <v>0</v>
      </c>
      <c r="K162" s="63">
        <v>0</v>
      </c>
      <c r="L162" s="63">
        <v>14508</v>
      </c>
      <c r="M162" s="63">
        <v>14132</v>
      </c>
      <c r="N162" s="63">
        <v>14813</v>
      </c>
      <c r="O162" s="63">
        <v>14728</v>
      </c>
      <c r="Q162" s="238" t="s">
        <v>5614</v>
      </c>
    </row>
    <row r="163" spans="1:17">
      <c r="A163" s="247">
        <v>47</v>
      </c>
      <c r="B163" s="238" t="s">
        <v>12143</v>
      </c>
      <c r="C163" s="55" t="s">
        <v>12144</v>
      </c>
      <c r="D163" s="241">
        <v>0</v>
      </c>
      <c r="E163" s="241">
        <v>0</v>
      </c>
      <c r="F163" s="241">
        <v>0</v>
      </c>
      <c r="G163" s="241">
        <v>0</v>
      </c>
      <c r="H163" s="63">
        <v>0</v>
      </c>
      <c r="I163" s="63">
        <v>0</v>
      </c>
      <c r="J163" s="63">
        <v>0</v>
      </c>
      <c r="K163" s="63">
        <v>0</v>
      </c>
      <c r="L163" s="63">
        <v>6992</v>
      </c>
      <c r="M163" s="63">
        <v>6879</v>
      </c>
      <c r="N163" s="63">
        <v>7266</v>
      </c>
      <c r="O163" s="63">
        <v>7221</v>
      </c>
      <c r="Q163" s="238" t="s">
        <v>5620</v>
      </c>
    </row>
    <row r="164" spans="1:17">
      <c r="A164" s="247">
        <v>48</v>
      </c>
      <c r="B164" s="238" t="s">
        <v>5648</v>
      </c>
      <c r="C164" s="55" t="s">
        <v>12145</v>
      </c>
      <c r="D164" s="241">
        <v>0</v>
      </c>
      <c r="E164" s="241">
        <v>0</v>
      </c>
      <c r="F164" s="241">
        <v>0</v>
      </c>
      <c r="G164" s="241">
        <v>0</v>
      </c>
      <c r="H164" s="63">
        <v>0</v>
      </c>
      <c r="I164" s="63">
        <v>0</v>
      </c>
      <c r="J164" s="63">
        <v>0</v>
      </c>
      <c r="K164" s="63">
        <v>0</v>
      </c>
      <c r="L164" s="63">
        <v>8188</v>
      </c>
      <c r="M164" s="63">
        <v>7998</v>
      </c>
      <c r="N164" s="63">
        <v>8364</v>
      </c>
      <c r="O164" s="63">
        <v>8284</v>
      </c>
      <c r="Q164" s="238" t="s">
        <v>5618</v>
      </c>
    </row>
    <row r="165" spans="1:17">
      <c r="A165" s="247">
        <v>49</v>
      </c>
      <c r="B165" s="238" t="s">
        <v>5649</v>
      </c>
      <c r="C165" s="55" t="s">
        <v>12146</v>
      </c>
      <c r="D165" s="241">
        <v>0</v>
      </c>
      <c r="E165" s="241">
        <v>0</v>
      </c>
      <c r="F165" s="241">
        <v>0</v>
      </c>
      <c r="G165" s="241">
        <v>0</v>
      </c>
      <c r="H165" s="63">
        <v>0</v>
      </c>
      <c r="I165" s="63">
        <v>0</v>
      </c>
      <c r="J165" s="63">
        <v>0</v>
      </c>
      <c r="K165" s="63">
        <v>0</v>
      </c>
      <c r="L165" s="63">
        <v>13870</v>
      </c>
      <c r="M165" s="63">
        <v>13721</v>
      </c>
      <c r="N165" s="63">
        <v>14360</v>
      </c>
      <c r="O165" s="63">
        <v>14211</v>
      </c>
      <c r="Q165" s="238" t="s">
        <v>5623</v>
      </c>
    </row>
    <row r="166" spans="1:17">
      <c r="A166" s="247">
        <v>50</v>
      </c>
      <c r="B166" s="112" t="s">
        <v>12147</v>
      </c>
      <c r="C166" s="55" t="s">
        <v>12148</v>
      </c>
      <c r="D166" s="241">
        <v>0</v>
      </c>
      <c r="E166" s="241">
        <v>0</v>
      </c>
      <c r="F166" s="241">
        <v>0</v>
      </c>
      <c r="G166" s="241">
        <v>0</v>
      </c>
      <c r="H166" s="63">
        <v>0</v>
      </c>
      <c r="I166" s="63">
        <v>0</v>
      </c>
      <c r="J166" s="63">
        <v>0</v>
      </c>
      <c r="K166" s="63">
        <v>0</v>
      </c>
      <c r="L166" s="63">
        <v>10592</v>
      </c>
      <c r="M166" s="63">
        <v>10468</v>
      </c>
      <c r="N166" s="63">
        <v>10933</v>
      </c>
      <c r="O166" s="63">
        <v>10911</v>
      </c>
      <c r="Q166" s="238" t="s">
        <v>5618</v>
      </c>
    </row>
    <row r="167" spans="1:17" ht="15.75" thickBot="1">
      <c r="A167" s="247"/>
      <c r="C167" s="55" t="s">
        <v>12148</v>
      </c>
      <c r="D167" s="241">
        <v>0</v>
      </c>
      <c r="E167" s="241">
        <v>0</v>
      </c>
      <c r="F167" s="241">
        <v>0</v>
      </c>
      <c r="G167" s="241">
        <v>0</v>
      </c>
      <c r="H167" s="63">
        <v>0</v>
      </c>
      <c r="I167" s="63">
        <v>0</v>
      </c>
      <c r="J167" s="63">
        <v>0</v>
      </c>
      <c r="K167" s="63">
        <v>0</v>
      </c>
      <c r="L167" s="63">
        <v>1780</v>
      </c>
      <c r="M167" s="63">
        <v>1782</v>
      </c>
      <c r="N167" s="63">
        <v>1844</v>
      </c>
      <c r="O167" s="63">
        <v>1849</v>
      </c>
      <c r="Q167" s="238" t="s">
        <v>5623</v>
      </c>
    </row>
    <row r="168" spans="1:17" ht="15.75" thickBot="1">
      <c r="A168" s="247"/>
      <c r="C168" s="55" t="s">
        <v>12148</v>
      </c>
      <c r="D168" s="245">
        <f t="shared" ref="D168:M168" si="104">D166+D167</f>
        <v>0</v>
      </c>
      <c r="E168" s="245">
        <f t="shared" si="104"/>
        <v>0</v>
      </c>
      <c r="F168" s="245">
        <f t="shared" si="104"/>
        <v>0</v>
      </c>
      <c r="G168" s="245">
        <f t="shared" si="104"/>
        <v>0</v>
      </c>
      <c r="H168" s="245">
        <f t="shared" si="104"/>
        <v>0</v>
      </c>
      <c r="I168" s="245">
        <f t="shared" si="104"/>
        <v>0</v>
      </c>
      <c r="J168" s="245">
        <f t="shared" si="104"/>
        <v>0</v>
      </c>
      <c r="K168" s="245">
        <f t="shared" si="104"/>
        <v>0</v>
      </c>
      <c r="L168" s="245">
        <f t="shared" si="104"/>
        <v>12372</v>
      </c>
      <c r="M168" s="245">
        <f t="shared" si="104"/>
        <v>12250</v>
      </c>
      <c r="N168" s="245">
        <f>N166+N167</f>
        <v>12777</v>
      </c>
      <c r="O168" s="245">
        <f>O166+O167</f>
        <v>12760</v>
      </c>
      <c r="Q168" s="238"/>
    </row>
    <row r="169" spans="1:17">
      <c r="A169" s="247">
        <v>51</v>
      </c>
      <c r="B169" s="238" t="s">
        <v>12149</v>
      </c>
      <c r="C169" s="55" t="s">
        <v>12150</v>
      </c>
      <c r="D169" s="241">
        <v>0</v>
      </c>
      <c r="E169" s="241">
        <v>0</v>
      </c>
      <c r="F169" s="241">
        <v>0</v>
      </c>
      <c r="G169" s="241">
        <v>0</v>
      </c>
      <c r="H169" s="63">
        <v>0</v>
      </c>
      <c r="I169" s="63">
        <v>0</v>
      </c>
      <c r="J169" s="63">
        <v>0</v>
      </c>
      <c r="K169" s="63">
        <v>0</v>
      </c>
      <c r="L169" s="63">
        <v>12355</v>
      </c>
      <c r="M169" s="63">
        <v>12010</v>
      </c>
      <c r="N169" s="63">
        <v>13580</v>
      </c>
      <c r="O169" s="63">
        <v>13603</v>
      </c>
      <c r="Q169" s="238" t="s">
        <v>5619</v>
      </c>
    </row>
    <row r="170" spans="1:17">
      <c r="A170" s="247">
        <v>52</v>
      </c>
      <c r="B170" s="238" t="s">
        <v>5650</v>
      </c>
      <c r="C170" s="55" t="s">
        <v>12151</v>
      </c>
      <c r="D170" s="241">
        <v>0</v>
      </c>
      <c r="E170" s="241">
        <v>0</v>
      </c>
      <c r="F170" s="241">
        <v>0</v>
      </c>
      <c r="G170" s="241">
        <v>0</v>
      </c>
      <c r="H170" s="63">
        <v>0</v>
      </c>
      <c r="I170" s="63">
        <v>0</v>
      </c>
      <c r="J170" s="63">
        <v>0</v>
      </c>
      <c r="K170" s="63">
        <v>0</v>
      </c>
      <c r="L170" s="63">
        <v>6884</v>
      </c>
      <c r="M170" s="63">
        <v>6751</v>
      </c>
      <c r="N170" s="63">
        <v>6989</v>
      </c>
      <c r="O170" s="63">
        <v>6969</v>
      </c>
      <c r="Q170" s="238" t="s">
        <v>5623</v>
      </c>
    </row>
    <row r="171" spans="1:17">
      <c r="A171" s="247">
        <v>53</v>
      </c>
      <c r="B171" s="238" t="s">
        <v>12152</v>
      </c>
      <c r="C171" s="55" t="s">
        <v>12153</v>
      </c>
      <c r="D171" s="241">
        <v>0</v>
      </c>
      <c r="E171" s="241">
        <v>0</v>
      </c>
      <c r="F171" s="241">
        <v>0</v>
      </c>
      <c r="G171" s="241">
        <v>0</v>
      </c>
      <c r="H171" s="63">
        <v>0</v>
      </c>
      <c r="I171" s="63">
        <v>0</v>
      </c>
      <c r="J171" s="63">
        <v>0</v>
      </c>
      <c r="K171" s="63">
        <v>0</v>
      </c>
      <c r="L171" s="63">
        <v>13125</v>
      </c>
      <c r="M171" s="63">
        <v>13111</v>
      </c>
      <c r="N171" s="63">
        <v>13798</v>
      </c>
      <c r="O171" s="63">
        <v>13864</v>
      </c>
      <c r="Q171" s="238" t="s">
        <v>5617</v>
      </c>
    </row>
    <row r="172" spans="1:17" ht="15.75" thickBot="1">
      <c r="A172" s="247"/>
      <c r="B172" s="238"/>
      <c r="C172" s="55" t="s">
        <v>12153</v>
      </c>
      <c r="D172" s="241">
        <v>0</v>
      </c>
      <c r="E172" s="241">
        <v>0</v>
      </c>
      <c r="F172" s="241">
        <v>0</v>
      </c>
      <c r="G172" s="241">
        <v>0</v>
      </c>
      <c r="H172" s="63">
        <v>0</v>
      </c>
      <c r="I172" s="63">
        <v>0</v>
      </c>
      <c r="J172" s="63">
        <v>0</v>
      </c>
      <c r="K172" s="63">
        <v>0</v>
      </c>
      <c r="L172" s="63">
        <v>1541</v>
      </c>
      <c r="M172" s="63">
        <v>1545</v>
      </c>
      <c r="N172" s="63">
        <v>1664</v>
      </c>
      <c r="O172" s="63">
        <v>1675</v>
      </c>
      <c r="Q172" s="238" t="s">
        <v>5623</v>
      </c>
    </row>
    <row r="173" spans="1:17" ht="15.75" thickBot="1">
      <c r="A173" s="247"/>
      <c r="B173" s="238"/>
      <c r="C173" s="55" t="s">
        <v>12153</v>
      </c>
      <c r="D173" s="245">
        <f t="shared" ref="D173:M173" si="105">D171+D172</f>
        <v>0</v>
      </c>
      <c r="E173" s="245">
        <f t="shared" si="105"/>
        <v>0</v>
      </c>
      <c r="F173" s="245">
        <f t="shared" si="105"/>
        <v>0</v>
      </c>
      <c r="G173" s="245">
        <f t="shared" si="105"/>
        <v>0</v>
      </c>
      <c r="H173" s="245">
        <f t="shared" si="105"/>
        <v>0</v>
      </c>
      <c r="I173" s="245">
        <f t="shared" si="105"/>
        <v>0</v>
      </c>
      <c r="J173" s="245">
        <f t="shared" si="105"/>
        <v>0</v>
      </c>
      <c r="K173" s="245">
        <f t="shared" si="105"/>
        <v>0</v>
      </c>
      <c r="L173" s="245">
        <f t="shared" si="105"/>
        <v>14666</v>
      </c>
      <c r="M173" s="245">
        <f t="shared" si="105"/>
        <v>14656</v>
      </c>
      <c r="N173" s="245">
        <f>N171+N172</f>
        <v>15462</v>
      </c>
      <c r="O173" s="245">
        <f>O171+O172</f>
        <v>15539</v>
      </c>
      <c r="Q173" s="238"/>
    </row>
    <row r="174" spans="1:17">
      <c r="A174" s="247">
        <v>54</v>
      </c>
      <c r="B174" s="238" t="s">
        <v>12154</v>
      </c>
      <c r="C174" s="55" t="s">
        <v>12155</v>
      </c>
      <c r="D174" s="241">
        <v>0</v>
      </c>
      <c r="E174" s="241">
        <v>0</v>
      </c>
      <c r="F174" s="241">
        <v>0</v>
      </c>
      <c r="G174" s="241">
        <v>0</v>
      </c>
      <c r="H174" s="63">
        <v>0</v>
      </c>
      <c r="I174" s="63">
        <v>0</v>
      </c>
      <c r="J174" s="63">
        <v>0</v>
      </c>
      <c r="K174" s="63">
        <v>0</v>
      </c>
      <c r="L174" s="63">
        <v>12683</v>
      </c>
      <c r="M174" s="63">
        <v>12581</v>
      </c>
      <c r="N174" s="63">
        <v>13171</v>
      </c>
      <c r="O174" s="63">
        <v>13102</v>
      </c>
      <c r="Q174" s="238" t="s">
        <v>5617</v>
      </c>
    </row>
    <row r="175" spans="1:17">
      <c r="A175" s="247">
        <v>55</v>
      </c>
      <c r="B175" s="238" t="s">
        <v>12156</v>
      </c>
      <c r="C175" s="55" t="s">
        <v>12157</v>
      </c>
      <c r="D175" s="241">
        <v>0</v>
      </c>
      <c r="E175" s="241">
        <v>0</v>
      </c>
      <c r="F175" s="241">
        <v>0</v>
      </c>
      <c r="G175" s="241">
        <v>0</v>
      </c>
      <c r="H175" s="63">
        <v>0</v>
      </c>
      <c r="I175" s="63">
        <v>0</v>
      </c>
      <c r="J175" s="63">
        <v>0</v>
      </c>
      <c r="K175" s="63">
        <v>0</v>
      </c>
      <c r="L175" s="63">
        <v>14</v>
      </c>
      <c r="M175" s="63">
        <v>14</v>
      </c>
      <c r="N175" s="63">
        <v>13</v>
      </c>
      <c r="O175" s="63">
        <v>12</v>
      </c>
      <c r="Q175" s="238" t="s">
        <v>5617</v>
      </c>
    </row>
    <row r="176" spans="1:17" ht="15.75" thickBot="1">
      <c r="A176" s="247"/>
      <c r="B176" s="238"/>
      <c r="C176" s="55" t="s">
        <v>12157</v>
      </c>
      <c r="D176" s="241">
        <v>0</v>
      </c>
      <c r="E176" s="241">
        <v>0</v>
      </c>
      <c r="F176" s="241">
        <v>0</v>
      </c>
      <c r="G176" s="241">
        <v>0</v>
      </c>
      <c r="H176" s="63">
        <v>0</v>
      </c>
      <c r="I176" s="63">
        <v>0</v>
      </c>
      <c r="J176" s="63">
        <v>0</v>
      </c>
      <c r="K176" s="63">
        <v>0</v>
      </c>
      <c r="L176" s="63">
        <v>6865</v>
      </c>
      <c r="M176" s="63">
        <v>6671</v>
      </c>
      <c r="N176" s="63">
        <v>7198</v>
      </c>
      <c r="O176" s="63">
        <v>7133</v>
      </c>
      <c r="Q176" s="238" t="s">
        <v>5622</v>
      </c>
    </row>
    <row r="177" spans="1:17" ht="15.75" thickBot="1">
      <c r="A177" s="247"/>
      <c r="B177" s="238"/>
      <c r="C177" s="55" t="s">
        <v>12157</v>
      </c>
      <c r="D177" s="245">
        <f t="shared" ref="D177:M177" si="106">D175+D176</f>
        <v>0</v>
      </c>
      <c r="E177" s="245">
        <f t="shared" si="106"/>
        <v>0</v>
      </c>
      <c r="F177" s="245">
        <f t="shared" si="106"/>
        <v>0</v>
      </c>
      <c r="G177" s="245">
        <f t="shared" si="106"/>
        <v>0</v>
      </c>
      <c r="H177" s="245">
        <f t="shared" si="106"/>
        <v>0</v>
      </c>
      <c r="I177" s="245">
        <f t="shared" si="106"/>
        <v>0</v>
      </c>
      <c r="J177" s="245">
        <f t="shared" si="106"/>
        <v>0</v>
      </c>
      <c r="K177" s="245">
        <f t="shared" si="106"/>
        <v>0</v>
      </c>
      <c r="L177" s="245">
        <f t="shared" si="106"/>
        <v>6879</v>
      </c>
      <c r="M177" s="245">
        <f t="shared" si="106"/>
        <v>6685</v>
      </c>
      <c r="N177" s="245">
        <f>N175+N176</f>
        <v>7211</v>
      </c>
      <c r="O177" s="245">
        <f>O175+O176</f>
        <v>7145</v>
      </c>
      <c r="Q177" s="238"/>
    </row>
    <row r="178" spans="1:17">
      <c r="A178" s="247">
        <v>56</v>
      </c>
      <c r="B178" s="238" t="s">
        <v>4115</v>
      </c>
      <c r="C178" s="55" t="s">
        <v>12158</v>
      </c>
      <c r="D178" s="241">
        <v>0</v>
      </c>
      <c r="E178" s="241">
        <v>0</v>
      </c>
      <c r="F178" s="241">
        <v>0</v>
      </c>
      <c r="G178" s="241">
        <v>0</v>
      </c>
      <c r="H178" s="63">
        <v>0</v>
      </c>
      <c r="I178" s="63">
        <v>0</v>
      </c>
      <c r="J178" s="63">
        <v>0</v>
      </c>
      <c r="K178" s="63">
        <v>0</v>
      </c>
      <c r="L178" s="63">
        <v>13263</v>
      </c>
      <c r="M178" s="63">
        <v>13022</v>
      </c>
      <c r="N178" s="63">
        <v>13669</v>
      </c>
      <c r="O178" s="63">
        <v>13577</v>
      </c>
      <c r="Q178" s="238" t="s">
        <v>5616</v>
      </c>
    </row>
    <row r="179" spans="1:17">
      <c r="A179" s="247">
        <v>57</v>
      </c>
      <c r="B179" s="238" t="s">
        <v>4116</v>
      </c>
      <c r="C179" s="55" t="s">
        <v>12159</v>
      </c>
      <c r="D179" s="241">
        <v>74877</v>
      </c>
      <c r="E179" s="241">
        <v>75031</v>
      </c>
      <c r="F179" s="241">
        <v>75567</v>
      </c>
      <c r="G179" s="241">
        <v>75060</v>
      </c>
      <c r="H179" s="63">
        <v>74855</v>
      </c>
      <c r="I179" s="63">
        <v>75341</v>
      </c>
      <c r="J179" s="63">
        <v>73172</v>
      </c>
      <c r="K179" s="63">
        <v>73419</v>
      </c>
      <c r="L179" s="63">
        <v>7530</v>
      </c>
      <c r="M179" s="63">
        <v>7457</v>
      </c>
      <c r="N179" s="63">
        <v>7698</v>
      </c>
      <c r="O179" s="63">
        <v>7642</v>
      </c>
      <c r="Q179" s="238" t="s">
        <v>4098</v>
      </c>
    </row>
    <row r="180" spans="1:17">
      <c r="A180" s="247">
        <v>58</v>
      </c>
      <c r="B180" s="238" t="s">
        <v>12167</v>
      </c>
      <c r="C180" s="55" t="s">
        <v>12160</v>
      </c>
      <c r="D180" s="241">
        <v>0</v>
      </c>
      <c r="E180" s="241">
        <v>0</v>
      </c>
      <c r="F180" s="241">
        <v>0</v>
      </c>
      <c r="G180" s="241">
        <v>0</v>
      </c>
      <c r="H180" s="63">
        <v>0</v>
      </c>
      <c r="I180" s="63">
        <v>0</v>
      </c>
      <c r="J180" s="63">
        <v>0</v>
      </c>
      <c r="K180" s="63">
        <v>0</v>
      </c>
      <c r="L180" s="63">
        <v>7947</v>
      </c>
      <c r="M180" s="63">
        <v>7791</v>
      </c>
      <c r="N180" s="63">
        <v>8117</v>
      </c>
      <c r="O180" s="63">
        <v>8049</v>
      </c>
      <c r="Q180" s="238" t="s">
        <v>4098</v>
      </c>
    </row>
    <row r="181" spans="1:17">
      <c r="A181" s="247">
        <v>59</v>
      </c>
      <c r="B181" s="238" t="s">
        <v>12168</v>
      </c>
      <c r="C181" s="55" t="s">
        <v>12161</v>
      </c>
      <c r="D181" s="241">
        <v>0</v>
      </c>
      <c r="E181" s="241">
        <v>0</v>
      </c>
      <c r="F181" s="241">
        <v>0</v>
      </c>
      <c r="G181" s="241">
        <v>0</v>
      </c>
      <c r="H181" s="63">
        <v>0</v>
      </c>
      <c r="I181" s="63">
        <v>0</v>
      </c>
      <c r="J181" s="63">
        <v>0</v>
      </c>
      <c r="K181" s="63">
        <v>0</v>
      </c>
      <c r="L181" s="63">
        <v>7309</v>
      </c>
      <c r="M181" s="63">
        <v>7166</v>
      </c>
      <c r="N181" s="63">
        <v>7443</v>
      </c>
      <c r="O181" s="63">
        <v>7355</v>
      </c>
      <c r="Q181" s="238" t="s">
        <v>4098</v>
      </c>
    </row>
    <row r="182" spans="1:17">
      <c r="A182" s="247">
        <v>60</v>
      </c>
      <c r="B182" s="238" t="s">
        <v>12169</v>
      </c>
      <c r="C182" s="55" t="s">
        <v>12162</v>
      </c>
      <c r="D182" s="241">
        <v>0</v>
      </c>
      <c r="E182" s="241">
        <v>0</v>
      </c>
      <c r="F182" s="241">
        <v>0</v>
      </c>
      <c r="G182" s="241">
        <v>0</v>
      </c>
      <c r="H182" s="63">
        <v>0</v>
      </c>
      <c r="I182" s="63">
        <v>0</v>
      </c>
      <c r="J182" s="63">
        <v>0</v>
      </c>
      <c r="K182" s="63">
        <v>0</v>
      </c>
      <c r="L182" s="63">
        <v>8305</v>
      </c>
      <c r="M182" s="63">
        <v>8279</v>
      </c>
      <c r="N182" s="63">
        <v>8566</v>
      </c>
      <c r="O182" s="63">
        <v>8509</v>
      </c>
      <c r="Q182" s="238" t="s">
        <v>4098</v>
      </c>
    </row>
    <row r="183" spans="1:17">
      <c r="A183" s="247">
        <v>61</v>
      </c>
      <c r="B183" s="238" t="s">
        <v>2661</v>
      </c>
      <c r="C183" s="55" t="s">
        <v>12163</v>
      </c>
      <c r="D183" s="241">
        <v>0</v>
      </c>
      <c r="E183" s="241">
        <v>0</v>
      </c>
      <c r="F183" s="241">
        <v>0</v>
      </c>
      <c r="G183" s="241">
        <v>0</v>
      </c>
      <c r="H183" s="63">
        <v>0</v>
      </c>
      <c r="I183" s="63">
        <v>0</v>
      </c>
      <c r="J183" s="63">
        <v>0</v>
      </c>
      <c r="K183" s="63">
        <v>0</v>
      </c>
      <c r="L183" s="63">
        <v>7423</v>
      </c>
      <c r="M183" s="63">
        <v>7347</v>
      </c>
      <c r="N183" s="63">
        <v>7654</v>
      </c>
      <c r="O183" s="63">
        <v>7554</v>
      </c>
      <c r="Q183" s="238" t="s">
        <v>4098</v>
      </c>
    </row>
    <row r="184" spans="1:17">
      <c r="A184" s="247">
        <v>62</v>
      </c>
      <c r="B184" s="238" t="s">
        <v>2662</v>
      </c>
      <c r="C184" s="55" t="s">
        <v>12164</v>
      </c>
      <c r="D184" s="241">
        <v>0</v>
      </c>
      <c r="E184" s="241">
        <v>0</v>
      </c>
      <c r="F184" s="241">
        <v>0</v>
      </c>
      <c r="G184" s="241">
        <v>0</v>
      </c>
      <c r="H184" s="63">
        <v>0</v>
      </c>
      <c r="I184" s="63">
        <v>0</v>
      </c>
      <c r="J184" s="63">
        <v>0</v>
      </c>
      <c r="K184" s="63">
        <v>0</v>
      </c>
      <c r="L184" s="63">
        <v>15008</v>
      </c>
      <c r="M184" s="63">
        <v>14894</v>
      </c>
      <c r="N184" s="63">
        <v>15485</v>
      </c>
      <c r="O184" s="63">
        <v>15381</v>
      </c>
      <c r="Q184" s="238" t="s">
        <v>4098</v>
      </c>
    </row>
    <row r="185" spans="1:17">
      <c r="A185" s="247">
        <v>63</v>
      </c>
      <c r="B185" s="112" t="s">
        <v>12180</v>
      </c>
      <c r="C185" s="55" t="s">
        <v>12165</v>
      </c>
      <c r="D185" s="241">
        <v>0</v>
      </c>
      <c r="E185" s="241">
        <v>0</v>
      </c>
      <c r="F185" s="241">
        <v>0</v>
      </c>
      <c r="G185" s="241">
        <v>0</v>
      </c>
      <c r="H185" s="63">
        <v>0</v>
      </c>
      <c r="I185" s="63">
        <v>0</v>
      </c>
      <c r="J185" s="63">
        <v>0</v>
      </c>
      <c r="K185" s="63">
        <v>0</v>
      </c>
      <c r="L185" s="63">
        <v>12630</v>
      </c>
      <c r="M185" s="63">
        <v>12386</v>
      </c>
      <c r="N185" s="63">
        <v>12897</v>
      </c>
      <c r="O185" s="63">
        <v>12807</v>
      </c>
      <c r="Q185" s="238" t="s">
        <v>4098</v>
      </c>
    </row>
    <row r="186" spans="1:17">
      <c r="A186" s="247">
        <v>64</v>
      </c>
      <c r="B186" s="238" t="s">
        <v>12181</v>
      </c>
      <c r="C186" s="55" t="s">
        <v>12166</v>
      </c>
      <c r="D186" s="241">
        <v>0</v>
      </c>
      <c r="E186" s="241">
        <v>0</v>
      </c>
      <c r="F186" s="241">
        <v>0</v>
      </c>
      <c r="G186" s="241">
        <v>0</v>
      </c>
      <c r="H186" s="63">
        <v>0</v>
      </c>
      <c r="I186" s="63">
        <v>0</v>
      </c>
      <c r="J186" s="63">
        <v>0</v>
      </c>
      <c r="K186" s="63">
        <v>0</v>
      </c>
      <c r="L186" s="63">
        <v>7291</v>
      </c>
      <c r="M186" s="63">
        <v>7141</v>
      </c>
      <c r="N186" s="63">
        <v>7355</v>
      </c>
      <c r="O186" s="63">
        <v>7287</v>
      </c>
      <c r="Q186" s="238" t="s">
        <v>4098</v>
      </c>
    </row>
    <row r="187" spans="1:17">
      <c r="A187" s="247">
        <v>65</v>
      </c>
      <c r="B187" s="238" t="s">
        <v>12170</v>
      </c>
      <c r="C187" s="55" t="s">
        <v>12171</v>
      </c>
      <c r="D187" s="241">
        <v>0</v>
      </c>
      <c r="E187" s="241">
        <v>0</v>
      </c>
      <c r="F187" s="241">
        <v>0</v>
      </c>
      <c r="G187" s="241">
        <v>0</v>
      </c>
      <c r="H187" s="63">
        <v>0</v>
      </c>
      <c r="I187" s="63">
        <v>0</v>
      </c>
      <c r="J187" s="63">
        <v>0</v>
      </c>
      <c r="K187" s="63">
        <v>0</v>
      </c>
      <c r="L187" s="63">
        <v>86</v>
      </c>
      <c r="M187" s="63">
        <v>81</v>
      </c>
      <c r="N187" s="63">
        <v>96</v>
      </c>
      <c r="O187" s="63">
        <v>95</v>
      </c>
      <c r="Q187" s="238" t="s">
        <v>5617</v>
      </c>
    </row>
    <row r="188" spans="1:17" ht="15.75" thickBot="1">
      <c r="A188" s="247"/>
      <c r="B188" s="238"/>
      <c r="C188" s="55" t="s">
        <v>12171</v>
      </c>
      <c r="D188" s="241">
        <v>0</v>
      </c>
      <c r="E188" s="241">
        <v>0</v>
      </c>
      <c r="F188" s="241">
        <v>0</v>
      </c>
      <c r="G188" s="241">
        <v>0</v>
      </c>
      <c r="H188" s="63">
        <v>0</v>
      </c>
      <c r="I188" s="63">
        <v>0</v>
      </c>
      <c r="J188" s="63">
        <v>0</v>
      </c>
      <c r="K188" s="63">
        <v>0</v>
      </c>
      <c r="L188" s="63">
        <v>6672</v>
      </c>
      <c r="M188" s="63">
        <v>6594</v>
      </c>
      <c r="N188" s="63">
        <v>7044</v>
      </c>
      <c r="O188" s="63">
        <v>6947</v>
      </c>
      <c r="Q188" s="238" t="s">
        <v>5623</v>
      </c>
    </row>
    <row r="189" spans="1:17" ht="15.75" thickBot="1">
      <c r="A189" s="247"/>
      <c r="B189" s="238"/>
      <c r="C189" s="55" t="s">
        <v>12171</v>
      </c>
      <c r="D189" s="245">
        <f t="shared" ref="D189:M189" si="107">D187+D188</f>
        <v>0</v>
      </c>
      <c r="E189" s="245">
        <f t="shared" si="107"/>
        <v>0</v>
      </c>
      <c r="F189" s="245">
        <f t="shared" si="107"/>
        <v>0</v>
      </c>
      <c r="G189" s="245">
        <f t="shared" si="107"/>
        <v>0</v>
      </c>
      <c r="H189" s="245">
        <f t="shared" si="107"/>
        <v>0</v>
      </c>
      <c r="I189" s="245">
        <f t="shared" si="107"/>
        <v>0</v>
      </c>
      <c r="J189" s="245">
        <f t="shared" si="107"/>
        <v>0</v>
      </c>
      <c r="K189" s="245">
        <f t="shared" si="107"/>
        <v>0</v>
      </c>
      <c r="L189" s="245">
        <f t="shared" si="107"/>
        <v>6758</v>
      </c>
      <c r="M189" s="245">
        <f t="shared" si="107"/>
        <v>6675</v>
      </c>
      <c r="N189" s="245">
        <f>N187+N188</f>
        <v>7140</v>
      </c>
      <c r="O189" s="245">
        <f>O187+O188</f>
        <v>7042</v>
      </c>
      <c r="Q189" s="238"/>
    </row>
    <row r="190" spans="1:17">
      <c r="A190" s="247">
        <v>66</v>
      </c>
      <c r="B190" s="238" t="s">
        <v>12172</v>
      </c>
      <c r="C190" s="55" t="s">
        <v>12176</v>
      </c>
      <c r="D190" s="241">
        <v>0</v>
      </c>
      <c r="E190" s="241">
        <v>0</v>
      </c>
      <c r="F190" s="241">
        <v>0</v>
      </c>
      <c r="G190" s="241">
        <v>0</v>
      </c>
      <c r="H190" s="63">
        <v>0</v>
      </c>
      <c r="I190" s="63">
        <v>0</v>
      </c>
      <c r="J190" s="63">
        <v>0</v>
      </c>
      <c r="K190" s="63">
        <v>0</v>
      </c>
      <c r="L190" s="63">
        <v>7487</v>
      </c>
      <c r="M190" s="63">
        <v>7453</v>
      </c>
      <c r="N190" s="63">
        <v>7876</v>
      </c>
      <c r="O190" s="63">
        <v>7831</v>
      </c>
      <c r="Q190" s="238" t="s">
        <v>5618</v>
      </c>
    </row>
    <row r="191" spans="1:17">
      <c r="A191" s="247">
        <v>67</v>
      </c>
      <c r="B191" s="238" t="s">
        <v>12173</v>
      </c>
      <c r="C191" s="55" t="s">
        <v>12177</v>
      </c>
      <c r="D191" s="241">
        <v>0</v>
      </c>
      <c r="E191" s="241">
        <v>0</v>
      </c>
      <c r="F191" s="241">
        <v>0</v>
      </c>
      <c r="G191" s="241">
        <v>0</v>
      </c>
      <c r="H191" s="63">
        <v>0</v>
      </c>
      <c r="I191" s="63">
        <v>0</v>
      </c>
      <c r="J191" s="63">
        <v>0</v>
      </c>
      <c r="K191" s="63">
        <v>0</v>
      </c>
      <c r="L191" s="63">
        <v>1590</v>
      </c>
      <c r="M191" s="63">
        <v>1546</v>
      </c>
      <c r="N191" s="63">
        <v>1631</v>
      </c>
      <c r="O191" s="63">
        <v>1649</v>
      </c>
      <c r="Q191" s="238" t="s">
        <v>5614</v>
      </c>
    </row>
    <row r="192" spans="1:17">
      <c r="A192" s="247"/>
      <c r="B192" s="238"/>
      <c r="C192" s="55" t="s">
        <v>12177</v>
      </c>
      <c r="D192" s="241">
        <v>0</v>
      </c>
      <c r="E192" s="241">
        <v>0</v>
      </c>
      <c r="F192" s="241">
        <v>0</v>
      </c>
      <c r="G192" s="241">
        <v>0</v>
      </c>
      <c r="H192" s="63">
        <v>0</v>
      </c>
      <c r="I192" s="63">
        <v>0</v>
      </c>
      <c r="J192" s="63">
        <v>0</v>
      </c>
      <c r="K192" s="63">
        <v>0</v>
      </c>
      <c r="L192" s="63">
        <v>9981</v>
      </c>
      <c r="M192" s="63">
        <v>9754</v>
      </c>
      <c r="N192" s="63">
        <v>10381</v>
      </c>
      <c r="O192" s="63">
        <v>10242</v>
      </c>
      <c r="Q192" s="238" t="s">
        <v>5620</v>
      </c>
    </row>
    <row r="193" spans="1:17" ht="15.75" thickBot="1">
      <c r="A193" s="247"/>
      <c r="B193" s="238"/>
      <c r="C193" s="55" t="s">
        <v>12177</v>
      </c>
      <c r="D193" s="241">
        <v>0</v>
      </c>
      <c r="E193" s="241">
        <v>0</v>
      </c>
      <c r="F193" s="241">
        <v>0</v>
      </c>
      <c r="G193" s="241">
        <v>0</v>
      </c>
      <c r="H193" s="63">
        <v>0</v>
      </c>
      <c r="I193" s="63">
        <v>0</v>
      </c>
      <c r="J193" s="63">
        <v>0</v>
      </c>
      <c r="K193" s="63">
        <v>0</v>
      </c>
      <c r="L193" s="63">
        <v>3280</v>
      </c>
      <c r="M193" s="63">
        <v>3140</v>
      </c>
      <c r="N193" s="63">
        <v>3679</v>
      </c>
      <c r="O193" s="63">
        <v>3589</v>
      </c>
      <c r="Q193" s="238" t="s">
        <v>5622</v>
      </c>
    </row>
    <row r="194" spans="1:17" ht="15.75" thickBot="1">
      <c r="A194" s="247"/>
      <c r="B194" s="238"/>
      <c r="C194" s="55" t="s">
        <v>12177</v>
      </c>
      <c r="D194" s="245">
        <f>SUM(D191:D193)</f>
        <v>0</v>
      </c>
      <c r="E194" s="245">
        <f t="shared" ref="E194:K194" si="108">SUM(E191:E193)</f>
        <v>0</v>
      </c>
      <c r="F194" s="245">
        <f t="shared" si="108"/>
        <v>0</v>
      </c>
      <c r="G194" s="245">
        <f t="shared" si="108"/>
        <v>0</v>
      </c>
      <c r="H194" s="245">
        <f t="shared" si="108"/>
        <v>0</v>
      </c>
      <c r="I194" s="245">
        <f t="shared" si="108"/>
        <v>0</v>
      </c>
      <c r="J194" s="245">
        <f t="shared" si="108"/>
        <v>0</v>
      </c>
      <c r="K194" s="245">
        <f t="shared" si="108"/>
        <v>0</v>
      </c>
      <c r="L194" s="245">
        <f>L191+L193</f>
        <v>4870</v>
      </c>
      <c r="M194" s="245">
        <f>M191+M193</f>
        <v>4686</v>
      </c>
      <c r="N194" s="245">
        <f>N191+N193</f>
        <v>5310</v>
      </c>
      <c r="O194" s="245">
        <f>O191+O193</f>
        <v>5238</v>
      </c>
      <c r="Q194" s="238"/>
    </row>
    <row r="195" spans="1:17">
      <c r="A195" s="247">
        <v>68</v>
      </c>
      <c r="B195" s="238" t="s">
        <v>12174</v>
      </c>
      <c r="C195" s="55" t="s">
        <v>12178</v>
      </c>
      <c r="D195" s="241">
        <v>0</v>
      </c>
      <c r="E195" s="241">
        <v>0</v>
      </c>
      <c r="F195" s="241">
        <v>0</v>
      </c>
      <c r="G195" s="241">
        <v>0</v>
      </c>
      <c r="H195" s="63">
        <v>0</v>
      </c>
      <c r="I195" s="63">
        <v>0</v>
      </c>
      <c r="J195" s="63">
        <v>0</v>
      </c>
      <c r="K195" s="63">
        <v>0</v>
      </c>
      <c r="L195" s="63">
        <v>7702</v>
      </c>
      <c r="M195" s="63">
        <v>7659</v>
      </c>
      <c r="N195" s="63">
        <v>7948</v>
      </c>
      <c r="O195" s="63">
        <v>7910</v>
      </c>
      <c r="Q195" s="238" t="s">
        <v>5623</v>
      </c>
    </row>
    <row r="196" spans="1:17">
      <c r="A196" s="247">
        <v>69</v>
      </c>
      <c r="B196" s="238" t="s">
        <v>12175</v>
      </c>
      <c r="C196" s="55" t="s">
        <v>12179</v>
      </c>
      <c r="D196" s="241">
        <v>0</v>
      </c>
      <c r="E196" s="241">
        <v>0</v>
      </c>
      <c r="F196" s="241">
        <v>0</v>
      </c>
      <c r="G196" s="241">
        <v>0</v>
      </c>
      <c r="H196" s="63">
        <v>0</v>
      </c>
      <c r="I196" s="63">
        <v>0</v>
      </c>
      <c r="J196" s="63">
        <v>0</v>
      </c>
      <c r="K196" s="63">
        <v>0</v>
      </c>
      <c r="L196" s="63">
        <v>7192</v>
      </c>
      <c r="M196" s="63">
        <v>7152</v>
      </c>
      <c r="N196" s="63">
        <v>7486</v>
      </c>
      <c r="O196" s="63">
        <v>7434</v>
      </c>
      <c r="Q196" s="238" t="s">
        <v>5623</v>
      </c>
    </row>
    <row r="197" spans="1:17">
      <c r="D197" s="241"/>
      <c r="E197" s="241"/>
      <c r="F197" s="241"/>
      <c r="G197" s="241"/>
      <c r="H197" s="241"/>
      <c r="I197" s="241"/>
      <c r="J197" s="241"/>
      <c r="K197" s="241"/>
      <c r="L197" s="241"/>
      <c r="M197" s="241"/>
      <c r="N197" s="241"/>
      <c r="O197" s="241"/>
    </row>
    <row r="198" spans="1:17">
      <c r="A198" s="238" t="s">
        <v>2663</v>
      </c>
      <c r="D198" s="240">
        <f t="shared" ref="D198:K198" si="109">D92+D95+D117+D131+D154+D162+D191</f>
        <v>68566</v>
      </c>
      <c r="E198" s="240">
        <f t="shared" si="109"/>
        <v>69039</v>
      </c>
      <c r="F198" s="240">
        <f t="shared" si="109"/>
        <v>70384</v>
      </c>
      <c r="G198" s="240">
        <f t="shared" si="109"/>
        <v>68876</v>
      </c>
      <c r="H198" s="240">
        <f t="shared" si="109"/>
        <v>66612</v>
      </c>
      <c r="I198" s="240">
        <f t="shared" si="109"/>
        <v>63153</v>
      </c>
      <c r="J198" s="240">
        <f t="shared" si="109"/>
        <v>62795</v>
      </c>
      <c r="K198" s="240">
        <f t="shared" si="109"/>
        <v>63043</v>
      </c>
      <c r="L198" s="240">
        <f>L92+L95+L117+L131+L154+L162+L191</f>
        <v>62185</v>
      </c>
      <c r="M198" s="240">
        <f>M92+M95+M117+M131+M154+M162+M191</f>
        <v>62299</v>
      </c>
      <c r="N198" s="240">
        <f>N92+N95+N117+N131+N154+N162+N191</f>
        <v>67327</v>
      </c>
      <c r="O198" s="240">
        <f>O92+O95+O117+O131+O154+O162+O191</f>
        <v>67047</v>
      </c>
    </row>
    <row r="199" spans="1:17">
      <c r="A199" s="238" t="s">
        <v>5616</v>
      </c>
      <c r="D199" s="240">
        <f t="shared" ref="D199:K199" si="110">D115+D118+D124+D141+D160+D161+D178</f>
        <v>66839</v>
      </c>
      <c r="E199" s="240">
        <f t="shared" si="110"/>
        <v>67598</v>
      </c>
      <c r="F199" s="240">
        <f t="shared" si="110"/>
        <v>68502</v>
      </c>
      <c r="G199" s="240">
        <f t="shared" si="110"/>
        <v>67691</v>
      </c>
      <c r="H199" s="240">
        <f t="shared" si="110"/>
        <v>65005</v>
      </c>
      <c r="I199" s="240">
        <f t="shared" si="110"/>
        <v>65226</v>
      </c>
      <c r="J199" s="240">
        <f t="shared" si="110"/>
        <v>62552</v>
      </c>
      <c r="K199" s="240">
        <f t="shared" si="110"/>
        <v>62672</v>
      </c>
      <c r="L199" s="240">
        <f>L115+L118+L124+L141+L160+L161+L178</f>
        <v>63432</v>
      </c>
      <c r="M199" s="240">
        <f>M115+M118+M124+M141+M160+M161+M178</f>
        <v>62257</v>
      </c>
      <c r="N199" s="240">
        <f>N115+N118+N124+N141+N160+N161+N178</f>
        <v>65355</v>
      </c>
      <c r="O199" s="240">
        <f>O115+O118+O124+O141+O160+O161+O178</f>
        <v>64921</v>
      </c>
    </row>
    <row r="200" spans="1:17">
      <c r="A200" s="238" t="s">
        <v>5617</v>
      </c>
      <c r="D200" s="240">
        <f t="shared" ref="D200:K200" si="111">D93+D96+D111+D125+D128+D149+D171+D174+D175+D187</f>
        <v>76576</v>
      </c>
      <c r="E200" s="240">
        <f t="shared" si="111"/>
        <v>77157</v>
      </c>
      <c r="F200" s="240">
        <f t="shared" si="111"/>
        <v>78332</v>
      </c>
      <c r="G200" s="240">
        <f t="shared" si="111"/>
        <v>77606</v>
      </c>
      <c r="H200" s="240">
        <f t="shared" si="111"/>
        <v>75756</v>
      </c>
      <c r="I200" s="240">
        <f t="shared" si="111"/>
        <v>76176</v>
      </c>
      <c r="J200" s="240">
        <f t="shared" si="111"/>
        <v>73938</v>
      </c>
      <c r="K200" s="240">
        <f t="shared" si="111"/>
        <v>74790</v>
      </c>
      <c r="L200" s="240">
        <f>L93+L96+L111+L125+L128+L149+L171+L174+L175+L187</f>
        <v>76050</v>
      </c>
      <c r="M200" s="240">
        <f>M93+M96+M111+M125+M128+M149+M171+M174+M175+M187</f>
        <v>75061</v>
      </c>
      <c r="N200" s="240">
        <f>N93+N96+N111+N125+N128+N149+N171+N174+N175+N187</f>
        <v>79247</v>
      </c>
      <c r="O200" s="240">
        <f>O93+O96+O111+O125+O128+O149+O171+O174+O175+O187</f>
        <v>78994</v>
      </c>
    </row>
    <row r="201" spans="1:17">
      <c r="A201" s="238" t="s">
        <v>5618</v>
      </c>
      <c r="D201" s="240">
        <f t="shared" ref="D201:K201" si="112">D88+D100+D103+D114+D121+D132+D164+D166+D190</f>
        <v>75330</v>
      </c>
      <c r="E201" s="240">
        <f t="shared" si="112"/>
        <v>75985</v>
      </c>
      <c r="F201" s="240">
        <f t="shared" si="112"/>
        <v>77227</v>
      </c>
      <c r="G201" s="240">
        <f t="shared" si="112"/>
        <v>76767</v>
      </c>
      <c r="H201" s="240">
        <f t="shared" si="112"/>
        <v>74885</v>
      </c>
      <c r="I201" s="240">
        <f t="shared" si="112"/>
        <v>75362</v>
      </c>
      <c r="J201" s="240">
        <f t="shared" si="112"/>
        <v>73173</v>
      </c>
      <c r="K201" s="240">
        <f t="shared" si="112"/>
        <v>73384</v>
      </c>
      <c r="L201" s="240">
        <f>L88+L100+L103+L114+L121+L132+L164+L166+L190</f>
        <v>74810</v>
      </c>
      <c r="M201" s="240">
        <f>M88+M100+M103+M114+M121+M132+M164+M166+M190</f>
        <v>73784</v>
      </c>
      <c r="N201" s="240">
        <f>N88+N100+N103+N114+N121+N132+N164+N166+N190</f>
        <v>77716</v>
      </c>
      <c r="O201" s="240">
        <f>O88+O100+O103+O114+O121+O132+O164+O166+O190</f>
        <v>77491</v>
      </c>
    </row>
    <row r="202" spans="1:17">
      <c r="A202" s="238" t="s">
        <v>5619</v>
      </c>
      <c r="D202" s="240">
        <f t="shared" ref="D202:K202" si="113">D89+D101+D104+D134+D144+D146+D150+D151+D155+D169</f>
        <v>72809</v>
      </c>
      <c r="E202" s="240">
        <f t="shared" si="113"/>
        <v>74008</v>
      </c>
      <c r="F202" s="240">
        <f t="shared" si="113"/>
        <v>76272</v>
      </c>
      <c r="G202" s="240">
        <f t="shared" si="113"/>
        <v>74635</v>
      </c>
      <c r="H202" s="240">
        <f t="shared" si="113"/>
        <v>70289</v>
      </c>
      <c r="I202" s="240">
        <f t="shared" si="113"/>
        <v>65207</v>
      </c>
      <c r="J202" s="240">
        <f t="shared" si="113"/>
        <v>65716</v>
      </c>
      <c r="K202" s="240">
        <f t="shared" si="113"/>
        <v>64608</v>
      </c>
      <c r="L202" s="240">
        <f>L89+L101+L104+L134+L144+L146+L150+L151+L155+L169</f>
        <v>65171</v>
      </c>
      <c r="M202" s="240">
        <f>M89+M101+M104+M134+M144+M146+M150+M151+M155+M169</f>
        <v>65359</v>
      </c>
      <c r="N202" s="240">
        <f>N89+N101+N104+N134+N144+N146+N150+N151+N155+N169</f>
        <v>71883</v>
      </c>
      <c r="O202" s="240">
        <f>O89+O101+O104+O134+O144+O146+O150+O151+O155+O169</f>
        <v>72918</v>
      </c>
    </row>
    <row r="203" spans="1:17">
      <c r="A203" s="238" t="s">
        <v>4121</v>
      </c>
      <c r="D203" s="240">
        <f t="shared" ref="D203:K203" si="114">D87+D108+D119+D137+D140+D145+D157+D163+D192</f>
        <v>71866</v>
      </c>
      <c r="E203" s="240">
        <f t="shared" si="114"/>
        <v>72190</v>
      </c>
      <c r="F203" s="240">
        <f t="shared" si="114"/>
        <v>73071</v>
      </c>
      <c r="G203" s="240">
        <f t="shared" si="114"/>
        <v>72659</v>
      </c>
      <c r="H203" s="240">
        <f t="shared" si="114"/>
        <v>71315</v>
      </c>
      <c r="I203" s="240">
        <f t="shared" si="114"/>
        <v>71803</v>
      </c>
      <c r="J203" s="240">
        <f t="shared" si="114"/>
        <v>69377</v>
      </c>
      <c r="K203" s="240">
        <f t="shared" si="114"/>
        <v>70001</v>
      </c>
      <c r="L203" s="240">
        <f>L87+L108+L119+L137+L140+L145+L157+L163+L192</f>
        <v>70614</v>
      </c>
      <c r="M203" s="240">
        <f>M87+M108+M119+M137+M140+M145+M157+M163+M192</f>
        <v>69373</v>
      </c>
      <c r="N203" s="240">
        <f>N87+N108+N119+N137+N140+N145+N157+N163+N192</f>
        <v>72880</v>
      </c>
      <c r="O203" s="240">
        <f>O87+O108+O119+O137+O140+O145+O157+O163+O192</f>
        <v>72306</v>
      </c>
    </row>
    <row r="204" spans="1:17">
      <c r="A204" s="238" t="s">
        <v>5621</v>
      </c>
      <c r="D204" s="240">
        <f t="shared" ref="D204:K204" si="115">D90+D99+D129+D130+D135+D142+D147+D152+D158+D159</f>
        <v>71647</v>
      </c>
      <c r="E204" s="240">
        <f t="shared" si="115"/>
        <v>71794</v>
      </c>
      <c r="F204" s="240">
        <f t="shared" si="115"/>
        <v>73100</v>
      </c>
      <c r="G204" s="240">
        <f t="shared" si="115"/>
        <v>72838</v>
      </c>
      <c r="H204" s="240">
        <f t="shared" si="115"/>
        <v>70560</v>
      </c>
      <c r="I204" s="240">
        <f t="shared" si="115"/>
        <v>70088</v>
      </c>
      <c r="J204" s="240">
        <f t="shared" si="115"/>
        <v>67710</v>
      </c>
      <c r="K204" s="240">
        <f t="shared" si="115"/>
        <v>67895</v>
      </c>
      <c r="L204" s="240">
        <f>L90+L99+L129+L130+L135+L142+L147+L152+L158+L159</f>
        <v>68494</v>
      </c>
      <c r="M204" s="240">
        <f>M90+M99+M129+M130+M135+M142+M147+M152+M158+M159</f>
        <v>67765</v>
      </c>
      <c r="N204" s="240">
        <f>N90+N99+N129+N130+N135+N142+N147+N152+N158+N159</f>
        <v>71118</v>
      </c>
      <c r="O204" s="240">
        <f>O90+O99+O129+O130+O135+O142+O147+O152+O158+O159</f>
        <v>70995</v>
      </c>
    </row>
    <row r="205" spans="1:17">
      <c r="A205" s="238" t="s">
        <v>4122</v>
      </c>
      <c r="D205" s="240">
        <f t="shared" ref="D205:K205" si="116">D97+D107+D109+D112+D116+D133+D138+D176+D193</f>
        <v>75048</v>
      </c>
      <c r="E205" s="240">
        <f t="shared" si="116"/>
        <v>75668</v>
      </c>
      <c r="F205" s="240">
        <f t="shared" si="116"/>
        <v>76884</v>
      </c>
      <c r="G205" s="240">
        <f t="shared" si="116"/>
        <v>76416</v>
      </c>
      <c r="H205" s="240">
        <f t="shared" si="116"/>
        <v>74339</v>
      </c>
      <c r="I205" s="240">
        <f t="shared" si="116"/>
        <v>73353</v>
      </c>
      <c r="J205" s="240">
        <f t="shared" si="116"/>
        <v>68460</v>
      </c>
      <c r="K205" s="240">
        <f t="shared" si="116"/>
        <v>68514</v>
      </c>
      <c r="L205" s="240">
        <f>L97+L107+L109+L112+L116+L133+L138+L176+L193</f>
        <v>70191</v>
      </c>
      <c r="M205" s="240">
        <f>M97+M107+M109+M112+M116+M133+M138+M176+M193</f>
        <v>68606</v>
      </c>
      <c r="N205" s="240">
        <f>N97+N107+N109+N112+N116+N133+N138+N176+N193</f>
        <v>80825</v>
      </c>
      <c r="O205" s="240">
        <f>O97+O107+O109+O112+O116+O133+O138+O176+O193</f>
        <v>77277</v>
      </c>
    </row>
    <row r="206" spans="1:17">
      <c r="A206" s="238" t="s">
        <v>5623</v>
      </c>
      <c r="D206" s="240">
        <f t="shared" ref="D206:K206" si="117">D86+D105+D120+D122+D126+D165+D167+D170+D172+D188+D195+D196</f>
        <v>72732</v>
      </c>
      <c r="E206" s="240">
        <f t="shared" si="117"/>
        <v>73261</v>
      </c>
      <c r="F206" s="240">
        <f t="shared" si="117"/>
        <v>74128</v>
      </c>
      <c r="G206" s="240">
        <f t="shared" si="117"/>
        <v>73494</v>
      </c>
      <c r="H206" s="240">
        <f t="shared" si="117"/>
        <v>71818</v>
      </c>
      <c r="I206" s="240">
        <f t="shared" si="117"/>
        <v>72179</v>
      </c>
      <c r="J206" s="240">
        <f t="shared" si="117"/>
        <v>69911</v>
      </c>
      <c r="K206" s="240">
        <f t="shared" si="117"/>
        <v>70235</v>
      </c>
      <c r="L206" s="240">
        <f>L86+L105+L120+L122+L126+L165+L167+L170+L172+L188+L195+L196</f>
        <v>70980</v>
      </c>
      <c r="M206" s="240">
        <f>M86+M105+M120+M122+M126+M165+M167+M170+M172+M188+M195+M196</f>
        <v>70207</v>
      </c>
      <c r="N206" s="240">
        <f>N86+N105+N120+N122+N126+N165+N167+N170+N172+N188+N195+N196</f>
        <v>73877</v>
      </c>
      <c r="O206" s="240">
        <f>O86+O105+O120+O122+O126+O165+O167+O170+O172+O188+O195+O196</f>
        <v>73411</v>
      </c>
    </row>
    <row r="207" spans="1:17">
      <c r="A207" s="238" t="s">
        <v>4098</v>
      </c>
      <c r="D207" s="240">
        <f t="shared" ref="D207:K207" si="118">SUM(D179:D186)</f>
        <v>74877</v>
      </c>
      <c r="E207" s="240">
        <f t="shared" si="118"/>
        <v>75031</v>
      </c>
      <c r="F207" s="240">
        <f t="shared" si="118"/>
        <v>75567</v>
      </c>
      <c r="G207" s="240">
        <f t="shared" si="118"/>
        <v>75060</v>
      </c>
      <c r="H207" s="240">
        <f t="shared" si="118"/>
        <v>74855</v>
      </c>
      <c r="I207" s="240">
        <f t="shared" si="118"/>
        <v>75341</v>
      </c>
      <c r="J207" s="240">
        <f t="shared" si="118"/>
        <v>73172</v>
      </c>
      <c r="K207" s="240">
        <f t="shared" si="118"/>
        <v>73419</v>
      </c>
      <c r="L207" s="240">
        <f>SUM(L179:L186)</f>
        <v>73443</v>
      </c>
      <c r="M207" s="240">
        <f>SUM(M179:M186)</f>
        <v>72461</v>
      </c>
      <c r="N207" s="240">
        <f>SUM(N179:N186)</f>
        <v>75215</v>
      </c>
      <c r="O207" s="240">
        <f>SUM(O179:O186)</f>
        <v>74584</v>
      </c>
    </row>
    <row r="209" spans="1:17">
      <c r="A209" s="112" t="s">
        <v>12182</v>
      </c>
    </row>
    <row r="212" spans="1:17">
      <c r="E212" s="51" t="s">
        <v>1526</v>
      </c>
      <c r="F212" s="51"/>
      <c r="G212" s="51"/>
      <c r="H212" s="51"/>
      <c r="I212" s="51"/>
      <c r="J212" s="51"/>
      <c r="K212" s="51"/>
      <c r="L212" s="51"/>
      <c r="M212" s="51"/>
      <c r="N212" s="51"/>
      <c r="O212" s="51"/>
      <c r="P212" s="173"/>
      <c r="Q212" s="173" t="s">
        <v>9479</v>
      </c>
    </row>
    <row r="213" spans="1:17">
      <c r="D213" s="239">
        <v>2010</v>
      </c>
      <c r="E213" s="239">
        <v>2011</v>
      </c>
      <c r="F213" s="239">
        <v>2012</v>
      </c>
      <c r="G213" s="239">
        <v>2013</v>
      </c>
      <c r="H213" s="239">
        <v>2014</v>
      </c>
      <c r="I213" s="239">
        <v>2015</v>
      </c>
      <c r="J213" s="239">
        <v>2016</v>
      </c>
      <c r="K213" s="239">
        <v>2017</v>
      </c>
      <c r="L213" s="239">
        <v>2018</v>
      </c>
      <c r="M213" s="239">
        <v>2019</v>
      </c>
      <c r="N213" s="239">
        <v>2020</v>
      </c>
      <c r="O213" s="928" t="s">
        <v>14823</v>
      </c>
      <c r="Q213" s="206" t="s">
        <v>1527</v>
      </c>
    </row>
    <row r="214" spans="1:17">
      <c r="A214" s="238" t="s">
        <v>4123</v>
      </c>
      <c r="D214" s="240">
        <f t="shared" ref="D214:I214" si="119">SUM(D215:D232)</f>
        <v>218866</v>
      </c>
      <c r="E214" s="240">
        <f t="shared" si="119"/>
        <v>224755</v>
      </c>
      <c r="F214" s="240">
        <f t="shared" si="119"/>
        <v>227296</v>
      </c>
      <c r="G214" s="240">
        <f t="shared" si="119"/>
        <v>226540</v>
      </c>
      <c r="H214" s="240">
        <f t="shared" si="119"/>
        <v>221669</v>
      </c>
      <c r="I214" s="240">
        <f t="shared" si="119"/>
        <v>214724</v>
      </c>
      <c r="J214" s="240">
        <f t="shared" ref="J214:O214" si="120">SUM(J215:J232)</f>
        <v>210031</v>
      </c>
      <c r="K214" s="240">
        <f t="shared" si="120"/>
        <v>215348</v>
      </c>
      <c r="L214" s="240">
        <f t="shared" si="120"/>
        <v>214219</v>
      </c>
      <c r="M214" s="240">
        <f t="shared" si="120"/>
        <v>211069</v>
      </c>
      <c r="N214" s="240">
        <f t="shared" si="120"/>
        <v>218047</v>
      </c>
      <c r="O214" s="240">
        <f t="shared" si="120"/>
        <v>217818</v>
      </c>
    </row>
    <row r="215" spans="1:17">
      <c r="A215" s="238" t="s">
        <v>5387</v>
      </c>
      <c r="B215" s="238" t="s">
        <v>4124</v>
      </c>
      <c r="C215" s="55" t="s">
        <v>7347</v>
      </c>
      <c r="D215" s="241">
        <v>12216</v>
      </c>
      <c r="E215" s="241">
        <v>12348</v>
      </c>
      <c r="F215" s="241">
        <v>12342</v>
      </c>
      <c r="G215" s="241">
        <v>12456</v>
      </c>
      <c r="H215" s="56">
        <v>12415</v>
      </c>
      <c r="I215" s="56">
        <v>12498</v>
      </c>
      <c r="J215" s="56">
        <v>12376</v>
      </c>
      <c r="K215" s="56">
        <v>12760</v>
      </c>
      <c r="L215" s="56">
        <v>12691</v>
      </c>
      <c r="M215" s="56">
        <v>12625</v>
      </c>
      <c r="N215" s="56">
        <v>12689</v>
      </c>
      <c r="O215" s="56">
        <v>12663</v>
      </c>
      <c r="Q215" s="238" t="s">
        <v>2627</v>
      </c>
    </row>
    <row r="216" spans="1:17">
      <c r="A216" s="238" t="s">
        <v>5389</v>
      </c>
      <c r="B216" s="238" t="s">
        <v>6368</v>
      </c>
      <c r="C216" s="55" t="s">
        <v>7348</v>
      </c>
      <c r="D216" s="248">
        <v>11897</v>
      </c>
      <c r="E216" s="248">
        <v>12297</v>
      </c>
      <c r="F216" s="248">
        <v>12440</v>
      </c>
      <c r="G216" s="248">
        <v>12345</v>
      </c>
      <c r="H216" s="56">
        <v>11907</v>
      </c>
      <c r="I216" s="56">
        <v>11955</v>
      </c>
      <c r="J216" s="56">
        <v>11588</v>
      </c>
      <c r="K216" s="56">
        <v>12019</v>
      </c>
      <c r="L216" s="56">
        <v>11893</v>
      </c>
      <c r="M216" s="56">
        <v>11723</v>
      </c>
      <c r="N216" s="56">
        <v>12050</v>
      </c>
      <c r="O216" s="56">
        <v>12048</v>
      </c>
      <c r="Q216" s="238" t="s">
        <v>2628</v>
      </c>
    </row>
    <row r="217" spans="1:17">
      <c r="A217" s="238" t="s">
        <v>5391</v>
      </c>
      <c r="B217" s="238" t="s">
        <v>6369</v>
      </c>
      <c r="C217" s="55" t="s">
        <v>7349</v>
      </c>
      <c r="D217" s="241">
        <v>11969</v>
      </c>
      <c r="E217" s="241">
        <v>12085</v>
      </c>
      <c r="F217" s="241">
        <v>12132</v>
      </c>
      <c r="G217" s="241">
        <v>11991</v>
      </c>
      <c r="H217" s="56">
        <v>11910</v>
      </c>
      <c r="I217" s="56">
        <v>11754</v>
      </c>
      <c r="J217" s="56">
        <v>11308</v>
      </c>
      <c r="K217" s="56">
        <v>11670</v>
      </c>
      <c r="L217" s="56">
        <v>11574</v>
      </c>
      <c r="M217" s="56">
        <v>11323</v>
      </c>
      <c r="N217" s="56">
        <v>11474</v>
      </c>
      <c r="O217" s="56">
        <v>11463</v>
      </c>
      <c r="Q217" s="238" t="s">
        <v>2628</v>
      </c>
    </row>
    <row r="218" spans="1:17">
      <c r="A218" s="238" t="s">
        <v>5393</v>
      </c>
      <c r="B218" s="238" t="s">
        <v>6370</v>
      </c>
      <c r="C218" s="55" t="s">
        <v>7350</v>
      </c>
      <c r="D218" s="248">
        <v>12088</v>
      </c>
      <c r="E218" s="248">
        <v>12279</v>
      </c>
      <c r="F218" s="248">
        <v>12256</v>
      </c>
      <c r="G218" s="248">
        <v>12197</v>
      </c>
      <c r="H218" s="56">
        <v>12154</v>
      </c>
      <c r="I218" s="56">
        <v>12004</v>
      </c>
      <c r="J218" s="56">
        <v>11604</v>
      </c>
      <c r="K218" s="56">
        <v>11872</v>
      </c>
      <c r="L218" s="56">
        <v>11888</v>
      </c>
      <c r="M218" s="56">
        <v>11672</v>
      </c>
      <c r="N218" s="56">
        <v>11965</v>
      </c>
      <c r="O218" s="56">
        <v>11955</v>
      </c>
      <c r="Q218" s="238" t="s">
        <v>2628</v>
      </c>
    </row>
    <row r="219" spans="1:17">
      <c r="A219" s="238" t="s">
        <v>5394</v>
      </c>
      <c r="B219" s="238" t="s">
        <v>5695</v>
      </c>
      <c r="C219" s="55" t="s">
        <v>7351</v>
      </c>
      <c r="D219" s="241">
        <v>10785</v>
      </c>
      <c r="E219" s="241">
        <v>11449</v>
      </c>
      <c r="F219" s="241">
        <v>11589</v>
      </c>
      <c r="G219" s="241">
        <v>11546</v>
      </c>
      <c r="H219" s="56">
        <v>11176</v>
      </c>
      <c r="I219" s="56">
        <v>11183</v>
      </c>
      <c r="J219" s="56">
        <v>10419</v>
      </c>
      <c r="K219" s="56">
        <v>10900</v>
      </c>
      <c r="L219" s="56">
        <v>10822</v>
      </c>
      <c r="M219" s="56">
        <v>10809</v>
      </c>
      <c r="N219" s="56">
        <v>11172</v>
      </c>
      <c r="O219" s="56">
        <v>11147</v>
      </c>
      <c r="Q219" s="238" t="s">
        <v>6610</v>
      </c>
    </row>
    <row r="220" spans="1:17">
      <c r="A220" s="238" t="s">
        <v>5416</v>
      </c>
      <c r="B220" s="238" t="s">
        <v>5942</v>
      </c>
      <c r="C220" s="55" t="s">
        <v>7352</v>
      </c>
      <c r="D220" s="241">
        <v>12622</v>
      </c>
      <c r="E220" s="241">
        <v>12992</v>
      </c>
      <c r="F220" s="241">
        <v>13050</v>
      </c>
      <c r="G220" s="241">
        <v>12971</v>
      </c>
      <c r="H220" s="56">
        <v>12830</v>
      </c>
      <c r="I220" s="56">
        <v>12927</v>
      </c>
      <c r="J220" s="56">
        <v>12310</v>
      </c>
      <c r="K220" s="56">
        <v>12829</v>
      </c>
      <c r="L220" s="56">
        <v>12786</v>
      </c>
      <c r="M220" s="56">
        <v>12645</v>
      </c>
      <c r="N220" s="56">
        <v>13011</v>
      </c>
      <c r="O220" s="56">
        <v>13007</v>
      </c>
      <c r="Q220" s="238" t="s">
        <v>6610</v>
      </c>
    </row>
    <row r="221" spans="1:17">
      <c r="A221" s="238" t="s">
        <v>5418</v>
      </c>
      <c r="B221" s="238" t="s">
        <v>3115</v>
      </c>
      <c r="C221" s="55" t="s">
        <v>7353</v>
      </c>
      <c r="D221" s="241">
        <v>11824</v>
      </c>
      <c r="E221" s="241">
        <v>11998</v>
      </c>
      <c r="F221" s="241">
        <v>12132</v>
      </c>
      <c r="G221" s="241">
        <v>12145</v>
      </c>
      <c r="H221" s="56">
        <v>11968</v>
      </c>
      <c r="I221" s="56">
        <v>11990</v>
      </c>
      <c r="J221" s="56">
        <v>11536</v>
      </c>
      <c r="K221" s="56">
        <v>12250</v>
      </c>
      <c r="L221" s="56">
        <v>12243</v>
      </c>
      <c r="M221" s="56">
        <v>12226</v>
      </c>
      <c r="N221" s="56">
        <v>12365</v>
      </c>
      <c r="O221" s="56">
        <v>12364</v>
      </c>
      <c r="Q221" s="238" t="s">
        <v>2627</v>
      </c>
    </row>
    <row r="222" spans="1:17">
      <c r="A222" s="238" t="s">
        <v>5420</v>
      </c>
      <c r="B222" s="238" t="s">
        <v>3948</v>
      </c>
      <c r="C222" s="55" t="s">
        <v>7354</v>
      </c>
      <c r="D222" s="241">
        <v>12566</v>
      </c>
      <c r="E222" s="241">
        <v>13013</v>
      </c>
      <c r="F222" s="241">
        <v>13092</v>
      </c>
      <c r="G222" s="241">
        <v>13100</v>
      </c>
      <c r="H222" s="56">
        <v>13030</v>
      </c>
      <c r="I222" s="56">
        <v>13027</v>
      </c>
      <c r="J222" s="56">
        <v>12538</v>
      </c>
      <c r="K222" s="56">
        <v>13006</v>
      </c>
      <c r="L222" s="56">
        <v>12921</v>
      </c>
      <c r="M222" s="56">
        <v>12724</v>
      </c>
      <c r="N222" s="56">
        <v>12947</v>
      </c>
      <c r="O222" s="56">
        <v>12961</v>
      </c>
      <c r="Q222" s="238" t="s">
        <v>6610</v>
      </c>
    </row>
    <row r="223" spans="1:17">
      <c r="A223" s="238" t="s">
        <v>5422</v>
      </c>
      <c r="B223" s="238" t="s">
        <v>6295</v>
      </c>
      <c r="C223" s="55" t="s">
        <v>7355</v>
      </c>
      <c r="D223" s="241">
        <v>12150</v>
      </c>
      <c r="E223" s="241">
        <v>12442</v>
      </c>
      <c r="F223" s="241">
        <v>12724</v>
      </c>
      <c r="G223" s="241">
        <v>12836</v>
      </c>
      <c r="H223" s="56">
        <v>13017</v>
      </c>
      <c r="I223" s="56">
        <v>13106</v>
      </c>
      <c r="J223" s="56">
        <v>13029</v>
      </c>
      <c r="K223" s="56">
        <v>13640</v>
      </c>
      <c r="L223" s="56">
        <v>13773</v>
      </c>
      <c r="M223" s="56">
        <v>13534</v>
      </c>
      <c r="N223" s="56">
        <v>13959</v>
      </c>
      <c r="O223" s="56">
        <v>13933</v>
      </c>
      <c r="Q223" s="238" t="s">
        <v>6610</v>
      </c>
    </row>
    <row r="224" spans="1:17">
      <c r="A224" s="238" t="s">
        <v>5424</v>
      </c>
      <c r="B224" s="238" t="s">
        <v>6296</v>
      </c>
      <c r="C224" s="55" t="s">
        <v>7356</v>
      </c>
      <c r="D224" s="241">
        <v>12352</v>
      </c>
      <c r="E224" s="241">
        <v>12612</v>
      </c>
      <c r="F224" s="241">
        <v>12688</v>
      </c>
      <c r="G224" s="241">
        <v>12610</v>
      </c>
      <c r="H224" s="56">
        <v>12149</v>
      </c>
      <c r="I224" s="56">
        <v>12129</v>
      </c>
      <c r="J224" s="56">
        <v>11633</v>
      </c>
      <c r="K224" s="56">
        <v>11974</v>
      </c>
      <c r="L224" s="56">
        <v>11850</v>
      </c>
      <c r="M224" s="56">
        <v>11597</v>
      </c>
      <c r="N224" s="56">
        <v>11713</v>
      </c>
      <c r="O224" s="56">
        <v>11685</v>
      </c>
      <c r="Q224" s="238" t="s">
        <v>2627</v>
      </c>
    </row>
    <row r="225" spans="1:17">
      <c r="A225" s="238" t="s">
        <v>5426</v>
      </c>
      <c r="B225" s="238" t="s">
        <v>6913</v>
      </c>
      <c r="C225" s="55" t="s">
        <v>7357</v>
      </c>
      <c r="D225" s="241">
        <v>12798</v>
      </c>
      <c r="E225" s="241">
        <v>14050</v>
      </c>
      <c r="F225" s="241">
        <v>14372</v>
      </c>
      <c r="G225" s="241">
        <v>14100</v>
      </c>
      <c r="H225" s="58">
        <v>12997</v>
      </c>
      <c r="I225" s="58">
        <v>9593</v>
      </c>
      <c r="J225" s="58">
        <v>9766</v>
      </c>
      <c r="K225" s="58">
        <v>9542</v>
      </c>
      <c r="L225" s="58">
        <v>9111</v>
      </c>
      <c r="M225" s="58">
        <v>8439</v>
      </c>
      <c r="N225" s="58">
        <v>10453</v>
      </c>
      <c r="O225" s="58">
        <v>10445</v>
      </c>
      <c r="Q225" s="238" t="s">
        <v>2628</v>
      </c>
    </row>
    <row r="226" spans="1:17">
      <c r="A226" s="238" t="s">
        <v>5428</v>
      </c>
      <c r="B226" s="238" t="s">
        <v>6297</v>
      </c>
      <c r="C226" s="55" t="s">
        <v>7358</v>
      </c>
      <c r="D226" s="241">
        <v>11753</v>
      </c>
      <c r="E226" s="241">
        <v>12172</v>
      </c>
      <c r="F226" s="241">
        <v>12365</v>
      </c>
      <c r="G226" s="241">
        <v>12128</v>
      </c>
      <c r="H226" s="56">
        <v>11822</v>
      </c>
      <c r="I226" s="56">
        <v>11462</v>
      </c>
      <c r="J226" s="56">
        <v>11136</v>
      </c>
      <c r="K226" s="56">
        <v>11703</v>
      </c>
      <c r="L226" s="56">
        <v>11679</v>
      </c>
      <c r="M226" s="56">
        <v>11552</v>
      </c>
      <c r="N226" s="56">
        <v>11744</v>
      </c>
      <c r="O226" s="56">
        <v>11720</v>
      </c>
      <c r="Q226" s="238" t="s">
        <v>2627</v>
      </c>
    </row>
    <row r="227" spans="1:17">
      <c r="A227" s="238" t="s">
        <v>5429</v>
      </c>
      <c r="B227" s="238" t="s">
        <v>2715</v>
      </c>
      <c r="C227" s="55" t="s">
        <v>7359</v>
      </c>
      <c r="D227" s="241">
        <v>12096</v>
      </c>
      <c r="E227" s="241">
        <v>12429</v>
      </c>
      <c r="F227" s="241">
        <v>12642</v>
      </c>
      <c r="G227" s="241">
        <v>12563</v>
      </c>
      <c r="H227" s="56">
        <v>12191</v>
      </c>
      <c r="I227" s="56">
        <v>12075</v>
      </c>
      <c r="J227" s="56">
        <v>11520</v>
      </c>
      <c r="K227" s="56">
        <v>11759</v>
      </c>
      <c r="L227" s="56">
        <v>11679</v>
      </c>
      <c r="M227" s="56">
        <v>11551</v>
      </c>
      <c r="N227" s="56">
        <v>11821</v>
      </c>
      <c r="O227" s="56">
        <v>11811</v>
      </c>
      <c r="Q227" s="238" t="s">
        <v>6610</v>
      </c>
    </row>
    <row r="228" spans="1:17">
      <c r="A228" s="238" t="s">
        <v>5431</v>
      </c>
      <c r="B228" s="238" t="s">
        <v>2716</v>
      </c>
      <c r="C228" s="55" t="s">
        <v>7360</v>
      </c>
      <c r="D228" s="241">
        <v>12151</v>
      </c>
      <c r="E228" s="241">
        <v>12245</v>
      </c>
      <c r="F228" s="241">
        <v>12460</v>
      </c>
      <c r="G228" s="241">
        <v>12488</v>
      </c>
      <c r="H228" s="58">
        <v>12568</v>
      </c>
      <c r="I228" s="58">
        <v>9419</v>
      </c>
      <c r="J228" s="58">
        <v>10670</v>
      </c>
      <c r="K228" s="58">
        <v>9274</v>
      </c>
      <c r="L228" s="58">
        <v>9287</v>
      </c>
      <c r="M228" s="58">
        <v>9468</v>
      </c>
      <c r="N228" s="58">
        <v>10273</v>
      </c>
      <c r="O228" s="58">
        <v>10257</v>
      </c>
      <c r="Q228" s="238" t="s">
        <v>2628</v>
      </c>
    </row>
    <row r="229" spans="1:17">
      <c r="A229" s="238" t="s">
        <v>5433</v>
      </c>
      <c r="B229" s="238" t="s">
        <v>4540</v>
      </c>
      <c r="C229" s="55" t="s">
        <v>7361</v>
      </c>
      <c r="D229" s="248">
        <v>12443</v>
      </c>
      <c r="E229" s="248">
        <v>12749</v>
      </c>
      <c r="F229" s="248">
        <v>12911</v>
      </c>
      <c r="G229" s="248">
        <v>12969</v>
      </c>
      <c r="H229" s="58">
        <v>12653</v>
      </c>
      <c r="I229" s="58">
        <v>12435</v>
      </c>
      <c r="J229" s="58">
        <v>12244</v>
      </c>
      <c r="K229" s="58">
        <v>12563</v>
      </c>
      <c r="L229" s="58">
        <v>12575</v>
      </c>
      <c r="M229" s="58">
        <v>12384</v>
      </c>
      <c r="N229" s="58">
        <v>12944</v>
      </c>
      <c r="O229" s="58">
        <v>12945</v>
      </c>
      <c r="Q229" s="238" t="s">
        <v>2628</v>
      </c>
    </row>
    <row r="230" spans="1:17">
      <c r="A230" s="238" t="s">
        <v>5435</v>
      </c>
      <c r="B230" s="238" t="s">
        <v>2717</v>
      </c>
      <c r="C230" s="55" t="s">
        <v>7362</v>
      </c>
      <c r="D230" s="241">
        <v>11947</v>
      </c>
      <c r="E230" s="241">
        <v>11984</v>
      </c>
      <c r="F230" s="241">
        <v>12028</v>
      </c>
      <c r="G230" s="241">
        <v>11903</v>
      </c>
      <c r="H230" s="56">
        <v>11245</v>
      </c>
      <c r="I230" s="56">
        <v>11210</v>
      </c>
      <c r="J230" s="56">
        <v>10879</v>
      </c>
      <c r="K230" s="56">
        <v>11372</v>
      </c>
      <c r="L230" s="56">
        <v>11256</v>
      </c>
      <c r="M230" s="56">
        <v>11063</v>
      </c>
      <c r="N230" s="56">
        <v>11448</v>
      </c>
      <c r="O230" s="56">
        <v>11433</v>
      </c>
      <c r="Q230" s="238" t="s">
        <v>2627</v>
      </c>
    </row>
    <row r="231" spans="1:17">
      <c r="A231" s="238" t="s">
        <v>5436</v>
      </c>
      <c r="B231" s="238" t="s">
        <v>3671</v>
      </c>
      <c r="C231" s="55" t="s">
        <v>7363</v>
      </c>
      <c r="D231" s="241">
        <v>12938</v>
      </c>
      <c r="E231" s="241">
        <v>13066</v>
      </c>
      <c r="F231" s="241">
        <v>13199</v>
      </c>
      <c r="G231" s="241">
        <v>13321</v>
      </c>
      <c r="H231" s="56">
        <v>12888</v>
      </c>
      <c r="I231" s="56">
        <v>13196</v>
      </c>
      <c r="J231" s="56">
        <v>13156</v>
      </c>
      <c r="K231" s="56">
        <v>13626</v>
      </c>
      <c r="L231" s="56">
        <v>13665</v>
      </c>
      <c r="M231" s="56">
        <v>13407</v>
      </c>
      <c r="N231" s="56">
        <v>13580</v>
      </c>
      <c r="O231" s="56">
        <v>13566</v>
      </c>
      <c r="Q231" s="238" t="s">
        <v>2627</v>
      </c>
    </row>
    <row r="232" spans="1:17">
      <c r="A232" s="238" t="s">
        <v>5437</v>
      </c>
      <c r="B232" s="238" t="s">
        <v>2718</v>
      </c>
      <c r="C232" s="55" t="s">
        <v>7364</v>
      </c>
      <c r="D232" s="241">
        <v>12271</v>
      </c>
      <c r="E232" s="241">
        <v>12545</v>
      </c>
      <c r="F232" s="241">
        <v>12874</v>
      </c>
      <c r="G232" s="241">
        <v>12871</v>
      </c>
      <c r="H232" s="56">
        <v>12749</v>
      </c>
      <c r="I232" s="56">
        <v>12761</v>
      </c>
      <c r="J232" s="56">
        <v>12319</v>
      </c>
      <c r="K232" s="56">
        <v>12589</v>
      </c>
      <c r="L232" s="56">
        <v>12526</v>
      </c>
      <c r="M232" s="56">
        <v>12327</v>
      </c>
      <c r="N232" s="56">
        <v>12439</v>
      </c>
      <c r="O232" s="56">
        <v>12415</v>
      </c>
      <c r="Q232" s="238" t="s">
        <v>6610</v>
      </c>
    </row>
    <row r="233" spans="1:17">
      <c r="D233" s="241"/>
      <c r="E233" s="241"/>
      <c r="F233" s="241"/>
      <c r="G233" s="241"/>
      <c r="H233" s="241"/>
      <c r="I233" s="241"/>
      <c r="J233" s="241"/>
      <c r="K233" s="241"/>
      <c r="L233" s="241"/>
      <c r="M233" s="241"/>
      <c r="N233" s="241"/>
      <c r="O233" s="241"/>
    </row>
    <row r="234" spans="1:17">
      <c r="A234" s="238" t="s">
        <v>6610</v>
      </c>
      <c r="D234" s="240">
        <f t="shared" ref="D234:I234" si="121">D219+D220+D222+D223+D227+D232</f>
        <v>72490</v>
      </c>
      <c r="E234" s="240">
        <f t="shared" si="121"/>
        <v>74870</v>
      </c>
      <c r="F234" s="240">
        <f t="shared" si="121"/>
        <v>75971</v>
      </c>
      <c r="G234" s="240">
        <f t="shared" si="121"/>
        <v>75887</v>
      </c>
      <c r="H234" s="240">
        <f t="shared" si="121"/>
        <v>74993</v>
      </c>
      <c r="I234" s="240">
        <f t="shared" si="121"/>
        <v>75079</v>
      </c>
      <c r="J234" s="240">
        <f t="shared" ref="J234:O234" si="122">J219+J220+J222+J223+J227+J232</f>
        <v>72135</v>
      </c>
      <c r="K234" s="240">
        <f t="shared" si="122"/>
        <v>74723</v>
      </c>
      <c r="L234" s="240">
        <f t="shared" si="122"/>
        <v>74507</v>
      </c>
      <c r="M234" s="240">
        <f t="shared" si="122"/>
        <v>73590</v>
      </c>
      <c r="N234" s="240">
        <f t="shared" si="122"/>
        <v>75349</v>
      </c>
      <c r="O234" s="240">
        <f t="shared" si="122"/>
        <v>75274</v>
      </c>
    </row>
    <row r="235" spans="1:17">
      <c r="A235" s="238" t="s">
        <v>2627</v>
      </c>
      <c r="D235" s="240">
        <f t="shared" ref="D235:I235" si="123">D215+D221+D224+D226+D230+D231</f>
        <v>73030</v>
      </c>
      <c r="E235" s="240">
        <f t="shared" si="123"/>
        <v>74180</v>
      </c>
      <c r="F235" s="240">
        <f t="shared" si="123"/>
        <v>74754</v>
      </c>
      <c r="G235" s="240">
        <f t="shared" si="123"/>
        <v>74563</v>
      </c>
      <c r="H235" s="240">
        <f t="shared" si="123"/>
        <v>72487</v>
      </c>
      <c r="I235" s="240">
        <f t="shared" si="123"/>
        <v>72485</v>
      </c>
      <c r="J235" s="240">
        <f t="shared" ref="J235:O235" si="124">J215+J221+J224+J226+J230+J231</f>
        <v>70716</v>
      </c>
      <c r="K235" s="240">
        <f t="shared" si="124"/>
        <v>73685</v>
      </c>
      <c r="L235" s="240">
        <f t="shared" si="124"/>
        <v>73384</v>
      </c>
      <c r="M235" s="240">
        <f t="shared" si="124"/>
        <v>72470</v>
      </c>
      <c r="N235" s="240">
        <f t="shared" si="124"/>
        <v>73539</v>
      </c>
      <c r="O235" s="240">
        <f t="shared" si="124"/>
        <v>73431</v>
      </c>
    </row>
    <row r="236" spans="1:17">
      <c r="A236" s="238" t="s">
        <v>2628</v>
      </c>
      <c r="D236" s="240">
        <f t="shared" ref="D236:I236" si="125">SUM(D216:D218)+D225+D228+D229</f>
        <v>73346</v>
      </c>
      <c r="E236" s="240">
        <f t="shared" si="125"/>
        <v>75705</v>
      </c>
      <c r="F236" s="240">
        <f t="shared" si="125"/>
        <v>76571</v>
      </c>
      <c r="G236" s="240">
        <f t="shared" si="125"/>
        <v>76090</v>
      </c>
      <c r="H236" s="240">
        <f t="shared" si="125"/>
        <v>74189</v>
      </c>
      <c r="I236" s="240">
        <f t="shared" si="125"/>
        <v>67160</v>
      </c>
      <c r="J236" s="240">
        <f t="shared" ref="J236:O236" si="126">SUM(J216:J218)+J225+J228+J229</f>
        <v>67180</v>
      </c>
      <c r="K236" s="240">
        <f t="shared" si="126"/>
        <v>66940</v>
      </c>
      <c r="L236" s="240">
        <f t="shared" si="126"/>
        <v>66328</v>
      </c>
      <c r="M236" s="240">
        <f t="shared" si="126"/>
        <v>65009</v>
      </c>
      <c r="N236" s="240">
        <f t="shared" si="126"/>
        <v>69159</v>
      </c>
      <c r="O236" s="240">
        <f t="shared" si="126"/>
        <v>69113</v>
      </c>
    </row>
    <row r="237" spans="1:17">
      <c r="A237" s="238"/>
      <c r="D237" s="240"/>
      <c r="E237" s="240"/>
      <c r="F237" s="240"/>
      <c r="G237" s="240"/>
      <c r="H237" s="240"/>
      <c r="I237" s="240"/>
      <c r="J237" s="240"/>
      <c r="K237" s="240"/>
      <c r="L237" s="240"/>
      <c r="M237" s="240"/>
      <c r="N237" s="240"/>
      <c r="O237" s="240"/>
    </row>
    <row r="238" spans="1:17">
      <c r="A238" s="238" t="s">
        <v>2719</v>
      </c>
      <c r="D238" s="240"/>
      <c r="E238" s="240"/>
      <c r="F238" s="240"/>
      <c r="G238" s="240"/>
      <c r="H238" s="240"/>
      <c r="I238" s="240"/>
      <c r="J238" s="240"/>
      <c r="K238" s="240"/>
      <c r="L238" s="240"/>
      <c r="M238" s="240"/>
      <c r="N238" s="240"/>
      <c r="O238" s="240"/>
    </row>
    <row r="239" spans="1:17">
      <c r="A239" s="238"/>
      <c r="B239" s="238"/>
      <c r="D239" s="249"/>
      <c r="E239" s="249"/>
      <c r="F239" s="249"/>
      <c r="G239" s="249"/>
      <c r="H239" s="249"/>
      <c r="I239" s="249"/>
      <c r="J239" s="249"/>
      <c r="K239" s="249"/>
      <c r="L239" s="249"/>
      <c r="M239" s="249"/>
      <c r="N239" s="249"/>
      <c r="O239" s="249"/>
    </row>
    <row r="240" spans="1:17">
      <c r="A240" s="238"/>
      <c r="B240" s="238"/>
      <c r="D240" s="249"/>
      <c r="E240" s="249"/>
      <c r="F240" s="249"/>
      <c r="G240" s="249"/>
      <c r="H240" s="249"/>
      <c r="I240" s="249"/>
      <c r="J240" s="249"/>
      <c r="K240" s="249"/>
      <c r="L240" s="249"/>
      <c r="M240" s="249"/>
      <c r="N240" s="249"/>
      <c r="O240" s="249"/>
    </row>
    <row r="241" spans="1:17">
      <c r="E241" s="51" t="s">
        <v>1526</v>
      </c>
      <c r="F241" s="51"/>
      <c r="G241" s="51"/>
      <c r="H241" s="51"/>
      <c r="I241" s="51"/>
      <c r="J241" s="51"/>
      <c r="K241" s="51"/>
      <c r="L241" s="51"/>
      <c r="M241" s="51"/>
      <c r="N241" s="51"/>
      <c r="O241" s="51"/>
      <c r="P241" s="173"/>
      <c r="Q241" s="173" t="s">
        <v>9479</v>
      </c>
    </row>
    <row r="242" spans="1:17">
      <c r="D242" s="239">
        <v>2010</v>
      </c>
      <c r="E242" s="239">
        <v>2011</v>
      </c>
      <c r="F242" s="239">
        <v>2012</v>
      </c>
      <c r="G242" s="239">
        <v>2013</v>
      </c>
      <c r="H242" s="239">
        <v>2014</v>
      </c>
      <c r="I242" s="239">
        <v>2015</v>
      </c>
      <c r="J242" s="239">
        <v>2016</v>
      </c>
      <c r="K242" s="239">
        <v>2017</v>
      </c>
      <c r="L242" s="239">
        <v>2018</v>
      </c>
      <c r="M242" s="239">
        <v>2019</v>
      </c>
      <c r="N242" s="239">
        <v>2020</v>
      </c>
      <c r="O242" s="928" t="s">
        <v>14823</v>
      </c>
      <c r="Q242" s="206" t="s">
        <v>1527</v>
      </c>
    </row>
    <row r="243" spans="1:17">
      <c r="A243" s="238" t="s">
        <v>2720</v>
      </c>
      <c r="D243" s="240">
        <f t="shared" ref="D243:I243" si="127">SUM(D244:D267)</f>
        <v>240213</v>
      </c>
      <c r="E243" s="240">
        <f t="shared" si="127"/>
        <v>242131</v>
      </c>
      <c r="F243" s="240">
        <f t="shared" si="127"/>
        <v>242929</v>
      </c>
      <c r="G243" s="240">
        <f t="shared" si="127"/>
        <v>243645</v>
      </c>
      <c r="H243" s="240">
        <f t="shared" si="127"/>
        <v>237787</v>
      </c>
      <c r="I243" s="240">
        <f t="shared" si="127"/>
        <v>237550</v>
      </c>
      <c r="J243" s="240">
        <f t="shared" ref="J243:O243" si="128">SUM(J244:J267)</f>
        <v>239405</v>
      </c>
      <c r="K243" s="240">
        <f t="shared" si="128"/>
        <v>241620</v>
      </c>
      <c r="L243" s="240">
        <f t="shared" si="128"/>
        <v>240020</v>
      </c>
      <c r="M243" s="240">
        <f t="shared" si="128"/>
        <v>238475</v>
      </c>
      <c r="N243" s="240">
        <f t="shared" si="128"/>
        <v>243015</v>
      </c>
      <c r="O243" s="240">
        <f t="shared" si="128"/>
        <v>239722</v>
      </c>
    </row>
    <row r="244" spans="1:17">
      <c r="A244" s="238" t="s">
        <v>5387</v>
      </c>
      <c r="B244" s="238" t="s">
        <v>2721</v>
      </c>
      <c r="C244" s="55" t="s">
        <v>7365</v>
      </c>
      <c r="D244" s="241">
        <v>10379</v>
      </c>
      <c r="E244" s="241">
        <v>10465</v>
      </c>
      <c r="F244" s="241">
        <v>10561</v>
      </c>
      <c r="G244" s="58">
        <v>10581</v>
      </c>
      <c r="H244" s="58">
        <v>10222</v>
      </c>
      <c r="I244" s="58">
        <v>10311</v>
      </c>
      <c r="J244" s="58">
        <v>10445</v>
      </c>
      <c r="K244" s="58">
        <v>10513</v>
      </c>
      <c r="L244" s="58">
        <v>10399</v>
      </c>
      <c r="M244" s="58">
        <v>10291</v>
      </c>
      <c r="N244" s="58">
        <v>10403</v>
      </c>
      <c r="O244" s="58">
        <v>10260</v>
      </c>
      <c r="Q244" s="238" t="s">
        <v>4097</v>
      </c>
    </row>
    <row r="245" spans="1:17">
      <c r="A245" s="238" t="s">
        <v>5389</v>
      </c>
      <c r="B245" s="238" t="s">
        <v>5145</v>
      </c>
      <c r="C245" s="55" t="s">
        <v>7366</v>
      </c>
      <c r="D245" s="241">
        <v>10011</v>
      </c>
      <c r="E245" s="241">
        <v>10227</v>
      </c>
      <c r="F245" s="241">
        <v>10327</v>
      </c>
      <c r="G245" s="56">
        <v>10321</v>
      </c>
      <c r="H245" s="56">
        <v>10268</v>
      </c>
      <c r="I245" s="56">
        <v>10259</v>
      </c>
      <c r="J245" s="56">
        <v>10494</v>
      </c>
      <c r="K245" s="56">
        <v>10580</v>
      </c>
      <c r="L245" s="56">
        <v>10446</v>
      </c>
      <c r="M245" s="56">
        <v>10363</v>
      </c>
      <c r="N245" s="56">
        <v>10562</v>
      </c>
      <c r="O245" s="56">
        <v>10460</v>
      </c>
      <c r="Q245" s="238" t="s">
        <v>2632</v>
      </c>
    </row>
    <row r="246" spans="1:17">
      <c r="A246" s="238" t="s">
        <v>5391</v>
      </c>
      <c r="B246" s="238" t="s">
        <v>2722</v>
      </c>
      <c r="C246" s="55" t="s">
        <v>7367</v>
      </c>
      <c r="D246" s="241">
        <v>9965</v>
      </c>
      <c r="E246" s="241">
        <v>10105</v>
      </c>
      <c r="F246" s="241">
        <v>10219</v>
      </c>
      <c r="G246" s="56">
        <v>10312</v>
      </c>
      <c r="H246" s="56">
        <v>9794</v>
      </c>
      <c r="I246" s="56">
        <v>9836</v>
      </c>
      <c r="J246" s="56">
        <v>9845</v>
      </c>
      <c r="K246" s="56">
        <v>10188</v>
      </c>
      <c r="L246" s="56">
        <v>10196</v>
      </c>
      <c r="M246" s="56">
        <v>10362</v>
      </c>
      <c r="N246" s="56">
        <v>10489</v>
      </c>
      <c r="O246" s="56">
        <v>10198</v>
      </c>
      <c r="Q246" s="238" t="s">
        <v>2631</v>
      </c>
    </row>
    <row r="247" spans="1:17">
      <c r="A247" s="238" t="s">
        <v>5393</v>
      </c>
      <c r="B247" s="238" t="s">
        <v>2723</v>
      </c>
      <c r="C247" s="55" t="s">
        <v>7368</v>
      </c>
      <c r="D247" s="241">
        <v>9732</v>
      </c>
      <c r="E247" s="241">
        <v>9771</v>
      </c>
      <c r="F247" s="241">
        <v>9702</v>
      </c>
      <c r="G247" s="56">
        <v>9695</v>
      </c>
      <c r="H247" s="56">
        <v>9510</v>
      </c>
      <c r="I247" s="56">
        <v>9480</v>
      </c>
      <c r="J247" s="56">
        <v>9585</v>
      </c>
      <c r="K247" s="56">
        <v>9695</v>
      </c>
      <c r="L247" s="56">
        <v>9661</v>
      </c>
      <c r="M247" s="56">
        <v>9753</v>
      </c>
      <c r="N247" s="56">
        <v>9918</v>
      </c>
      <c r="O247" s="56">
        <v>9750</v>
      </c>
      <c r="Q247" s="238" t="s">
        <v>2631</v>
      </c>
    </row>
    <row r="248" spans="1:17">
      <c r="A248" s="238" t="s">
        <v>5394</v>
      </c>
      <c r="B248" s="238" t="s">
        <v>1374</v>
      </c>
      <c r="C248" s="55" t="s">
        <v>7369</v>
      </c>
      <c r="D248" s="241">
        <v>10439</v>
      </c>
      <c r="E248" s="241">
        <v>10692</v>
      </c>
      <c r="F248" s="241">
        <v>10869</v>
      </c>
      <c r="G248" s="56">
        <v>10948</v>
      </c>
      <c r="H248" s="56">
        <v>10778</v>
      </c>
      <c r="I248" s="56">
        <v>10850</v>
      </c>
      <c r="J248" s="56">
        <v>11018</v>
      </c>
      <c r="K248" s="56">
        <v>11263</v>
      </c>
      <c r="L248" s="56">
        <v>11132</v>
      </c>
      <c r="M248" s="56">
        <v>11082</v>
      </c>
      <c r="N248" s="56">
        <v>11500</v>
      </c>
      <c r="O248" s="56">
        <v>11319</v>
      </c>
      <c r="Q248" s="238" t="s">
        <v>2629</v>
      </c>
    </row>
    <row r="249" spans="1:17">
      <c r="A249" s="238" t="s">
        <v>5416</v>
      </c>
      <c r="B249" s="238" t="s">
        <v>1375</v>
      </c>
      <c r="C249" s="55" t="s">
        <v>7370</v>
      </c>
      <c r="D249" s="241">
        <v>9617</v>
      </c>
      <c r="E249" s="241">
        <v>9657</v>
      </c>
      <c r="F249" s="241">
        <v>9668</v>
      </c>
      <c r="G249" s="58">
        <v>9774</v>
      </c>
      <c r="H249" s="58">
        <v>9536</v>
      </c>
      <c r="I249" s="58">
        <v>9444</v>
      </c>
      <c r="J249" s="58">
        <v>9607</v>
      </c>
      <c r="K249" s="58">
        <v>9610</v>
      </c>
      <c r="L249" s="58">
        <v>9427</v>
      </c>
      <c r="M249" s="58">
        <v>9375</v>
      </c>
      <c r="N249" s="58">
        <v>9525</v>
      </c>
      <c r="O249" s="58">
        <v>9378</v>
      </c>
      <c r="Q249" s="238" t="s">
        <v>4106</v>
      </c>
    </row>
    <row r="250" spans="1:17">
      <c r="A250" s="238" t="s">
        <v>5418</v>
      </c>
      <c r="B250" s="238" t="s">
        <v>9469</v>
      </c>
      <c r="C250" s="55" t="s">
        <v>7371</v>
      </c>
      <c r="D250" s="248">
        <v>9898</v>
      </c>
      <c r="E250" s="248">
        <v>9953</v>
      </c>
      <c r="F250" s="248">
        <v>9912</v>
      </c>
      <c r="G250" s="58">
        <v>9874</v>
      </c>
      <c r="H250" s="58">
        <v>9618</v>
      </c>
      <c r="I250" s="58">
        <v>9606</v>
      </c>
      <c r="J250" s="58">
        <v>9756</v>
      </c>
      <c r="K250" s="58">
        <v>9791</v>
      </c>
      <c r="L250" s="58">
        <v>9809</v>
      </c>
      <c r="M250" s="58">
        <v>9732</v>
      </c>
      <c r="N250" s="58">
        <v>9914</v>
      </c>
      <c r="O250" s="58">
        <v>9769</v>
      </c>
      <c r="Q250" s="238" t="s">
        <v>4097</v>
      </c>
    </row>
    <row r="251" spans="1:17">
      <c r="A251" s="238" t="s">
        <v>5420</v>
      </c>
      <c r="B251" s="238" t="s">
        <v>1376</v>
      </c>
      <c r="C251" s="55" t="s">
        <v>7372</v>
      </c>
      <c r="D251" s="241">
        <v>10565</v>
      </c>
      <c r="E251" s="241">
        <v>10580</v>
      </c>
      <c r="F251" s="241">
        <v>10590</v>
      </c>
      <c r="G251" s="56">
        <v>10668</v>
      </c>
      <c r="H251" s="56">
        <v>10380</v>
      </c>
      <c r="I251" s="56">
        <v>10382</v>
      </c>
      <c r="J251" s="56">
        <v>10502</v>
      </c>
      <c r="K251" s="56">
        <v>10568</v>
      </c>
      <c r="L251" s="56">
        <v>10449</v>
      </c>
      <c r="M251" s="56">
        <v>10380</v>
      </c>
      <c r="N251" s="56">
        <v>10571</v>
      </c>
      <c r="O251" s="56">
        <v>10392</v>
      </c>
      <c r="Q251" s="238" t="s">
        <v>2629</v>
      </c>
    </row>
    <row r="252" spans="1:17">
      <c r="A252" s="238" t="s">
        <v>5422</v>
      </c>
      <c r="B252" s="238" t="s">
        <v>1377</v>
      </c>
      <c r="C252" s="55" t="s">
        <v>7373</v>
      </c>
      <c r="D252" s="241">
        <v>9541</v>
      </c>
      <c r="E252" s="241">
        <v>9573</v>
      </c>
      <c r="F252" s="241">
        <v>9652</v>
      </c>
      <c r="G252" s="56">
        <v>9624</v>
      </c>
      <c r="H252" s="56">
        <v>9391</v>
      </c>
      <c r="I252" s="56">
        <v>9385</v>
      </c>
      <c r="J252" s="56">
        <v>9468</v>
      </c>
      <c r="K252" s="56">
        <v>9584</v>
      </c>
      <c r="L252" s="56">
        <v>9600</v>
      </c>
      <c r="M252" s="56">
        <v>9584</v>
      </c>
      <c r="N252" s="56">
        <v>9805</v>
      </c>
      <c r="O252" s="56">
        <v>9700</v>
      </c>
      <c r="Q252" s="238" t="s">
        <v>2632</v>
      </c>
    </row>
    <row r="253" spans="1:17">
      <c r="A253" s="238" t="s">
        <v>5424</v>
      </c>
      <c r="B253" s="238" t="s">
        <v>1378</v>
      </c>
      <c r="C253" s="55" t="s">
        <v>7374</v>
      </c>
      <c r="D253" s="241">
        <v>9912</v>
      </c>
      <c r="E253" s="241">
        <v>10008</v>
      </c>
      <c r="F253" s="241">
        <v>10052</v>
      </c>
      <c r="G253" s="56">
        <v>10064</v>
      </c>
      <c r="H253" s="56">
        <v>9838</v>
      </c>
      <c r="I253" s="56">
        <v>9831</v>
      </c>
      <c r="J253" s="56">
        <v>9910</v>
      </c>
      <c r="K253" s="56">
        <v>9942</v>
      </c>
      <c r="L253" s="56">
        <v>9947</v>
      </c>
      <c r="M253" s="56">
        <v>9849</v>
      </c>
      <c r="N253" s="56">
        <v>10066</v>
      </c>
      <c r="O253" s="56">
        <v>9910</v>
      </c>
      <c r="Q253" s="238" t="s">
        <v>2632</v>
      </c>
    </row>
    <row r="254" spans="1:17">
      <c r="A254" s="238" t="s">
        <v>5426</v>
      </c>
      <c r="B254" s="238" t="s">
        <v>1379</v>
      </c>
      <c r="C254" s="55" t="s">
        <v>7375</v>
      </c>
      <c r="D254" s="241">
        <v>9413</v>
      </c>
      <c r="E254" s="241">
        <v>9419</v>
      </c>
      <c r="F254" s="241">
        <v>9409</v>
      </c>
      <c r="G254" s="58">
        <v>9495</v>
      </c>
      <c r="H254" s="58">
        <v>9351</v>
      </c>
      <c r="I254" s="58">
        <v>9296</v>
      </c>
      <c r="J254" s="58">
        <v>9285</v>
      </c>
      <c r="K254" s="58">
        <v>9437</v>
      </c>
      <c r="L254" s="58">
        <v>9380</v>
      </c>
      <c r="M254" s="58">
        <v>9247</v>
      </c>
      <c r="N254" s="58">
        <v>9373</v>
      </c>
      <c r="O254" s="58">
        <v>9276</v>
      </c>
      <c r="Q254" s="238" t="s">
        <v>2632</v>
      </c>
    </row>
    <row r="255" spans="1:17">
      <c r="A255" s="238" t="s">
        <v>5428</v>
      </c>
      <c r="B255" s="238" t="s">
        <v>1380</v>
      </c>
      <c r="C255" s="55" t="s">
        <v>7376</v>
      </c>
      <c r="D255" s="241">
        <v>10244</v>
      </c>
      <c r="E255" s="241">
        <v>10259</v>
      </c>
      <c r="F255" s="241">
        <v>10237</v>
      </c>
      <c r="G255" s="56">
        <v>10231</v>
      </c>
      <c r="H255" s="56">
        <v>10049</v>
      </c>
      <c r="I255" s="56">
        <v>10038</v>
      </c>
      <c r="J255" s="56">
        <v>10108</v>
      </c>
      <c r="K255" s="56">
        <v>10145</v>
      </c>
      <c r="L255" s="56">
        <v>10011</v>
      </c>
      <c r="M255" s="56">
        <v>9972</v>
      </c>
      <c r="N255" s="56">
        <v>10083</v>
      </c>
      <c r="O255" s="56">
        <v>9951</v>
      </c>
      <c r="Q255" s="238" t="s">
        <v>2631</v>
      </c>
    </row>
    <row r="256" spans="1:17">
      <c r="A256" s="238" t="s">
        <v>5429</v>
      </c>
      <c r="B256" s="238" t="s">
        <v>1381</v>
      </c>
      <c r="C256" s="55" t="s">
        <v>7377</v>
      </c>
      <c r="D256" s="241">
        <v>10510</v>
      </c>
      <c r="E256" s="241">
        <v>10423</v>
      </c>
      <c r="F256" s="241">
        <v>10332</v>
      </c>
      <c r="G256" s="56">
        <v>10425</v>
      </c>
      <c r="H256" s="56">
        <v>10249</v>
      </c>
      <c r="I256" s="56">
        <v>10261</v>
      </c>
      <c r="J256" s="56">
        <v>10272</v>
      </c>
      <c r="K256" s="56">
        <v>10288</v>
      </c>
      <c r="L256" s="56">
        <v>10218</v>
      </c>
      <c r="M256" s="56">
        <v>10155</v>
      </c>
      <c r="N256" s="56">
        <v>10307</v>
      </c>
      <c r="O256" s="56">
        <v>10234</v>
      </c>
      <c r="Q256" s="238" t="s">
        <v>2631</v>
      </c>
    </row>
    <row r="257" spans="1:17">
      <c r="A257" s="238" t="s">
        <v>5431</v>
      </c>
      <c r="B257" s="238" t="s">
        <v>9468</v>
      </c>
      <c r="C257" s="55" t="s">
        <v>7378</v>
      </c>
      <c r="D257" s="241">
        <v>9555</v>
      </c>
      <c r="E257" s="241">
        <v>9597</v>
      </c>
      <c r="F257" s="241">
        <v>9573</v>
      </c>
      <c r="G257" s="58">
        <v>9546</v>
      </c>
      <c r="H257" s="58">
        <v>9137</v>
      </c>
      <c r="I257" s="58">
        <v>9201</v>
      </c>
      <c r="J257" s="58">
        <v>9264</v>
      </c>
      <c r="K257" s="58">
        <v>9376</v>
      </c>
      <c r="L257" s="58">
        <v>9360</v>
      </c>
      <c r="M257" s="58">
        <v>9267</v>
      </c>
      <c r="N257" s="58">
        <v>9435</v>
      </c>
      <c r="O257" s="58">
        <v>9294</v>
      </c>
      <c r="Q257" s="238" t="s">
        <v>4097</v>
      </c>
    </row>
    <row r="258" spans="1:17">
      <c r="A258" s="238" t="s">
        <v>5433</v>
      </c>
      <c r="B258" s="238" t="s">
        <v>2738</v>
      </c>
      <c r="C258" s="55" t="s">
        <v>7379</v>
      </c>
      <c r="D258" s="241">
        <v>10572</v>
      </c>
      <c r="E258" s="241">
        <v>10636</v>
      </c>
      <c r="F258" s="241">
        <v>10782</v>
      </c>
      <c r="G258" s="56">
        <v>10817</v>
      </c>
      <c r="H258" s="56">
        <v>10371</v>
      </c>
      <c r="I258" s="56">
        <v>10442</v>
      </c>
      <c r="J258" s="56">
        <v>10352</v>
      </c>
      <c r="K258" s="56">
        <v>10495</v>
      </c>
      <c r="L258" s="56">
        <v>10341</v>
      </c>
      <c r="M258" s="56">
        <v>10180</v>
      </c>
      <c r="N258" s="56">
        <v>10210</v>
      </c>
      <c r="O258" s="56">
        <v>10143</v>
      </c>
      <c r="Q258" s="238" t="s">
        <v>2631</v>
      </c>
    </row>
    <row r="259" spans="1:17">
      <c r="A259" s="238" t="s">
        <v>5435</v>
      </c>
      <c r="B259" s="238" t="s">
        <v>2739</v>
      </c>
      <c r="C259" s="55" t="s">
        <v>7380</v>
      </c>
      <c r="D259" s="241">
        <v>9707</v>
      </c>
      <c r="E259" s="241">
        <v>9743</v>
      </c>
      <c r="F259" s="241">
        <v>9731</v>
      </c>
      <c r="G259" s="58">
        <v>9759</v>
      </c>
      <c r="H259" s="58">
        <v>9708</v>
      </c>
      <c r="I259" s="58">
        <v>9618</v>
      </c>
      <c r="J259" s="58">
        <v>9712</v>
      </c>
      <c r="K259" s="58">
        <v>9770</v>
      </c>
      <c r="L259" s="58">
        <v>9843</v>
      </c>
      <c r="M259" s="58">
        <v>9686</v>
      </c>
      <c r="N259" s="58">
        <v>9836</v>
      </c>
      <c r="O259" s="58">
        <v>9763</v>
      </c>
      <c r="Q259" s="238" t="s">
        <v>4097</v>
      </c>
    </row>
    <row r="260" spans="1:17">
      <c r="A260" s="238" t="s">
        <v>5436</v>
      </c>
      <c r="B260" s="238" t="s">
        <v>2735</v>
      </c>
      <c r="C260" s="55" t="s">
        <v>7381</v>
      </c>
      <c r="D260" s="241">
        <v>9950</v>
      </c>
      <c r="E260" s="241">
        <v>10008</v>
      </c>
      <c r="F260" s="241">
        <v>9961</v>
      </c>
      <c r="G260" s="58">
        <v>9961</v>
      </c>
      <c r="H260" s="58">
        <v>9850</v>
      </c>
      <c r="I260" s="58">
        <v>9840</v>
      </c>
      <c r="J260" s="58">
        <v>9895</v>
      </c>
      <c r="K260" s="58">
        <v>9937</v>
      </c>
      <c r="L260" s="58">
        <v>9915</v>
      </c>
      <c r="M260" s="58">
        <v>9813</v>
      </c>
      <c r="N260" s="58">
        <v>9952</v>
      </c>
      <c r="O260" s="58">
        <v>9739</v>
      </c>
      <c r="Q260" s="238" t="s">
        <v>4097</v>
      </c>
    </row>
    <row r="261" spans="1:17">
      <c r="A261" s="238" t="s">
        <v>5437</v>
      </c>
      <c r="B261" s="238" t="s">
        <v>2736</v>
      </c>
      <c r="C261" s="55" t="s">
        <v>7382</v>
      </c>
      <c r="D261" s="241">
        <v>10254</v>
      </c>
      <c r="E261" s="241">
        <v>10311</v>
      </c>
      <c r="F261" s="241">
        <v>10328</v>
      </c>
      <c r="G261" s="58">
        <v>10416</v>
      </c>
      <c r="H261" s="58">
        <v>10246</v>
      </c>
      <c r="I261" s="58">
        <v>10154</v>
      </c>
      <c r="J261" s="58">
        <v>10113</v>
      </c>
      <c r="K261" s="58">
        <v>10088</v>
      </c>
      <c r="L261" s="58">
        <v>10060</v>
      </c>
      <c r="M261" s="58">
        <v>9995</v>
      </c>
      <c r="N261" s="58">
        <v>10227</v>
      </c>
      <c r="O261" s="58">
        <v>10096</v>
      </c>
      <c r="Q261" s="238" t="s">
        <v>4097</v>
      </c>
    </row>
    <row r="262" spans="1:17">
      <c r="A262" s="238" t="s">
        <v>5439</v>
      </c>
      <c r="B262" s="238" t="s">
        <v>1995</v>
      </c>
      <c r="C262" s="55" t="s">
        <v>7383</v>
      </c>
      <c r="D262" s="241">
        <v>9903</v>
      </c>
      <c r="E262" s="241">
        <v>10019</v>
      </c>
      <c r="F262" s="241">
        <v>10188</v>
      </c>
      <c r="G262" s="56">
        <v>10233</v>
      </c>
      <c r="H262" s="56">
        <v>9782</v>
      </c>
      <c r="I262" s="56">
        <v>9748</v>
      </c>
      <c r="J262" s="56">
        <v>9842</v>
      </c>
      <c r="K262" s="56">
        <v>9947</v>
      </c>
      <c r="L262" s="56">
        <v>9837</v>
      </c>
      <c r="M262" s="56">
        <v>9839</v>
      </c>
      <c r="N262" s="56">
        <v>10149</v>
      </c>
      <c r="O262" s="56">
        <v>9992</v>
      </c>
      <c r="Q262" s="238" t="s">
        <v>2629</v>
      </c>
    </row>
    <row r="263" spans="1:17">
      <c r="A263" s="238" t="s">
        <v>5441</v>
      </c>
      <c r="B263" s="238" t="s">
        <v>2737</v>
      </c>
      <c r="C263" s="55" t="s">
        <v>7384</v>
      </c>
      <c r="D263" s="241">
        <v>10004</v>
      </c>
      <c r="E263" s="241">
        <v>10163</v>
      </c>
      <c r="F263" s="241">
        <v>10214</v>
      </c>
      <c r="G263" s="56">
        <v>10170</v>
      </c>
      <c r="H263" s="56">
        <v>9708</v>
      </c>
      <c r="I263" s="56">
        <v>9774</v>
      </c>
      <c r="J263" s="56">
        <v>9781</v>
      </c>
      <c r="K263" s="56">
        <v>9946</v>
      </c>
      <c r="L263" s="56">
        <v>9849</v>
      </c>
      <c r="M263" s="56">
        <v>9780</v>
      </c>
      <c r="N263" s="56">
        <v>10168</v>
      </c>
      <c r="O263" s="56">
        <v>9989</v>
      </c>
      <c r="Q263" s="238" t="s">
        <v>2629</v>
      </c>
    </row>
    <row r="264" spans="1:17">
      <c r="A264" s="238" t="s">
        <v>5886</v>
      </c>
      <c r="B264" s="238" t="s">
        <v>5246</v>
      </c>
      <c r="C264" s="55" t="s">
        <v>7385</v>
      </c>
      <c r="D264" s="241">
        <v>9748</v>
      </c>
      <c r="E264" s="241">
        <v>9850</v>
      </c>
      <c r="F264" s="241">
        <v>9844</v>
      </c>
      <c r="G264" s="56">
        <v>9867</v>
      </c>
      <c r="H264" s="56">
        <v>9688</v>
      </c>
      <c r="I264" s="56">
        <v>9664</v>
      </c>
      <c r="J264" s="56">
        <v>9797</v>
      </c>
      <c r="K264" s="56">
        <v>9813</v>
      </c>
      <c r="L264" s="56">
        <v>9673</v>
      </c>
      <c r="M264" s="56">
        <v>9559</v>
      </c>
      <c r="N264" s="56">
        <v>9807</v>
      </c>
      <c r="O264" s="56">
        <v>9676</v>
      </c>
      <c r="Q264" s="238" t="s">
        <v>2629</v>
      </c>
    </row>
    <row r="265" spans="1:17">
      <c r="A265" s="238" t="s">
        <v>5888</v>
      </c>
      <c r="B265" s="238" t="s">
        <v>4170</v>
      </c>
      <c r="C265" s="55" t="s">
        <v>7386</v>
      </c>
      <c r="D265" s="241">
        <v>10318</v>
      </c>
      <c r="E265" s="241">
        <v>10410</v>
      </c>
      <c r="F265" s="241">
        <v>10273</v>
      </c>
      <c r="G265" s="56">
        <v>10251</v>
      </c>
      <c r="H265" s="56">
        <v>10149</v>
      </c>
      <c r="I265" s="56">
        <v>10044</v>
      </c>
      <c r="J265" s="56">
        <v>10114</v>
      </c>
      <c r="K265" s="56">
        <v>10182</v>
      </c>
      <c r="L265" s="56">
        <v>10026</v>
      </c>
      <c r="M265" s="56">
        <v>9903</v>
      </c>
      <c r="N265" s="56">
        <v>10126</v>
      </c>
      <c r="O265" s="56">
        <v>9965</v>
      </c>
      <c r="Q265" s="238" t="s">
        <v>2629</v>
      </c>
    </row>
    <row r="266" spans="1:17">
      <c r="A266" s="238" t="s">
        <v>5889</v>
      </c>
      <c r="B266" s="238" t="s">
        <v>4171</v>
      </c>
      <c r="C266" s="55" t="s">
        <v>7387</v>
      </c>
      <c r="D266" s="241">
        <v>10112</v>
      </c>
      <c r="E266" s="241">
        <v>10148</v>
      </c>
      <c r="F266" s="241">
        <v>10271</v>
      </c>
      <c r="G266" s="58">
        <v>10288</v>
      </c>
      <c r="H266" s="58">
        <v>9966</v>
      </c>
      <c r="I266" s="58">
        <v>9956</v>
      </c>
      <c r="J266" s="58">
        <v>10118</v>
      </c>
      <c r="K266" s="58">
        <v>10316</v>
      </c>
      <c r="L266" s="58">
        <v>10377</v>
      </c>
      <c r="M266" s="58">
        <v>10274</v>
      </c>
      <c r="N266" s="58">
        <v>10513</v>
      </c>
      <c r="O266" s="58">
        <v>10443</v>
      </c>
      <c r="Q266" s="238" t="s">
        <v>4097</v>
      </c>
    </row>
    <row r="267" spans="1:17">
      <c r="A267" s="238" t="s">
        <v>4431</v>
      </c>
      <c r="B267" s="238" t="s">
        <v>5725</v>
      </c>
      <c r="C267" s="55" t="s">
        <v>7388</v>
      </c>
      <c r="D267" s="241">
        <v>9864</v>
      </c>
      <c r="E267" s="241">
        <v>10114</v>
      </c>
      <c r="F267" s="241">
        <v>10234</v>
      </c>
      <c r="G267" s="56">
        <v>10325</v>
      </c>
      <c r="H267" s="56">
        <v>10198</v>
      </c>
      <c r="I267" s="56">
        <v>10130</v>
      </c>
      <c r="J267" s="56">
        <v>10122</v>
      </c>
      <c r="K267" s="56">
        <v>10146</v>
      </c>
      <c r="L267" s="56">
        <v>10064</v>
      </c>
      <c r="M267" s="56">
        <v>10034</v>
      </c>
      <c r="N267" s="56">
        <v>10076</v>
      </c>
      <c r="O267" s="56">
        <v>10025</v>
      </c>
      <c r="Q267" s="238" t="s">
        <v>2631</v>
      </c>
    </row>
    <row r="268" spans="1:17">
      <c r="D268" s="241"/>
      <c r="E268" s="241"/>
      <c r="F268" s="241"/>
      <c r="G268" s="241"/>
      <c r="H268" s="241"/>
      <c r="I268" s="241"/>
      <c r="J268" s="241"/>
      <c r="K268" s="241"/>
      <c r="L268" s="241"/>
      <c r="M268" s="241"/>
      <c r="N268" s="241"/>
      <c r="O268" s="241"/>
    </row>
    <row r="269" spans="1:17">
      <c r="A269" s="238" t="s">
        <v>2629</v>
      </c>
      <c r="D269" s="240">
        <f t="shared" ref="D269:I269" si="129">D248+D251+SUM(D262:D265)</f>
        <v>60977</v>
      </c>
      <c r="E269" s="240">
        <f t="shared" si="129"/>
        <v>61714</v>
      </c>
      <c r="F269" s="240">
        <f t="shared" si="129"/>
        <v>61978</v>
      </c>
      <c r="G269" s="240">
        <f t="shared" si="129"/>
        <v>62137</v>
      </c>
      <c r="H269" s="240">
        <f t="shared" si="129"/>
        <v>60485</v>
      </c>
      <c r="I269" s="240">
        <f t="shared" si="129"/>
        <v>60462</v>
      </c>
      <c r="J269" s="240">
        <f t="shared" ref="J269:O269" si="130">J248+J251+SUM(J262:J265)</f>
        <v>61054</v>
      </c>
      <c r="K269" s="240">
        <f t="shared" si="130"/>
        <v>61719</v>
      </c>
      <c r="L269" s="240">
        <f t="shared" si="130"/>
        <v>60966</v>
      </c>
      <c r="M269" s="240">
        <f t="shared" si="130"/>
        <v>60543</v>
      </c>
      <c r="N269" s="240">
        <f t="shared" si="130"/>
        <v>62321</v>
      </c>
      <c r="O269" s="240">
        <f t="shared" si="130"/>
        <v>61333</v>
      </c>
    </row>
    <row r="270" spans="1:17">
      <c r="A270" s="238" t="s">
        <v>2631</v>
      </c>
      <c r="D270" s="240">
        <f t="shared" ref="D270:I270" si="131">D246+D247+D255+D256+D258+D267</f>
        <v>60887</v>
      </c>
      <c r="E270" s="240">
        <f t="shared" si="131"/>
        <v>61308</v>
      </c>
      <c r="F270" s="240">
        <f t="shared" si="131"/>
        <v>61506</v>
      </c>
      <c r="G270" s="240">
        <f t="shared" si="131"/>
        <v>61805</v>
      </c>
      <c r="H270" s="240">
        <f t="shared" si="131"/>
        <v>60171</v>
      </c>
      <c r="I270" s="240">
        <f t="shared" si="131"/>
        <v>60187</v>
      </c>
      <c r="J270" s="240">
        <f t="shared" ref="J270:O270" si="132">J246+J247+J255+J256+J258+J267</f>
        <v>60284</v>
      </c>
      <c r="K270" s="240">
        <f t="shared" si="132"/>
        <v>60957</v>
      </c>
      <c r="L270" s="240">
        <f t="shared" si="132"/>
        <v>60491</v>
      </c>
      <c r="M270" s="240">
        <f t="shared" si="132"/>
        <v>60456</v>
      </c>
      <c r="N270" s="240">
        <f t="shared" si="132"/>
        <v>61083</v>
      </c>
      <c r="O270" s="240">
        <f t="shared" si="132"/>
        <v>60301</v>
      </c>
    </row>
    <row r="271" spans="1:17">
      <c r="A271" s="238" t="s">
        <v>5726</v>
      </c>
      <c r="D271" s="240">
        <f t="shared" ref="D271:I271" si="133">D245+SUM(D252:D254)</f>
        <v>38877</v>
      </c>
      <c r="E271" s="240">
        <f t="shared" si="133"/>
        <v>39227</v>
      </c>
      <c r="F271" s="240">
        <f t="shared" si="133"/>
        <v>39440</v>
      </c>
      <c r="G271" s="240">
        <f t="shared" si="133"/>
        <v>39504</v>
      </c>
      <c r="H271" s="240">
        <f t="shared" si="133"/>
        <v>38848</v>
      </c>
      <c r="I271" s="240">
        <f t="shared" si="133"/>
        <v>38771</v>
      </c>
      <c r="J271" s="240">
        <f t="shared" ref="J271:O271" si="134">J245+SUM(J252:J254)</f>
        <v>39157</v>
      </c>
      <c r="K271" s="240">
        <f t="shared" si="134"/>
        <v>39543</v>
      </c>
      <c r="L271" s="240">
        <f t="shared" si="134"/>
        <v>39373</v>
      </c>
      <c r="M271" s="240">
        <f t="shared" si="134"/>
        <v>39043</v>
      </c>
      <c r="N271" s="240">
        <f t="shared" si="134"/>
        <v>39806</v>
      </c>
      <c r="O271" s="240">
        <f t="shared" si="134"/>
        <v>39346</v>
      </c>
    </row>
    <row r="272" spans="1:17">
      <c r="A272" s="238" t="s">
        <v>4097</v>
      </c>
      <c r="D272" s="240">
        <f t="shared" ref="D272:I272" si="135">D244+D250+D257+SUM(D259:D261)+D266</f>
        <v>69855</v>
      </c>
      <c r="E272" s="240">
        <f t="shared" si="135"/>
        <v>70225</v>
      </c>
      <c r="F272" s="240">
        <f t="shared" si="135"/>
        <v>70337</v>
      </c>
      <c r="G272" s="240">
        <f t="shared" si="135"/>
        <v>70425</v>
      </c>
      <c r="H272" s="240">
        <f t="shared" si="135"/>
        <v>68747</v>
      </c>
      <c r="I272" s="240">
        <f t="shared" si="135"/>
        <v>68686</v>
      </c>
      <c r="J272" s="240">
        <f t="shared" ref="J272:O272" si="136">J244+J250+J257+SUM(J259:J261)+J266</f>
        <v>69303</v>
      </c>
      <c r="K272" s="240">
        <f t="shared" si="136"/>
        <v>69791</v>
      </c>
      <c r="L272" s="240">
        <f t="shared" si="136"/>
        <v>69763</v>
      </c>
      <c r="M272" s="240">
        <f t="shared" si="136"/>
        <v>69058</v>
      </c>
      <c r="N272" s="240">
        <f t="shared" si="136"/>
        <v>70280</v>
      </c>
      <c r="O272" s="240">
        <f t="shared" si="136"/>
        <v>69364</v>
      </c>
    </row>
    <row r="273" spans="1:17">
      <c r="A273" s="238" t="s">
        <v>5727</v>
      </c>
      <c r="D273" s="240">
        <f t="shared" ref="D273:I273" si="137">D249</f>
        <v>9617</v>
      </c>
      <c r="E273" s="240">
        <f t="shared" si="137"/>
        <v>9657</v>
      </c>
      <c r="F273" s="240">
        <f t="shared" si="137"/>
        <v>9668</v>
      </c>
      <c r="G273" s="240">
        <f t="shared" si="137"/>
        <v>9774</v>
      </c>
      <c r="H273" s="240">
        <f t="shared" si="137"/>
        <v>9536</v>
      </c>
      <c r="I273" s="240">
        <f t="shared" si="137"/>
        <v>9444</v>
      </c>
      <c r="J273" s="240">
        <f t="shared" ref="J273:O273" si="138">J249</f>
        <v>9607</v>
      </c>
      <c r="K273" s="240">
        <f t="shared" si="138"/>
        <v>9610</v>
      </c>
      <c r="L273" s="240">
        <f t="shared" si="138"/>
        <v>9427</v>
      </c>
      <c r="M273" s="240">
        <f t="shared" si="138"/>
        <v>9375</v>
      </c>
      <c r="N273" s="240">
        <f t="shared" si="138"/>
        <v>9525</v>
      </c>
      <c r="O273" s="240">
        <f t="shared" si="138"/>
        <v>9378</v>
      </c>
    </row>
    <row r="274" spans="1:17">
      <c r="A274" s="238"/>
      <c r="D274" s="240"/>
      <c r="E274" s="240"/>
      <c r="F274" s="240"/>
      <c r="G274" s="240"/>
      <c r="H274" s="240"/>
      <c r="I274" s="240"/>
      <c r="J274" s="240"/>
      <c r="K274" s="240"/>
      <c r="L274" s="240"/>
      <c r="M274" s="240"/>
      <c r="N274" s="240"/>
      <c r="O274" s="240"/>
    </row>
    <row r="275" spans="1:17">
      <c r="A275" s="238" t="s">
        <v>5728</v>
      </c>
      <c r="D275" s="240"/>
      <c r="E275" s="240"/>
      <c r="F275" s="240"/>
      <c r="G275" s="240"/>
      <c r="H275" s="240"/>
      <c r="I275" s="240"/>
      <c r="J275" s="240"/>
      <c r="K275" s="240"/>
      <c r="L275" s="240"/>
      <c r="M275" s="240"/>
      <c r="N275" s="240"/>
      <c r="O275" s="240"/>
    </row>
    <row r="276" spans="1:17">
      <c r="A276" s="238"/>
      <c r="B276" s="238"/>
      <c r="D276" s="249"/>
      <c r="E276" s="249"/>
      <c r="F276" s="249"/>
      <c r="G276" s="249"/>
      <c r="H276" s="249"/>
      <c r="I276" s="249"/>
      <c r="J276" s="249"/>
      <c r="K276" s="249"/>
      <c r="L276" s="249"/>
      <c r="M276" s="249"/>
      <c r="N276" s="249"/>
      <c r="O276" s="249"/>
    </row>
    <row r="277" spans="1:17">
      <c r="A277" s="238"/>
      <c r="B277" s="238"/>
      <c r="D277" s="249"/>
      <c r="E277" s="249"/>
      <c r="F277" s="249"/>
      <c r="G277" s="249"/>
      <c r="H277" s="249"/>
      <c r="I277" s="249"/>
      <c r="J277" s="249"/>
      <c r="K277" s="249"/>
      <c r="L277" s="249"/>
      <c r="M277" s="249"/>
      <c r="N277" s="249"/>
      <c r="O277" s="249"/>
    </row>
    <row r="278" spans="1:17">
      <c r="E278" s="51" t="s">
        <v>1526</v>
      </c>
      <c r="F278" s="51"/>
      <c r="G278" s="51"/>
      <c r="H278" s="51"/>
      <c r="I278" s="51"/>
      <c r="J278" s="51"/>
      <c r="K278" s="51"/>
      <c r="L278" s="51"/>
      <c r="M278" s="51"/>
      <c r="N278" s="51"/>
      <c r="O278" s="51"/>
      <c r="P278" s="173"/>
      <c r="Q278" s="173" t="s">
        <v>9479</v>
      </c>
    </row>
    <row r="279" spans="1:17">
      <c r="D279" s="239">
        <v>2010</v>
      </c>
      <c r="E279" s="239">
        <v>2011</v>
      </c>
      <c r="F279" s="239">
        <v>2012</v>
      </c>
      <c r="G279" s="239">
        <v>2013</v>
      </c>
      <c r="H279" s="239">
        <v>2014</v>
      </c>
      <c r="I279" s="239">
        <v>2015</v>
      </c>
      <c r="J279" s="239">
        <v>2016</v>
      </c>
      <c r="K279" s="239">
        <v>2017</v>
      </c>
      <c r="L279" s="239">
        <v>2018</v>
      </c>
      <c r="M279" s="239">
        <v>2019</v>
      </c>
      <c r="N279" s="239">
        <v>2020</v>
      </c>
      <c r="O279" s="928" t="s">
        <v>14823</v>
      </c>
      <c r="Q279" s="206" t="s">
        <v>1527</v>
      </c>
    </row>
    <row r="280" spans="1:17">
      <c r="A280" s="238" t="s">
        <v>5729</v>
      </c>
      <c r="D280" s="240">
        <f t="shared" ref="D280:I280" si="139">SUM(D281:D304)</f>
        <v>220403</v>
      </c>
      <c r="E280" s="240">
        <f t="shared" si="139"/>
        <v>219710</v>
      </c>
      <c r="F280" s="240">
        <f t="shared" si="139"/>
        <v>222014</v>
      </c>
      <c r="G280" s="240">
        <f t="shared" si="139"/>
        <v>224705</v>
      </c>
      <c r="H280" s="240">
        <f t="shared" si="139"/>
        <v>221702</v>
      </c>
      <c r="I280" s="240">
        <f t="shared" si="139"/>
        <v>221691</v>
      </c>
      <c r="J280" s="240">
        <f t="shared" ref="J280:O280" si="140">SUM(J281:J304)</f>
        <v>215484</v>
      </c>
      <c r="K280" s="240">
        <f t="shared" si="140"/>
        <v>219141</v>
      </c>
      <c r="L280" s="240">
        <f t="shared" si="140"/>
        <v>222016</v>
      </c>
      <c r="M280" s="240">
        <f t="shared" si="140"/>
        <v>209837</v>
      </c>
      <c r="N280" s="240">
        <f t="shared" si="140"/>
        <v>219242</v>
      </c>
      <c r="O280" s="240">
        <f t="shared" si="140"/>
        <v>218539</v>
      </c>
    </row>
    <row r="281" spans="1:17">
      <c r="A281" s="238" t="s">
        <v>5387</v>
      </c>
      <c r="B281" s="238" t="s">
        <v>6402</v>
      </c>
      <c r="C281" s="55" t="s">
        <v>7389</v>
      </c>
      <c r="D281" s="241">
        <v>8474</v>
      </c>
      <c r="E281" s="241">
        <v>8431</v>
      </c>
      <c r="F281" s="241">
        <v>8485</v>
      </c>
      <c r="G281" s="241">
        <v>8442</v>
      </c>
      <c r="H281" s="56">
        <v>8297</v>
      </c>
      <c r="I281" s="56">
        <v>8316</v>
      </c>
      <c r="J281" s="56">
        <v>7865</v>
      </c>
      <c r="K281" s="56">
        <v>7996</v>
      </c>
      <c r="L281" s="56">
        <v>8008</v>
      </c>
      <c r="M281" s="56">
        <v>7646</v>
      </c>
      <c r="N281" s="56">
        <v>8029</v>
      </c>
      <c r="O281" s="56">
        <v>7977</v>
      </c>
      <c r="Q281" s="238" t="s">
        <v>4101</v>
      </c>
    </row>
    <row r="282" spans="1:17">
      <c r="A282" s="238" t="s">
        <v>5389</v>
      </c>
      <c r="B282" s="238" t="s">
        <v>4811</v>
      </c>
      <c r="C282" s="55" t="s">
        <v>7390</v>
      </c>
      <c r="D282" s="241">
        <v>9298</v>
      </c>
      <c r="E282" s="241">
        <v>9276</v>
      </c>
      <c r="F282" s="241">
        <v>9330</v>
      </c>
      <c r="G282" s="241">
        <v>9474</v>
      </c>
      <c r="H282" s="56">
        <v>9369</v>
      </c>
      <c r="I282" s="56">
        <v>9388</v>
      </c>
      <c r="J282" s="56">
        <v>9124</v>
      </c>
      <c r="K282" s="56">
        <v>9314</v>
      </c>
      <c r="L282" s="56">
        <v>9354</v>
      </c>
      <c r="M282" s="56">
        <v>8943</v>
      </c>
      <c r="N282" s="56">
        <v>9150</v>
      </c>
      <c r="O282" s="56">
        <v>9109</v>
      </c>
      <c r="Q282" s="238" t="s">
        <v>2632</v>
      </c>
    </row>
    <row r="283" spans="1:17">
      <c r="A283" s="238" t="s">
        <v>5391</v>
      </c>
      <c r="B283" s="238" t="s">
        <v>5730</v>
      </c>
      <c r="C283" s="55" t="s">
        <v>7391</v>
      </c>
      <c r="D283" s="241">
        <v>9210</v>
      </c>
      <c r="E283" s="241">
        <v>9123</v>
      </c>
      <c r="F283" s="241">
        <v>9145</v>
      </c>
      <c r="G283" s="241">
        <v>9232</v>
      </c>
      <c r="H283" s="56">
        <v>9159</v>
      </c>
      <c r="I283" s="56">
        <v>9121</v>
      </c>
      <c r="J283" s="56">
        <v>8851</v>
      </c>
      <c r="K283" s="56">
        <v>9013</v>
      </c>
      <c r="L283" s="56">
        <v>9016</v>
      </c>
      <c r="M283" s="56">
        <v>8621</v>
      </c>
      <c r="N283" s="56">
        <v>8870</v>
      </c>
      <c r="O283" s="56">
        <v>8828</v>
      </c>
      <c r="Q283" s="238" t="s">
        <v>4101</v>
      </c>
    </row>
    <row r="284" spans="1:17">
      <c r="A284" s="238" t="s">
        <v>5393</v>
      </c>
      <c r="B284" s="238" t="s">
        <v>5731</v>
      </c>
      <c r="C284" s="55" t="s">
        <v>7392</v>
      </c>
      <c r="D284" s="241">
        <v>9316</v>
      </c>
      <c r="E284" s="241">
        <v>9309</v>
      </c>
      <c r="F284" s="241">
        <v>9361</v>
      </c>
      <c r="G284" s="241">
        <v>9435</v>
      </c>
      <c r="H284" s="56">
        <v>9241</v>
      </c>
      <c r="I284" s="56">
        <v>9258</v>
      </c>
      <c r="J284" s="56">
        <v>9132</v>
      </c>
      <c r="K284" s="56">
        <v>9181</v>
      </c>
      <c r="L284" s="56">
        <v>9269</v>
      </c>
      <c r="M284" s="56">
        <v>8803</v>
      </c>
      <c r="N284" s="56">
        <v>9055</v>
      </c>
      <c r="O284" s="56">
        <v>9035</v>
      </c>
      <c r="Q284" s="238" t="s">
        <v>4102</v>
      </c>
    </row>
    <row r="285" spans="1:17">
      <c r="A285" s="238" t="s">
        <v>5394</v>
      </c>
      <c r="B285" s="238" t="s">
        <v>5732</v>
      </c>
      <c r="C285" s="55" t="s">
        <v>7393</v>
      </c>
      <c r="D285" s="241">
        <v>10003</v>
      </c>
      <c r="E285" s="241">
        <v>9989</v>
      </c>
      <c r="F285" s="241">
        <v>10160</v>
      </c>
      <c r="G285" s="241">
        <v>10336</v>
      </c>
      <c r="H285" s="56">
        <v>10173</v>
      </c>
      <c r="I285" s="56">
        <v>10151</v>
      </c>
      <c r="J285" s="56">
        <v>9982</v>
      </c>
      <c r="K285" s="56">
        <v>10150</v>
      </c>
      <c r="L285" s="56">
        <v>10268</v>
      </c>
      <c r="M285" s="56">
        <v>9668</v>
      </c>
      <c r="N285" s="56">
        <v>10160</v>
      </c>
      <c r="O285" s="56">
        <v>10111</v>
      </c>
      <c r="Q285" s="238" t="s">
        <v>2632</v>
      </c>
    </row>
    <row r="286" spans="1:17">
      <c r="A286" s="238" t="s">
        <v>5416</v>
      </c>
      <c r="B286" s="238" t="s">
        <v>5733</v>
      </c>
      <c r="C286" s="55" t="s">
        <v>7394</v>
      </c>
      <c r="D286" s="241">
        <v>9127</v>
      </c>
      <c r="E286" s="241">
        <v>9085</v>
      </c>
      <c r="F286" s="241">
        <v>9060</v>
      </c>
      <c r="G286" s="241">
        <v>9137</v>
      </c>
      <c r="H286" s="56">
        <v>9027</v>
      </c>
      <c r="I286" s="56">
        <v>8989</v>
      </c>
      <c r="J286" s="56">
        <v>8741</v>
      </c>
      <c r="K286" s="56">
        <v>8812</v>
      </c>
      <c r="L286" s="56">
        <v>8878</v>
      </c>
      <c r="M286" s="56">
        <v>8374</v>
      </c>
      <c r="N286" s="56">
        <v>8655</v>
      </c>
      <c r="O286" s="56">
        <v>8622</v>
      </c>
      <c r="Q286" s="238" t="s">
        <v>4102</v>
      </c>
    </row>
    <row r="287" spans="1:17">
      <c r="A287" s="238" t="s">
        <v>5418</v>
      </c>
      <c r="B287" s="238" t="s">
        <v>4218</v>
      </c>
      <c r="C287" s="55" t="s">
        <v>7395</v>
      </c>
      <c r="D287" s="241">
        <v>9772</v>
      </c>
      <c r="E287" s="241">
        <v>9708</v>
      </c>
      <c r="F287" s="241">
        <v>9752</v>
      </c>
      <c r="G287" s="241">
        <v>9877</v>
      </c>
      <c r="H287" s="56">
        <v>9725</v>
      </c>
      <c r="I287" s="56">
        <v>9732</v>
      </c>
      <c r="J287" s="56">
        <v>9438</v>
      </c>
      <c r="K287" s="56">
        <v>9689</v>
      </c>
      <c r="L287" s="56">
        <v>9907</v>
      </c>
      <c r="M287" s="56">
        <v>9392</v>
      </c>
      <c r="N287" s="56">
        <v>9696</v>
      </c>
      <c r="O287" s="56">
        <v>9660</v>
      </c>
      <c r="Q287" s="238" t="s">
        <v>4102</v>
      </c>
    </row>
    <row r="288" spans="1:17">
      <c r="A288" s="238" t="s">
        <v>5420</v>
      </c>
      <c r="B288" s="238" t="s">
        <v>4219</v>
      </c>
      <c r="C288" s="55" t="s">
        <v>7396</v>
      </c>
      <c r="D288" s="241">
        <v>9560</v>
      </c>
      <c r="E288" s="241">
        <v>9517</v>
      </c>
      <c r="F288" s="241">
        <v>9574</v>
      </c>
      <c r="G288" s="241">
        <v>9685</v>
      </c>
      <c r="H288" s="58">
        <v>9540</v>
      </c>
      <c r="I288" s="58">
        <v>9508</v>
      </c>
      <c r="J288" s="58">
        <v>9166</v>
      </c>
      <c r="K288" s="58">
        <v>9235</v>
      </c>
      <c r="L288" s="58">
        <v>9286</v>
      </c>
      <c r="M288" s="58">
        <v>8696</v>
      </c>
      <c r="N288" s="58">
        <v>9075</v>
      </c>
      <c r="O288" s="58">
        <v>9067</v>
      </c>
      <c r="Q288" s="238" t="s">
        <v>4103</v>
      </c>
    </row>
    <row r="289" spans="1:17">
      <c r="A289" s="238" t="s">
        <v>5422</v>
      </c>
      <c r="B289" s="238" t="s">
        <v>4220</v>
      </c>
      <c r="C289" s="55" t="s">
        <v>7397</v>
      </c>
      <c r="D289" s="241">
        <v>7782</v>
      </c>
      <c r="E289" s="241">
        <v>7702</v>
      </c>
      <c r="F289" s="241">
        <v>7810</v>
      </c>
      <c r="G289" s="241">
        <v>8028</v>
      </c>
      <c r="H289" s="56">
        <v>8029</v>
      </c>
      <c r="I289" s="56">
        <v>8049</v>
      </c>
      <c r="J289" s="56">
        <v>8042</v>
      </c>
      <c r="K289" s="56">
        <v>8212</v>
      </c>
      <c r="L289" s="56">
        <v>8484</v>
      </c>
      <c r="M289" s="56">
        <v>7939</v>
      </c>
      <c r="N289" s="56">
        <v>8343</v>
      </c>
      <c r="O289" s="56">
        <v>8340</v>
      </c>
      <c r="Q289" s="238" t="s">
        <v>4102</v>
      </c>
    </row>
    <row r="290" spans="1:17">
      <c r="A290" s="238" t="s">
        <v>5424</v>
      </c>
      <c r="B290" s="238" t="s">
        <v>4221</v>
      </c>
      <c r="C290" s="55" t="s">
        <v>7398</v>
      </c>
      <c r="D290" s="241">
        <v>9451</v>
      </c>
      <c r="E290" s="241">
        <v>9476</v>
      </c>
      <c r="F290" s="241">
        <v>9623</v>
      </c>
      <c r="G290" s="241">
        <v>9780</v>
      </c>
      <c r="H290" s="56">
        <v>9676</v>
      </c>
      <c r="I290" s="56">
        <v>9639</v>
      </c>
      <c r="J290" s="56">
        <v>9379</v>
      </c>
      <c r="K290" s="56">
        <v>9455</v>
      </c>
      <c r="L290" s="56">
        <v>9511</v>
      </c>
      <c r="M290" s="56">
        <v>8956</v>
      </c>
      <c r="N290" s="56">
        <v>9256</v>
      </c>
      <c r="O290" s="56">
        <v>9247</v>
      </c>
      <c r="Q290" s="238" t="s">
        <v>4102</v>
      </c>
    </row>
    <row r="291" spans="1:17">
      <c r="A291" s="238" t="s">
        <v>5426</v>
      </c>
      <c r="B291" s="238" t="s">
        <v>4222</v>
      </c>
      <c r="C291" s="55" t="s">
        <v>7399</v>
      </c>
      <c r="D291" s="248">
        <v>9109</v>
      </c>
      <c r="E291" s="248">
        <v>9137</v>
      </c>
      <c r="F291" s="248">
        <v>9235</v>
      </c>
      <c r="G291" s="248">
        <v>9304</v>
      </c>
      <c r="H291" s="56">
        <v>9134</v>
      </c>
      <c r="I291" s="56">
        <v>9131</v>
      </c>
      <c r="J291" s="56">
        <v>8958</v>
      </c>
      <c r="K291" s="56">
        <v>9158</v>
      </c>
      <c r="L291" s="56">
        <v>9248</v>
      </c>
      <c r="M291" s="56">
        <v>8698</v>
      </c>
      <c r="N291" s="56">
        <v>9101</v>
      </c>
      <c r="O291" s="56">
        <v>9091</v>
      </c>
      <c r="Q291" s="238" t="s">
        <v>4101</v>
      </c>
    </row>
    <row r="292" spans="1:17">
      <c r="A292" s="238" t="s">
        <v>5428</v>
      </c>
      <c r="B292" s="238" t="s">
        <v>4266</v>
      </c>
      <c r="C292" s="55" t="s">
        <v>7400</v>
      </c>
      <c r="D292" s="241">
        <v>8889</v>
      </c>
      <c r="E292" s="241">
        <v>8813</v>
      </c>
      <c r="F292" s="241">
        <v>8872</v>
      </c>
      <c r="G292" s="241">
        <v>8933</v>
      </c>
      <c r="H292" s="58">
        <v>8818</v>
      </c>
      <c r="I292" s="58">
        <v>8771</v>
      </c>
      <c r="J292" s="58">
        <v>8544</v>
      </c>
      <c r="K292" s="58">
        <v>8662</v>
      </c>
      <c r="L292" s="58">
        <v>8749</v>
      </c>
      <c r="M292" s="58">
        <v>8280</v>
      </c>
      <c r="N292" s="58">
        <v>8527</v>
      </c>
      <c r="O292" s="58">
        <v>8472</v>
      </c>
      <c r="Q292" s="238" t="s">
        <v>4102</v>
      </c>
    </row>
    <row r="293" spans="1:17">
      <c r="A293" s="238" t="s">
        <v>5429</v>
      </c>
      <c r="B293" s="238" t="s">
        <v>4223</v>
      </c>
      <c r="C293" s="55" t="s">
        <v>7401</v>
      </c>
      <c r="D293" s="241">
        <v>9134</v>
      </c>
      <c r="E293" s="241">
        <v>9141</v>
      </c>
      <c r="F293" s="241">
        <v>9263</v>
      </c>
      <c r="G293" s="241">
        <v>9344</v>
      </c>
      <c r="H293" s="56">
        <v>9203</v>
      </c>
      <c r="I293" s="56">
        <v>9186</v>
      </c>
      <c r="J293" s="56">
        <v>8965</v>
      </c>
      <c r="K293" s="56">
        <v>9151</v>
      </c>
      <c r="L293" s="56">
        <v>9204</v>
      </c>
      <c r="M293" s="56">
        <v>8722</v>
      </c>
      <c r="N293" s="56">
        <v>9039</v>
      </c>
      <c r="O293" s="56">
        <v>8997</v>
      </c>
      <c r="Q293" s="238" t="s">
        <v>4101</v>
      </c>
    </row>
    <row r="294" spans="1:17">
      <c r="A294" s="238" t="s">
        <v>5431</v>
      </c>
      <c r="B294" s="238" t="s">
        <v>4224</v>
      </c>
      <c r="C294" s="55" t="s">
        <v>7402</v>
      </c>
      <c r="D294" s="241">
        <v>9160</v>
      </c>
      <c r="E294" s="241">
        <v>9218</v>
      </c>
      <c r="F294" s="241">
        <v>9371</v>
      </c>
      <c r="G294" s="241">
        <v>9449</v>
      </c>
      <c r="H294" s="58">
        <v>9393</v>
      </c>
      <c r="I294" s="58">
        <v>9403</v>
      </c>
      <c r="J294" s="58">
        <v>9188</v>
      </c>
      <c r="K294" s="58">
        <v>9332</v>
      </c>
      <c r="L294" s="58">
        <v>9606</v>
      </c>
      <c r="M294" s="58">
        <v>8578</v>
      </c>
      <c r="N294" s="58">
        <v>9246</v>
      </c>
      <c r="O294" s="58">
        <v>9255</v>
      </c>
      <c r="Q294" s="238" t="s">
        <v>4103</v>
      </c>
    </row>
    <row r="295" spans="1:17">
      <c r="A295" s="238" t="s">
        <v>5433</v>
      </c>
      <c r="B295" s="238" t="s">
        <v>4225</v>
      </c>
      <c r="C295" s="55" t="s">
        <v>7403</v>
      </c>
      <c r="D295" s="241">
        <v>9295</v>
      </c>
      <c r="E295" s="241">
        <v>9109</v>
      </c>
      <c r="F295" s="241">
        <v>9241</v>
      </c>
      <c r="G295" s="241">
        <v>9309</v>
      </c>
      <c r="H295" s="58">
        <v>9150</v>
      </c>
      <c r="I295" s="58">
        <v>9127</v>
      </c>
      <c r="J295" s="58">
        <v>8856</v>
      </c>
      <c r="K295" s="58">
        <v>8931</v>
      </c>
      <c r="L295" s="58">
        <v>9035</v>
      </c>
      <c r="M295" s="58">
        <v>8612</v>
      </c>
      <c r="N295" s="58">
        <v>8886</v>
      </c>
      <c r="O295" s="58">
        <v>8859</v>
      </c>
      <c r="Q295" s="238" t="s">
        <v>4103</v>
      </c>
    </row>
    <row r="296" spans="1:17">
      <c r="A296" s="238" t="s">
        <v>5435</v>
      </c>
      <c r="B296" s="238" t="s">
        <v>984</v>
      </c>
      <c r="C296" s="55" t="s">
        <v>7404</v>
      </c>
      <c r="D296" s="241">
        <v>9180</v>
      </c>
      <c r="E296" s="241">
        <v>9164</v>
      </c>
      <c r="F296" s="241">
        <v>9234</v>
      </c>
      <c r="G296" s="241">
        <v>9262</v>
      </c>
      <c r="H296" s="56">
        <v>9156</v>
      </c>
      <c r="I296" s="56">
        <v>9192</v>
      </c>
      <c r="J296" s="56">
        <v>9036</v>
      </c>
      <c r="K296" s="56">
        <v>9123</v>
      </c>
      <c r="L296" s="56">
        <v>9329</v>
      </c>
      <c r="M296" s="56">
        <v>9173</v>
      </c>
      <c r="N296" s="56">
        <v>9594</v>
      </c>
      <c r="O296" s="56">
        <v>9562</v>
      </c>
      <c r="Q296" s="238" t="s">
        <v>2632</v>
      </c>
    </row>
    <row r="297" spans="1:17">
      <c r="A297" s="238" t="s">
        <v>5436</v>
      </c>
      <c r="B297" s="238" t="s">
        <v>2968</v>
      </c>
      <c r="C297" s="55" t="s">
        <v>7405</v>
      </c>
      <c r="D297" s="241">
        <v>9155</v>
      </c>
      <c r="E297" s="241">
        <v>9163</v>
      </c>
      <c r="F297" s="241">
        <v>9349</v>
      </c>
      <c r="G297" s="241">
        <v>9481</v>
      </c>
      <c r="H297" s="56">
        <v>9418</v>
      </c>
      <c r="I297" s="56">
        <v>9433</v>
      </c>
      <c r="J297" s="56">
        <v>8960</v>
      </c>
      <c r="K297" s="56">
        <v>9108</v>
      </c>
      <c r="L297" s="56">
        <v>9276</v>
      </c>
      <c r="M297" s="56">
        <v>8830</v>
      </c>
      <c r="N297" s="56">
        <v>9567</v>
      </c>
      <c r="O297" s="56">
        <v>9508</v>
      </c>
      <c r="Q297" s="238" t="s">
        <v>4101</v>
      </c>
    </row>
    <row r="298" spans="1:17">
      <c r="A298" s="238" t="s">
        <v>5437</v>
      </c>
      <c r="B298" s="238" t="s">
        <v>2771</v>
      </c>
      <c r="C298" s="55" t="s">
        <v>7406</v>
      </c>
      <c r="D298" s="241">
        <v>9432</v>
      </c>
      <c r="E298" s="241">
        <v>9409</v>
      </c>
      <c r="F298" s="241">
        <v>9496</v>
      </c>
      <c r="G298" s="241">
        <v>9586</v>
      </c>
      <c r="H298" s="56">
        <v>9417</v>
      </c>
      <c r="I298" s="56">
        <v>9424</v>
      </c>
      <c r="J298" s="56">
        <v>9014</v>
      </c>
      <c r="K298" s="56">
        <v>9141</v>
      </c>
      <c r="L298" s="56">
        <v>9207</v>
      </c>
      <c r="M298" s="56">
        <v>8616</v>
      </c>
      <c r="N298" s="56">
        <v>9020</v>
      </c>
      <c r="O298" s="56">
        <v>9006</v>
      </c>
      <c r="Q298" s="238" t="s">
        <v>4101</v>
      </c>
    </row>
    <row r="299" spans="1:17">
      <c r="A299" s="238" t="s">
        <v>5439</v>
      </c>
      <c r="B299" s="238" t="s">
        <v>2772</v>
      </c>
      <c r="C299" s="55" t="s">
        <v>7407</v>
      </c>
      <c r="D299" s="241">
        <v>8718</v>
      </c>
      <c r="E299" s="241">
        <v>8620</v>
      </c>
      <c r="F299" s="241">
        <v>8888</v>
      </c>
      <c r="G299" s="241">
        <v>9113</v>
      </c>
      <c r="H299" s="56">
        <v>9014</v>
      </c>
      <c r="I299" s="56">
        <v>9057</v>
      </c>
      <c r="J299" s="56">
        <v>8733</v>
      </c>
      <c r="K299" s="56">
        <v>9066</v>
      </c>
      <c r="L299" s="56">
        <v>9260</v>
      </c>
      <c r="M299" s="56">
        <v>8471</v>
      </c>
      <c r="N299" s="56">
        <v>9248</v>
      </c>
      <c r="O299" s="56">
        <v>9264</v>
      </c>
      <c r="Q299" s="238" t="s">
        <v>4101</v>
      </c>
    </row>
    <row r="300" spans="1:17">
      <c r="A300" s="238" t="s">
        <v>5441</v>
      </c>
      <c r="B300" s="238" t="s">
        <v>2773</v>
      </c>
      <c r="C300" s="55" t="s">
        <v>7408</v>
      </c>
      <c r="D300" s="241">
        <v>9552</v>
      </c>
      <c r="E300" s="241">
        <v>9738</v>
      </c>
      <c r="F300" s="241">
        <v>9888</v>
      </c>
      <c r="G300" s="241">
        <v>10004</v>
      </c>
      <c r="H300" s="58">
        <v>9834</v>
      </c>
      <c r="I300" s="58">
        <v>9869</v>
      </c>
      <c r="J300" s="58">
        <v>9619</v>
      </c>
      <c r="K300" s="58">
        <v>9853</v>
      </c>
      <c r="L300" s="58">
        <v>10056</v>
      </c>
      <c r="M300" s="58">
        <v>9664</v>
      </c>
      <c r="N300" s="58">
        <v>10151</v>
      </c>
      <c r="O300" s="58">
        <v>10132</v>
      </c>
      <c r="Q300" s="238" t="s">
        <v>4103</v>
      </c>
    </row>
    <row r="301" spans="1:17">
      <c r="A301" s="238" t="s">
        <v>5886</v>
      </c>
      <c r="B301" s="238" t="s">
        <v>2774</v>
      </c>
      <c r="C301" s="55" t="s">
        <v>7409</v>
      </c>
      <c r="D301" s="241">
        <v>9326</v>
      </c>
      <c r="E301" s="241">
        <v>9226</v>
      </c>
      <c r="F301" s="241">
        <v>9186</v>
      </c>
      <c r="G301" s="241">
        <v>9253</v>
      </c>
      <c r="H301" s="58">
        <v>9064</v>
      </c>
      <c r="I301" s="58">
        <v>9051</v>
      </c>
      <c r="J301" s="58">
        <v>8850</v>
      </c>
      <c r="K301" s="58">
        <v>8953</v>
      </c>
      <c r="L301" s="58">
        <v>9040</v>
      </c>
      <c r="M301" s="58">
        <v>8721</v>
      </c>
      <c r="N301" s="58">
        <v>8964</v>
      </c>
      <c r="O301" s="58">
        <v>8934</v>
      </c>
      <c r="Q301" s="238" t="s">
        <v>4103</v>
      </c>
    </row>
    <row r="302" spans="1:17">
      <c r="A302" s="238" t="s">
        <v>5888</v>
      </c>
      <c r="B302" s="238" t="s">
        <v>6449</v>
      </c>
      <c r="C302" s="55" t="s">
        <v>7410</v>
      </c>
      <c r="D302" s="241">
        <v>9166</v>
      </c>
      <c r="E302" s="241">
        <v>9176</v>
      </c>
      <c r="F302" s="241">
        <v>9265</v>
      </c>
      <c r="G302" s="241">
        <v>9449</v>
      </c>
      <c r="H302" s="58">
        <v>9299</v>
      </c>
      <c r="I302" s="58">
        <v>9296</v>
      </c>
      <c r="J302" s="58">
        <v>8959</v>
      </c>
      <c r="K302" s="58">
        <v>9116</v>
      </c>
      <c r="L302" s="58">
        <v>9168</v>
      </c>
      <c r="M302" s="58">
        <v>8716</v>
      </c>
      <c r="N302" s="58">
        <v>9061</v>
      </c>
      <c r="O302" s="58">
        <v>8998</v>
      </c>
      <c r="Q302" s="238" t="s">
        <v>4103</v>
      </c>
    </row>
    <row r="303" spans="1:17">
      <c r="A303" s="238" t="s">
        <v>5889</v>
      </c>
      <c r="B303" s="238" t="s">
        <v>6450</v>
      </c>
      <c r="C303" s="55" t="s">
        <v>7411</v>
      </c>
      <c r="D303" s="248">
        <v>9413</v>
      </c>
      <c r="E303" s="248">
        <v>9265</v>
      </c>
      <c r="F303" s="248">
        <v>9439</v>
      </c>
      <c r="G303" s="248">
        <v>9593</v>
      </c>
      <c r="H303" s="58">
        <v>9441</v>
      </c>
      <c r="I303" s="58">
        <v>9451</v>
      </c>
      <c r="J303" s="58">
        <v>9325</v>
      </c>
      <c r="K303" s="58">
        <v>9533</v>
      </c>
      <c r="L303" s="58">
        <v>9648</v>
      </c>
      <c r="M303" s="58">
        <v>9165</v>
      </c>
      <c r="N303" s="58">
        <v>9567</v>
      </c>
      <c r="O303" s="58">
        <v>9517</v>
      </c>
      <c r="Q303" s="238" t="s">
        <v>4103</v>
      </c>
    </row>
    <row r="304" spans="1:17">
      <c r="A304" s="238" t="s">
        <v>4431</v>
      </c>
      <c r="B304" s="238" t="s">
        <v>6451</v>
      </c>
      <c r="C304" s="55" t="s">
        <v>7412</v>
      </c>
      <c r="D304" s="241">
        <v>8881</v>
      </c>
      <c r="E304" s="241">
        <v>8915</v>
      </c>
      <c r="F304" s="241">
        <v>8987</v>
      </c>
      <c r="G304" s="241">
        <v>9199</v>
      </c>
      <c r="H304" s="58">
        <v>9125</v>
      </c>
      <c r="I304" s="58">
        <v>9149</v>
      </c>
      <c r="J304" s="58">
        <v>8757</v>
      </c>
      <c r="K304" s="58">
        <v>8957</v>
      </c>
      <c r="L304" s="58">
        <v>9209</v>
      </c>
      <c r="M304" s="58">
        <v>8553</v>
      </c>
      <c r="N304" s="58">
        <v>8982</v>
      </c>
      <c r="O304" s="58">
        <v>8948</v>
      </c>
      <c r="Q304" s="238" t="s">
        <v>4102</v>
      </c>
    </row>
    <row r="305" spans="1:17">
      <c r="D305" s="241"/>
      <c r="E305" s="241"/>
      <c r="F305" s="241"/>
      <c r="G305" s="241"/>
      <c r="H305" s="241"/>
      <c r="I305" s="241"/>
      <c r="J305" s="241"/>
      <c r="K305" s="241"/>
      <c r="L305" s="241"/>
      <c r="M305" s="241"/>
      <c r="N305" s="241"/>
      <c r="O305" s="241"/>
    </row>
    <row r="306" spans="1:17">
      <c r="A306" s="238" t="s">
        <v>5726</v>
      </c>
      <c r="D306" s="240">
        <f t="shared" ref="D306:I306" si="141">D282+D285+D296</f>
        <v>28481</v>
      </c>
      <c r="E306" s="240">
        <f t="shared" si="141"/>
        <v>28429</v>
      </c>
      <c r="F306" s="240">
        <f t="shared" si="141"/>
        <v>28724</v>
      </c>
      <c r="G306" s="240">
        <f t="shared" si="141"/>
        <v>29072</v>
      </c>
      <c r="H306" s="240">
        <f t="shared" si="141"/>
        <v>28698</v>
      </c>
      <c r="I306" s="240">
        <f t="shared" si="141"/>
        <v>28731</v>
      </c>
      <c r="J306" s="240">
        <f t="shared" ref="J306:O306" si="142">J282+J285+J296</f>
        <v>28142</v>
      </c>
      <c r="K306" s="240">
        <f t="shared" si="142"/>
        <v>28587</v>
      </c>
      <c r="L306" s="240">
        <f t="shared" si="142"/>
        <v>28951</v>
      </c>
      <c r="M306" s="240">
        <f t="shared" si="142"/>
        <v>27784</v>
      </c>
      <c r="N306" s="240">
        <f t="shared" si="142"/>
        <v>28904</v>
      </c>
      <c r="O306" s="240">
        <f t="shared" si="142"/>
        <v>28782</v>
      </c>
    </row>
    <row r="307" spans="1:17">
      <c r="A307" s="238" t="s">
        <v>4101</v>
      </c>
      <c r="D307" s="240">
        <f t="shared" ref="D307:I307" si="143">D281+D283+D291+D293+SUM(D297:D299)</f>
        <v>63232</v>
      </c>
      <c r="E307" s="240">
        <f t="shared" si="143"/>
        <v>63024</v>
      </c>
      <c r="F307" s="240">
        <f t="shared" si="143"/>
        <v>63861</v>
      </c>
      <c r="G307" s="240">
        <f t="shared" si="143"/>
        <v>64502</v>
      </c>
      <c r="H307" s="240">
        <f t="shared" si="143"/>
        <v>63642</v>
      </c>
      <c r="I307" s="240">
        <f t="shared" si="143"/>
        <v>63668</v>
      </c>
      <c r="J307" s="240">
        <f t="shared" ref="J307:O307" si="144">J281+J283+J291+J293+SUM(J297:J299)</f>
        <v>61346</v>
      </c>
      <c r="K307" s="240">
        <f t="shared" si="144"/>
        <v>62633</v>
      </c>
      <c r="L307" s="240">
        <f t="shared" si="144"/>
        <v>63219</v>
      </c>
      <c r="M307" s="240">
        <f t="shared" si="144"/>
        <v>59604</v>
      </c>
      <c r="N307" s="240">
        <f t="shared" si="144"/>
        <v>62874</v>
      </c>
      <c r="O307" s="240">
        <f t="shared" si="144"/>
        <v>62671</v>
      </c>
    </row>
    <row r="308" spans="1:17">
      <c r="A308" s="238" t="s">
        <v>4102</v>
      </c>
      <c r="D308" s="240">
        <f t="shared" ref="D308:I308" si="145">D284+D286+D287+D289+D290+D292+D304</f>
        <v>63218</v>
      </c>
      <c r="E308" s="240">
        <f t="shared" si="145"/>
        <v>63008</v>
      </c>
      <c r="F308" s="240">
        <f t="shared" si="145"/>
        <v>63465</v>
      </c>
      <c r="G308" s="240">
        <f t="shared" si="145"/>
        <v>64389</v>
      </c>
      <c r="H308" s="240">
        <f t="shared" si="145"/>
        <v>63641</v>
      </c>
      <c r="I308" s="240">
        <f t="shared" si="145"/>
        <v>63587</v>
      </c>
      <c r="J308" s="240">
        <f t="shared" ref="J308:O308" si="146">J284+J286+J287+J289+J290+J292+J304</f>
        <v>62033</v>
      </c>
      <c r="K308" s="240">
        <f t="shared" si="146"/>
        <v>62968</v>
      </c>
      <c r="L308" s="240">
        <f t="shared" si="146"/>
        <v>64007</v>
      </c>
      <c r="M308" s="240">
        <f t="shared" si="146"/>
        <v>60297</v>
      </c>
      <c r="N308" s="240">
        <f t="shared" si="146"/>
        <v>62514</v>
      </c>
      <c r="O308" s="240">
        <f t="shared" si="146"/>
        <v>62324</v>
      </c>
    </row>
    <row r="309" spans="1:17">
      <c r="A309" s="238" t="s">
        <v>4103</v>
      </c>
      <c r="D309" s="240">
        <f t="shared" ref="D309:I309" si="147">D288+D294+D295+SUM(D300:D303)</f>
        <v>65472</v>
      </c>
      <c r="E309" s="240">
        <f t="shared" si="147"/>
        <v>65249</v>
      </c>
      <c r="F309" s="240">
        <f t="shared" si="147"/>
        <v>65964</v>
      </c>
      <c r="G309" s="240">
        <f t="shared" si="147"/>
        <v>66742</v>
      </c>
      <c r="H309" s="240">
        <f t="shared" si="147"/>
        <v>65721</v>
      </c>
      <c r="I309" s="240">
        <f t="shared" si="147"/>
        <v>65705</v>
      </c>
      <c r="J309" s="240">
        <f t="shared" ref="J309:O309" si="148">J288+J294+J295+SUM(J300:J303)</f>
        <v>63963</v>
      </c>
      <c r="K309" s="240">
        <f t="shared" si="148"/>
        <v>64953</v>
      </c>
      <c r="L309" s="240">
        <f t="shared" si="148"/>
        <v>65839</v>
      </c>
      <c r="M309" s="240">
        <f t="shared" si="148"/>
        <v>62152</v>
      </c>
      <c r="N309" s="240">
        <f t="shared" si="148"/>
        <v>64950</v>
      </c>
      <c r="O309" s="240">
        <f t="shared" si="148"/>
        <v>64762</v>
      </c>
    </row>
    <row r="310" spans="1:17">
      <c r="A310" s="238"/>
      <c r="D310" s="240"/>
      <c r="E310" s="240"/>
      <c r="F310" s="240"/>
      <c r="G310" s="240"/>
      <c r="H310" s="240"/>
      <c r="I310" s="240"/>
      <c r="J310" s="240"/>
      <c r="K310" s="240"/>
      <c r="L310" s="240"/>
      <c r="M310" s="240"/>
      <c r="N310" s="240"/>
      <c r="O310" s="240"/>
    </row>
    <row r="311" spans="1:17">
      <c r="A311" s="238" t="s">
        <v>2788</v>
      </c>
      <c r="D311" s="240"/>
      <c r="E311" s="240"/>
      <c r="F311" s="240"/>
      <c r="G311" s="240"/>
      <c r="H311" s="240"/>
      <c r="I311" s="240"/>
      <c r="J311" s="240"/>
      <c r="K311" s="240"/>
      <c r="L311" s="240"/>
      <c r="M311" s="240"/>
      <c r="N311" s="240"/>
      <c r="O311" s="240"/>
    </row>
    <row r="312" spans="1:17">
      <c r="A312" s="238"/>
      <c r="B312" s="238"/>
      <c r="D312" s="249"/>
      <c r="E312" s="249"/>
      <c r="F312" s="249"/>
      <c r="G312" s="249"/>
      <c r="H312" s="249"/>
      <c r="I312" s="249"/>
      <c r="J312" s="249"/>
      <c r="K312" s="249"/>
      <c r="L312" s="249"/>
      <c r="M312" s="249"/>
      <c r="N312" s="249"/>
      <c r="O312" s="249"/>
    </row>
    <row r="313" spans="1:17">
      <c r="A313" s="238"/>
      <c r="B313" s="238"/>
      <c r="D313" s="249"/>
      <c r="E313" s="249"/>
      <c r="F313" s="249"/>
      <c r="G313" s="249"/>
      <c r="H313" s="249"/>
      <c r="I313" s="249"/>
      <c r="J313" s="249"/>
      <c r="K313" s="249"/>
      <c r="L313" s="249"/>
      <c r="M313" s="249"/>
      <c r="N313" s="249"/>
      <c r="O313" s="249"/>
    </row>
    <row r="314" spans="1:17">
      <c r="E314" s="51" t="s">
        <v>1526</v>
      </c>
      <c r="F314" s="51"/>
      <c r="G314" s="51"/>
      <c r="H314" s="51"/>
      <c r="I314" s="51"/>
      <c r="J314" s="51"/>
      <c r="K314" s="51"/>
      <c r="L314" s="51"/>
      <c r="M314" s="51"/>
      <c r="N314" s="51"/>
      <c r="O314" s="51"/>
      <c r="P314" s="173"/>
      <c r="Q314" s="173" t="s">
        <v>9479</v>
      </c>
    </row>
    <row r="315" spans="1:17">
      <c r="D315" s="239">
        <v>2010</v>
      </c>
      <c r="E315" s="239">
        <v>2011</v>
      </c>
      <c r="F315" s="239">
        <v>2012</v>
      </c>
      <c r="G315" s="239">
        <v>2013</v>
      </c>
      <c r="H315" s="239">
        <v>2014</v>
      </c>
      <c r="I315" s="239">
        <v>2015</v>
      </c>
      <c r="J315" s="239">
        <v>2016</v>
      </c>
      <c r="K315" s="239">
        <v>2017</v>
      </c>
      <c r="L315" s="239">
        <v>2018</v>
      </c>
      <c r="M315" s="239">
        <v>2019</v>
      </c>
      <c r="N315" s="239">
        <v>2020</v>
      </c>
      <c r="O315" s="928" t="s">
        <v>14823</v>
      </c>
      <c r="Q315" s="206" t="s">
        <v>1527</v>
      </c>
    </row>
    <row r="316" spans="1:17">
      <c r="A316" s="238" t="s">
        <v>2789</v>
      </c>
      <c r="D316" s="240">
        <f t="shared" ref="D316:I316" si="149">SUM(D317:D333)</f>
        <v>159038</v>
      </c>
      <c r="E316" s="240">
        <f t="shared" si="149"/>
        <v>160782</v>
      </c>
      <c r="F316" s="240">
        <f t="shared" si="149"/>
        <v>157202</v>
      </c>
      <c r="G316" s="240">
        <f t="shared" si="149"/>
        <v>159215</v>
      </c>
      <c r="H316" s="240">
        <f t="shared" si="149"/>
        <v>160752</v>
      </c>
      <c r="I316" s="240">
        <f t="shared" si="149"/>
        <v>156714</v>
      </c>
      <c r="J316" s="240">
        <f t="shared" ref="J316:O316" si="150">SUM(J317:J333)</f>
        <v>153873</v>
      </c>
      <c r="K316" s="240">
        <f t="shared" si="150"/>
        <v>160380</v>
      </c>
      <c r="L316" s="240">
        <f t="shared" si="150"/>
        <v>158603</v>
      </c>
      <c r="M316" s="240">
        <f t="shared" si="150"/>
        <v>157620</v>
      </c>
      <c r="N316" s="240">
        <f t="shared" si="150"/>
        <v>161156</v>
      </c>
      <c r="O316" s="240">
        <f t="shared" si="150"/>
        <v>162614</v>
      </c>
    </row>
    <row r="317" spans="1:17">
      <c r="A317" s="238" t="s">
        <v>5387</v>
      </c>
      <c r="B317" s="238" t="s">
        <v>2790</v>
      </c>
      <c r="C317" s="55" t="s">
        <v>7413</v>
      </c>
      <c r="D317" s="241">
        <v>9432</v>
      </c>
      <c r="E317" s="241">
        <v>9527</v>
      </c>
      <c r="F317" s="241">
        <v>9213</v>
      </c>
      <c r="G317" s="56">
        <v>9262</v>
      </c>
      <c r="H317" s="56">
        <v>9374</v>
      </c>
      <c r="I317" s="56">
        <v>9097</v>
      </c>
      <c r="J317" s="56">
        <v>8941</v>
      </c>
      <c r="K317" s="56">
        <v>9519</v>
      </c>
      <c r="L317" s="56">
        <v>9558</v>
      </c>
      <c r="M317" s="56">
        <v>9500</v>
      </c>
      <c r="N317" s="56">
        <v>9674</v>
      </c>
      <c r="O317" s="56">
        <v>9794</v>
      </c>
      <c r="Q317" s="238" t="s">
        <v>4088</v>
      </c>
    </row>
    <row r="318" spans="1:17">
      <c r="A318" s="238" t="s">
        <v>5389</v>
      </c>
      <c r="B318" s="238" t="s">
        <v>2791</v>
      </c>
      <c r="C318" s="55" t="s">
        <v>7414</v>
      </c>
      <c r="D318" s="241">
        <v>10047</v>
      </c>
      <c r="E318" s="241">
        <v>10239</v>
      </c>
      <c r="F318" s="241">
        <v>10121</v>
      </c>
      <c r="G318" s="56">
        <v>10075</v>
      </c>
      <c r="H318" s="56">
        <v>10139</v>
      </c>
      <c r="I318" s="56">
        <v>9911</v>
      </c>
      <c r="J318" s="56">
        <v>9760</v>
      </c>
      <c r="K318" s="56">
        <v>10259</v>
      </c>
      <c r="L318" s="56">
        <v>10409</v>
      </c>
      <c r="M318" s="56">
        <v>10497</v>
      </c>
      <c r="N318" s="56">
        <v>10952</v>
      </c>
      <c r="O318" s="56">
        <v>11291</v>
      </c>
      <c r="Q318" s="238" t="s">
        <v>4088</v>
      </c>
    </row>
    <row r="319" spans="1:17">
      <c r="A319" s="238" t="s">
        <v>5391</v>
      </c>
      <c r="B319" s="238" t="s">
        <v>2792</v>
      </c>
      <c r="C319" s="55" t="s">
        <v>7415</v>
      </c>
      <c r="D319" s="241">
        <v>9265</v>
      </c>
      <c r="E319" s="241">
        <v>9271</v>
      </c>
      <c r="F319" s="241">
        <v>9108</v>
      </c>
      <c r="G319" s="56">
        <v>9400</v>
      </c>
      <c r="H319" s="56">
        <v>9510</v>
      </c>
      <c r="I319" s="56">
        <v>9384</v>
      </c>
      <c r="J319" s="56">
        <v>9193</v>
      </c>
      <c r="K319" s="56">
        <v>9393</v>
      </c>
      <c r="L319" s="56">
        <v>9312</v>
      </c>
      <c r="M319" s="56">
        <v>9232</v>
      </c>
      <c r="N319" s="56">
        <v>9312</v>
      </c>
      <c r="O319" s="56">
        <v>9305</v>
      </c>
      <c r="Q319" s="238" t="s">
        <v>4088</v>
      </c>
    </row>
    <row r="320" spans="1:17">
      <c r="A320" s="238" t="s">
        <v>5393</v>
      </c>
      <c r="B320" s="238" t="s">
        <v>5924</v>
      </c>
      <c r="C320" s="55" t="s">
        <v>7416</v>
      </c>
      <c r="D320" s="241">
        <v>9112</v>
      </c>
      <c r="E320" s="241">
        <v>9236</v>
      </c>
      <c r="F320" s="241">
        <v>9015</v>
      </c>
      <c r="G320" s="56">
        <v>8864</v>
      </c>
      <c r="H320" s="56">
        <v>8887</v>
      </c>
      <c r="I320" s="56">
        <v>8255</v>
      </c>
      <c r="J320" s="56">
        <v>8067</v>
      </c>
      <c r="K320" s="56">
        <v>8658</v>
      </c>
      <c r="L320" s="56">
        <v>8713</v>
      </c>
      <c r="M320" s="56">
        <v>8724</v>
      </c>
      <c r="N320" s="56">
        <v>9071</v>
      </c>
      <c r="O320" s="56">
        <v>9162</v>
      </c>
      <c r="Q320" s="238" t="s">
        <v>4088</v>
      </c>
    </row>
    <row r="321" spans="1:17">
      <c r="A321" s="238" t="s">
        <v>5394</v>
      </c>
      <c r="B321" s="238" t="s">
        <v>6586</v>
      </c>
      <c r="C321" s="55" t="s">
        <v>7417</v>
      </c>
      <c r="D321" s="241">
        <v>8712</v>
      </c>
      <c r="E321" s="241">
        <v>8823</v>
      </c>
      <c r="F321" s="241">
        <v>8672</v>
      </c>
      <c r="G321" s="56">
        <v>8863</v>
      </c>
      <c r="H321" s="56">
        <v>8817</v>
      </c>
      <c r="I321" s="56">
        <v>8642</v>
      </c>
      <c r="J321" s="56">
        <v>8686</v>
      </c>
      <c r="K321" s="56">
        <v>8945</v>
      </c>
      <c r="L321" s="56">
        <v>8855</v>
      </c>
      <c r="M321" s="56">
        <v>8728</v>
      </c>
      <c r="N321" s="56">
        <v>8870</v>
      </c>
      <c r="O321" s="56">
        <v>8923</v>
      </c>
      <c r="Q321" s="238" t="s">
        <v>4088</v>
      </c>
    </row>
    <row r="322" spans="1:17">
      <c r="A322" s="238" t="s">
        <v>5416</v>
      </c>
      <c r="B322" s="238" t="s">
        <v>4269</v>
      </c>
      <c r="C322" s="55" t="s">
        <v>7418</v>
      </c>
      <c r="D322" s="241">
        <v>9298</v>
      </c>
      <c r="E322" s="241">
        <v>9424</v>
      </c>
      <c r="F322" s="241">
        <v>9233</v>
      </c>
      <c r="G322" s="241">
        <v>9505</v>
      </c>
      <c r="H322" s="56">
        <v>9633</v>
      </c>
      <c r="I322" s="56">
        <v>9398</v>
      </c>
      <c r="J322" s="56">
        <v>9255</v>
      </c>
      <c r="K322" s="56">
        <v>9574</v>
      </c>
      <c r="L322" s="56">
        <v>9371</v>
      </c>
      <c r="M322" s="56">
        <v>9282</v>
      </c>
      <c r="N322" s="56">
        <v>9419</v>
      </c>
      <c r="O322" s="56">
        <v>9453</v>
      </c>
      <c r="Q322" s="238" t="s">
        <v>4096</v>
      </c>
    </row>
    <row r="323" spans="1:17">
      <c r="A323" s="238" t="s">
        <v>5418</v>
      </c>
      <c r="B323" s="238" t="s">
        <v>4270</v>
      </c>
      <c r="C323" s="55" t="s">
        <v>7419</v>
      </c>
      <c r="D323" s="241">
        <v>9413</v>
      </c>
      <c r="E323" s="241">
        <v>9455</v>
      </c>
      <c r="F323" s="241">
        <v>8904</v>
      </c>
      <c r="G323" s="241">
        <v>8984</v>
      </c>
      <c r="H323" s="56">
        <v>9166</v>
      </c>
      <c r="I323" s="56">
        <v>8937</v>
      </c>
      <c r="J323" s="56">
        <v>8506</v>
      </c>
      <c r="K323" s="56">
        <v>8769</v>
      </c>
      <c r="L323" s="56">
        <v>8420</v>
      </c>
      <c r="M323" s="56">
        <v>8544</v>
      </c>
      <c r="N323" s="56">
        <v>8836</v>
      </c>
      <c r="O323" s="56">
        <v>8895</v>
      </c>
      <c r="Q323" s="238" t="s">
        <v>4088</v>
      </c>
    </row>
    <row r="324" spans="1:17">
      <c r="A324" s="238" t="s">
        <v>5420</v>
      </c>
      <c r="B324" s="238" t="s">
        <v>6198</v>
      </c>
      <c r="C324" s="55" t="s">
        <v>7420</v>
      </c>
      <c r="D324" s="241">
        <v>8294</v>
      </c>
      <c r="E324" s="241">
        <v>8412</v>
      </c>
      <c r="F324" s="241">
        <v>8252</v>
      </c>
      <c r="G324" s="241">
        <v>8416</v>
      </c>
      <c r="H324" s="56">
        <v>8349</v>
      </c>
      <c r="I324" s="56">
        <v>8263</v>
      </c>
      <c r="J324" s="56">
        <v>8183</v>
      </c>
      <c r="K324" s="56">
        <v>8446</v>
      </c>
      <c r="L324" s="56">
        <v>8357</v>
      </c>
      <c r="M324" s="56">
        <v>8270</v>
      </c>
      <c r="N324" s="56">
        <v>8472</v>
      </c>
      <c r="O324" s="56">
        <v>8525</v>
      </c>
      <c r="Q324" s="238" t="s">
        <v>4088</v>
      </c>
    </row>
    <row r="325" spans="1:17">
      <c r="A325" s="238" t="s">
        <v>5422</v>
      </c>
      <c r="B325" s="238" t="s">
        <v>4271</v>
      </c>
      <c r="C325" s="55" t="s">
        <v>7421</v>
      </c>
      <c r="D325" s="241">
        <v>10013</v>
      </c>
      <c r="E325" s="241">
        <v>10097</v>
      </c>
      <c r="F325" s="241">
        <v>9741</v>
      </c>
      <c r="G325" s="241">
        <v>9953</v>
      </c>
      <c r="H325" s="56">
        <v>10186</v>
      </c>
      <c r="I325" s="56">
        <v>9871</v>
      </c>
      <c r="J325" s="56">
        <v>9720</v>
      </c>
      <c r="K325" s="56">
        <v>10140</v>
      </c>
      <c r="L325" s="56">
        <v>10046</v>
      </c>
      <c r="M325" s="56">
        <v>9883</v>
      </c>
      <c r="N325" s="56">
        <v>10045</v>
      </c>
      <c r="O325" s="56">
        <v>10193</v>
      </c>
      <c r="Q325" s="238" t="s">
        <v>4096</v>
      </c>
    </row>
    <row r="326" spans="1:17">
      <c r="A326" s="238" t="s">
        <v>5424</v>
      </c>
      <c r="B326" s="238" t="s">
        <v>4773</v>
      </c>
      <c r="C326" s="55" t="s">
        <v>7422</v>
      </c>
      <c r="D326" s="241">
        <v>9349</v>
      </c>
      <c r="E326" s="241">
        <v>9499</v>
      </c>
      <c r="F326" s="241">
        <v>9450</v>
      </c>
      <c r="G326" s="241">
        <v>9460</v>
      </c>
      <c r="H326" s="56">
        <v>9536</v>
      </c>
      <c r="I326" s="56">
        <v>9442</v>
      </c>
      <c r="J326" s="56">
        <v>9421</v>
      </c>
      <c r="K326" s="56">
        <v>9829</v>
      </c>
      <c r="L326" s="56">
        <v>9729</v>
      </c>
      <c r="M326" s="56">
        <v>9745</v>
      </c>
      <c r="N326" s="56">
        <v>9982</v>
      </c>
      <c r="O326" s="56">
        <v>10089</v>
      </c>
      <c r="Q326" s="238" t="s">
        <v>4088</v>
      </c>
    </row>
    <row r="327" spans="1:17">
      <c r="A327" s="238" t="s">
        <v>5426</v>
      </c>
      <c r="B327" s="238" t="s">
        <v>4272</v>
      </c>
      <c r="C327" s="55" t="s">
        <v>7423</v>
      </c>
      <c r="D327" s="241">
        <v>9720</v>
      </c>
      <c r="E327" s="241">
        <v>9809</v>
      </c>
      <c r="F327" s="241">
        <v>9676</v>
      </c>
      <c r="G327" s="241">
        <v>9888</v>
      </c>
      <c r="H327" s="56">
        <v>9984</v>
      </c>
      <c r="I327" s="56">
        <v>9633</v>
      </c>
      <c r="J327" s="56">
        <v>9528</v>
      </c>
      <c r="K327" s="56">
        <v>9984</v>
      </c>
      <c r="L327" s="56">
        <v>9879</v>
      </c>
      <c r="M327" s="56">
        <v>9721</v>
      </c>
      <c r="N327" s="56">
        <v>9844</v>
      </c>
      <c r="O327" s="56">
        <v>9967</v>
      </c>
      <c r="Q327" s="238" t="s">
        <v>4096</v>
      </c>
    </row>
    <row r="328" spans="1:17">
      <c r="A328" s="238" t="s">
        <v>5428</v>
      </c>
      <c r="B328" s="238" t="s">
        <v>4273</v>
      </c>
      <c r="C328" s="55" t="s">
        <v>7424</v>
      </c>
      <c r="D328" s="241">
        <v>10370</v>
      </c>
      <c r="E328" s="241">
        <v>10510</v>
      </c>
      <c r="F328" s="241">
        <v>10373</v>
      </c>
      <c r="G328" s="241">
        <v>10609</v>
      </c>
      <c r="H328" s="58">
        <v>10578</v>
      </c>
      <c r="I328" s="58">
        <v>10518</v>
      </c>
      <c r="J328" s="58">
        <v>10262</v>
      </c>
      <c r="K328" s="58">
        <v>10566</v>
      </c>
      <c r="L328" s="58">
        <v>10469</v>
      </c>
      <c r="M328" s="58">
        <v>10357</v>
      </c>
      <c r="N328" s="58">
        <v>10471</v>
      </c>
      <c r="O328" s="58">
        <v>10496</v>
      </c>
      <c r="Q328" s="238" t="s">
        <v>4096</v>
      </c>
    </row>
    <row r="329" spans="1:17">
      <c r="A329" s="238" t="s">
        <v>5429</v>
      </c>
      <c r="B329" s="238" t="s">
        <v>4274</v>
      </c>
      <c r="C329" s="55" t="s">
        <v>7425</v>
      </c>
      <c r="D329" s="241">
        <v>8790</v>
      </c>
      <c r="E329" s="241">
        <v>8906</v>
      </c>
      <c r="F329" s="241">
        <v>8621</v>
      </c>
      <c r="G329" s="241">
        <v>8738</v>
      </c>
      <c r="H329" s="56">
        <v>8903</v>
      </c>
      <c r="I329" s="56">
        <v>8889</v>
      </c>
      <c r="J329" s="56">
        <v>8610</v>
      </c>
      <c r="K329" s="56">
        <v>8884</v>
      </c>
      <c r="L329" s="56">
        <v>8780</v>
      </c>
      <c r="M329" s="56">
        <v>8693</v>
      </c>
      <c r="N329" s="56">
        <v>8879</v>
      </c>
      <c r="O329" s="56">
        <v>8886</v>
      </c>
      <c r="Q329" s="238" t="s">
        <v>4096</v>
      </c>
    </row>
    <row r="330" spans="1:17">
      <c r="A330" s="238" t="s">
        <v>5431</v>
      </c>
      <c r="B330" s="238" t="s">
        <v>4275</v>
      </c>
      <c r="C330" s="55" t="s">
        <v>7426</v>
      </c>
      <c r="D330" s="241">
        <v>9916</v>
      </c>
      <c r="E330" s="241">
        <v>10015</v>
      </c>
      <c r="F330" s="241">
        <v>9841</v>
      </c>
      <c r="G330" s="241">
        <v>10077</v>
      </c>
      <c r="H330" s="56">
        <v>10142</v>
      </c>
      <c r="I330" s="56">
        <v>9896</v>
      </c>
      <c r="J330" s="56">
        <v>9519</v>
      </c>
      <c r="K330" s="56">
        <v>9925</v>
      </c>
      <c r="L330" s="56">
        <v>9748</v>
      </c>
      <c r="M330" s="56">
        <v>9594</v>
      </c>
      <c r="N330" s="56">
        <v>9763</v>
      </c>
      <c r="O330" s="56">
        <v>9824</v>
      </c>
      <c r="Q330" s="238" t="s">
        <v>4096</v>
      </c>
    </row>
    <row r="331" spans="1:17">
      <c r="A331" s="238" t="s">
        <v>5433</v>
      </c>
      <c r="B331" s="238" t="s">
        <v>4276</v>
      </c>
      <c r="C331" s="55" t="s">
        <v>7427</v>
      </c>
      <c r="D331" s="241">
        <v>9255</v>
      </c>
      <c r="E331" s="241">
        <v>9315</v>
      </c>
      <c r="F331" s="241">
        <v>9057</v>
      </c>
      <c r="G331" s="241">
        <v>9095</v>
      </c>
      <c r="H331" s="56">
        <v>9343</v>
      </c>
      <c r="I331" s="56">
        <v>9271</v>
      </c>
      <c r="J331" s="56">
        <v>9108</v>
      </c>
      <c r="K331" s="56">
        <v>9598</v>
      </c>
      <c r="L331" s="56">
        <v>9470</v>
      </c>
      <c r="M331" s="56">
        <v>9529</v>
      </c>
      <c r="N331" s="56">
        <v>9733</v>
      </c>
      <c r="O331" s="56">
        <v>9880</v>
      </c>
      <c r="Q331" s="238" t="s">
        <v>4096</v>
      </c>
    </row>
    <row r="332" spans="1:17">
      <c r="A332" s="238" t="s">
        <v>5435</v>
      </c>
      <c r="B332" s="238" t="s">
        <v>4277</v>
      </c>
      <c r="C332" s="55" t="s">
        <v>7428</v>
      </c>
      <c r="D332" s="241">
        <v>9276</v>
      </c>
      <c r="E332" s="241">
        <v>9278</v>
      </c>
      <c r="F332" s="241">
        <v>9092</v>
      </c>
      <c r="G332" s="241">
        <v>9267</v>
      </c>
      <c r="H332" s="58">
        <v>9384</v>
      </c>
      <c r="I332" s="58">
        <v>9162</v>
      </c>
      <c r="J332" s="58">
        <v>9119</v>
      </c>
      <c r="K332" s="58">
        <v>9441</v>
      </c>
      <c r="L332" s="58">
        <v>9315</v>
      </c>
      <c r="M332" s="58">
        <v>9146</v>
      </c>
      <c r="N332" s="58">
        <v>9359</v>
      </c>
      <c r="O332" s="58">
        <v>9370</v>
      </c>
      <c r="Q332" s="238" t="s">
        <v>4096</v>
      </c>
    </row>
    <row r="333" spans="1:17">
      <c r="A333" s="238" t="s">
        <v>5436</v>
      </c>
      <c r="B333" s="238" t="s">
        <v>4278</v>
      </c>
      <c r="C333" s="55" t="s">
        <v>7429</v>
      </c>
      <c r="D333" s="241">
        <v>8776</v>
      </c>
      <c r="E333" s="241">
        <v>8966</v>
      </c>
      <c r="F333" s="241">
        <v>8833</v>
      </c>
      <c r="G333" s="241">
        <v>8759</v>
      </c>
      <c r="H333" s="56">
        <v>8821</v>
      </c>
      <c r="I333" s="56">
        <v>8145</v>
      </c>
      <c r="J333" s="56">
        <v>7995</v>
      </c>
      <c r="K333" s="56">
        <v>8450</v>
      </c>
      <c r="L333" s="56">
        <v>8172</v>
      </c>
      <c r="M333" s="56">
        <v>8175</v>
      </c>
      <c r="N333" s="56">
        <v>8474</v>
      </c>
      <c r="O333" s="56">
        <v>8561</v>
      </c>
      <c r="Q333" s="238" t="s">
        <v>4088</v>
      </c>
    </row>
    <row r="334" spans="1:17">
      <c r="D334" s="241"/>
      <c r="E334" s="241"/>
      <c r="F334" s="241"/>
      <c r="G334" s="241"/>
      <c r="H334" s="241"/>
      <c r="I334" s="241"/>
      <c r="J334" s="241"/>
      <c r="K334" s="241"/>
      <c r="L334" s="241"/>
      <c r="M334" s="241"/>
      <c r="N334" s="241"/>
      <c r="O334" s="241"/>
    </row>
    <row r="335" spans="1:17">
      <c r="A335" s="238" t="s">
        <v>4088</v>
      </c>
      <c r="D335" s="240">
        <f t="shared" ref="D335:I335" si="151">SUM(D317:D321)+D323+D324+D326+D333</f>
        <v>82400</v>
      </c>
      <c r="E335" s="240">
        <f t="shared" si="151"/>
        <v>83428</v>
      </c>
      <c r="F335" s="240">
        <f t="shared" si="151"/>
        <v>81568</v>
      </c>
      <c r="G335" s="240">
        <f t="shared" si="151"/>
        <v>82083</v>
      </c>
      <c r="H335" s="240">
        <f t="shared" si="151"/>
        <v>82599</v>
      </c>
      <c r="I335" s="240">
        <f t="shared" si="151"/>
        <v>80076</v>
      </c>
      <c r="J335" s="240">
        <f t="shared" ref="J335:O335" si="152">SUM(J317:J321)+J323+J324+J326+J333</f>
        <v>78752</v>
      </c>
      <c r="K335" s="240">
        <f t="shared" si="152"/>
        <v>82268</v>
      </c>
      <c r="L335" s="240">
        <f t="shared" si="152"/>
        <v>81525</v>
      </c>
      <c r="M335" s="240">
        <f t="shared" si="152"/>
        <v>81415</v>
      </c>
      <c r="N335" s="240">
        <f t="shared" si="152"/>
        <v>83643</v>
      </c>
      <c r="O335" s="240">
        <f t="shared" si="152"/>
        <v>84545</v>
      </c>
    </row>
    <row r="336" spans="1:17">
      <c r="A336" s="238" t="s">
        <v>4096</v>
      </c>
      <c r="D336" s="240">
        <f t="shared" ref="D336:I336" si="153">D322+D325+SUM(D327:D332)</f>
        <v>76638</v>
      </c>
      <c r="E336" s="240">
        <f t="shared" si="153"/>
        <v>77354</v>
      </c>
      <c r="F336" s="240">
        <f t="shared" si="153"/>
        <v>75634</v>
      </c>
      <c r="G336" s="240">
        <f t="shared" si="153"/>
        <v>77132</v>
      </c>
      <c r="H336" s="240">
        <f t="shared" si="153"/>
        <v>78153</v>
      </c>
      <c r="I336" s="240">
        <f t="shared" si="153"/>
        <v>76638</v>
      </c>
      <c r="J336" s="240">
        <f t="shared" ref="J336:O336" si="154">J322+J325+SUM(J327:J332)</f>
        <v>75121</v>
      </c>
      <c r="K336" s="240">
        <f t="shared" si="154"/>
        <v>78112</v>
      </c>
      <c r="L336" s="240">
        <f t="shared" si="154"/>
        <v>77078</v>
      </c>
      <c r="M336" s="240">
        <f t="shared" si="154"/>
        <v>76205</v>
      </c>
      <c r="N336" s="240">
        <f t="shared" si="154"/>
        <v>77513</v>
      </c>
      <c r="O336" s="240">
        <f t="shared" si="154"/>
        <v>78069</v>
      </c>
    </row>
    <row r="337" spans="1:17">
      <c r="A337" s="238"/>
      <c r="D337" s="240"/>
      <c r="E337" s="240"/>
      <c r="F337" s="240"/>
      <c r="G337" s="240"/>
      <c r="H337" s="240"/>
      <c r="I337" s="240"/>
      <c r="J337" s="240"/>
      <c r="K337" s="240"/>
      <c r="L337" s="240"/>
      <c r="M337" s="240"/>
      <c r="N337" s="240"/>
      <c r="O337" s="240"/>
    </row>
    <row r="338" spans="1:17">
      <c r="A338" s="238" t="s">
        <v>4294</v>
      </c>
      <c r="D338" s="240"/>
      <c r="E338" s="240"/>
      <c r="F338" s="240"/>
      <c r="G338" s="240"/>
      <c r="H338" s="240"/>
      <c r="I338" s="240"/>
      <c r="J338" s="240"/>
      <c r="K338" s="240"/>
      <c r="L338" s="240"/>
      <c r="M338" s="240"/>
      <c r="N338" s="240"/>
      <c r="O338" s="240"/>
    </row>
    <row r="339" spans="1:17">
      <c r="A339" s="238"/>
      <c r="B339" s="238"/>
      <c r="D339" s="249"/>
      <c r="E339" s="249"/>
      <c r="F339" s="249"/>
      <c r="G339" s="249"/>
      <c r="H339" s="249"/>
      <c r="I339" s="249"/>
      <c r="J339" s="249"/>
      <c r="K339" s="249"/>
      <c r="L339" s="249"/>
      <c r="M339" s="249"/>
      <c r="N339" s="249"/>
      <c r="O339" s="249"/>
    </row>
    <row r="340" spans="1:17">
      <c r="A340" s="238"/>
      <c r="B340" s="238"/>
      <c r="D340" s="249"/>
      <c r="E340" s="249"/>
      <c r="F340" s="249"/>
      <c r="G340" s="249"/>
      <c r="H340" s="249"/>
      <c r="I340" s="249"/>
      <c r="J340" s="249"/>
      <c r="K340" s="249"/>
      <c r="L340" s="249"/>
      <c r="M340" s="249"/>
      <c r="N340" s="249"/>
      <c r="O340" s="249"/>
    </row>
    <row r="341" spans="1:17">
      <c r="E341" s="51" t="s">
        <v>1526</v>
      </c>
      <c r="F341" s="51"/>
      <c r="G341" s="51"/>
      <c r="H341" s="51"/>
      <c r="I341" s="51"/>
      <c r="J341" s="51"/>
      <c r="K341" s="51"/>
      <c r="L341" s="51"/>
      <c r="M341" s="51"/>
      <c r="N341" s="51"/>
      <c r="O341" s="51"/>
      <c r="P341" s="173"/>
      <c r="Q341" s="173" t="s">
        <v>9479</v>
      </c>
    </row>
    <row r="342" spans="1:17">
      <c r="D342" s="239">
        <v>2010</v>
      </c>
      <c r="E342" s="239">
        <v>2011</v>
      </c>
      <c r="F342" s="239">
        <v>2012</v>
      </c>
      <c r="G342" s="239">
        <v>2013</v>
      </c>
      <c r="H342" s="239">
        <v>2014</v>
      </c>
      <c r="I342" s="239">
        <v>2015</v>
      </c>
      <c r="J342" s="239">
        <v>2016</v>
      </c>
      <c r="K342" s="239">
        <v>2017</v>
      </c>
      <c r="L342" s="239">
        <v>2018</v>
      </c>
      <c r="M342" s="239">
        <v>2019</v>
      </c>
      <c r="N342" s="239">
        <v>2020</v>
      </c>
      <c r="O342" s="928" t="s">
        <v>14823</v>
      </c>
      <c r="Q342" s="206" t="s">
        <v>1527</v>
      </c>
    </row>
    <row r="343" spans="1:17">
      <c r="A343" s="238" t="s">
        <v>4295</v>
      </c>
      <c r="D343" s="240">
        <f t="shared" ref="D343:I343" si="155">SUM(D344:D363)</f>
        <v>188908</v>
      </c>
      <c r="E343" s="240">
        <f t="shared" si="155"/>
        <v>191056</v>
      </c>
      <c r="F343" s="240">
        <f t="shared" si="155"/>
        <v>195268</v>
      </c>
      <c r="G343" s="240">
        <f t="shared" si="155"/>
        <v>196935</v>
      </c>
      <c r="H343" s="240">
        <f t="shared" si="155"/>
        <v>194347</v>
      </c>
      <c r="I343" s="240">
        <f t="shared" si="155"/>
        <v>193557</v>
      </c>
      <c r="J343" s="240">
        <f t="shared" ref="J343:O343" si="156">SUM(J344:J363)</f>
        <v>186960</v>
      </c>
      <c r="K343" s="240">
        <f t="shared" si="156"/>
        <v>191066</v>
      </c>
      <c r="L343" s="240">
        <f t="shared" si="156"/>
        <v>192252</v>
      </c>
      <c r="M343" s="240">
        <f t="shared" si="156"/>
        <v>192586</v>
      </c>
      <c r="N343" s="240">
        <f t="shared" si="156"/>
        <v>193027</v>
      </c>
      <c r="O343" s="240">
        <f t="shared" si="156"/>
        <v>197239</v>
      </c>
    </row>
    <row r="344" spans="1:17">
      <c r="A344" s="238" t="s">
        <v>5387</v>
      </c>
      <c r="B344" s="238" t="s">
        <v>4296</v>
      </c>
      <c r="C344" s="55" t="s">
        <v>7430</v>
      </c>
      <c r="D344" s="241">
        <v>10853</v>
      </c>
      <c r="E344" s="241">
        <v>10907</v>
      </c>
      <c r="F344" s="241">
        <v>11075</v>
      </c>
      <c r="G344" s="241">
        <v>11070</v>
      </c>
      <c r="H344" s="63">
        <v>11067</v>
      </c>
      <c r="I344" s="63">
        <v>10936</v>
      </c>
      <c r="J344" s="63">
        <v>10770</v>
      </c>
      <c r="K344" s="63">
        <v>10938</v>
      </c>
      <c r="L344" s="63">
        <v>11015</v>
      </c>
      <c r="M344" s="63">
        <v>11030</v>
      </c>
      <c r="N344" s="63">
        <v>10995</v>
      </c>
      <c r="O344" s="63">
        <v>11165</v>
      </c>
      <c r="Q344" s="238" t="s">
        <v>5612</v>
      </c>
    </row>
    <row r="345" spans="1:17">
      <c r="A345" s="238" t="s">
        <v>5389</v>
      </c>
      <c r="B345" s="238" t="s">
        <v>4297</v>
      </c>
      <c r="C345" s="55" t="s">
        <v>7431</v>
      </c>
      <c r="D345" s="241">
        <v>10093</v>
      </c>
      <c r="E345" s="241">
        <v>10134</v>
      </c>
      <c r="F345" s="241">
        <v>10258</v>
      </c>
      <c r="G345" s="241">
        <v>10471</v>
      </c>
      <c r="H345" s="63">
        <v>10320</v>
      </c>
      <c r="I345" s="63">
        <v>10199</v>
      </c>
      <c r="J345" s="63">
        <v>9918</v>
      </c>
      <c r="K345" s="63">
        <v>10047</v>
      </c>
      <c r="L345" s="63">
        <v>10062</v>
      </c>
      <c r="M345" s="63">
        <v>9986</v>
      </c>
      <c r="N345" s="63">
        <v>9976</v>
      </c>
      <c r="O345" s="63">
        <v>10156</v>
      </c>
      <c r="Q345" s="238" t="s">
        <v>5612</v>
      </c>
    </row>
    <row r="346" spans="1:17">
      <c r="A346" s="238" t="s">
        <v>5391</v>
      </c>
      <c r="B346" s="238" t="s">
        <v>4298</v>
      </c>
      <c r="C346" s="55" t="s">
        <v>7432</v>
      </c>
      <c r="D346" s="241">
        <v>8995</v>
      </c>
      <c r="E346" s="241">
        <v>9099</v>
      </c>
      <c r="F346" s="241">
        <v>9342</v>
      </c>
      <c r="G346" s="241">
        <v>9452</v>
      </c>
      <c r="H346" s="63">
        <v>9230</v>
      </c>
      <c r="I346" s="63">
        <v>9194</v>
      </c>
      <c r="J346" s="63">
        <v>8927</v>
      </c>
      <c r="K346" s="63">
        <v>9119</v>
      </c>
      <c r="L346" s="63">
        <v>9160</v>
      </c>
      <c r="M346" s="63">
        <v>9214</v>
      </c>
      <c r="N346" s="63">
        <v>9197</v>
      </c>
      <c r="O346" s="63">
        <v>9389</v>
      </c>
      <c r="Q346" s="238" t="s">
        <v>4100</v>
      </c>
    </row>
    <row r="347" spans="1:17">
      <c r="A347" s="238" t="s">
        <v>5393</v>
      </c>
      <c r="B347" s="238" t="s">
        <v>4299</v>
      </c>
      <c r="C347" s="55" t="s">
        <v>7433</v>
      </c>
      <c r="D347" s="241">
        <v>9225</v>
      </c>
      <c r="E347" s="241">
        <v>9361</v>
      </c>
      <c r="F347" s="241">
        <v>9959</v>
      </c>
      <c r="G347" s="241">
        <v>10186</v>
      </c>
      <c r="H347" s="63">
        <v>9793</v>
      </c>
      <c r="I347" s="63">
        <v>9750</v>
      </c>
      <c r="J347" s="63">
        <v>9516</v>
      </c>
      <c r="K347" s="63">
        <v>9795</v>
      </c>
      <c r="L347" s="63">
        <v>9967</v>
      </c>
      <c r="M347" s="63">
        <v>10101</v>
      </c>
      <c r="N347" s="63">
        <v>10074</v>
      </c>
      <c r="O347" s="63">
        <v>10296</v>
      </c>
      <c r="Q347" s="238" t="s">
        <v>4099</v>
      </c>
    </row>
    <row r="348" spans="1:17">
      <c r="A348" s="238" t="s">
        <v>5394</v>
      </c>
      <c r="B348" s="238" t="s">
        <v>4300</v>
      </c>
      <c r="C348" s="55" t="s">
        <v>7434</v>
      </c>
      <c r="D348" s="241">
        <v>8301</v>
      </c>
      <c r="E348" s="241">
        <v>8402</v>
      </c>
      <c r="F348" s="241">
        <v>8474</v>
      </c>
      <c r="G348" s="241">
        <v>8712</v>
      </c>
      <c r="H348" s="63">
        <v>8759</v>
      </c>
      <c r="I348" s="63">
        <v>8580</v>
      </c>
      <c r="J348" s="63">
        <v>8023</v>
      </c>
      <c r="K348" s="63">
        <v>8336</v>
      </c>
      <c r="L348" s="63">
        <v>8731</v>
      </c>
      <c r="M348" s="63">
        <v>8756</v>
      </c>
      <c r="N348" s="63">
        <v>8838</v>
      </c>
      <c r="O348" s="63">
        <v>9082</v>
      </c>
      <c r="Q348" s="238" t="s">
        <v>4099</v>
      </c>
    </row>
    <row r="349" spans="1:17">
      <c r="A349" s="238" t="s">
        <v>5416</v>
      </c>
      <c r="B349" s="238" t="s">
        <v>2838</v>
      </c>
      <c r="C349" s="55" t="s">
        <v>7435</v>
      </c>
      <c r="D349" s="241">
        <v>8498</v>
      </c>
      <c r="E349" s="241">
        <v>8563</v>
      </c>
      <c r="F349" s="241">
        <v>9026</v>
      </c>
      <c r="G349" s="241">
        <v>9080</v>
      </c>
      <c r="H349" s="63">
        <v>8949</v>
      </c>
      <c r="I349" s="63">
        <v>8902</v>
      </c>
      <c r="J349" s="63">
        <v>8672</v>
      </c>
      <c r="K349" s="63">
        <v>8860</v>
      </c>
      <c r="L349" s="63">
        <v>8825</v>
      </c>
      <c r="M349" s="63">
        <v>8784</v>
      </c>
      <c r="N349" s="63">
        <v>8785</v>
      </c>
      <c r="O349" s="63">
        <v>8969</v>
      </c>
      <c r="Q349" s="238" t="s">
        <v>4099</v>
      </c>
    </row>
    <row r="350" spans="1:17">
      <c r="A350" s="238" t="s">
        <v>5418</v>
      </c>
      <c r="B350" s="238" t="s">
        <v>2839</v>
      </c>
      <c r="C350" s="55" t="s">
        <v>7436</v>
      </c>
      <c r="D350" s="241">
        <v>9714</v>
      </c>
      <c r="E350" s="241">
        <v>9709</v>
      </c>
      <c r="F350" s="241">
        <v>9860</v>
      </c>
      <c r="G350" s="241">
        <v>9937</v>
      </c>
      <c r="H350" s="63">
        <v>9820</v>
      </c>
      <c r="I350" s="63">
        <v>9867</v>
      </c>
      <c r="J350" s="63">
        <v>9541</v>
      </c>
      <c r="K350" s="63">
        <v>9703</v>
      </c>
      <c r="L350" s="63">
        <v>9713</v>
      </c>
      <c r="M350" s="63">
        <v>9695</v>
      </c>
      <c r="N350" s="63">
        <v>9663</v>
      </c>
      <c r="O350" s="63">
        <v>9825</v>
      </c>
      <c r="Q350" s="238" t="s">
        <v>4099</v>
      </c>
    </row>
    <row r="351" spans="1:17">
      <c r="A351" s="238" t="s">
        <v>5420</v>
      </c>
      <c r="B351" s="238" t="s">
        <v>2831</v>
      </c>
      <c r="C351" s="55" t="s">
        <v>7437</v>
      </c>
      <c r="D351" s="241">
        <v>9497</v>
      </c>
      <c r="E351" s="241">
        <v>9537</v>
      </c>
      <c r="F351" s="241">
        <v>9564</v>
      </c>
      <c r="G351" s="241">
        <v>9606</v>
      </c>
      <c r="H351" s="63">
        <v>9601</v>
      </c>
      <c r="I351" s="63">
        <v>9537</v>
      </c>
      <c r="J351" s="63">
        <v>9218</v>
      </c>
      <c r="K351" s="63">
        <v>9459</v>
      </c>
      <c r="L351" s="63">
        <v>9524</v>
      </c>
      <c r="M351" s="63">
        <v>9575</v>
      </c>
      <c r="N351" s="63">
        <v>9677</v>
      </c>
      <c r="O351" s="63">
        <v>9860</v>
      </c>
      <c r="Q351" s="238" t="s">
        <v>5612</v>
      </c>
    </row>
    <row r="352" spans="1:17">
      <c r="A352" s="238" t="s">
        <v>5422</v>
      </c>
      <c r="B352" s="238" t="s">
        <v>2832</v>
      </c>
      <c r="C352" s="55" t="s">
        <v>7438</v>
      </c>
      <c r="D352" s="241">
        <v>9195</v>
      </c>
      <c r="E352" s="241">
        <v>9338</v>
      </c>
      <c r="F352" s="241">
        <v>9639</v>
      </c>
      <c r="G352" s="241">
        <v>9853</v>
      </c>
      <c r="H352" s="63">
        <v>9476</v>
      </c>
      <c r="I352" s="63">
        <v>9544</v>
      </c>
      <c r="J352" s="63">
        <v>9210</v>
      </c>
      <c r="K352" s="63">
        <v>9431</v>
      </c>
      <c r="L352" s="63">
        <v>9551</v>
      </c>
      <c r="M352" s="63">
        <v>9854</v>
      </c>
      <c r="N352" s="63">
        <v>9974</v>
      </c>
      <c r="O352" s="63">
        <v>10233</v>
      </c>
      <c r="Q352" s="238" t="s">
        <v>4100</v>
      </c>
    </row>
    <row r="353" spans="1:17">
      <c r="A353" s="238" t="s">
        <v>5424</v>
      </c>
      <c r="B353" s="238" t="s">
        <v>2833</v>
      </c>
      <c r="C353" s="55" t="s">
        <v>7439</v>
      </c>
      <c r="D353" s="241">
        <v>9470</v>
      </c>
      <c r="E353" s="241">
        <v>9563</v>
      </c>
      <c r="F353" s="241">
        <v>9738</v>
      </c>
      <c r="G353" s="241">
        <v>9817</v>
      </c>
      <c r="H353" s="63">
        <v>9572</v>
      </c>
      <c r="I353" s="63">
        <v>9714</v>
      </c>
      <c r="J353" s="63">
        <v>9429</v>
      </c>
      <c r="K353" s="63">
        <v>9580</v>
      </c>
      <c r="L353" s="63">
        <v>9570</v>
      </c>
      <c r="M353" s="63">
        <v>9543</v>
      </c>
      <c r="N353" s="63">
        <v>9574</v>
      </c>
      <c r="O353" s="63">
        <v>9793</v>
      </c>
      <c r="Q353" s="238" t="s">
        <v>4100</v>
      </c>
    </row>
    <row r="354" spans="1:17">
      <c r="A354" s="238" t="s">
        <v>5426</v>
      </c>
      <c r="B354" s="238" t="s">
        <v>4291</v>
      </c>
      <c r="C354" s="55" t="s">
        <v>7440</v>
      </c>
      <c r="D354" s="241">
        <v>9930</v>
      </c>
      <c r="E354" s="241">
        <v>10272</v>
      </c>
      <c r="F354" s="241">
        <v>10569</v>
      </c>
      <c r="G354" s="241">
        <v>10572</v>
      </c>
      <c r="H354" s="63">
        <v>10429</v>
      </c>
      <c r="I354" s="63">
        <v>10422</v>
      </c>
      <c r="J354" s="63">
        <v>9880</v>
      </c>
      <c r="K354" s="63">
        <v>10075</v>
      </c>
      <c r="L354" s="63">
        <v>10206</v>
      </c>
      <c r="M354" s="63">
        <v>10197</v>
      </c>
      <c r="N354" s="63">
        <v>10251</v>
      </c>
      <c r="O354" s="63">
        <v>10560</v>
      </c>
      <c r="Q354" s="238" t="s">
        <v>4100</v>
      </c>
    </row>
    <row r="355" spans="1:17">
      <c r="A355" s="238" t="s">
        <v>5428</v>
      </c>
      <c r="B355" s="238" t="s">
        <v>4292</v>
      </c>
      <c r="C355" s="55" t="s">
        <v>7441</v>
      </c>
      <c r="D355" s="241">
        <v>9056</v>
      </c>
      <c r="E355" s="241">
        <v>9061</v>
      </c>
      <c r="F355" s="241">
        <v>9100</v>
      </c>
      <c r="G355" s="241">
        <v>9164</v>
      </c>
      <c r="H355" s="63">
        <v>9082</v>
      </c>
      <c r="I355" s="63">
        <v>8968</v>
      </c>
      <c r="J355" s="63">
        <v>8758</v>
      </c>
      <c r="K355" s="63">
        <v>8925</v>
      </c>
      <c r="L355" s="63">
        <v>8875</v>
      </c>
      <c r="M355" s="63">
        <v>8917</v>
      </c>
      <c r="N355" s="63">
        <v>8943</v>
      </c>
      <c r="O355" s="63">
        <v>9069</v>
      </c>
      <c r="Q355" s="238" t="s">
        <v>5612</v>
      </c>
    </row>
    <row r="356" spans="1:17">
      <c r="A356" s="238" t="s">
        <v>5429</v>
      </c>
      <c r="B356" s="238" t="s">
        <v>4293</v>
      </c>
      <c r="C356" s="55" t="s">
        <v>7442</v>
      </c>
      <c r="D356" s="241">
        <v>8630</v>
      </c>
      <c r="E356" s="241">
        <v>8728</v>
      </c>
      <c r="F356" s="241">
        <v>8849</v>
      </c>
      <c r="G356" s="241">
        <v>8967</v>
      </c>
      <c r="H356" s="63">
        <v>8923</v>
      </c>
      <c r="I356" s="63">
        <v>8999</v>
      </c>
      <c r="J356" s="63">
        <v>8782</v>
      </c>
      <c r="K356" s="63">
        <v>8960</v>
      </c>
      <c r="L356" s="63">
        <v>8934</v>
      </c>
      <c r="M356" s="63">
        <v>8961</v>
      </c>
      <c r="N356" s="63">
        <v>8895</v>
      </c>
      <c r="O356" s="63">
        <v>9026</v>
      </c>
      <c r="Q356" s="238" t="s">
        <v>4100</v>
      </c>
    </row>
    <row r="357" spans="1:17">
      <c r="A357" s="238" t="s">
        <v>5431</v>
      </c>
      <c r="B357" s="238" t="s">
        <v>5829</v>
      </c>
      <c r="C357" s="55" t="s">
        <v>7443</v>
      </c>
      <c r="D357" s="248">
        <v>9180</v>
      </c>
      <c r="E357" s="248">
        <v>9376</v>
      </c>
      <c r="F357" s="248">
        <v>9768</v>
      </c>
      <c r="G357" s="248">
        <v>9651</v>
      </c>
      <c r="H357" s="63">
        <v>9475</v>
      </c>
      <c r="I357" s="63">
        <v>9513</v>
      </c>
      <c r="J357" s="63">
        <v>8969</v>
      </c>
      <c r="K357" s="63">
        <v>9272</v>
      </c>
      <c r="L357" s="63">
        <v>9381</v>
      </c>
      <c r="M357" s="63">
        <v>9308</v>
      </c>
      <c r="N357" s="63">
        <v>9348</v>
      </c>
      <c r="O357" s="63">
        <v>9587</v>
      </c>
      <c r="Q357" s="238" t="s">
        <v>4100</v>
      </c>
    </row>
    <row r="358" spans="1:17">
      <c r="A358" s="238" t="s">
        <v>5433</v>
      </c>
      <c r="B358" s="238" t="s">
        <v>5830</v>
      </c>
      <c r="C358" s="55" t="s">
        <v>7444</v>
      </c>
      <c r="D358" s="241">
        <v>8938</v>
      </c>
      <c r="E358" s="241">
        <v>8966</v>
      </c>
      <c r="F358" s="241">
        <v>9242</v>
      </c>
      <c r="G358" s="241">
        <v>9362</v>
      </c>
      <c r="H358" s="63">
        <v>9238</v>
      </c>
      <c r="I358" s="63">
        <v>9258</v>
      </c>
      <c r="J358" s="63">
        <v>9030</v>
      </c>
      <c r="K358" s="63">
        <v>9151</v>
      </c>
      <c r="L358" s="63">
        <v>9112</v>
      </c>
      <c r="M358" s="63">
        <v>9178</v>
      </c>
      <c r="N358" s="63">
        <v>9273</v>
      </c>
      <c r="O358" s="63">
        <v>9494</v>
      </c>
      <c r="Q358" s="238" t="s">
        <v>5612</v>
      </c>
    </row>
    <row r="359" spans="1:17">
      <c r="A359" s="238" t="s">
        <v>5435</v>
      </c>
      <c r="B359" s="238" t="s">
        <v>5034</v>
      </c>
      <c r="C359" s="55" t="s">
        <v>7445</v>
      </c>
      <c r="D359" s="248">
        <v>9310</v>
      </c>
      <c r="E359" s="248">
        <v>9706</v>
      </c>
      <c r="F359" s="248">
        <v>9862</v>
      </c>
      <c r="G359" s="248">
        <v>9828</v>
      </c>
      <c r="H359" s="63">
        <v>9926</v>
      </c>
      <c r="I359" s="63">
        <v>9649</v>
      </c>
      <c r="J359" s="63">
        <v>9218</v>
      </c>
      <c r="K359" s="63">
        <v>9602</v>
      </c>
      <c r="L359" s="63">
        <v>9710</v>
      </c>
      <c r="M359" s="63">
        <v>9689</v>
      </c>
      <c r="N359" s="63">
        <v>9813</v>
      </c>
      <c r="O359" s="63">
        <v>10248</v>
      </c>
      <c r="Q359" s="238" t="s">
        <v>4100</v>
      </c>
    </row>
    <row r="360" spans="1:17">
      <c r="A360" s="238" t="s">
        <v>5436</v>
      </c>
      <c r="B360" s="238" t="s">
        <v>4475</v>
      </c>
      <c r="C360" s="55" t="s">
        <v>7446</v>
      </c>
      <c r="D360" s="241">
        <v>9126</v>
      </c>
      <c r="E360" s="241">
        <v>9086</v>
      </c>
      <c r="F360" s="241">
        <v>9159</v>
      </c>
      <c r="G360" s="241">
        <v>9106</v>
      </c>
      <c r="H360" s="63">
        <v>9009</v>
      </c>
      <c r="I360" s="63">
        <v>8925</v>
      </c>
      <c r="J360" s="63">
        <v>8583</v>
      </c>
      <c r="K360" s="63">
        <v>8802</v>
      </c>
      <c r="L360" s="63">
        <v>8759</v>
      </c>
      <c r="M360" s="63">
        <v>8711</v>
      </c>
      <c r="N360" s="63">
        <v>8745</v>
      </c>
      <c r="O360" s="63">
        <v>8896</v>
      </c>
      <c r="Q360" s="238" t="s">
        <v>4099</v>
      </c>
    </row>
    <row r="361" spans="1:17">
      <c r="A361" s="238" t="s">
        <v>5437</v>
      </c>
      <c r="B361" s="238" t="s">
        <v>4476</v>
      </c>
      <c r="C361" s="55" t="s">
        <v>7447</v>
      </c>
      <c r="D361" s="241">
        <v>10777</v>
      </c>
      <c r="E361" s="241">
        <v>10901</v>
      </c>
      <c r="F361" s="241">
        <v>11076</v>
      </c>
      <c r="G361" s="241">
        <v>11104</v>
      </c>
      <c r="H361" s="63">
        <v>11005</v>
      </c>
      <c r="I361" s="63">
        <v>10976</v>
      </c>
      <c r="J361" s="63">
        <v>10665</v>
      </c>
      <c r="K361" s="63">
        <v>10776</v>
      </c>
      <c r="L361" s="63">
        <v>10785</v>
      </c>
      <c r="M361" s="63">
        <v>10696</v>
      </c>
      <c r="N361" s="63">
        <v>10676</v>
      </c>
      <c r="O361" s="63">
        <v>10858</v>
      </c>
      <c r="Q361" s="238" t="s">
        <v>5612</v>
      </c>
    </row>
    <row r="362" spans="1:17">
      <c r="A362" s="238" t="s">
        <v>5439</v>
      </c>
      <c r="B362" s="238" t="s">
        <v>4477</v>
      </c>
      <c r="C362" s="55" t="s">
        <v>7448</v>
      </c>
      <c r="D362" s="241">
        <v>9455</v>
      </c>
      <c r="E362" s="241">
        <v>9578</v>
      </c>
      <c r="F362" s="241">
        <v>9659</v>
      </c>
      <c r="G362" s="241">
        <v>9682</v>
      </c>
      <c r="H362" s="63">
        <v>9429</v>
      </c>
      <c r="I362" s="63">
        <v>9498</v>
      </c>
      <c r="J362" s="63">
        <v>9275</v>
      </c>
      <c r="K362" s="63">
        <v>9375</v>
      </c>
      <c r="L362" s="63">
        <v>9363</v>
      </c>
      <c r="M362" s="63">
        <v>9381</v>
      </c>
      <c r="N362" s="63">
        <v>9327</v>
      </c>
      <c r="O362" s="63">
        <v>9452</v>
      </c>
      <c r="Q362" s="238" t="s">
        <v>4099</v>
      </c>
    </row>
    <row r="363" spans="1:17">
      <c r="A363" s="238" t="s">
        <v>5441</v>
      </c>
      <c r="B363" s="238" t="s">
        <v>4478</v>
      </c>
      <c r="C363" s="55" t="s">
        <v>7449</v>
      </c>
      <c r="D363" s="241">
        <v>10665</v>
      </c>
      <c r="E363" s="241">
        <v>10769</v>
      </c>
      <c r="F363" s="241">
        <v>11049</v>
      </c>
      <c r="G363" s="241">
        <v>11315</v>
      </c>
      <c r="H363" s="63">
        <v>11244</v>
      </c>
      <c r="I363" s="63">
        <v>11126</v>
      </c>
      <c r="J363" s="63">
        <v>10576</v>
      </c>
      <c r="K363" s="63">
        <v>10860</v>
      </c>
      <c r="L363" s="63">
        <v>11009</v>
      </c>
      <c r="M363" s="63">
        <v>11010</v>
      </c>
      <c r="N363" s="63">
        <v>11003</v>
      </c>
      <c r="O363" s="63">
        <v>11281</v>
      </c>
      <c r="Q363" s="238" t="s">
        <v>4099</v>
      </c>
    </row>
    <row r="364" spans="1:17">
      <c r="D364" s="241"/>
      <c r="E364" s="241"/>
      <c r="F364" s="241"/>
      <c r="G364" s="241"/>
      <c r="H364" s="241"/>
      <c r="I364" s="241"/>
      <c r="J364" s="241"/>
      <c r="K364" s="241"/>
      <c r="L364" s="241"/>
      <c r="M364" s="241"/>
      <c r="N364" s="241"/>
      <c r="O364" s="241"/>
    </row>
    <row r="365" spans="1:17">
      <c r="A365" s="238" t="s">
        <v>5612</v>
      </c>
      <c r="D365" s="240">
        <f t="shared" ref="D365:I365" si="157">D344+D345+D351+D355+D358+D361</f>
        <v>59214</v>
      </c>
      <c r="E365" s="240">
        <f t="shared" si="157"/>
        <v>59506</v>
      </c>
      <c r="F365" s="240">
        <f t="shared" si="157"/>
        <v>60315</v>
      </c>
      <c r="G365" s="240">
        <f t="shared" si="157"/>
        <v>60777</v>
      </c>
      <c r="H365" s="240">
        <f t="shared" si="157"/>
        <v>60313</v>
      </c>
      <c r="I365" s="240">
        <f t="shared" si="157"/>
        <v>59874</v>
      </c>
      <c r="J365" s="240">
        <f t="shared" ref="J365:O365" si="158">J344+J345+J351+J355+J358+J361</f>
        <v>58359</v>
      </c>
      <c r="K365" s="240">
        <f t="shared" si="158"/>
        <v>59296</v>
      </c>
      <c r="L365" s="240">
        <f t="shared" si="158"/>
        <v>59373</v>
      </c>
      <c r="M365" s="240">
        <f t="shared" si="158"/>
        <v>59382</v>
      </c>
      <c r="N365" s="240">
        <f t="shared" si="158"/>
        <v>59540</v>
      </c>
      <c r="O365" s="240">
        <f t="shared" si="158"/>
        <v>60602</v>
      </c>
    </row>
    <row r="366" spans="1:17">
      <c r="A366" s="238" t="s">
        <v>4099</v>
      </c>
      <c r="D366" s="240">
        <f t="shared" ref="D366:I366" si="159">SUM(D347:D350)+D360+D362+D363</f>
        <v>64984</v>
      </c>
      <c r="E366" s="240">
        <f t="shared" si="159"/>
        <v>65468</v>
      </c>
      <c r="F366" s="240">
        <f t="shared" si="159"/>
        <v>67186</v>
      </c>
      <c r="G366" s="240">
        <f t="shared" si="159"/>
        <v>68018</v>
      </c>
      <c r="H366" s="240">
        <f t="shared" si="159"/>
        <v>67003</v>
      </c>
      <c r="I366" s="240">
        <f t="shared" si="159"/>
        <v>66648</v>
      </c>
      <c r="J366" s="240">
        <f t="shared" ref="J366:O366" si="160">SUM(J347:J350)+J360+J362+J363</f>
        <v>64186</v>
      </c>
      <c r="K366" s="240">
        <f t="shared" si="160"/>
        <v>65731</v>
      </c>
      <c r="L366" s="240">
        <f t="shared" si="160"/>
        <v>66367</v>
      </c>
      <c r="M366" s="240">
        <f t="shared" si="160"/>
        <v>66438</v>
      </c>
      <c r="N366" s="240">
        <f t="shared" si="160"/>
        <v>66435</v>
      </c>
      <c r="O366" s="240">
        <f t="shared" si="160"/>
        <v>67801</v>
      </c>
    </row>
    <row r="367" spans="1:17">
      <c r="A367" s="238" t="s">
        <v>4100</v>
      </c>
      <c r="D367" s="240">
        <f t="shared" ref="D367:I367" si="161">D346+SUM(D352:D354)+D356+D357+D359</f>
        <v>64710</v>
      </c>
      <c r="E367" s="240">
        <f t="shared" si="161"/>
        <v>66082</v>
      </c>
      <c r="F367" s="240">
        <f t="shared" si="161"/>
        <v>67767</v>
      </c>
      <c r="G367" s="240">
        <f t="shared" si="161"/>
        <v>68140</v>
      </c>
      <c r="H367" s="240">
        <f t="shared" si="161"/>
        <v>67031</v>
      </c>
      <c r="I367" s="240">
        <f t="shared" si="161"/>
        <v>67035</v>
      </c>
      <c r="J367" s="240">
        <f t="shared" ref="J367:O367" si="162">J346+SUM(J352:J354)+J356+J357+J359</f>
        <v>64415</v>
      </c>
      <c r="K367" s="240">
        <f t="shared" si="162"/>
        <v>66039</v>
      </c>
      <c r="L367" s="240">
        <f t="shared" si="162"/>
        <v>66512</v>
      </c>
      <c r="M367" s="240">
        <f t="shared" si="162"/>
        <v>66766</v>
      </c>
      <c r="N367" s="240">
        <f t="shared" si="162"/>
        <v>67052</v>
      </c>
      <c r="O367" s="240">
        <f t="shared" si="162"/>
        <v>68836</v>
      </c>
    </row>
    <row r="368" spans="1:17">
      <c r="A368" s="238"/>
      <c r="D368" s="240"/>
      <c r="E368" s="240"/>
      <c r="F368" s="240"/>
      <c r="G368" s="240"/>
      <c r="H368" s="240"/>
      <c r="I368" s="240"/>
      <c r="J368" s="240"/>
      <c r="K368" s="240"/>
      <c r="L368" s="240"/>
      <c r="M368" s="240"/>
      <c r="N368" s="240"/>
      <c r="O368" s="240"/>
    </row>
    <row r="369" spans="1:17">
      <c r="A369" s="238" t="s">
        <v>4479</v>
      </c>
      <c r="D369" s="240"/>
      <c r="E369" s="240"/>
      <c r="F369" s="240"/>
      <c r="G369" s="240"/>
      <c r="H369" s="240"/>
      <c r="I369" s="240"/>
      <c r="J369" s="240"/>
      <c r="K369" s="240"/>
      <c r="L369" s="240"/>
      <c r="M369" s="240"/>
      <c r="N369" s="240"/>
      <c r="O369" s="240"/>
    </row>
    <row r="370" spans="1:17">
      <c r="A370" s="238"/>
      <c r="B370" s="238"/>
      <c r="D370" s="249"/>
      <c r="E370" s="249"/>
      <c r="F370" s="249"/>
      <c r="G370" s="249"/>
      <c r="H370" s="249"/>
      <c r="I370" s="249"/>
      <c r="J370" s="249"/>
      <c r="K370" s="249"/>
      <c r="L370" s="249"/>
      <c r="M370" s="249"/>
      <c r="N370" s="249"/>
      <c r="O370" s="249"/>
    </row>
    <row r="371" spans="1:17">
      <c r="A371" s="238"/>
      <c r="B371" s="238"/>
      <c r="D371" s="249"/>
      <c r="E371" s="249"/>
      <c r="F371" s="249"/>
      <c r="G371" s="249"/>
      <c r="H371" s="249"/>
      <c r="I371" s="249"/>
      <c r="J371" s="249"/>
      <c r="K371" s="249"/>
      <c r="L371" s="249"/>
      <c r="M371" s="249"/>
      <c r="N371" s="249"/>
      <c r="O371" s="249"/>
    </row>
    <row r="372" spans="1:17">
      <c r="E372" s="51" t="s">
        <v>1526</v>
      </c>
      <c r="F372" s="51"/>
      <c r="G372" s="51"/>
      <c r="H372" s="51"/>
      <c r="I372" s="51"/>
      <c r="J372" s="51"/>
      <c r="K372" s="51"/>
      <c r="L372" s="51"/>
      <c r="M372" s="51"/>
      <c r="N372" s="51"/>
      <c r="O372" s="51"/>
      <c r="P372" s="173"/>
      <c r="Q372" s="173" t="s">
        <v>9479</v>
      </c>
    </row>
    <row r="373" spans="1:17">
      <c r="D373" s="239">
        <v>2010</v>
      </c>
      <c r="E373" s="239">
        <v>2011</v>
      </c>
      <c r="F373" s="239">
        <v>2012</v>
      </c>
      <c r="G373" s="239">
        <v>2013</v>
      </c>
      <c r="H373" s="239">
        <v>2014</v>
      </c>
      <c r="I373" s="239">
        <v>2015</v>
      </c>
      <c r="J373" s="239">
        <v>2016</v>
      </c>
      <c r="K373" s="239">
        <v>2017</v>
      </c>
      <c r="L373" s="239">
        <v>2018</v>
      </c>
      <c r="M373" s="239">
        <v>2019</v>
      </c>
      <c r="N373" s="239">
        <v>2020</v>
      </c>
      <c r="O373" s="928" t="s">
        <v>14823</v>
      </c>
      <c r="Q373" s="206" t="s">
        <v>1527</v>
      </c>
    </row>
    <row r="374" spans="1:17">
      <c r="A374" s="238" t="s">
        <v>4480</v>
      </c>
      <c r="D374" s="240">
        <f t="shared" ref="D374:I374" si="163">SUM(D375:D394)</f>
        <v>168234</v>
      </c>
      <c r="E374" s="240">
        <f t="shared" si="163"/>
        <v>172294</v>
      </c>
      <c r="F374" s="240">
        <f t="shared" si="163"/>
        <v>174945</v>
      </c>
      <c r="G374" s="240">
        <f t="shared" si="163"/>
        <v>174015</v>
      </c>
      <c r="H374" s="240">
        <f t="shared" si="163"/>
        <v>173250</v>
      </c>
      <c r="I374" s="240">
        <f t="shared" si="163"/>
        <v>173351</v>
      </c>
      <c r="J374" s="240">
        <f t="shared" ref="J374:O374" si="164">SUM(J375:J394)</f>
        <v>170212</v>
      </c>
      <c r="K374" s="240">
        <f t="shared" si="164"/>
        <v>171733</v>
      </c>
      <c r="L374" s="240">
        <f t="shared" si="164"/>
        <v>171916</v>
      </c>
      <c r="M374" s="240">
        <f t="shared" si="164"/>
        <v>168006</v>
      </c>
      <c r="N374" s="240">
        <f t="shared" si="164"/>
        <v>176903</v>
      </c>
      <c r="O374" s="240">
        <f t="shared" si="164"/>
        <v>172475</v>
      </c>
    </row>
    <row r="375" spans="1:17">
      <c r="A375" s="238" t="s">
        <v>5387</v>
      </c>
      <c r="B375" s="238" t="s">
        <v>4481</v>
      </c>
      <c r="C375" s="55" t="s">
        <v>7450</v>
      </c>
      <c r="D375" s="241">
        <v>8875</v>
      </c>
      <c r="E375" s="241">
        <v>9038</v>
      </c>
      <c r="F375" s="241">
        <v>9042</v>
      </c>
      <c r="G375" s="241">
        <v>9164</v>
      </c>
      <c r="H375" s="56">
        <v>9049</v>
      </c>
      <c r="I375" s="56">
        <v>9289</v>
      </c>
      <c r="J375" s="56">
        <v>9442</v>
      </c>
      <c r="K375" s="56">
        <v>9549</v>
      </c>
      <c r="L375" s="56">
        <v>9540</v>
      </c>
      <c r="M375" s="56">
        <v>9358</v>
      </c>
      <c r="N375" s="56">
        <v>9950</v>
      </c>
      <c r="O375" s="56">
        <v>9670</v>
      </c>
      <c r="Q375" s="238" t="s">
        <v>4106</v>
      </c>
    </row>
    <row r="376" spans="1:17">
      <c r="A376" s="238" t="s">
        <v>5389</v>
      </c>
      <c r="B376" s="238" t="s">
        <v>4482</v>
      </c>
      <c r="C376" s="55" t="s">
        <v>7451</v>
      </c>
      <c r="D376" s="241">
        <v>8686</v>
      </c>
      <c r="E376" s="241">
        <v>8790</v>
      </c>
      <c r="F376" s="241">
        <v>8865</v>
      </c>
      <c r="G376" s="241">
        <v>8902</v>
      </c>
      <c r="H376" s="56">
        <v>8678</v>
      </c>
      <c r="I376" s="56">
        <v>8801</v>
      </c>
      <c r="J376" s="56">
        <v>8649</v>
      </c>
      <c r="K376" s="56">
        <v>8631</v>
      </c>
      <c r="L376" s="56">
        <v>8584</v>
      </c>
      <c r="M376" s="56">
        <v>8347</v>
      </c>
      <c r="N376" s="56">
        <v>8812</v>
      </c>
      <c r="O376" s="56">
        <v>8557</v>
      </c>
      <c r="Q376" s="238" t="s">
        <v>4106</v>
      </c>
    </row>
    <row r="377" spans="1:17">
      <c r="A377" s="238" t="s">
        <v>5391</v>
      </c>
      <c r="B377" s="238" t="s">
        <v>4483</v>
      </c>
      <c r="C377" s="55" t="s">
        <v>7452</v>
      </c>
      <c r="D377" s="241">
        <v>7774</v>
      </c>
      <c r="E377" s="241">
        <v>8160</v>
      </c>
      <c r="F377" s="241">
        <v>8306</v>
      </c>
      <c r="G377" s="241">
        <v>8304</v>
      </c>
      <c r="H377" s="56">
        <v>8216</v>
      </c>
      <c r="I377" s="56">
        <v>8272</v>
      </c>
      <c r="J377" s="56">
        <v>7892</v>
      </c>
      <c r="K377" s="56">
        <v>7884</v>
      </c>
      <c r="L377" s="56">
        <v>7825</v>
      </c>
      <c r="M377" s="56">
        <v>7656</v>
      </c>
      <c r="N377" s="56">
        <v>7939</v>
      </c>
      <c r="O377" s="56">
        <v>7724</v>
      </c>
      <c r="Q377" s="238" t="s">
        <v>4106</v>
      </c>
    </row>
    <row r="378" spans="1:17">
      <c r="A378" s="238" t="s">
        <v>5393</v>
      </c>
      <c r="B378" s="238" t="s">
        <v>4484</v>
      </c>
      <c r="C378" s="55" t="s">
        <v>7453</v>
      </c>
      <c r="D378" s="241">
        <v>8921</v>
      </c>
      <c r="E378" s="241">
        <v>9071</v>
      </c>
      <c r="F378" s="241">
        <v>9115</v>
      </c>
      <c r="G378" s="241">
        <v>9051</v>
      </c>
      <c r="H378" s="56">
        <v>8979</v>
      </c>
      <c r="I378" s="56">
        <v>9062</v>
      </c>
      <c r="J378" s="56">
        <v>8812</v>
      </c>
      <c r="K378" s="56">
        <v>8803</v>
      </c>
      <c r="L378" s="56">
        <v>8986</v>
      </c>
      <c r="M378" s="56">
        <v>8743</v>
      </c>
      <c r="N378" s="56">
        <v>8960</v>
      </c>
      <c r="O378" s="56">
        <v>8735</v>
      </c>
      <c r="Q378" s="238" t="s">
        <v>4104</v>
      </c>
    </row>
    <row r="379" spans="1:17">
      <c r="A379" s="238" t="s">
        <v>5394</v>
      </c>
      <c r="B379" s="238" t="s">
        <v>4485</v>
      </c>
      <c r="C379" s="55" t="s">
        <v>7454</v>
      </c>
      <c r="D379" s="241">
        <v>8521</v>
      </c>
      <c r="E379" s="241">
        <v>8864</v>
      </c>
      <c r="F379" s="241">
        <v>8955</v>
      </c>
      <c r="G379" s="241">
        <v>9078</v>
      </c>
      <c r="H379" s="56">
        <v>9242</v>
      </c>
      <c r="I379" s="56">
        <v>9258</v>
      </c>
      <c r="J379" s="56">
        <v>9038</v>
      </c>
      <c r="K379" s="56">
        <v>9163</v>
      </c>
      <c r="L379" s="56">
        <v>9313</v>
      </c>
      <c r="M379" s="56">
        <v>9258</v>
      </c>
      <c r="N379" s="56">
        <v>9930</v>
      </c>
      <c r="O379" s="56">
        <v>9702</v>
      </c>
      <c r="Q379" s="238" t="s">
        <v>4104</v>
      </c>
    </row>
    <row r="380" spans="1:17">
      <c r="A380" s="238" t="s">
        <v>5416</v>
      </c>
      <c r="B380" s="238" t="s">
        <v>4486</v>
      </c>
      <c r="C380" s="55" t="s">
        <v>7455</v>
      </c>
      <c r="D380" s="241">
        <v>8515</v>
      </c>
      <c r="E380" s="241">
        <v>8677</v>
      </c>
      <c r="F380" s="241">
        <v>8816</v>
      </c>
      <c r="G380" s="241">
        <v>8872</v>
      </c>
      <c r="H380" s="56">
        <v>8664</v>
      </c>
      <c r="I380" s="56">
        <v>8737</v>
      </c>
      <c r="J380" s="56">
        <v>8550</v>
      </c>
      <c r="K380" s="56">
        <v>8618</v>
      </c>
      <c r="L380" s="56">
        <v>8519</v>
      </c>
      <c r="M380" s="56">
        <v>8306</v>
      </c>
      <c r="N380" s="56">
        <v>8675</v>
      </c>
      <c r="O380" s="56">
        <v>8481</v>
      </c>
      <c r="Q380" s="238" t="s">
        <v>4106</v>
      </c>
    </row>
    <row r="381" spans="1:17">
      <c r="A381" s="238" t="s">
        <v>5418</v>
      </c>
      <c r="B381" s="238" t="s">
        <v>4487</v>
      </c>
      <c r="C381" s="55" t="s">
        <v>7456</v>
      </c>
      <c r="D381" s="241">
        <v>8382</v>
      </c>
      <c r="E381" s="241">
        <v>8694</v>
      </c>
      <c r="F381" s="241">
        <v>8747</v>
      </c>
      <c r="G381" s="241">
        <v>8797</v>
      </c>
      <c r="H381" s="56">
        <v>8747</v>
      </c>
      <c r="I381" s="56">
        <v>8952</v>
      </c>
      <c r="J381" s="56">
        <v>8915</v>
      </c>
      <c r="K381" s="56">
        <v>9152</v>
      </c>
      <c r="L381" s="56">
        <v>9157</v>
      </c>
      <c r="M381" s="56">
        <v>8986</v>
      </c>
      <c r="N381" s="56">
        <v>9694</v>
      </c>
      <c r="O381" s="56">
        <v>9458</v>
      </c>
      <c r="Q381" s="238" t="s">
        <v>4106</v>
      </c>
    </row>
    <row r="382" spans="1:17">
      <c r="A382" s="238" t="s">
        <v>5420</v>
      </c>
      <c r="B382" s="238" t="s">
        <v>4488</v>
      </c>
      <c r="C382" s="55" t="s">
        <v>7457</v>
      </c>
      <c r="D382" s="241">
        <v>8811</v>
      </c>
      <c r="E382" s="241">
        <v>8979</v>
      </c>
      <c r="F382" s="241">
        <v>8995</v>
      </c>
      <c r="G382" s="241">
        <v>9025</v>
      </c>
      <c r="H382" s="56">
        <v>8903</v>
      </c>
      <c r="I382" s="56">
        <v>8947</v>
      </c>
      <c r="J382" s="56">
        <v>8804</v>
      </c>
      <c r="K382" s="56">
        <v>8750</v>
      </c>
      <c r="L382" s="56">
        <v>8719</v>
      </c>
      <c r="M382" s="56">
        <v>8447</v>
      </c>
      <c r="N382" s="56">
        <v>8791</v>
      </c>
      <c r="O382" s="56">
        <v>8639</v>
      </c>
      <c r="Q382" s="238" t="s">
        <v>4104</v>
      </c>
    </row>
    <row r="383" spans="1:17">
      <c r="A383" s="238" t="s">
        <v>5422</v>
      </c>
      <c r="B383" s="238" t="s">
        <v>4489</v>
      </c>
      <c r="C383" s="55" t="s">
        <v>7458</v>
      </c>
      <c r="D383" s="241">
        <v>7913</v>
      </c>
      <c r="E383" s="241">
        <v>7994</v>
      </c>
      <c r="F383" s="241">
        <v>8091</v>
      </c>
      <c r="G383" s="241">
        <v>7784</v>
      </c>
      <c r="H383" s="56">
        <v>7906</v>
      </c>
      <c r="I383" s="56">
        <v>7943</v>
      </c>
      <c r="J383" s="56">
        <v>7635</v>
      </c>
      <c r="K383" s="56">
        <v>7652</v>
      </c>
      <c r="L383" s="56">
        <v>7710</v>
      </c>
      <c r="M383" s="56">
        <v>7409</v>
      </c>
      <c r="N383" s="56">
        <v>7918</v>
      </c>
      <c r="O383" s="56">
        <v>7661</v>
      </c>
      <c r="Q383" s="238" t="s">
        <v>5633</v>
      </c>
    </row>
    <row r="384" spans="1:17">
      <c r="A384" s="238" t="s">
        <v>5424</v>
      </c>
      <c r="B384" s="238" t="s">
        <v>4490</v>
      </c>
      <c r="C384" s="55" t="s">
        <v>7459</v>
      </c>
      <c r="D384" s="241">
        <v>7128</v>
      </c>
      <c r="E384" s="241">
        <v>7386</v>
      </c>
      <c r="F384" s="241">
        <v>8012</v>
      </c>
      <c r="G384" s="241">
        <v>7998</v>
      </c>
      <c r="H384" s="56">
        <v>8071</v>
      </c>
      <c r="I384" s="56">
        <v>7605</v>
      </c>
      <c r="J384" s="56">
        <v>7435</v>
      </c>
      <c r="K384" s="56">
        <v>7609</v>
      </c>
      <c r="L384" s="56">
        <v>7456</v>
      </c>
      <c r="M384" s="56">
        <v>7411</v>
      </c>
      <c r="N384" s="56">
        <v>7985</v>
      </c>
      <c r="O384" s="56">
        <v>7787</v>
      </c>
      <c r="Q384" s="238" t="s">
        <v>4104</v>
      </c>
    </row>
    <row r="385" spans="1:17">
      <c r="A385" s="238" t="s">
        <v>5426</v>
      </c>
      <c r="B385" s="238" t="s">
        <v>4491</v>
      </c>
      <c r="C385" s="55" t="s">
        <v>7460</v>
      </c>
      <c r="D385" s="241">
        <v>9105</v>
      </c>
      <c r="E385" s="241">
        <v>9361</v>
      </c>
      <c r="F385" s="241">
        <v>9358</v>
      </c>
      <c r="G385" s="241">
        <v>9316</v>
      </c>
      <c r="H385" s="56">
        <v>9223</v>
      </c>
      <c r="I385" s="56">
        <v>9300</v>
      </c>
      <c r="J385" s="58">
        <v>9118</v>
      </c>
      <c r="K385" s="56">
        <v>9251</v>
      </c>
      <c r="L385" s="56">
        <v>9316</v>
      </c>
      <c r="M385" s="56">
        <v>8978</v>
      </c>
      <c r="N385" s="56">
        <v>9351</v>
      </c>
      <c r="O385" s="56">
        <v>9152</v>
      </c>
      <c r="Q385" s="238" t="s">
        <v>5633</v>
      </c>
    </row>
    <row r="386" spans="1:17">
      <c r="A386" s="238" t="s">
        <v>5428</v>
      </c>
      <c r="B386" s="238" t="s">
        <v>4492</v>
      </c>
      <c r="C386" s="55" t="s">
        <v>7461</v>
      </c>
      <c r="D386" s="241">
        <v>8658</v>
      </c>
      <c r="E386" s="241">
        <v>8802</v>
      </c>
      <c r="F386" s="241">
        <v>8882</v>
      </c>
      <c r="G386" s="241">
        <v>8823</v>
      </c>
      <c r="H386" s="56">
        <v>8766</v>
      </c>
      <c r="I386" s="56">
        <v>8854</v>
      </c>
      <c r="J386" s="56">
        <v>8766</v>
      </c>
      <c r="K386" s="56">
        <v>8757</v>
      </c>
      <c r="L386" s="56">
        <v>8694</v>
      </c>
      <c r="M386" s="56">
        <v>8462</v>
      </c>
      <c r="N386" s="56">
        <v>8820</v>
      </c>
      <c r="O386" s="56">
        <v>8608</v>
      </c>
      <c r="Q386" s="238" t="s">
        <v>4104</v>
      </c>
    </row>
    <row r="387" spans="1:17">
      <c r="A387" s="238" t="s">
        <v>5429</v>
      </c>
      <c r="B387" s="238" t="s">
        <v>1645</v>
      </c>
      <c r="C387" s="55" t="s">
        <v>7462</v>
      </c>
      <c r="D387" s="241">
        <v>7568</v>
      </c>
      <c r="E387" s="241">
        <v>7725</v>
      </c>
      <c r="F387" s="241">
        <v>7925</v>
      </c>
      <c r="G387" s="241">
        <v>7792</v>
      </c>
      <c r="H387" s="58">
        <v>7586</v>
      </c>
      <c r="I387" s="58">
        <v>7674</v>
      </c>
      <c r="J387" s="58">
        <v>7415</v>
      </c>
      <c r="K387" s="58">
        <v>7391</v>
      </c>
      <c r="L387" s="58">
        <v>7447</v>
      </c>
      <c r="M387" s="58">
        <v>7185</v>
      </c>
      <c r="N387" s="58">
        <v>7742</v>
      </c>
      <c r="O387" s="58">
        <v>7577</v>
      </c>
      <c r="Q387" s="238" t="s">
        <v>5633</v>
      </c>
    </row>
    <row r="388" spans="1:17">
      <c r="A388" s="238" t="s">
        <v>5431</v>
      </c>
      <c r="B388" s="238" t="s">
        <v>4780</v>
      </c>
      <c r="C388" s="55" t="s">
        <v>7463</v>
      </c>
      <c r="D388" s="241">
        <v>9794</v>
      </c>
      <c r="E388" s="241">
        <v>9979</v>
      </c>
      <c r="F388" s="241">
        <v>10041</v>
      </c>
      <c r="G388" s="241">
        <v>9993</v>
      </c>
      <c r="H388" s="58">
        <v>9927</v>
      </c>
      <c r="I388" s="58">
        <v>10024</v>
      </c>
      <c r="J388" s="58">
        <v>9759</v>
      </c>
      <c r="K388" s="58">
        <v>9855</v>
      </c>
      <c r="L388" s="58">
        <v>9967</v>
      </c>
      <c r="M388" s="58">
        <v>9783</v>
      </c>
      <c r="N388" s="58">
        <v>10167</v>
      </c>
      <c r="O388" s="58">
        <v>9918</v>
      </c>
      <c r="Q388" s="238" t="s">
        <v>5633</v>
      </c>
    </row>
    <row r="389" spans="1:17">
      <c r="A389" s="238" t="s">
        <v>5433</v>
      </c>
      <c r="B389" s="238" t="s">
        <v>6728</v>
      </c>
      <c r="C389" s="55" t="s">
        <v>7464</v>
      </c>
      <c r="D389" s="248">
        <v>6156</v>
      </c>
      <c r="E389" s="248">
        <v>6407</v>
      </c>
      <c r="F389" s="248">
        <v>7139</v>
      </c>
      <c r="G389" s="248">
        <v>6856</v>
      </c>
      <c r="H389" s="58">
        <v>7286</v>
      </c>
      <c r="I389" s="58">
        <v>6330</v>
      </c>
      <c r="J389" s="58">
        <v>6321</v>
      </c>
      <c r="K389" s="58">
        <v>6412</v>
      </c>
      <c r="L389" s="58">
        <v>6368</v>
      </c>
      <c r="M389" s="58">
        <v>6168</v>
      </c>
      <c r="N389" s="58">
        <v>6851</v>
      </c>
      <c r="O389" s="58">
        <v>6592</v>
      </c>
      <c r="Q389" s="238" t="s">
        <v>5633</v>
      </c>
    </row>
    <row r="390" spans="1:17">
      <c r="A390" s="238" t="s">
        <v>5435</v>
      </c>
      <c r="B390" s="238" t="s">
        <v>4493</v>
      </c>
      <c r="C390" s="55" t="s">
        <v>7465</v>
      </c>
      <c r="D390" s="241">
        <v>8441</v>
      </c>
      <c r="E390" s="241">
        <v>8735</v>
      </c>
      <c r="F390" s="241">
        <v>8865</v>
      </c>
      <c r="G390" s="241">
        <v>8867</v>
      </c>
      <c r="H390" s="56">
        <v>8695</v>
      </c>
      <c r="I390" s="56">
        <v>8766</v>
      </c>
      <c r="J390" s="56">
        <v>8578</v>
      </c>
      <c r="K390" s="56">
        <v>8673</v>
      </c>
      <c r="L390" s="56">
        <v>8716</v>
      </c>
      <c r="M390" s="56">
        <v>8508</v>
      </c>
      <c r="N390" s="56">
        <v>8891</v>
      </c>
      <c r="O390" s="56">
        <v>8616</v>
      </c>
      <c r="Q390" s="238" t="s">
        <v>4106</v>
      </c>
    </row>
    <row r="391" spans="1:17">
      <c r="A391" s="238" t="s">
        <v>5436</v>
      </c>
      <c r="B391" s="238" t="s">
        <v>4494</v>
      </c>
      <c r="C391" s="55" t="s">
        <v>7466</v>
      </c>
      <c r="D391" s="241">
        <v>8978</v>
      </c>
      <c r="E391" s="241">
        <v>9257</v>
      </c>
      <c r="F391" s="241">
        <v>9333</v>
      </c>
      <c r="G391" s="241">
        <v>9295</v>
      </c>
      <c r="H391" s="58">
        <v>9238</v>
      </c>
      <c r="I391" s="58">
        <v>9316</v>
      </c>
      <c r="J391" s="58">
        <v>9137</v>
      </c>
      <c r="K391" s="58">
        <v>9331</v>
      </c>
      <c r="L391" s="58">
        <v>9274</v>
      </c>
      <c r="M391" s="58">
        <v>9210</v>
      </c>
      <c r="N391" s="58">
        <v>9620</v>
      </c>
      <c r="O391" s="58">
        <v>9359</v>
      </c>
      <c r="Q391" s="238" t="s">
        <v>5633</v>
      </c>
    </row>
    <row r="392" spans="1:17">
      <c r="A392" s="238" t="s">
        <v>5437</v>
      </c>
      <c r="B392" s="238" t="s">
        <v>4495</v>
      </c>
      <c r="C392" s="55" t="s">
        <v>7467</v>
      </c>
      <c r="D392" s="241">
        <v>8917</v>
      </c>
      <c r="E392" s="241">
        <v>9123</v>
      </c>
      <c r="F392" s="241">
        <v>9131</v>
      </c>
      <c r="G392" s="241">
        <v>8909</v>
      </c>
      <c r="H392" s="58">
        <v>8992</v>
      </c>
      <c r="I392" s="58">
        <v>9012</v>
      </c>
      <c r="J392" s="58">
        <v>8839</v>
      </c>
      <c r="K392" s="58">
        <v>8951</v>
      </c>
      <c r="L392" s="58">
        <v>8998</v>
      </c>
      <c r="M392" s="58">
        <v>8745</v>
      </c>
      <c r="N392" s="58">
        <v>9235</v>
      </c>
      <c r="O392" s="58">
        <v>9001</v>
      </c>
      <c r="Q392" s="238" t="s">
        <v>5633</v>
      </c>
    </row>
    <row r="393" spans="1:17">
      <c r="A393" s="238" t="s">
        <v>5439</v>
      </c>
      <c r="B393" s="238" t="s">
        <v>4496</v>
      </c>
      <c r="C393" s="55" t="s">
        <v>7468</v>
      </c>
      <c r="D393" s="241">
        <v>8768</v>
      </c>
      <c r="E393" s="241">
        <v>8839</v>
      </c>
      <c r="F393" s="241">
        <v>8827</v>
      </c>
      <c r="G393" s="241">
        <v>8769</v>
      </c>
      <c r="H393" s="56">
        <v>8716</v>
      </c>
      <c r="I393" s="56">
        <v>8750</v>
      </c>
      <c r="J393" s="56">
        <v>8681</v>
      </c>
      <c r="K393" s="56">
        <v>8693</v>
      </c>
      <c r="L393" s="56">
        <v>8656</v>
      </c>
      <c r="M393" s="56">
        <v>8549</v>
      </c>
      <c r="N393" s="56">
        <v>8780</v>
      </c>
      <c r="O393" s="56">
        <v>8635</v>
      </c>
      <c r="Q393" s="238" t="s">
        <v>4104</v>
      </c>
    </row>
    <row r="394" spans="1:17">
      <c r="A394" s="238" t="s">
        <v>5441</v>
      </c>
      <c r="B394" s="238" t="s">
        <v>4497</v>
      </c>
      <c r="C394" s="55" t="s">
        <v>7469</v>
      </c>
      <c r="D394" s="241">
        <v>8323</v>
      </c>
      <c r="E394" s="241">
        <v>8413</v>
      </c>
      <c r="F394" s="241">
        <v>8500</v>
      </c>
      <c r="G394" s="241">
        <v>8420</v>
      </c>
      <c r="H394" s="56">
        <v>8366</v>
      </c>
      <c r="I394" s="56">
        <v>8459</v>
      </c>
      <c r="J394" s="56">
        <v>8426</v>
      </c>
      <c r="K394" s="56">
        <v>8608</v>
      </c>
      <c r="L394" s="56">
        <v>8671</v>
      </c>
      <c r="M394" s="56">
        <v>8497</v>
      </c>
      <c r="N394" s="56">
        <v>8792</v>
      </c>
      <c r="O394" s="56">
        <v>8603</v>
      </c>
      <c r="Q394" s="238" t="s">
        <v>4104</v>
      </c>
    </row>
    <row r="395" spans="1:17">
      <c r="D395" s="241"/>
      <c r="E395" s="241"/>
      <c r="F395" s="241"/>
      <c r="G395" s="241"/>
      <c r="H395" s="241"/>
      <c r="I395" s="241"/>
      <c r="J395" s="241"/>
      <c r="K395" s="241"/>
      <c r="L395" s="241"/>
      <c r="M395" s="241"/>
      <c r="N395" s="241"/>
      <c r="O395" s="241"/>
    </row>
    <row r="396" spans="1:17">
      <c r="A396" s="238" t="s">
        <v>4104</v>
      </c>
      <c r="D396" s="240">
        <f t="shared" ref="D396:I396" si="165">D378+D379+D382+D384+D386+D393+D394</f>
        <v>59130</v>
      </c>
      <c r="E396" s="240">
        <f t="shared" si="165"/>
        <v>60354</v>
      </c>
      <c r="F396" s="240">
        <f t="shared" si="165"/>
        <v>61286</v>
      </c>
      <c r="G396" s="240">
        <f t="shared" si="165"/>
        <v>61164</v>
      </c>
      <c r="H396" s="240">
        <f t="shared" si="165"/>
        <v>61043</v>
      </c>
      <c r="I396" s="240">
        <f t="shared" si="165"/>
        <v>60935</v>
      </c>
      <c r="J396" s="240">
        <f t="shared" ref="J396:O396" si="166">J378+J379+J382+J384+J386+J393+J394</f>
        <v>59962</v>
      </c>
      <c r="K396" s="240">
        <f t="shared" si="166"/>
        <v>60383</v>
      </c>
      <c r="L396" s="240">
        <f t="shared" si="166"/>
        <v>60495</v>
      </c>
      <c r="M396" s="240">
        <f t="shared" si="166"/>
        <v>59367</v>
      </c>
      <c r="N396" s="240">
        <f t="shared" si="166"/>
        <v>62058</v>
      </c>
      <c r="O396" s="240">
        <f t="shared" si="166"/>
        <v>60709</v>
      </c>
    </row>
    <row r="397" spans="1:17">
      <c r="A397" s="238" t="s">
        <v>5727</v>
      </c>
      <c r="D397" s="240">
        <f t="shared" ref="D397:I397" si="167">SUM(D375:D377)+D380+D381+D390</f>
        <v>50673</v>
      </c>
      <c r="E397" s="240">
        <f t="shared" si="167"/>
        <v>52094</v>
      </c>
      <c r="F397" s="240">
        <f t="shared" si="167"/>
        <v>52641</v>
      </c>
      <c r="G397" s="240">
        <f t="shared" si="167"/>
        <v>52906</v>
      </c>
      <c r="H397" s="240">
        <f t="shared" si="167"/>
        <v>52049</v>
      </c>
      <c r="I397" s="240">
        <f t="shared" si="167"/>
        <v>52817</v>
      </c>
      <c r="J397" s="240">
        <f t="shared" ref="J397:O397" si="168">SUM(J375:J377)+J380+J381+J390</f>
        <v>52026</v>
      </c>
      <c r="K397" s="240">
        <f t="shared" si="168"/>
        <v>52507</v>
      </c>
      <c r="L397" s="240">
        <f t="shared" si="168"/>
        <v>52341</v>
      </c>
      <c r="M397" s="240">
        <f t="shared" si="168"/>
        <v>51161</v>
      </c>
      <c r="N397" s="240">
        <f t="shared" si="168"/>
        <v>53961</v>
      </c>
      <c r="O397" s="240">
        <f t="shared" si="168"/>
        <v>52506</v>
      </c>
    </row>
    <row r="398" spans="1:17">
      <c r="A398" s="238" t="s">
        <v>5633</v>
      </c>
      <c r="D398" s="240">
        <f t="shared" ref="D398:I398" si="169">D383+D385+SUM(D387:D389)+D391+D392</f>
        <v>58431</v>
      </c>
      <c r="E398" s="240">
        <f t="shared" si="169"/>
        <v>59846</v>
      </c>
      <c r="F398" s="240">
        <f t="shared" si="169"/>
        <v>61018</v>
      </c>
      <c r="G398" s="240">
        <f t="shared" si="169"/>
        <v>59945</v>
      </c>
      <c r="H398" s="240">
        <f t="shared" si="169"/>
        <v>60158</v>
      </c>
      <c r="I398" s="240">
        <f t="shared" si="169"/>
        <v>59599</v>
      </c>
      <c r="J398" s="240">
        <f t="shared" ref="J398:O398" si="170">J383+J385+SUM(J387:J389)+J391+J392</f>
        <v>58224</v>
      </c>
      <c r="K398" s="240">
        <f t="shared" si="170"/>
        <v>58843</v>
      </c>
      <c r="L398" s="240">
        <f t="shared" si="170"/>
        <v>59080</v>
      </c>
      <c r="M398" s="240">
        <f t="shared" si="170"/>
        <v>57478</v>
      </c>
      <c r="N398" s="240">
        <f t="shared" si="170"/>
        <v>60884</v>
      </c>
      <c r="O398" s="240">
        <f t="shared" si="170"/>
        <v>59260</v>
      </c>
    </row>
    <row r="400" spans="1:17">
      <c r="A400" s="112" t="s">
        <v>4498</v>
      </c>
    </row>
  </sheetData>
  <phoneticPr fontId="6" type="noConversion"/>
  <printOptions gridLinesSet="0"/>
  <pageMargins left="0.78740157480314965" right="0" top="0.51181102362204722" bottom="0.51181102362204722" header="0.51181102362204722" footer="0.51181102362204722"/>
  <pageSetup paperSize="9" scale="65" orientation="portrait" horizontalDpi="300" verticalDpi="300" r:id="rId1"/>
  <headerFooter alignWithMargins="0">
    <oddFooter>&amp;C&amp;8&amp;P of &amp;N</oddFooter>
  </headerFooter>
  <rowBreaks count="2" manualBreakCount="2">
    <brk id="55" max="4" man="1"/>
    <brk id="79" max="4" man="1"/>
  </rowBreaks>
  <ignoredErrors>
    <ignoredError sqref="D396:D398 D374:K374 D280:K280 D306:D309 D269:D273 D243:K243 D214:K214 D234:D236 D343:K343 D365:D367 D316:K316 D335:D336 E306:E309 E396:E398 E234:E236 E335:E336 E269:E273 D3:D12 E365:E367 E3:E12 F234:F236 F269:F273 F306:F309 F335:F336 F365:F367 F396:F398 F3:F12 G335:G336 G365:G367 G306:G309 G396:G398 G234:G236 G269:G273 G3:G12 D14:D79 E14:E79 F14:F79 G14:G79 D13:G13 H234:H236 H269:H273 H335:H336 H396:H398 H306:H309 H365:H367 H3:H12 H13:H79 I396:I398 I269:I273 I234:I236 I335:I336 I365:I367 I306:I309 I3:I79 J306:J309 J234:J236 J269:J273 J335:J336 J365:J367 J396:J398 J3:J79 K234:K236 K269:K273 K306:K309 K335:K336 K365:K367 K396:K398 K3:K79 D91:K91 D98:K98 D102:K102 D113:K113 D123:K123 D139:K139 D143:K143 D148:K148 D153:K153 D156:K156 D168:K168 D173:K173 D189:K189 L3:L197 D85:K85 D94:K94 D106:K106 D110:K110 D127:K127 D136:K136 D177:K177 L208:L398 L198:L206 D198:K206" unlockedFormula="1"/>
    <ignoredError sqref="D194:K194 D207:K207 L207" formulaRange="1" unlockedFormula="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dimension ref="A1:Q252"/>
  <sheetViews>
    <sheetView showGridLines="0" zoomScale="90" zoomScaleNormal="90" workbookViewId="0">
      <selection activeCell="G262" sqref="G262"/>
    </sheetView>
  </sheetViews>
  <sheetFormatPr defaultColWidth="12.5703125" defaultRowHeight="15"/>
  <cols>
    <col min="1" max="1" width="4.85546875" style="111" customWidth="1"/>
    <col min="2" max="2" width="41" style="111" customWidth="1"/>
    <col min="3" max="3" width="11.5703125" style="111" customWidth="1"/>
    <col min="4" max="15" width="10.140625" style="111" customWidth="1"/>
    <col min="16" max="16" width="2.28515625" style="111" customWidth="1"/>
    <col min="17" max="17" width="40.7109375" style="111" customWidth="1"/>
    <col min="18" max="16384" width="12.5703125" style="111"/>
  </cols>
  <sheetData>
    <row r="1" spans="1:17">
      <c r="A1" s="226" t="s">
        <v>6924</v>
      </c>
      <c r="D1" s="227">
        <v>2010</v>
      </c>
      <c r="E1" s="227">
        <v>2011</v>
      </c>
      <c r="F1" s="227">
        <v>2012</v>
      </c>
      <c r="G1" s="227">
        <v>2013</v>
      </c>
      <c r="H1" s="227">
        <v>2014</v>
      </c>
      <c r="I1" s="227">
        <v>2015</v>
      </c>
      <c r="J1" s="227">
        <v>2016</v>
      </c>
      <c r="K1" s="227">
        <v>2017</v>
      </c>
      <c r="L1" s="227">
        <v>2018</v>
      </c>
      <c r="M1" s="227">
        <v>2019</v>
      </c>
      <c r="N1" s="227">
        <v>2020</v>
      </c>
      <c r="O1" s="927" t="s">
        <v>14823</v>
      </c>
    </row>
    <row r="3" spans="1:17">
      <c r="A3" s="226" t="s">
        <v>6846</v>
      </c>
      <c r="D3" s="228">
        <f t="shared" ref="D3:I3" si="0">SUM(D5:D11)</f>
        <v>598743</v>
      </c>
      <c r="E3" s="228">
        <f t="shared" si="0"/>
        <v>602338</v>
      </c>
      <c r="F3" s="228">
        <f t="shared" si="0"/>
        <v>607363</v>
      </c>
      <c r="G3" s="228">
        <f t="shared" si="0"/>
        <v>611161</v>
      </c>
      <c r="H3" s="228">
        <f t="shared" si="0"/>
        <v>605063</v>
      </c>
      <c r="I3" s="228">
        <f t="shared" si="0"/>
        <v>600847</v>
      </c>
      <c r="J3" s="228">
        <f t="shared" ref="J3:O3" si="1">SUM(J5:J11)</f>
        <v>598549</v>
      </c>
      <c r="K3" s="228">
        <f t="shared" si="1"/>
        <v>622745</v>
      </c>
      <c r="L3" s="228">
        <f t="shared" si="1"/>
        <v>629540</v>
      </c>
      <c r="M3" s="228">
        <f t="shared" si="1"/>
        <v>625069</v>
      </c>
      <c r="N3" s="228">
        <f t="shared" si="1"/>
        <v>637506</v>
      </c>
      <c r="O3" s="228">
        <f t="shared" si="1"/>
        <v>646410</v>
      </c>
    </row>
    <row r="4" spans="1:17">
      <c r="D4" s="229"/>
      <c r="E4" s="229"/>
      <c r="F4" s="229"/>
      <c r="G4" s="229"/>
      <c r="H4" s="229"/>
      <c r="I4" s="229"/>
      <c r="J4" s="229"/>
      <c r="K4" s="229"/>
      <c r="L4" s="229"/>
      <c r="M4" s="229"/>
      <c r="N4" s="229"/>
      <c r="O4" s="229"/>
    </row>
    <row r="5" spans="1:17">
      <c r="A5" s="226" t="s">
        <v>4499</v>
      </c>
      <c r="C5" s="226"/>
      <c r="D5" s="228">
        <f t="shared" ref="D5:I5" si="2">D50</f>
        <v>47382</v>
      </c>
      <c r="E5" s="228">
        <f t="shared" si="2"/>
        <v>47396</v>
      </c>
      <c r="F5" s="228">
        <f t="shared" si="2"/>
        <v>47913</v>
      </c>
      <c r="G5" s="228">
        <f t="shared" si="2"/>
        <v>48236</v>
      </c>
      <c r="H5" s="228">
        <f t="shared" si="2"/>
        <v>48113</v>
      </c>
      <c r="I5" s="228">
        <f t="shared" si="2"/>
        <v>46710</v>
      </c>
      <c r="J5" s="228">
        <f t="shared" ref="J5:O5" si="3">J50</f>
        <v>46643</v>
      </c>
      <c r="K5" s="228">
        <f t="shared" si="3"/>
        <v>48207</v>
      </c>
      <c r="L5" s="228">
        <f t="shared" si="3"/>
        <v>48471</v>
      </c>
      <c r="M5" s="228">
        <f t="shared" si="3"/>
        <v>47897</v>
      </c>
      <c r="N5" s="228">
        <f t="shared" si="3"/>
        <v>48200</v>
      </c>
      <c r="O5" s="228">
        <f t="shared" si="3"/>
        <v>49118</v>
      </c>
      <c r="Q5" s="230"/>
    </row>
    <row r="6" spans="1:17">
      <c r="A6" s="226" t="s">
        <v>4500</v>
      </c>
      <c r="C6" s="226"/>
      <c r="D6" s="228">
        <f t="shared" ref="D6:I6" si="4">D73</f>
        <v>112814</v>
      </c>
      <c r="E6" s="228">
        <f t="shared" si="4"/>
        <v>112169</v>
      </c>
      <c r="F6" s="228">
        <f t="shared" si="4"/>
        <v>112052</v>
      </c>
      <c r="G6" s="228">
        <f t="shared" si="4"/>
        <v>111331</v>
      </c>
      <c r="H6" s="228">
        <f t="shared" si="4"/>
        <v>109063</v>
      </c>
      <c r="I6" s="228">
        <f t="shared" si="4"/>
        <v>111759</v>
      </c>
      <c r="J6" s="228">
        <f t="shared" ref="J6:O6" si="5">J73</f>
        <v>113193</v>
      </c>
      <c r="K6" s="228">
        <f t="shared" si="5"/>
        <v>116521</v>
      </c>
      <c r="L6" s="228">
        <f t="shared" si="5"/>
        <v>120238</v>
      </c>
      <c r="M6" s="228">
        <f t="shared" si="5"/>
        <v>118125</v>
      </c>
      <c r="N6" s="228">
        <f t="shared" si="5"/>
        <v>122127</v>
      </c>
      <c r="O6" s="228">
        <f t="shared" si="5"/>
        <v>121629</v>
      </c>
      <c r="Q6" s="230"/>
    </row>
    <row r="7" spans="1:17">
      <c r="A7" s="226" t="s">
        <v>4501</v>
      </c>
      <c r="C7" s="226"/>
      <c r="D7" s="228">
        <f t="shared" ref="D7:I7" si="6">D109</f>
        <v>88831</v>
      </c>
      <c r="E7" s="228">
        <f t="shared" si="6"/>
        <v>89483</v>
      </c>
      <c r="F7" s="228">
        <f t="shared" si="6"/>
        <v>89912</v>
      </c>
      <c r="G7" s="228">
        <f t="shared" si="6"/>
        <v>91428</v>
      </c>
      <c r="H7" s="228">
        <f t="shared" si="6"/>
        <v>89884</v>
      </c>
      <c r="I7" s="228">
        <f t="shared" si="6"/>
        <v>88324</v>
      </c>
      <c r="J7" s="228">
        <f t="shared" ref="J7:O7" si="7">J109</f>
        <v>85960</v>
      </c>
      <c r="K7" s="228">
        <f t="shared" si="7"/>
        <v>90709</v>
      </c>
      <c r="L7" s="228">
        <f t="shared" si="7"/>
        <v>90973</v>
      </c>
      <c r="M7" s="228">
        <f t="shared" si="7"/>
        <v>89682</v>
      </c>
      <c r="N7" s="228">
        <f t="shared" si="7"/>
        <v>90230</v>
      </c>
      <c r="O7" s="228">
        <f t="shared" si="7"/>
        <v>93715</v>
      </c>
      <c r="Q7" s="230"/>
    </row>
    <row r="8" spans="1:17">
      <c r="A8" s="226" t="s">
        <v>6017</v>
      </c>
      <c r="C8" s="226"/>
      <c r="D8" s="228">
        <f t="shared" ref="D8:I8" si="8">D142</f>
        <v>72024</v>
      </c>
      <c r="E8" s="228">
        <f t="shared" si="8"/>
        <v>71793</v>
      </c>
      <c r="F8" s="228">
        <f t="shared" si="8"/>
        <v>73935</v>
      </c>
      <c r="G8" s="228">
        <f t="shared" si="8"/>
        <v>74610</v>
      </c>
      <c r="H8" s="228">
        <f t="shared" si="8"/>
        <v>74369</v>
      </c>
      <c r="I8" s="228">
        <f t="shared" si="8"/>
        <v>72424</v>
      </c>
      <c r="J8" s="228">
        <f t="shared" ref="J8:O8" si="9">J142</f>
        <v>70578</v>
      </c>
      <c r="K8" s="228">
        <f t="shared" si="9"/>
        <v>71455</v>
      </c>
      <c r="L8" s="228">
        <f t="shared" si="9"/>
        <v>72499</v>
      </c>
      <c r="M8" s="228">
        <f t="shared" si="9"/>
        <v>72199</v>
      </c>
      <c r="N8" s="228">
        <f t="shared" si="9"/>
        <v>74712</v>
      </c>
      <c r="O8" s="228">
        <f t="shared" si="9"/>
        <v>74446</v>
      </c>
      <c r="Q8" s="230"/>
    </row>
    <row r="9" spans="1:17">
      <c r="A9" s="226" t="s">
        <v>6018</v>
      </c>
      <c r="C9" s="226"/>
      <c r="D9" s="228">
        <f t="shared" ref="D9:I9" si="10">D164</f>
        <v>99682</v>
      </c>
      <c r="E9" s="228">
        <f t="shared" si="10"/>
        <v>100713</v>
      </c>
      <c r="F9" s="228">
        <f t="shared" si="10"/>
        <v>101117</v>
      </c>
      <c r="G9" s="228">
        <f t="shared" si="10"/>
        <v>101732</v>
      </c>
      <c r="H9" s="228">
        <f t="shared" si="10"/>
        <v>99258</v>
      </c>
      <c r="I9" s="228">
        <f t="shared" si="10"/>
        <v>99936</v>
      </c>
      <c r="J9" s="228">
        <f t="shared" ref="J9:O9" si="11">J164</f>
        <v>100288</v>
      </c>
      <c r="K9" s="228">
        <f t="shared" si="11"/>
        <v>103959</v>
      </c>
      <c r="L9" s="228">
        <f t="shared" si="11"/>
        <v>105544</v>
      </c>
      <c r="M9" s="228">
        <f t="shared" si="11"/>
        <v>106431</v>
      </c>
      <c r="N9" s="228">
        <f t="shared" si="11"/>
        <v>109747</v>
      </c>
      <c r="O9" s="228">
        <f t="shared" si="11"/>
        <v>111599</v>
      </c>
      <c r="Q9" s="230"/>
    </row>
    <row r="10" spans="1:17">
      <c r="A10" s="226" t="s">
        <v>6019</v>
      </c>
      <c r="C10" s="226"/>
      <c r="D10" s="228">
        <f t="shared" ref="D10:I10" si="12">D197</f>
        <v>100172</v>
      </c>
      <c r="E10" s="228">
        <f t="shared" si="12"/>
        <v>101739</v>
      </c>
      <c r="F10" s="228">
        <f t="shared" si="12"/>
        <v>102770</v>
      </c>
      <c r="G10" s="228">
        <f t="shared" si="12"/>
        <v>103635</v>
      </c>
      <c r="H10" s="228">
        <f t="shared" si="12"/>
        <v>106256</v>
      </c>
      <c r="I10" s="228">
        <f t="shared" si="12"/>
        <v>104742</v>
      </c>
      <c r="J10" s="228">
        <f t="shared" ref="J10:O10" si="13">J197</f>
        <v>104358</v>
      </c>
      <c r="K10" s="228">
        <f t="shared" si="13"/>
        <v>110296</v>
      </c>
      <c r="L10" s="228">
        <f t="shared" si="13"/>
        <v>110194</v>
      </c>
      <c r="M10" s="228">
        <f t="shared" si="13"/>
        <v>109816</v>
      </c>
      <c r="N10" s="228">
        <f t="shared" si="13"/>
        <v>111127</v>
      </c>
      <c r="O10" s="228">
        <f t="shared" si="13"/>
        <v>112500</v>
      </c>
      <c r="Q10" s="230"/>
    </row>
    <row r="11" spans="1:17">
      <c r="A11" s="226" t="s">
        <v>6020</v>
      </c>
      <c r="C11" s="226"/>
      <c r="D11" s="228">
        <f t="shared" ref="D11:I11" si="14">D234</f>
        <v>77838</v>
      </c>
      <c r="E11" s="228">
        <f t="shared" si="14"/>
        <v>79045</v>
      </c>
      <c r="F11" s="228">
        <f t="shared" si="14"/>
        <v>79664</v>
      </c>
      <c r="G11" s="228">
        <f t="shared" si="14"/>
        <v>80189</v>
      </c>
      <c r="H11" s="228">
        <f t="shared" si="14"/>
        <v>78120</v>
      </c>
      <c r="I11" s="228">
        <f t="shared" si="14"/>
        <v>76952</v>
      </c>
      <c r="J11" s="228">
        <f t="shared" ref="J11:O11" si="15">J234</f>
        <v>77529</v>
      </c>
      <c r="K11" s="228">
        <f t="shared" si="15"/>
        <v>81598</v>
      </c>
      <c r="L11" s="228">
        <f t="shared" si="15"/>
        <v>81621</v>
      </c>
      <c r="M11" s="228">
        <f t="shared" si="15"/>
        <v>80919</v>
      </c>
      <c r="N11" s="228">
        <f t="shared" si="15"/>
        <v>81363</v>
      </c>
      <c r="O11" s="228">
        <f t="shared" si="15"/>
        <v>83403</v>
      </c>
      <c r="Q11" s="230"/>
    </row>
    <row r="13" spans="1:17">
      <c r="A13" s="226" t="s">
        <v>910</v>
      </c>
      <c r="D13" s="228">
        <f t="shared" ref="D13:I13" si="16">D3/8</f>
        <v>74842.875</v>
      </c>
      <c r="E13" s="228">
        <f t="shared" si="16"/>
        <v>75292.25</v>
      </c>
      <c r="F13" s="228">
        <f t="shared" si="16"/>
        <v>75920.375</v>
      </c>
      <c r="G13" s="228">
        <f t="shared" si="16"/>
        <v>76395.125</v>
      </c>
      <c r="H13" s="228">
        <f t="shared" si="16"/>
        <v>75632.875</v>
      </c>
      <c r="I13" s="228">
        <f t="shared" si="16"/>
        <v>75105.875</v>
      </c>
      <c r="J13" s="228">
        <f t="shared" ref="J13:O13" si="17">J3/8</f>
        <v>74818.625</v>
      </c>
      <c r="K13" s="228">
        <f t="shared" si="17"/>
        <v>77843.125</v>
      </c>
      <c r="L13" s="228">
        <f t="shared" si="17"/>
        <v>78692.5</v>
      </c>
      <c r="M13" s="228">
        <f t="shared" si="17"/>
        <v>78133.625</v>
      </c>
      <c r="N13" s="228">
        <f t="shared" si="17"/>
        <v>79688.25</v>
      </c>
      <c r="O13" s="228">
        <f t="shared" si="17"/>
        <v>80801.25</v>
      </c>
    </row>
    <row r="14" spans="1:17">
      <c r="D14" s="229"/>
      <c r="E14" s="229"/>
      <c r="F14" s="229"/>
      <c r="G14" s="229"/>
      <c r="H14" s="229"/>
      <c r="I14" s="229"/>
      <c r="J14" s="229"/>
      <c r="K14" s="229"/>
      <c r="L14" s="229"/>
      <c r="M14" s="229"/>
      <c r="N14" s="229"/>
      <c r="O14" s="229"/>
    </row>
    <row r="15" spans="1:17">
      <c r="A15" s="226" t="s">
        <v>6021</v>
      </c>
      <c r="D15" s="228">
        <f t="shared" ref="D15:I15" si="18">D100</f>
        <v>20693</v>
      </c>
      <c r="E15" s="228">
        <f t="shared" si="18"/>
        <v>20611</v>
      </c>
      <c r="F15" s="228">
        <f t="shared" si="18"/>
        <v>20506</v>
      </c>
      <c r="G15" s="228">
        <f t="shared" si="18"/>
        <v>20321</v>
      </c>
      <c r="H15" s="228">
        <f t="shared" si="18"/>
        <v>19443</v>
      </c>
      <c r="I15" s="228">
        <f t="shared" si="18"/>
        <v>20068</v>
      </c>
      <c r="J15" s="228">
        <f t="shared" ref="J15:O15" si="19">J100</f>
        <v>20000</v>
      </c>
      <c r="K15" s="228">
        <f t="shared" si="19"/>
        <v>20916</v>
      </c>
      <c r="L15" s="228">
        <f t="shared" si="19"/>
        <v>21603</v>
      </c>
      <c r="M15" s="228">
        <f t="shared" si="19"/>
        <v>21396</v>
      </c>
      <c r="N15" s="228">
        <f t="shared" si="19"/>
        <v>22398</v>
      </c>
      <c r="O15" s="228">
        <f t="shared" si="19"/>
        <v>22364</v>
      </c>
      <c r="Q15" s="226" t="s">
        <v>6022</v>
      </c>
    </row>
    <row r="16" spans="1:17">
      <c r="D16" s="228">
        <f t="shared" ref="D16:I16" si="20">D134</f>
        <v>7649</v>
      </c>
      <c r="E16" s="228">
        <f t="shared" si="20"/>
        <v>7679</v>
      </c>
      <c r="F16" s="228">
        <f t="shared" si="20"/>
        <v>7643</v>
      </c>
      <c r="G16" s="228">
        <f t="shared" si="20"/>
        <v>7689</v>
      </c>
      <c r="H16" s="228">
        <f t="shared" si="20"/>
        <v>7568</v>
      </c>
      <c r="I16" s="228">
        <f t="shared" si="20"/>
        <v>7446</v>
      </c>
      <c r="J16" s="228">
        <f t="shared" ref="J16:O16" si="21">J134</f>
        <v>7224</v>
      </c>
      <c r="K16" s="228">
        <f t="shared" si="21"/>
        <v>7562</v>
      </c>
      <c r="L16" s="228">
        <f t="shared" si="21"/>
        <v>7496</v>
      </c>
      <c r="M16" s="228">
        <f t="shared" si="21"/>
        <v>7377</v>
      </c>
      <c r="N16" s="228">
        <f t="shared" si="21"/>
        <v>7367</v>
      </c>
      <c r="O16" s="228">
        <f t="shared" si="21"/>
        <v>7607</v>
      </c>
      <c r="Q16" s="226" t="s">
        <v>5908</v>
      </c>
    </row>
    <row r="17" spans="1:17">
      <c r="D17" s="228">
        <f t="shared" ref="D17:I17" si="22">D188</f>
        <v>36492</v>
      </c>
      <c r="E17" s="228">
        <f t="shared" si="22"/>
        <v>36963</v>
      </c>
      <c r="F17" s="228">
        <f t="shared" si="22"/>
        <v>36975</v>
      </c>
      <c r="G17" s="228">
        <f t="shared" si="22"/>
        <v>36968</v>
      </c>
      <c r="H17" s="228">
        <f t="shared" si="22"/>
        <v>36452</v>
      </c>
      <c r="I17" s="228">
        <f t="shared" si="22"/>
        <v>36441</v>
      </c>
      <c r="J17" s="228">
        <f t="shared" ref="J17:O17" si="23">J188</f>
        <v>36249</v>
      </c>
      <c r="K17" s="228">
        <f t="shared" si="23"/>
        <v>37171</v>
      </c>
      <c r="L17" s="228">
        <f t="shared" si="23"/>
        <v>37425</v>
      </c>
      <c r="M17" s="228">
        <f t="shared" si="23"/>
        <v>37702</v>
      </c>
      <c r="N17" s="228">
        <f t="shared" si="23"/>
        <v>38609</v>
      </c>
      <c r="O17" s="228">
        <f t="shared" si="23"/>
        <v>39070</v>
      </c>
      <c r="Q17" s="226" t="s">
        <v>5909</v>
      </c>
    </row>
    <row r="18" spans="1:17" ht="15.75" thickBot="1">
      <c r="D18" s="231">
        <f t="shared" ref="D18:I18" si="24">D225</f>
        <v>11184</v>
      </c>
      <c r="E18" s="231">
        <f t="shared" si="24"/>
        <v>11444</v>
      </c>
      <c r="F18" s="231">
        <f t="shared" si="24"/>
        <v>11643</v>
      </c>
      <c r="G18" s="231">
        <f t="shared" si="24"/>
        <v>11797</v>
      </c>
      <c r="H18" s="231">
        <f t="shared" si="24"/>
        <v>12034</v>
      </c>
      <c r="I18" s="231">
        <f t="shared" si="24"/>
        <v>11968</v>
      </c>
      <c r="J18" s="231">
        <f t="shared" ref="J18:O18" si="25">J225</f>
        <v>11848</v>
      </c>
      <c r="K18" s="231">
        <f t="shared" si="25"/>
        <v>12547</v>
      </c>
      <c r="L18" s="231">
        <f t="shared" si="25"/>
        <v>12556</v>
      </c>
      <c r="M18" s="231">
        <f t="shared" si="25"/>
        <v>12588</v>
      </c>
      <c r="N18" s="231">
        <f t="shared" si="25"/>
        <v>12724</v>
      </c>
      <c r="O18" s="231">
        <f t="shared" si="25"/>
        <v>12896</v>
      </c>
      <c r="Q18" s="226" t="s">
        <v>5910</v>
      </c>
    </row>
    <row r="19" spans="1:17" ht="15.75" thickBot="1">
      <c r="D19" s="231">
        <f t="shared" ref="D19:I19" si="26">SUM(D15:D18)</f>
        <v>76018</v>
      </c>
      <c r="E19" s="231">
        <f t="shared" si="26"/>
        <v>76697</v>
      </c>
      <c r="F19" s="231">
        <f t="shared" si="26"/>
        <v>76767</v>
      </c>
      <c r="G19" s="231">
        <f t="shared" si="26"/>
        <v>76775</v>
      </c>
      <c r="H19" s="231">
        <f t="shared" si="26"/>
        <v>75497</v>
      </c>
      <c r="I19" s="231">
        <f t="shared" si="26"/>
        <v>75923</v>
      </c>
      <c r="J19" s="231">
        <f t="shared" ref="J19:O19" si="27">SUM(J15:J18)</f>
        <v>75321</v>
      </c>
      <c r="K19" s="231">
        <f t="shared" si="27"/>
        <v>78196</v>
      </c>
      <c r="L19" s="231">
        <f t="shared" si="27"/>
        <v>79080</v>
      </c>
      <c r="M19" s="231">
        <f t="shared" si="27"/>
        <v>79063</v>
      </c>
      <c r="N19" s="231">
        <f t="shared" si="27"/>
        <v>81098</v>
      </c>
      <c r="O19" s="231">
        <f t="shared" si="27"/>
        <v>81937</v>
      </c>
    </row>
    <row r="20" spans="1:17">
      <c r="D20" s="229"/>
      <c r="E20" s="229"/>
      <c r="F20" s="229"/>
      <c r="G20" s="229"/>
      <c r="H20" s="229"/>
      <c r="I20" s="229"/>
      <c r="J20" s="229"/>
      <c r="K20" s="229"/>
      <c r="L20" s="229"/>
      <c r="M20" s="229"/>
      <c r="N20" s="229"/>
      <c r="O20" s="229"/>
    </row>
    <row r="21" spans="1:17">
      <c r="A21" s="226" t="s">
        <v>5911</v>
      </c>
      <c r="D21" s="228">
        <f t="shared" ref="D21:I21" si="28">D101</f>
        <v>71033</v>
      </c>
      <c r="E21" s="228">
        <f t="shared" si="28"/>
        <v>70535</v>
      </c>
      <c r="F21" s="228">
        <f t="shared" si="28"/>
        <v>70659</v>
      </c>
      <c r="G21" s="228">
        <f t="shared" si="28"/>
        <v>70161</v>
      </c>
      <c r="H21" s="228">
        <f t="shared" si="28"/>
        <v>69300</v>
      </c>
      <c r="I21" s="228">
        <f t="shared" si="28"/>
        <v>71042</v>
      </c>
      <c r="J21" s="228">
        <f t="shared" ref="J21:O21" si="29">J101</f>
        <v>72190</v>
      </c>
      <c r="K21" s="228">
        <f t="shared" si="29"/>
        <v>74372</v>
      </c>
      <c r="L21" s="228">
        <f t="shared" si="29"/>
        <v>76852</v>
      </c>
      <c r="M21" s="228">
        <f t="shared" si="29"/>
        <v>75401</v>
      </c>
      <c r="N21" s="228">
        <f t="shared" si="29"/>
        <v>77888</v>
      </c>
      <c r="O21" s="228">
        <f t="shared" si="29"/>
        <v>77566</v>
      </c>
      <c r="Q21" s="226" t="s">
        <v>6022</v>
      </c>
    </row>
    <row r="22" spans="1:17">
      <c r="D22" s="229"/>
      <c r="E22" s="229"/>
      <c r="F22" s="229"/>
      <c r="G22" s="229"/>
      <c r="H22" s="229"/>
      <c r="I22" s="229"/>
      <c r="J22" s="229"/>
      <c r="K22" s="229"/>
      <c r="L22" s="229"/>
      <c r="M22" s="229"/>
      <c r="N22" s="229"/>
      <c r="O22" s="229"/>
    </row>
    <row r="23" spans="1:17">
      <c r="A23" s="226" t="s">
        <v>5912</v>
      </c>
      <c r="D23" s="228">
        <f t="shared" ref="D23:I23" si="30">D135</f>
        <v>81182</v>
      </c>
      <c r="E23" s="228">
        <f t="shared" si="30"/>
        <v>81804</v>
      </c>
      <c r="F23" s="228">
        <f t="shared" si="30"/>
        <v>82269</v>
      </c>
      <c r="G23" s="228">
        <f t="shared" si="30"/>
        <v>83739</v>
      </c>
      <c r="H23" s="228">
        <f t="shared" si="30"/>
        <v>82316</v>
      </c>
      <c r="I23" s="228">
        <f t="shared" si="30"/>
        <v>80878</v>
      </c>
      <c r="J23" s="228">
        <f t="shared" ref="J23:O23" si="31">J135</f>
        <v>78736</v>
      </c>
      <c r="K23" s="228">
        <f t="shared" si="31"/>
        <v>83147</v>
      </c>
      <c r="L23" s="228">
        <f t="shared" si="31"/>
        <v>83477</v>
      </c>
      <c r="M23" s="228">
        <f t="shared" si="31"/>
        <v>82305</v>
      </c>
      <c r="N23" s="228">
        <f t="shared" si="31"/>
        <v>82863</v>
      </c>
      <c r="O23" s="228">
        <f t="shared" si="31"/>
        <v>86108</v>
      </c>
      <c r="Q23" s="226" t="s">
        <v>5908</v>
      </c>
    </row>
    <row r="24" spans="1:17">
      <c r="D24" s="229"/>
      <c r="E24" s="229"/>
      <c r="F24" s="229"/>
      <c r="G24" s="229"/>
      <c r="H24" s="229"/>
      <c r="I24" s="229"/>
      <c r="J24" s="229"/>
      <c r="K24" s="229"/>
      <c r="L24" s="229"/>
      <c r="M24" s="229"/>
      <c r="N24" s="229"/>
      <c r="O24" s="229"/>
    </row>
    <row r="25" spans="1:17">
      <c r="A25" s="226" t="s">
        <v>5913</v>
      </c>
      <c r="D25" s="228">
        <f t="shared" ref="D25:I25" si="32">D157</f>
        <v>72024</v>
      </c>
      <c r="E25" s="228">
        <f t="shared" si="32"/>
        <v>71793</v>
      </c>
      <c r="F25" s="228">
        <f t="shared" si="32"/>
        <v>73935</v>
      </c>
      <c r="G25" s="228">
        <f t="shared" si="32"/>
        <v>74610</v>
      </c>
      <c r="H25" s="228">
        <f t="shared" si="32"/>
        <v>74369</v>
      </c>
      <c r="I25" s="228">
        <f t="shared" si="32"/>
        <v>72424</v>
      </c>
      <c r="J25" s="228">
        <f t="shared" ref="J25:O25" si="33">J157</f>
        <v>70578</v>
      </c>
      <c r="K25" s="228">
        <f t="shared" si="33"/>
        <v>71455</v>
      </c>
      <c r="L25" s="228">
        <f t="shared" si="33"/>
        <v>72499</v>
      </c>
      <c r="M25" s="228">
        <f t="shared" si="33"/>
        <v>72199</v>
      </c>
      <c r="N25" s="228">
        <f t="shared" si="33"/>
        <v>74712</v>
      </c>
      <c r="O25" s="228">
        <f t="shared" si="33"/>
        <v>74446</v>
      </c>
      <c r="Q25" s="226" t="s">
        <v>6842</v>
      </c>
    </row>
    <row r="26" spans="1:17">
      <c r="D26" s="229"/>
      <c r="E26" s="229"/>
      <c r="F26" s="229"/>
      <c r="G26" s="229"/>
      <c r="H26" s="229"/>
      <c r="I26" s="229"/>
      <c r="J26" s="229"/>
      <c r="K26" s="229"/>
      <c r="L26" s="229"/>
      <c r="M26" s="229"/>
      <c r="N26" s="229"/>
      <c r="O26" s="229"/>
    </row>
    <row r="27" spans="1:17">
      <c r="A27" s="226" t="s">
        <v>1552</v>
      </c>
      <c r="D27" s="228">
        <f t="shared" ref="D27:I27" si="34">D66</f>
        <v>47382</v>
      </c>
      <c r="E27" s="228">
        <f t="shared" si="34"/>
        <v>47396</v>
      </c>
      <c r="F27" s="228">
        <f t="shared" si="34"/>
        <v>47913</v>
      </c>
      <c r="G27" s="228">
        <f t="shared" si="34"/>
        <v>48236</v>
      </c>
      <c r="H27" s="228">
        <f t="shared" si="34"/>
        <v>48113</v>
      </c>
      <c r="I27" s="228">
        <f t="shared" si="34"/>
        <v>46710</v>
      </c>
      <c r="J27" s="228">
        <f t="shared" ref="J27:O27" si="35">J66</f>
        <v>46643</v>
      </c>
      <c r="K27" s="228">
        <f t="shared" si="35"/>
        <v>48207</v>
      </c>
      <c r="L27" s="228">
        <f t="shared" si="35"/>
        <v>48471</v>
      </c>
      <c r="M27" s="228">
        <f t="shared" si="35"/>
        <v>47897</v>
      </c>
      <c r="N27" s="228">
        <f t="shared" si="35"/>
        <v>48200</v>
      </c>
      <c r="O27" s="228">
        <f t="shared" si="35"/>
        <v>49118</v>
      </c>
      <c r="Q27" s="226" t="s">
        <v>6839</v>
      </c>
    </row>
    <row r="28" spans="1:17" ht="15.75" thickBot="1">
      <c r="D28" s="231">
        <f t="shared" ref="D28:I28" si="36">D249</f>
        <v>25142</v>
      </c>
      <c r="E28" s="231">
        <f t="shared" si="36"/>
        <v>25600</v>
      </c>
      <c r="F28" s="231">
        <f t="shared" si="36"/>
        <v>25757</v>
      </c>
      <c r="G28" s="231">
        <f t="shared" si="36"/>
        <v>25925</v>
      </c>
      <c r="H28" s="231">
        <f t="shared" si="36"/>
        <v>25283</v>
      </c>
      <c r="I28" s="231">
        <f t="shared" si="36"/>
        <v>24937</v>
      </c>
      <c r="J28" s="231">
        <f t="shared" ref="J28:O28" si="37">J249</f>
        <v>25080</v>
      </c>
      <c r="K28" s="231">
        <f t="shared" si="37"/>
        <v>26209</v>
      </c>
      <c r="L28" s="231">
        <f t="shared" si="37"/>
        <v>26134</v>
      </c>
      <c r="M28" s="231">
        <f t="shared" si="37"/>
        <v>25803</v>
      </c>
      <c r="N28" s="231">
        <f t="shared" si="37"/>
        <v>25771</v>
      </c>
      <c r="O28" s="231">
        <f t="shared" si="37"/>
        <v>26348</v>
      </c>
      <c r="Q28" s="226" t="s">
        <v>1553</v>
      </c>
    </row>
    <row r="29" spans="1:17" ht="15.75" thickBot="1">
      <c r="D29" s="231">
        <f t="shared" ref="D29:I29" si="38">D27+D28</f>
        <v>72524</v>
      </c>
      <c r="E29" s="231">
        <f t="shared" si="38"/>
        <v>72996</v>
      </c>
      <c r="F29" s="231">
        <f t="shared" si="38"/>
        <v>73670</v>
      </c>
      <c r="G29" s="231">
        <f t="shared" si="38"/>
        <v>74161</v>
      </c>
      <c r="H29" s="231">
        <f t="shared" si="38"/>
        <v>73396</v>
      </c>
      <c r="I29" s="231">
        <f t="shared" si="38"/>
        <v>71647</v>
      </c>
      <c r="J29" s="231">
        <f t="shared" ref="J29:O29" si="39">J27+J28</f>
        <v>71723</v>
      </c>
      <c r="K29" s="231">
        <f t="shared" si="39"/>
        <v>74416</v>
      </c>
      <c r="L29" s="231">
        <f t="shared" si="39"/>
        <v>74605</v>
      </c>
      <c r="M29" s="231">
        <f t="shared" si="39"/>
        <v>73700</v>
      </c>
      <c r="N29" s="231">
        <f t="shared" si="39"/>
        <v>73971</v>
      </c>
      <c r="O29" s="231">
        <f t="shared" si="39"/>
        <v>75466</v>
      </c>
    </row>
    <row r="30" spans="1:17">
      <c r="D30" s="229"/>
      <c r="E30" s="229"/>
      <c r="F30" s="229"/>
      <c r="G30" s="229"/>
      <c r="H30" s="229"/>
      <c r="I30" s="229"/>
      <c r="J30" s="229"/>
      <c r="K30" s="229"/>
      <c r="L30" s="229"/>
      <c r="M30" s="229"/>
      <c r="N30" s="229"/>
      <c r="O30" s="229"/>
    </row>
    <row r="31" spans="1:17">
      <c r="A31" s="226" t="s">
        <v>1554</v>
      </c>
      <c r="D31" s="228">
        <f t="shared" ref="D31:I31" si="40">D189</f>
        <v>63190</v>
      </c>
      <c r="E31" s="228">
        <f t="shared" si="40"/>
        <v>63750</v>
      </c>
      <c r="F31" s="228">
        <f t="shared" si="40"/>
        <v>64142</v>
      </c>
      <c r="G31" s="228">
        <f t="shared" si="40"/>
        <v>64764</v>
      </c>
      <c r="H31" s="228">
        <f t="shared" si="40"/>
        <v>62806</v>
      </c>
      <c r="I31" s="228">
        <f t="shared" si="40"/>
        <v>63495</v>
      </c>
      <c r="J31" s="228">
        <f t="shared" ref="J31:O31" si="41">J189</f>
        <v>64039</v>
      </c>
      <c r="K31" s="228">
        <f t="shared" si="41"/>
        <v>66788</v>
      </c>
      <c r="L31" s="228">
        <f t="shared" si="41"/>
        <v>68119</v>
      </c>
      <c r="M31" s="228">
        <f t="shared" si="41"/>
        <v>68729</v>
      </c>
      <c r="N31" s="228">
        <f t="shared" si="41"/>
        <v>71138</v>
      </c>
      <c r="O31" s="228">
        <f t="shared" si="41"/>
        <v>72529</v>
      </c>
      <c r="Q31" s="226" t="s">
        <v>5909</v>
      </c>
    </row>
    <row r="32" spans="1:17" ht="15.75" thickBot="1">
      <c r="D32" s="231">
        <f t="shared" ref="D32:I32" si="42">D226</f>
        <v>13034</v>
      </c>
      <c r="E32" s="231">
        <f t="shared" si="42"/>
        <v>13251</v>
      </c>
      <c r="F32" s="231">
        <f t="shared" si="42"/>
        <v>13318</v>
      </c>
      <c r="G32" s="231">
        <f t="shared" si="42"/>
        <v>13404</v>
      </c>
      <c r="H32" s="231">
        <f t="shared" si="42"/>
        <v>13677</v>
      </c>
      <c r="I32" s="231">
        <f t="shared" si="42"/>
        <v>13484</v>
      </c>
      <c r="J32" s="231">
        <f t="shared" ref="J32:O32" si="43">J226</f>
        <v>13361</v>
      </c>
      <c r="K32" s="231">
        <f t="shared" si="43"/>
        <v>14196</v>
      </c>
      <c r="L32" s="231">
        <f t="shared" si="43"/>
        <v>14243</v>
      </c>
      <c r="M32" s="231">
        <f t="shared" si="43"/>
        <v>14164</v>
      </c>
      <c r="N32" s="231">
        <f t="shared" si="43"/>
        <v>14278</v>
      </c>
      <c r="O32" s="231">
        <f t="shared" si="43"/>
        <v>14444</v>
      </c>
      <c r="Q32" s="226" t="s">
        <v>5910</v>
      </c>
    </row>
    <row r="33" spans="1:17" ht="15.75" thickBot="1">
      <c r="D33" s="231">
        <f t="shared" ref="D33:I33" si="44">SUM(D31:D32)</f>
        <v>76224</v>
      </c>
      <c r="E33" s="231">
        <f t="shared" si="44"/>
        <v>77001</v>
      </c>
      <c r="F33" s="231">
        <f t="shared" si="44"/>
        <v>77460</v>
      </c>
      <c r="G33" s="231">
        <f t="shared" si="44"/>
        <v>78168</v>
      </c>
      <c r="H33" s="231">
        <f t="shared" si="44"/>
        <v>76483</v>
      </c>
      <c r="I33" s="231">
        <f t="shared" si="44"/>
        <v>76979</v>
      </c>
      <c r="J33" s="231">
        <f t="shared" ref="J33:O33" si="45">SUM(J31:J32)</f>
        <v>77400</v>
      </c>
      <c r="K33" s="231">
        <f t="shared" si="45"/>
        <v>80984</v>
      </c>
      <c r="L33" s="231">
        <f t="shared" si="45"/>
        <v>82362</v>
      </c>
      <c r="M33" s="231">
        <f t="shared" si="45"/>
        <v>82893</v>
      </c>
      <c r="N33" s="231">
        <f t="shared" si="45"/>
        <v>85416</v>
      </c>
      <c r="O33" s="231">
        <f t="shared" si="45"/>
        <v>86973</v>
      </c>
    </row>
    <row r="34" spans="1:17">
      <c r="D34" s="229"/>
      <c r="E34" s="229"/>
      <c r="F34" s="229"/>
      <c r="G34" s="229"/>
      <c r="H34" s="229"/>
      <c r="I34" s="229"/>
      <c r="J34" s="229"/>
      <c r="K34" s="229"/>
      <c r="L34" s="229"/>
      <c r="M34" s="229"/>
      <c r="N34" s="229"/>
      <c r="O34" s="229"/>
    </row>
    <row r="35" spans="1:17">
      <c r="A35" s="226" t="s">
        <v>1555</v>
      </c>
      <c r="D35" s="228">
        <f t="shared" ref="D35:I35" si="46">D227</f>
        <v>75954</v>
      </c>
      <c r="E35" s="228">
        <f t="shared" si="46"/>
        <v>77044</v>
      </c>
      <c r="F35" s="228">
        <f t="shared" si="46"/>
        <v>77809</v>
      </c>
      <c r="G35" s="228">
        <f t="shared" si="46"/>
        <v>78434</v>
      </c>
      <c r="H35" s="228">
        <f t="shared" si="46"/>
        <v>80545</v>
      </c>
      <c r="I35" s="228">
        <f t="shared" si="46"/>
        <v>79290</v>
      </c>
      <c r="J35" s="228">
        <f t="shared" ref="J35:O35" si="47">J227</f>
        <v>79149</v>
      </c>
      <c r="K35" s="228">
        <f t="shared" si="47"/>
        <v>83553</v>
      </c>
      <c r="L35" s="228">
        <f t="shared" si="47"/>
        <v>83395</v>
      </c>
      <c r="M35" s="228">
        <f t="shared" si="47"/>
        <v>83064</v>
      </c>
      <c r="N35" s="228">
        <f t="shared" si="47"/>
        <v>84125</v>
      </c>
      <c r="O35" s="228">
        <f t="shared" si="47"/>
        <v>85160</v>
      </c>
      <c r="Q35" s="226" t="s">
        <v>5910</v>
      </c>
    </row>
    <row r="36" spans="1:17">
      <c r="D36" s="229"/>
      <c r="E36" s="229"/>
      <c r="F36" s="229"/>
      <c r="G36" s="229"/>
      <c r="H36" s="229"/>
      <c r="I36" s="229"/>
      <c r="J36" s="229"/>
      <c r="K36" s="229"/>
      <c r="L36" s="229"/>
      <c r="M36" s="229"/>
      <c r="N36" s="229"/>
      <c r="O36" s="229"/>
    </row>
    <row r="37" spans="1:17">
      <c r="A37" s="226" t="s">
        <v>1556</v>
      </c>
      <c r="D37" s="228">
        <f t="shared" ref="D37:I37" si="48">D102</f>
        <v>21088</v>
      </c>
      <c r="E37" s="228">
        <f t="shared" si="48"/>
        <v>21023</v>
      </c>
      <c r="F37" s="228">
        <f t="shared" si="48"/>
        <v>20887</v>
      </c>
      <c r="G37" s="228">
        <f t="shared" si="48"/>
        <v>20849</v>
      </c>
      <c r="H37" s="228">
        <f t="shared" si="48"/>
        <v>20320</v>
      </c>
      <c r="I37" s="228">
        <f t="shared" si="48"/>
        <v>20649</v>
      </c>
      <c r="J37" s="228">
        <f t="shared" ref="J37:O37" si="49">J102</f>
        <v>21003</v>
      </c>
      <c r="K37" s="228">
        <f t="shared" si="49"/>
        <v>21233</v>
      </c>
      <c r="L37" s="228">
        <f t="shared" si="49"/>
        <v>21783</v>
      </c>
      <c r="M37" s="228">
        <f t="shared" si="49"/>
        <v>21328</v>
      </c>
      <c r="N37" s="228">
        <f t="shared" si="49"/>
        <v>21841</v>
      </c>
      <c r="O37" s="228">
        <f t="shared" si="49"/>
        <v>21699</v>
      </c>
      <c r="Q37" s="226" t="s">
        <v>6022</v>
      </c>
    </row>
    <row r="38" spans="1:17" ht="15.75" thickBot="1">
      <c r="D38" s="231">
        <f t="shared" ref="D38:I38" si="50">D250</f>
        <v>52696</v>
      </c>
      <c r="E38" s="231">
        <f t="shared" si="50"/>
        <v>53445</v>
      </c>
      <c r="F38" s="231">
        <f t="shared" si="50"/>
        <v>53907</v>
      </c>
      <c r="G38" s="231">
        <f t="shared" si="50"/>
        <v>54264</v>
      </c>
      <c r="H38" s="231">
        <f t="shared" si="50"/>
        <v>52837</v>
      </c>
      <c r="I38" s="231">
        <f t="shared" si="50"/>
        <v>52015</v>
      </c>
      <c r="J38" s="231">
        <f t="shared" ref="J38:O38" si="51">J250</f>
        <v>52449</v>
      </c>
      <c r="K38" s="231">
        <f t="shared" si="51"/>
        <v>55389</v>
      </c>
      <c r="L38" s="231">
        <f t="shared" si="51"/>
        <v>55487</v>
      </c>
      <c r="M38" s="231">
        <f t="shared" si="51"/>
        <v>55116</v>
      </c>
      <c r="N38" s="231">
        <f t="shared" si="51"/>
        <v>55592</v>
      </c>
      <c r="O38" s="231">
        <f t="shared" si="51"/>
        <v>57055</v>
      </c>
      <c r="Q38" s="226" t="s">
        <v>1553</v>
      </c>
    </row>
    <row r="39" spans="1:17" ht="15.75" thickBot="1">
      <c r="D39" s="231">
        <f t="shared" ref="D39:I39" si="52">D37+D38</f>
        <v>73784</v>
      </c>
      <c r="E39" s="231">
        <f t="shared" si="52"/>
        <v>74468</v>
      </c>
      <c r="F39" s="231">
        <f t="shared" si="52"/>
        <v>74794</v>
      </c>
      <c r="G39" s="231">
        <f t="shared" si="52"/>
        <v>75113</v>
      </c>
      <c r="H39" s="231">
        <f t="shared" si="52"/>
        <v>73157</v>
      </c>
      <c r="I39" s="231">
        <f t="shared" si="52"/>
        <v>72664</v>
      </c>
      <c r="J39" s="231">
        <f t="shared" ref="J39:O39" si="53">J37+J38</f>
        <v>73452</v>
      </c>
      <c r="K39" s="231">
        <f t="shared" si="53"/>
        <v>76622</v>
      </c>
      <c r="L39" s="231">
        <f t="shared" si="53"/>
        <v>77270</v>
      </c>
      <c r="M39" s="231">
        <f t="shared" si="53"/>
        <v>76444</v>
      </c>
      <c r="N39" s="231">
        <f t="shared" si="53"/>
        <v>77433</v>
      </c>
      <c r="O39" s="231">
        <f t="shared" si="53"/>
        <v>78754</v>
      </c>
    </row>
    <row r="40" spans="1:17">
      <c r="D40" s="229"/>
      <c r="E40" s="229"/>
      <c r="F40" s="229"/>
      <c r="G40" s="229"/>
      <c r="H40" s="229"/>
      <c r="I40" s="229"/>
      <c r="J40" s="229"/>
      <c r="K40" s="229"/>
      <c r="L40" s="229"/>
      <c r="M40" s="229"/>
      <c r="N40" s="229"/>
      <c r="O40" s="229"/>
    </row>
    <row r="41" spans="1:17">
      <c r="A41" s="226" t="s">
        <v>6796</v>
      </c>
      <c r="D41" s="228">
        <f t="shared" ref="D41:I41" si="54">D19+D21+D23+D25+D29+D33+D35+D39</f>
        <v>598743</v>
      </c>
      <c r="E41" s="228">
        <f t="shared" si="54"/>
        <v>602338</v>
      </c>
      <c r="F41" s="228">
        <f t="shared" si="54"/>
        <v>607363</v>
      </c>
      <c r="G41" s="228">
        <f t="shared" si="54"/>
        <v>611161</v>
      </c>
      <c r="H41" s="228">
        <f t="shared" si="54"/>
        <v>605063</v>
      </c>
      <c r="I41" s="228">
        <f t="shared" si="54"/>
        <v>600847</v>
      </c>
      <c r="J41" s="228">
        <f t="shared" ref="J41:O41" si="55">J19+J21+J23+J25+J29+J33+J35+J39</f>
        <v>598549</v>
      </c>
      <c r="K41" s="228">
        <f t="shared" si="55"/>
        <v>622745</v>
      </c>
      <c r="L41" s="228">
        <f t="shared" si="55"/>
        <v>629540</v>
      </c>
      <c r="M41" s="228">
        <f t="shared" si="55"/>
        <v>625069</v>
      </c>
      <c r="N41" s="228">
        <f t="shared" si="55"/>
        <v>637506</v>
      </c>
      <c r="O41" s="228">
        <f t="shared" si="55"/>
        <v>646410</v>
      </c>
    </row>
    <row r="42" spans="1:17">
      <c r="D42" s="229"/>
      <c r="E42" s="229"/>
      <c r="F42" s="229"/>
      <c r="G42" s="229"/>
      <c r="H42" s="229"/>
      <c r="I42" s="229"/>
      <c r="J42" s="229"/>
      <c r="K42" s="229"/>
      <c r="L42" s="229"/>
      <c r="M42" s="229"/>
      <c r="N42" s="229"/>
      <c r="O42" s="229"/>
    </row>
    <row r="43" spans="1:17">
      <c r="A43" s="226" t="s">
        <v>6797</v>
      </c>
      <c r="D43" s="228">
        <f t="shared" ref="D43:I43" si="56">MAX(D19,D21,D23,D25,D29,D33,D35,D39)-MIN(D19,D21,D23,D25,D29,D33,D35,D39)</f>
        <v>10149</v>
      </c>
      <c r="E43" s="228">
        <f t="shared" si="56"/>
        <v>11269</v>
      </c>
      <c r="F43" s="228">
        <f t="shared" si="56"/>
        <v>11610</v>
      </c>
      <c r="G43" s="228">
        <f t="shared" si="56"/>
        <v>13578</v>
      </c>
      <c r="H43" s="228">
        <f t="shared" si="56"/>
        <v>13016</v>
      </c>
      <c r="I43" s="228">
        <f t="shared" si="56"/>
        <v>9836</v>
      </c>
      <c r="J43" s="228">
        <f t="shared" ref="J43:O43" si="57">MAX(J19,J21,J23,J25,J29,J33,J35,J39)-MIN(J19,J21,J23,J25,J29,J33,J35,J39)</f>
        <v>8571</v>
      </c>
      <c r="K43" s="228">
        <f t="shared" si="57"/>
        <v>12098</v>
      </c>
      <c r="L43" s="228">
        <f t="shared" si="57"/>
        <v>10978</v>
      </c>
      <c r="M43" s="228">
        <f t="shared" si="57"/>
        <v>10865</v>
      </c>
      <c r="N43" s="228">
        <f t="shared" si="57"/>
        <v>11445</v>
      </c>
      <c r="O43" s="228">
        <f t="shared" si="57"/>
        <v>12527</v>
      </c>
    </row>
    <row r="44" spans="1:17">
      <c r="D44" s="229"/>
      <c r="E44" s="229"/>
      <c r="F44" s="229"/>
      <c r="G44" s="229"/>
      <c r="H44" s="229"/>
      <c r="I44" s="229"/>
      <c r="J44" s="229"/>
      <c r="K44" s="229"/>
      <c r="L44" s="229"/>
      <c r="M44" s="229"/>
      <c r="N44" s="229"/>
      <c r="O44" s="229"/>
    </row>
    <row r="45" spans="1:17">
      <c r="A45" s="226" t="s">
        <v>6800</v>
      </c>
      <c r="D45" s="228">
        <f t="shared" ref="D45:I45" si="58">STDEVP(D19,D21,D23,D25,D29,D33,D35,D39)</f>
        <v>3034.5331369709907</v>
      </c>
      <c r="E45" s="228">
        <f t="shared" si="58"/>
        <v>3376.2589411210747</v>
      </c>
      <c r="F45" s="228">
        <f t="shared" si="58"/>
        <v>3257.9873364356404</v>
      </c>
      <c r="G45" s="228">
        <f t="shared" si="58"/>
        <v>3709.1617461867309</v>
      </c>
      <c r="H45" s="228">
        <f t="shared" si="58"/>
        <v>3911.0509916613205</v>
      </c>
      <c r="I45" s="228">
        <f t="shared" si="58"/>
        <v>3475.5345429696135</v>
      </c>
      <c r="J45" s="228">
        <f t="shared" ref="J45:O45" si="59">STDEVP(J19,J21,J23,J25,J29,J33,J35,J39)</f>
        <v>3109.6016600804355</v>
      </c>
      <c r="K45" s="228">
        <f t="shared" si="59"/>
        <v>4135.4649205832948</v>
      </c>
      <c r="L45" s="228">
        <f t="shared" si="59"/>
        <v>3858.4060504306699</v>
      </c>
      <c r="M45" s="228">
        <f t="shared" si="59"/>
        <v>4037.6854736810542</v>
      </c>
      <c r="N45" s="228">
        <f t="shared" si="59"/>
        <v>4036.3251773735969</v>
      </c>
      <c r="O45" s="228">
        <f t="shared" si="59"/>
        <v>4610.4893110710063</v>
      </c>
    </row>
    <row r="46" spans="1:17">
      <c r="A46" s="226"/>
      <c r="D46" s="232"/>
      <c r="E46" s="232"/>
      <c r="F46" s="232"/>
      <c r="G46" s="232"/>
      <c r="H46" s="232"/>
      <c r="I46" s="232"/>
      <c r="J46" s="232"/>
      <c r="K46" s="232"/>
      <c r="L46" s="232"/>
      <c r="M46" s="232"/>
      <c r="N46" s="232"/>
      <c r="O46" s="232"/>
    </row>
    <row r="47" spans="1:17">
      <c r="A47" s="76"/>
      <c r="B47" s="76"/>
      <c r="C47" s="76"/>
      <c r="D47" s="76"/>
      <c r="E47" s="76"/>
      <c r="F47" s="76"/>
      <c r="G47" s="76"/>
      <c r="H47" s="76"/>
      <c r="I47" s="76"/>
      <c r="J47" s="76"/>
      <c r="K47" s="76"/>
      <c r="L47" s="76"/>
      <c r="M47" s="76"/>
      <c r="N47" s="76"/>
      <c r="O47" s="76"/>
      <c r="P47" s="76"/>
      <c r="Q47" s="76"/>
    </row>
    <row r="48" spans="1:17">
      <c r="E48" s="51" t="s">
        <v>1526</v>
      </c>
      <c r="F48" s="51"/>
      <c r="G48" s="51"/>
      <c r="H48" s="51"/>
      <c r="I48" s="51"/>
      <c r="J48" s="51"/>
      <c r="K48" s="51"/>
      <c r="L48" s="51"/>
      <c r="M48" s="51"/>
      <c r="N48" s="51"/>
      <c r="O48" s="51"/>
      <c r="P48" s="173"/>
      <c r="Q48" s="173" t="s">
        <v>9479</v>
      </c>
    </row>
    <row r="49" spans="1:17">
      <c r="D49" s="227">
        <v>2010</v>
      </c>
      <c r="E49" s="227">
        <v>2011</v>
      </c>
      <c r="F49" s="227">
        <v>2012</v>
      </c>
      <c r="G49" s="227">
        <v>2013</v>
      </c>
      <c r="H49" s="227">
        <v>2014</v>
      </c>
      <c r="I49" s="227">
        <v>2015</v>
      </c>
      <c r="J49" s="227">
        <v>2016</v>
      </c>
      <c r="K49" s="227">
        <v>2017</v>
      </c>
      <c r="L49" s="227">
        <v>2018</v>
      </c>
      <c r="M49" s="227">
        <v>2019</v>
      </c>
      <c r="N49" s="227">
        <v>2020</v>
      </c>
      <c r="O49" s="927" t="s">
        <v>14823</v>
      </c>
      <c r="Q49" s="206" t="s">
        <v>1527</v>
      </c>
    </row>
    <row r="50" spans="1:17">
      <c r="A50" s="226" t="s">
        <v>1557</v>
      </c>
      <c r="C50" s="226"/>
      <c r="D50" s="228">
        <f t="shared" ref="D50:I50" si="60">SUM(D51:D64)</f>
        <v>47382</v>
      </c>
      <c r="E50" s="228">
        <f t="shared" si="60"/>
        <v>47396</v>
      </c>
      <c r="F50" s="228">
        <f t="shared" si="60"/>
        <v>47913</v>
      </c>
      <c r="G50" s="228">
        <f t="shared" si="60"/>
        <v>48236</v>
      </c>
      <c r="H50" s="228">
        <f t="shared" si="60"/>
        <v>48113</v>
      </c>
      <c r="I50" s="228">
        <f t="shared" si="60"/>
        <v>46710</v>
      </c>
      <c r="J50" s="228">
        <f t="shared" ref="J50:O50" si="61">SUM(J51:J64)</f>
        <v>46643</v>
      </c>
      <c r="K50" s="228">
        <f t="shared" si="61"/>
        <v>48207</v>
      </c>
      <c r="L50" s="228">
        <f t="shared" si="61"/>
        <v>48471</v>
      </c>
      <c r="M50" s="228">
        <f t="shared" si="61"/>
        <v>47897</v>
      </c>
      <c r="N50" s="228">
        <f t="shared" si="61"/>
        <v>48200</v>
      </c>
      <c r="O50" s="228">
        <f t="shared" si="61"/>
        <v>49118</v>
      </c>
    </row>
    <row r="51" spans="1:17">
      <c r="A51" s="226" t="s">
        <v>5387</v>
      </c>
      <c r="B51" s="226" t="s">
        <v>1558</v>
      </c>
      <c r="C51" s="55" t="s">
        <v>8401</v>
      </c>
      <c r="D51" s="228">
        <v>3154</v>
      </c>
      <c r="E51" s="228">
        <v>3108</v>
      </c>
      <c r="F51" s="228">
        <v>3132</v>
      </c>
      <c r="G51" s="63">
        <v>3138</v>
      </c>
      <c r="H51" s="63">
        <v>3118</v>
      </c>
      <c r="I51" s="56">
        <v>3069</v>
      </c>
      <c r="J51" s="56">
        <v>3039</v>
      </c>
      <c r="K51" s="56">
        <v>3098</v>
      </c>
      <c r="L51" s="56">
        <v>3132</v>
      </c>
      <c r="M51" s="56">
        <v>3066</v>
      </c>
      <c r="N51" s="56">
        <v>3037</v>
      </c>
      <c r="O51" s="56">
        <v>3093</v>
      </c>
      <c r="Q51" s="226" t="s">
        <v>1552</v>
      </c>
    </row>
    <row r="52" spans="1:17">
      <c r="A52" s="226" t="s">
        <v>5389</v>
      </c>
      <c r="B52" s="226" t="s">
        <v>1988</v>
      </c>
      <c r="C52" s="55" t="s">
        <v>8402</v>
      </c>
      <c r="D52" s="228">
        <v>3447</v>
      </c>
      <c r="E52" s="228">
        <v>3436</v>
      </c>
      <c r="F52" s="228">
        <v>3503</v>
      </c>
      <c r="G52" s="63">
        <v>3495</v>
      </c>
      <c r="H52" s="63">
        <v>3437</v>
      </c>
      <c r="I52" s="56">
        <v>3311</v>
      </c>
      <c r="J52" s="56">
        <v>3292</v>
      </c>
      <c r="K52" s="56">
        <v>3387</v>
      </c>
      <c r="L52" s="56">
        <v>3386</v>
      </c>
      <c r="M52" s="56">
        <v>3319</v>
      </c>
      <c r="N52" s="56">
        <v>3363</v>
      </c>
      <c r="O52" s="56">
        <v>3430</v>
      </c>
      <c r="Q52" s="226" t="s">
        <v>1552</v>
      </c>
    </row>
    <row r="53" spans="1:17">
      <c r="A53" s="226" t="s">
        <v>5391</v>
      </c>
      <c r="B53" s="226" t="s">
        <v>2933</v>
      </c>
      <c r="C53" s="55" t="s">
        <v>8403</v>
      </c>
      <c r="D53" s="228">
        <v>3382</v>
      </c>
      <c r="E53" s="228">
        <v>3381</v>
      </c>
      <c r="F53" s="228">
        <v>3378</v>
      </c>
      <c r="G53" s="63">
        <v>3405</v>
      </c>
      <c r="H53" s="63">
        <v>3401</v>
      </c>
      <c r="I53" s="56">
        <v>3316</v>
      </c>
      <c r="J53" s="56">
        <v>3286</v>
      </c>
      <c r="K53" s="56">
        <v>3417</v>
      </c>
      <c r="L53" s="56">
        <v>3401</v>
      </c>
      <c r="M53" s="56">
        <v>3417</v>
      </c>
      <c r="N53" s="56">
        <v>3453</v>
      </c>
      <c r="O53" s="56">
        <v>3514</v>
      </c>
      <c r="Q53" s="226" t="s">
        <v>1552</v>
      </c>
    </row>
    <row r="54" spans="1:17">
      <c r="A54" s="226" t="s">
        <v>5393</v>
      </c>
      <c r="B54" s="226" t="s">
        <v>6406</v>
      </c>
      <c r="C54" s="55" t="s">
        <v>8404</v>
      </c>
      <c r="D54" s="228">
        <v>3252</v>
      </c>
      <c r="E54" s="228">
        <v>3300</v>
      </c>
      <c r="F54" s="228">
        <v>3364</v>
      </c>
      <c r="G54" s="63">
        <v>3391</v>
      </c>
      <c r="H54" s="63">
        <v>3337</v>
      </c>
      <c r="I54" s="56">
        <v>3272</v>
      </c>
      <c r="J54" s="56">
        <v>3308</v>
      </c>
      <c r="K54" s="56">
        <v>3370</v>
      </c>
      <c r="L54" s="56">
        <v>3378</v>
      </c>
      <c r="M54" s="56">
        <v>3335</v>
      </c>
      <c r="N54" s="56">
        <v>3315</v>
      </c>
      <c r="O54" s="56">
        <v>3393</v>
      </c>
      <c r="Q54" s="226" t="s">
        <v>1552</v>
      </c>
    </row>
    <row r="55" spans="1:17">
      <c r="A55" s="226" t="s">
        <v>5394</v>
      </c>
      <c r="B55" s="226" t="s">
        <v>5344</v>
      </c>
      <c r="C55" s="55" t="s">
        <v>8405</v>
      </c>
      <c r="D55" s="228">
        <v>3288</v>
      </c>
      <c r="E55" s="228">
        <v>3340</v>
      </c>
      <c r="F55" s="228">
        <v>3357</v>
      </c>
      <c r="G55" s="63">
        <v>3380</v>
      </c>
      <c r="H55" s="63">
        <v>3373</v>
      </c>
      <c r="I55" s="56">
        <v>3318</v>
      </c>
      <c r="J55" s="56">
        <v>3301</v>
      </c>
      <c r="K55" s="56">
        <v>3411</v>
      </c>
      <c r="L55" s="56">
        <v>3420</v>
      </c>
      <c r="M55" s="56">
        <v>3367</v>
      </c>
      <c r="N55" s="56">
        <v>3376</v>
      </c>
      <c r="O55" s="56">
        <v>3435</v>
      </c>
      <c r="Q55" s="226" t="s">
        <v>1552</v>
      </c>
    </row>
    <row r="56" spans="1:17">
      <c r="A56" s="226" t="s">
        <v>5416</v>
      </c>
      <c r="B56" s="226" t="s">
        <v>5920</v>
      </c>
      <c r="C56" s="55" t="s">
        <v>8406</v>
      </c>
      <c r="D56" s="228">
        <v>3182</v>
      </c>
      <c r="E56" s="228">
        <v>3156</v>
      </c>
      <c r="F56" s="228">
        <v>3204</v>
      </c>
      <c r="G56" s="63">
        <v>3200</v>
      </c>
      <c r="H56" s="63">
        <v>3234</v>
      </c>
      <c r="I56" s="56">
        <v>3146</v>
      </c>
      <c r="J56" s="56">
        <v>3204</v>
      </c>
      <c r="K56" s="56">
        <v>3293</v>
      </c>
      <c r="L56" s="56">
        <v>3329</v>
      </c>
      <c r="M56" s="56">
        <v>3278</v>
      </c>
      <c r="N56" s="56">
        <v>3306</v>
      </c>
      <c r="O56" s="56">
        <v>3350</v>
      </c>
      <c r="Q56" s="226" t="s">
        <v>1552</v>
      </c>
    </row>
    <row r="57" spans="1:17">
      <c r="A57" s="226" t="s">
        <v>5418</v>
      </c>
      <c r="B57" s="226" t="s">
        <v>2914</v>
      </c>
      <c r="C57" s="55" t="s">
        <v>8407</v>
      </c>
      <c r="D57" s="228">
        <v>3483</v>
      </c>
      <c r="E57" s="228">
        <v>3512</v>
      </c>
      <c r="F57" s="228">
        <v>3504</v>
      </c>
      <c r="G57" s="63">
        <v>3523</v>
      </c>
      <c r="H57" s="63">
        <v>3523</v>
      </c>
      <c r="I57" s="56">
        <v>3382</v>
      </c>
      <c r="J57" s="56">
        <v>3401</v>
      </c>
      <c r="K57" s="56">
        <v>3547</v>
      </c>
      <c r="L57" s="56">
        <v>3557</v>
      </c>
      <c r="M57" s="56">
        <v>3488</v>
      </c>
      <c r="N57" s="56">
        <v>3491</v>
      </c>
      <c r="O57" s="56">
        <v>3609</v>
      </c>
      <c r="Q57" s="226" t="s">
        <v>1552</v>
      </c>
    </row>
    <row r="58" spans="1:17">
      <c r="A58" s="226" t="s">
        <v>5420</v>
      </c>
      <c r="B58" s="226" t="s">
        <v>2915</v>
      </c>
      <c r="C58" s="55" t="s">
        <v>8408</v>
      </c>
      <c r="D58" s="228">
        <v>3336</v>
      </c>
      <c r="E58" s="228">
        <v>3304</v>
      </c>
      <c r="F58" s="228">
        <v>3306</v>
      </c>
      <c r="G58" s="63">
        <v>3353</v>
      </c>
      <c r="H58" s="63">
        <v>3330</v>
      </c>
      <c r="I58" s="56">
        <v>3270</v>
      </c>
      <c r="J58" s="56">
        <v>3248</v>
      </c>
      <c r="K58" s="56">
        <v>3358</v>
      </c>
      <c r="L58" s="56">
        <v>3395</v>
      </c>
      <c r="M58" s="56">
        <v>3341</v>
      </c>
      <c r="N58" s="56">
        <v>3308</v>
      </c>
      <c r="O58" s="56">
        <v>3355</v>
      </c>
      <c r="Q58" s="226" t="s">
        <v>1552</v>
      </c>
    </row>
    <row r="59" spans="1:17">
      <c r="A59" s="226" t="s">
        <v>5422</v>
      </c>
      <c r="B59" s="226" t="s">
        <v>2916</v>
      </c>
      <c r="C59" s="55" t="s">
        <v>8409</v>
      </c>
      <c r="D59" s="228">
        <v>3395</v>
      </c>
      <c r="E59" s="228">
        <v>3407</v>
      </c>
      <c r="F59" s="228">
        <v>3455</v>
      </c>
      <c r="G59" s="63">
        <v>3449</v>
      </c>
      <c r="H59" s="63">
        <v>3428</v>
      </c>
      <c r="I59" s="56">
        <v>3325</v>
      </c>
      <c r="J59" s="56">
        <v>3353</v>
      </c>
      <c r="K59" s="56">
        <v>3460</v>
      </c>
      <c r="L59" s="56">
        <v>3435</v>
      </c>
      <c r="M59" s="56">
        <v>3416</v>
      </c>
      <c r="N59" s="56">
        <v>3417</v>
      </c>
      <c r="O59" s="56">
        <v>3467</v>
      </c>
      <c r="Q59" s="226" t="s">
        <v>1552</v>
      </c>
    </row>
    <row r="60" spans="1:17">
      <c r="A60" s="226" t="s">
        <v>5424</v>
      </c>
      <c r="B60" s="226" t="s">
        <v>6912</v>
      </c>
      <c r="C60" s="55" t="s">
        <v>8410</v>
      </c>
      <c r="D60" s="228">
        <v>3262</v>
      </c>
      <c r="E60" s="228">
        <v>3253</v>
      </c>
      <c r="F60" s="228">
        <v>3391</v>
      </c>
      <c r="G60" s="63">
        <v>3518</v>
      </c>
      <c r="H60" s="63">
        <v>3717</v>
      </c>
      <c r="I60" s="56">
        <v>3553</v>
      </c>
      <c r="J60" s="56">
        <v>3526</v>
      </c>
      <c r="K60" s="56">
        <v>3737</v>
      </c>
      <c r="L60" s="56">
        <v>3711</v>
      </c>
      <c r="M60" s="56">
        <v>3679</v>
      </c>
      <c r="N60" s="56">
        <v>3846</v>
      </c>
      <c r="O60" s="56">
        <v>3927</v>
      </c>
      <c r="Q60" s="226" t="s">
        <v>1552</v>
      </c>
    </row>
    <row r="61" spans="1:17">
      <c r="A61" s="226" t="s">
        <v>5426</v>
      </c>
      <c r="B61" s="226" t="s">
        <v>2679</v>
      </c>
      <c r="C61" s="55" t="s">
        <v>8411</v>
      </c>
      <c r="D61" s="228">
        <v>3115</v>
      </c>
      <c r="E61" s="228">
        <v>3084</v>
      </c>
      <c r="F61" s="228">
        <v>3147</v>
      </c>
      <c r="G61" s="63">
        <v>3159</v>
      </c>
      <c r="H61" s="63">
        <v>3149</v>
      </c>
      <c r="I61" s="56">
        <v>3059</v>
      </c>
      <c r="J61" s="56">
        <v>3027</v>
      </c>
      <c r="K61" s="56">
        <v>3109</v>
      </c>
      <c r="L61" s="56">
        <v>3116</v>
      </c>
      <c r="M61" s="56">
        <v>3080</v>
      </c>
      <c r="N61" s="56">
        <v>3085</v>
      </c>
      <c r="O61" s="56">
        <v>3132</v>
      </c>
      <c r="Q61" s="226" t="s">
        <v>1552</v>
      </c>
    </row>
    <row r="62" spans="1:17">
      <c r="A62" s="226" t="s">
        <v>5428</v>
      </c>
      <c r="B62" s="226" t="s">
        <v>2917</v>
      </c>
      <c r="C62" s="55" t="s">
        <v>8412</v>
      </c>
      <c r="D62" s="228">
        <v>2936</v>
      </c>
      <c r="E62" s="228">
        <v>2925</v>
      </c>
      <c r="F62" s="228">
        <v>2966</v>
      </c>
      <c r="G62" s="63">
        <v>2975</v>
      </c>
      <c r="H62" s="63">
        <v>2935</v>
      </c>
      <c r="I62" s="56">
        <v>2859</v>
      </c>
      <c r="J62" s="56">
        <v>2862</v>
      </c>
      <c r="K62" s="56">
        <v>2944</v>
      </c>
      <c r="L62" s="56">
        <v>3090</v>
      </c>
      <c r="M62" s="56">
        <v>3103</v>
      </c>
      <c r="N62" s="56">
        <v>3102</v>
      </c>
      <c r="O62" s="56">
        <v>3153</v>
      </c>
      <c r="Q62" s="226" t="s">
        <v>1552</v>
      </c>
    </row>
    <row r="63" spans="1:17">
      <c r="A63" s="226" t="s">
        <v>5429</v>
      </c>
      <c r="B63" s="226" t="s">
        <v>2918</v>
      </c>
      <c r="C63" s="55" t="s">
        <v>8413</v>
      </c>
      <c r="D63" s="228">
        <v>3519</v>
      </c>
      <c r="E63" s="228">
        <v>3514</v>
      </c>
      <c r="F63" s="228">
        <v>3511</v>
      </c>
      <c r="G63" s="63">
        <v>3503</v>
      </c>
      <c r="H63" s="63">
        <v>3473</v>
      </c>
      <c r="I63" s="56">
        <v>3377</v>
      </c>
      <c r="J63" s="56">
        <v>3341</v>
      </c>
      <c r="K63" s="56">
        <v>3461</v>
      </c>
      <c r="L63" s="56">
        <v>3452</v>
      </c>
      <c r="M63" s="56">
        <v>3374</v>
      </c>
      <c r="N63" s="56">
        <v>3422</v>
      </c>
      <c r="O63" s="56">
        <v>3493</v>
      </c>
      <c r="Q63" s="226" t="s">
        <v>1552</v>
      </c>
    </row>
    <row r="64" spans="1:17">
      <c r="A64" s="226" t="s">
        <v>5431</v>
      </c>
      <c r="B64" s="226" t="s">
        <v>2919</v>
      </c>
      <c r="C64" s="55" t="s">
        <v>8414</v>
      </c>
      <c r="D64" s="228">
        <v>4631</v>
      </c>
      <c r="E64" s="228">
        <v>4676</v>
      </c>
      <c r="F64" s="228">
        <v>4695</v>
      </c>
      <c r="G64" s="63">
        <v>4747</v>
      </c>
      <c r="H64" s="63">
        <v>4658</v>
      </c>
      <c r="I64" s="56">
        <v>4453</v>
      </c>
      <c r="J64" s="56">
        <v>4455</v>
      </c>
      <c r="K64" s="56">
        <v>4615</v>
      </c>
      <c r="L64" s="56">
        <v>4669</v>
      </c>
      <c r="M64" s="56">
        <v>4634</v>
      </c>
      <c r="N64" s="56">
        <v>4679</v>
      </c>
      <c r="O64" s="56">
        <v>4767</v>
      </c>
      <c r="Q64" s="226" t="s">
        <v>1552</v>
      </c>
    </row>
    <row r="65" spans="1:17">
      <c r="D65" s="229"/>
      <c r="E65" s="229"/>
      <c r="F65" s="229"/>
      <c r="G65" s="229"/>
      <c r="H65" s="229"/>
      <c r="I65" s="229"/>
      <c r="J65" s="229"/>
      <c r="K65" s="229"/>
      <c r="L65" s="229"/>
      <c r="M65" s="229"/>
      <c r="N65" s="229"/>
      <c r="O65" s="229"/>
    </row>
    <row r="66" spans="1:17">
      <c r="A66" s="226" t="s">
        <v>2920</v>
      </c>
      <c r="D66" s="228">
        <f t="shared" ref="D66:I66" si="62">SUM(D51:D64)</f>
        <v>47382</v>
      </c>
      <c r="E66" s="228">
        <f t="shared" si="62"/>
        <v>47396</v>
      </c>
      <c r="F66" s="228">
        <f t="shared" si="62"/>
        <v>47913</v>
      </c>
      <c r="G66" s="228">
        <f t="shared" si="62"/>
        <v>48236</v>
      </c>
      <c r="H66" s="228">
        <f t="shared" si="62"/>
        <v>48113</v>
      </c>
      <c r="I66" s="228">
        <f t="shared" si="62"/>
        <v>46710</v>
      </c>
      <c r="J66" s="228">
        <f t="shared" ref="J66:O66" si="63">SUM(J51:J64)</f>
        <v>46643</v>
      </c>
      <c r="K66" s="228">
        <f t="shared" si="63"/>
        <v>48207</v>
      </c>
      <c r="L66" s="228">
        <f t="shared" si="63"/>
        <v>48471</v>
      </c>
      <c r="M66" s="228">
        <f t="shared" si="63"/>
        <v>47897</v>
      </c>
      <c r="N66" s="228">
        <f t="shared" si="63"/>
        <v>48200</v>
      </c>
      <c r="O66" s="228">
        <f t="shared" si="63"/>
        <v>49118</v>
      </c>
    </row>
    <row r="67" spans="1:17">
      <c r="A67" s="226"/>
      <c r="D67" s="228"/>
      <c r="E67" s="228"/>
      <c r="F67" s="228"/>
      <c r="G67" s="228"/>
      <c r="H67" s="228"/>
      <c r="I67" s="228"/>
      <c r="J67" s="228"/>
      <c r="K67" s="228"/>
      <c r="L67" s="228"/>
      <c r="M67" s="228"/>
      <c r="N67" s="228"/>
      <c r="O67" s="228"/>
    </row>
    <row r="68" spans="1:17">
      <c r="A68" s="226" t="s">
        <v>2921</v>
      </c>
      <c r="D68" s="228"/>
      <c r="E68" s="228"/>
      <c r="F68" s="228"/>
      <c r="G68" s="228"/>
      <c r="H68" s="228"/>
      <c r="I68" s="228"/>
      <c r="J68" s="228"/>
      <c r="K68" s="228"/>
      <c r="L68" s="228"/>
      <c r="M68" s="228"/>
      <c r="N68" s="228"/>
      <c r="O68" s="228"/>
    </row>
    <row r="69" spans="1:17">
      <c r="A69" s="226"/>
      <c r="B69" s="226"/>
      <c r="D69" s="233"/>
      <c r="E69" s="233"/>
      <c r="F69" s="233"/>
      <c r="G69" s="233"/>
      <c r="H69" s="233"/>
      <c r="I69" s="233"/>
      <c r="J69" s="233"/>
      <c r="K69" s="233"/>
      <c r="L69" s="233"/>
      <c r="M69" s="233"/>
      <c r="N69" s="233"/>
      <c r="O69" s="233"/>
    </row>
    <row r="70" spans="1:17">
      <c r="A70" s="226"/>
      <c r="B70" s="226"/>
      <c r="D70" s="233"/>
      <c r="E70" s="233"/>
      <c r="F70" s="233"/>
      <c r="G70" s="233"/>
      <c r="H70" s="233"/>
      <c r="I70" s="233"/>
      <c r="J70" s="233"/>
      <c r="K70" s="233"/>
      <c r="L70" s="233"/>
      <c r="M70" s="233"/>
      <c r="N70" s="233"/>
      <c r="O70" s="233"/>
    </row>
    <row r="71" spans="1:17">
      <c r="E71" s="51" t="s">
        <v>1526</v>
      </c>
      <c r="F71" s="51"/>
      <c r="G71" s="51"/>
      <c r="H71" s="51"/>
      <c r="I71" s="51"/>
      <c r="J71" s="51"/>
      <c r="K71" s="51"/>
      <c r="L71" s="51"/>
      <c r="M71" s="51"/>
      <c r="N71" s="51"/>
      <c r="O71" s="51"/>
      <c r="P71" s="173"/>
      <c r="Q71" s="173" t="s">
        <v>9479</v>
      </c>
    </row>
    <row r="72" spans="1:17">
      <c r="D72" s="227">
        <v>2010</v>
      </c>
      <c r="E72" s="227">
        <v>2011</v>
      </c>
      <c r="F72" s="227">
        <v>2012</v>
      </c>
      <c r="G72" s="227">
        <v>2013</v>
      </c>
      <c r="H72" s="227">
        <v>2014</v>
      </c>
      <c r="I72" s="227">
        <v>2015</v>
      </c>
      <c r="J72" s="227">
        <v>2016</v>
      </c>
      <c r="K72" s="227">
        <v>2017</v>
      </c>
      <c r="L72" s="227">
        <v>2018</v>
      </c>
      <c r="M72" s="227">
        <v>2019</v>
      </c>
      <c r="N72" s="227">
        <v>2020</v>
      </c>
      <c r="O72" s="927" t="s">
        <v>14823</v>
      </c>
      <c r="Q72" s="206" t="s">
        <v>1527</v>
      </c>
    </row>
    <row r="73" spans="1:17">
      <c r="A73" s="226" t="s">
        <v>2922</v>
      </c>
      <c r="D73" s="228">
        <f t="shared" ref="D73:J73" si="64">SUM(D74:D84)+SUM(D86:D98)</f>
        <v>112814</v>
      </c>
      <c r="E73" s="228">
        <f t="shared" si="64"/>
        <v>112169</v>
      </c>
      <c r="F73" s="228">
        <f t="shared" si="64"/>
        <v>112052</v>
      </c>
      <c r="G73" s="228">
        <f t="shared" si="64"/>
        <v>111331</v>
      </c>
      <c r="H73" s="228">
        <f t="shared" si="64"/>
        <v>109063</v>
      </c>
      <c r="I73" s="228">
        <f t="shared" si="64"/>
        <v>111759</v>
      </c>
      <c r="J73" s="228">
        <f t="shared" si="64"/>
        <v>113193</v>
      </c>
      <c r="K73" s="228">
        <f>SUM(K74:K84)+SUM(K86:K98)</f>
        <v>116521</v>
      </c>
      <c r="L73" s="228">
        <f>SUM(L74:L84)+SUM(L86:L98)</f>
        <v>120238</v>
      </c>
      <c r="M73" s="228">
        <f>SUM(M74:M84)+SUM(M86:M98)</f>
        <v>118125</v>
      </c>
      <c r="N73" s="228">
        <f>SUM(N74:N84)+SUM(N86:N98)</f>
        <v>122127</v>
      </c>
      <c r="O73" s="228">
        <f>SUM(O74:O84)+SUM(O86:O98)</f>
        <v>121629</v>
      </c>
      <c r="P73" s="228"/>
    </row>
    <row r="74" spans="1:17">
      <c r="A74" s="226" t="s">
        <v>5387</v>
      </c>
      <c r="B74" s="226" t="s">
        <v>2923</v>
      </c>
      <c r="C74" s="55" t="s">
        <v>11344</v>
      </c>
      <c r="D74" s="228">
        <v>71033</v>
      </c>
      <c r="E74" s="228">
        <v>70535</v>
      </c>
      <c r="F74" s="228">
        <v>70659</v>
      </c>
      <c r="G74" s="63">
        <v>70161</v>
      </c>
      <c r="H74" s="63">
        <v>69300</v>
      </c>
      <c r="I74" s="63">
        <v>71042</v>
      </c>
      <c r="J74" s="63">
        <v>4416</v>
      </c>
      <c r="K74" s="56">
        <v>4460</v>
      </c>
      <c r="L74" s="56">
        <v>4415</v>
      </c>
      <c r="M74" s="56">
        <v>4379</v>
      </c>
      <c r="N74" s="56">
        <v>4434</v>
      </c>
      <c r="O74" s="56">
        <v>4417</v>
      </c>
      <c r="P74" s="229"/>
      <c r="Q74" s="226" t="s">
        <v>5911</v>
      </c>
    </row>
    <row r="75" spans="1:17">
      <c r="A75" s="226" t="s">
        <v>5389</v>
      </c>
      <c r="B75" s="226" t="s">
        <v>2924</v>
      </c>
      <c r="C75" s="55" t="s">
        <v>11349</v>
      </c>
      <c r="D75" s="228">
        <v>0</v>
      </c>
      <c r="E75" s="228">
        <v>0</v>
      </c>
      <c r="F75" s="228">
        <v>0</v>
      </c>
      <c r="G75" s="63">
        <v>0</v>
      </c>
      <c r="H75" s="63">
        <v>0</v>
      </c>
      <c r="I75" s="63">
        <v>0</v>
      </c>
      <c r="J75" s="63">
        <v>4972</v>
      </c>
      <c r="K75" s="56">
        <v>4997</v>
      </c>
      <c r="L75" s="56">
        <v>5053</v>
      </c>
      <c r="M75" s="56">
        <v>5013</v>
      </c>
      <c r="N75" s="56">
        <v>5107</v>
      </c>
      <c r="O75" s="56">
        <v>5098</v>
      </c>
      <c r="P75" s="229"/>
      <c r="Q75" s="226" t="s">
        <v>5911</v>
      </c>
    </row>
    <row r="76" spans="1:17">
      <c r="A76" s="226" t="s">
        <v>5391</v>
      </c>
      <c r="B76" s="226" t="s">
        <v>11345</v>
      </c>
      <c r="C76" s="55" t="s">
        <v>11350</v>
      </c>
      <c r="D76" s="228">
        <v>20693</v>
      </c>
      <c r="E76" s="228">
        <v>20611</v>
      </c>
      <c r="F76" s="228">
        <v>20506</v>
      </c>
      <c r="G76" s="63">
        <v>20321</v>
      </c>
      <c r="H76" s="63">
        <v>19443</v>
      </c>
      <c r="I76" s="63">
        <v>20068</v>
      </c>
      <c r="J76" s="63">
        <v>7003</v>
      </c>
      <c r="K76" s="56">
        <v>7336</v>
      </c>
      <c r="L76" s="56">
        <v>7660</v>
      </c>
      <c r="M76" s="56">
        <v>7652</v>
      </c>
      <c r="N76" s="56">
        <v>8058</v>
      </c>
      <c r="O76" s="56">
        <v>8038</v>
      </c>
      <c r="P76" s="229"/>
      <c r="Q76" s="226" t="s">
        <v>6021</v>
      </c>
    </row>
    <row r="77" spans="1:17">
      <c r="A77" s="226" t="s">
        <v>5393</v>
      </c>
      <c r="B77" s="226" t="s">
        <v>11346</v>
      </c>
      <c r="C77" s="55" t="s">
        <v>11351</v>
      </c>
      <c r="D77" s="228">
        <v>0</v>
      </c>
      <c r="E77" s="228">
        <v>0</v>
      </c>
      <c r="F77" s="228">
        <v>0</v>
      </c>
      <c r="G77" s="63">
        <v>0</v>
      </c>
      <c r="H77" s="63">
        <v>0</v>
      </c>
      <c r="I77" s="63">
        <v>0</v>
      </c>
      <c r="J77" s="63">
        <v>6240</v>
      </c>
      <c r="K77" s="56">
        <v>6494</v>
      </c>
      <c r="L77" s="56">
        <v>6683</v>
      </c>
      <c r="M77" s="56">
        <v>6560</v>
      </c>
      <c r="N77" s="56">
        <v>6743</v>
      </c>
      <c r="O77" s="56">
        <v>6712</v>
      </c>
      <c r="P77" s="229"/>
      <c r="Q77" s="226" t="s">
        <v>6021</v>
      </c>
    </row>
    <row r="78" spans="1:17">
      <c r="A78" s="226" t="s">
        <v>5394</v>
      </c>
      <c r="B78" s="226" t="s">
        <v>2925</v>
      </c>
      <c r="C78" s="55" t="s">
        <v>11352</v>
      </c>
      <c r="D78" s="228">
        <v>0</v>
      </c>
      <c r="E78" s="228">
        <v>0</v>
      </c>
      <c r="F78" s="228">
        <v>0</v>
      </c>
      <c r="G78" s="63">
        <v>0</v>
      </c>
      <c r="H78" s="63">
        <v>0</v>
      </c>
      <c r="I78" s="63">
        <v>0</v>
      </c>
      <c r="J78" s="63">
        <v>5999</v>
      </c>
      <c r="K78" s="56">
        <v>6312</v>
      </c>
      <c r="L78" s="56">
        <v>6484</v>
      </c>
      <c r="M78" s="56">
        <v>6414</v>
      </c>
      <c r="N78" s="56">
        <v>6814</v>
      </c>
      <c r="O78" s="56">
        <v>6832</v>
      </c>
      <c r="P78" s="229"/>
      <c r="Q78" s="226" t="s">
        <v>6021</v>
      </c>
    </row>
    <row r="79" spans="1:17">
      <c r="A79" s="226" t="s">
        <v>5416</v>
      </c>
      <c r="B79" s="226" t="s">
        <v>2926</v>
      </c>
      <c r="C79" s="55" t="s">
        <v>11353</v>
      </c>
      <c r="D79" s="228">
        <v>0</v>
      </c>
      <c r="E79" s="228">
        <v>0</v>
      </c>
      <c r="F79" s="228">
        <v>0</v>
      </c>
      <c r="G79" s="63">
        <v>0</v>
      </c>
      <c r="H79" s="63">
        <v>0</v>
      </c>
      <c r="I79" s="63">
        <v>0</v>
      </c>
      <c r="J79" s="63">
        <v>3674</v>
      </c>
      <c r="K79" s="56">
        <v>3740</v>
      </c>
      <c r="L79" s="56">
        <v>3835</v>
      </c>
      <c r="M79" s="56">
        <v>3713</v>
      </c>
      <c r="N79" s="56">
        <v>3851</v>
      </c>
      <c r="O79" s="56">
        <v>3840</v>
      </c>
      <c r="P79" s="229"/>
      <c r="Q79" s="226" t="s">
        <v>5911</v>
      </c>
    </row>
    <row r="80" spans="1:17">
      <c r="A80" s="226" t="s">
        <v>5418</v>
      </c>
      <c r="B80" s="226" t="s">
        <v>2927</v>
      </c>
      <c r="C80" s="55" t="s">
        <v>11354</v>
      </c>
      <c r="D80" s="228">
        <v>0</v>
      </c>
      <c r="E80" s="228">
        <v>0</v>
      </c>
      <c r="F80" s="228">
        <v>0</v>
      </c>
      <c r="G80" s="63">
        <v>0</v>
      </c>
      <c r="H80" s="63">
        <v>0</v>
      </c>
      <c r="I80" s="63">
        <v>0</v>
      </c>
      <c r="J80" s="63">
        <v>6177</v>
      </c>
      <c r="K80" s="56">
        <v>6237</v>
      </c>
      <c r="L80" s="56">
        <v>6526</v>
      </c>
      <c r="M80" s="56">
        <v>6450</v>
      </c>
      <c r="N80" s="56">
        <v>6666</v>
      </c>
      <c r="O80" s="56">
        <v>6653</v>
      </c>
      <c r="P80" s="229"/>
      <c r="Q80" s="226" t="s">
        <v>5911</v>
      </c>
    </row>
    <row r="81" spans="1:17">
      <c r="A81" s="226" t="s">
        <v>5420</v>
      </c>
      <c r="B81" s="226" t="s">
        <v>5024</v>
      </c>
      <c r="C81" s="55" t="s">
        <v>11355</v>
      </c>
      <c r="D81" s="228">
        <v>0</v>
      </c>
      <c r="E81" s="228">
        <v>0</v>
      </c>
      <c r="F81" s="228">
        <v>0</v>
      </c>
      <c r="G81" s="63">
        <v>0</v>
      </c>
      <c r="H81" s="63">
        <v>0</v>
      </c>
      <c r="I81" s="63">
        <v>0</v>
      </c>
      <c r="J81" s="63">
        <v>4490</v>
      </c>
      <c r="K81" s="56">
        <v>4554</v>
      </c>
      <c r="L81" s="56">
        <v>4694</v>
      </c>
      <c r="M81" s="56">
        <v>4575</v>
      </c>
      <c r="N81" s="56">
        <v>4657</v>
      </c>
      <c r="O81" s="56">
        <v>4656</v>
      </c>
      <c r="P81" s="229"/>
      <c r="Q81" s="226" t="s">
        <v>5911</v>
      </c>
    </row>
    <row r="82" spans="1:17">
      <c r="A82" s="226" t="s">
        <v>5422</v>
      </c>
      <c r="B82" s="111" t="s">
        <v>11347</v>
      </c>
      <c r="C82" s="55" t="s">
        <v>11356</v>
      </c>
      <c r="D82" s="228">
        <v>0</v>
      </c>
      <c r="E82" s="228">
        <v>0</v>
      </c>
      <c r="F82" s="228">
        <v>0</v>
      </c>
      <c r="G82" s="63">
        <v>0</v>
      </c>
      <c r="H82" s="63">
        <v>0</v>
      </c>
      <c r="I82" s="63">
        <v>0</v>
      </c>
      <c r="J82" s="63">
        <v>5579</v>
      </c>
      <c r="K82" s="56">
        <v>5961</v>
      </c>
      <c r="L82" s="56">
        <v>6569</v>
      </c>
      <c r="M82" s="56">
        <v>6707</v>
      </c>
      <c r="N82" s="56">
        <v>7142</v>
      </c>
      <c r="O82" s="56">
        <v>7128</v>
      </c>
      <c r="P82" s="229"/>
      <c r="Q82" s="111" t="s">
        <v>5911</v>
      </c>
    </row>
    <row r="83" spans="1:17">
      <c r="A83" s="226" t="s">
        <v>5424</v>
      </c>
      <c r="B83" s="226" t="s">
        <v>11348</v>
      </c>
      <c r="C83" s="55" t="s">
        <v>11357</v>
      </c>
      <c r="D83" s="228">
        <v>0</v>
      </c>
      <c r="E83" s="228">
        <v>0</v>
      </c>
      <c r="F83" s="228">
        <v>0</v>
      </c>
      <c r="G83" s="63">
        <v>0</v>
      </c>
      <c r="H83" s="63">
        <v>0</v>
      </c>
      <c r="I83" s="63">
        <v>0</v>
      </c>
      <c r="J83" s="63">
        <v>758</v>
      </c>
      <c r="K83" s="56">
        <v>774</v>
      </c>
      <c r="L83" s="56">
        <v>776</v>
      </c>
      <c r="M83" s="56">
        <v>770</v>
      </c>
      <c r="N83" s="56">
        <v>783</v>
      </c>
      <c r="O83" s="56">
        <v>782</v>
      </c>
      <c r="P83" s="229"/>
      <c r="Q83" s="226" t="s">
        <v>6021</v>
      </c>
    </row>
    <row r="84" spans="1:17" ht="15.75" thickBot="1">
      <c r="A84" s="226"/>
      <c r="B84" s="226"/>
      <c r="C84" s="55" t="s">
        <v>11357</v>
      </c>
      <c r="D84" s="231">
        <v>0</v>
      </c>
      <c r="E84" s="231">
        <v>0</v>
      </c>
      <c r="F84" s="231">
        <v>0</v>
      </c>
      <c r="G84" s="185">
        <v>0</v>
      </c>
      <c r="H84" s="185">
        <v>0</v>
      </c>
      <c r="I84" s="185">
        <v>0</v>
      </c>
      <c r="J84" s="63">
        <v>5947</v>
      </c>
      <c r="K84" s="58">
        <v>6090</v>
      </c>
      <c r="L84" s="58">
        <v>6215</v>
      </c>
      <c r="M84" s="58">
        <v>6128</v>
      </c>
      <c r="N84" s="58">
        <v>6289</v>
      </c>
      <c r="O84" s="58">
        <v>6246</v>
      </c>
      <c r="P84" s="229"/>
      <c r="Q84" s="226" t="s">
        <v>1556</v>
      </c>
    </row>
    <row r="85" spans="1:17" ht="15.75" thickBot="1">
      <c r="A85" s="226"/>
      <c r="B85" s="226"/>
      <c r="C85" s="55" t="s">
        <v>11357</v>
      </c>
      <c r="D85" s="234">
        <f>D83+D84</f>
        <v>0</v>
      </c>
      <c r="E85" s="234">
        <f t="shared" ref="E85:L85" si="65">E83+E84</f>
        <v>0</v>
      </c>
      <c r="F85" s="234">
        <f t="shared" si="65"/>
        <v>0</v>
      </c>
      <c r="G85" s="234">
        <f t="shared" si="65"/>
        <v>0</v>
      </c>
      <c r="H85" s="234">
        <f t="shared" si="65"/>
        <v>0</v>
      </c>
      <c r="I85" s="234">
        <f t="shared" si="65"/>
        <v>0</v>
      </c>
      <c r="J85" s="234">
        <f t="shared" si="65"/>
        <v>6705</v>
      </c>
      <c r="K85" s="234">
        <f t="shared" si="65"/>
        <v>6864</v>
      </c>
      <c r="L85" s="234">
        <f t="shared" si="65"/>
        <v>6991</v>
      </c>
      <c r="M85" s="234">
        <f>M83+M84</f>
        <v>6898</v>
      </c>
      <c r="N85" s="234">
        <f>N83+N84</f>
        <v>7072</v>
      </c>
      <c r="O85" s="234">
        <f>O83+O84</f>
        <v>7028</v>
      </c>
      <c r="Q85" s="226"/>
    </row>
    <row r="86" spans="1:17">
      <c r="A86" s="226" t="s">
        <v>5426</v>
      </c>
      <c r="B86" s="226" t="s">
        <v>5213</v>
      </c>
      <c r="C86" s="55" t="s">
        <v>11359</v>
      </c>
      <c r="D86" s="228">
        <v>0</v>
      </c>
      <c r="E86" s="228">
        <v>0</v>
      </c>
      <c r="F86" s="228">
        <v>0</v>
      </c>
      <c r="G86" s="63">
        <v>0</v>
      </c>
      <c r="H86" s="63">
        <v>0</v>
      </c>
      <c r="I86" s="63">
        <v>0</v>
      </c>
      <c r="J86" s="63">
        <v>4566</v>
      </c>
      <c r="K86" s="56">
        <v>4633</v>
      </c>
      <c r="L86" s="56">
        <v>4716</v>
      </c>
      <c r="M86" s="56">
        <v>4602</v>
      </c>
      <c r="N86" s="56">
        <v>4729</v>
      </c>
      <c r="O86" s="56">
        <v>4724</v>
      </c>
      <c r="Q86" s="226" t="s">
        <v>5911</v>
      </c>
    </row>
    <row r="87" spans="1:17">
      <c r="A87" s="226" t="s">
        <v>5428</v>
      </c>
      <c r="B87" s="226" t="s">
        <v>5214</v>
      </c>
      <c r="C87" s="55" t="s">
        <v>11360</v>
      </c>
      <c r="D87" s="228">
        <v>0</v>
      </c>
      <c r="E87" s="228">
        <v>0</v>
      </c>
      <c r="F87" s="228">
        <v>0</v>
      </c>
      <c r="G87" s="63">
        <v>0</v>
      </c>
      <c r="H87" s="63">
        <v>0</v>
      </c>
      <c r="I87" s="63">
        <v>0</v>
      </c>
      <c r="J87" s="63">
        <v>4111</v>
      </c>
      <c r="K87" s="56">
        <v>4374</v>
      </c>
      <c r="L87" s="56">
        <v>4595</v>
      </c>
      <c r="M87" s="56">
        <v>4564</v>
      </c>
      <c r="N87" s="56">
        <v>4790</v>
      </c>
      <c r="O87" s="56">
        <v>4756</v>
      </c>
      <c r="Q87" s="226" t="s">
        <v>5911</v>
      </c>
    </row>
    <row r="88" spans="1:17">
      <c r="A88" s="226" t="s">
        <v>5429</v>
      </c>
      <c r="B88" s="226" t="s">
        <v>5215</v>
      </c>
      <c r="C88" s="55" t="s">
        <v>11361</v>
      </c>
      <c r="D88" s="228">
        <v>21088</v>
      </c>
      <c r="E88" s="228">
        <v>21023</v>
      </c>
      <c r="F88" s="228">
        <v>20887</v>
      </c>
      <c r="G88" s="63">
        <v>20849</v>
      </c>
      <c r="H88" s="63">
        <v>20320</v>
      </c>
      <c r="I88" s="63">
        <v>20649</v>
      </c>
      <c r="J88" s="63">
        <v>3975</v>
      </c>
      <c r="K88" s="58">
        <v>4030</v>
      </c>
      <c r="L88" s="58">
        <v>4130</v>
      </c>
      <c r="M88" s="58">
        <v>4069</v>
      </c>
      <c r="N88" s="58">
        <v>4193</v>
      </c>
      <c r="O88" s="58">
        <v>4172</v>
      </c>
      <c r="Q88" s="226" t="s">
        <v>1556</v>
      </c>
    </row>
    <row r="89" spans="1:17">
      <c r="A89" s="226" t="s">
        <v>5431</v>
      </c>
      <c r="B89" s="226" t="s">
        <v>5216</v>
      </c>
      <c r="C89" s="55" t="s">
        <v>11362</v>
      </c>
      <c r="D89" s="228">
        <v>0</v>
      </c>
      <c r="E89" s="228">
        <v>0</v>
      </c>
      <c r="F89" s="228">
        <v>0</v>
      </c>
      <c r="G89" s="63">
        <v>0</v>
      </c>
      <c r="H89" s="63">
        <v>0</v>
      </c>
      <c r="I89" s="63">
        <v>0</v>
      </c>
      <c r="J89" s="63">
        <v>3458</v>
      </c>
      <c r="K89" s="56">
        <v>3605</v>
      </c>
      <c r="L89" s="56">
        <v>3612</v>
      </c>
      <c r="M89" s="56">
        <v>3531</v>
      </c>
      <c r="N89" s="56">
        <v>3729</v>
      </c>
      <c r="O89" s="56">
        <v>3690</v>
      </c>
      <c r="Q89" s="226" t="s">
        <v>5911</v>
      </c>
    </row>
    <row r="90" spans="1:17">
      <c r="A90" s="226" t="s">
        <v>5433</v>
      </c>
      <c r="B90" s="226" t="s">
        <v>2914</v>
      </c>
      <c r="C90" s="55" t="s">
        <v>11363</v>
      </c>
      <c r="D90" s="228">
        <v>0</v>
      </c>
      <c r="E90" s="228">
        <v>0</v>
      </c>
      <c r="F90" s="228">
        <v>0</v>
      </c>
      <c r="G90" s="63">
        <v>0</v>
      </c>
      <c r="H90" s="63">
        <v>0</v>
      </c>
      <c r="I90" s="63">
        <v>0</v>
      </c>
      <c r="J90" s="63">
        <v>3632</v>
      </c>
      <c r="K90" s="56">
        <v>3910</v>
      </c>
      <c r="L90" s="56">
        <v>3972</v>
      </c>
      <c r="M90" s="56">
        <v>3787</v>
      </c>
      <c r="N90" s="56">
        <v>4013</v>
      </c>
      <c r="O90" s="56">
        <v>3985</v>
      </c>
      <c r="Q90" s="226" t="s">
        <v>5911</v>
      </c>
    </row>
    <row r="91" spans="1:17">
      <c r="A91" s="226" t="s">
        <v>5435</v>
      </c>
      <c r="B91" s="226" t="s">
        <v>5217</v>
      </c>
      <c r="C91" s="55" t="s">
        <v>11364</v>
      </c>
      <c r="D91" s="228">
        <v>0</v>
      </c>
      <c r="E91" s="228">
        <v>0</v>
      </c>
      <c r="F91" s="228">
        <v>0</v>
      </c>
      <c r="G91" s="63">
        <v>0</v>
      </c>
      <c r="H91" s="63">
        <v>0</v>
      </c>
      <c r="I91" s="63">
        <v>0</v>
      </c>
      <c r="J91" s="63">
        <v>4130</v>
      </c>
      <c r="K91" s="56">
        <v>4176</v>
      </c>
      <c r="L91" s="56">
        <v>4289</v>
      </c>
      <c r="M91" s="56">
        <v>4119</v>
      </c>
      <c r="N91" s="56">
        <v>4177</v>
      </c>
      <c r="O91" s="56">
        <v>4163</v>
      </c>
      <c r="Q91" s="226" t="s">
        <v>5911</v>
      </c>
    </row>
    <row r="92" spans="1:17">
      <c r="A92" s="226" t="s">
        <v>5436</v>
      </c>
      <c r="B92" s="226" t="s">
        <v>5218</v>
      </c>
      <c r="C92" s="55" t="s">
        <v>11365</v>
      </c>
      <c r="D92" s="228">
        <v>0</v>
      </c>
      <c r="E92" s="228">
        <v>0</v>
      </c>
      <c r="F92" s="228">
        <v>0</v>
      </c>
      <c r="G92" s="63">
        <v>0</v>
      </c>
      <c r="H92" s="63">
        <v>0</v>
      </c>
      <c r="I92" s="63">
        <v>0</v>
      </c>
      <c r="J92" s="63">
        <v>3981</v>
      </c>
      <c r="K92" s="58">
        <v>4044</v>
      </c>
      <c r="L92" s="58">
        <v>4209</v>
      </c>
      <c r="M92" s="58">
        <v>4130</v>
      </c>
      <c r="N92" s="58">
        <v>4181</v>
      </c>
      <c r="O92" s="58">
        <v>4155</v>
      </c>
      <c r="Q92" s="226" t="s">
        <v>5911</v>
      </c>
    </row>
    <row r="93" spans="1:17">
      <c r="A93" s="226" t="s">
        <v>5437</v>
      </c>
      <c r="B93" s="226" t="s">
        <v>11358</v>
      </c>
      <c r="C93" s="55" t="s">
        <v>11366</v>
      </c>
      <c r="D93" s="228">
        <v>0</v>
      </c>
      <c r="E93" s="228">
        <v>0</v>
      </c>
      <c r="F93" s="228">
        <v>0</v>
      </c>
      <c r="G93" s="63">
        <v>0</v>
      </c>
      <c r="H93" s="63">
        <v>0</v>
      </c>
      <c r="I93" s="63">
        <v>0</v>
      </c>
      <c r="J93" s="63">
        <v>4927</v>
      </c>
      <c r="K93" s="58">
        <v>4992</v>
      </c>
      <c r="L93" s="58">
        <v>5110</v>
      </c>
      <c r="M93" s="58">
        <v>4978</v>
      </c>
      <c r="N93" s="58">
        <v>5140</v>
      </c>
      <c r="O93" s="58">
        <v>5109</v>
      </c>
      <c r="Q93" s="226" t="s">
        <v>5911</v>
      </c>
    </row>
    <row r="94" spans="1:17">
      <c r="A94" s="226" t="s">
        <v>5439</v>
      </c>
      <c r="B94" s="226" t="s">
        <v>6731</v>
      </c>
      <c r="C94" s="55" t="s">
        <v>11367</v>
      </c>
      <c r="D94" s="228">
        <v>0</v>
      </c>
      <c r="E94" s="228">
        <v>0</v>
      </c>
      <c r="F94" s="228">
        <v>0</v>
      </c>
      <c r="G94" s="63">
        <v>0</v>
      </c>
      <c r="H94" s="63">
        <v>0</v>
      </c>
      <c r="I94" s="63">
        <v>0</v>
      </c>
      <c r="J94" s="63">
        <v>3624</v>
      </c>
      <c r="K94" s="58">
        <v>3747</v>
      </c>
      <c r="L94" s="58">
        <v>3847</v>
      </c>
      <c r="M94" s="58">
        <v>3730</v>
      </c>
      <c r="N94" s="58">
        <v>3857</v>
      </c>
      <c r="O94" s="58">
        <v>3827</v>
      </c>
      <c r="Q94" s="226" t="s">
        <v>5911</v>
      </c>
    </row>
    <row r="95" spans="1:17">
      <c r="A95" s="226" t="s">
        <v>5441</v>
      </c>
      <c r="B95" s="226" t="s">
        <v>6414</v>
      </c>
      <c r="C95" s="55" t="s">
        <v>11368</v>
      </c>
      <c r="D95" s="228">
        <v>0</v>
      </c>
      <c r="E95" s="228">
        <v>0</v>
      </c>
      <c r="F95" s="228">
        <v>0</v>
      </c>
      <c r="G95" s="63">
        <v>0</v>
      </c>
      <c r="H95" s="63">
        <v>0</v>
      </c>
      <c r="I95" s="63">
        <v>0</v>
      </c>
      <c r="J95" s="63">
        <v>6192</v>
      </c>
      <c r="K95" s="58">
        <v>6385</v>
      </c>
      <c r="L95" s="58">
        <v>6670</v>
      </c>
      <c r="M95" s="58">
        <v>6451</v>
      </c>
      <c r="N95" s="58">
        <v>6645</v>
      </c>
      <c r="O95" s="58">
        <v>6598</v>
      </c>
      <c r="Q95" s="226" t="s">
        <v>5911</v>
      </c>
    </row>
    <row r="96" spans="1:17">
      <c r="A96" s="226" t="s">
        <v>5886</v>
      </c>
      <c r="B96" s="226" t="s">
        <v>6732</v>
      </c>
      <c r="C96" s="55" t="s">
        <v>11369</v>
      </c>
      <c r="D96" s="228">
        <v>0</v>
      </c>
      <c r="E96" s="228">
        <v>0</v>
      </c>
      <c r="F96" s="228">
        <v>0</v>
      </c>
      <c r="G96" s="63">
        <v>0</v>
      </c>
      <c r="H96" s="63">
        <v>0</v>
      </c>
      <c r="I96" s="63">
        <v>0</v>
      </c>
      <c r="J96" s="63">
        <v>4431</v>
      </c>
      <c r="K96" s="58">
        <v>4462</v>
      </c>
      <c r="L96" s="58">
        <v>4600</v>
      </c>
      <c r="M96" s="58">
        <v>4443</v>
      </c>
      <c r="N96" s="58">
        <v>4536</v>
      </c>
      <c r="O96" s="58">
        <v>4486</v>
      </c>
      <c r="Q96" s="226" t="s">
        <v>1556</v>
      </c>
    </row>
    <row r="97" spans="1:17">
      <c r="A97" s="226" t="s">
        <v>5888</v>
      </c>
      <c r="B97" s="226" t="s">
        <v>6733</v>
      </c>
      <c r="C97" s="55" t="s">
        <v>11370</v>
      </c>
      <c r="D97" s="228">
        <v>0</v>
      </c>
      <c r="E97" s="228">
        <v>0</v>
      </c>
      <c r="F97" s="228">
        <v>0</v>
      </c>
      <c r="G97" s="63">
        <v>0</v>
      </c>
      <c r="H97" s="63">
        <v>0</v>
      </c>
      <c r="I97" s="63">
        <v>0</v>
      </c>
      <c r="J97" s="63">
        <v>6650</v>
      </c>
      <c r="K97" s="58">
        <v>6651</v>
      </c>
      <c r="L97" s="58">
        <v>6838</v>
      </c>
      <c r="M97" s="58">
        <v>6688</v>
      </c>
      <c r="N97" s="58">
        <v>6823</v>
      </c>
      <c r="O97" s="58">
        <v>6795</v>
      </c>
      <c r="Q97" s="226" t="s">
        <v>1556</v>
      </c>
    </row>
    <row r="98" spans="1:17">
      <c r="A98" s="226" t="s">
        <v>5889</v>
      </c>
      <c r="B98" s="226" t="s">
        <v>6734</v>
      </c>
      <c r="C98" s="55" t="s">
        <v>11371</v>
      </c>
      <c r="D98" s="228">
        <v>0</v>
      </c>
      <c r="E98" s="228">
        <v>0</v>
      </c>
      <c r="F98" s="228">
        <v>0</v>
      </c>
      <c r="G98" s="63">
        <v>0</v>
      </c>
      <c r="H98" s="63">
        <v>0</v>
      </c>
      <c r="I98" s="63">
        <v>0</v>
      </c>
      <c r="J98" s="63">
        <v>4261</v>
      </c>
      <c r="K98" s="58">
        <v>4557</v>
      </c>
      <c r="L98" s="58">
        <v>4740</v>
      </c>
      <c r="M98" s="58">
        <v>4672</v>
      </c>
      <c r="N98" s="58">
        <v>4770</v>
      </c>
      <c r="O98" s="58">
        <v>4767</v>
      </c>
      <c r="Q98" s="226" t="s">
        <v>5911</v>
      </c>
    </row>
    <row r="99" spans="1:17">
      <c r="D99" s="229"/>
      <c r="E99" s="229"/>
      <c r="F99" s="229"/>
      <c r="G99" s="229"/>
      <c r="H99" s="229"/>
      <c r="I99" s="229"/>
      <c r="J99" s="229"/>
      <c r="K99" s="229"/>
      <c r="L99" s="229"/>
      <c r="M99" s="229"/>
      <c r="N99" s="229"/>
      <c r="O99" s="229"/>
    </row>
    <row r="100" spans="1:17">
      <c r="A100" s="226" t="s">
        <v>6735</v>
      </c>
      <c r="D100" s="228">
        <f t="shared" ref="D100:I100" si="66">SUM(D76:D78)+D83</f>
        <v>20693</v>
      </c>
      <c r="E100" s="228">
        <f t="shared" si="66"/>
        <v>20611</v>
      </c>
      <c r="F100" s="228">
        <f t="shared" si="66"/>
        <v>20506</v>
      </c>
      <c r="G100" s="228">
        <f t="shared" si="66"/>
        <v>20321</v>
      </c>
      <c r="H100" s="228">
        <f t="shared" si="66"/>
        <v>19443</v>
      </c>
      <c r="I100" s="228">
        <f t="shared" si="66"/>
        <v>20068</v>
      </c>
      <c r="J100" s="228">
        <f t="shared" ref="J100:O100" si="67">SUM(J76:J78)+J83</f>
        <v>20000</v>
      </c>
      <c r="K100" s="228">
        <f t="shared" si="67"/>
        <v>20916</v>
      </c>
      <c r="L100" s="228">
        <f t="shared" si="67"/>
        <v>21603</v>
      </c>
      <c r="M100" s="228">
        <f t="shared" si="67"/>
        <v>21396</v>
      </c>
      <c r="N100" s="228">
        <f t="shared" si="67"/>
        <v>22398</v>
      </c>
      <c r="O100" s="228">
        <f t="shared" si="67"/>
        <v>22364</v>
      </c>
    </row>
    <row r="101" spans="1:17">
      <c r="A101" s="226" t="s">
        <v>5911</v>
      </c>
      <c r="D101" s="228">
        <f t="shared" ref="D101:I101" si="68">D74+D75+SUM(D79:D82)+D86+D87+SUM(D89:D95)+D98</f>
        <v>71033</v>
      </c>
      <c r="E101" s="228">
        <f t="shared" si="68"/>
        <v>70535</v>
      </c>
      <c r="F101" s="228">
        <f t="shared" si="68"/>
        <v>70659</v>
      </c>
      <c r="G101" s="228">
        <f t="shared" si="68"/>
        <v>70161</v>
      </c>
      <c r="H101" s="228">
        <f t="shared" si="68"/>
        <v>69300</v>
      </c>
      <c r="I101" s="228">
        <f t="shared" si="68"/>
        <v>71042</v>
      </c>
      <c r="J101" s="228">
        <f t="shared" ref="J101:O101" si="69">J74+J75+SUM(J79:J82)+J86+J87+SUM(J89:J95)+J98</f>
        <v>72190</v>
      </c>
      <c r="K101" s="228">
        <f t="shared" si="69"/>
        <v>74372</v>
      </c>
      <c r="L101" s="228">
        <f t="shared" si="69"/>
        <v>76852</v>
      </c>
      <c r="M101" s="228">
        <f t="shared" si="69"/>
        <v>75401</v>
      </c>
      <c r="N101" s="228">
        <f t="shared" si="69"/>
        <v>77888</v>
      </c>
      <c r="O101" s="228">
        <f t="shared" si="69"/>
        <v>77566</v>
      </c>
      <c r="P101" s="228"/>
    </row>
    <row r="102" spans="1:17">
      <c r="A102" s="226" t="s">
        <v>6736</v>
      </c>
      <c r="D102" s="228">
        <f t="shared" ref="D102:I102" si="70">D84+D88+D96+D97</f>
        <v>21088</v>
      </c>
      <c r="E102" s="228">
        <f t="shared" si="70"/>
        <v>21023</v>
      </c>
      <c r="F102" s="228">
        <f t="shared" si="70"/>
        <v>20887</v>
      </c>
      <c r="G102" s="228">
        <f t="shared" si="70"/>
        <v>20849</v>
      </c>
      <c r="H102" s="228">
        <f t="shared" si="70"/>
        <v>20320</v>
      </c>
      <c r="I102" s="228">
        <f t="shared" si="70"/>
        <v>20649</v>
      </c>
      <c r="J102" s="228">
        <f t="shared" ref="J102:O102" si="71">J84+J88+J96+J97</f>
        <v>21003</v>
      </c>
      <c r="K102" s="228">
        <f t="shared" si="71"/>
        <v>21233</v>
      </c>
      <c r="L102" s="228">
        <f t="shared" si="71"/>
        <v>21783</v>
      </c>
      <c r="M102" s="228">
        <f t="shared" si="71"/>
        <v>21328</v>
      </c>
      <c r="N102" s="228">
        <f t="shared" si="71"/>
        <v>21841</v>
      </c>
      <c r="O102" s="228">
        <f t="shared" si="71"/>
        <v>21699</v>
      </c>
    </row>
    <row r="103" spans="1:17">
      <c r="A103" s="226"/>
      <c r="D103" s="228"/>
      <c r="E103" s="228"/>
      <c r="F103" s="228"/>
      <c r="G103" s="228"/>
      <c r="H103" s="228"/>
      <c r="I103" s="228"/>
      <c r="J103" s="228"/>
      <c r="K103" s="228"/>
      <c r="L103" s="228"/>
      <c r="M103" s="228"/>
      <c r="N103" s="228"/>
      <c r="O103" s="228"/>
    </row>
    <row r="104" spans="1:17">
      <c r="A104" s="226" t="s">
        <v>11372</v>
      </c>
      <c r="D104" s="228"/>
      <c r="E104" s="228"/>
      <c r="F104" s="228"/>
      <c r="G104" s="228"/>
      <c r="H104" s="228"/>
      <c r="I104" s="228"/>
      <c r="J104" s="228"/>
      <c r="K104" s="228"/>
      <c r="L104" s="228"/>
      <c r="M104" s="228"/>
      <c r="N104" s="228"/>
      <c r="O104" s="228"/>
    </row>
    <row r="105" spans="1:17">
      <c r="A105" s="226"/>
      <c r="B105" s="226"/>
      <c r="D105" s="233"/>
      <c r="E105" s="233"/>
      <c r="F105" s="233"/>
      <c r="G105" s="233"/>
      <c r="H105" s="233"/>
      <c r="I105" s="233"/>
      <c r="J105" s="233"/>
      <c r="K105" s="233"/>
      <c r="L105" s="233"/>
      <c r="M105" s="233"/>
      <c r="N105" s="233"/>
      <c r="O105" s="233"/>
    </row>
    <row r="106" spans="1:17">
      <c r="A106" s="226"/>
      <c r="B106" s="226"/>
      <c r="D106" s="233"/>
      <c r="E106" s="233"/>
      <c r="F106" s="233"/>
      <c r="G106" s="233"/>
      <c r="H106" s="233"/>
      <c r="I106" s="233"/>
      <c r="J106" s="233"/>
      <c r="K106" s="233"/>
      <c r="L106" s="233"/>
      <c r="M106" s="233"/>
      <c r="N106" s="233"/>
      <c r="O106" s="233"/>
    </row>
    <row r="107" spans="1:17">
      <c r="E107" s="51" t="s">
        <v>1526</v>
      </c>
      <c r="F107" s="51"/>
      <c r="G107" s="51"/>
      <c r="H107" s="51"/>
      <c r="I107" s="51"/>
      <c r="J107" s="51"/>
      <c r="K107" s="51"/>
      <c r="L107" s="51"/>
      <c r="M107" s="51"/>
      <c r="N107" s="51"/>
      <c r="O107" s="51"/>
      <c r="P107" s="173"/>
      <c r="Q107" s="173" t="s">
        <v>9479</v>
      </c>
    </row>
    <row r="108" spans="1:17">
      <c r="D108" s="227">
        <v>2010</v>
      </c>
      <c r="E108" s="227">
        <v>2011</v>
      </c>
      <c r="F108" s="227">
        <v>2012</v>
      </c>
      <c r="G108" s="227">
        <v>2013</v>
      </c>
      <c r="H108" s="227">
        <v>2014</v>
      </c>
      <c r="I108" s="227">
        <v>2015</v>
      </c>
      <c r="J108" s="227">
        <v>2016</v>
      </c>
      <c r="K108" s="227">
        <v>2017</v>
      </c>
      <c r="L108" s="227">
        <v>2018</v>
      </c>
      <c r="M108" s="227">
        <v>2019</v>
      </c>
      <c r="N108" s="227">
        <v>2020</v>
      </c>
      <c r="O108" s="927" t="s">
        <v>14823</v>
      </c>
      <c r="Q108" s="206" t="s">
        <v>1527</v>
      </c>
    </row>
    <row r="109" spans="1:17">
      <c r="A109" s="226" t="s">
        <v>6737</v>
      </c>
      <c r="D109" s="228">
        <f t="shared" ref="D109:M109" si="72">SUM(D110:D123,D125:D132)</f>
        <v>88831</v>
      </c>
      <c r="E109" s="228">
        <f t="shared" si="72"/>
        <v>89483</v>
      </c>
      <c r="F109" s="228">
        <f t="shared" si="72"/>
        <v>89912</v>
      </c>
      <c r="G109" s="228">
        <f t="shared" si="72"/>
        <v>91428</v>
      </c>
      <c r="H109" s="228">
        <f t="shared" si="72"/>
        <v>89884</v>
      </c>
      <c r="I109" s="228">
        <f t="shared" si="72"/>
        <v>88324</v>
      </c>
      <c r="J109" s="228">
        <f t="shared" si="72"/>
        <v>85960</v>
      </c>
      <c r="K109" s="228">
        <f t="shared" si="72"/>
        <v>90709</v>
      </c>
      <c r="L109" s="228">
        <f t="shared" si="72"/>
        <v>90973</v>
      </c>
      <c r="M109" s="228">
        <f t="shared" si="72"/>
        <v>89682</v>
      </c>
      <c r="N109" s="228">
        <f>SUM(N110:N123,N125:N132)</f>
        <v>90230</v>
      </c>
      <c r="O109" s="228">
        <f>SUM(O110:O123,O125:O132)</f>
        <v>93715</v>
      </c>
    </row>
    <row r="110" spans="1:17">
      <c r="A110" s="226" t="s">
        <v>5387</v>
      </c>
      <c r="B110" s="226" t="s">
        <v>12561</v>
      </c>
      <c r="C110" s="55" t="s">
        <v>14040</v>
      </c>
      <c r="D110" s="228">
        <v>81182</v>
      </c>
      <c r="E110" s="228">
        <v>81804</v>
      </c>
      <c r="F110" s="228">
        <v>82269</v>
      </c>
      <c r="G110" s="228">
        <v>83739</v>
      </c>
      <c r="H110" s="228">
        <v>82316</v>
      </c>
      <c r="I110" s="228">
        <v>80878</v>
      </c>
      <c r="J110" s="228">
        <v>78736</v>
      </c>
      <c r="K110" s="228">
        <v>83147</v>
      </c>
      <c r="L110" s="228">
        <v>83477</v>
      </c>
      <c r="M110" s="56">
        <v>1949</v>
      </c>
      <c r="N110" s="56">
        <v>2101</v>
      </c>
      <c r="O110" s="56">
        <v>2319</v>
      </c>
      <c r="Q110" s="226" t="s">
        <v>5912</v>
      </c>
    </row>
    <row r="111" spans="1:17">
      <c r="A111" s="226" t="s">
        <v>5389</v>
      </c>
      <c r="B111" s="226" t="s">
        <v>6738</v>
      </c>
      <c r="C111" s="55" t="s">
        <v>14041</v>
      </c>
      <c r="D111" s="228">
        <v>0</v>
      </c>
      <c r="E111" s="228">
        <v>0</v>
      </c>
      <c r="F111" s="228">
        <v>0</v>
      </c>
      <c r="G111" s="228">
        <v>0</v>
      </c>
      <c r="H111" s="228">
        <v>0</v>
      </c>
      <c r="I111" s="228">
        <v>0</v>
      </c>
      <c r="J111" s="228">
        <v>0</v>
      </c>
      <c r="K111" s="228">
        <v>0</v>
      </c>
      <c r="L111" s="228">
        <v>0</v>
      </c>
      <c r="M111" s="56">
        <v>4714</v>
      </c>
      <c r="N111" s="56">
        <v>4362</v>
      </c>
      <c r="O111" s="56">
        <v>4675</v>
      </c>
      <c r="Q111" s="226" t="s">
        <v>5912</v>
      </c>
    </row>
    <row r="112" spans="1:17">
      <c r="A112" s="226" t="s">
        <v>5391</v>
      </c>
      <c r="B112" s="226" t="s">
        <v>6739</v>
      </c>
      <c r="C112" s="55" t="s">
        <v>14042</v>
      </c>
      <c r="D112" s="228">
        <v>0</v>
      </c>
      <c r="E112" s="228">
        <v>0</v>
      </c>
      <c r="F112" s="228">
        <v>0</v>
      </c>
      <c r="G112" s="228">
        <v>0</v>
      </c>
      <c r="H112" s="228">
        <v>0</v>
      </c>
      <c r="I112" s="228">
        <v>0</v>
      </c>
      <c r="J112" s="228">
        <v>0</v>
      </c>
      <c r="K112" s="228">
        <v>0</v>
      </c>
      <c r="L112" s="228">
        <v>0</v>
      </c>
      <c r="M112" s="56">
        <v>4091</v>
      </c>
      <c r="N112" s="56">
        <v>4155</v>
      </c>
      <c r="O112" s="56">
        <v>4424</v>
      </c>
      <c r="Q112" s="226" t="s">
        <v>5912</v>
      </c>
    </row>
    <row r="113" spans="1:17">
      <c r="A113" s="226" t="s">
        <v>5393</v>
      </c>
      <c r="B113" s="226" t="s">
        <v>6740</v>
      </c>
      <c r="C113" s="55" t="s">
        <v>14043</v>
      </c>
      <c r="D113" s="228">
        <v>0</v>
      </c>
      <c r="E113" s="228">
        <v>0</v>
      </c>
      <c r="F113" s="228">
        <v>0</v>
      </c>
      <c r="G113" s="228">
        <v>0</v>
      </c>
      <c r="H113" s="228">
        <v>0</v>
      </c>
      <c r="I113" s="228">
        <v>0</v>
      </c>
      <c r="J113" s="228">
        <v>0</v>
      </c>
      <c r="K113" s="228">
        <v>0</v>
      </c>
      <c r="L113" s="228">
        <v>0</v>
      </c>
      <c r="M113" s="56">
        <v>4610</v>
      </c>
      <c r="N113" s="56">
        <v>4939</v>
      </c>
      <c r="O113" s="56">
        <v>5168</v>
      </c>
      <c r="Q113" s="226" t="s">
        <v>5912</v>
      </c>
    </row>
    <row r="114" spans="1:17">
      <c r="A114" s="226" t="s">
        <v>5394</v>
      </c>
      <c r="B114" s="226" t="s">
        <v>6741</v>
      </c>
      <c r="C114" s="55" t="s">
        <v>14044</v>
      </c>
      <c r="D114" s="228">
        <v>0</v>
      </c>
      <c r="E114" s="228">
        <v>0</v>
      </c>
      <c r="F114" s="228">
        <v>0</v>
      </c>
      <c r="G114" s="228">
        <v>0</v>
      </c>
      <c r="H114" s="228">
        <v>0</v>
      </c>
      <c r="I114" s="228">
        <v>0</v>
      </c>
      <c r="J114" s="228">
        <v>0</v>
      </c>
      <c r="K114" s="228">
        <v>0</v>
      </c>
      <c r="L114" s="228">
        <v>0</v>
      </c>
      <c r="M114" s="56">
        <v>4715</v>
      </c>
      <c r="N114" s="56">
        <v>4767</v>
      </c>
      <c r="O114" s="56">
        <v>4948</v>
      </c>
      <c r="Q114" s="226" t="s">
        <v>5912</v>
      </c>
    </row>
    <row r="115" spans="1:17">
      <c r="A115" s="226" t="s">
        <v>5416</v>
      </c>
      <c r="B115" s="226" t="s">
        <v>12562</v>
      </c>
      <c r="C115" s="55" t="s">
        <v>14045</v>
      </c>
      <c r="D115" s="228">
        <v>0</v>
      </c>
      <c r="E115" s="228">
        <v>0</v>
      </c>
      <c r="F115" s="228">
        <v>0</v>
      </c>
      <c r="G115" s="228">
        <v>0</v>
      </c>
      <c r="H115" s="228">
        <v>0</v>
      </c>
      <c r="I115" s="228">
        <v>0</v>
      </c>
      <c r="J115" s="228">
        <v>0</v>
      </c>
      <c r="K115" s="228">
        <v>0</v>
      </c>
      <c r="L115" s="228">
        <v>0</v>
      </c>
      <c r="M115" s="56">
        <v>2295</v>
      </c>
      <c r="N115" s="56">
        <v>2317</v>
      </c>
      <c r="O115" s="56">
        <v>2408</v>
      </c>
      <c r="Q115" s="226" t="s">
        <v>5912</v>
      </c>
    </row>
    <row r="116" spans="1:17">
      <c r="A116" s="226" t="s">
        <v>5418</v>
      </c>
      <c r="B116" s="226" t="s">
        <v>12563</v>
      </c>
      <c r="C116" s="55" t="s">
        <v>14046</v>
      </c>
      <c r="D116" s="228">
        <v>0</v>
      </c>
      <c r="E116" s="228">
        <v>0</v>
      </c>
      <c r="F116" s="228">
        <v>0</v>
      </c>
      <c r="G116" s="228">
        <v>0</v>
      </c>
      <c r="H116" s="228">
        <v>0</v>
      </c>
      <c r="I116" s="228">
        <v>0</v>
      </c>
      <c r="J116" s="228">
        <v>0</v>
      </c>
      <c r="K116" s="228">
        <v>0</v>
      </c>
      <c r="L116" s="228">
        <v>0</v>
      </c>
      <c r="M116" s="56">
        <v>5014</v>
      </c>
      <c r="N116" s="56">
        <v>5000</v>
      </c>
      <c r="O116" s="56">
        <v>5137</v>
      </c>
      <c r="Q116" s="226" t="s">
        <v>5912</v>
      </c>
    </row>
    <row r="117" spans="1:17">
      <c r="A117" s="226" t="s">
        <v>5420</v>
      </c>
      <c r="B117" s="226" t="s">
        <v>12558</v>
      </c>
      <c r="C117" s="55" t="s">
        <v>14047</v>
      </c>
      <c r="D117" s="228">
        <v>7649</v>
      </c>
      <c r="E117" s="228">
        <v>7679</v>
      </c>
      <c r="F117" s="228">
        <v>7643</v>
      </c>
      <c r="G117" s="228">
        <v>7689</v>
      </c>
      <c r="H117" s="228">
        <v>7568</v>
      </c>
      <c r="I117" s="228">
        <v>7446</v>
      </c>
      <c r="J117" s="228">
        <v>7224</v>
      </c>
      <c r="K117" s="228">
        <v>7562</v>
      </c>
      <c r="L117" s="228">
        <v>7496</v>
      </c>
      <c r="M117" s="56">
        <v>2527</v>
      </c>
      <c r="N117" s="56">
        <v>2556</v>
      </c>
      <c r="O117" s="56">
        <v>2666</v>
      </c>
      <c r="Q117" s="226" t="s">
        <v>6021</v>
      </c>
    </row>
    <row r="118" spans="1:17">
      <c r="A118" s="226" t="s">
        <v>5422</v>
      </c>
      <c r="B118" s="226" t="s">
        <v>12564</v>
      </c>
      <c r="C118" s="55" t="s">
        <v>14048</v>
      </c>
      <c r="D118" s="228">
        <v>0</v>
      </c>
      <c r="E118" s="228">
        <v>0</v>
      </c>
      <c r="F118" s="228">
        <v>0</v>
      </c>
      <c r="G118" s="228">
        <v>0</v>
      </c>
      <c r="H118" s="228">
        <v>0</v>
      </c>
      <c r="I118" s="228">
        <v>0</v>
      </c>
      <c r="J118" s="228">
        <v>0</v>
      </c>
      <c r="K118" s="228">
        <v>0</v>
      </c>
      <c r="L118" s="228">
        <v>0</v>
      </c>
      <c r="M118" s="56">
        <v>2425</v>
      </c>
      <c r="N118" s="56">
        <v>2431</v>
      </c>
      <c r="O118" s="56">
        <v>2530</v>
      </c>
      <c r="Q118" s="226" t="s">
        <v>5912</v>
      </c>
    </row>
    <row r="119" spans="1:17">
      <c r="A119" s="226" t="s">
        <v>5424</v>
      </c>
      <c r="B119" s="226" t="s">
        <v>12565</v>
      </c>
      <c r="C119" s="55" t="s">
        <v>14049</v>
      </c>
      <c r="D119" s="228">
        <v>0</v>
      </c>
      <c r="E119" s="228">
        <v>0</v>
      </c>
      <c r="F119" s="228">
        <v>0</v>
      </c>
      <c r="G119" s="228">
        <v>0</v>
      </c>
      <c r="H119" s="228">
        <v>0</v>
      </c>
      <c r="I119" s="228">
        <v>0</v>
      </c>
      <c r="J119" s="228">
        <v>0</v>
      </c>
      <c r="K119" s="228">
        <v>0</v>
      </c>
      <c r="L119" s="228">
        <v>0</v>
      </c>
      <c r="M119" s="56">
        <v>8018</v>
      </c>
      <c r="N119" s="56">
        <v>8061</v>
      </c>
      <c r="O119" s="56">
        <v>8293</v>
      </c>
      <c r="Q119" s="226" t="s">
        <v>5912</v>
      </c>
    </row>
    <row r="120" spans="1:17">
      <c r="A120" s="226" t="s">
        <v>5426</v>
      </c>
      <c r="B120" s="226" t="s">
        <v>12566</v>
      </c>
      <c r="C120" s="55" t="s">
        <v>14050</v>
      </c>
      <c r="D120" s="228">
        <v>0</v>
      </c>
      <c r="E120" s="228">
        <v>0</v>
      </c>
      <c r="F120" s="228">
        <v>0</v>
      </c>
      <c r="G120" s="228">
        <v>0</v>
      </c>
      <c r="H120" s="228">
        <v>0</v>
      </c>
      <c r="I120" s="228">
        <v>0</v>
      </c>
      <c r="J120" s="228">
        <v>0</v>
      </c>
      <c r="K120" s="228">
        <v>0</v>
      </c>
      <c r="L120" s="228">
        <v>0</v>
      </c>
      <c r="M120" s="56">
        <v>2884</v>
      </c>
      <c r="N120" s="56">
        <v>2848</v>
      </c>
      <c r="O120" s="56">
        <v>2918</v>
      </c>
      <c r="Q120" s="226" t="s">
        <v>5912</v>
      </c>
    </row>
    <row r="121" spans="1:17">
      <c r="A121" s="226" t="s">
        <v>5428</v>
      </c>
      <c r="B121" s="226" t="s">
        <v>12567</v>
      </c>
      <c r="C121" s="55" t="s">
        <v>14051</v>
      </c>
      <c r="D121" s="228">
        <v>0</v>
      </c>
      <c r="E121" s="228">
        <v>0</v>
      </c>
      <c r="F121" s="228">
        <v>0</v>
      </c>
      <c r="G121" s="228">
        <v>0</v>
      </c>
      <c r="H121" s="228">
        <v>0</v>
      </c>
      <c r="I121" s="228">
        <v>0</v>
      </c>
      <c r="J121" s="228">
        <v>0</v>
      </c>
      <c r="K121" s="228">
        <v>0</v>
      </c>
      <c r="L121" s="228">
        <v>0</v>
      </c>
      <c r="M121" s="56">
        <v>2506</v>
      </c>
      <c r="N121" s="56">
        <v>2569</v>
      </c>
      <c r="O121" s="56">
        <v>2642</v>
      </c>
      <c r="Q121" s="226" t="s">
        <v>5912</v>
      </c>
    </row>
    <row r="122" spans="1:17">
      <c r="A122" s="226" t="s">
        <v>5429</v>
      </c>
      <c r="B122" s="226" t="s">
        <v>12559</v>
      </c>
      <c r="C122" s="55" t="s">
        <v>14052</v>
      </c>
      <c r="D122" s="228">
        <v>0</v>
      </c>
      <c r="E122" s="228">
        <v>0</v>
      </c>
      <c r="F122" s="228">
        <v>0</v>
      </c>
      <c r="G122" s="228">
        <v>0</v>
      </c>
      <c r="H122" s="228">
        <v>0</v>
      </c>
      <c r="I122" s="228">
        <v>0</v>
      </c>
      <c r="J122" s="228">
        <v>0</v>
      </c>
      <c r="K122" s="228">
        <v>0</v>
      </c>
      <c r="L122" s="228">
        <v>0</v>
      </c>
      <c r="M122" s="56">
        <v>2110</v>
      </c>
      <c r="N122" s="56">
        <v>2088</v>
      </c>
      <c r="O122" s="56">
        <v>2168</v>
      </c>
      <c r="Q122" s="226" t="s">
        <v>6021</v>
      </c>
    </row>
    <row r="123" spans="1:17" ht="15.75" thickBot="1">
      <c r="A123" s="226"/>
      <c r="B123" s="226"/>
      <c r="C123" s="55" t="s">
        <v>14052</v>
      </c>
      <c r="D123" s="228">
        <v>0</v>
      </c>
      <c r="E123" s="228">
        <v>0</v>
      </c>
      <c r="F123" s="228">
        <v>0</v>
      </c>
      <c r="G123" s="228">
        <v>0</v>
      </c>
      <c r="H123" s="228">
        <v>0</v>
      </c>
      <c r="I123" s="228">
        <v>0</v>
      </c>
      <c r="J123" s="228">
        <v>0</v>
      </c>
      <c r="K123" s="228">
        <v>0</v>
      </c>
      <c r="L123" s="228">
        <v>0</v>
      </c>
      <c r="M123" s="58">
        <v>3391</v>
      </c>
      <c r="N123" s="58">
        <v>3463</v>
      </c>
      <c r="O123" s="58">
        <v>3527</v>
      </c>
      <c r="Q123" s="226" t="s">
        <v>5912</v>
      </c>
    </row>
    <row r="124" spans="1:17" ht="15.75" thickBot="1">
      <c r="A124" s="226"/>
      <c r="B124" s="226"/>
      <c r="C124" s="55" t="s">
        <v>14052</v>
      </c>
      <c r="D124" s="234">
        <f>D122+D123</f>
        <v>0</v>
      </c>
      <c r="E124" s="234">
        <f t="shared" ref="E124:N124" si="73">E122+E123</f>
        <v>0</v>
      </c>
      <c r="F124" s="234">
        <f t="shared" si="73"/>
        <v>0</v>
      </c>
      <c r="G124" s="234">
        <f t="shared" si="73"/>
        <v>0</v>
      </c>
      <c r="H124" s="234">
        <f t="shared" si="73"/>
        <v>0</v>
      </c>
      <c r="I124" s="234">
        <f t="shared" si="73"/>
        <v>0</v>
      </c>
      <c r="J124" s="234">
        <f t="shared" si="73"/>
        <v>0</v>
      </c>
      <c r="K124" s="234">
        <f t="shared" si="73"/>
        <v>0</v>
      </c>
      <c r="L124" s="234">
        <f t="shared" si="73"/>
        <v>0</v>
      </c>
      <c r="M124" s="234">
        <f t="shared" si="73"/>
        <v>5501</v>
      </c>
      <c r="N124" s="234">
        <f t="shared" si="73"/>
        <v>5551</v>
      </c>
      <c r="O124" s="234">
        <f>O122+O123</f>
        <v>5695</v>
      </c>
      <c r="Q124" s="226"/>
    </row>
    <row r="125" spans="1:17">
      <c r="A125" s="235" t="s">
        <v>5431</v>
      </c>
      <c r="B125" s="226" t="s">
        <v>12568</v>
      </c>
      <c r="C125" s="55" t="s">
        <v>14053</v>
      </c>
      <c r="D125" s="228">
        <v>0</v>
      </c>
      <c r="E125" s="228">
        <v>0</v>
      </c>
      <c r="F125" s="228">
        <v>0</v>
      </c>
      <c r="G125" s="228">
        <v>0</v>
      </c>
      <c r="H125" s="228">
        <v>0</v>
      </c>
      <c r="I125" s="228">
        <v>0</v>
      </c>
      <c r="J125" s="228">
        <v>0</v>
      </c>
      <c r="K125" s="228">
        <v>0</v>
      </c>
      <c r="L125" s="228">
        <v>0</v>
      </c>
      <c r="M125" s="58">
        <v>5493</v>
      </c>
      <c r="N125" s="58">
        <v>5485</v>
      </c>
      <c r="O125" s="58">
        <v>5681</v>
      </c>
      <c r="Q125" s="226" t="s">
        <v>5912</v>
      </c>
    </row>
    <row r="126" spans="1:17">
      <c r="A126" s="226" t="s">
        <v>5433</v>
      </c>
      <c r="B126" s="226" t="s">
        <v>12569</v>
      </c>
      <c r="C126" s="55" t="s">
        <v>14054</v>
      </c>
      <c r="D126" s="228">
        <v>0</v>
      </c>
      <c r="E126" s="228">
        <v>0</v>
      </c>
      <c r="F126" s="228">
        <v>0</v>
      </c>
      <c r="G126" s="228">
        <v>0</v>
      </c>
      <c r="H126" s="228">
        <v>0</v>
      </c>
      <c r="I126" s="228">
        <v>0</v>
      </c>
      <c r="J126" s="228">
        <v>0</v>
      </c>
      <c r="K126" s="228">
        <v>0</v>
      </c>
      <c r="L126" s="228">
        <v>0</v>
      </c>
      <c r="M126" s="58">
        <v>4839</v>
      </c>
      <c r="N126" s="58">
        <v>4992</v>
      </c>
      <c r="O126" s="58">
        <v>5217</v>
      </c>
      <c r="Q126" s="226" t="s">
        <v>5912</v>
      </c>
    </row>
    <row r="127" spans="1:17">
      <c r="A127" s="226" t="s">
        <v>5435</v>
      </c>
      <c r="B127" s="226" t="s">
        <v>12560</v>
      </c>
      <c r="C127" s="55" t="s">
        <v>14055</v>
      </c>
      <c r="D127" s="228">
        <v>0</v>
      </c>
      <c r="E127" s="228">
        <v>0</v>
      </c>
      <c r="F127" s="228">
        <v>0</v>
      </c>
      <c r="G127" s="228">
        <v>0</v>
      </c>
      <c r="H127" s="228">
        <v>0</v>
      </c>
      <c r="I127" s="228">
        <v>0</v>
      </c>
      <c r="J127" s="228">
        <v>0</v>
      </c>
      <c r="K127" s="228">
        <v>0</v>
      </c>
      <c r="L127" s="228">
        <v>0</v>
      </c>
      <c r="M127" s="58">
        <v>2740</v>
      </c>
      <c r="N127" s="58">
        <v>2723</v>
      </c>
      <c r="O127" s="58">
        <v>2773</v>
      </c>
      <c r="Q127" s="226" t="s">
        <v>6021</v>
      </c>
    </row>
    <row r="128" spans="1:17">
      <c r="A128" s="226" t="s">
        <v>5436</v>
      </c>
      <c r="B128" s="226" t="s">
        <v>6661</v>
      </c>
      <c r="C128" s="55" t="s">
        <v>14056</v>
      </c>
      <c r="D128" s="228">
        <v>0</v>
      </c>
      <c r="E128" s="228">
        <v>0</v>
      </c>
      <c r="F128" s="228">
        <v>0</v>
      </c>
      <c r="G128" s="228">
        <v>0</v>
      </c>
      <c r="H128" s="228">
        <v>0</v>
      </c>
      <c r="I128" s="228">
        <v>0</v>
      </c>
      <c r="J128" s="228">
        <v>0</v>
      </c>
      <c r="K128" s="228">
        <v>0</v>
      </c>
      <c r="L128" s="228">
        <v>0</v>
      </c>
      <c r="M128" s="56">
        <v>4760</v>
      </c>
      <c r="N128" s="56">
        <v>4784</v>
      </c>
      <c r="O128" s="56">
        <v>4887</v>
      </c>
      <c r="Q128" s="226" t="s">
        <v>5912</v>
      </c>
    </row>
    <row r="129" spans="1:17">
      <c r="A129" s="226" t="s">
        <v>5437</v>
      </c>
      <c r="B129" s="226" t="s">
        <v>12570</v>
      </c>
      <c r="C129" s="55" t="s">
        <v>14057</v>
      </c>
      <c r="D129" s="228">
        <v>0</v>
      </c>
      <c r="E129" s="228">
        <v>0</v>
      </c>
      <c r="F129" s="228">
        <v>0</v>
      </c>
      <c r="G129" s="228">
        <v>0</v>
      </c>
      <c r="H129" s="228">
        <v>0</v>
      </c>
      <c r="I129" s="228">
        <v>0</v>
      </c>
      <c r="J129" s="228">
        <v>0</v>
      </c>
      <c r="K129" s="228">
        <v>0</v>
      </c>
      <c r="L129" s="228">
        <v>0</v>
      </c>
      <c r="M129" s="58">
        <v>4719</v>
      </c>
      <c r="N129" s="58">
        <v>4609</v>
      </c>
      <c r="O129" s="58">
        <v>4765</v>
      </c>
      <c r="Q129" s="226" t="s">
        <v>5912</v>
      </c>
    </row>
    <row r="130" spans="1:17">
      <c r="A130" s="226" t="s">
        <v>5439</v>
      </c>
      <c r="B130" s="226" t="s">
        <v>6662</v>
      </c>
      <c r="C130" s="55" t="s">
        <v>14058</v>
      </c>
      <c r="D130" s="228">
        <v>0</v>
      </c>
      <c r="E130" s="228">
        <v>0</v>
      </c>
      <c r="F130" s="228">
        <v>0</v>
      </c>
      <c r="G130" s="228">
        <v>0</v>
      </c>
      <c r="H130" s="228">
        <v>0</v>
      </c>
      <c r="I130" s="228">
        <v>0</v>
      </c>
      <c r="J130" s="228">
        <v>0</v>
      </c>
      <c r="K130" s="228">
        <v>0</v>
      </c>
      <c r="L130" s="228">
        <v>0</v>
      </c>
      <c r="M130" s="58">
        <v>5261</v>
      </c>
      <c r="N130" s="58">
        <v>5312</v>
      </c>
      <c r="O130" s="58">
        <v>5500</v>
      </c>
      <c r="Q130" s="226" t="s">
        <v>5912</v>
      </c>
    </row>
    <row r="131" spans="1:17">
      <c r="A131" s="226" t="s">
        <v>5441</v>
      </c>
      <c r="B131" s="226" t="s">
        <v>12571</v>
      </c>
      <c r="C131" s="55" t="s">
        <v>14059</v>
      </c>
      <c r="D131" s="228">
        <v>0</v>
      </c>
      <c r="E131" s="228">
        <v>0</v>
      </c>
      <c r="F131" s="228">
        <v>0</v>
      </c>
      <c r="G131" s="228">
        <v>0</v>
      </c>
      <c r="H131" s="228">
        <v>0</v>
      </c>
      <c r="I131" s="228">
        <v>0</v>
      </c>
      <c r="J131" s="228">
        <v>0</v>
      </c>
      <c r="K131" s="228">
        <v>0</v>
      </c>
      <c r="L131" s="228">
        <v>0</v>
      </c>
      <c r="M131" s="58">
        <v>7938</v>
      </c>
      <c r="N131" s="58">
        <v>7986</v>
      </c>
      <c r="O131" s="58">
        <v>8316</v>
      </c>
      <c r="Q131" s="226" t="s">
        <v>5912</v>
      </c>
    </row>
    <row r="132" spans="1:17">
      <c r="A132" s="226" t="s">
        <v>5886</v>
      </c>
      <c r="B132" s="226" t="s">
        <v>12572</v>
      </c>
      <c r="C132" s="55" t="s">
        <v>14060</v>
      </c>
      <c r="D132" s="228">
        <v>0</v>
      </c>
      <c r="E132" s="228">
        <v>0</v>
      </c>
      <c r="F132" s="228">
        <v>0</v>
      </c>
      <c r="G132" s="228">
        <v>0</v>
      </c>
      <c r="H132" s="228">
        <v>0</v>
      </c>
      <c r="I132" s="228">
        <v>0</v>
      </c>
      <c r="J132" s="228">
        <v>0</v>
      </c>
      <c r="K132" s="228">
        <v>0</v>
      </c>
      <c r="L132" s="228">
        <v>0</v>
      </c>
      <c r="M132" s="58">
        <v>2683</v>
      </c>
      <c r="N132" s="58">
        <v>2682</v>
      </c>
      <c r="O132" s="58">
        <v>2753</v>
      </c>
      <c r="Q132" s="226" t="s">
        <v>5912</v>
      </c>
    </row>
    <row r="133" spans="1:17">
      <c r="D133" s="229"/>
      <c r="E133" s="229"/>
      <c r="F133" s="229"/>
      <c r="G133" s="229"/>
      <c r="H133" s="229"/>
      <c r="I133" s="229"/>
      <c r="J133" s="229"/>
      <c r="K133" s="229"/>
      <c r="L133" s="229"/>
      <c r="M133" s="229"/>
      <c r="N133" s="229"/>
      <c r="O133" s="229"/>
    </row>
    <row r="134" spans="1:17">
      <c r="A134" s="226" t="s">
        <v>6735</v>
      </c>
      <c r="D134" s="228">
        <f t="shared" ref="D134:L134" si="74">SUM(D117,D122,D127)</f>
        <v>7649</v>
      </c>
      <c r="E134" s="228">
        <f t="shared" si="74"/>
        <v>7679</v>
      </c>
      <c r="F134" s="228">
        <f t="shared" si="74"/>
        <v>7643</v>
      </c>
      <c r="G134" s="228">
        <f t="shared" si="74"/>
        <v>7689</v>
      </c>
      <c r="H134" s="228">
        <f t="shared" si="74"/>
        <v>7568</v>
      </c>
      <c r="I134" s="228">
        <f t="shared" si="74"/>
        <v>7446</v>
      </c>
      <c r="J134" s="228">
        <f t="shared" si="74"/>
        <v>7224</v>
      </c>
      <c r="K134" s="228">
        <f t="shared" si="74"/>
        <v>7562</v>
      </c>
      <c r="L134" s="228">
        <f t="shared" si="74"/>
        <v>7496</v>
      </c>
      <c r="M134" s="228">
        <f>SUM(M117,M122,M127)</f>
        <v>7377</v>
      </c>
      <c r="N134" s="228">
        <f>SUM(N117,N122,N127)</f>
        <v>7367</v>
      </c>
      <c r="O134" s="228">
        <f>SUM(O117,O122,O127)</f>
        <v>7607</v>
      </c>
    </row>
    <row r="135" spans="1:17">
      <c r="A135" s="226" t="s">
        <v>5912</v>
      </c>
      <c r="D135" s="228">
        <f>SUM(D110:D116,D118:D121,D123:D126,D128:D132)</f>
        <v>81182</v>
      </c>
      <c r="E135" s="228">
        <f t="shared" ref="E135:M135" si="75">SUM(E110:E116,E118:E121,E123,E125:E126,E128:E132)</f>
        <v>81804</v>
      </c>
      <c r="F135" s="228">
        <f t="shared" si="75"/>
        <v>82269</v>
      </c>
      <c r="G135" s="228">
        <f t="shared" si="75"/>
        <v>83739</v>
      </c>
      <c r="H135" s="228">
        <f t="shared" si="75"/>
        <v>82316</v>
      </c>
      <c r="I135" s="228">
        <f t="shared" si="75"/>
        <v>80878</v>
      </c>
      <c r="J135" s="228">
        <f t="shared" si="75"/>
        <v>78736</v>
      </c>
      <c r="K135" s="228">
        <f t="shared" si="75"/>
        <v>83147</v>
      </c>
      <c r="L135" s="228">
        <f t="shared" si="75"/>
        <v>83477</v>
      </c>
      <c r="M135" s="228">
        <f t="shared" si="75"/>
        <v>82305</v>
      </c>
      <c r="N135" s="228">
        <f>SUM(N110:N116,N118:N121,N123,N125:N126,N128:N132)</f>
        <v>82863</v>
      </c>
      <c r="O135" s="228">
        <f>SUM(O110:O116,O118:O121,O123,O125:O126,O128:O132)</f>
        <v>86108</v>
      </c>
    </row>
    <row r="136" spans="1:17">
      <c r="A136" s="226"/>
      <c r="D136" s="228"/>
      <c r="E136" s="228"/>
      <c r="F136" s="228"/>
      <c r="G136" s="228"/>
      <c r="H136" s="228"/>
      <c r="I136" s="228"/>
      <c r="J136" s="228"/>
      <c r="K136" s="228"/>
      <c r="L136" s="228"/>
      <c r="M136" s="228"/>
      <c r="N136" s="228"/>
      <c r="O136" s="228"/>
    </row>
    <row r="137" spans="1:17">
      <c r="A137" s="226" t="s">
        <v>12573</v>
      </c>
      <c r="D137" s="228"/>
      <c r="E137" s="228"/>
      <c r="F137" s="228"/>
      <c r="G137" s="228"/>
      <c r="H137" s="228"/>
      <c r="I137" s="228"/>
      <c r="J137" s="228"/>
      <c r="K137" s="228"/>
      <c r="L137" s="228"/>
      <c r="M137" s="228"/>
      <c r="N137" s="228"/>
      <c r="O137" s="228"/>
    </row>
    <row r="138" spans="1:17">
      <c r="A138" s="226"/>
      <c r="B138" s="226"/>
      <c r="D138" s="233"/>
      <c r="E138" s="233"/>
      <c r="F138" s="233"/>
      <c r="G138" s="233"/>
      <c r="H138" s="233"/>
      <c r="I138" s="233"/>
      <c r="J138" s="233"/>
      <c r="K138" s="233"/>
      <c r="L138" s="233"/>
      <c r="M138" s="233"/>
      <c r="N138" s="233"/>
      <c r="O138" s="233"/>
    </row>
    <row r="139" spans="1:17">
      <c r="A139" s="226"/>
      <c r="B139" s="226"/>
      <c r="D139" s="233"/>
      <c r="E139" s="233"/>
      <c r="F139" s="233"/>
      <c r="G139" s="233"/>
      <c r="H139" s="233"/>
      <c r="I139" s="233"/>
      <c r="J139" s="233"/>
      <c r="K139" s="233"/>
      <c r="L139" s="233"/>
      <c r="M139" s="233"/>
      <c r="N139" s="233"/>
      <c r="O139" s="233"/>
    </row>
    <row r="140" spans="1:17">
      <c r="E140" s="51" t="s">
        <v>1526</v>
      </c>
      <c r="F140" s="51"/>
      <c r="G140" s="51"/>
      <c r="H140" s="51"/>
      <c r="I140" s="51"/>
      <c r="J140" s="51"/>
      <c r="K140" s="51"/>
      <c r="L140" s="51"/>
      <c r="M140" s="51"/>
      <c r="N140" s="51"/>
      <c r="O140" s="51"/>
      <c r="P140" s="173"/>
      <c r="Q140" s="173" t="s">
        <v>9479</v>
      </c>
    </row>
    <row r="141" spans="1:17">
      <c r="D141" s="227">
        <v>2010</v>
      </c>
      <c r="E141" s="227">
        <v>2011</v>
      </c>
      <c r="F141" s="227">
        <v>2012</v>
      </c>
      <c r="G141" s="227">
        <v>2013</v>
      </c>
      <c r="H141" s="227">
        <v>2014</v>
      </c>
      <c r="I141" s="227">
        <v>2015</v>
      </c>
      <c r="J141" s="227">
        <v>2016</v>
      </c>
      <c r="K141" s="227">
        <v>2017</v>
      </c>
      <c r="L141" s="227">
        <v>2018</v>
      </c>
      <c r="M141" s="227">
        <v>2019</v>
      </c>
      <c r="N141" s="227">
        <v>2020</v>
      </c>
      <c r="O141" s="927" t="s">
        <v>14823</v>
      </c>
      <c r="Q141" s="206" t="s">
        <v>1527</v>
      </c>
    </row>
    <row r="142" spans="1:17">
      <c r="A142" s="226" t="s">
        <v>6011</v>
      </c>
      <c r="D142" s="228">
        <f t="shared" ref="D142:N142" si="76">SUM(D143:D155)</f>
        <v>72024</v>
      </c>
      <c r="E142" s="228">
        <f t="shared" si="76"/>
        <v>71793</v>
      </c>
      <c r="F142" s="228">
        <f t="shared" si="76"/>
        <v>73935</v>
      </c>
      <c r="G142" s="228">
        <f t="shared" si="76"/>
        <v>74610</v>
      </c>
      <c r="H142" s="228">
        <f t="shared" si="76"/>
        <v>74369</v>
      </c>
      <c r="I142" s="228">
        <f t="shared" si="76"/>
        <v>72424</v>
      </c>
      <c r="J142" s="228">
        <f t="shared" si="76"/>
        <v>70578</v>
      </c>
      <c r="K142" s="228">
        <f t="shared" si="76"/>
        <v>71455</v>
      </c>
      <c r="L142" s="228">
        <f t="shared" si="76"/>
        <v>72499</v>
      </c>
      <c r="M142" s="228">
        <f t="shared" si="76"/>
        <v>72199</v>
      </c>
      <c r="N142" s="228">
        <f t="shared" si="76"/>
        <v>74712</v>
      </c>
      <c r="O142" s="228">
        <f>SUM(O143:O155)</f>
        <v>74446</v>
      </c>
    </row>
    <row r="143" spans="1:17">
      <c r="A143" s="226" t="s">
        <v>5387</v>
      </c>
      <c r="B143" s="226" t="s">
        <v>12773</v>
      </c>
      <c r="C143" s="55" t="s">
        <v>12772</v>
      </c>
      <c r="D143" s="228">
        <v>72024</v>
      </c>
      <c r="E143" s="228">
        <v>71793</v>
      </c>
      <c r="F143" s="228">
        <v>73935</v>
      </c>
      <c r="G143" s="63">
        <v>74610</v>
      </c>
      <c r="H143" s="63">
        <v>74369</v>
      </c>
      <c r="I143" s="63">
        <v>72424</v>
      </c>
      <c r="J143" s="56">
        <v>70578</v>
      </c>
      <c r="K143" s="56">
        <v>71455</v>
      </c>
      <c r="L143" s="56">
        <v>72499</v>
      </c>
      <c r="M143" s="56">
        <v>72199</v>
      </c>
      <c r="N143" s="56">
        <v>6502</v>
      </c>
      <c r="O143" s="56">
        <v>6486</v>
      </c>
      <c r="Q143" s="226" t="s">
        <v>5913</v>
      </c>
    </row>
    <row r="144" spans="1:17">
      <c r="A144" s="226" t="s">
        <v>5389</v>
      </c>
      <c r="B144" s="226" t="s">
        <v>10842</v>
      </c>
      <c r="C144" s="55" t="s">
        <v>12774</v>
      </c>
      <c r="D144" s="228">
        <v>0</v>
      </c>
      <c r="E144" s="228">
        <v>0</v>
      </c>
      <c r="F144" s="228">
        <v>0</v>
      </c>
      <c r="G144" s="228">
        <v>0</v>
      </c>
      <c r="H144" s="228">
        <v>0</v>
      </c>
      <c r="I144" s="228">
        <v>0</v>
      </c>
      <c r="J144" s="228">
        <v>0</v>
      </c>
      <c r="K144" s="228">
        <v>0</v>
      </c>
      <c r="L144" s="228">
        <v>0</v>
      </c>
      <c r="M144" s="228">
        <v>0</v>
      </c>
      <c r="N144" s="56">
        <v>6566</v>
      </c>
      <c r="O144" s="56">
        <v>6553</v>
      </c>
      <c r="Q144" s="226" t="s">
        <v>5913</v>
      </c>
    </row>
    <row r="145" spans="1:17">
      <c r="A145" s="226" t="s">
        <v>5391</v>
      </c>
      <c r="B145" s="226" t="s">
        <v>5991</v>
      </c>
      <c r="C145" s="55" t="s">
        <v>12775</v>
      </c>
      <c r="D145" s="228">
        <v>0</v>
      </c>
      <c r="E145" s="228">
        <v>0</v>
      </c>
      <c r="F145" s="228">
        <v>0</v>
      </c>
      <c r="G145" s="228">
        <v>0</v>
      </c>
      <c r="H145" s="228">
        <v>0</v>
      </c>
      <c r="I145" s="228">
        <v>0</v>
      </c>
      <c r="J145" s="228">
        <v>0</v>
      </c>
      <c r="K145" s="228">
        <v>0</v>
      </c>
      <c r="L145" s="228">
        <v>0</v>
      </c>
      <c r="M145" s="228">
        <v>0</v>
      </c>
      <c r="N145" s="56">
        <v>4342</v>
      </c>
      <c r="O145" s="56">
        <v>4333</v>
      </c>
      <c r="Q145" s="226" t="s">
        <v>5913</v>
      </c>
    </row>
    <row r="146" spans="1:17">
      <c r="A146" s="226" t="s">
        <v>5393</v>
      </c>
      <c r="B146" s="226" t="s">
        <v>12777</v>
      </c>
      <c r="C146" s="55" t="s">
        <v>12776</v>
      </c>
      <c r="D146" s="228">
        <v>0</v>
      </c>
      <c r="E146" s="228">
        <v>0</v>
      </c>
      <c r="F146" s="228">
        <v>0</v>
      </c>
      <c r="G146" s="228">
        <v>0</v>
      </c>
      <c r="H146" s="228">
        <v>0</v>
      </c>
      <c r="I146" s="228">
        <v>0</v>
      </c>
      <c r="J146" s="228">
        <v>0</v>
      </c>
      <c r="K146" s="228">
        <v>0</v>
      </c>
      <c r="L146" s="228">
        <v>0</v>
      </c>
      <c r="M146" s="228">
        <v>0</v>
      </c>
      <c r="N146" s="56">
        <v>4536</v>
      </c>
      <c r="O146" s="56">
        <v>4524</v>
      </c>
      <c r="Q146" s="226" t="s">
        <v>5913</v>
      </c>
    </row>
    <row r="147" spans="1:17">
      <c r="A147" s="226" t="s">
        <v>5394</v>
      </c>
      <c r="B147" s="226" t="s">
        <v>5992</v>
      </c>
      <c r="C147" s="55" t="s">
        <v>12778</v>
      </c>
      <c r="D147" s="228">
        <v>0</v>
      </c>
      <c r="E147" s="228">
        <v>0</v>
      </c>
      <c r="F147" s="228">
        <v>0</v>
      </c>
      <c r="G147" s="228">
        <v>0</v>
      </c>
      <c r="H147" s="228">
        <v>0</v>
      </c>
      <c r="I147" s="228">
        <v>0</v>
      </c>
      <c r="J147" s="228">
        <v>0</v>
      </c>
      <c r="K147" s="228">
        <v>0</v>
      </c>
      <c r="L147" s="228">
        <v>0</v>
      </c>
      <c r="M147" s="228">
        <v>0</v>
      </c>
      <c r="N147" s="56">
        <v>6869</v>
      </c>
      <c r="O147" s="56">
        <v>6831</v>
      </c>
      <c r="Q147" s="226" t="s">
        <v>5913</v>
      </c>
    </row>
    <row r="148" spans="1:17">
      <c r="A148" s="226" t="s">
        <v>5416</v>
      </c>
      <c r="B148" s="226" t="s">
        <v>12780</v>
      </c>
      <c r="C148" s="55" t="s">
        <v>12779</v>
      </c>
      <c r="D148" s="228">
        <v>0</v>
      </c>
      <c r="E148" s="228">
        <v>0</v>
      </c>
      <c r="F148" s="228">
        <v>0</v>
      </c>
      <c r="G148" s="228">
        <v>0</v>
      </c>
      <c r="H148" s="228">
        <v>0</v>
      </c>
      <c r="I148" s="228">
        <v>0</v>
      </c>
      <c r="J148" s="228">
        <v>0</v>
      </c>
      <c r="K148" s="228">
        <v>0</v>
      </c>
      <c r="L148" s="228">
        <v>0</v>
      </c>
      <c r="M148" s="228">
        <v>0</v>
      </c>
      <c r="N148" s="56">
        <v>5396</v>
      </c>
      <c r="O148" s="56">
        <v>5332</v>
      </c>
      <c r="Q148" s="226" t="s">
        <v>5913</v>
      </c>
    </row>
    <row r="149" spans="1:17">
      <c r="A149" s="226" t="s">
        <v>5418</v>
      </c>
      <c r="B149" s="226" t="s">
        <v>5993</v>
      </c>
      <c r="C149" s="55" t="s">
        <v>12781</v>
      </c>
      <c r="D149" s="228">
        <v>0</v>
      </c>
      <c r="E149" s="228">
        <v>0</v>
      </c>
      <c r="F149" s="228">
        <v>0</v>
      </c>
      <c r="G149" s="228">
        <v>0</v>
      </c>
      <c r="H149" s="228">
        <v>0</v>
      </c>
      <c r="I149" s="228">
        <v>0</v>
      </c>
      <c r="J149" s="228">
        <v>0</v>
      </c>
      <c r="K149" s="228">
        <v>0</v>
      </c>
      <c r="L149" s="228">
        <v>0</v>
      </c>
      <c r="M149" s="228">
        <v>0</v>
      </c>
      <c r="N149" s="56">
        <v>6523</v>
      </c>
      <c r="O149" s="56">
        <v>6484</v>
      </c>
      <c r="Q149" s="226" t="s">
        <v>5913</v>
      </c>
    </row>
    <row r="150" spans="1:17">
      <c r="A150" s="226" t="s">
        <v>5420</v>
      </c>
      <c r="B150" s="226" t="s">
        <v>12783</v>
      </c>
      <c r="C150" s="55" t="s">
        <v>12782</v>
      </c>
      <c r="D150" s="228">
        <v>0</v>
      </c>
      <c r="E150" s="228">
        <v>0</v>
      </c>
      <c r="F150" s="228">
        <v>0</v>
      </c>
      <c r="G150" s="228">
        <v>0</v>
      </c>
      <c r="H150" s="228">
        <v>0</v>
      </c>
      <c r="I150" s="228">
        <v>0</v>
      </c>
      <c r="J150" s="228">
        <v>0</v>
      </c>
      <c r="K150" s="228">
        <v>0</v>
      </c>
      <c r="L150" s="228">
        <v>0</v>
      </c>
      <c r="M150" s="228">
        <v>0</v>
      </c>
      <c r="N150" s="56">
        <v>6596</v>
      </c>
      <c r="O150" s="56">
        <v>6573</v>
      </c>
      <c r="Q150" s="226" t="s">
        <v>5913</v>
      </c>
    </row>
    <row r="151" spans="1:17">
      <c r="A151" s="226" t="s">
        <v>5422</v>
      </c>
      <c r="B151" s="226" t="s">
        <v>12785</v>
      </c>
      <c r="C151" s="55" t="s">
        <v>12784</v>
      </c>
      <c r="D151" s="228">
        <v>0</v>
      </c>
      <c r="E151" s="228">
        <v>0</v>
      </c>
      <c r="F151" s="228">
        <v>0</v>
      </c>
      <c r="G151" s="228">
        <v>0</v>
      </c>
      <c r="H151" s="228">
        <v>0</v>
      </c>
      <c r="I151" s="228">
        <v>0</v>
      </c>
      <c r="J151" s="228">
        <v>0</v>
      </c>
      <c r="K151" s="228">
        <v>0</v>
      </c>
      <c r="L151" s="228">
        <v>0</v>
      </c>
      <c r="M151" s="228">
        <v>0</v>
      </c>
      <c r="N151" s="56">
        <v>5945</v>
      </c>
      <c r="O151" s="56">
        <v>5970</v>
      </c>
      <c r="Q151" s="226" t="s">
        <v>5913</v>
      </c>
    </row>
    <row r="152" spans="1:17">
      <c r="A152" s="226" t="s">
        <v>5424</v>
      </c>
      <c r="B152" s="226" t="s">
        <v>12787</v>
      </c>
      <c r="C152" s="55" t="s">
        <v>12786</v>
      </c>
      <c r="D152" s="228">
        <v>0</v>
      </c>
      <c r="E152" s="228">
        <v>0</v>
      </c>
      <c r="F152" s="228">
        <v>0</v>
      </c>
      <c r="G152" s="228">
        <v>0</v>
      </c>
      <c r="H152" s="228">
        <v>0</v>
      </c>
      <c r="I152" s="228">
        <v>0</v>
      </c>
      <c r="J152" s="228">
        <v>0</v>
      </c>
      <c r="K152" s="228">
        <v>0</v>
      </c>
      <c r="L152" s="228">
        <v>0</v>
      </c>
      <c r="M152" s="228">
        <v>0</v>
      </c>
      <c r="N152" s="56">
        <v>6094</v>
      </c>
      <c r="O152" s="56">
        <v>6069</v>
      </c>
      <c r="Q152" s="226" t="s">
        <v>5913</v>
      </c>
    </row>
    <row r="153" spans="1:17">
      <c r="A153" s="226" t="s">
        <v>5426</v>
      </c>
      <c r="B153" s="226" t="s">
        <v>1248</v>
      </c>
      <c r="C153" s="55" t="s">
        <v>12788</v>
      </c>
      <c r="D153" s="228">
        <v>0</v>
      </c>
      <c r="E153" s="228">
        <v>0</v>
      </c>
      <c r="F153" s="228">
        <v>0</v>
      </c>
      <c r="G153" s="228">
        <v>0</v>
      </c>
      <c r="H153" s="228">
        <v>0</v>
      </c>
      <c r="I153" s="228">
        <v>0</v>
      </c>
      <c r="J153" s="228">
        <v>0</v>
      </c>
      <c r="K153" s="228">
        <v>0</v>
      </c>
      <c r="L153" s="228">
        <v>0</v>
      </c>
      <c r="M153" s="228">
        <v>0</v>
      </c>
      <c r="N153" s="56">
        <v>5831</v>
      </c>
      <c r="O153" s="56">
        <v>5817</v>
      </c>
      <c r="Q153" s="226" t="s">
        <v>5913</v>
      </c>
    </row>
    <row r="154" spans="1:17">
      <c r="A154" s="226" t="s">
        <v>5428</v>
      </c>
      <c r="B154" s="226" t="s">
        <v>4468</v>
      </c>
      <c r="C154" s="55" t="s">
        <v>12789</v>
      </c>
      <c r="D154" s="228">
        <v>0</v>
      </c>
      <c r="E154" s="228">
        <v>0</v>
      </c>
      <c r="F154" s="228">
        <v>0</v>
      </c>
      <c r="G154" s="228">
        <v>0</v>
      </c>
      <c r="H154" s="228">
        <v>0</v>
      </c>
      <c r="I154" s="228">
        <v>0</v>
      </c>
      <c r="J154" s="228">
        <v>0</v>
      </c>
      <c r="K154" s="228">
        <v>0</v>
      </c>
      <c r="L154" s="228">
        <v>0</v>
      </c>
      <c r="M154" s="228">
        <v>0</v>
      </c>
      <c r="N154" s="56">
        <v>5267</v>
      </c>
      <c r="O154" s="56">
        <v>5246</v>
      </c>
      <c r="Q154" s="226" t="s">
        <v>5913</v>
      </c>
    </row>
    <row r="155" spans="1:17">
      <c r="A155" s="226" t="s">
        <v>5429</v>
      </c>
      <c r="B155" s="226" t="s">
        <v>4597</v>
      </c>
      <c r="C155" s="55" t="s">
        <v>12790</v>
      </c>
      <c r="D155" s="228">
        <v>0</v>
      </c>
      <c r="E155" s="228">
        <v>0</v>
      </c>
      <c r="F155" s="228">
        <v>0</v>
      </c>
      <c r="G155" s="228">
        <v>0</v>
      </c>
      <c r="H155" s="228">
        <v>0</v>
      </c>
      <c r="I155" s="228">
        <v>0</v>
      </c>
      <c r="J155" s="228">
        <v>0</v>
      </c>
      <c r="K155" s="228">
        <v>0</v>
      </c>
      <c r="L155" s="228">
        <v>0</v>
      </c>
      <c r="M155" s="228">
        <v>0</v>
      </c>
      <c r="N155" s="56">
        <v>4245</v>
      </c>
      <c r="O155" s="56">
        <v>4228</v>
      </c>
      <c r="Q155" s="226" t="s">
        <v>5913</v>
      </c>
    </row>
    <row r="156" spans="1:17">
      <c r="D156" s="229"/>
      <c r="E156" s="229"/>
      <c r="F156" s="229"/>
      <c r="G156" s="229"/>
      <c r="H156" s="229"/>
      <c r="I156" s="229"/>
      <c r="J156" s="229"/>
      <c r="K156" s="229"/>
      <c r="L156" s="229"/>
      <c r="M156" s="229"/>
      <c r="N156" s="229"/>
      <c r="O156" s="229"/>
    </row>
    <row r="157" spans="1:17">
      <c r="A157" s="226" t="s">
        <v>5913</v>
      </c>
      <c r="D157" s="228">
        <f t="shared" ref="D157:N157" si="77">SUM(D143:D155)</f>
        <v>72024</v>
      </c>
      <c r="E157" s="228">
        <f t="shared" si="77"/>
        <v>71793</v>
      </c>
      <c r="F157" s="228">
        <f t="shared" si="77"/>
        <v>73935</v>
      </c>
      <c r="G157" s="228">
        <f t="shared" si="77"/>
        <v>74610</v>
      </c>
      <c r="H157" s="228">
        <f t="shared" si="77"/>
        <v>74369</v>
      </c>
      <c r="I157" s="228">
        <f t="shared" si="77"/>
        <v>72424</v>
      </c>
      <c r="J157" s="228">
        <f t="shared" si="77"/>
        <v>70578</v>
      </c>
      <c r="K157" s="228">
        <f t="shared" si="77"/>
        <v>71455</v>
      </c>
      <c r="L157" s="228">
        <f t="shared" si="77"/>
        <v>72499</v>
      </c>
      <c r="M157" s="228">
        <f t="shared" si="77"/>
        <v>72199</v>
      </c>
      <c r="N157" s="228">
        <f t="shared" si="77"/>
        <v>74712</v>
      </c>
      <c r="O157" s="228">
        <f>SUM(O143:O155)</f>
        <v>74446</v>
      </c>
    </row>
    <row r="158" spans="1:17">
      <c r="A158" s="226"/>
      <c r="D158" s="228"/>
      <c r="E158" s="228"/>
      <c r="F158" s="228"/>
      <c r="G158" s="228"/>
      <c r="H158" s="228"/>
      <c r="I158" s="228"/>
      <c r="J158" s="228"/>
      <c r="K158" s="228"/>
      <c r="L158" s="228"/>
      <c r="M158" s="228"/>
      <c r="N158" s="228"/>
      <c r="O158" s="228"/>
    </row>
    <row r="159" spans="1:17">
      <c r="A159" s="226" t="s">
        <v>12791</v>
      </c>
      <c r="D159" s="228"/>
      <c r="E159" s="228"/>
      <c r="F159" s="228"/>
      <c r="G159" s="228"/>
      <c r="H159" s="228"/>
      <c r="I159" s="228"/>
      <c r="J159" s="228"/>
      <c r="K159" s="228"/>
      <c r="L159" s="228"/>
      <c r="M159" s="228"/>
      <c r="N159" s="228"/>
      <c r="O159" s="228"/>
    </row>
    <row r="160" spans="1:17">
      <c r="A160" s="226"/>
      <c r="B160" s="226"/>
      <c r="D160" s="233"/>
      <c r="E160" s="233"/>
      <c r="F160" s="233"/>
      <c r="G160" s="233"/>
      <c r="H160" s="233"/>
      <c r="I160" s="233"/>
      <c r="J160" s="233"/>
      <c r="K160" s="233"/>
      <c r="L160" s="233"/>
      <c r="M160" s="233"/>
      <c r="N160" s="233"/>
      <c r="O160" s="233"/>
    </row>
    <row r="161" spans="1:17">
      <c r="A161" s="226"/>
      <c r="B161" s="226"/>
      <c r="D161" s="233"/>
      <c r="E161" s="233"/>
      <c r="F161" s="233"/>
      <c r="G161" s="233"/>
      <c r="H161" s="233"/>
      <c r="I161" s="233"/>
      <c r="J161" s="233"/>
      <c r="K161" s="233"/>
      <c r="L161" s="233"/>
      <c r="M161" s="233"/>
      <c r="N161" s="233"/>
      <c r="O161" s="233"/>
    </row>
    <row r="162" spans="1:17">
      <c r="E162" s="51" t="s">
        <v>1526</v>
      </c>
      <c r="F162" s="51"/>
      <c r="G162" s="51"/>
      <c r="H162" s="51"/>
      <c r="I162" s="51"/>
      <c r="J162" s="51"/>
      <c r="K162" s="51"/>
      <c r="L162" s="51"/>
      <c r="M162" s="51"/>
      <c r="N162" s="51"/>
      <c r="O162" s="51"/>
      <c r="P162" s="173"/>
      <c r="Q162" s="173" t="s">
        <v>9479</v>
      </c>
    </row>
    <row r="163" spans="1:17">
      <c r="D163" s="227">
        <v>2010</v>
      </c>
      <c r="E163" s="227">
        <v>2011</v>
      </c>
      <c r="F163" s="227">
        <v>2012</v>
      </c>
      <c r="G163" s="227">
        <v>2013</v>
      </c>
      <c r="H163" s="227">
        <v>2014</v>
      </c>
      <c r="I163" s="227">
        <v>2015</v>
      </c>
      <c r="J163" s="227">
        <v>2016</v>
      </c>
      <c r="K163" s="227">
        <v>2017</v>
      </c>
      <c r="L163" s="227">
        <v>2018</v>
      </c>
      <c r="M163" s="227">
        <v>2019</v>
      </c>
      <c r="N163" s="227">
        <v>2020</v>
      </c>
      <c r="O163" s="927" t="s">
        <v>14823</v>
      </c>
      <c r="Q163" s="206" t="s">
        <v>1527</v>
      </c>
    </row>
    <row r="164" spans="1:17">
      <c r="A164" s="226" t="s">
        <v>4598</v>
      </c>
      <c r="D164" s="228">
        <f t="shared" ref="D164:L164" si="78">SUM(D165:D186)</f>
        <v>99682</v>
      </c>
      <c r="E164" s="228">
        <f t="shared" si="78"/>
        <v>100713</v>
      </c>
      <c r="F164" s="228">
        <f t="shared" si="78"/>
        <v>101117</v>
      </c>
      <c r="G164" s="228">
        <f t="shared" si="78"/>
        <v>101732</v>
      </c>
      <c r="H164" s="228">
        <f t="shared" si="78"/>
        <v>99258</v>
      </c>
      <c r="I164" s="228">
        <f t="shared" si="78"/>
        <v>99936</v>
      </c>
      <c r="J164" s="228">
        <f t="shared" si="78"/>
        <v>100288</v>
      </c>
      <c r="K164" s="228">
        <f t="shared" si="78"/>
        <v>103959</v>
      </c>
      <c r="L164" s="228">
        <f t="shared" si="78"/>
        <v>105544</v>
      </c>
      <c r="M164" s="228">
        <f>SUM(M165:M186)</f>
        <v>106431</v>
      </c>
      <c r="N164" s="228">
        <f>SUM(N165:N186)</f>
        <v>109747</v>
      </c>
      <c r="O164" s="228">
        <f>SUM(O165:O186)</f>
        <v>111599</v>
      </c>
    </row>
    <row r="165" spans="1:17">
      <c r="A165" s="226" t="s">
        <v>5387</v>
      </c>
      <c r="B165" s="226" t="s">
        <v>12327</v>
      </c>
      <c r="C165" s="111" t="s">
        <v>14682</v>
      </c>
      <c r="D165" s="228">
        <v>63190</v>
      </c>
      <c r="E165" s="228">
        <v>63750</v>
      </c>
      <c r="F165" s="228">
        <v>64142</v>
      </c>
      <c r="G165" s="63">
        <v>64764</v>
      </c>
      <c r="H165" s="63">
        <v>62806</v>
      </c>
      <c r="I165" s="63">
        <v>63495</v>
      </c>
      <c r="J165" s="56">
        <v>64039</v>
      </c>
      <c r="K165" s="56">
        <v>66788</v>
      </c>
      <c r="L165" s="56">
        <v>68119</v>
      </c>
      <c r="M165" s="56">
        <v>6940</v>
      </c>
      <c r="N165" s="56">
        <v>7271</v>
      </c>
      <c r="O165" s="56">
        <v>7427</v>
      </c>
      <c r="Q165" s="55" t="s">
        <v>1554</v>
      </c>
    </row>
    <row r="166" spans="1:17">
      <c r="A166" s="226" t="s">
        <v>5389</v>
      </c>
      <c r="B166" s="226" t="s">
        <v>4599</v>
      </c>
      <c r="C166" s="111" t="s">
        <v>14683</v>
      </c>
      <c r="D166" s="228">
        <v>36492</v>
      </c>
      <c r="E166" s="228">
        <v>36963</v>
      </c>
      <c r="F166" s="228">
        <v>36975</v>
      </c>
      <c r="G166" s="63">
        <v>36968</v>
      </c>
      <c r="H166" s="63">
        <v>36452</v>
      </c>
      <c r="I166" s="63">
        <v>36441</v>
      </c>
      <c r="J166" s="56">
        <v>36249</v>
      </c>
      <c r="K166" s="56">
        <v>37171</v>
      </c>
      <c r="L166" s="56">
        <v>37425</v>
      </c>
      <c r="M166" s="56">
        <v>4255</v>
      </c>
      <c r="N166" s="56">
        <v>4316</v>
      </c>
      <c r="O166" s="56">
        <v>4362</v>
      </c>
      <c r="Q166" s="55" t="s">
        <v>6021</v>
      </c>
    </row>
    <row r="167" spans="1:17">
      <c r="A167" s="226" t="s">
        <v>5391</v>
      </c>
      <c r="B167" s="226" t="s">
        <v>4600</v>
      </c>
      <c r="C167" s="111" t="s">
        <v>14684</v>
      </c>
      <c r="D167" s="228">
        <v>0</v>
      </c>
      <c r="E167" s="228">
        <v>0</v>
      </c>
      <c r="F167" s="228">
        <v>0</v>
      </c>
      <c r="G167" s="228">
        <v>0</v>
      </c>
      <c r="H167" s="228">
        <v>0</v>
      </c>
      <c r="I167" s="228">
        <v>0</v>
      </c>
      <c r="J167" s="228">
        <v>0</v>
      </c>
      <c r="K167" s="228">
        <v>0</v>
      </c>
      <c r="L167" s="228">
        <v>0</v>
      </c>
      <c r="M167" s="56">
        <v>3889</v>
      </c>
      <c r="N167" s="56">
        <v>4085</v>
      </c>
      <c r="O167" s="56">
        <v>4133</v>
      </c>
      <c r="Q167" s="55" t="s">
        <v>1554</v>
      </c>
    </row>
    <row r="168" spans="1:17">
      <c r="A168" s="226" t="s">
        <v>5393</v>
      </c>
      <c r="B168" s="111" t="s">
        <v>14681</v>
      </c>
      <c r="C168" s="111" t="s">
        <v>14685</v>
      </c>
      <c r="D168" s="228">
        <v>0</v>
      </c>
      <c r="E168" s="228">
        <v>0</v>
      </c>
      <c r="F168" s="228">
        <v>0</v>
      </c>
      <c r="G168" s="228">
        <v>0</v>
      </c>
      <c r="H168" s="228">
        <v>0</v>
      </c>
      <c r="I168" s="228">
        <v>0</v>
      </c>
      <c r="J168" s="228">
        <v>0</v>
      </c>
      <c r="K168" s="228">
        <v>0</v>
      </c>
      <c r="L168" s="228">
        <v>0</v>
      </c>
      <c r="M168" s="58">
        <v>3226</v>
      </c>
      <c r="N168" s="58">
        <v>3660</v>
      </c>
      <c r="O168" s="58">
        <v>3876</v>
      </c>
      <c r="Q168" s="55" t="s">
        <v>1554</v>
      </c>
    </row>
    <row r="169" spans="1:17">
      <c r="A169" s="226" t="s">
        <v>5394</v>
      </c>
      <c r="B169" s="226" t="s">
        <v>4601</v>
      </c>
      <c r="C169" s="111" t="s">
        <v>14686</v>
      </c>
      <c r="D169" s="228">
        <v>0</v>
      </c>
      <c r="E169" s="228">
        <v>0</v>
      </c>
      <c r="F169" s="228">
        <v>0</v>
      </c>
      <c r="G169" s="228">
        <v>0</v>
      </c>
      <c r="H169" s="228">
        <v>0</v>
      </c>
      <c r="I169" s="228">
        <v>0</v>
      </c>
      <c r="J169" s="228">
        <v>0</v>
      </c>
      <c r="K169" s="228">
        <v>0</v>
      </c>
      <c r="L169" s="228">
        <v>0</v>
      </c>
      <c r="M169" s="56">
        <v>4307</v>
      </c>
      <c r="N169" s="56">
        <v>4398</v>
      </c>
      <c r="O169" s="56">
        <v>4452</v>
      </c>
      <c r="Q169" s="55" t="s">
        <v>6021</v>
      </c>
    </row>
    <row r="170" spans="1:17">
      <c r="A170" s="226" t="s">
        <v>5416</v>
      </c>
      <c r="B170" s="226" t="s">
        <v>4602</v>
      </c>
      <c r="C170" s="111" t="s">
        <v>14687</v>
      </c>
      <c r="D170" s="228">
        <v>0</v>
      </c>
      <c r="E170" s="228">
        <v>0</v>
      </c>
      <c r="F170" s="228">
        <v>0</v>
      </c>
      <c r="G170" s="228">
        <v>0</v>
      </c>
      <c r="H170" s="228">
        <v>0</v>
      </c>
      <c r="I170" s="228">
        <v>0</v>
      </c>
      <c r="J170" s="228">
        <v>0</v>
      </c>
      <c r="K170" s="228">
        <v>0</v>
      </c>
      <c r="L170" s="228">
        <v>0</v>
      </c>
      <c r="M170" s="56">
        <v>6695</v>
      </c>
      <c r="N170" s="56">
        <v>7017</v>
      </c>
      <c r="O170" s="56">
        <v>7194</v>
      </c>
      <c r="Q170" s="55" t="s">
        <v>1554</v>
      </c>
    </row>
    <row r="171" spans="1:17">
      <c r="A171" s="226" t="s">
        <v>5418</v>
      </c>
      <c r="B171" s="226" t="s">
        <v>2873</v>
      </c>
      <c r="C171" s="111" t="s">
        <v>14688</v>
      </c>
      <c r="D171" s="228">
        <v>0</v>
      </c>
      <c r="E171" s="228">
        <v>0</v>
      </c>
      <c r="F171" s="228">
        <v>0</v>
      </c>
      <c r="G171" s="228">
        <v>0</v>
      </c>
      <c r="H171" s="228">
        <v>0</v>
      </c>
      <c r="I171" s="228">
        <v>0</v>
      </c>
      <c r="J171" s="228">
        <v>0</v>
      </c>
      <c r="K171" s="228">
        <v>0</v>
      </c>
      <c r="L171" s="228">
        <v>0</v>
      </c>
      <c r="M171" s="56">
        <v>6507</v>
      </c>
      <c r="N171" s="56">
        <v>6669</v>
      </c>
      <c r="O171" s="56">
        <v>6817</v>
      </c>
      <c r="Q171" s="55" t="s">
        <v>1554</v>
      </c>
    </row>
    <row r="172" spans="1:17">
      <c r="A172" s="226" t="s">
        <v>5420</v>
      </c>
      <c r="B172" s="226" t="s">
        <v>6096</v>
      </c>
      <c r="C172" s="111" t="s">
        <v>14689</v>
      </c>
      <c r="D172" s="228">
        <v>0</v>
      </c>
      <c r="E172" s="228">
        <v>0</v>
      </c>
      <c r="F172" s="228">
        <v>0</v>
      </c>
      <c r="G172" s="228">
        <v>0</v>
      </c>
      <c r="H172" s="228">
        <v>0</v>
      </c>
      <c r="I172" s="228">
        <v>0</v>
      </c>
      <c r="J172" s="228">
        <v>0</v>
      </c>
      <c r="K172" s="228">
        <v>0</v>
      </c>
      <c r="L172" s="228">
        <v>0</v>
      </c>
      <c r="M172" s="56">
        <v>4458</v>
      </c>
      <c r="N172" s="56">
        <v>4646</v>
      </c>
      <c r="O172" s="56">
        <v>4726</v>
      </c>
      <c r="Q172" s="55" t="s">
        <v>6021</v>
      </c>
    </row>
    <row r="173" spans="1:17">
      <c r="A173" s="226" t="s">
        <v>5422</v>
      </c>
      <c r="B173" s="226" t="s">
        <v>6097</v>
      </c>
      <c r="C173" s="111" t="s">
        <v>14690</v>
      </c>
      <c r="D173" s="228">
        <v>0</v>
      </c>
      <c r="E173" s="228">
        <v>0</v>
      </c>
      <c r="F173" s="228">
        <v>0</v>
      </c>
      <c r="G173" s="228">
        <v>0</v>
      </c>
      <c r="H173" s="228">
        <v>0</v>
      </c>
      <c r="I173" s="228">
        <v>0</v>
      </c>
      <c r="J173" s="228">
        <v>0</v>
      </c>
      <c r="K173" s="228">
        <v>0</v>
      </c>
      <c r="L173" s="228">
        <v>0</v>
      </c>
      <c r="M173" s="56">
        <v>4410</v>
      </c>
      <c r="N173" s="56">
        <v>4495</v>
      </c>
      <c r="O173" s="56">
        <v>4592</v>
      </c>
      <c r="Q173" s="55" t="s">
        <v>1554</v>
      </c>
    </row>
    <row r="174" spans="1:17">
      <c r="A174" s="226" t="s">
        <v>5424</v>
      </c>
      <c r="B174" s="226" t="s">
        <v>6098</v>
      </c>
      <c r="C174" s="111" t="s">
        <v>14691</v>
      </c>
      <c r="D174" s="228">
        <v>0</v>
      </c>
      <c r="E174" s="228">
        <v>0</v>
      </c>
      <c r="F174" s="228">
        <v>0</v>
      </c>
      <c r="G174" s="228">
        <v>0</v>
      </c>
      <c r="H174" s="228">
        <v>0</v>
      </c>
      <c r="I174" s="228">
        <v>0</v>
      </c>
      <c r="J174" s="228">
        <v>0</v>
      </c>
      <c r="K174" s="228">
        <v>0</v>
      </c>
      <c r="L174" s="228">
        <v>0</v>
      </c>
      <c r="M174" s="56">
        <v>4932</v>
      </c>
      <c r="N174" s="56">
        <v>4978</v>
      </c>
      <c r="O174" s="56">
        <v>5024</v>
      </c>
      <c r="Q174" s="55" t="s">
        <v>1554</v>
      </c>
    </row>
    <row r="175" spans="1:17">
      <c r="A175" s="226" t="s">
        <v>5426</v>
      </c>
      <c r="B175" s="226" t="s">
        <v>6099</v>
      </c>
      <c r="C175" s="111" t="s">
        <v>14692</v>
      </c>
      <c r="D175" s="228">
        <v>0</v>
      </c>
      <c r="E175" s="228">
        <v>0</v>
      </c>
      <c r="F175" s="228">
        <v>0</v>
      </c>
      <c r="G175" s="228">
        <v>0</v>
      </c>
      <c r="H175" s="228">
        <v>0</v>
      </c>
      <c r="I175" s="228">
        <v>0</v>
      </c>
      <c r="J175" s="228">
        <v>0</v>
      </c>
      <c r="K175" s="228">
        <v>0</v>
      </c>
      <c r="L175" s="228">
        <v>0</v>
      </c>
      <c r="M175" s="56">
        <v>4408</v>
      </c>
      <c r="N175" s="56">
        <v>4529</v>
      </c>
      <c r="O175" s="56">
        <v>4615</v>
      </c>
      <c r="Q175" s="55" t="s">
        <v>1554</v>
      </c>
    </row>
    <row r="176" spans="1:17">
      <c r="A176" s="226" t="s">
        <v>5428</v>
      </c>
      <c r="B176" s="226" t="s">
        <v>12328</v>
      </c>
      <c r="C176" s="111" t="s">
        <v>14693</v>
      </c>
      <c r="D176" s="228">
        <v>0</v>
      </c>
      <c r="E176" s="228">
        <v>0</v>
      </c>
      <c r="F176" s="228">
        <v>0</v>
      </c>
      <c r="G176" s="228">
        <v>0</v>
      </c>
      <c r="H176" s="228">
        <v>0</v>
      </c>
      <c r="I176" s="228">
        <v>0</v>
      </c>
      <c r="J176" s="228">
        <v>0</v>
      </c>
      <c r="K176" s="228">
        <v>0</v>
      </c>
      <c r="L176" s="228">
        <v>0</v>
      </c>
      <c r="M176" s="56">
        <v>2344</v>
      </c>
      <c r="N176" s="56">
        <v>2420</v>
      </c>
      <c r="O176" s="56">
        <v>2466</v>
      </c>
      <c r="Q176" s="55" t="s">
        <v>1554</v>
      </c>
    </row>
    <row r="177" spans="1:17">
      <c r="A177" s="226" t="s">
        <v>5429</v>
      </c>
      <c r="B177" s="226" t="s">
        <v>12323</v>
      </c>
      <c r="C177" s="111" t="s">
        <v>14694</v>
      </c>
      <c r="D177" s="228">
        <v>0</v>
      </c>
      <c r="E177" s="228">
        <v>0</v>
      </c>
      <c r="F177" s="228">
        <v>0</v>
      </c>
      <c r="G177" s="228">
        <v>0</v>
      </c>
      <c r="H177" s="228">
        <v>0</v>
      </c>
      <c r="I177" s="228">
        <v>0</v>
      </c>
      <c r="J177" s="228">
        <v>0</v>
      </c>
      <c r="K177" s="228">
        <v>0</v>
      </c>
      <c r="L177" s="228">
        <v>0</v>
      </c>
      <c r="M177" s="56">
        <v>5684</v>
      </c>
      <c r="N177" s="56">
        <v>5778</v>
      </c>
      <c r="O177" s="56">
        <v>5871</v>
      </c>
      <c r="Q177" s="55" t="s">
        <v>6021</v>
      </c>
    </row>
    <row r="178" spans="1:17">
      <c r="A178" s="226" t="s">
        <v>5431</v>
      </c>
      <c r="B178" s="226" t="s">
        <v>6100</v>
      </c>
      <c r="C178" s="111" t="s">
        <v>14695</v>
      </c>
      <c r="D178" s="228">
        <v>0</v>
      </c>
      <c r="E178" s="228">
        <v>0</v>
      </c>
      <c r="F178" s="228">
        <v>0</v>
      </c>
      <c r="G178" s="228">
        <v>0</v>
      </c>
      <c r="H178" s="228">
        <v>0</v>
      </c>
      <c r="I178" s="228">
        <v>0</v>
      </c>
      <c r="J178" s="228">
        <v>0</v>
      </c>
      <c r="K178" s="228">
        <v>0</v>
      </c>
      <c r="L178" s="228">
        <v>0</v>
      </c>
      <c r="M178" s="56">
        <v>4794</v>
      </c>
      <c r="N178" s="56">
        <v>4842</v>
      </c>
      <c r="O178" s="56">
        <v>4884</v>
      </c>
      <c r="Q178" s="55" t="s">
        <v>1554</v>
      </c>
    </row>
    <row r="179" spans="1:17">
      <c r="A179" s="226" t="s">
        <v>5433</v>
      </c>
      <c r="B179" s="226" t="s">
        <v>6101</v>
      </c>
      <c r="C179" s="111" t="s">
        <v>14696</v>
      </c>
      <c r="D179" s="228">
        <v>0</v>
      </c>
      <c r="E179" s="228">
        <v>0</v>
      </c>
      <c r="F179" s="228">
        <v>0</v>
      </c>
      <c r="G179" s="228">
        <v>0</v>
      </c>
      <c r="H179" s="228">
        <v>0</v>
      </c>
      <c r="I179" s="228">
        <v>0</v>
      </c>
      <c r="J179" s="228">
        <v>0</v>
      </c>
      <c r="K179" s="228">
        <v>0</v>
      </c>
      <c r="L179" s="228">
        <v>0</v>
      </c>
      <c r="M179" s="58">
        <v>4804</v>
      </c>
      <c r="N179" s="58">
        <v>4912</v>
      </c>
      <c r="O179" s="58">
        <v>4981</v>
      </c>
      <c r="Q179" s="55" t="s">
        <v>1554</v>
      </c>
    </row>
    <row r="180" spans="1:17">
      <c r="A180" s="226" t="s">
        <v>5435</v>
      </c>
      <c r="B180" s="226" t="s">
        <v>6102</v>
      </c>
      <c r="C180" s="111" t="s">
        <v>14697</v>
      </c>
      <c r="D180" s="228">
        <v>0</v>
      </c>
      <c r="E180" s="228">
        <v>0</v>
      </c>
      <c r="F180" s="228">
        <v>0</v>
      </c>
      <c r="G180" s="228">
        <v>0</v>
      </c>
      <c r="H180" s="228">
        <v>0</v>
      </c>
      <c r="I180" s="228">
        <v>0</v>
      </c>
      <c r="J180" s="228">
        <v>0</v>
      </c>
      <c r="K180" s="228">
        <v>0</v>
      </c>
      <c r="L180" s="228">
        <v>0</v>
      </c>
      <c r="M180" s="56">
        <v>2126</v>
      </c>
      <c r="N180" s="56">
        <v>2187</v>
      </c>
      <c r="O180" s="56">
        <v>2230</v>
      </c>
      <c r="Q180" s="55" t="s">
        <v>1554</v>
      </c>
    </row>
    <row r="181" spans="1:17">
      <c r="A181" s="226" t="s">
        <v>5436</v>
      </c>
      <c r="B181" s="226" t="s">
        <v>12329</v>
      </c>
      <c r="C181" s="111" t="s">
        <v>14698</v>
      </c>
      <c r="D181" s="228">
        <v>0</v>
      </c>
      <c r="E181" s="228">
        <v>0</v>
      </c>
      <c r="F181" s="228">
        <v>0</v>
      </c>
      <c r="G181" s="228">
        <v>0</v>
      </c>
      <c r="H181" s="228">
        <v>0</v>
      </c>
      <c r="I181" s="228">
        <v>0</v>
      </c>
      <c r="J181" s="228">
        <v>0</v>
      </c>
      <c r="K181" s="228">
        <v>0</v>
      </c>
      <c r="L181" s="228">
        <v>0</v>
      </c>
      <c r="M181" s="58">
        <v>4312</v>
      </c>
      <c r="N181" s="58">
        <v>4392</v>
      </c>
      <c r="O181" s="58">
        <v>4444</v>
      </c>
      <c r="Q181" s="55" t="s">
        <v>1554</v>
      </c>
    </row>
    <row r="182" spans="1:17">
      <c r="A182" s="226" t="s">
        <v>5437</v>
      </c>
      <c r="B182" s="226" t="s">
        <v>12330</v>
      </c>
      <c r="C182" s="111" t="s">
        <v>14699</v>
      </c>
      <c r="D182" s="228">
        <v>0</v>
      </c>
      <c r="E182" s="228">
        <v>0</v>
      </c>
      <c r="F182" s="228">
        <v>0</v>
      </c>
      <c r="G182" s="228">
        <v>0</v>
      </c>
      <c r="H182" s="228">
        <v>0</v>
      </c>
      <c r="I182" s="228">
        <v>0</v>
      </c>
      <c r="J182" s="228">
        <v>0</v>
      </c>
      <c r="K182" s="228">
        <v>0</v>
      </c>
      <c r="L182" s="228">
        <v>0</v>
      </c>
      <c r="M182" s="58">
        <v>4670</v>
      </c>
      <c r="N182" s="58">
        <v>4927</v>
      </c>
      <c r="O182" s="58">
        <v>5044</v>
      </c>
      <c r="Q182" s="55" t="s">
        <v>1554</v>
      </c>
    </row>
    <row r="183" spans="1:17">
      <c r="A183" s="226" t="s">
        <v>5439</v>
      </c>
      <c r="B183" s="226" t="s">
        <v>12324</v>
      </c>
      <c r="C183" s="111" t="s">
        <v>14700</v>
      </c>
      <c r="D183" s="228">
        <v>0</v>
      </c>
      <c r="E183" s="228">
        <v>0</v>
      </c>
      <c r="F183" s="228">
        <v>0</v>
      </c>
      <c r="G183" s="228">
        <v>0</v>
      </c>
      <c r="H183" s="228">
        <v>0</v>
      </c>
      <c r="I183" s="228">
        <v>0</v>
      </c>
      <c r="J183" s="228">
        <v>0</v>
      </c>
      <c r="K183" s="228">
        <v>0</v>
      </c>
      <c r="L183" s="228">
        <v>0</v>
      </c>
      <c r="M183" s="58">
        <v>4808</v>
      </c>
      <c r="N183" s="58">
        <v>4883</v>
      </c>
      <c r="O183" s="58">
        <v>4917</v>
      </c>
      <c r="Q183" s="55" t="s">
        <v>6021</v>
      </c>
    </row>
    <row r="184" spans="1:17">
      <c r="A184" s="226" t="s">
        <v>5441</v>
      </c>
      <c r="B184" s="226" t="s">
        <v>12325</v>
      </c>
      <c r="C184" s="111" t="s">
        <v>14701</v>
      </c>
      <c r="D184" s="228">
        <v>0</v>
      </c>
      <c r="E184" s="228">
        <v>0</v>
      </c>
      <c r="F184" s="228">
        <v>0</v>
      </c>
      <c r="G184" s="228">
        <v>0</v>
      </c>
      <c r="H184" s="228">
        <v>0</v>
      </c>
      <c r="I184" s="228">
        <v>0</v>
      </c>
      <c r="J184" s="228">
        <v>0</v>
      </c>
      <c r="K184" s="228">
        <v>0</v>
      </c>
      <c r="L184" s="228">
        <v>0</v>
      </c>
      <c r="M184" s="58">
        <v>7297</v>
      </c>
      <c r="N184" s="58">
        <v>7577</v>
      </c>
      <c r="O184" s="58">
        <v>7648</v>
      </c>
      <c r="Q184" s="55" t="s">
        <v>6021</v>
      </c>
    </row>
    <row r="185" spans="1:17">
      <c r="A185" s="226" t="s">
        <v>5886</v>
      </c>
      <c r="B185" s="226" t="s">
        <v>3005</v>
      </c>
      <c r="C185" s="111" t="s">
        <v>14702</v>
      </c>
      <c r="D185" s="228">
        <v>0</v>
      </c>
      <c r="E185" s="228">
        <v>0</v>
      </c>
      <c r="F185" s="228">
        <v>0</v>
      </c>
      <c r="G185" s="228">
        <v>0</v>
      </c>
      <c r="H185" s="228">
        <v>0</v>
      </c>
      <c r="I185" s="228">
        <v>0</v>
      </c>
      <c r="J185" s="228">
        <v>0</v>
      </c>
      <c r="K185" s="228">
        <v>0</v>
      </c>
      <c r="L185" s="228">
        <v>0</v>
      </c>
      <c r="M185" s="56">
        <v>4672</v>
      </c>
      <c r="N185" s="56">
        <v>4754</v>
      </c>
      <c r="O185" s="56">
        <v>4802</v>
      </c>
      <c r="Q185" s="55" t="s">
        <v>1554</v>
      </c>
    </row>
    <row r="186" spans="1:17">
      <c r="A186" s="226" t="s">
        <v>5888</v>
      </c>
      <c r="B186" s="226" t="s">
        <v>12326</v>
      </c>
      <c r="C186" s="111" t="s">
        <v>14703</v>
      </c>
      <c r="D186" s="228">
        <v>0</v>
      </c>
      <c r="E186" s="228">
        <v>0</v>
      </c>
      <c r="F186" s="228">
        <v>0</v>
      </c>
      <c r="G186" s="228">
        <v>0</v>
      </c>
      <c r="H186" s="228">
        <v>0</v>
      </c>
      <c r="I186" s="228">
        <v>0</v>
      </c>
      <c r="J186" s="228">
        <v>0</v>
      </c>
      <c r="K186" s="228">
        <v>0</v>
      </c>
      <c r="L186" s="228">
        <v>0</v>
      </c>
      <c r="M186" s="58">
        <v>6893</v>
      </c>
      <c r="N186" s="58">
        <v>7011</v>
      </c>
      <c r="O186" s="58">
        <v>7094</v>
      </c>
      <c r="Q186" s="55" t="s">
        <v>6021</v>
      </c>
    </row>
    <row r="187" spans="1:17">
      <c r="D187" s="229"/>
      <c r="E187" s="229"/>
      <c r="F187" s="229"/>
      <c r="G187" s="229"/>
      <c r="H187" s="229"/>
      <c r="I187" s="229"/>
      <c r="J187" s="229"/>
      <c r="K187" s="229"/>
      <c r="L187" s="229"/>
      <c r="M187" s="229"/>
      <c r="N187" s="229"/>
      <c r="O187" s="229"/>
    </row>
    <row r="188" spans="1:17">
      <c r="A188" s="226" t="s">
        <v>6735</v>
      </c>
      <c r="D188" s="228">
        <f t="shared" ref="D188:M188" si="79">SUM(D166,D169,D172,D177,D183:D184,D186)</f>
        <v>36492</v>
      </c>
      <c r="E188" s="228">
        <f t="shared" si="79"/>
        <v>36963</v>
      </c>
      <c r="F188" s="228">
        <f t="shared" si="79"/>
        <v>36975</v>
      </c>
      <c r="G188" s="228">
        <f t="shared" si="79"/>
        <v>36968</v>
      </c>
      <c r="H188" s="228">
        <f t="shared" si="79"/>
        <v>36452</v>
      </c>
      <c r="I188" s="228">
        <f t="shared" si="79"/>
        <v>36441</v>
      </c>
      <c r="J188" s="228">
        <f t="shared" si="79"/>
        <v>36249</v>
      </c>
      <c r="K188" s="228">
        <f t="shared" si="79"/>
        <v>37171</v>
      </c>
      <c r="L188" s="228">
        <f t="shared" si="79"/>
        <v>37425</v>
      </c>
      <c r="M188" s="228">
        <f t="shared" si="79"/>
        <v>37702</v>
      </c>
      <c r="N188" s="228">
        <f>SUM(N166,N169,N172,N177,N183:N184,N186)</f>
        <v>38609</v>
      </c>
      <c r="O188" s="228">
        <f>SUM(O166,O169,O172,O177,O183:O184,O186)</f>
        <v>39070</v>
      </c>
    </row>
    <row r="189" spans="1:17">
      <c r="A189" s="226" t="s">
        <v>6036</v>
      </c>
      <c r="D189" s="228">
        <f t="shared" ref="D189:L189" si="80">SUM(D165,D167:D168,D170:D171,D173:D176,D178:D183,D185)</f>
        <v>63190</v>
      </c>
      <c r="E189" s="228">
        <f t="shared" si="80"/>
        <v>63750</v>
      </c>
      <c r="F189" s="228">
        <f t="shared" si="80"/>
        <v>64142</v>
      </c>
      <c r="G189" s="228">
        <f t="shared" si="80"/>
        <v>64764</v>
      </c>
      <c r="H189" s="228">
        <f t="shared" si="80"/>
        <v>62806</v>
      </c>
      <c r="I189" s="228">
        <f t="shared" si="80"/>
        <v>63495</v>
      </c>
      <c r="J189" s="228">
        <f t="shared" si="80"/>
        <v>64039</v>
      </c>
      <c r="K189" s="228">
        <f t="shared" si="80"/>
        <v>66788</v>
      </c>
      <c r="L189" s="228">
        <f t="shared" si="80"/>
        <v>68119</v>
      </c>
      <c r="M189" s="228">
        <f>SUM(M165,M167:M168,M170:M171,M173:M176,M178:M182,M185)</f>
        <v>68729</v>
      </c>
      <c r="N189" s="228">
        <f>SUM(N165,N167:N168,N170:N171,N173:N176,N178:N182,N185)</f>
        <v>71138</v>
      </c>
      <c r="O189" s="228">
        <f>SUM(O165,O167:O168,O170:O171,O173:O176,O178:O182,O185)</f>
        <v>72529</v>
      </c>
    </row>
    <row r="190" spans="1:17">
      <c r="A190" s="226"/>
    </row>
    <row r="191" spans="1:17">
      <c r="A191" s="226" t="s">
        <v>12331</v>
      </c>
      <c r="D191" s="228"/>
      <c r="E191" s="228"/>
      <c r="F191" s="228"/>
      <c r="G191" s="228"/>
      <c r="H191" s="228"/>
      <c r="I191" s="228"/>
      <c r="J191" s="228"/>
      <c r="K191" s="228"/>
      <c r="L191" s="228"/>
      <c r="M191" s="228"/>
      <c r="N191" s="228"/>
      <c r="O191" s="228"/>
    </row>
    <row r="192" spans="1:17">
      <c r="A192" s="226"/>
      <c r="D192" s="228"/>
      <c r="E192" s="228"/>
      <c r="F192" s="228"/>
      <c r="G192" s="228"/>
      <c r="H192" s="228"/>
      <c r="I192" s="228"/>
      <c r="J192" s="228"/>
      <c r="K192" s="228"/>
      <c r="L192" s="228"/>
      <c r="M192" s="228"/>
      <c r="N192" s="228"/>
      <c r="O192" s="228"/>
    </row>
    <row r="193" spans="1:17">
      <c r="A193" s="226"/>
      <c r="B193" s="226"/>
      <c r="D193" s="233"/>
      <c r="E193" s="233"/>
      <c r="F193" s="233"/>
      <c r="G193" s="233"/>
      <c r="H193" s="233"/>
      <c r="I193" s="233"/>
      <c r="J193" s="233"/>
      <c r="K193" s="233"/>
      <c r="L193" s="233"/>
      <c r="M193" s="233"/>
      <c r="N193" s="233"/>
      <c r="O193" s="233"/>
    </row>
    <row r="194" spans="1:17">
      <c r="A194" s="226"/>
      <c r="B194" s="226"/>
      <c r="D194" s="233"/>
      <c r="E194" s="233"/>
      <c r="F194" s="233"/>
      <c r="G194" s="233"/>
      <c r="H194" s="233"/>
      <c r="I194" s="233"/>
      <c r="J194" s="233"/>
      <c r="K194" s="233"/>
      <c r="L194" s="233"/>
      <c r="M194" s="233"/>
      <c r="N194" s="233"/>
      <c r="O194" s="233"/>
    </row>
    <row r="195" spans="1:17">
      <c r="E195" s="51" t="s">
        <v>1526</v>
      </c>
      <c r="F195" s="51"/>
      <c r="G195" s="51"/>
      <c r="H195" s="51"/>
      <c r="I195" s="51"/>
      <c r="J195" s="51"/>
      <c r="K195" s="51"/>
      <c r="L195" s="51"/>
      <c r="M195" s="51"/>
      <c r="N195" s="51"/>
      <c r="O195" s="51"/>
      <c r="P195" s="173"/>
      <c r="Q195" s="173" t="s">
        <v>9479</v>
      </c>
    </row>
    <row r="196" spans="1:17">
      <c r="D196" s="227">
        <v>2010</v>
      </c>
      <c r="E196" s="227">
        <v>2011</v>
      </c>
      <c r="F196" s="227">
        <v>2012</v>
      </c>
      <c r="G196" s="227">
        <v>2013</v>
      </c>
      <c r="H196" s="227">
        <v>2014</v>
      </c>
      <c r="I196" s="227">
        <v>2015</v>
      </c>
      <c r="J196" s="227">
        <v>2016</v>
      </c>
      <c r="K196" s="227">
        <v>2017</v>
      </c>
      <c r="L196" s="227">
        <v>2018</v>
      </c>
      <c r="M196" s="227">
        <v>2019</v>
      </c>
      <c r="N196" s="227">
        <v>2020</v>
      </c>
      <c r="O196" s="927" t="s">
        <v>14823</v>
      </c>
      <c r="Q196" s="206" t="s">
        <v>1527</v>
      </c>
    </row>
    <row r="197" spans="1:17">
      <c r="A197" s="226" t="s">
        <v>6037</v>
      </c>
      <c r="D197" s="228">
        <f t="shared" ref="D197:I197" si="81">SUM(D198:D223)</f>
        <v>100172</v>
      </c>
      <c r="E197" s="228">
        <f t="shared" si="81"/>
        <v>101739</v>
      </c>
      <c r="F197" s="228">
        <f t="shared" si="81"/>
        <v>102770</v>
      </c>
      <c r="G197" s="228">
        <f t="shared" si="81"/>
        <v>103635</v>
      </c>
      <c r="H197" s="228">
        <f t="shared" si="81"/>
        <v>106256</v>
      </c>
      <c r="I197" s="228">
        <f t="shared" si="81"/>
        <v>104742</v>
      </c>
      <c r="J197" s="228">
        <f t="shared" ref="J197:O197" si="82">SUM(J198:J223)</f>
        <v>104358</v>
      </c>
      <c r="K197" s="228">
        <f t="shared" si="82"/>
        <v>110296</v>
      </c>
      <c r="L197" s="228">
        <f t="shared" si="82"/>
        <v>110194</v>
      </c>
      <c r="M197" s="228">
        <f t="shared" si="82"/>
        <v>109816</v>
      </c>
      <c r="N197" s="228">
        <f t="shared" si="82"/>
        <v>111127</v>
      </c>
      <c r="O197" s="228">
        <f t="shared" si="82"/>
        <v>112500</v>
      </c>
    </row>
    <row r="198" spans="1:17">
      <c r="A198" s="226" t="s">
        <v>5387</v>
      </c>
      <c r="B198" s="226" t="s">
        <v>6038</v>
      </c>
      <c r="C198" s="55" t="s">
        <v>8415</v>
      </c>
      <c r="D198" s="228">
        <v>4063</v>
      </c>
      <c r="E198" s="228">
        <v>4184</v>
      </c>
      <c r="F198" s="228">
        <v>4199</v>
      </c>
      <c r="G198" s="63">
        <v>4232</v>
      </c>
      <c r="H198" s="63">
        <v>4322</v>
      </c>
      <c r="I198" s="56">
        <v>4229</v>
      </c>
      <c r="J198" s="56">
        <v>4179</v>
      </c>
      <c r="K198" s="56">
        <v>4425</v>
      </c>
      <c r="L198" s="56">
        <v>4532</v>
      </c>
      <c r="M198" s="56">
        <v>4544</v>
      </c>
      <c r="N198" s="56">
        <v>4653</v>
      </c>
      <c r="O198" s="56">
        <v>4749</v>
      </c>
      <c r="Q198" s="226" t="s">
        <v>1554</v>
      </c>
    </row>
    <row r="199" spans="1:17">
      <c r="A199" s="226" t="s">
        <v>5389</v>
      </c>
      <c r="B199" s="226" t="s">
        <v>6039</v>
      </c>
      <c r="C199" s="55" t="s">
        <v>8416</v>
      </c>
      <c r="D199" s="228">
        <v>2031</v>
      </c>
      <c r="E199" s="228">
        <v>2058</v>
      </c>
      <c r="F199" s="228">
        <v>2088</v>
      </c>
      <c r="G199" s="63">
        <v>2090</v>
      </c>
      <c r="H199" s="63">
        <v>2084</v>
      </c>
      <c r="I199" s="56">
        <v>2031</v>
      </c>
      <c r="J199" s="56">
        <v>2023</v>
      </c>
      <c r="K199" s="56">
        <v>2125</v>
      </c>
      <c r="L199" s="56">
        <v>2085</v>
      </c>
      <c r="M199" s="56">
        <v>2096</v>
      </c>
      <c r="N199" s="56">
        <v>2099</v>
      </c>
      <c r="O199" s="56">
        <v>2097</v>
      </c>
      <c r="Q199" s="226" t="s">
        <v>1555</v>
      </c>
    </row>
    <row r="200" spans="1:17">
      <c r="A200" s="226" t="s">
        <v>5391</v>
      </c>
      <c r="B200" s="226" t="s">
        <v>6040</v>
      </c>
      <c r="C200" s="55" t="s">
        <v>8417</v>
      </c>
      <c r="D200" s="228">
        <v>2118</v>
      </c>
      <c r="E200" s="228">
        <v>2121</v>
      </c>
      <c r="F200" s="228">
        <v>2126</v>
      </c>
      <c r="G200" s="63">
        <v>2131</v>
      </c>
      <c r="H200" s="63">
        <v>2202</v>
      </c>
      <c r="I200" s="56">
        <v>2153</v>
      </c>
      <c r="J200" s="56">
        <v>2118</v>
      </c>
      <c r="K200" s="56">
        <v>2216</v>
      </c>
      <c r="L200" s="56">
        <v>2185</v>
      </c>
      <c r="M200" s="56">
        <v>2138</v>
      </c>
      <c r="N200" s="56">
        <v>2174</v>
      </c>
      <c r="O200" s="56">
        <v>2225</v>
      </c>
      <c r="Q200" s="226" t="s">
        <v>1555</v>
      </c>
    </row>
    <row r="201" spans="1:17">
      <c r="A201" s="226" t="s">
        <v>5393</v>
      </c>
      <c r="B201" s="226" t="s">
        <v>6041</v>
      </c>
      <c r="C201" s="55" t="s">
        <v>8418</v>
      </c>
      <c r="D201" s="236">
        <v>3624</v>
      </c>
      <c r="E201" s="236">
        <v>3687</v>
      </c>
      <c r="F201" s="236">
        <v>3753</v>
      </c>
      <c r="G201" s="63">
        <v>3769</v>
      </c>
      <c r="H201" s="63">
        <v>3909</v>
      </c>
      <c r="I201" s="56">
        <v>3836</v>
      </c>
      <c r="J201" s="56">
        <v>3812</v>
      </c>
      <c r="K201" s="56">
        <v>4016</v>
      </c>
      <c r="L201" s="56">
        <v>3968</v>
      </c>
      <c r="M201" s="56">
        <v>3945</v>
      </c>
      <c r="N201" s="56">
        <v>3905</v>
      </c>
      <c r="O201" s="56">
        <v>3942</v>
      </c>
      <c r="Q201" s="226" t="s">
        <v>1555</v>
      </c>
    </row>
    <row r="202" spans="1:17">
      <c r="A202" s="226" t="s">
        <v>5394</v>
      </c>
      <c r="B202" s="226" t="s">
        <v>6052</v>
      </c>
      <c r="C202" s="55" t="s">
        <v>8419</v>
      </c>
      <c r="D202" s="229">
        <v>3800</v>
      </c>
      <c r="E202" s="229">
        <v>3857</v>
      </c>
      <c r="F202" s="229">
        <v>3835</v>
      </c>
      <c r="G202" s="63">
        <v>3927</v>
      </c>
      <c r="H202" s="63">
        <v>4009</v>
      </c>
      <c r="I202" s="56">
        <v>3950</v>
      </c>
      <c r="J202" s="56">
        <v>3903</v>
      </c>
      <c r="K202" s="56">
        <v>4069</v>
      </c>
      <c r="L202" s="56">
        <v>4074</v>
      </c>
      <c r="M202" s="56">
        <v>4003</v>
      </c>
      <c r="N202" s="56">
        <v>3989</v>
      </c>
      <c r="O202" s="56">
        <v>4009</v>
      </c>
      <c r="Q202" s="226" t="s">
        <v>1555</v>
      </c>
    </row>
    <row r="203" spans="1:17">
      <c r="A203" s="226" t="s">
        <v>5416</v>
      </c>
      <c r="B203" s="226" t="s">
        <v>6053</v>
      </c>
      <c r="C203" s="55" t="s">
        <v>8420</v>
      </c>
      <c r="D203" s="236">
        <v>3628</v>
      </c>
      <c r="E203" s="236">
        <v>3670</v>
      </c>
      <c r="F203" s="236">
        <v>3673</v>
      </c>
      <c r="G203" s="63">
        <v>3654</v>
      </c>
      <c r="H203" s="63">
        <v>3759</v>
      </c>
      <c r="I203" s="56">
        <v>3677</v>
      </c>
      <c r="J203" s="56">
        <v>3650</v>
      </c>
      <c r="K203" s="56">
        <v>3784</v>
      </c>
      <c r="L203" s="56">
        <v>3737</v>
      </c>
      <c r="M203" s="56">
        <v>3671</v>
      </c>
      <c r="N203" s="56">
        <v>3635</v>
      </c>
      <c r="O203" s="56">
        <v>3654</v>
      </c>
      <c r="Q203" s="226" t="s">
        <v>1555</v>
      </c>
    </row>
    <row r="204" spans="1:17">
      <c r="A204" s="226" t="s">
        <v>5418</v>
      </c>
      <c r="B204" s="226" t="s">
        <v>6054</v>
      </c>
      <c r="C204" s="55" t="s">
        <v>8421</v>
      </c>
      <c r="D204" s="228">
        <v>3453</v>
      </c>
      <c r="E204" s="228">
        <v>3440</v>
      </c>
      <c r="F204" s="228">
        <v>3530</v>
      </c>
      <c r="G204" s="63">
        <v>3558</v>
      </c>
      <c r="H204" s="63">
        <v>3691</v>
      </c>
      <c r="I204" s="56">
        <v>3556</v>
      </c>
      <c r="J204" s="56">
        <v>3560</v>
      </c>
      <c r="K204" s="56">
        <v>3820</v>
      </c>
      <c r="L204" s="56">
        <v>3810</v>
      </c>
      <c r="M204" s="56">
        <v>3723</v>
      </c>
      <c r="N204" s="56">
        <v>3704</v>
      </c>
      <c r="O204" s="56">
        <v>3743</v>
      </c>
      <c r="Q204" s="226" t="s">
        <v>1555</v>
      </c>
    </row>
    <row r="205" spans="1:17">
      <c r="A205" s="226" t="s">
        <v>5420</v>
      </c>
      <c r="B205" s="226" t="s">
        <v>6055</v>
      </c>
      <c r="C205" s="55" t="s">
        <v>8422</v>
      </c>
      <c r="D205" s="236">
        <v>3338</v>
      </c>
      <c r="E205" s="236">
        <v>3423</v>
      </c>
      <c r="F205" s="236">
        <v>3465</v>
      </c>
      <c r="G205" s="63">
        <v>3455</v>
      </c>
      <c r="H205" s="63">
        <v>3725</v>
      </c>
      <c r="I205" s="56">
        <v>3723</v>
      </c>
      <c r="J205" s="56">
        <v>3676</v>
      </c>
      <c r="K205" s="56">
        <v>3841</v>
      </c>
      <c r="L205" s="56">
        <v>3967</v>
      </c>
      <c r="M205" s="56">
        <v>4178</v>
      </c>
      <c r="N205" s="56">
        <v>4466</v>
      </c>
      <c r="O205" s="56">
        <v>4538</v>
      </c>
      <c r="Q205" s="226" t="s">
        <v>1555</v>
      </c>
    </row>
    <row r="206" spans="1:17">
      <c r="A206" s="226" t="s">
        <v>5422</v>
      </c>
      <c r="B206" s="226" t="s">
        <v>6056</v>
      </c>
      <c r="C206" s="55" t="s">
        <v>8423</v>
      </c>
      <c r="D206" s="236">
        <v>3832</v>
      </c>
      <c r="E206" s="236">
        <v>3946</v>
      </c>
      <c r="F206" s="236">
        <v>3980</v>
      </c>
      <c r="G206" s="63">
        <v>4016</v>
      </c>
      <c r="H206" s="63">
        <v>4096</v>
      </c>
      <c r="I206" s="56">
        <v>4119</v>
      </c>
      <c r="J206" s="56">
        <v>4141</v>
      </c>
      <c r="K206" s="56">
        <v>4334</v>
      </c>
      <c r="L206" s="56">
        <v>4331</v>
      </c>
      <c r="M206" s="56">
        <v>4342</v>
      </c>
      <c r="N206" s="56">
        <v>4424</v>
      </c>
      <c r="O206" s="56">
        <v>4490</v>
      </c>
      <c r="Q206" s="226" t="s">
        <v>1555</v>
      </c>
    </row>
    <row r="207" spans="1:17">
      <c r="A207" s="226" t="s">
        <v>5424</v>
      </c>
      <c r="B207" s="226" t="s">
        <v>4545</v>
      </c>
      <c r="C207" s="55" t="s">
        <v>8424</v>
      </c>
      <c r="D207" s="228">
        <v>3702</v>
      </c>
      <c r="E207" s="228">
        <v>3742</v>
      </c>
      <c r="F207" s="228">
        <v>3742</v>
      </c>
      <c r="G207" s="63">
        <v>3753</v>
      </c>
      <c r="H207" s="63">
        <v>3816</v>
      </c>
      <c r="I207" s="56">
        <v>3757</v>
      </c>
      <c r="J207" s="56">
        <v>3747</v>
      </c>
      <c r="K207" s="56">
        <v>4005</v>
      </c>
      <c r="L207" s="56">
        <v>3922</v>
      </c>
      <c r="M207" s="56">
        <v>3887</v>
      </c>
      <c r="N207" s="56">
        <v>3872</v>
      </c>
      <c r="O207" s="56">
        <v>3902</v>
      </c>
      <c r="Q207" s="226" t="s">
        <v>1554</v>
      </c>
    </row>
    <row r="208" spans="1:17">
      <c r="A208" s="226" t="s">
        <v>5426</v>
      </c>
      <c r="B208" s="226" t="s">
        <v>4546</v>
      </c>
      <c r="C208" s="55" t="s">
        <v>8425</v>
      </c>
      <c r="D208" s="228">
        <v>5269</v>
      </c>
      <c r="E208" s="228">
        <v>5325</v>
      </c>
      <c r="F208" s="228">
        <v>5377</v>
      </c>
      <c r="G208" s="63">
        <v>5419</v>
      </c>
      <c r="H208" s="63">
        <v>5539</v>
      </c>
      <c r="I208" s="56">
        <v>5498</v>
      </c>
      <c r="J208" s="56">
        <v>5435</v>
      </c>
      <c r="K208" s="56">
        <v>5766</v>
      </c>
      <c r="L208" s="56">
        <v>5789</v>
      </c>
      <c r="M208" s="56">
        <v>5733</v>
      </c>
      <c r="N208" s="56">
        <v>5753</v>
      </c>
      <c r="O208" s="56">
        <v>5793</v>
      </c>
      <c r="Q208" s="226" t="s">
        <v>1554</v>
      </c>
    </row>
    <row r="209" spans="1:17">
      <c r="A209" s="226" t="s">
        <v>5428</v>
      </c>
      <c r="B209" s="226" t="s">
        <v>4547</v>
      </c>
      <c r="C209" s="55" t="s">
        <v>8426</v>
      </c>
      <c r="D209" s="236">
        <v>3733</v>
      </c>
      <c r="E209" s="236">
        <v>3766</v>
      </c>
      <c r="F209" s="236">
        <v>3789</v>
      </c>
      <c r="G209" s="63">
        <v>3863</v>
      </c>
      <c r="H209" s="63">
        <v>3971</v>
      </c>
      <c r="I209" s="56">
        <v>3945</v>
      </c>
      <c r="J209" s="56">
        <v>3973</v>
      </c>
      <c r="K209" s="56">
        <v>4280</v>
      </c>
      <c r="L209" s="56">
        <v>4326</v>
      </c>
      <c r="M209" s="56">
        <v>4308</v>
      </c>
      <c r="N209" s="56">
        <v>4454</v>
      </c>
      <c r="O209" s="56">
        <v>4552</v>
      </c>
      <c r="Q209" s="226" t="s">
        <v>1555</v>
      </c>
    </row>
    <row r="210" spans="1:17">
      <c r="A210" s="226" t="s">
        <v>5429</v>
      </c>
      <c r="B210" s="226" t="s">
        <v>4548</v>
      </c>
      <c r="C210" s="55" t="s">
        <v>8427</v>
      </c>
      <c r="D210" s="228">
        <v>3943</v>
      </c>
      <c r="E210" s="228">
        <v>4127</v>
      </c>
      <c r="F210" s="228">
        <v>4161</v>
      </c>
      <c r="G210" s="63">
        <v>4177</v>
      </c>
      <c r="H210" s="63">
        <v>4225</v>
      </c>
      <c r="I210" s="56">
        <v>4145</v>
      </c>
      <c r="J210" s="56">
        <v>4164</v>
      </c>
      <c r="K210" s="56">
        <v>4432</v>
      </c>
      <c r="L210" s="56">
        <v>4400</v>
      </c>
      <c r="M210" s="56">
        <v>4383</v>
      </c>
      <c r="N210" s="56">
        <v>4320</v>
      </c>
      <c r="O210" s="56">
        <v>4343</v>
      </c>
      <c r="Q210" s="226" t="s">
        <v>1555</v>
      </c>
    </row>
    <row r="211" spans="1:17">
      <c r="A211" s="226" t="s">
        <v>5431</v>
      </c>
      <c r="B211" s="226" t="s">
        <v>4549</v>
      </c>
      <c r="C211" s="55" t="s">
        <v>8428</v>
      </c>
      <c r="D211" s="228">
        <v>3727</v>
      </c>
      <c r="E211" s="228">
        <v>3811</v>
      </c>
      <c r="F211" s="228">
        <v>3836</v>
      </c>
      <c r="G211" s="63">
        <v>3852</v>
      </c>
      <c r="H211" s="63">
        <v>3845</v>
      </c>
      <c r="I211" s="58">
        <v>3802</v>
      </c>
      <c r="J211" s="58">
        <v>3766</v>
      </c>
      <c r="K211" s="58">
        <v>3884</v>
      </c>
      <c r="L211" s="58">
        <v>3820</v>
      </c>
      <c r="M211" s="58">
        <v>3869</v>
      </c>
      <c r="N211" s="58">
        <v>3835</v>
      </c>
      <c r="O211" s="58">
        <v>3859</v>
      </c>
      <c r="Q211" s="226" t="s">
        <v>1555</v>
      </c>
    </row>
    <row r="212" spans="1:17">
      <c r="A212" s="226" t="s">
        <v>5433</v>
      </c>
      <c r="B212" s="226" t="s">
        <v>4550</v>
      </c>
      <c r="C212" s="55" t="s">
        <v>8429</v>
      </c>
      <c r="D212" s="228">
        <v>3596</v>
      </c>
      <c r="E212" s="228">
        <v>3610</v>
      </c>
      <c r="F212" s="228">
        <v>3667</v>
      </c>
      <c r="G212" s="63">
        <v>3658</v>
      </c>
      <c r="H212" s="63">
        <v>3742</v>
      </c>
      <c r="I212" s="58">
        <v>3777</v>
      </c>
      <c r="J212" s="58">
        <v>3741</v>
      </c>
      <c r="K212" s="58">
        <v>3907</v>
      </c>
      <c r="L212" s="58">
        <v>3856</v>
      </c>
      <c r="M212" s="58">
        <v>3799</v>
      </c>
      <c r="N212" s="58">
        <v>3783</v>
      </c>
      <c r="O212" s="58">
        <v>3793</v>
      </c>
      <c r="Q212" s="226" t="s">
        <v>1555</v>
      </c>
    </row>
    <row r="213" spans="1:17">
      <c r="A213" s="226" t="s">
        <v>5435</v>
      </c>
      <c r="B213" s="226" t="s">
        <v>4551</v>
      </c>
      <c r="C213" s="55" t="s">
        <v>8430</v>
      </c>
      <c r="D213" s="228">
        <v>3263</v>
      </c>
      <c r="E213" s="228">
        <v>3330</v>
      </c>
      <c r="F213" s="228">
        <v>3351</v>
      </c>
      <c r="G213" s="63">
        <v>3375</v>
      </c>
      <c r="H213" s="63">
        <v>3461</v>
      </c>
      <c r="I213" s="58">
        <v>3415</v>
      </c>
      <c r="J213" s="58">
        <v>3538</v>
      </c>
      <c r="K213" s="58">
        <v>3704</v>
      </c>
      <c r="L213" s="58">
        <v>3648</v>
      </c>
      <c r="M213" s="58">
        <v>3635</v>
      </c>
      <c r="N213" s="58">
        <v>3663</v>
      </c>
      <c r="O213" s="58">
        <v>3690</v>
      </c>
      <c r="Q213" s="226" t="s">
        <v>1555</v>
      </c>
    </row>
    <row r="214" spans="1:17">
      <c r="A214" s="226" t="s">
        <v>5436</v>
      </c>
      <c r="B214" s="226" t="s">
        <v>6103</v>
      </c>
      <c r="C214" s="55" t="s">
        <v>8431</v>
      </c>
      <c r="D214" s="228">
        <v>3523</v>
      </c>
      <c r="E214" s="228">
        <v>3553</v>
      </c>
      <c r="F214" s="228">
        <v>3647</v>
      </c>
      <c r="G214" s="63">
        <v>3699</v>
      </c>
      <c r="H214" s="63">
        <v>3765</v>
      </c>
      <c r="I214" s="58">
        <v>3605</v>
      </c>
      <c r="J214" s="58">
        <v>3514</v>
      </c>
      <c r="K214" s="58">
        <v>3850</v>
      </c>
      <c r="L214" s="58">
        <v>3865</v>
      </c>
      <c r="M214" s="58">
        <v>3790</v>
      </c>
      <c r="N214" s="58">
        <v>4014</v>
      </c>
      <c r="O214" s="58">
        <v>4081</v>
      </c>
      <c r="Q214" s="226" t="s">
        <v>1555</v>
      </c>
    </row>
    <row r="215" spans="1:17">
      <c r="A215" s="226" t="s">
        <v>5437</v>
      </c>
      <c r="B215" s="226" t="s">
        <v>6104</v>
      </c>
      <c r="C215" s="55" t="s">
        <v>8432</v>
      </c>
      <c r="D215" s="228">
        <v>5639</v>
      </c>
      <c r="E215" s="228">
        <v>5775</v>
      </c>
      <c r="F215" s="228">
        <v>5964</v>
      </c>
      <c r="G215" s="63">
        <v>6041</v>
      </c>
      <c r="H215" s="63">
        <v>6223</v>
      </c>
      <c r="I215" s="56">
        <v>6165</v>
      </c>
      <c r="J215" s="56">
        <v>6123</v>
      </c>
      <c r="K215" s="56">
        <v>6405</v>
      </c>
      <c r="L215" s="56">
        <v>6344</v>
      </c>
      <c r="M215" s="56">
        <v>6306</v>
      </c>
      <c r="N215" s="56">
        <v>6367</v>
      </c>
      <c r="O215" s="56">
        <v>6416</v>
      </c>
      <c r="Q215" s="226" t="s">
        <v>6021</v>
      </c>
    </row>
    <row r="216" spans="1:17">
      <c r="A216" s="226" t="s">
        <v>5439</v>
      </c>
      <c r="B216" s="226" t="s">
        <v>6759</v>
      </c>
      <c r="C216" s="55" t="s">
        <v>8433</v>
      </c>
      <c r="D216" s="228">
        <v>3780</v>
      </c>
      <c r="E216" s="228">
        <v>3937</v>
      </c>
      <c r="F216" s="228">
        <v>3995</v>
      </c>
      <c r="G216" s="63">
        <v>4002</v>
      </c>
      <c r="H216" s="63">
        <v>4077</v>
      </c>
      <c r="I216" s="58">
        <v>3967</v>
      </c>
      <c r="J216" s="58">
        <v>3894</v>
      </c>
      <c r="K216" s="58">
        <v>4099</v>
      </c>
      <c r="L216" s="58">
        <v>4075</v>
      </c>
      <c r="M216" s="58">
        <v>4033</v>
      </c>
      <c r="N216" s="58">
        <v>4022</v>
      </c>
      <c r="O216" s="58">
        <v>4104</v>
      </c>
      <c r="Q216" s="226" t="s">
        <v>1555</v>
      </c>
    </row>
    <row r="217" spans="1:17">
      <c r="A217" s="226" t="s">
        <v>5441</v>
      </c>
      <c r="B217" s="226" t="s">
        <v>6760</v>
      </c>
      <c r="C217" s="55" t="s">
        <v>8434</v>
      </c>
      <c r="D217" s="228">
        <v>3929</v>
      </c>
      <c r="E217" s="228">
        <v>3914</v>
      </c>
      <c r="F217" s="228">
        <v>3999</v>
      </c>
      <c r="G217" s="63">
        <v>4136</v>
      </c>
      <c r="H217" s="63">
        <v>4288</v>
      </c>
      <c r="I217" s="58">
        <v>4159</v>
      </c>
      <c r="J217" s="58">
        <v>4215</v>
      </c>
      <c r="K217" s="58">
        <v>4363</v>
      </c>
      <c r="L217" s="58">
        <v>4335</v>
      </c>
      <c r="M217" s="58">
        <v>4306</v>
      </c>
      <c r="N217" s="58">
        <v>4356</v>
      </c>
      <c r="O217" s="58">
        <v>4427</v>
      </c>
      <c r="Q217" s="226" t="s">
        <v>1555</v>
      </c>
    </row>
    <row r="218" spans="1:17">
      <c r="A218" s="226" t="s">
        <v>5886</v>
      </c>
      <c r="B218" s="226" t="s">
        <v>3101</v>
      </c>
      <c r="C218" s="55" t="s">
        <v>8435</v>
      </c>
      <c r="D218" s="228">
        <v>3410</v>
      </c>
      <c r="E218" s="228">
        <v>3473</v>
      </c>
      <c r="F218" s="228">
        <v>3464</v>
      </c>
      <c r="G218" s="63">
        <v>3582</v>
      </c>
      <c r="H218" s="63">
        <v>3727</v>
      </c>
      <c r="I218" s="58">
        <v>3673</v>
      </c>
      <c r="J218" s="58">
        <v>3739</v>
      </c>
      <c r="K218" s="58">
        <v>4013</v>
      </c>
      <c r="L218" s="58">
        <v>4052</v>
      </c>
      <c r="M218" s="58">
        <v>3968</v>
      </c>
      <c r="N218" s="58">
        <v>4079</v>
      </c>
      <c r="O218" s="58">
        <v>4145</v>
      </c>
      <c r="Q218" s="226" t="s">
        <v>1555</v>
      </c>
    </row>
    <row r="219" spans="1:17">
      <c r="A219" s="226" t="s">
        <v>5888</v>
      </c>
      <c r="B219" s="226" t="s">
        <v>3102</v>
      </c>
      <c r="C219" s="55" t="s">
        <v>8436</v>
      </c>
      <c r="D219" s="228">
        <v>3839</v>
      </c>
      <c r="E219" s="228">
        <v>3922</v>
      </c>
      <c r="F219" s="228">
        <v>3952</v>
      </c>
      <c r="G219" s="63">
        <v>3980</v>
      </c>
      <c r="H219" s="63">
        <v>4096</v>
      </c>
      <c r="I219" s="58">
        <v>4002</v>
      </c>
      <c r="J219" s="58">
        <v>3973</v>
      </c>
      <c r="K219" s="58">
        <v>4141</v>
      </c>
      <c r="L219" s="58">
        <v>4190</v>
      </c>
      <c r="M219" s="58">
        <v>4171</v>
      </c>
      <c r="N219" s="58">
        <v>4288</v>
      </c>
      <c r="O219" s="58">
        <v>4375</v>
      </c>
      <c r="Q219" s="226" t="s">
        <v>1555</v>
      </c>
    </row>
    <row r="220" spans="1:17">
      <c r="A220" s="226" t="s">
        <v>5889</v>
      </c>
      <c r="B220" s="226" t="s">
        <v>3103</v>
      </c>
      <c r="C220" s="55" t="s">
        <v>8437</v>
      </c>
      <c r="D220" s="228">
        <v>4121</v>
      </c>
      <c r="E220" s="228">
        <v>4123</v>
      </c>
      <c r="F220" s="228">
        <v>4076</v>
      </c>
      <c r="G220" s="63">
        <v>4054</v>
      </c>
      <c r="H220" s="63">
        <v>4279</v>
      </c>
      <c r="I220" s="58">
        <v>4188</v>
      </c>
      <c r="J220" s="58">
        <v>4280</v>
      </c>
      <c r="K220" s="58">
        <v>4681</v>
      </c>
      <c r="L220" s="58">
        <v>4766</v>
      </c>
      <c r="M220" s="58">
        <v>4906</v>
      </c>
      <c r="N220" s="58">
        <v>5024</v>
      </c>
      <c r="O220" s="58">
        <v>5107</v>
      </c>
      <c r="Q220" s="226" t="s">
        <v>1555</v>
      </c>
    </row>
    <row r="221" spans="1:17">
      <c r="A221" s="226" t="s">
        <v>4431</v>
      </c>
      <c r="B221" s="226" t="s">
        <v>3104</v>
      </c>
      <c r="C221" s="55" t="s">
        <v>8438</v>
      </c>
      <c r="D221" s="228">
        <v>3892</v>
      </c>
      <c r="E221" s="228">
        <v>3888</v>
      </c>
      <c r="F221" s="228">
        <v>3905</v>
      </c>
      <c r="G221" s="63">
        <v>3868</v>
      </c>
      <c r="H221" s="63">
        <v>3900</v>
      </c>
      <c r="I221" s="58">
        <v>3867</v>
      </c>
      <c r="J221" s="58">
        <v>3834</v>
      </c>
      <c r="K221" s="58">
        <v>3963</v>
      </c>
      <c r="L221" s="58">
        <v>3932</v>
      </c>
      <c r="M221" s="58">
        <v>3839</v>
      </c>
      <c r="N221" s="58">
        <v>3869</v>
      </c>
      <c r="O221" s="58">
        <v>3938</v>
      </c>
      <c r="Q221" s="226" t="s">
        <v>1555</v>
      </c>
    </row>
    <row r="222" spans="1:17">
      <c r="A222" s="226" t="s">
        <v>4432</v>
      </c>
      <c r="B222" s="226" t="s">
        <v>3079</v>
      </c>
      <c r="C222" s="55" t="s">
        <v>8439</v>
      </c>
      <c r="D222" s="228">
        <v>5545</v>
      </c>
      <c r="E222" s="228">
        <v>5669</v>
      </c>
      <c r="F222" s="228">
        <v>5679</v>
      </c>
      <c r="G222" s="63">
        <v>5756</v>
      </c>
      <c r="H222" s="63">
        <v>5811</v>
      </c>
      <c r="I222" s="56">
        <v>5803</v>
      </c>
      <c r="J222" s="56">
        <v>5725</v>
      </c>
      <c r="K222" s="56">
        <v>6142</v>
      </c>
      <c r="L222" s="56">
        <v>6212</v>
      </c>
      <c r="M222" s="56">
        <v>6282</v>
      </c>
      <c r="N222" s="56">
        <v>6357</v>
      </c>
      <c r="O222" s="56">
        <v>6480</v>
      </c>
      <c r="Q222" s="226" t="s">
        <v>6021</v>
      </c>
    </row>
    <row r="223" spans="1:17">
      <c r="A223" s="226" t="s">
        <v>4434</v>
      </c>
      <c r="B223" s="226" t="s">
        <v>3080</v>
      </c>
      <c r="C223" s="55" t="s">
        <v>8440</v>
      </c>
      <c r="D223" s="228">
        <v>5374</v>
      </c>
      <c r="E223" s="228">
        <v>5388</v>
      </c>
      <c r="F223" s="228">
        <v>5517</v>
      </c>
      <c r="G223" s="63">
        <v>5588</v>
      </c>
      <c r="H223" s="63">
        <v>5694</v>
      </c>
      <c r="I223" s="58">
        <v>5700</v>
      </c>
      <c r="J223" s="58">
        <v>5635</v>
      </c>
      <c r="K223" s="58">
        <v>6031</v>
      </c>
      <c r="L223" s="58">
        <v>5973</v>
      </c>
      <c r="M223" s="58">
        <v>5961</v>
      </c>
      <c r="N223" s="58">
        <v>6022</v>
      </c>
      <c r="O223" s="58">
        <v>6048</v>
      </c>
      <c r="Q223" s="226" t="s">
        <v>1555</v>
      </c>
    </row>
    <row r="225" spans="1:17">
      <c r="A225" s="226" t="s">
        <v>6735</v>
      </c>
      <c r="D225" s="228">
        <f t="shared" ref="D225:I225" si="83">D215+D222</f>
        <v>11184</v>
      </c>
      <c r="E225" s="228">
        <f t="shared" si="83"/>
        <v>11444</v>
      </c>
      <c r="F225" s="228">
        <f t="shared" si="83"/>
        <v>11643</v>
      </c>
      <c r="G225" s="228">
        <f t="shared" si="83"/>
        <v>11797</v>
      </c>
      <c r="H225" s="228">
        <f t="shared" si="83"/>
        <v>12034</v>
      </c>
      <c r="I225" s="228">
        <f t="shared" si="83"/>
        <v>11968</v>
      </c>
      <c r="J225" s="228">
        <f t="shared" ref="J225:O225" si="84">J215+J222</f>
        <v>11848</v>
      </c>
      <c r="K225" s="228">
        <f t="shared" si="84"/>
        <v>12547</v>
      </c>
      <c r="L225" s="228">
        <f t="shared" si="84"/>
        <v>12556</v>
      </c>
      <c r="M225" s="228">
        <f t="shared" si="84"/>
        <v>12588</v>
      </c>
      <c r="N225" s="228">
        <f t="shared" si="84"/>
        <v>12724</v>
      </c>
      <c r="O225" s="228">
        <f t="shared" si="84"/>
        <v>12896</v>
      </c>
    </row>
    <row r="226" spans="1:17">
      <c r="A226" s="226" t="s">
        <v>6036</v>
      </c>
      <c r="D226" s="228">
        <f t="shared" ref="D226:N226" si="85">D198+D207+D208</f>
        <v>13034</v>
      </c>
      <c r="E226" s="228">
        <f t="shared" si="85"/>
        <v>13251</v>
      </c>
      <c r="F226" s="228">
        <f t="shared" si="85"/>
        <v>13318</v>
      </c>
      <c r="G226" s="228">
        <f t="shared" si="85"/>
        <v>13404</v>
      </c>
      <c r="H226" s="228">
        <f t="shared" si="85"/>
        <v>13677</v>
      </c>
      <c r="I226" s="228">
        <f t="shared" si="85"/>
        <v>13484</v>
      </c>
      <c r="J226" s="228">
        <f t="shared" si="85"/>
        <v>13361</v>
      </c>
      <c r="K226" s="228">
        <f t="shared" si="85"/>
        <v>14196</v>
      </c>
      <c r="L226" s="228">
        <f t="shared" si="85"/>
        <v>14243</v>
      </c>
      <c r="M226" s="228">
        <f t="shared" si="85"/>
        <v>14164</v>
      </c>
      <c r="N226" s="228">
        <f t="shared" si="85"/>
        <v>14278</v>
      </c>
      <c r="O226" s="228">
        <f>O198+O207+O208</f>
        <v>14444</v>
      </c>
    </row>
    <row r="227" spans="1:17">
      <c r="A227" s="226" t="s">
        <v>1555</v>
      </c>
      <c r="D227" s="228">
        <f t="shared" ref="D227:I227" si="86">SUM(D199:D206)+SUM(D209:D214)+SUM(D216:D221)+D223</f>
        <v>75954</v>
      </c>
      <c r="E227" s="228">
        <f t="shared" si="86"/>
        <v>77044</v>
      </c>
      <c r="F227" s="228">
        <f t="shared" si="86"/>
        <v>77809</v>
      </c>
      <c r="G227" s="228">
        <f t="shared" si="86"/>
        <v>78434</v>
      </c>
      <c r="H227" s="228">
        <f t="shared" si="86"/>
        <v>80545</v>
      </c>
      <c r="I227" s="228">
        <f t="shared" si="86"/>
        <v>79290</v>
      </c>
      <c r="J227" s="228">
        <f t="shared" ref="J227:O227" si="87">SUM(J199:J206)+SUM(J209:J214)+SUM(J216:J221)+J223</f>
        <v>79149</v>
      </c>
      <c r="K227" s="228">
        <f t="shared" si="87"/>
        <v>83553</v>
      </c>
      <c r="L227" s="228">
        <f t="shared" si="87"/>
        <v>83395</v>
      </c>
      <c r="M227" s="228">
        <f t="shared" si="87"/>
        <v>83064</v>
      </c>
      <c r="N227" s="228">
        <f t="shared" si="87"/>
        <v>84125</v>
      </c>
      <c r="O227" s="228">
        <f t="shared" si="87"/>
        <v>85160</v>
      </c>
    </row>
    <row r="228" spans="1:17">
      <c r="A228" s="226"/>
      <c r="D228" s="228"/>
      <c r="E228" s="228"/>
      <c r="F228" s="228"/>
      <c r="G228" s="228"/>
      <c r="H228" s="228"/>
      <c r="I228" s="228"/>
      <c r="J228" s="228"/>
      <c r="K228" s="228"/>
      <c r="L228" s="228"/>
      <c r="M228" s="228"/>
      <c r="N228" s="228"/>
      <c r="O228" s="228"/>
    </row>
    <row r="229" spans="1:17">
      <c r="A229" s="226" t="s">
        <v>4553</v>
      </c>
      <c r="B229" s="226"/>
      <c r="D229" s="233"/>
      <c r="E229" s="233"/>
      <c r="F229" s="233"/>
      <c r="G229" s="233"/>
      <c r="H229" s="233"/>
      <c r="I229" s="233"/>
      <c r="J229" s="233"/>
      <c r="K229" s="233"/>
      <c r="L229" s="233"/>
      <c r="M229" s="233"/>
      <c r="N229" s="233"/>
      <c r="O229" s="233"/>
    </row>
    <row r="230" spans="1:17">
      <c r="A230" s="226"/>
      <c r="B230" s="226"/>
      <c r="D230" s="233"/>
      <c r="E230" s="233"/>
      <c r="F230" s="233"/>
      <c r="G230" s="233"/>
      <c r="H230" s="233"/>
      <c r="I230" s="233"/>
      <c r="J230" s="233"/>
      <c r="K230" s="233"/>
      <c r="L230" s="233"/>
      <c r="M230" s="233"/>
      <c r="N230" s="233"/>
      <c r="O230" s="233"/>
    </row>
    <row r="231" spans="1:17">
      <c r="A231" s="226"/>
      <c r="B231" s="226"/>
      <c r="D231" s="233"/>
      <c r="E231" s="233"/>
      <c r="F231" s="233"/>
      <c r="G231" s="233"/>
      <c r="H231" s="233"/>
      <c r="I231" s="233"/>
      <c r="J231" s="233"/>
      <c r="K231" s="233"/>
      <c r="L231" s="233"/>
      <c r="M231" s="233"/>
      <c r="N231" s="233"/>
      <c r="O231" s="233"/>
    </row>
    <row r="232" spans="1:17">
      <c r="E232" s="51" t="s">
        <v>1526</v>
      </c>
      <c r="F232" s="51"/>
      <c r="G232" s="51"/>
      <c r="H232" s="51"/>
      <c r="I232" s="51"/>
      <c r="J232" s="51"/>
      <c r="K232" s="51"/>
      <c r="L232" s="51"/>
      <c r="M232" s="51"/>
      <c r="N232" s="51"/>
      <c r="O232" s="51"/>
      <c r="P232" s="173"/>
      <c r="Q232" s="173" t="s">
        <v>9479</v>
      </c>
    </row>
    <row r="233" spans="1:17">
      <c r="D233" s="227">
        <v>2010</v>
      </c>
      <c r="E233" s="227">
        <v>2011</v>
      </c>
      <c r="F233" s="227">
        <v>2012</v>
      </c>
      <c r="G233" s="227">
        <v>2013</v>
      </c>
      <c r="H233" s="227">
        <v>2014</v>
      </c>
      <c r="I233" s="227">
        <v>2015</v>
      </c>
      <c r="J233" s="227">
        <v>2016</v>
      </c>
      <c r="K233" s="227">
        <v>2017</v>
      </c>
      <c r="L233" s="227">
        <v>2018</v>
      </c>
      <c r="M233" s="227">
        <v>2019</v>
      </c>
      <c r="N233" s="227">
        <v>2020</v>
      </c>
      <c r="O233" s="927" t="s">
        <v>14823</v>
      </c>
      <c r="Q233" s="206" t="s">
        <v>1527</v>
      </c>
    </row>
    <row r="234" spans="1:17">
      <c r="A234" s="226" t="s">
        <v>4554</v>
      </c>
      <c r="D234" s="228">
        <f t="shared" ref="D234:I234" si="88">SUM(D235:D247)</f>
        <v>77838</v>
      </c>
      <c r="E234" s="228">
        <f t="shared" si="88"/>
        <v>79045</v>
      </c>
      <c r="F234" s="228">
        <f t="shared" si="88"/>
        <v>79664</v>
      </c>
      <c r="G234" s="228">
        <f t="shared" si="88"/>
        <v>80189</v>
      </c>
      <c r="H234" s="228">
        <f t="shared" si="88"/>
        <v>78120</v>
      </c>
      <c r="I234" s="228">
        <f t="shared" si="88"/>
        <v>76952</v>
      </c>
      <c r="J234" s="228">
        <f t="shared" ref="J234:O234" si="89">SUM(J235:J247)</f>
        <v>77529</v>
      </c>
      <c r="K234" s="228">
        <f t="shared" si="89"/>
        <v>81598</v>
      </c>
      <c r="L234" s="228">
        <f t="shared" si="89"/>
        <v>81621</v>
      </c>
      <c r="M234" s="228">
        <f t="shared" si="89"/>
        <v>80919</v>
      </c>
      <c r="N234" s="228">
        <f t="shared" si="89"/>
        <v>81363</v>
      </c>
      <c r="O234" s="228">
        <f t="shared" si="89"/>
        <v>83403</v>
      </c>
    </row>
    <row r="235" spans="1:17">
      <c r="A235" s="226" t="s">
        <v>5387</v>
      </c>
      <c r="B235" s="226" t="s">
        <v>759</v>
      </c>
      <c r="C235" s="55" t="s">
        <v>8441</v>
      </c>
      <c r="D235" s="228">
        <v>6597</v>
      </c>
      <c r="E235" s="228">
        <v>6671</v>
      </c>
      <c r="F235" s="228">
        <v>6702</v>
      </c>
      <c r="G235" s="63">
        <v>6777</v>
      </c>
      <c r="H235" s="63">
        <v>6636</v>
      </c>
      <c r="I235" s="56">
        <v>6598</v>
      </c>
      <c r="J235" s="56">
        <v>6574</v>
      </c>
      <c r="K235" s="56">
        <v>6792</v>
      </c>
      <c r="L235" s="56">
        <v>6739</v>
      </c>
      <c r="M235" s="56">
        <v>6654</v>
      </c>
      <c r="N235" s="56">
        <v>6597</v>
      </c>
      <c r="O235" s="56">
        <v>6717</v>
      </c>
      <c r="Q235" s="226" t="s">
        <v>1552</v>
      </c>
    </row>
    <row r="236" spans="1:17">
      <c r="A236" s="226" t="s">
        <v>5389</v>
      </c>
      <c r="B236" s="226" t="s">
        <v>5904</v>
      </c>
      <c r="C236" s="55" t="s">
        <v>8442</v>
      </c>
      <c r="D236" s="228">
        <v>6181</v>
      </c>
      <c r="E236" s="228">
        <v>6143</v>
      </c>
      <c r="F236" s="228">
        <v>6148</v>
      </c>
      <c r="G236" s="63">
        <v>6236</v>
      </c>
      <c r="H236" s="63">
        <v>6123</v>
      </c>
      <c r="I236" s="56">
        <v>6090</v>
      </c>
      <c r="J236" s="56">
        <v>6140</v>
      </c>
      <c r="K236" s="56">
        <v>6525</v>
      </c>
      <c r="L236" s="56">
        <v>6606</v>
      </c>
      <c r="M236" s="56">
        <v>6647</v>
      </c>
      <c r="N236" s="56">
        <v>6667</v>
      </c>
      <c r="O236" s="56">
        <v>6815</v>
      </c>
      <c r="Q236" s="226" t="s">
        <v>1556</v>
      </c>
    </row>
    <row r="237" spans="1:17">
      <c r="A237" s="226" t="s">
        <v>5391</v>
      </c>
      <c r="B237" s="226" t="s">
        <v>6024</v>
      </c>
      <c r="C237" s="55" t="s">
        <v>8443</v>
      </c>
      <c r="D237" s="228">
        <v>6321</v>
      </c>
      <c r="E237" s="228">
        <v>6695</v>
      </c>
      <c r="F237" s="228">
        <v>6944</v>
      </c>
      <c r="G237" s="63">
        <v>7009</v>
      </c>
      <c r="H237" s="63">
        <v>6358</v>
      </c>
      <c r="I237" s="56">
        <v>6243</v>
      </c>
      <c r="J237" s="56">
        <v>6497</v>
      </c>
      <c r="K237" s="56">
        <v>7026</v>
      </c>
      <c r="L237" s="56">
        <v>7179</v>
      </c>
      <c r="M237" s="56">
        <v>6975</v>
      </c>
      <c r="N237" s="56">
        <v>6973</v>
      </c>
      <c r="O237" s="56">
        <v>7247</v>
      </c>
      <c r="Q237" s="226" t="s">
        <v>1556</v>
      </c>
    </row>
    <row r="238" spans="1:17">
      <c r="A238" s="226" t="s">
        <v>5393</v>
      </c>
      <c r="B238" s="226" t="s">
        <v>4555</v>
      </c>
      <c r="C238" s="55" t="s">
        <v>8444</v>
      </c>
      <c r="D238" s="228">
        <v>4431</v>
      </c>
      <c r="E238" s="228">
        <v>4394</v>
      </c>
      <c r="F238" s="228">
        <v>4473</v>
      </c>
      <c r="G238" s="63">
        <v>4476</v>
      </c>
      <c r="H238" s="63">
        <v>4475</v>
      </c>
      <c r="I238" s="56">
        <v>4435</v>
      </c>
      <c r="J238" s="56">
        <v>4378</v>
      </c>
      <c r="K238" s="56">
        <v>4502</v>
      </c>
      <c r="L238" s="56">
        <v>4439</v>
      </c>
      <c r="M238" s="56">
        <v>4479</v>
      </c>
      <c r="N238" s="56">
        <v>4452</v>
      </c>
      <c r="O238" s="56">
        <v>4549</v>
      </c>
      <c r="Q238" s="226" t="s">
        <v>1556</v>
      </c>
    </row>
    <row r="239" spans="1:17">
      <c r="A239" s="226" t="s">
        <v>5394</v>
      </c>
      <c r="B239" s="226" t="s">
        <v>4556</v>
      </c>
      <c r="C239" s="55" t="s">
        <v>8445</v>
      </c>
      <c r="D239" s="228">
        <v>6551</v>
      </c>
      <c r="E239" s="228">
        <v>6630</v>
      </c>
      <c r="F239" s="228">
        <v>6684</v>
      </c>
      <c r="G239" s="63">
        <v>6705</v>
      </c>
      <c r="H239" s="63">
        <v>6480</v>
      </c>
      <c r="I239" s="56">
        <v>6356</v>
      </c>
      <c r="J239" s="56">
        <v>6495</v>
      </c>
      <c r="K239" s="56">
        <v>6840</v>
      </c>
      <c r="L239" s="56">
        <v>6839</v>
      </c>
      <c r="M239" s="56">
        <v>6735</v>
      </c>
      <c r="N239" s="56">
        <v>6711</v>
      </c>
      <c r="O239" s="56">
        <v>6886</v>
      </c>
      <c r="Q239" s="226" t="s">
        <v>1552</v>
      </c>
    </row>
    <row r="240" spans="1:17">
      <c r="A240" s="111" t="s">
        <v>5416</v>
      </c>
      <c r="B240" s="111" t="s">
        <v>2307</v>
      </c>
      <c r="C240" s="111" t="s">
        <v>12989</v>
      </c>
      <c r="D240" s="228">
        <v>6666</v>
      </c>
      <c r="E240" s="228">
        <v>6712</v>
      </c>
      <c r="F240" s="228">
        <v>6712</v>
      </c>
      <c r="G240" s="228">
        <v>6731</v>
      </c>
      <c r="H240" s="228">
        <v>6754</v>
      </c>
      <c r="I240" s="228">
        <v>6711</v>
      </c>
      <c r="J240" s="228">
        <v>6690</v>
      </c>
      <c r="K240" s="228">
        <v>6895</v>
      </c>
      <c r="L240" s="228">
        <v>6809</v>
      </c>
      <c r="M240" s="228">
        <v>6763</v>
      </c>
      <c r="N240" s="228">
        <v>6793</v>
      </c>
      <c r="O240" s="228">
        <v>6906</v>
      </c>
      <c r="Q240" s="111" t="s">
        <v>1556</v>
      </c>
    </row>
    <row r="241" spans="1:17">
      <c r="A241" s="226" t="s">
        <v>5418</v>
      </c>
      <c r="B241" s="226" t="s">
        <v>4557</v>
      </c>
      <c r="C241" s="55" t="s">
        <v>8446</v>
      </c>
      <c r="D241" s="228">
        <v>5890</v>
      </c>
      <c r="E241" s="228">
        <v>6035</v>
      </c>
      <c r="F241" s="228">
        <v>6171</v>
      </c>
      <c r="G241" s="63">
        <v>6118</v>
      </c>
      <c r="H241" s="63">
        <v>5975</v>
      </c>
      <c r="I241" s="56">
        <v>5632</v>
      </c>
      <c r="J241" s="56">
        <v>5717</v>
      </c>
      <c r="K241" s="56">
        <v>6291</v>
      </c>
      <c r="L241" s="56">
        <v>6159</v>
      </c>
      <c r="M241" s="56">
        <v>5997</v>
      </c>
      <c r="N241" s="56">
        <v>6154</v>
      </c>
      <c r="O241" s="56">
        <v>6373</v>
      </c>
      <c r="Q241" s="226" t="s">
        <v>1556</v>
      </c>
    </row>
    <row r="242" spans="1:17">
      <c r="A242" s="226" t="s">
        <v>5420</v>
      </c>
      <c r="B242" s="226" t="s">
        <v>2914</v>
      </c>
      <c r="C242" s="55" t="s">
        <v>8447</v>
      </c>
      <c r="D242" s="228">
        <v>6350</v>
      </c>
      <c r="E242" s="228">
        <v>6450</v>
      </c>
      <c r="F242" s="228">
        <v>6481</v>
      </c>
      <c r="G242" s="63">
        <v>6592</v>
      </c>
      <c r="H242" s="63">
        <v>6424</v>
      </c>
      <c r="I242" s="56">
        <v>6388</v>
      </c>
      <c r="J242" s="56">
        <v>6363</v>
      </c>
      <c r="K242" s="56">
        <v>6578</v>
      </c>
      <c r="L242" s="56">
        <v>6551</v>
      </c>
      <c r="M242" s="56">
        <v>6523</v>
      </c>
      <c r="N242" s="56">
        <v>6537</v>
      </c>
      <c r="O242" s="56">
        <v>6652</v>
      </c>
      <c r="Q242" s="226" t="s">
        <v>1556</v>
      </c>
    </row>
    <row r="243" spans="1:17">
      <c r="A243" s="226" t="s">
        <v>5422</v>
      </c>
      <c r="B243" s="226" t="s">
        <v>4558</v>
      </c>
      <c r="C243" s="55" t="s">
        <v>8448</v>
      </c>
      <c r="D243" s="228">
        <v>3430</v>
      </c>
      <c r="E243" s="228">
        <v>3503</v>
      </c>
      <c r="F243" s="228">
        <v>3525</v>
      </c>
      <c r="G243" s="63">
        <v>3568</v>
      </c>
      <c r="H243" s="63">
        <v>3518</v>
      </c>
      <c r="I243" s="56">
        <v>3509</v>
      </c>
      <c r="J243" s="56">
        <v>3626</v>
      </c>
      <c r="K243" s="56">
        <v>3948</v>
      </c>
      <c r="L243" s="56">
        <v>4218</v>
      </c>
      <c r="M243" s="56">
        <v>4465</v>
      </c>
      <c r="N243" s="56">
        <v>4695</v>
      </c>
      <c r="O243" s="56">
        <v>4951</v>
      </c>
      <c r="Q243" s="226" t="s">
        <v>1556</v>
      </c>
    </row>
    <row r="244" spans="1:17">
      <c r="A244" s="226" t="s">
        <v>5424</v>
      </c>
      <c r="B244" s="226" t="s">
        <v>4559</v>
      </c>
      <c r="C244" s="55" t="s">
        <v>8449</v>
      </c>
      <c r="D244" s="228">
        <v>6174</v>
      </c>
      <c r="E244" s="228">
        <v>6257</v>
      </c>
      <c r="F244" s="228">
        <v>6295</v>
      </c>
      <c r="G244" s="63">
        <v>6340</v>
      </c>
      <c r="H244" s="63">
        <v>6301</v>
      </c>
      <c r="I244" s="56">
        <v>6304</v>
      </c>
      <c r="J244" s="56">
        <v>6291</v>
      </c>
      <c r="K244" s="56">
        <v>6497</v>
      </c>
      <c r="L244" s="56">
        <v>6448</v>
      </c>
      <c r="M244" s="56">
        <v>6415</v>
      </c>
      <c r="N244" s="56">
        <v>6447</v>
      </c>
      <c r="O244" s="56">
        <v>6568</v>
      </c>
      <c r="Q244" s="226" t="s">
        <v>1552</v>
      </c>
    </row>
    <row r="245" spans="1:17">
      <c r="A245" s="226" t="s">
        <v>5426</v>
      </c>
      <c r="B245" s="226" t="s">
        <v>4560</v>
      </c>
      <c r="C245" s="55" t="s">
        <v>8450</v>
      </c>
      <c r="D245" s="229">
        <v>7022</v>
      </c>
      <c r="E245" s="229">
        <v>7134</v>
      </c>
      <c r="F245" s="229">
        <v>7057</v>
      </c>
      <c r="G245" s="63">
        <v>7135</v>
      </c>
      <c r="H245" s="63">
        <v>6997</v>
      </c>
      <c r="I245" s="56">
        <v>6907</v>
      </c>
      <c r="J245" s="56">
        <v>6927</v>
      </c>
      <c r="K245" s="56">
        <v>7253</v>
      </c>
      <c r="L245" s="56">
        <v>7184</v>
      </c>
      <c r="M245" s="56">
        <v>7061</v>
      </c>
      <c r="N245" s="56">
        <v>7097</v>
      </c>
      <c r="O245" s="56">
        <v>7209</v>
      </c>
      <c r="Q245" s="226" t="s">
        <v>1556</v>
      </c>
    </row>
    <row r="246" spans="1:17">
      <c r="A246" s="226" t="s">
        <v>5428</v>
      </c>
      <c r="B246" s="226" t="s">
        <v>4561</v>
      </c>
      <c r="C246" s="55" t="s">
        <v>8451</v>
      </c>
      <c r="D246" s="229">
        <v>5820</v>
      </c>
      <c r="E246" s="229">
        <v>6042</v>
      </c>
      <c r="F246" s="229">
        <v>6076</v>
      </c>
      <c r="G246" s="63">
        <v>6103</v>
      </c>
      <c r="H246" s="63">
        <v>5866</v>
      </c>
      <c r="I246" s="56">
        <v>5679</v>
      </c>
      <c r="J246" s="56">
        <v>5720</v>
      </c>
      <c r="K246" s="56">
        <v>6080</v>
      </c>
      <c r="L246" s="56">
        <v>6108</v>
      </c>
      <c r="M246" s="56">
        <v>5999</v>
      </c>
      <c r="N246" s="56">
        <v>6016</v>
      </c>
      <c r="O246" s="56">
        <v>6177</v>
      </c>
      <c r="Q246" s="226" t="s">
        <v>1552</v>
      </c>
    </row>
    <row r="247" spans="1:17">
      <c r="A247" s="237">
        <v>13</v>
      </c>
      <c r="B247" s="226" t="s">
        <v>4562</v>
      </c>
      <c r="C247" s="55" t="s">
        <v>8452</v>
      </c>
      <c r="D247" s="229">
        <v>6405</v>
      </c>
      <c r="E247" s="229">
        <v>6379</v>
      </c>
      <c r="F247" s="229">
        <v>6396</v>
      </c>
      <c r="G247" s="63">
        <v>6399</v>
      </c>
      <c r="H247" s="63">
        <v>6213</v>
      </c>
      <c r="I247" s="56">
        <v>6100</v>
      </c>
      <c r="J247" s="56">
        <v>6111</v>
      </c>
      <c r="K247" s="56">
        <v>6371</v>
      </c>
      <c r="L247" s="56">
        <v>6342</v>
      </c>
      <c r="M247" s="56">
        <v>6206</v>
      </c>
      <c r="N247" s="56">
        <v>6224</v>
      </c>
      <c r="O247" s="56">
        <v>6353</v>
      </c>
      <c r="Q247" s="226" t="s">
        <v>1556</v>
      </c>
    </row>
    <row r="248" spans="1:17">
      <c r="D248" s="229"/>
      <c r="E248" s="229"/>
      <c r="F248" s="229"/>
      <c r="G248" s="229"/>
      <c r="H248" s="229"/>
      <c r="I248" s="229"/>
      <c r="J248" s="229"/>
      <c r="K248" s="229"/>
      <c r="L248" s="229"/>
      <c r="M248" s="229"/>
      <c r="N248" s="229"/>
      <c r="O248" s="229"/>
    </row>
    <row r="249" spans="1:17">
      <c r="A249" s="226" t="s">
        <v>2920</v>
      </c>
      <c r="D249" s="228">
        <f t="shared" ref="D249:I249" si="90">D235+D239+D244+D246</f>
        <v>25142</v>
      </c>
      <c r="E249" s="228">
        <f t="shared" si="90"/>
        <v>25600</v>
      </c>
      <c r="F249" s="228">
        <f t="shared" si="90"/>
        <v>25757</v>
      </c>
      <c r="G249" s="228">
        <f t="shared" si="90"/>
        <v>25925</v>
      </c>
      <c r="H249" s="228">
        <f t="shared" si="90"/>
        <v>25283</v>
      </c>
      <c r="I249" s="228">
        <f t="shared" si="90"/>
        <v>24937</v>
      </c>
      <c r="J249" s="228">
        <f t="shared" ref="J249:O249" si="91">J235+J239+J244+J246</f>
        <v>25080</v>
      </c>
      <c r="K249" s="228">
        <f t="shared" si="91"/>
        <v>26209</v>
      </c>
      <c r="L249" s="228">
        <f t="shared" si="91"/>
        <v>26134</v>
      </c>
      <c r="M249" s="228">
        <f t="shared" si="91"/>
        <v>25803</v>
      </c>
      <c r="N249" s="228">
        <f t="shared" si="91"/>
        <v>25771</v>
      </c>
      <c r="O249" s="228">
        <f t="shared" si="91"/>
        <v>26348</v>
      </c>
    </row>
    <row r="250" spans="1:17">
      <c r="A250" s="226" t="s">
        <v>6736</v>
      </c>
      <c r="D250" s="228">
        <f t="shared" ref="D250:O250" si="92">SUM(D236:D238)+SUM(D240:D243)+D245+D247</f>
        <v>52696</v>
      </c>
      <c r="E250" s="228">
        <f t="shared" si="92"/>
        <v>53445</v>
      </c>
      <c r="F250" s="228">
        <f t="shared" si="92"/>
        <v>53907</v>
      </c>
      <c r="G250" s="228">
        <f t="shared" si="92"/>
        <v>54264</v>
      </c>
      <c r="H250" s="228">
        <f t="shared" si="92"/>
        <v>52837</v>
      </c>
      <c r="I250" s="228">
        <f t="shared" si="92"/>
        <v>52015</v>
      </c>
      <c r="J250" s="228">
        <f t="shared" si="92"/>
        <v>52449</v>
      </c>
      <c r="K250" s="228">
        <f t="shared" si="92"/>
        <v>55389</v>
      </c>
      <c r="L250" s="228">
        <f t="shared" si="92"/>
        <v>55487</v>
      </c>
      <c r="M250" s="228">
        <f t="shared" si="92"/>
        <v>55116</v>
      </c>
      <c r="N250" s="228">
        <f t="shared" si="92"/>
        <v>55592</v>
      </c>
      <c r="O250" s="228">
        <f t="shared" si="92"/>
        <v>57055</v>
      </c>
    </row>
    <row r="252" spans="1:17">
      <c r="A252" s="111" t="s">
        <v>4563</v>
      </c>
    </row>
  </sheetData>
  <phoneticPr fontId="6" type="noConversion"/>
  <printOptions gridLinesSet="0"/>
  <pageMargins left="0.78740157480314965" right="0" top="0.51181102362204722" bottom="0.51181102362204722" header="0.51181102362204722" footer="0.51181102362204722"/>
  <pageSetup paperSize="9" scale="65" orientation="portrait" horizontalDpi="300" verticalDpi="300" r:id="rId1"/>
  <headerFooter alignWithMargins="0">
    <oddFooter>&amp;C&amp;8&amp;P of &amp;N</oddFooter>
  </headerFooter>
  <ignoredErrors>
    <ignoredError sqref="D157:K157 D142:K142 D66:K66 D50:K50 D249 D234:K234 D225 D197:K197 D3:D12 E225 E249:E250 E3:E12 F225 F249:F250 F3:F12 G225 G249:G250 G3:G12 D13:D45 E13:E45 F13:F45 G13:G45 H249:H250 H225 H3:H12 H13:H45 I225 I249:I250 I3:I45 D85:K85 D73:K73 D100:I100 D102:I102 D101:I101 J100:J102 J225 J249:J250 J3:J45 K100:K102 K225 K249:K250 K3:K45 L3:L108 L187 L191:L225 L138:L142 L133 L156:L163 L241:L250 D227 E227 F227 G227 H227 I227 J227 K227 L227:L239"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Q65"/>
  <sheetViews>
    <sheetView showGridLines="0" topLeftCell="A22" zoomScale="90" zoomScaleNormal="90" workbookViewId="0">
      <selection activeCell="A64" sqref="A64"/>
    </sheetView>
  </sheetViews>
  <sheetFormatPr defaultColWidth="12.5703125" defaultRowHeight="15"/>
  <cols>
    <col min="1" max="1" width="4.85546875" style="170" customWidth="1"/>
    <col min="2" max="2" width="35.85546875" style="170" customWidth="1"/>
    <col min="3" max="3" width="11.5703125" style="170" customWidth="1"/>
    <col min="4" max="15" width="10" style="170" customWidth="1"/>
    <col min="16" max="16" width="2.28515625" style="170" customWidth="1"/>
    <col min="17" max="17" width="25.7109375" style="170" customWidth="1"/>
    <col min="18" max="16384" width="12.5703125" style="170"/>
  </cols>
  <sheetData>
    <row r="1" spans="1:17">
      <c r="A1" s="866" t="s">
        <v>5719</v>
      </c>
      <c r="D1" s="867">
        <v>2010</v>
      </c>
      <c r="E1" s="867">
        <v>2011</v>
      </c>
      <c r="F1" s="867">
        <v>2012</v>
      </c>
      <c r="G1" s="867">
        <v>2013</v>
      </c>
      <c r="H1" s="867">
        <v>2014</v>
      </c>
      <c r="I1" s="867">
        <v>2015</v>
      </c>
      <c r="J1" s="867">
        <v>2016</v>
      </c>
      <c r="K1" s="867">
        <v>2017</v>
      </c>
      <c r="L1" s="867">
        <v>2018</v>
      </c>
      <c r="M1" s="867">
        <v>2019</v>
      </c>
      <c r="N1" s="867">
        <v>2020</v>
      </c>
      <c r="O1" s="989" t="s">
        <v>14823</v>
      </c>
    </row>
    <row r="3" spans="1:17">
      <c r="A3" s="866" t="s">
        <v>4747</v>
      </c>
      <c r="D3" s="868">
        <f t="shared" ref="D3:N3" si="0">SUM(D24:D25,D27:D29,D31:D40,D42:D47,D49:D50,D52:D54,D56:D57)</f>
        <v>180451</v>
      </c>
      <c r="E3" s="868">
        <f t="shared" si="0"/>
        <v>182653</v>
      </c>
      <c r="F3" s="868">
        <f t="shared" si="0"/>
        <v>184863</v>
      </c>
      <c r="G3" s="868">
        <f t="shared" si="0"/>
        <v>187482</v>
      </c>
      <c r="H3" s="868">
        <f t="shared" si="0"/>
        <v>184482</v>
      </c>
      <c r="I3" s="868">
        <f t="shared" si="0"/>
        <v>180491</v>
      </c>
      <c r="J3" s="868">
        <f t="shared" si="0"/>
        <v>182183</v>
      </c>
      <c r="K3" s="868">
        <f t="shared" si="0"/>
        <v>184347</v>
      </c>
      <c r="L3" s="868">
        <f t="shared" si="0"/>
        <v>187052</v>
      </c>
      <c r="M3" s="868">
        <f t="shared" si="0"/>
        <v>189499</v>
      </c>
      <c r="N3" s="868">
        <f t="shared" si="0"/>
        <v>188458</v>
      </c>
      <c r="O3" s="868">
        <f>SUM(O24:O25,O27:O29,O31:O40,O42:O47,O49:O50,O52:O54,O56:O57)</f>
        <v>196276</v>
      </c>
    </row>
    <row r="5" spans="1:17">
      <c r="A5" s="866" t="s">
        <v>5382</v>
      </c>
      <c r="D5" s="868">
        <f t="shared" ref="D5:N5" si="1">D3/3</f>
        <v>60150.333333333336</v>
      </c>
      <c r="E5" s="868">
        <f t="shared" si="1"/>
        <v>60884.333333333336</v>
      </c>
      <c r="F5" s="868">
        <f t="shared" si="1"/>
        <v>61621</v>
      </c>
      <c r="G5" s="868">
        <f t="shared" si="1"/>
        <v>62494</v>
      </c>
      <c r="H5" s="868">
        <f t="shared" si="1"/>
        <v>61494</v>
      </c>
      <c r="I5" s="868">
        <f t="shared" si="1"/>
        <v>60163.666666666664</v>
      </c>
      <c r="J5" s="868">
        <f t="shared" si="1"/>
        <v>60727.666666666664</v>
      </c>
      <c r="K5" s="868">
        <f t="shared" si="1"/>
        <v>61449</v>
      </c>
      <c r="L5" s="868">
        <f t="shared" si="1"/>
        <v>62350.666666666664</v>
      </c>
      <c r="M5" s="868">
        <f t="shared" si="1"/>
        <v>63166.333333333336</v>
      </c>
      <c r="N5" s="868">
        <f t="shared" si="1"/>
        <v>62819.333333333336</v>
      </c>
      <c r="O5" s="868">
        <f t="shared" ref="O5" si="2">O3/3</f>
        <v>65425.333333333336</v>
      </c>
    </row>
    <row r="6" spans="1:17">
      <c r="A6" s="866" t="s">
        <v>5720</v>
      </c>
      <c r="D6" s="868">
        <f t="shared" ref="D6:N6" si="3">D3/2</f>
        <v>90225.5</v>
      </c>
      <c r="E6" s="868">
        <f t="shared" si="3"/>
        <v>91326.5</v>
      </c>
      <c r="F6" s="868">
        <f t="shared" si="3"/>
        <v>92431.5</v>
      </c>
      <c r="G6" s="868">
        <f t="shared" si="3"/>
        <v>93741</v>
      </c>
      <c r="H6" s="868">
        <f t="shared" si="3"/>
        <v>92241</v>
      </c>
      <c r="I6" s="868">
        <f t="shared" si="3"/>
        <v>90245.5</v>
      </c>
      <c r="J6" s="868">
        <f t="shared" si="3"/>
        <v>91091.5</v>
      </c>
      <c r="K6" s="868">
        <f t="shared" si="3"/>
        <v>92173.5</v>
      </c>
      <c r="L6" s="868">
        <f t="shared" si="3"/>
        <v>93526</v>
      </c>
      <c r="M6" s="868">
        <f t="shared" si="3"/>
        <v>94749.5</v>
      </c>
      <c r="N6" s="868">
        <f t="shared" si="3"/>
        <v>94229</v>
      </c>
      <c r="O6" s="868">
        <f t="shared" ref="O6" si="4">O3/2</f>
        <v>98138</v>
      </c>
    </row>
    <row r="7" spans="1:17">
      <c r="D7" s="869"/>
      <c r="E7" s="869"/>
      <c r="F7" s="869"/>
      <c r="G7" s="869"/>
      <c r="H7" s="869"/>
      <c r="I7" s="869"/>
      <c r="J7" s="869"/>
      <c r="K7" s="869"/>
      <c r="L7" s="869"/>
      <c r="M7" s="869"/>
      <c r="N7" s="869"/>
      <c r="O7" s="869"/>
    </row>
    <row r="8" spans="1:17">
      <c r="A8" s="866" t="s">
        <v>4748</v>
      </c>
      <c r="D8" s="868">
        <f t="shared" ref="D8:N8" si="5">SUM(D24,D28,D31:D33,D39,D43:D44,D46,D49,D53,D57)</f>
        <v>72671</v>
      </c>
      <c r="E8" s="868">
        <f t="shared" si="5"/>
        <v>73385</v>
      </c>
      <c r="F8" s="868">
        <f t="shared" si="5"/>
        <v>74779</v>
      </c>
      <c r="G8" s="868">
        <f t="shared" si="5"/>
        <v>76586</v>
      </c>
      <c r="H8" s="868">
        <f t="shared" si="5"/>
        <v>75645</v>
      </c>
      <c r="I8" s="868">
        <f t="shared" si="5"/>
        <v>74187</v>
      </c>
      <c r="J8" s="868">
        <f t="shared" si="5"/>
        <v>74899</v>
      </c>
      <c r="K8" s="868">
        <f t="shared" si="5"/>
        <v>77078</v>
      </c>
      <c r="L8" s="868">
        <f t="shared" si="5"/>
        <v>78959</v>
      </c>
      <c r="M8" s="868">
        <f t="shared" si="5"/>
        <v>80101</v>
      </c>
      <c r="N8" s="868">
        <f t="shared" si="5"/>
        <v>79754</v>
      </c>
      <c r="O8" s="868">
        <f>SUM(O24,O28,O31:O33,O39,O43:O44,O46,O49,O53,O57)</f>
        <v>83605</v>
      </c>
      <c r="Q8" s="866" t="s">
        <v>4749</v>
      </c>
    </row>
    <row r="9" spans="1:17">
      <c r="D9" s="869"/>
      <c r="E9" s="869"/>
      <c r="F9" s="869"/>
      <c r="G9" s="869"/>
      <c r="H9" s="869"/>
      <c r="I9" s="869"/>
      <c r="J9" s="869"/>
      <c r="K9" s="869"/>
      <c r="L9" s="869"/>
      <c r="M9" s="869"/>
      <c r="N9" s="869"/>
      <c r="O9" s="869"/>
    </row>
    <row r="10" spans="1:17">
      <c r="A10" s="866" t="s">
        <v>4750</v>
      </c>
      <c r="D10" s="868">
        <f t="shared" ref="D10:N10" si="6">SUM(D25,D27,D34,D36:D38,D42,D45,D47,D50,D52,D54,D56)</f>
        <v>81811</v>
      </c>
      <c r="E10" s="868">
        <f t="shared" si="6"/>
        <v>82648</v>
      </c>
      <c r="F10" s="868">
        <f t="shared" si="6"/>
        <v>83112</v>
      </c>
      <c r="G10" s="868">
        <f t="shared" si="6"/>
        <v>83601</v>
      </c>
      <c r="H10" s="868">
        <f t="shared" si="6"/>
        <v>82482</v>
      </c>
      <c r="I10" s="868">
        <f t="shared" si="6"/>
        <v>80472</v>
      </c>
      <c r="J10" s="868">
        <f t="shared" si="6"/>
        <v>81364</v>
      </c>
      <c r="K10" s="868">
        <f t="shared" si="6"/>
        <v>80808</v>
      </c>
      <c r="L10" s="868">
        <f t="shared" si="6"/>
        <v>81100</v>
      </c>
      <c r="M10" s="868">
        <f t="shared" si="6"/>
        <v>81830</v>
      </c>
      <c r="N10" s="868">
        <f t="shared" si="6"/>
        <v>81228</v>
      </c>
      <c r="O10" s="868">
        <f>SUM(O25,O27,O34,O36:O38,O42,O45,O47,O50,O52,O54,O56)</f>
        <v>83620</v>
      </c>
      <c r="Q10" s="866" t="s">
        <v>4749</v>
      </c>
    </row>
    <row r="11" spans="1:17">
      <c r="D11" s="869"/>
      <c r="E11" s="869"/>
      <c r="F11" s="869"/>
      <c r="G11" s="869"/>
      <c r="H11" s="869"/>
      <c r="I11" s="869"/>
      <c r="J11" s="869"/>
      <c r="K11" s="869"/>
      <c r="L11" s="869"/>
      <c r="M11" s="869"/>
      <c r="N11" s="869"/>
      <c r="O11" s="869"/>
    </row>
    <row r="12" spans="1:17">
      <c r="A12" s="250" t="s">
        <v>4751</v>
      </c>
      <c r="D12" s="868">
        <f t="shared" ref="D12:N12" si="7">SUM(D29,D35,D40)</f>
        <v>25969</v>
      </c>
      <c r="E12" s="868">
        <f t="shared" si="7"/>
        <v>26620</v>
      </c>
      <c r="F12" s="868">
        <f t="shared" si="7"/>
        <v>26972</v>
      </c>
      <c r="G12" s="868">
        <f t="shared" si="7"/>
        <v>27295</v>
      </c>
      <c r="H12" s="868">
        <f t="shared" si="7"/>
        <v>26355</v>
      </c>
      <c r="I12" s="868">
        <f t="shared" si="7"/>
        <v>25832</v>
      </c>
      <c r="J12" s="868">
        <f t="shared" si="7"/>
        <v>25920</v>
      </c>
      <c r="K12" s="868">
        <f t="shared" si="7"/>
        <v>26461</v>
      </c>
      <c r="L12" s="868">
        <f t="shared" si="7"/>
        <v>26993</v>
      </c>
      <c r="M12" s="868">
        <f t="shared" si="7"/>
        <v>27568</v>
      </c>
      <c r="N12" s="868">
        <f t="shared" si="7"/>
        <v>27476</v>
      </c>
      <c r="O12" s="868">
        <f>SUM(O29,O35,O40)</f>
        <v>29051</v>
      </c>
      <c r="Q12" s="866" t="s">
        <v>4749</v>
      </c>
    </row>
    <row r="13" spans="1:17" ht="15.75" thickBot="1">
      <c r="A13" s="250"/>
      <c r="D13" s="870">
        <f>CAMDEN!D8</f>
        <v>51285</v>
      </c>
      <c r="E13" s="870">
        <f>CAMDEN!E8</f>
        <v>51932</v>
      </c>
      <c r="F13" s="870">
        <f>CAMDEN!F8</f>
        <v>51272</v>
      </c>
      <c r="G13" s="870">
        <f>CAMDEN!G8</f>
        <v>51164</v>
      </c>
      <c r="H13" s="870">
        <f>CAMDEN!H8</f>
        <v>50642</v>
      </c>
      <c r="I13" s="870">
        <f>CAMDEN!I8</f>
        <v>48932</v>
      </c>
      <c r="J13" s="870">
        <f>CAMDEN!J8</f>
        <v>49057</v>
      </c>
      <c r="K13" s="870">
        <f>CAMDEN!K8</f>
        <v>53000</v>
      </c>
      <c r="L13" s="870">
        <f>CAMDEN!L8</f>
        <v>52696</v>
      </c>
      <c r="M13" s="870">
        <f>CAMDEN!M8</f>
        <v>49334</v>
      </c>
      <c r="N13" s="870">
        <f>CAMDEN!N8</f>
        <v>50707</v>
      </c>
      <c r="O13" s="870">
        <f>CAMDEN!O8</f>
        <v>54000</v>
      </c>
      <c r="Q13" s="866" t="s">
        <v>4752</v>
      </c>
    </row>
    <row r="14" spans="1:17" ht="15.75" thickBot="1">
      <c r="A14" s="250"/>
      <c r="D14" s="871">
        <f t="shared" ref="D14:N14" si="8">D12+D13</f>
        <v>77254</v>
      </c>
      <c r="E14" s="871">
        <f t="shared" si="8"/>
        <v>78552</v>
      </c>
      <c r="F14" s="871">
        <f t="shared" si="8"/>
        <v>78244</v>
      </c>
      <c r="G14" s="871">
        <f t="shared" si="8"/>
        <v>78459</v>
      </c>
      <c r="H14" s="871">
        <f t="shared" si="8"/>
        <v>76997</v>
      </c>
      <c r="I14" s="871">
        <f t="shared" si="8"/>
        <v>74764</v>
      </c>
      <c r="J14" s="871">
        <f t="shared" si="8"/>
        <v>74977</v>
      </c>
      <c r="K14" s="871">
        <f t="shared" si="8"/>
        <v>79461</v>
      </c>
      <c r="L14" s="871">
        <f t="shared" si="8"/>
        <v>79689</v>
      </c>
      <c r="M14" s="871">
        <f t="shared" si="8"/>
        <v>76902</v>
      </c>
      <c r="N14" s="871">
        <f t="shared" si="8"/>
        <v>78183</v>
      </c>
      <c r="O14" s="871">
        <f t="shared" ref="O14" si="9">O12+O13</f>
        <v>83051</v>
      </c>
      <c r="Q14" s="866"/>
    </row>
    <row r="15" spans="1:17">
      <c r="A15" s="250"/>
      <c r="D15" s="868"/>
      <c r="E15" s="868"/>
      <c r="F15" s="868"/>
      <c r="G15" s="868"/>
      <c r="H15" s="868"/>
      <c r="I15" s="868"/>
      <c r="J15" s="868"/>
      <c r="K15" s="868"/>
      <c r="L15" s="868"/>
      <c r="M15" s="868"/>
      <c r="N15" s="868"/>
      <c r="O15" s="868"/>
      <c r="Q15" s="866"/>
    </row>
    <row r="16" spans="1:17">
      <c r="A16" s="250" t="s">
        <v>4753</v>
      </c>
      <c r="D16" s="868">
        <f>CAMDEN!D11</f>
        <v>84266</v>
      </c>
      <c r="E16" s="868">
        <f>CAMDEN!E11</f>
        <v>85243</v>
      </c>
      <c r="F16" s="868">
        <f>CAMDEN!F11</f>
        <v>84406</v>
      </c>
      <c r="G16" s="868">
        <f>CAMDEN!G11</f>
        <v>85400</v>
      </c>
      <c r="H16" s="868">
        <f>CAMDEN!H11</f>
        <v>85179</v>
      </c>
      <c r="I16" s="868">
        <f>CAMDEN!I11</f>
        <v>79479</v>
      </c>
      <c r="J16" s="868">
        <f>CAMDEN!J11</f>
        <v>80921</v>
      </c>
      <c r="K16" s="868">
        <f>CAMDEN!K11</f>
        <v>85850</v>
      </c>
      <c r="L16" s="868">
        <f>CAMDEN!L11</f>
        <v>85057</v>
      </c>
      <c r="M16" s="868">
        <f>CAMDEN!M11</f>
        <v>78956</v>
      </c>
      <c r="N16" s="868">
        <f>CAMDEN!N11</f>
        <v>81123</v>
      </c>
      <c r="O16" s="868">
        <f>CAMDEN!O11</f>
        <v>86298</v>
      </c>
      <c r="Q16" s="866" t="s">
        <v>6868</v>
      </c>
    </row>
    <row r="17" spans="1:17">
      <c r="D17" s="869"/>
      <c r="E17" s="869"/>
      <c r="F17" s="869"/>
      <c r="G17" s="869"/>
      <c r="H17" s="869"/>
      <c r="I17" s="869"/>
      <c r="J17" s="869"/>
      <c r="K17" s="869"/>
      <c r="L17" s="869"/>
      <c r="M17" s="869"/>
      <c r="N17" s="869"/>
      <c r="O17" s="869"/>
    </row>
    <row r="18" spans="1:17">
      <c r="A18" s="866" t="s">
        <v>6796</v>
      </c>
      <c r="D18" s="868">
        <f t="shared" ref="D18:N18" si="10">D8+D10+D12</f>
        <v>180451</v>
      </c>
      <c r="E18" s="868">
        <f t="shared" si="10"/>
        <v>182653</v>
      </c>
      <c r="F18" s="868">
        <f t="shared" si="10"/>
        <v>184863</v>
      </c>
      <c r="G18" s="868">
        <f t="shared" si="10"/>
        <v>187482</v>
      </c>
      <c r="H18" s="868">
        <f t="shared" si="10"/>
        <v>184482</v>
      </c>
      <c r="I18" s="868">
        <f t="shared" si="10"/>
        <v>180491</v>
      </c>
      <c r="J18" s="868">
        <f t="shared" si="10"/>
        <v>182183</v>
      </c>
      <c r="K18" s="868">
        <f t="shared" si="10"/>
        <v>184347</v>
      </c>
      <c r="L18" s="868">
        <f t="shared" si="10"/>
        <v>187052</v>
      </c>
      <c r="M18" s="868">
        <f t="shared" si="10"/>
        <v>189499</v>
      </c>
      <c r="N18" s="868">
        <f t="shared" si="10"/>
        <v>188458</v>
      </c>
      <c r="O18" s="868">
        <f t="shared" ref="O18" si="11">O8+O10+O12</f>
        <v>196276</v>
      </c>
    </row>
    <row r="19" spans="1:17">
      <c r="D19" s="869"/>
      <c r="E19" s="869"/>
      <c r="F19" s="869"/>
      <c r="G19" s="869"/>
      <c r="H19" s="869"/>
      <c r="I19" s="869"/>
      <c r="J19" s="869"/>
      <c r="K19" s="869"/>
      <c r="L19" s="869"/>
      <c r="M19" s="869"/>
      <c r="N19" s="869"/>
      <c r="O19" s="869"/>
    </row>
    <row r="20" spans="1:17">
      <c r="A20" s="866" t="s">
        <v>6797</v>
      </c>
      <c r="D20" s="868">
        <f t="shared" ref="D20:N20" si="12">MAX(D8,D10,D14,D16)-MIN(D8,D10,D14,D16)</f>
        <v>11595</v>
      </c>
      <c r="E20" s="868">
        <f t="shared" si="12"/>
        <v>11858</v>
      </c>
      <c r="F20" s="868">
        <f t="shared" si="12"/>
        <v>9627</v>
      </c>
      <c r="G20" s="868">
        <f t="shared" si="12"/>
        <v>8814</v>
      </c>
      <c r="H20" s="868">
        <f t="shared" si="12"/>
        <v>9534</v>
      </c>
      <c r="I20" s="868">
        <f t="shared" si="12"/>
        <v>6285</v>
      </c>
      <c r="J20" s="868">
        <f t="shared" si="12"/>
        <v>6465</v>
      </c>
      <c r="K20" s="868">
        <f t="shared" si="12"/>
        <v>8772</v>
      </c>
      <c r="L20" s="868">
        <f t="shared" si="12"/>
        <v>6098</v>
      </c>
      <c r="M20" s="868">
        <f t="shared" si="12"/>
        <v>4928</v>
      </c>
      <c r="N20" s="868">
        <f t="shared" si="12"/>
        <v>3045</v>
      </c>
      <c r="O20" s="868">
        <f t="shared" ref="O20" si="13">MAX(O8,O10,O14,O16)-MIN(O8,O10,O14,O16)</f>
        <v>3247</v>
      </c>
    </row>
    <row r="21" spans="1:17">
      <c r="D21" s="869"/>
      <c r="E21" s="869"/>
      <c r="F21" s="869"/>
      <c r="G21" s="869"/>
      <c r="H21" s="869"/>
      <c r="I21" s="869"/>
      <c r="J21" s="869"/>
      <c r="K21" s="869"/>
      <c r="L21" s="869"/>
      <c r="M21" s="869"/>
      <c r="N21" s="869"/>
      <c r="O21" s="869"/>
    </row>
    <row r="22" spans="1:17">
      <c r="A22" s="872" t="s">
        <v>6800</v>
      </c>
      <c r="D22" s="868">
        <f t="shared" ref="D22:N22" si="14">STDEVP(D8,D10,D14,D16)</f>
        <v>4436.7001532670656</v>
      </c>
      <c r="E22" s="868">
        <f t="shared" si="14"/>
        <v>4481.8658502904791</v>
      </c>
      <c r="F22" s="868">
        <f t="shared" si="14"/>
        <v>3852.4857803112004</v>
      </c>
      <c r="G22" s="868">
        <f t="shared" si="14"/>
        <v>3607.7953448054673</v>
      </c>
      <c r="H22" s="868">
        <f t="shared" si="14"/>
        <v>3903.3141927725983</v>
      </c>
      <c r="I22" s="868">
        <f t="shared" si="14"/>
        <v>2779.815146731883</v>
      </c>
      <c r="J22" s="868">
        <f t="shared" si="14"/>
        <v>3106.3236610984372</v>
      </c>
      <c r="K22" s="868">
        <f t="shared" si="14"/>
        <v>3207.3652251497647</v>
      </c>
      <c r="L22" s="868">
        <f t="shared" si="14"/>
        <v>2355.4004303939491</v>
      </c>
      <c r="M22" s="868">
        <f t="shared" si="14"/>
        <v>1790.5663035754917</v>
      </c>
      <c r="N22" s="868">
        <f t="shared" si="14"/>
        <v>1235.9593439915409</v>
      </c>
      <c r="O22" s="868">
        <f t="shared" ref="O22" si="15">STDEVP(O8,O10,O14,O16)</f>
        <v>1264.8577983314963</v>
      </c>
    </row>
    <row r="23" spans="1:17">
      <c r="D23" s="869"/>
      <c r="E23" s="869"/>
      <c r="F23" s="869"/>
      <c r="G23" s="869"/>
      <c r="H23" s="869"/>
      <c r="I23" s="869"/>
      <c r="J23" s="869"/>
      <c r="K23" s="869"/>
      <c r="L23" s="869"/>
      <c r="M23" s="869"/>
      <c r="N23" s="869"/>
      <c r="O23" s="869"/>
    </row>
    <row r="24" spans="1:17">
      <c r="A24" s="866" t="s">
        <v>5387</v>
      </c>
      <c r="B24" s="170" t="s">
        <v>4754</v>
      </c>
      <c r="C24" s="170" t="s">
        <v>15572</v>
      </c>
      <c r="D24" s="873">
        <v>0</v>
      </c>
      <c r="E24" s="873">
        <v>0</v>
      </c>
      <c r="F24" s="873">
        <v>0</v>
      </c>
      <c r="G24" s="873">
        <v>0</v>
      </c>
      <c r="H24" s="873">
        <v>0</v>
      </c>
      <c r="I24" s="873">
        <v>0</v>
      </c>
      <c r="J24" s="873">
        <v>0</v>
      </c>
      <c r="K24" s="873">
        <v>0</v>
      </c>
      <c r="L24" s="873">
        <v>0</v>
      </c>
      <c r="M24" s="873">
        <v>0</v>
      </c>
      <c r="N24" s="873">
        <v>0</v>
      </c>
      <c r="O24" s="63">
        <v>12</v>
      </c>
      <c r="Q24" s="866" t="s">
        <v>4748</v>
      </c>
    </row>
    <row r="25" spans="1:17" ht="15.75" thickBot="1">
      <c r="A25" s="866"/>
      <c r="C25" s="170" t="s">
        <v>15572</v>
      </c>
      <c r="D25" s="873">
        <v>0</v>
      </c>
      <c r="E25" s="873">
        <v>0</v>
      </c>
      <c r="F25" s="873">
        <v>0</v>
      </c>
      <c r="G25" s="873">
        <v>0</v>
      </c>
      <c r="H25" s="873">
        <v>0</v>
      </c>
      <c r="I25" s="873">
        <v>0</v>
      </c>
      <c r="J25" s="873">
        <v>0</v>
      </c>
      <c r="K25" s="873">
        <v>0</v>
      </c>
      <c r="L25" s="873">
        <v>0</v>
      </c>
      <c r="M25" s="873">
        <v>0</v>
      </c>
      <c r="N25" s="873">
        <v>0</v>
      </c>
      <c r="O25" s="63">
        <v>7468</v>
      </c>
      <c r="Q25" s="866" t="s">
        <v>4750</v>
      </c>
    </row>
    <row r="26" spans="1:17" ht="15.75" thickBot="1">
      <c r="A26" s="866"/>
      <c r="C26" s="170" t="s">
        <v>15572</v>
      </c>
      <c r="D26" s="881">
        <f t="shared" ref="D26:M26" si="16">D24+D25</f>
        <v>0</v>
      </c>
      <c r="E26" s="881">
        <f t="shared" si="16"/>
        <v>0</v>
      </c>
      <c r="F26" s="881">
        <f t="shared" si="16"/>
        <v>0</v>
      </c>
      <c r="G26" s="881">
        <f t="shared" si="16"/>
        <v>0</v>
      </c>
      <c r="H26" s="881">
        <f t="shared" si="16"/>
        <v>0</v>
      </c>
      <c r="I26" s="881">
        <f t="shared" si="16"/>
        <v>0</v>
      </c>
      <c r="J26" s="881">
        <f t="shared" si="16"/>
        <v>0</v>
      </c>
      <c r="K26" s="881">
        <f t="shared" si="16"/>
        <v>0</v>
      </c>
      <c r="L26" s="881">
        <f t="shared" si="16"/>
        <v>0</v>
      </c>
      <c r="M26" s="881">
        <f t="shared" si="16"/>
        <v>0</v>
      </c>
      <c r="N26" s="881">
        <f>N24+N25</f>
        <v>0</v>
      </c>
      <c r="O26" s="881">
        <f>O24+O25</f>
        <v>7480</v>
      </c>
      <c r="Q26" s="866"/>
    </row>
    <row r="27" spans="1:17">
      <c r="A27" s="866" t="s">
        <v>5389</v>
      </c>
      <c r="B27" s="170" t="s">
        <v>4755</v>
      </c>
      <c r="C27" s="170" t="s">
        <v>15573</v>
      </c>
      <c r="D27" s="873">
        <v>81811</v>
      </c>
      <c r="E27" s="873">
        <v>82648</v>
      </c>
      <c r="F27" s="873">
        <v>83112</v>
      </c>
      <c r="G27" s="873">
        <v>83601</v>
      </c>
      <c r="H27" s="873">
        <v>82482</v>
      </c>
      <c r="I27" s="873">
        <v>80472</v>
      </c>
      <c r="J27" s="873">
        <v>81364</v>
      </c>
      <c r="K27" s="873">
        <v>80808</v>
      </c>
      <c r="L27" s="873">
        <v>81100</v>
      </c>
      <c r="M27" s="873">
        <v>81830</v>
      </c>
      <c r="N27" s="873">
        <v>81228</v>
      </c>
      <c r="O27" s="63">
        <v>6770</v>
      </c>
      <c r="Q27" s="866" t="s">
        <v>4750</v>
      </c>
    </row>
    <row r="28" spans="1:17">
      <c r="A28" s="866" t="s">
        <v>5391</v>
      </c>
      <c r="B28" s="170" t="s">
        <v>4756</v>
      </c>
      <c r="C28" s="170" t="s">
        <v>15574</v>
      </c>
      <c r="D28" s="873">
        <v>0</v>
      </c>
      <c r="E28" s="873">
        <v>0</v>
      </c>
      <c r="F28" s="873">
        <v>0</v>
      </c>
      <c r="G28" s="873">
        <v>0</v>
      </c>
      <c r="H28" s="873">
        <v>0</v>
      </c>
      <c r="I28" s="873">
        <v>0</v>
      </c>
      <c r="J28" s="873">
        <v>0</v>
      </c>
      <c r="K28" s="873">
        <v>0</v>
      </c>
      <c r="L28" s="873">
        <v>0</v>
      </c>
      <c r="M28" s="873">
        <v>0</v>
      </c>
      <c r="N28" s="873">
        <v>0</v>
      </c>
      <c r="O28" s="63">
        <v>74</v>
      </c>
      <c r="Q28" s="866" t="s">
        <v>4748</v>
      </c>
    </row>
    <row r="29" spans="1:17" ht="15.75" thickBot="1">
      <c r="A29" s="866"/>
      <c r="C29" s="170" t="s">
        <v>15574</v>
      </c>
      <c r="D29" s="873">
        <v>0</v>
      </c>
      <c r="E29" s="873">
        <v>0</v>
      </c>
      <c r="F29" s="873">
        <v>0</v>
      </c>
      <c r="G29" s="873">
        <v>0</v>
      </c>
      <c r="H29" s="873">
        <v>0</v>
      </c>
      <c r="I29" s="873">
        <v>0</v>
      </c>
      <c r="J29" s="873">
        <v>0</v>
      </c>
      <c r="K29" s="873">
        <v>0</v>
      </c>
      <c r="L29" s="873">
        <v>0</v>
      </c>
      <c r="M29" s="873">
        <v>0</v>
      </c>
      <c r="N29" s="873">
        <v>0</v>
      </c>
      <c r="O29" s="63">
        <v>8428</v>
      </c>
      <c r="Q29" s="250" t="s">
        <v>4751</v>
      </c>
    </row>
    <row r="30" spans="1:17" ht="15.75" thickBot="1">
      <c r="A30" s="866"/>
      <c r="C30" s="170" t="s">
        <v>15574</v>
      </c>
      <c r="D30" s="881">
        <f t="shared" ref="D30:M30" si="17">D28+D29</f>
        <v>0</v>
      </c>
      <c r="E30" s="881">
        <f t="shared" si="17"/>
        <v>0</v>
      </c>
      <c r="F30" s="881">
        <f t="shared" si="17"/>
        <v>0</v>
      </c>
      <c r="G30" s="881">
        <f t="shared" si="17"/>
        <v>0</v>
      </c>
      <c r="H30" s="881">
        <f t="shared" si="17"/>
        <v>0</v>
      </c>
      <c r="I30" s="881">
        <f t="shared" si="17"/>
        <v>0</v>
      </c>
      <c r="J30" s="881">
        <f t="shared" si="17"/>
        <v>0</v>
      </c>
      <c r="K30" s="881">
        <f t="shared" si="17"/>
        <v>0</v>
      </c>
      <c r="L30" s="881">
        <f t="shared" si="17"/>
        <v>0</v>
      </c>
      <c r="M30" s="881">
        <f t="shared" si="17"/>
        <v>0</v>
      </c>
      <c r="N30" s="881">
        <f>N28+N29</f>
        <v>0</v>
      </c>
      <c r="O30" s="881">
        <f>O28+O29</f>
        <v>8502</v>
      </c>
      <c r="Q30" s="250"/>
    </row>
    <row r="31" spans="1:17">
      <c r="A31" s="866" t="s">
        <v>5393</v>
      </c>
      <c r="B31" s="170" t="s">
        <v>15594</v>
      </c>
      <c r="C31" s="170" t="s">
        <v>15575</v>
      </c>
      <c r="D31" s="873">
        <v>72671</v>
      </c>
      <c r="E31" s="873">
        <v>73385</v>
      </c>
      <c r="F31" s="873">
        <v>74779</v>
      </c>
      <c r="G31" s="873">
        <v>76586</v>
      </c>
      <c r="H31" s="873">
        <v>75645</v>
      </c>
      <c r="I31" s="873">
        <v>74187</v>
      </c>
      <c r="J31" s="873">
        <v>74899</v>
      </c>
      <c r="K31" s="873">
        <v>77078</v>
      </c>
      <c r="L31" s="873">
        <v>78959</v>
      </c>
      <c r="M31" s="873">
        <v>80101</v>
      </c>
      <c r="N31" s="873">
        <v>79754</v>
      </c>
      <c r="O31" s="63">
        <v>7784</v>
      </c>
      <c r="Q31" s="866" t="s">
        <v>4748</v>
      </c>
    </row>
    <row r="32" spans="1:17">
      <c r="A32" s="866" t="s">
        <v>5394</v>
      </c>
      <c r="B32" s="170" t="s">
        <v>4757</v>
      </c>
      <c r="C32" s="170" t="s">
        <v>15576</v>
      </c>
      <c r="D32" s="873">
        <v>0</v>
      </c>
      <c r="E32" s="873">
        <v>0</v>
      </c>
      <c r="F32" s="873">
        <v>0</v>
      </c>
      <c r="G32" s="873">
        <v>0</v>
      </c>
      <c r="H32" s="873">
        <v>0</v>
      </c>
      <c r="I32" s="873">
        <v>0</v>
      </c>
      <c r="J32" s="873">
        <v>0</v>
      </c>
      <c r="K32" s="873">
        <v>0</v>
      </c>
      <c r="L32" s="873">
        <v>0</v>
      </c>
      <c r="M32" s="873">
        <v>0</v>
      </c>
      <c r="N32" s="873">
        <v>0</v>
      </c>
      <c r="O32" s="63">
        <v>11728</v>
      </c>
      <c r="Q32" s="866" t="s">
        <v>4748</v>
      </c>
    </row>
    <row r="33" spans="1:17">
      <c r="A33" s="866" t="s">
        <v>5416</v>
      </c>
      <c r="B33" s="170" t="s">
        <v>15595</v>
      </c>
      <c r="C33" s="170" t="s">
        <v>15577</v>
      </c>
      <c r="D33" s="873">
        <v>0</v>
      </c>
      <c r="E33" s="873">
        <v>0</v>
      </c>
      <c r="F33" s="873">
        <v>0</v>
      </c>
      <c r="G33" s="873">
        <v>0</v>
      </c>
      <c r="H33" s="873">
        <v>0</v>
      </c>
      <c r="I33" s="873">
        <v>0</v>
      </c>
      <c r="J33" s="873">
        <v>0</v>
      </c>
      <c r="K33" s="873">
        <v>0</v>
      </c>
      <c r="L33" s="873">
        <v>0</v>
      </c>
      <c r="M33" s="873">
        <v>0</v>
      </c>
      <c r="N33" s="873">
        <v>0</v>
      </c>
      <c r="O33" s="63">
        <v>11528</v>
      </c>
      <c r="Q33" s="866" t="s">
        <v>4748</v>
      </c>
    </row>
    <row r="34" spans="1:17">
      <c r="A34" s="866" t="s">
        <v>5418</v>
      </c>
      <c r="B34" s="170" t="s">
        <v>3992</v>
      </c>
      <c r="C34" s="170" t="s">
        <v>15578</v>
      </c>
      <c r="D34" s="873">
        <v>0</v>
      </c>
      <c r="E34" s="873">
        <v>0</v>
      </c>
      <c r="F34" s="873">
        <v>0</v>
      </c>
      <c r="G34" s="873">
        <v>0</v>
      </c>
      <c r="H34" s="873">
        <v>0</v>
      </c>
      <c r="I34" s="873">
        <v>0</v>
      </c>
      <c r="J34" s="873">
        <v>0</v>
      </c>
      <c r="K34" s="873">
        <v>0</v>
      </c>
      <c r="L34" s="873">
        <v>0</v>
      </c>
      <c r="M34" s="873">
        <v>0</v>
      </c>
      <c r="N34" s="873">
        <v>0</v>
      </c>
      <c r="O34" s="63">
        <v>11772</v>
      </c>
      <c r="Q34" s="866" t="s">
        <v>4750</v>
      </c>
    </row>
    <row r="35" spans="1:17">
      <c r="A35" s="866" t="s">
        <v>5420</v>
      </c>
      <c r="B35" s="170" t="s">
        <v>3993</v>
      </c>
      <c r="C35" s="170" t="s">
        <v>15579</v>
      </c>
      <c r="D35" s="873">
        <v>25969</v>
      </c>
      <c r="E35" s="873">
        <v>26620</v>
      </c>
      <c r="F35" s="873">
        <v>26972</v>
      </c>
      <c r="G35" s="873">
        <v>27295</v>
      </c>
      <c r="H35" s="873">
        <v>26355</v>
      </c>
      <c r="I35" s="873">
        <v>25832</v>
      </c>
      <c r="J35" s="873">
        <v>25920</v>
      </c>
      <c r="K35" s="873">
        <v>26461</v>
      </c>
      <c r="L35" s="873">
        <v>26993</v>
      </c>
      <c r="M35" s="873">
        <v>27568</v>
      </c>
      <c r="N35" s="873">
        <v>27476</v>
      </c>
      <c r="O35" s="63">
        <v>10988</v>
      </c>
      <c r="Q35" s="250" t="s">
        <v>4751</v>
      </c>
    </row>
    <row r="36" spans="1:17">
      <c r="A36" s="866" t="s">
        <v>5422</v>
      </c>
      <c r="B36" s="170" t="s">
        <v>1309</v>
      </c>
      <c r="C36" s="170" t="s">
        <v>15580</v>
      </c>
      <c r="D36" s="873">
        <v>0</v>
      </c>
      <c r="E36" s="873">
        <v>0</v>
      </c>
      <c r="F36" s="873">
        <v>0</v>
      </c>
      <c r="G36" s="873">
        <v>0</v>
      </c>
      <c r="H36" s="873">
        <v>0</v>
      </c>
      <c r="I36" s="873">
        <v>0</v>
      </c>
      <c r="J36" s="873">
        <v>0</v>
      </c>
      <c r="K36" s="873">
        <v>0</v>
      </c>
      <c r="L36" s="873">
        <v>0</v>
      </c>
      <c r="M36" s="873">
        <v>0</v>
      </c>
      <c r="N36" s="873">
        <v>0</v>
      </c>
      <c r="O36" s="63">
        <v>6433</v>
      </c>
      <c r="Q36" s="866" t="s">
        <v>4750</v>
      </c>
    </row>
    <row r="37" spans="1:17">
      <c r="A37" s="866" t="s">
        <v>5424</v>
      </c>
      <c r="B37" s="170" t="s">
        <v>3994</v>
      </c>
      <c r="C37" s="170" t="s">
        <v>15581</v>
      </c>
      <c r="D37" s="873">
        <v>0</v>
      </c>
      <c r="E37" s="873">
        <v>0</v>
      </c>
      <c r="F37" s="873">
        <v>0</v>
      </c>
      <c r="G37" s="873">
        <v>0</v>
      </c>
      <c r="H37" s="873">
        <v>0</v>
      </c>
      <c r="I37" s="873">
        <v>0</v>
      </c>
      <c r="J37" s="873">
        <v>0</v>
      </c>
      <c r="K37" s="873">
        <v>0</v>
      </c>
      <c r="L37" s="873">
        <v>0</v>
      </c>
      <c r="M37" s="873">
        <v>0</v>
      </c>
      <c r="N37" s="873">
        <v>0</v>
      </c>
      <c r="O37" s="63">
        <v>8411</v>
      </c>
      <c r="Q37" s="866" t="s">
        <v>4750</v>
      </c>
    </row>
    <row r="38" spans="1:17">
      <c r="A38" s="866" t="s">
        <v>5426</v>
      </c>
      <c r="B38" s="170" t="s">
        <v>3783</v>
      </c>
      <c r="C38" s="170" t="s">
        <v>15582</v>
      </c>
      <c r="D38" s="873">
        <v>0</v>
      </c>
      <c r="E38" s="873">
        <v>0</v>
      </c>
      <c r="F38" s="873">
        <v>0</v>
      </c>
      <c r="G38" s="873">
        <v>0</v>
      </c>
      <c r="H38" s="873">
        <v>0</v>
      </c>
      <c r="I38" s="873">
        <v>0</v>
      </c>
      <c r="J38" s="873">
        <v>0</v>
      </c>
      <c r="K38" s="873">
        <v>0</v>
      </c>
      <c r="L38" s="873">
        <v>0</v>
      </c>
      <c r="M38" s="873">
        <v>0</v>
      </c>
      <c r="N38" s="873">
        <v>0</v>
      </c>
      <c r="O38" s="63">
        <v>6546</v>
      </c>
      <c r="Q38" s="866" t="s">
        <v>4750</v>
      </c>
    </row>
    <row r="39" spans="1:17">
      <c r="A39" s="866" t="s">
        <v>5428</v>
      </c>
      <c r="B39" s="170" t="s">
        <v>3995</v>
      </c>
      <c r="C39" s="170" t="s">
        <v>15583</v>
      </c>
      <c r="D39" s="873">
        <v>0</v>
      </c>
      <c r="E39" s="873">
        <v>0</v>
      </c>
      <c r="F39" s="873">
        <v>0</v>
      </c>
      <c r="G39" s="873">
        <v>0</v>
      </c>
      <c r="H39" s="873">
        <v>0</v>
      </c>
      <c r="I39" s="873">
        <v>0</v>
      </c>
      <c r="J39" s="873">
        <v>0</v>
      </c>
      <c r="K39" s="873">
        <v>0</v>
      </c>
      <c r="L39" s="873">
        <v>0</v>
      </c>
      <c r="M39" s="873">
        <v>0</v>
      </c>
      <c r="N39" s="873">
        <v>0</v>
      </c>
      <c r="O39" s="63">
        <v>1761</v>
      </c>
      <c r="Q39" s="866" t="s">
        <v>4748</v>
      </c>
    </row>
    <row r="40" spans="1:17" ht="15.75" thickBot="1">
      <c r="A40" s="866"/>
      <c r="C40" s="170" t="s">
        <v>15583</v>
      </c>
      <c r="D40" s="873">
        <v>0</v>
      </c>
      <c r="E40" s="873">
        <v>0</v>
      </c>
      <c r="F40" s="873">
        <v>0</v>
      </c>
      <c r="G40" s="873">
        <v>0</v>
      </c>
      <c r="H40" s="873">
        <v>0</v>
      </c>
      <c r="I40" s="873">
        <v>0</v>
      </c>
      <c r="J40" s="873">
        <v>0</v>
      </c>
      <c r="K40" s="873">
        <v>0</v>
      </c>
      <c r="L40" s="873">
        <v>0</v>
      </c>
      <c r="M40" s="873">
        <v>0</v>
      </c>
      <c r="N40" s="873">
        <v>0</v>
      </c>
      <c r="O40" s="63">
        <v>9635</v>
      </c>
      <c r="Q40" s="250" t="s">
        <v>4751</v>
      </c>
    </row>
    <row r="41" spans="1:17" ht="15.75" thickBot="1">
      <c r="A41" s="866"/>
      <c r="C41" s="170" t="s">
        <v>15583</v>
      </c>
      <c r="D41" s="881">
        <f t="shared" ref="D41:M41" si="18">D39+D40</f>
        <v>0</v>
      </c>
      <c r="E41" s="881">
        <f t="shared" si="18"/>
        <v>0</v>
      </c>
      <c r="F41" s="881">
        <f t="shared" si="18"/>
        <v>0</v>
      </c>
      <c r="G41" s="881">
        <f t="shared" si="18"/>
        <v>0</v>
      </c>
      <c r="H41" s="881">
        <f t="shared" si="18"/>
        <v>0</v>
      </c>
      <c r="I41" s="881">
        <f t="shared" si="18"/>
        <v>0</v>
      </c>
      <c r="J41" s="881">
        <f t="shared" si="18"/>
        <v>0</v>
      </c>
      <c r="K41" s="881">
        <f t="shared" si="18"/>
        <v>0</v>
      </c>
      <c r="L41" s="881">
        <f t="shared" si="18"/>
        <v>0</v>
      </c>
      <c r="M41" s="881">
        <f t="shared" si="18"/>
        <v>0</v>
      </c>
      <c r="N41" s="881">
        <f>N39+N40</f>
        <v>0</v>
      </c>
      <c r="O41" s="881">
        <f>O39+O40</f>
        <v>11396</v>
      </c>
      <c r="Q41" s="250"/>
    </row>
    <row r="42" spans="1:17">
      <c r="A42" s="866" t="s">
        <v>5429</v>
      </c>
      <c r="B42" s="170" t="s">
        <v>3996</v>
      </c>
      <c r="C42" s="170" t="s">
        <v>15584</v>
      </c>
      <c r="D42" s="873">
        <v>0</v>
      </c>
      <c r="E42" s="873">
        <v>0</v>
      </c>
      <c r="F42" s="873">
        <v>0</v>
      </c>
      <c r="G42" s="873">
        <v>0</v>
      </c>
      <c r="H42" s="873">
        <v>0</v>
      </c>
      <c r="I42" s="873">
        <v>0</v>
      </c>
      <c r="J42" s="873">
        <v>0</v>
      </c>
      <c r="K42" s="873">
        <v>0</v>
      </c>
      <c r="L42" s="873">
        <v>0</v>
      </c>
      <c r="M42" s="873">
        <v>0</v>
      </c>
      <c r="N42" s="873">
        <v>0</v>
      </c>
      <c r="O42" s="63">
        <v>10021</v>
      </c>
      <c r="Q42" s="866" t="s">
        <v>4750</v>
      </c>
    </row>
    <row r="43" spans="1:17">
      <c r="A43" s="866" t="s">
        <v>5431</v>
      </c>
      <c r="B43" s="170" t="s">
        <v>15596</v>
      </c>
      <c r="C43" s="170" t="s">
        <v>15585</v>
      </c>
      <c r="D43" s="873">
        <v>0</v>
      </c>
      <c r="E43" s="873">
        <v>0</v>
      </c>
      <c r="F43" s="873">
        <v>0</v>
      </c>
      <c r="G43" s="873">
        <v>0</v>
      </c>
      <c r="H43" s="873">
        <v>0</v>
      </c>
      <c r="I43" s="873">
        <v>0</v>
      </c>
      <c r="J43" s="873">
        <v>0</v>
      </c>
      <c r="K43" s="873">
        <v>0</v>
      </c>
      <c r="L43" s="873">
        <v>0</v>
      </c>
      <c r="M43" s="873">
        <v>0</v>
      </c>
      <c r="N43" s="873">
        <v>0</v>
      </c>
      <c r="O43" s="63">
        <v>9265</v>
      </c>
      <c r="Q43" s="866" t="s">
        <v>4748</v>
      </c>
    </row>
    <row r="44" spans="1:17">
      <c r="A44" s="866" t="s">
        <v>5433</v>
      </c>
      <c r="B44" s="170" t="s">
        <v>3997</v>
      </c>
      <c r="C44" s="170" t="s">
        <v>15586</v>
      </c>
      <c r="D44" s="873">
        <v>0</v>
      </c>
      <c r="E44" s="873">
        <v>0</v>
      </c>
      <c r="F44" s="873">
        <v>0</v>
      </c>
      <c r="G44" s="873">
        <v>0</v>
      </c>
      <c r="H44" s="873">
        <v>0</v>
      </c>
      <c r="I44" s="873">
        <v>0</v>
      </c>
      <c r="J44" s="873">
        <v>0</v>
      </c>
      <c r="K44" s="873">
        <v>0</v>
      </c>
      <c r="L44" s="873">
        <v>0</v>
      </c>
      <c r="M44" s="873">
        <v>0</v>
      </c>
      <c r="N44" s="873">
        <v>0</v>
      </c>
      <c r="O44" s="63">
        <v>11587</v>
      </c>
      <c r="Q44" s="866" t="s">
        <v>4748</v>
      </c>
    </row>
    <row r="45" spans="1:17">
      <c r="A45" s="866" t="s">
        <v>5435</v>
      </c>
      <c r="B45" s="170" t="s">
        <v>3998</v>
      </c>
      <c r="C45" s="170" t="s">
        <v>15587</v>
      </c>
      <c r="D45" s="873">
        <v>0</v>
      </c>
      <c r="E45" s="873">
        <v>0</v>
      </c>
      <c r="F45" s="873">
        <v>0</v>
      </c>
      <c r="G45" s="873">
        <v>0</v>
      </c>
      <c r="H45" s="873">
        <v>0</v>
      </c>
      <c r="I45" s="873">
        <v>0</v>
      </c>
      <c r="J45" s="873">
        <v>0</v>
      </c>
      <c r="K45" s="873">
        <v>0</v>
      </c>
      <c r="L45" s="873">
        <v>0</v>
      </c>
      <c r="M45" s="873">
        <v>0</v>
      </c>
      <c r="N45" s="873">
        <v>0</v>
      </c>
      <c r="O45" s="63">
        <v>7793</v>
      </c>
      <c r="Q45" s="866" t="s">
        <v>4750</v>
      </c>
    </row>
    <row r="46" spans="1:17">
      <c r="A46" s="866" t="s">
        <v>5436</v>
      </c>
      <c r="B46" s="170" t="s">
        <v>3999</v>
      </c>
      <c r="C46" s="170" t="s">
        <v>15588</v>
      </c>
      <c r="D46" s="873">
        <v>0</v>
      </c>
      <c r="E46" s="873">
        <v>0</v>
      </c>
      <c r="F46" s="873">
        <v>0</v>
      </c>
      <c r="G46" s="873">
        <v>0</v>
      </c>
      <c r="H46" s="873">
        <v>0</v>
      </c>
      <c r="I46" s="873">
        <v>0</v>
      </c>
      <c r="J46" s="873">
        <v>0</v>
      </c>
      <c r="K46" s="873">
        <v>0</v>
      </c>
      <c r="L46" s="873">
        <v>0</v>
      </c>
      <c r="M46" s="873">
        <v>0</v>
      </c>
      <c r="N46" s="873">
        <v>0</v>
      </c>
      <c r="O46" s="63">
        <v>5883</v>
      </c>
      <c r="Q46" s="866" t="s">
        <v>4748</v>
      </c>
    </row>
    <row r="47" spans="1:17" ht="15.75" thickBot="1">
      <c r="A47" s="866"/>
      <c r="C47" s="170" t="s">
        <v>15588</v>
      </c>
      <c r="D47" s="873">
        <v>0</v>
      </c>
      <c r="E47" s="873">
        <v>0</v>
      </c>
      <c r="F47" s="873">
        <v>0</v>
      </c>
      <c r="G47" s="873">
        <v>0</v>
      </c>
      <c r="H47" s="873">
        <v>0</v>
      </c>
      <c r="I47" s="873">
        <v>0</v>
      </c>
      <c r="J47" s="873">
        <v>0</v>
      </c>
      <c r="K47" s="873">
        <v>0</v>
      </c>
      <c r="L47" s="873">
        <v>0</v>
      </c>
      <c r="M47" s="873">
        <v>0</v>
      </c>
      <c r="N47" s="873">
        <v>0</v>
      </c>
      <c r="O47" s="63">
        <v>0</v>
      </c>
      <c r="Q47" s="866" t="s">
        <v>4750</v>
      </c>
    </row>
    <row r="48" spans="1:17" ht="15.75" thickBot="1">
      <c r="A48" s="866"/>
      <c r="C48" s="170" t="s">
        <v>15588</v>
      </c>
      <c r="D48" s="881">
        <f t="shared" ref="D48:M48" si="19">D46+D47</f>
        <v>0</v>
      </c>
      <c r="E48" s="881">
        <f t="shared" si="19"/>
        <v>0</v>
      </c>
      <c r="F48" s="881">
        <f t="shared" si="19"/>
        <v>0</v>
      </c>
      <c r="G48" s="881">
        <f t="shared" si="19"/>
        <v>0</v>
      </c>
      <c r="H48" s="881">
        <f t="shared" si="19"/>
        <v>0</v>
      </c>
      <c r="I48" s="881">
        <f t="shared" si="19"/>
        <v>0</v>
      </c>
      <c r="J48" s="881">
        <f t="shared" si="19"/>
        <v>0</v>
      </c>
      <c r="K48" s="881">
        <f t="shared" si="19"/>
        <v>0</v>
      </c>
      <c r="L48" s="881">
        <f t="shared" si="19"/>
        <v>0</v>
      </c>
      <c r="M48" s="881">
        <f t="shared" si="19"/>
        <v>0</v>
      </c>
      <c r="N48" s="881">
        <f>N46+N47</f>
        <v>0</v>
      </c>
      <c r="O48" s="881">
        <f>O46+O47</f>
        <v>5883</v>
      </c>
      <c r="Q48" s="866"/>
    </row>
    <row r="49" spans="1:17">
      <c r="A49" s="866" t="s">
        <v>5437</v>
      </c>
      <c r="B49" s="170" t="s">
        <v>4000</v>
      </c>
      <c r="C49" s="170" t="s">
        <v>15589</v>
      </c>
      <c r="D49" s="873">
        <v>0</v>
      </c>
      <c r="E49" s="873">
        <v>0</v>
      </c>
      <c r="F49" s="873">
        <v>0</v>
      </c>
      <c r="G49" s="873">
        <v>0</v>
      </c>
      <c r="H49" s="873">
        <v>0</v>
      </c>
      <c r="I49" s="873">
        <v>0</v>
      </c>
      <c r="J49" s="873">
        <v>0</v>
      </c>
      <c r="K49" s="873">
        <v>0</v>
      </c>
      <c r="L49" s="873">
        <v>0</v>
      </c>
      <c r="M49" s="873">
        <v>0</v>
      </c>
      <c r="N49" s="873">
        <v>0</v>
      </c>
      <c r="O49" s="63">
        <v>7315</v>
      </c>
      <c r="Q49" s="866" t="s">
        <v>4748</v>
      </c>
    </row>
    <row r="50" spans="1:17" ht="15.75" thickBot="1">
      <c r="A50" s="866"/>
      <c r="C50" s="170" t="s">
        <v>15589</v>
      </c>
      <c r="D50" s="873">
        <v>0</v>
      </c>
      <c r="E50" s="873">
        <v>0</v>
      </c>
      <c r="F50" s="873">
        <v>0</v>
      </c>
      <c r="G50" s="873">
        <v>0</v>
      </c>
      <c r="H50" s="873">
        <v>0</v>
      </c>
      <c r="I50" s="873">
        <v>0</v>
      </c>
      <c r="J50" s="873">
        <v>0</v>
      </c>
      <c r="K50" s="873">
        <v>0</v>
      </c>
      <c r="L50" s="873">
        <v>0</v>
      </c>
      <c r="M50" s="873">
        <v>0</v>
      </c>
      <c r="N50" s="873">
        <v>0</v>
      </c>
      <c r="O50" s="63">
        <v>2731</v>
      </c>
      <c r="Q50" s="866" t="s">
        <v>4750</v>
      </c>
    </row>
    <row r="51" spans="1:17" ht="15.75" thickBot="1">
      <c r="A51" s="866"/>
      <c r="C51" s="170" t="s">
        <v>15589</v>
      </c>
      <c r="D51" s="881">
        <f t="shared" ref="D51:M51" si="20">D49+D50</f>
        <v>0</v>
      </c>
      <c r="E51" s="881">
        <f t="shared" si="20"/>
        <v>0</v>
      </c>
      <c r="F51" s="881">
        <f t="shared" si="20"/>
        <v>0</v>
      </c>
      <c r="G51" s="881">
        <f t="shared" si="20"/>
        <v>0</v>
      </c>
      <c r="H51" s="881">
        <f t="shared" si="20"/>
        <v>0</v>
      </c>
      <c r="I51" s="881">
        <f t="shared" si="20"/>
        <v>0</v>
      </c>
      <c r="J51" s="881">
        <f t="shared" si="20"/>
        <v>0</v>
      </c>
      <c r="K51" s="881">
        <f t="shared" si="20"/>
        <v>0</v>
      </c>
      <c r="L51" s="881">
        <f t="shared" si="20"/>
        <v>0</v>
      </c>
      <c r="M51" s="881">
        <f t="shared" si="20"/>
        <v>0</v>
      </c>
      <c r="N51" s="881">
        <f>N49+N50</f>
        <v>0</v>
      </c>
      <c r="O51" s="881">
        <f>O49+O50</f>
        <v>10046</v>
      </c>
      <c r="Q51" s="866"/>
    </row>
    <row r="52" spans="1:17">
      <c r="A52" s="866" t="s">
        <v>5439</v>
      </c>
      <c r="B52" s="170" t="s">
        <v>4001</v>
      </c>
      <c r="C52" s="170" t="s">
        <v>15590</v>
      </c>
      <c r="D52" s="873">
        <v>0</v>
      </c>
      <c r="E52" s="873">
        <v>0</v>
      </c>
      <c r="F52" s="873">
        <v>0</v>
      </c>
      <c r="G52" s="873">
        <v>0</v>
      </c>
      <c r="H52" s="873">
        <v>0</v>
      </c>
      <c r="I52" s="873">
        <v>0</v>
      </c>
      <c r="J52" s="873">
        <v>0</v>
      </c>
      <c r="K52" s="873">
        <v>0</v>
      </c>
      <c r="L52" s="873">
        <v>0</v>
      </c>
      <c r="M52" s="873">
        <v>0</v>
      </c>
      <c r="N52" s="873">
        <v>0</v>
      </c>
      <c r="O52" s="63">
        <v>9701</v>
      </c>
      <c r="Q52" s="866" t="s">
        <v>4750</v>
      </c>
    </row>
    <row r="53" spans="1:17">
      <c r="A53" s="866" t="s">
        <v>5441</v>
      </c>
      <c r="B53" s="170" t="s">
        <v>15597</v>
      </c>
      <c r="C53" s="170" t="s">
        <v>15591</v>
      </c>
      <c r="D53" s="873">
        <v>0</v>
      </c>
      <c r="E53" s="873">
        <v>0</v>
      </c>
      <c r="F53" s="873">
        <v>0</v>
      </c>
      <c r="G53" s="873">
        <v>0</v>
      </c>
      <c r="H53" s="873">
        <v>0</v>
      </c>
      <c r="I53" s="873">
        <v>0</v>
      </c>
      <c r="J53" s="873">
        <v>0</v>
      </c>
      <c r="K53" s="873">
        <v>0</v>
      </c>
      <c r="L53" s="873">
        <v>0</v>
      </c>
      <c r="M53" s="873">
        <v>0</v>
      </c>
      <c r="N53" s="873">
        <v>0</v>
      </c>
      <c r="O53" s="63">
        <v>6133</v>
      </c>
      <c r="Q53" s="866" t="s">
        <v>4748</v>
      </c>
    </row>
    <row r="54" spans="1:17" ht="15.75" thickBot="1">
      <c r="A54" s="866"/>
      <c r="C54" s="170" t="s">
        <v>15591</v>
      </c>
      <c r="D54" s="873">
        <v>0</v>
      </c>
      <c r="E54" s="873">
        <v>0</v>
      </c>
      <c r="F54" s="873">
        <v>0</v>
      </c>
      <c r="G54" s="873">
        <v>0</v>
      </c>
      <c r="H54" s="873">
        <v>0</v>
      </c>
      <c r="I54" s="873">
        <v>0</v>
      </c>
      <c r="J54" s="873">
        <v>0</v>
      </c>
      <c r="K54" s="873">
        <v>0</v>
      </c>
      <c r="L54" s="873">
        <v>0</v>
      </c>
      <c r="M54" s="873">
        <v>0</v>
      </c>
      <c r="N54" s="873">
        <v>0</v>
      </c>
      <c r="O54" s="63">
        <v>1700</v>
      </c>
      <c r="Q54" s="866" t="s">
        <v>4750</v>
      </c>
    </row>
    <row r="55" spans="1:17" ht="15.75" thickBot="1">
      <c r="A55" s="866"/>
      <c r="C55" s="170" t="s">
        <v>15591</v>
      </c>
      <c r="D55" s="881">
        <f t="shared" ref="D55:M55" si="21">D53+D54</f>
        <v>0</v>
      </c>
      <c r="E55" s="881">
        <f t="shared" si="21"/>
        <v>0</v>
      </c>
      <c r="F55" s="881">
        <f t="shared" si="21"/>
        <v>0</v>
      </c>
      <c r="G55" s="881">
        <f t="shared" si="21"/>
        <v>0</v>
      </c>
      <c r="H55" s="881">
        <f t="shared" si="21"/>
        <v>0</v>
      </c>
      <c r="I55" s="881">
        <f t="shared" si="21"/>
        <v>0</v>
      </c>
      <c r="J55" s="881">
        <f t="shared" si="21"/>
        <v>0</v>
      </c>
      <c r="K55" s="881">
        <f t="shared" si="21"/>
        <v>0</v>
      </c>
      <c r="L55" s="881">
        <f t="shared" si="21"/>
        <v>0</v>
      </c>
      <c r="M55" s="881">
        <f t="shared" si="21"/>
        <v>0</v>
      </c>
      <c r="N55" s="881">
        <f>N53+N54</f>
        <v>0</v>
      </c>
      <c r="O55" s="881">
        <f>O53+O54</f>
        <v>7833</v>
      </c>
      <c r="Q55" s="866"/>
    </row>
    <row r="56" spans="1:17">
      <c r="A56" s="866" t="s">
        <v>5886</v>
      </c>
      <c r="B56" s="170" t="s">
        <v>15598</v>
      </c>
      <c r="C56" s="170" t="s">
        <v>15592</v>
      </c>
      <c r="D56" s="873">
        <v>0</v>
      </c>
      <c r="E56" s="873">
        <v>0</v>
      </c>
      <c r="F56" s="873">
        <v>0</v>
      </c>
      <c r="G56" s="873">
        <v>0</v>
      </c>
      <c r="H56" s="873">
        <v>0</v>
      </c>
      <c r="I56" s="873">
        <v>0</v>
      </c>
      <c r="J56" s="873">
        <v>0</v>
      </c>
      <c r="K56" s="873">
        <v>0</v>
      </c>
      <c r="L56" s="873">
        <v>0</v>
      </c>
      <c r="M56" s="873">
        <v>0</v>
      </c>
      <c r="N56" s="873">
        <v>0</v>
      </c>
      <c r="O56" s="63">
        <v>4274</v>
      </c>
      <c r="Q56" s="866" t="s">
        <v>4750</v>
      </c>
    </row>
    <row r="57" spans="1:17">
      <c r="A57" s="866">
        <v>22</v>
      </c>
      <c r="B57" s="170" t="s">
        <v>4002</v>
      </c>
      <c r="C57" s="170" t="s">
        <v>15593</v>
      </c>
      <c r="D57" s="873">
        <v>0</v>
      </c>
      <c r="E57" s="873">
        <v>0</v>
      </c>
      <c r="F57" s="873">
        <v>0</v>
      </c>
      <c r="G57" s="873">
        <v>0</v>
      </c>
      <c r="H57" s="873">
        <v>0</v>
      </c>
      <c r="I57" s="873">
        <v>0</v>
      </c>
      <c r="J57" s="873">
        <v>0</v>
      </c>
      <c r="K57" s="873">
        <v>0</v>
      </c>
      <c r="L57" s="873">
        <v>0</v>
      </c>
      <c r="M57" s="873">
        <v>0</v>
      </c>
      <c r="N57" s="873">
        <v>0</v>
      </c>
      <c r="O57" s="63">
        <v>10535</v>
      </c>
      <c r="Q57" s="866" t="s">
        <v>4748</v>
      </c>
    </row>
    <row r="58" spans="1:17">
      <c r="A58" s="866"/>
      <c r="B58" s="866"/>
      <c r="C58" s="866"/>
      <c r="D58" s="868"/>
      <c r="E58" s="868"/>
      <c r="F58" s="868"/>
      <c r="G58" s="868"/>
      <c r="H58" s="868"/>
      <c r="I58" s="868"/>
      <c r="J58" s="868"/>
      <c r="K58" s="868"/>
      <c r="L58" s="868"/>
      <c r="Q58" s="866"/>
    </row>
    <row r="59" spans="1:17">
      <c r="A59" s="866" t="s">
        <v>1944</v>
      </c>
      <c r="B59" s="866"/>
      <c r="C59" s="866"/>
      <c r="D59" s="868"/>
      <c r="E59" s="868"/>
      <c r="F59" s="868"/>
      <c r="G59" s="868"/>
      <c r="H59" s="868"/>
      <c r="I59" s="868"/>
      <c r="J59" s="868"/>
      <c r="K59" s="868"/>
      <c r="L59" s="868"/>
      <c r="Q59" s="866"/>
    </row>
    <row r="60" spans="1:17">
      <c r="A60" s="170" t="s">
        <v>15599</v>
      </c>
      <c r="B60" s="866"/>
      <c r="C60" s="866"/>
      <c r="D60" s="868"/>
      <c r="E60" s="868"/>
      <c r="F60" s="868"/>
      <c r="G60" s="868"/>
      <c r="H60" s="868"/>
      <c r="I60" s="868"/>
      <c r="J60" s="868"/>
      <c r="K60" s="868"/>
      <c r="L60" s="868"/>
      <c r="Q60" s="866"/>
    </row>
    <row r="61" spans="1:17">
      <c r="A61" s="113" t="s">
        <v>1945</v>
      </c>
      <c r="B61" s="866"/>
      <c r="C61" s="866"/>
      <c r="D61" s="868"/>
      <c r="E61" s="868"/>
      <c r="F61" s="868"/>
      <c r="G61" s="868"/>
      <c r="H61" s="868"/>
      <c r="I61" s="868"/>
      <c r="J61" s="868"/>
      <c r="K61" s="868"/>
      <c r="L61" s="868"/>
      <c r="Q61" s="866"/>
    </row>
    <row r="62" spans="1:17">
      <c r="A62" s="866"/>
      <c r="B62" s="866"/>
      <c r="C62" s="866"/>
      <c r="D62" s="868"/>
      <c r="E62" s="868"/>
      <c r="F62" s="868"/>
      <c r="G62" s="868"/>
      <c r="H62" s="868"/>
      <c r="I62" s="868"/>
      <c r="J62" s="868"/>
      <c r="K62" s="868"/>
      <c r="L62" s="868"/>
      <c r="Q62" s="866"/>
    </row>
    <row r="63" spans="1:17">
      <c r="A63" s="1014" t="s">
        <v>16023</v>
      </c>
      <c r="B63" s="866"/>
      <c r="C63" s="866"/>
      <c r="D63" s="868"/>
      <c r="E63" s="868"/>
      <c r="F63" s="868"/>
      <c r="G63" s="868"/>
      <c r="H63" s="868"/>
      <c r="I63" s="868"/>
      <c r="J63" s="868"/>
      <c r="K63" s="868"/>
      <c r="L63" s="868"/>
      <c r="Q63" s="866"/>
    </row>
    <row r="64" spans="1:17">
      <c r="A64" s="167" t="s">
        <v>16099</v>
      </c>
      <c r="B64" s="866"/>
      <c r="C64" s="866"/>
      <c r="D64" s="868"/>
      <c r="E64" s="868"/>
      <c r="F64" s="868"/>
      <c r="G64" s="868"/>
      <c r="H64" s="868"/>
      <c r="I64" s="868"/>
      <c r="J64" s="868"/>
      <c r="K64" s="868"/>
      <c r="L64" s="868"/>
      <c r="Q64" s="866"/>
    </row>
    <row r="65" spans="1:17">
      <c r="A65" s="866"/>
      <c r="B65" s="866"/>
      <c r="C65" s="866"/>
      <c r="D65" s="868"/>
      <c r="E65" s="868"/>
      <c r="F65" s="868"/>
      <c r="G65" s="868"/>
      <c r="H65" s="868"/>
      <c r="I65" s="868"/>
      <c r="J65" s="868"/>
      <c r="K65" s="868"/>
      <c r="L65" s="868"/>
      <c r="Q65" s="866"/>
    </row>
  </sheetData>
  <phoneticPr fontId="6" type="noConversion"/>
  <printOptions gridLinesSet="0"/>
  <pageMargins left="0.78740157480314965" right="0" top="0.51181102362204722" bottom="0.51181102362204722" header="0.51181102362204722" footer="0.51181102362204722"/>
  <pageSetup paperSize="9" scale="71" orientation="portrait" horizontalDpi="300" verticalDpi="300" r:id="rId1"/>
  <headerFooter alignWithMargins="0">
    <oddFooter>&amp;C&amp;"Times New Roman,Regular"&amp;8&amp;P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dimension ref="A1:Q284"/>
  <sheetViews>
    <sheetView showGridLines="0" zoomScale="90" zoomScaleNormal="90" workbookViewId="0">
      <selection activeCell="A110" sqref="A110"/>
    </sheetView>
  </sheetViews>
  <sheetFormatPr defaultColWidth="12.5703125" defaultRowHeight="15"/>
  <cols>
    <col min="1" max="1" width="4.85546875" style="110" customWidth="1"/>
    <col min="2" max="2" width="35.85546875" style="110" customWidth="1"/>
    <col min="3" max="3" width="11.5703125" style="110" customWidth="1"/>
    <col min="4" max="15" width="10" style="110" customWidth="1"/>
    <col min="16" max="16" width="2.28515625" style="110" customWidth="1"/>
    <col min="17" max="17" width="39" style="110" bestFit="1" customWidth="1"/>
    <col min="18" max="16384" width="12.5703125" style="110"/>
  </cols>
  <sheetData>
    <row r="1" spans="1:17">
      <c r="A1" s="211" t="s">
        <v>6924</v>
      </c>
      <c r="D1" s="212">
        <v>2010</v>
      </c>
      <c r="E1" s="212">
        <v>2011</v>
      </c>
      <c r="F1" s="212">
        <v>2012</v>
      </c>
      <c r="G1" s="212">
        <v>2013</v>
      </c>
      <c r="H1" s="212">
        <v>2014</v>
      </c>
      <c r="I1" s="212">
        <v>2015</v>
      </c>
      <c r="J1" s="212">
        <v>2016</v>
      </c>
      <c r="K1" s="212">
        <v>2017</v>
      </c>
      <c r="L1" s="212">
        <v>2018</v>
      </c>
      <c r="M1" s="212">
        <v>2019</v>
      </c>
      <c r="N1" s="212">
        <v>2020</v>
      </c>
      <c r="O1" s="926" t="s">
        <v>14823</v>
      </c>
    </row>
    <row r="3" spans="1:17">
      <c r="A3" s="211" t="s">
        <v>5976</v>
      </c>
      <c r="D3" s="213">
        <f t="shared" ref="D3:I3" si="0">SUM(D5:D9)</f>
        <v>1562810</v>
      </c>
      <c r="E3" s="213">
        <f t="shared" si="0"/>
        <v>1577088</v>
      </c>
      <c r="F3" s="213">
        <f t="shared" si="0"/>
        <v>1581823</v>
      </c>
      <c r="G3" s="213">
        <f t="shared" si="0"/>
        <v>1596015</v>
      </c>
      <c r="H3" s="213">
        <f t="shared" si="0"/>
        <v>1566578</v>
      </c>
      <c r="I3" s="213">
        <f t="shared" si="0"/>
        <v>1533080</v>
      </c>
      <c r="J3" s="213">
        <f t="shared" ref="J3:O3" si="1">SUM(J5:J9)</f>
        <v>1517655</v>
      </c>
      <c r="K3" s="213">
        <f t="shared" si="1"/>
        <v>1572711</v>
      </c>
      <c r="L3" s="213">
        <f t="shared" si="1"/>
        <v>1587828</v>
      </c>
      <c r="M3" s="213">
        <f t="shared" si="1"/>
        <v>1573535</v>
      </c>
      <c r="N3" s="213">
        <f t="shared" si="1"/>
        <v>1622717</v>
      </c>
      <c r="O3" s="213">
        <f t="shared" si="1"/>
        <v>1653940</v>
      </c>
    </row>
    <row r="4" spans="1:17">
      <c r="D4" s="214"/>
      <c r="E4" s="214"/>
      <c r="F4" s="214"/>
      <c r="G4" s="214"/>
      <c r="H4" s="214"/>
      <c r="I4" s="214"/>
      <c r="J4" s="214"/>
      <c r="K4" s="214"/>
      <c r="L4" s="214"/>
      <c r="M4" s="214"/>
      <c r="N4" s="214"/>
      <c r="O4" s="214"/>
    </row>
    <row r="5" spans="1:17">
      <c r="A5" s="211" t="s">
        <v>4564</v>
      </c>
      <c r="C5" s="211"/>
      <c r="D5" s="213">
        <f t="shared" ref="D5:I5" si="2">D68</f>
        <v>321338</v>
      </c>
      <c r="E5" s="213">
        <f t="shared" si="2"/>
        <v>329954</v>
      </c>
      <c r="F5" s="213">
        <f t="shared" si="2"/>
        <v>333826</v>
      </c>
      <c r="G5" s="213">
        <f t="shared" si="2"/>
        <v>340795</v>
      </c>
      <c r="H5" s="213">
        <f t="shared" si="2"/>
        <v>342079</v>
      </c>
      <c r="I5" s="213">
        <f t="shared" si="2"/>
        <v>325735</v>
      </c>
      <c r="J5" s="213">
        <f t="shared" ref="J5:O5" si="3">J68</f>
        <v>326783</v>
      </c>
      <c r="K5" s="213">
        <f t="shared" si="3"/>
        <v>342413</v>
      </c>
      <c r="L5" s="213">
        <f t="shared" si="3"/>
        <v>348281</v>
      </c>
      <c r="M5" s="213">
        <f t="shared" si="3"/>
        <v>347654</v>
      </c>
      <c r="N5" s="213">
        <f t="shared" si="3"/>
        <v>363363</v>
      </c>
      <c r="O5" s="213">
        <f t="shared" si="3"/>
        <v>361347</v>
      </c>
      <c r="Q5" s="215"/>
    </row>
    <row r="6" spans="1:17">
      <c r="A6" s="211" t="s">
        <v>4565</v>
      </c>
      <c r="C6" s="211"/>
      <c r="D6" s="213">
        <f t="shared" ref="D6:I6" si="4">D114</f>
        <v>147691</v>
      </c>
      <c r="E6" s="213">
        <f t="shared" si="4"/>
        <v>145167</v>
      </c>
      <c r="F6" s="213">
        <f t="shared" si="4"/>
        <v>147214</v>
      </c>
      <c r="G6" s="213">
        <f t="shared" si="4"/>
        <v>147153</v>
      </c>
      <c r="H6" s="213">
        <f t="shared" si="4"/>
        <v>145702</v>
      </c>
      <c r="I6" s="213">
        <f t="shared" si="4"/>
        <v>142972</v>
      </c>
      <c r="J6" s="213">
        <f t="shared" ref="J6:O6" si="5">J114</f>
        <v>142864</v>
      </c>
      <c r="K6" s="213">
        <f t="shared" si="5"/>
        <v>146496</v>
      </c>
      <c r="L6" s="213">
        <f t="shared" si="5"/>
        <v>147634</v>
      </c>
      <c r="M6" s="213">
        <f t="shared" si="5"/>
        <v>146893</v>
      </c>
      <c r="N6" s="213">
        <f t="shared" si="5"/>
        <v>147917</v>
      </c>
      <c r="O6" s="213">
        <f t="shared" si="5"/>
        <v>150550</v>
      </c>
      <c r="Q6" s="215"/>
    </row>
    <row r="7" spans="1:17">
      <c r="A7" s="211" t="s">
        <v>4566</v>
      </c>
      <c r="C7" s="211"/>
      <c r="D7" s="213">
        <f t="shared" ref="D7:I7" si="6">D141</f>
        <v>301360</v>
      </c>
      <c r="E7" s="213">
        <f t="shared" si="6"/>
        <v>304578</v>
      </c>
      <c r="F7" s="213">
        <f t="shared" si="6"/>
        <v>307626</v>
      </c>
      <c r="G7" s="213">
        <f t="shared" si="6"/>
        <v>308896</v>
      </c>
      <c r="H7" s="213">
        <f t="shared" si="6"/>
        <v>308557</v>
      </c>
      <c r="I7" s="213">
        <f t="shared" si="6"/>
        <v>296481</v>
      </c>
      <c r="J7" s="213">
        <f t="shared" ref="J7:O7" si="7">J141</f>
        <v>295405</v>
      </c>
      <c r="K7" s="213">
        <f t="shared" si="7"/>
        <v>306707</v>
      </c>
      <c r="L7" s="213">
        <f t="shared" si="7"/>
        <v>302980</v>
      </c>
      <c r="M7" s="213">
        <f t="shared" si="7"/>
        <v>300853</v>
      </c>
      <c r="N7" s="213">
        <f t="shared" si="7"/>
        <v>312683</v>
      </c>
      <c r="O7" s="213">
        <f t="shared" si="7"/>
        <v>312908</v>
      </c>
      <c r="Q7" s="215"/>
    </row>
    <row r="8" spans="1:17">
      <c r="A8" s="211" t="s">
        <v>4567</v>
      </c>
      <c r="C8" s="211"/>
      <c r="D8" s="213">
        <f t="shared" ref="D8:I8" si="8">D180</f>
        <v>541763</v>
      </c>
      <c r="E8" s="213">
        <f t="shared" si="8"/>
        <v>545338</v>
      </c>
      <c r="F8" s="213">
        <f t="shared" si="8"/>
        <v>541754</v>
      </c>
      <c r="G8" s="213">
        <f t="shared" si="8"/>
        <v>548575</v>
      </c>
      <c r="H8" s="213">
        <f t="shared" si="8"/>
        <v>523862</v>
      </c>
      <c r="I8" s="213">
        <f t="shared" si="8"/>
        <v>519957</v>
      </c>
      <c r="J8" s="213">
        <f t="shared" ref="J8:O8" si="9">J180</f>
        <v>515304</v>
      </c>
      <c r="K8" s="213">
        <f t="shared" si="9"/>
        <v>535725</v>
      </c>
      <c r="L8" s="213">
        <f t="shared" si="9"/>
        <v>541976</v>
      </c>
      <c r="M8" s="213">
        <f t="shared" si="9"/>
        <v>533294</v>
      </c>
      <c r="N8" s="213">
        <f t="shared" si="9"/>
        <v>543568</v>
      </c>
      <c r="O8" s="213">
        <f t="shared" si="9"/>
        <v>574579</v>
      </c>
      <c r="Q8" s="215"/>
    </row>
    <row r="9" spans="1:17">
      <c r="A9" s="211" t="s">
        <v>4568</v>
      </c>
      <c r="C9" s="211"/>
      <c r="D9" s="213">
        <f t="shared" ref="D9:I9" si="10">D256</f>
        <v>250658</v>
      </c>
      <c r="E9" s="213">
        <f t="shared" si="10"/>
        <v>252051</v>
      </c>
      <c r="F9" s="213">
        <f t="shared" si="10"/>
        <v>251403</v>
      </c>
      <c r="G9" s="213">
        <f t="shared" si="10"/>
        <v>250596</v>
      </c>
      <c r="H9" s="213">
        <f t="shared" si="10"/>
        <v>246378</v>
      </c>
      <c r="I9" s="213">
        <f t="shared" si="10"/>
        <v>247935</v>
      </c>
      <c r="J9" s="213">
        <f t="shared" ref="J9:O9" si="11">J256</f>
        <v>237299</v>
      </c>
      <c r="K9" s="213">
        <f t="shared" si="11"/>
        <v>241370</v>
      </c>
      <c r="L9" s="213">
        <f t="shared" si="11"/>
        <v>246957</v>
      </c>
      <c r="M9" s="213">
        <f t="shared" si="11"/>
        <v>244841</v>
      </c>
      <c r="N9" s="213">
        <f t="shared" si="11"/>
        <v>255186</v>
      </c>
      <c r="O9" s="213">
        <f t="shared" si="11"/>
        <v>254556</v>
      </c>
      <c r="Q9" s="215"/>
    </row>
    <row r="10" spans="1:17">
      <c r="B10" s="211"/>
      <c r="C10" s="211"/>
      <c r="D10" s="213"/>
      <c r="E10" s="213"/>
      <c r="F10" s="213"/>
      <c r="G10" s="213"/>
      <c r="H10" s="213"/>
      <c r="I10" s="213"/>
      <c r="J10" s="213"/>
      <c r="K10" s="213"/>
      <c r="L10" s="213"/>
      <c r="M10" s="213"/>
      <c r="N10" s="213"/>
      <c r="O10" s="213"/>
      <c r="Q10" s="215"/>
    </row>
    <row r="11" spans="1:17">
      <c r="A11" s="211" t="s">
        <v>9512</v>
      </c>
      <c r="D11" s="213">
        <f t="shared" ref="D11:I11" si="12">D3/21</f>
        <v>74419.523809523816</v>
      </c>
      <c r="E11" s="213">
        <f t="shared" si="12"/>
        <v>75099.428571428565</v>
      </c>
      <c r="F11" s="213">
        <f t="shared" si="12"/>
        <v>75324.904761904763</v>
      </c>
      <c r="G11" s="213">
        <f t="shared" si="12"/>
        <v>76000.71428571429</v>
      </c>
      <c r="H11" s="213">
        <f t="shared" si="12"/>
        <v>74598.952380952382</v>
      </c>
      <c r="I11" s="213">
        <f t="shared" si="12"/>
        <v>73003.809523809527</v>
      </c>
      <c r="J11" s="213">
        <f t="shared" ref="J11:O11" si="13">J3/21</f>
        <v>72269.28571428571</v>
      </c>
      <c r="K11" s="213">
        <f t="shared" si="13"/>
        <v>74891</v>
      </c>
      <c r="L11" s="213">
        <f t="shared" si="13"/>
        <v>75610.857142857145</v>
      </c>
      <c r="M11" s="213">
        <f t="shared" si="13"/>
        <v>74930.238095238092</v>
      </c>
      <c r="N11" s="213">
        <f t="shared" si="13"/>
        <v>77272.238095238092</v>
      </c>
      <c r="O11" s="213">
        <f t="shared" si="13"/>
        <v>78759.047619047618</v>
      </c>
    </row>
    <row r="12" spans="1:17">
      <c r="D12" s="214"/>
      <c r="E12" s="214"/>
      <c r="F12" s="214"/>
      <c r="G12" s="214"/>
      <c r="H12" s="214"/>
      <c r="I12" s="214"/>
      <c r="J12" s="214"/>
      <c r="K12" s="214"/>
      <c r="L12" s="214"/>
      <c r="M12" s="214"/>
      <c r="N12" s="214"/>
      <c r="O12" s="214"/>
    </row>
    <row r="13" spans="1:17">
      <c r="A13" s="211" t="s">
        <v>4569</v>
      </c>
      <c r="D13" s="213">
        <f t="shared" ref="D13:I13" si="14">D169</f>
        <v>76619</v>
      </c>
      <c r="E13" s="213">
        <f t="shared" si="14"/>
        <v>77472</v>
      </c>
      <c r="F13" s="213">
        <f t="shared" si="14"/>
        <v>78225</v>
      </c>
      <c r="G13" s="213">
        <f t="shared" si="14"/>
        <v>78576</v>
      </c>
      <c r="H13" s="213">
        <f t="shared" si="14"/>
        <v>78753</v>
      </c>
      <c r="I13" s="213">
        <f t="shared" si="14"/>
        <v>76694</v>
      </c>
      <c r="J13" s="213">
        <f t="shared" ref="J13:O13" si="15">J169</f>
        <v>75961</v>
      </c>
      <c r="K13" s="213">
        <f t="shared" si="15"/>
        <v>78979</v>
      </c>
      <c r="L13" s="213">
        <f t="shared" si="15"/>
        <v>78013</v>
      </c>
      <c r="M13" s="213">
        <f t="shared" si="15"/>
        <v>77416</v>
      </c>
      <c r="N13" s="213">
        <f t="shared" si="15"/>
        <v>80110</v>
      </c>
      <c r="O13" s="213">
        <f t="shared" si="15"/>
        <v>80162</v>
      </c>
      <c r="Q13" s="211" t="s">
        <v>4570</v>
      </c>
    </row>
    <row r="14" spans="1:17">
      <c r="D14" s="214"/>
      <c r="E14" s="214"/>
      <c r="F14" s="214"/>
      <c r="G14" s="214"/>
      <c r="H14" s="214"/>
      <c r="I14" s="214"/>
      <c r="J14" s="214"/>
      <c r="K14" s="214"/>
      <c r="L14" s="214"/>
      <c r="M14" s="214"/>
      <c r="N14" s="214"/>
      <c r="O14" s="214"/>
    </row>
    <row r="15" spans="1:17">
      <c r="A15" s="211" t="s">
        <v>4571</v>
      </c>
      <c r="D15" s="213">
        <f t="shared" ref="D15:I15" si="16">D102</f>
        <v>64382</v>
      </c>
      <c r="E15" s="213">
        <f t="shared" si="16"/>
        <v>66718</v>
      </c>
      <c r="F15" s="213">
        <f t="shared" si="16"/>
        <v>67719</v>
      </c>
      <c r="G15" s="213">
        <f t="shared" si="16"/>
        <v>69105</v>
      </c>
      <c r="H15" s="213">
        <f t="shared" si="16"/>
        <v>68759</v>
      </c>
      <c r="I15" s="213">
        <f t="shared" si="16"/>
        <v>64628</v>
      </c>
      <c r="J15" s="213">
        <f t="shared" ref="J15:O15" si="17">J102</f>
        <v>64952</v>
      </c>
      <c r="K15" s="213">
        <f t="shared" si="17"/>
        <v>68649</v>
      </c>
      <c r="L15" s="213">
        <f t="shared" si="17"/>
        <v>70315</v>
      </c>
      <c r="M15" s="213">
        <f t="shared" si="17"/>
        <v>70555</v>
      </c>
      <c r="N15" s="213">
        <f t="shared" si="17"/>
        <v>74205</v>
      </c>
      <c r="O15" s="213">
        <f t="shared" si="17"/>
        <v>73721</v>
      </c>
      <c r="Q15" s="211" t="s">
        <v>4572</v>
      </c>
    </row>
    <row r="16" spans="1:17">
      <c r="D16" s="214"/>
      <c r="E16" s="214"/>
      <c r="F16" s="214"/>
      <c r="G16" s="214"/>
      <c r="H16" s="214"/>
      <c r="I16" s="214"/>
      <c r="J16" s="214"/>
      <c r="K16" s="214"/>
      <c r="L16" s="214"/>
      <c r="M16" s="214"/>
      <c r="N16" s="214"/>
      <c r="O16" s="214"/>
    </row>
    <row r="17" spans="1:17">
      <c r="A17" s="211" t="s">
        <v>4573</v>
      </c>
      <c r="D17" s="213">
        <f t="shared" ref="D17:I17" si="18">D103</f>
        <v>63532</v>
      </c>
      <c r="E17" s="213">
        <f t="shared" si="18"/>
        <v>64715</v>
      </c>
      <c r="F17" s="213">
        <f t="shared" si="18"/>
        <v>65005</v>
      </c>
      <c r="G17" s="213">
        <f t="shared" si="18"/>
        <v>66210</v>
      </c>
      <c r="H17" s="213">
        <f t="shared" si="18"/>
        <v>66738</v>
      </c>
      <c r="I17" s="213">
        <f t="shared" si="18"/>
        <v>62818</v>
      </c>
      <c r="J17" s="213">
        <f t="shared" ref="J17:O17" si="19">J103</f>
        <v>62968</v>
      </c>
      <c r="K17" s="213">
        <f t="shared" si="19"/>
        <v>66174</v>
      </c>
      <c r="L17" s="213">
        <f t="shared" si="19"/>
        <v>67401</v>
      </c>
      <c r="M17" s="213">
        <f t="shared" si="19"/>
        <v>67259</v>
      </c>
      <c r="N17" s="213">
        <f t="shared" si="19"/>
        <v>69667</v>
      </c>
      <c r="O17" s="213">
        <f t="shared" si="19"/>
        <v>69319</v>
      </c>
      <c r="Q17" s="211" t="s">
        <v>4572</v>
      </c>
    </row>
    <row r="18" spans="1:17">
      <c r="D18" s="214"/>
      <c r="E18" s="214"/>
      <c r="F18" s="214"/>
      <c r="G18" s="214"/>
      <c r="H18" s="214"/>
      <c r="I18" s="214"/>
      <c r="J18" s="214"/>
      <c r="K18" s="214"/>
      <c r="L18" s="214"/>
      <c r="M18" s="214"/>
      <c r="N18" s="214"/>
      <c r="O18" s="214"/>
    </row>
    <row r="19" spans="1:17">
      <c r="A19" s="211" t="s">
        <v>4574</v>
      </c>
      <c r="D19" s="213">
        <f t="shared" ref="D19:I19" si="20">D104</f>
        <v>60658</v>
      </c>
      <c r="E19" s="213">
        <f t="shared" si="20"/>
        <v>63425</v>
      </c>
      <c r="F19" s="213">
        <f t="shared" si="20"/>
        <v>64752</v>
      </c>
      <c r="G19" s="213">
        <f t="shared" si="20"/>
        <v>66089</v>
      </c>
      <c r="H19" s="213">
        <f t="shared" si="20"/>
        <v>65567</v>
      </c>
      <c r="I19" s="213">
        <f t="shared" si="20"/>
        <v>61650</v>
      </c>
      <c r="J19" s="213">
        <f t="shared" ref="J19:O19" si="21">J104</f>
        <v>62096</v>
      </c>
      <c r="K19" s="213">
        <f t="shared" si="21"/>
        <v>65661</v>
      </c>
      <c r="L19" s="213">
        <f t="shared" si="21"/>
        <v>67719</v>
      </c>
      <c r="M19" s="213">
        <f t="shared" si="21"/>
        <v>67687</v>
      </c>
      <c r="N19" s="213">
        <f t="shared" si="21"/>
        <v>71585</v>
      </c>
      <c r="O19" s="213">
        <f t="shared" si="21"/>
        <v>71258</v>
      </c>
      <c r="Q19" s="211" t="s">
        <v>4572</v>
      </c>
    </row>
    <row r="20" spans="1:17">
      <c r="D20" s="214"/>
      <c r="E20" s="214"/>
      <c r="F20" s="214"/>
      <c r="G20" s="214"/>
      <c r="H20" s="214"/>
      <c r="I20" s="214"/>
      <c r="J20" s="214"/>
      <c r="K20" s="214"/>
      <c r="L20" s="214"/>
      <c r="M20" s="214"/>
      <c r="N20" s="214"/>
      <c r="O20" s="214"/>
    </row>
    <row r="21" spans="1:17">
      <c r="A21" s="211" t="s">
        <v>4575</v>
      </c>
      <c r="D21" s="213">
        <f t="shared" ref="D21:I21" si="22">D133</f>
        <v>77069</v>
      </c>
      <c r="E21" s="213">
        <f t="shared" si="22"/>
        <v>76041</v>
      </c>
      <c r="F21" s="213">
        <f t="shared" si="22"/>
        <v>77224</v>
      </c>
      <c r="G21" s="213">
        <f t="shared" si="22"/>
        <v>77167</v>
      </c>
      <c r="H21" s="213">
        <f t="shared" si="22"/>
        <v>76538</v>
      </c>
      <c r="I21" s="213">
        <f t="shared" si="22"/>
        <v>75049</v>
      </c>
      <c r="J21" s="213">
        <f t="shared" ref="J21:O21" si="23">J133</f>
        <v>75059</v>
      </c>
      <c r="K21" s="213">
        <f t="shared" si="23"/>
        <v>76876</v>
      </c>
      <c r="L21" s="213">
        <f t="shared" si="23"/>
        <v>77674</v>
      </c>
      <c r="M21" s="213">
        <f t="shared" si="23"/>
        <v>76939</v>
      </c>
      <c r="N21" s="213">
        <f t="shared" si="23"/>
        <v>77504</v>
      </c>
      <c r="O21" s="213">
        <f t="shared" si="23"/>
        <v>78824</v>
      </c>
      <c r="Q21" s="211" t="s">
        <v>4576</v>
      </c>
    </row>
    <row r="22" spans="1:17">
      <c r="D22" s="214"/>
      <c r="E22" s="214"/>
      <c r="F22" s="214"/>
      <c r="G22" s="214"/>
      <c r="H22" s="214"/>
      <c r="I22" s="214"/>
      <c r="J22" s="214"/>
      <c r="K22" s="214"/>
      <c r="L22" s="214"/>
      <c r="M22" s="214"/>
      <c r="N22" s="214"/>
      <c r="O22" s="214"/>
    </row>
    <row r="23" spans="1:17">
      <c r="A23" s="211" t="s">
        <v>4577</v>
      </c>
      <c r="D23" s="213">
        <f t="shared" ref="D23:I23" si="24">D170</f>
        <v>79925</v>
      </c>
      <c r="E23" s="213">
        <f t="shared" si="24"/>
        <v>80791</v>
      </c>
      <c r="F23" s="213">
        <f t="shared" si="24"/>
        <v>81614</v>
      </c>
      <c r="G23" s="213">
        <f t="shared" si="24"/>
        <v>81961</v>
      </c>
      <c r="H23" s="213">
        <f t="shared" si="24"/>
        <v>82184</v>
      </c>
      <c r="I23" s="213">
        <f t="shared" si="24"/>
        <v>79944</v>
      </c>
      <c r="J23" s="213">
        <f t="shared" ref="J23:O23" si="25">J170</f>
        <v>79979</v>
      </c>
      <c r="K23" s="213">
        <f t="shared" si="25"/>
        <v>82665</v>
      </c>
      <c r="L23" s="213">
        <f t="shared" si="25"/>
        <v>81997</v>
      </c>
      <c r="M23" s="213">
        <f t="shared" si="25"/>
        <v>81617</v>
      </c>
      <c r="N23" s="213">
        <f t="shared" si="25"/>
        <v>84744</v>
      </c>
      <c r="O23" s="213">
        <f t="shared" si="25"/>
        <v>84731</v>
      </c>
      <c r="Q23" s="211" t="s">
        <v>4570</v>
      </c>
    </row>
    <row r="24" spans="1:17">
      <c r="D24" s="214"/>
      <c r="E24" s="214"/>
      <c r="F24" s="214"/>
      <c r="G24" s="214"/>
      <c r="H24" s="214"/>
      <c r="I24" s="214"/>
      <c r="J24" s="214"/>
      <c r="K24" s="214"/>
      <c r="L24" s="214"/>
      <c r="M24" s="214"/>
      <c r="N24" s="214"/>
      <c r="O24" s="214"/>
    </row>
    <row r="25" spans="1:17">
      <c r="A25" s="211" t="s">
        <v>4578</v>
      </c>
      <c r="D25" s="213">
        <f t="shared" ref="D25:I25" si="26">D171</f>
        <v>78610</v>
      </c>
      <c r="E25" s="213">
        <f t="shared" si="26"/>
        <v>79634</v>
      </c>
      <c r="F25" s="213">
        <f t="shared" si="26"/>
        <v>80344</v>
      </c>
      <c r="G25" s="213">
        <f t="shared" si="26"/>
        <v>80999</v>
      </c>
      <c r="H25" s="213">
        <f t="shared" si="26"/>
        <v>80820</v>
      </c>
      <c r="I25" s="213">
        <f t="shared" si="26"/>
        <v>77525</v>
      </c>
      <c r="J25" s="213">
        <f t="shared" ref="J25:O25" si="27">J171</f>
        <v>77065</v>
      </c>
      <c r="K25" s="213">
        <f t="shared" si="27"/>
        <v>80018</v>
      </c>
      <c r="L25" s="213">
        <f t="shared" si="27"/>
        <v>79219</v>
      </c>
      <c r="M25" s="213">
        <f t="shared" si="27"/>
        <v>78813</v>
      </c>
      <c r="N25" s="213">
        <f t="shared" si="27"/>
        <v>81912</v>
      </c>
      <c r="O25" s="213">
        <f t="shared" si="27"/>
        <v>82003</v>
      </c>
      <c r="Q25" s="211" t="s">
        <v>4570</v>
      </c>
    </row>
    <row r="26" spans="1:17">
      <c r="D26" s="214"/>
      <c r="E26" s="214"/>
      <c r="F26" s="214"/>
      <c r="G26" s="214"/>
      <c r="H26" s="214"/>
      <c r="I26" s="214"/>
      <c r="J26" s="214"/>
      <c r="K26" s="214"/>
      <c r="L26" s="214"/>
      <c r="M26" s="214"/>
      <c r="N26" s="214"/>
      <c r="O26" s="214"/>
    </row>
    <row r="27" spans="1:17">
      <c r="A27" s="211" t="s">
        <v>4579</v>
      </c>
      <c r="D27" s="213">
        <f t="shared" ref="D27:I27" si="28">D242</f>
        <v>77858</v>
      </c>
      <c r="E27" s="213">
        <f t="shared" si="28"/>
        <v>77994</v>
      </c>
      <c r="F27" s="213">
        <f t="shared" si="28"/>
        <v>78521</v>
      </c>
      <c r="G27" s="213">
        <f t="shared" si="28"/>
        <v>78781</v>
      </c>
      <c r="H27" s="213">
        <f t="shared" si="28"/>
        <v>77587</v>
      </c>
      <c r="I27" s="213">
        <f t="shared" si="28"/>
        <v>78038</v>
      </c>
      <c r="J27" s="213">
        <f t="shared" ref="J27:O27" si="29">J242</f>
        <v>77287</v>
      </c>
      <c r="K27" s="213">
        <f t="shared" si="29"/>
        <v>78913</v>
      </c>
      <c r="L27" s="213">
        <f t="shared" si="29"/>
        <v>78278</v>
      </c>
      <c r="M27" s="213">
        <f t="shared" si="29"/>
        <v>78514</v>
      </c>
      <c r="N27" s="213">
        <f t="shared" si="29"/>
        <v>79316</v>
      </c>
      <c r="O27" s="213">
        <f t="shared" si="29"/>
        <v>81421</v>
      </c>
      <c r="Q27" s="211" t="s">
        <v>4580</v>
      </c>
    </row>
    <row r="28" spans="1:17">
      <c r="D28" s="214"/>
      <c r="E28" s="214"/>
      <c r="F28" s="214"/>
      <c r="G28" s="214"/>
      <c r="H28" s="214"/>
      <c r="I28" s="214"/>
      <c r="J28" s="214"/>
      <c r="K28" s="214"/>
      <c r="L28" s="214"/>
      <c r="M28" s="214"/>
      <c r="N28" s="214"/>
      <c r="O28" s="214"/>
    </row>
    <row r="29" spans="1:17">
      <c r="A29" s="211" t="s">
        <v>4581</v>
      </c>
      <c r="D29" s="213">
        <f t="shared" ref="D29:I29" si="30">D134</f>
        <v>70622</v>
      </c>
      <c r="E29" s="213">
        <f t="shared" si="30"/>
        <v>69126</v>
      </c>
      <c r="F29" s="213">
        <f t="shared" si="30"/>
        <v>69990</v>
      </c>
      <c r="G29" s="213">
        <f t="shared" si="30"/>
        <v>69986</v>
      </c>
      <c r="H29" s="213">
        <f t="shared" si="30"/>
        <v>69164</v>
      </c>
      <c r="I29" s="213">
        <f t="shared" si="30"/>
        <v>67923</v>
      </c>
      <c r="J29" s="213">
        <f t="shared" ref="J29:O29" si="31">J134</f>
        <v>67805</v>
      </c>
      <c r="K29" s="213">
        <f t="shared" si="31"/>
        <v>69620</v>
      </c>
      <c r="L29" s="213">
        <f t="shared" si="31"/>
        <v>69960</v>
      </c>
      <c r="M29" s="213">
        <f t="shared" si="31"/>
        <v>69954</v>
      </c>
      <c r="N29" s="213">
        <f t="shared" si="31"/>
        <v>70413</v>
      </c>
      <c r="O29" s="213">
        <f t="shared" si="31"/>
        <v>71726</v>
      </c>
      <c r="Q29" s="211" t="s">
        <v>4576</v>
      </c>
    </row>
    <row r="30" spans="1:17">
      <c r="D30" s="214"/>
      <c r="E30" s="214"/>
      <c r="F30" s="214"/>
      <c r="G30" s="214"/>
      <c r="H30" s="214"/>
      <c r="I30" s="214"/>
      <c r="J30" s="214"/>
      <c r="K30" s="214"/>
      <c r="L30" s="214"/>
      <c r="M30" s="214"/>
      <c r="N30" s="214"/>
      <c r="O30" s="214"/>
    </row>
    <row r="31" spans="1:17">
      <c r="A31" s="211" t="s">
        <v>4582</v>
      </c>
      <c r="D31" s="213">
        <f t="shared" ref="D31:I31" si="32">D279</f>
        <v>73195</v>
      </c>
      <c r="E31" s="213">
        <f t="shared" si="32"/>
        <v>73487</v>
      </c>
      <c r="F31" s="213">
        <f t="shared" si="32"/>
        <v>73001</v>
      </c>
      <c r="G31" s="213">
        <f t="shared" si="32"/>
        <v>72939</v>
      </c>
      <c r="H31" s="213">
        <f t="shared" si="32"/>
        <v>71719</v>
      </c>
      <c r="I31" s="213">
        <f t="shared" si="32"/>
        <v>72206</v>
      </c>
      <c r="J31" s="213">
        <f t="shared" ref="J31:O31" si="33">J279</f>
        <v>69319</v>
      </c>
      <c r="K31" s="213">
        <f t="shared" si="33"/>
        <v>70367</v>
      </c>
      <c r="L31" s="213">
        <f t="shared" si="33"/>
        <v>72036</v>
      </c>
      <c r="M31" s="213">
        <f t="shared" si="33"/>
        <v>71271</v>
      </c>
      <c r="N31" s="213">
        <f t="shared" si="33"/>
        <v>74001</v>
      </c>
      <c r="O31" s="213">
        <f t="shared" si="33"/>
        <v>73706</v>
      </c>
      <c r="Q31" s="211" t="s">
        <v>4583</v>
      </c>
    </row>
    <row r="32" spans="1:17">
      <c r="D32" s="214"/>
      <c r="E32" s="214"/>
      <c r="F32" s="214"/>
      <c r="G32" s="214"/>
      <c r="H32" s="214"/>
      <c r="I32" s="214"/>
      <c r="J32" s="214"/>
      <c r="K32" s="214"/>
      <c r="L32" s="214"/>
      <c r="M32" s="214"/>
      <c r="N32" s="214"/>
      <c r="O32" s="214"/>
    </row>
    <row r="33" spans="1:17">
      <c r="A33" s="211" t="s">
        <v>6108</v>
      </c>
      <c r="D33" s="213">
        <f t="shared" ref="D33:I33" si="34">D172</f>
        <v>66206</v>
      </c>
      <c r="E33" s="213">
        <f t="shared" si="34"/>
        <v>66681</v>
      </c>
      <c r="F33" s="213">
        <f t="shared" si="34"/>
        <v>67443</v>
      </c>
      <c r="G33" s="213">
        <f t="shared" si="34"/>
        <v>67360</v>
      </c>
      <c r="H33" s="213">
        <f t="shared" si="34"/>
        <v>66800</v>
      </c>
      <c r="I33" s="213">
        <f t="shared" si="34"/>
        <v>62318</v>
      </c>
      <c r="J33" s="213">
        <f t="shared" ref="J33:O33" si="35">J172</f>
        <v>62400</v>
      </c>
      <c r="K33" s="213">
        <f t="shared" si="35"/>
        <v>65045</v>
      </c>
      <c r="L33" s="213">
        <f t="shared" si="35"/>
        <v>63751</v>
      </c>
      <c r="M33" s="213">
        <f t="shared" si="35"/>
        <v>63007</v>
      </c>
      <c r="N33" s="213">
        <f t="shared" si="35"/>
        <v>65917</v>
      </c>
      <c r="O33" s="213">
        <f t="shared" si="35"/>
        <v>66012</v>
      </c>
      <c r="Q33" s="211" t="s">
        <v>4570</v>
      </c>
    </row>
    <row r="34" spans="1:17">
      <c r="D34" s="214"/>
      <c r="E34" s="214"/>
      <c r="F34" s="214"/>
      <c r="G34" s="214"/>
      <c r="H34" s="214"/>
      <c r="I34" s="214"/>
      <c r="J34" s="214"/>
      <c r="K34" s="214"/>
      <c r="L34" s="214"/>
      <c r="M34" s="214"/>
      <c r="N34" s="214"/>
      <c r="O34" s="214"/>
    </row>
    <row r="35" spans="1:17">
      <c r="A35" s="211" t="s">
        <v>6109</v>
      </c>
      <c r="D35" s="213">
        <f t="shared" ref="D35:I35" si="36">D105</f>
        <v>65277</v>
      </c>
      <c r="E35" s="213">
        <f t="shared" si="36"/>
        <v>66967</v>
      </c>
      <c r="F35" s="213">
        <f t="shared" si="36"/>
        <v>67406</v>
      </c>
      <c r="G35" s="213">
        <f t="shared" si="36"/>
        <v>69031</v>
      </c>
      <c r="H35" s="213">
        <f t="shared" si="36"/>
        <v>69807</v>
      </c>
      <c r="I35" s="213">
        <f t="shared" si="36"/>
        <v>67391</v>
      </c>
      <c r="J35" s="213">
        <f t="shared" ref="J35:O35" si="37">J105</f>
        <v>67409</v>
      </c>
      <c r="K35" s="213">
        <f t="shared" si="37"/>
        <v>70088</v>
      </c>
      <c r="L35" s="213">
        <f t="shared" si="37"/>
        <v>70602</v>
      </c>
      <c r="M35" s="213">
        <f t="shared" si="37"/>
        <v>70471</v>
      </c>
      <c r="N35" s="213">
        <f t="shared" si="37"/>
        <v>73384</v>
      </c>
      <c r="O35" s="213">
        <f t="shared" si="37"/>
        <v>72954</v>
      </c>
      <c r="Q35" s="211" t="s">
        <v>4572</v>
      </c>
    </row>
    <row r="36" spans="1:17">
      <c r="D36" s="214"/>
      <c r="E36" s="214"/>
      <c r="F36" s="214"/>
      <c r="G36" s="214"/>
      <c r="H36" s="214"/>
      <c r="I36" s="214"/>
      <c r="J36" s="214"/>
      <c r="K36" s="214"/>
      <c r="L36" s="214"/>
      <c r="M36" s="214"/>
      <c r="N36" s="214"/>
      <c r="O36" s="214"/>
    </row>
    <row r="37" spans="1:17">
      <c r="A37" s="211" t="s">
        <v>6110</v>
      </c>
      <c r="D37" s="213">
        <f t="shared" ref="D37:I37" si="38">D243</f>
        <v>79696</v>
      </c>
      <c r="E37" s="213">
        <f t="shared" si="38"/>
        <v>80912</v>
      </c>
      <c r="F37" s="213">
        <f t="shared" si="38"/>
        <v>79025</v>
      </c>
      <c r="G37" s="213">
        <f t="shared" si="38"/>
        <v>82737</v>
      </c>
      <c r="H37" s="213">
        <f t="shared" si="38"/>
        <v>77542</v>
      </c>
      <c r="I37" s="213">
        <f t="shared" si="38"/>
        <v>73489</v>
      </c>
      <c r="J37" s="213">
        <f t="shared" ref="J37:O37" si="39">J243</f>
        <v>73767</v>
      </c>
      <c r="K37" s="213">
        <f t="shared" si="39"/>
        <v>79095</v>
      </c>
      <c r="L37" s="213">
        <f t="shared" si="39"/>
        <v>84272</v>
      </c>
      <c r="M37" s="213">
        <f t="shared" si="39"/>
        <v>78095</v>
      </c>
      <c r="N37" s="213">
        <f t="shared" si="39"/>
        <v>82211</v>
      </c>
      <c r="O37" s="213">
        <f t="shared" si="39"/>
        <v>91069</v>
      </c>
      <c r="Q37" s="211" t="s">
        <v>4580</v>
      </c>
    </row>
    <row r="38" spans="1:17">
      <c r="D38" s="214"/>
      <c r="E38" s="214"/>
      <c r="F38" s="214"/>
      <c r="G38" s="214"/>
      <c r="H38" s="214"/>
      <c r="I38" s="214"/>
      <c r="J38" s="214"/>
      <c r="K38" s="214"/>
      <c r="L38" s="214"/>
      <c r="M38" s="214"/>
      <c r="N38" s="214"/>
      <c r="O38" s="214"/>
    </row>
    <row r="39" spans="1:17">
      <c r="A39" s="211" t="s">
        <v>6111</v>
      </c>
      <c r="D39" s="213">
        <f t="shared" ref="D39:I39" si="40">D244</f>
        <v>64479</v>
      </c>
      <c r="E39" s="213">
        <f t="shared" si="40"/>
        <v>64742</v>
      </c>
      <c r="F39" s="213">
        <f t="shared" si="40"/>
        <v>65401</v>
      </c>
      <c r="G39" s="213">
        <f t="shared" si="40"/>
        <v>66055</v>
      </c>
      <c r="H39" s="213">
        <f t="shared" si="40"/>
        <v>62646</v>
      </c>
      <c r="I39" s="213">
        <f t="shared" si="40"/>
        <v>63581</v>
      </c>
      <c r="J39" s="213">
        <f t="shared" ref="J39:O39" si="41">J244</f>
        <v>62608</v>
      </c>
      <c r="K39" s="213">
        <f t="shared" si="41"/>
        <v>64655</v>
      </c>
      <c r="L39" s="213">
        <f t="shared" si="41"/>
        <v>64623</v>
      </c>
      <c r="M39" s="213">
        <f t="shared" si="41"/>
        <v>64579</v>
      </c>
      <c r="N39" s="213">
        <f t="shared" si="41"/>
        <v>65693</v>
      </c>
      <c r="O39" s="213">
        <f t="shared" si="41"/>
        <v>67883</v>
      </c>
      <c r="Q39" s="211" t="s">
        <v>4580</v>
      </c>
    </row>
    <row r="40" spans="1:17">
      <c r="D40" s="214"/>
      <c r="E40" s="214"/>
      <c r="F40" s="214"/>
      <c r="G40" s="214"/>
      <c r="H40" s="214"/>
      <c r="I40" s="214"/>
      <c r="J40" s="214"/>
      <c r="K40" s="214"/>
      <c r="L40" s="214"/>
      <c r="M40" s="214"/>
      <c r="N40" s="214"/>
      <c r="O40" s="214"/>
    </row>
    <row r="41" spans="1:17">
      <c r="A41" s="211" t="s">
        <v>6761</v>
      </c>
      <c r="D41" s="213">
        <f t="shared" ref="D41:I41" si="42">D245</f>
        <v>67489</v>
      </c>
      <c r="E41" s="213">
        <f t="shared" si="42"/>
        <v>68269</v>
      </c>
      <c r="F41" s="213">
        <f t="shared" si="42"/>
        <v>68541</v>
      </c>
      <c r="G41" s="213">
        <f t="shared" si="42"/>
        <v>69037</v>
      </c>
      <c r="H41" s="213">
        <f t="shared" si="42"/>
        <v>66396</v>
      </c>
      <c r="I41" s="213">
        <f t="shared" si="42"/>
        <v>67091</v>
      </c>
      <c r="J41" s="213">
        <f t="shared" ref="J41:O41" si="43">J245</f>
        <v>65935</v>
      </c>
      <c r="K41" s="213">
        <f t="shared" si="43"/>
        <v>67746</v>
      </c>
      <c r="L41" s="213">
        <f t="shared" si="43"/>
        <v>67590</v>
      </c>
      <c r="M41" s="213">
        <f t="shared" si="43"/>
        <v>67264</v>
      </c>
      <c r="N41" s="213">
        <f t="shared" si="43"/>
        <v>68059</v>
      </c>
      <c r="O41" s="213">
        <f t="shared" si="43"/>
        <v>71011</v>
      </c>
      <c r="Q41" s="211" t="s">
        <v>4580</v>
      </c>
    </row>
    <row r="42" spans="1:17">
      <c r="D42" s="214"/>
      <c r="E42" s="214"/>
      <c r="F42" s="214"/>
      <c r="G42" s="214"/>
      <c r="H42" s="214"/>
      <c r="I42" s="214"/>
      <c r="J42" s="214"/>
      <c r="K42" s="214"/>
      <c r="L42" s="214"/>
      <c r="M42" s="214"/>
      <c r="N42" s="214"/>
      <c r="O42" s="214"/>
    </row>
    <row r="43" spans="1:17">
      <c r="A43" s="211" t="s">
        <v>6762</v>
      </c>
      <c r="D43" s="213">
        <f t="shared" ref="D43:I43" si="44">D246</f>
        <v>64822</v>
      </c>
      <c r="E43" s="213">
        <f t="shared" si="44"/>
        <v>65047</v>
      </c>
      <c r="F43" s="213">
        <f t="shared" si="44"/>
        <v>61811</v>
      </c>
      <c r="G43" s="213">
        <f t="shared" si="44"/>
        <v>62907</v>
      </c>
      <c r="H43" s="213">
        <f t="shared" si="44"/>
        <v>58511</v>
      </c>
      <c r="I43" s="213">
        <f t="shared" si="44"/>
        <v>55213</v>
      </c>
      <c r="J43" s="213">
        <f t="shared" ref="J43:O43" si="45">J246</f>
        <v>55650</v>
      </c>
      <c r="K43" s="213">
        <f t="shared" si="45"/>
        <v>58694</v>
      </c>
      <c r="L43" s="213">
        <f t="shared" si="45"/>
        <v>60552</v>
      </c>
      <c r="M43" s="213">
        <f t="shared" si="45"/>
        <v>58553</v>
      </c>
      <c r="N43" s="213">
        <f t="shared" si="45"/>
        <v>60641</v>
      </c>
      <c r="O43" s="213">
        <f t="shared" si="45"/>
        <v>67856</v>
      </c>
      <c r="Q43" s="211" t="s">
        <v>4580</v>
      </c>
    </row>
    <row r="44" spans="1:17">
      <c r="D44" s="214"/>
      <c r="E44" s="214"/>
      <c r="F44" s="214"/>
      <c r="G44" s="214"/>
      <c r="H44" s="214"/>
      <c r="I44" s="214"/>
      <c r="J44" s="214"/>
      <c r="K44" s="214"/>
      <c r="L44" s="214"/>
      <c r="M44" s="214"/>
      <c r="N44" s="214"/>
      <c r="O44" s="214"/>
    </row>
    <row r="45" spans="1:17">
      <c r="A45" s="211" t="s">
        <v>6763</v>
      </c>
      <c r="D45" s="213">
        <f t="shared" ref="D45:I45" si="46">D247</f>
        <v>67243</v>
      </c>
      <c r="E45" s="213">
        <f t="shared" si="46"/>
        <v>67222</v>
      </c>
      <c r="F45" s="213">
        <f t="shared" si="46"/>
        <v>67196</v>
      </c>
      <c r="G45" s="213">
        <f t="shared" si="46"/>
        <v>67226</v>
      </c>
      <c r="H45" s="213">
        <f t="shared" si="46"/>
        <v>61760</v>
      </c>
      <c r="I45" s="213">
        <f t="shared" si="46"/>
        <v>62295</v>
      </c>
      <c r="J45" s="213">
        <f t="shared" ref="J45:O45" si="47">J247</f>
        <v>61508</v>
      </c>
      <c r="K45" s="213">
        <f t="shared" si="47"/>
        <v>64155</v>
      </c>
      <c r="L45" s="213">
        <f t="shared" si="47"/>
        <v>65021</v>
      </c>
      <c r="M45" s="213">
        <f t="shared" si="47"/>
        <v>63954</v>
      </c>
      <c r="N45" s="213">
        <f t="shared" si="47"/>
        <v>64470</v>
      </c>
      <c r="O45" s="213">
        <f t="shared" si="47"/>
        <v>68113</v>
      </c>
      <c r="Q45" s="211" t="s">
        <v>4580</v>
      </c>
    </row>
    <row r="46" spans="1:17">
      <c r="D46" s="214"/>
      <c r="E46" s="214"/>
      <c r="F46" s="214"/>
      <c r="G46" s="214"/>
      <c r="H46" s="214"/>
      <c r="I46" s="214"/>
      <c r="J46" s="214"/>
      <c r="K46" s="214"/>
      <c r="L46" s="214"/>
      <c r="M46" s="214"/>
      <c r="N46" s="214"/>
      <c r="O46" s="214"/>
    </row>
    <row r="47" spans="1:17">
      <c r="A47" s="211" t="s">
        <v>6764</v>
      </c>
      <c r="D47" s="213">
        <f t="shared" ref="D47:I47" si="48">D248</f>
        <v>50969</v>
      </c>
      <c r="E47" s="213">
        <f t="shared" si="48"/>
        <v>51414</v>
      </c>
      <c r="F47" s="213">
        <f t="shared" si="48"/>
        <v>51602</v>
      </c>
      <c r="G47" s="213">
        <f t="shared" si="48"/>
        <v>51841</v>
      </c>
      <c r="H47" s="213">
        <f t="shared" si="48"/>
        <v>50318</v>
      </c>
      <c r="I47" s="213">
        <f t="shared" si="48"/>
        <v>50912</v>
      </c>
      <c r="J47" s="213">
        <f t="shared" ref="J47:O47" si="49">J248</f>
        <v>49925</v>
      </c>
      <c r="K47" s="213">
        <f t="shared" si="49"/>
        <v>51604</v>
      </c>
      <c r="L47" s="213">
        <f t="shared" si="49"/>
        <v>51123</v>
      </c>
      <c r="M47" s="213">
        <f t="shared" si="49"/>
        <v>51888</v>
      </c>
      <c r="N47" s="213">
        <f t="shared" si="49"/>
        <v>52012</v>
      </c>
      <c r="O47" s="213">
        <f t="shared" si="49"/>
        <v>53526</v>
      </c>
      <c r="Q47" s="211" t="s">
        <v>4580</v>
      </c>
    </row>
    <row r="48" spans="1:17" ht="15.75" thickBot="1">
      <c r="A48" s="211"/>
      <c r="D48" s="216">
        <f t="shared" ref="D48:I48" si="50">D280</f>
        <v>23518</v>
      </c>
      <c r="E48" s="216">
        <f t="shared" si="50"/>
        <v>23749</v>
      </c>
      <c r="F48" s="216">
        <f t="shared" si="50"/>
        <v>23829</v>
      </c>
      <c r="G48" s="216">
        <f t="shared" si="50"/>
        <v>23880</v>
      </c>
      <c r="H48" s="216">
        <f t="shared" si="50"/>
        <v>23940</v>
      </c>
      <c r="I48" s="216">
        <f t="shared" si="50"/>
        <v>24150</v>
      </c>
      <c r="J48" s="216">
        <f t="shared" ref="J48:O48" si="51">J280</f>
        <v>23331</v>
      </c>
      <c r="K48" s="216">
        <f t="shared" si="51"/>
        <v>23646</v>
      </c>
      <c r="L48" s="216">
        <f t="shared" si="51"/>
        <v>24301</v>
      </c>
      <c r="M48" s="216">
        <f t="shared" si="51"/>
        <v>24449</v>
      </c>
      <c r="N48" s="216">
        <f t="shared" si="51"/>
        <v>25802</v>
      </c>
      <c r="O48" s="216">
        <f t="shared" si="51"/>
        <v>25804</v>
      </c>
      <c r="Q48" s="211" t="s">
        <v>4583</v>
      </c>
    </row>
    <row r="49" spans="1:17" ht="15.75" thickBot="1">
      <c r="A49" s="211"/>
      <c r="D49" s="217">
        <f t="shared" ref="D49:I49" si="52">D47+D48</f>
        <v>74487</v>
      </c>
      <c r="E49" s="217">
        <f t="shared" si="52"/>
        <v>75163</v>
      </c>
      <c r="F49" s="217">
        <f t="shared" si="52"/>
        <v>75431</v>
      </c>
      <c r="G49" s="217">
        <f t="shared" si="52"/>
        <v>75721</v>
      </c>
      <c r="H49" s="217">
        <f t="shared" si="52"/>
        <v>74258</v>
      </c>
      <c r="I49" s="217">
        <f t="shared" si="52"/>
        <v>75062</v>
      </c>
      <c r="J49" s="217">
        <f t="shared" ref="J49:O49" si="53">J47+J48</f>
        <v>73256</v>
      </c>
      <c r="K49" s="217">
        <f t="shared" si="53"/>
        <v>75250</v>
      </c>
      <c r="L49" s="217">
        <f t="shared" si="53"/>
        <v>75424</v>
      </c>
      <c r="M49" s="217">
        <f t="shared" si="53"/>
        <v>76337</v>
      </c>
      <c r="N49" s="217">
        <f t="shared" si="53"/>
        <v>77814</v>
      </c>
      <c r="O49" s="217">
        <f t="shared" si="53"/>
        <v>79330</v>
      </c>
      <c r="Q49" s="211"/>
    </row>
    <row r="50" spans="1:17">
      <c r="D50" s="214"/>
      <c r="E50" s="214"/>
      <c r="F50" s="214"/>
      <c r="G50" s="214"/>
      <c r="H50" s="214"/>
      <c r="I50" s="214"/>
      <c r="J50" s="214"/>
      <c r="K50" s="214"/>
      <c r="L50" s="214"/>
      <c r="M50" s="214"/>
      <c r="N50" s="214"/>
      <c r="O50" s="214"/>
    </row>
    <row r="51" spans="1:17">
      <c r="A51" s="211" t="s">
        <v>6765</v>
      </c>
      <c r="D51" s="213">
        <f t="shared" ref="D51:I51" si="54">D281</f>
        <v>82834</v>
      </c>
      <c r="E51" s="213">
        <f t="shared" si="54"/>
        <v>83284</v>
      </c>
      <c r="F51" s="213">
        <f t="shared" si="54"/>
        <v>83308</v>
      </c>
      <c r="G51" s="213">
        <f t="shared" si="54"/>
        <v>82944</v>
      </c>
      <c r="H51" s="213">
        <f t="shared" si="54"/>
        <v>81379</v>
      </c>
      <c r="I51" s="213">
        <f t="shared" si="54"/>
        <v>81799</v>
      </c>
      <c r="J51" s="213">
        <f t="shared" ref="J51:O51" si="55">J281</f>
        <v>78097</v>
      </c>
      <c r="K51" s="213">
        <f t="shared" si="55"/>
        <v>79661</v>
      </c>
      <c r="L51" s="213">
        <f t="shared" si="55"/>
        <v>81589</v>
      </c>
      <c r="M51" s="213">
        <f t="shared" si="55"/>
        <v>81043</v>
      </c>
      <c r="N51" s="213">
        <f t="shared" si="55"/>
        <v>84874</v>
      </c>
      <c r="O51" s="213">
        <f t="shared" si="55"/>
        <v>84627</v>
      </c>
      <c r="Q51" s="211" t="s">
        <v>4583</v>
      </c>
    </row>
    <row r="52" spans="1:17">
      <c r="D52" s="214"/>
      <c r="E52" s="214"/>
      <c r="F52" s="214"/>
      <c r="G52" s="214"/>
      <c r="H52" s="214"/>
      <c r="I52" s="214"/>
      <c r="J52" s="214"/>
      <c r="K52" s="214"/>
      <c r="L52" s="214"/>
      <c r="M52" s="214"/>
      <c r="N52" s="214"/>
      <c r="O52" s="214"/>
    </row>
    <row r="53" spans="1:17">
      <c r="A53" s="211" t="s">
        <v>6766</v>
      </c>
      <c r="D53" s="213">
        <f t="shared" ref="D53:I53" si="56">D249</f>
        <v>69207</v>
      </c>
      <c r="E53" s="213">
        <f t="shared" si="56"/>
        <v>69738</v>
      </c>
      <c r="F53" s="213">
        <f t="shared" si="56"/>
        <v>69657</v>
      </c>
      <c r="G53" s="213">
        <f t="shared" si="56"/>
        <v>69991</v>
      </c>
      <c r="H53" s="213">
        <f t="shared" si="56"/>
        <v>69102</v>
      </c>
      <c r="I53" s="213">
        <f t="shared" si="56"/>
        <v>69338</v>
      </c>
      <c r="J53" s="213">
        <f t="shared" ref="J53:O53" si="57">J249</f>
        <v>68624</v>
      </c>
      <c r="K53" s="213">
        <f t="shared" si="57"/>
        <v>70863</v>
      </c>
      <c r="L53" s="213">
        <f t="shared" si="57"/>
        <v>70517</v>
      </c>
      <c r="M53" s="213">
        <f t="shared" si="57"/>
        <v>70447</v>
      </c>
      <c r="N53" s="213">
        <f t="shared" si="57"/>
        <v>71166</v>
      </c>
      <c r="O53" s="213">
        <f t="shared" si="57"/>
        <v>73700</v>
      </c>
      <c r="Q53" s="211" t="s">
        <v>4580</v>
      </c>
    </row>
    <row r="54" spans="1:17">
      <c r="D54" s="214"/>
      <c r="E54" s="214"/>
      <c r="F54" s="214"/>
      <c r="G54" s="214"/>
      <c r="H54" s="214"/>
      <c r="I54" s="214"/>
      <c r="J54" s="214"/>
      <c r="K54" s="214"/>
      <c r="L54" s="214"/>
      <c r="M54" s="214"/>
      <c r="N54" s="214"/>
      <c r="O54" s="214"/>
    </row>
    <row r="55" spans="1:17">
      <c r="A55" s="211" t="s">
        <v>6767</v>
      </c>
      <c r="D55" s="213">
        <f t="shared" ref="D55:I55" si="58">D106</f>
        <v>67489</v>
      </c>
      <c r="E55" s="213">
        <f t="shared" si="58"/>
        <v>68129</v>
      </c>
      <c r="F55" s="213">
        <f t="shared" si="58"/>
        <v>68944</v>
      </c>
      <c r="G55" s="213">
        <f t="shared" si="58"/>
        <v>70360</v>
      </c>
      <c r="H55" s="213">
        <f t="shared" si="58"/>
        <v>71208</v>
      </c>
      <c r="I55" s="213">
        <f t="shared" si="58"/>
        <v>69248</v>
      </c>
      <c r="J55" s="213">
        <f t="shared" ref="J55:O55" si="59">J106</f>
        <v>69358</v>
      </c>
      <c r="K55" s="213">
        <f t="shared" si="59"/>
        <v>71841</v>
      </c>
      <c r="L55" s="213">
        <f t="shared" si="59"/>
        <v>72244</v>
      </c>
      <c r="M55" s="213">
        <f t="shared" si="59"/>
        <v>71682</v>
      </c>
      <c r="N55" s="213">
        <f t="shared" si="59"/>
        <v>74522</v>
      </c>
      <c r="O55" s="213">
        <f t="shared" si="59"/>
        <v>74095</v>
      </c>
      <c r="Q55" s="211" t="s">
        <v>4572</v>
      </c>
    </row>
    <row r="56" spans="1:17">
      <c r="D56" s="214"/>
      <c r="E56" s="214"/>
      <c r="F56" s="214"/>
      <c r="G56" s="214"/>
      <c r="H56" s="214"/>
      <c r="I56" s="214"/>
      <c r="J56" s="214"/>
      <c r="K56" s="214"/>
      <c r="L56" s="214"/>
      <c r="M56" s="214"/>
      <c r="N56" s="214"/>
      <c r="O56" s="214"/>
    </row>
    <row r="57" spans="1:17">
      <c r="A57" s="211" t="s">
        <v>6768</v>
      </c>
      <c r="D57" s="218">
        <f t="shared" ref="D57:I57" si="60">D282</f>
        <v>71111</v>
      </c>
      <c r="E57" s="218">
        <f t="shared" si="60"/>
        <v>71531</v>
      </c>
      <c r="F57" s="218">
        <f t="shared" si="60"/>
        <v>71265</v>
      </c>
      <c r="G57" s="218">
        <f t="shared" si="60"/>
        <v>70833</v>
      </c>
      <c r="H57" s="218">
        <f t="shared" si="60"/>
        <v>69340</v>
      </c>
      <c r="I57" s="218">
        <f t="shared" si="60"/>
        <v>69780</v>
      </c>
      <c r="J57" s="218">
        <f t="shared" ref="J57:O57" si="61">J282</f>
        <v>66552</v>
      </c>
      <c r="K57" s="218">
        <f t="shared" si="61"/>
        <v>67696</v>
      </c>
      <c r="L57" s="218">
        <f t="shared" si="61"/>
        <v>69031</v>
      </c>
      <c r="M57" s="218">
        <f t="shared" si="61"/>
        <v>68078</v>
      </c>
      <c r="N57" s="218">
        <f t="shared" si="61"/>
        <v>70509</v>
      </c>
      <c r="O57" s="218">
        <f t="shared" si="61"/>
        <v>70419</v>
      </c>
      <c r="Q57" s="211" t="s">
        <v>4583</v>
      </c>
    </row>
    <row r="58" spans="1:17">
      <c r="D58" s="214"/>
      <c r="E58" s="214"/>
      <c r="F58" s="214"/>
      <c r="G58" s="214"/>
      <c r="H58" s="214"/>
      <c r="I58" s="214"/>
      <c r="J58" s="214"/>
      <c r="K58" s="214"/>
      <c r="L58" s="214"/>
      <c r="M58" s="214"/>
      <c r="N58" s="214"/>
      <c r="O58" s="214"/>
    </row>
    <row r="59" spans="1:17">
      <c r="A59" s="211" t="s">
        <v>6796</v>
      </c>
      <c r="D59" s="213">
        <f t="shared" ref="D59:I59" si="62">SUM(D13:D45)+D49+SUM(D51:D57)</f>
        <v>1562810</v>
      </c>
      <c r="E59" s="213">
        <f t="shared" si="62"/>
        <v>1577088</v>
      </c>
      <c r="F59" s="213">
        <f t="shared" si="62"/>
        <v>1581823</v>
      </c>
      <c r="G59" s="213">
        <f t="shared" si="62"/>
        <v>1596015</v>
      </c>
      <c r="H59" s="213">
        <f t="shared" si="62"/>
        <v>1566578</v>
      </c>
      <c r="I59" s="213">
        <f t="shared" si="62"/>
        <v>1533080</v>
      </c>
      <c r="J59" s="213">
        <f t="shared" ref="J59:O59" si="63">SUM(J13:J45)+J49+SUM(J51:J57)</f>
        <v>1517655</v>
      </c>
      <c r="K59" s="213">
        <f t="shared" si="63"/>
        <v>1572711</v>
      </c>
      <c r="L59" s="213">
        <f t="shared" si="63"/>
        <v>1587828</v>
      </c>
      <c r="M59" s="213">
        <f t="shared" si="63"/>
        <v>1573535</v>
      </c>
      <c r="N59" s="213">
        <f t="shared" si="63"/>
        <v>1622717</v>
      </c>
      <c r="O59" s="213">
        <f t="shared" si="63"/>
        <v>1653940</v>
      </c>
    </row>
    <row r="60" spans="1:17">
      <c r="D60" s="214"/>
      <c r="E60" s="214"/>
      <c r="F60" s="214"/>
      <c r="G60" s="214"/>
      <c r="H60" s="214"/>
      <c r="I60" s="214"/>
      <c r="J60" s="214"/>
      <c r="K60" s="214"/>
      <c r="L60" s="214"/>
      <c r="M60" s="214"/>
      <c r="N60" s="214"/>
      <c r="O60" s="214"/>
    </row>
    <row r="61" spans="1:17">
      <c r="A61" s="211" t="s">
        <v>6797</v>
      </c>
      <c r="D61" s="213">
        <f t="shared" ref="D61:I61" si="64">MAX(D13:D57)-MIN(D13:D45,D49,D51,D53,D55,D57)</f>
        <v>22176</v>
      </c>
      <c r="E61" s="213">
        <f t="shared" si="64"/>
        <v>19859</v>
      </c>
      <c r="F61" s="213">
        <f t="shared" si="64"/>
        <v>21497</v>
      </c>
      <c r="G61" s="213">
        <f t="shared" si="64"/>
        <v>20037</v>
      </c>
      <c r="H61" s="213">
        <f t="shared" si="64"/>
        <v>23673</v>
      </c>
      <c r="I61" s="213">
        <f t="shared" si="64"/>
        <v>26586</v>
      </c>
      <c r="J61" s="213">
        <f t="shared" ref="J61:O61" si="65">MAX(J13:J57)-MIN(J13:J45,J49,J51,J53,J55,J57)</f>
        <v>24329</v>
      </c>
      <c r="K61" s="213">
        <f t="shared" si="65"/>
        <v>23971</v>
      </c>
      <c r="L61" s="213">
        <f t="shared" si="65"/>
        <v>23720</v>
      </c>
      <c r="M61" s="213">
        <f t="shared" si="65"/>
        <v>23064</v>
      </c>
      <c r="N61" s="213">
        <f t="shared" si="65"/>
        <v>24233</v>
      </c>
      <c r="O61" s="213">
        <f t="shared" si="65"/>
        <v>25057</v>
      </c>
    </row>
    <row r="62" spans="1:17">
      <c r="D62" s="214"/>
      <c r="E62" s="214"/>
      <c r="F62" s="214"/>
      <c r="G62" s="214"/>
      <c r="H62" s="214"/>
      <c r="I62" s="214"/>
      <c r="J62" s="214"/>
      <c r="K62" s="214"/>
      <c r="L62" s="214"/>
      <c r="M62" s="214"/>
      <c r="N62" s="214"/>
      <c r="O62" s="214"/>
    </row>
    <row r="63" spans="1:17">
      <c r="A63" s="219" t="s">
        <v>6800</v>
      </c>
      <c r="D63" s="213">
        <f t="shared" ref="D63:I63" si="66">STDEVP(D13,D15,D17,D19,D21,D23,D25,D27,D29,D31,D33,D35,D37,D39,D41,D43,D45,D49,D51,D53,D55,D57)</f>
        <v>6291.0784639574667</v>
      </c>
      <c r="E63" s="213">
        <f t="shared" si="66"/>
        <v>6064.1810331903671</v>
      </c>
      <c r="F63" s="213">
        <f t="shared" si="66"/>
        <v>6119.5354285738267</v>
      </c>
      <c r="G63" s="213">
        <f t="shared" si="66"/>
        <v>6061.3405305146407</v>
      </c>
      <c r="H63" s="213">
        <f t="shared" si="66"/>
        <v>6502.6569668174234</v>
      </c>
      <c r="I63" s="213">
        <f t="shared" si="66"/>
        <v>6806.2795719519381</v>
      </c>
      <c r="J63" s="213">
        <f t="shared" ref="J63:O63" si="67">STDEVP(J13,J15,J17,J19,J21,J23,J25,J27,J29,J31,J33,J35,J37,J39,J41,J43,J45,J49,J51,J53,J55,J57)</f>
        <v>6402.8976706315179</v>
      </c>
      <c r="K63" s="213">
        <f t="shared" si="67"/>
        <v>6354.2988619405924</v>
      </c>
      <c r="L63" s="213">
        <f t="shared" si="67"/>
        <v>6376.8464563036741</v>
      </c>
      <c r="M63" s="213">
        <f t="shared" si="67"/>
        <v>6178.6710279385816</v>
      </c>
      <c r="N63" s="213">
        <f t="shared" si="67"/>
        <v>6578.727048017272</v>
      </c>
      <c r="O63" s="213">
        <f t="shared" si="67"/>
        <v>6498.1460356648222</v>
      </c>
    </row>
    <row r="65" spans="1:17">
      <c r="A65" s="76"/>
      <c r="B65" s="76"/>
      <c r="C65" s="76"/>
      <c r="D65" s="76"/>
      <c r="E65" s="76"/>
      <c r="F65" s="76"/>
      <c r="G65" s="76"/>
      <c r="H65" s="76"/>
      <c r="I65" s="76"/>
      <c r="J65" s="76"/>
      <c r="K65" s="76"/>
      <c r="L65" s="76"/>
      <c r="M65" s="76"/>
      <c r="N65" s="76"/>
      <c r="O65" s="76"/>
      <c r="P65" s="76"/>
      <c r="Q65" s="76"/>
    </row>
    <row r="66" spans="1:17">
      <c r="E66" s="51" t="s">
        <v>1526</v>
      </c>
      <c r="F66" s="51"/>
      <c r="G66" s="51"/>
      <c r="H66" s="51"/>
      <c r="I66" s="51"/>
      <c r="J66" s="51"/>
      <c r="K66" s="51"/>
      <c r="L66" s="51"/>
      <c r="M66" s="173"/>
      <c r="N66" s="173"/>
      <c r="O66" s="173"/>
      <c r="P66" s="173"/>
      <c r="Q66" s="173" t="s">
        <v>9479</v>
      </c>
    </row>
    <row r="67" spans="1:17">
      <c r="D67" s="212">
        <v>2010</v>
      </c>
      <c r="E67" s="212">
        <v>2011</v>
      </c>
      <c r="F67" s="212">
        <v>2012</v>
      </c>
      <c r="G67" s="212">
        <v>2013</v>
      </c>
      <c r="H67" s="212">
        <v>2014</v>
      </c>
      <c r="I67" s="212">
        <v>2015</v>
      </c>
      <c r="J67" s="212">
        <v>2016</v>
      </c>
      <c r="K67" s="212">
        <v>2017</v>
      </c>
      <c r="L67" s="212">
        <v>2018</v>
      </c>
      <c r="M67" s="212">
        <v>2019</v>
      </c>
      <c r="N67" s="212">
        <v>2020</v>
      </c>
      <c r="O67" s="926" t="s">
        <v>14823</v>
      </c>
      <c r="Q67" s="206" t="s">
        <v>1527</v>
      </c>
    </row>
    <row r="68" spans="1:17">
      <c r="A68" s="211" t="s">
        <v>6769</v>
      </c>
      <c r="C68" s="211"/>
      <c r="D68" s="213">
        <f t="shared" ref="D68:I68" si="68">SUM(D69:D98)+D100</f>
        <v>321338</v>
      </c>
      <c r="E68" s="213">
        <f t="shared" si="68"/>
        <v>329954</v>
      </c>
      <c r="F68" s="213">
        <f t="shared" si="68"/>
        <v>333826</v>
      </c>
      <c r="G68" s="213">
        <f t="shared" si="68"/>
        <v>340795</v>
      </c>
      <c r="H68" s="213">
        <f t="shared" si="68"/>
        <v>342079</v>
      </c>
      <c r="I68" s="213">
        <f t="shared" si="68"/>
        <v>325735</v>
      </c>
      <c r="J68" s="213">
        <f t="shared" ref="J68:O68" si="69">SUM(J69:J98)+J100</f>
        <v>326783</v>
      </c>
      <c r="K68" s="213">
        <f t="shared" si="69"/>
        <v>342413</v>
      </c>
      <c r="L68" s="213">
        <f t="shared" si="69"/>
        <v>348281</v>
      </c>
      <c r="M68" s="213">
        <f t="shared" si="69"/>
        <v>347654</v>
      </c>
      <c r="N68" s="213">
        <f t="shared" si="69"/>
        <v>363363</v>
      </c>
      <c r="O68" s="213">
        <f t="shared" si="69"/>
        <v>361347</v>
      </c>
    </row>
    <row r="69" spans="1:17">
      <c r="A69" s="211" t="s">
        <v>5387</v>
      </c>
      <c r="B69" s="211" t="s">
        <v>6770</v>
      </c>
      <c r="C69" s="55" t="s">
        <v>7470</v>
      </c>
      <c r="D69" s="213">
        <v>11333</v>
      </c>
      <c r="E69" s="213">
        <v>11452</v>
      </c>
      <c r="F69" s="213">
        <v>11532</v>
      </c>
      <c r="G69" s="213">
        <v>11775</v>
      </c>
      <c r="H69" s="58">
        <v>11847</v>
      </c>
      <c r="I69" s="58">
        <v>11588</v>
      </c>
      <c r="J69" s="58">
        <v>11542</v>
      </c>
      <c r="K69" s="58">
        <v>11998</v>
      </c>
      <c r="L69" s="58">
        <v>11952</v>
      </c>
      <c r="M69" s="58">
        <v>11869</v>
      </c>
      <c r="N69" s="58">
        <v>12299</v>
      </c>
      <c r="O69" s="58">
        <v>12233</v>
      </c>
      <c r="Q69" s="211" t="s">
        <v>6767</v>
      </c>
    </row>
    <row r="70" spans="1:17">
      <c r="A70" s="211" t="s">
        <v>5389</v>
      </c>
      <c r="B70" s="211" t="s">
        <v>6771</v>
      </c>
      <c r="C70" s="55" t="s">
        <v>7471</v>
      </c>
      <c r="D70" s="213">
        <v>13116</v>
      </c>
      <c r="E70" s="213">
        <v>13205</v>
      </c>
      <c r="F70" s="213">
        <v>13468</v>
      </c>
      <c r="G70" s="213">
        <v>13816</v>
      </c>
      <c r="H70" s="58">
        <v>14161</v>
      </c>
      <c r="I70" s="58">
        <v>13853</v>
      </c>
      <c r="J70" s="58">
        <v>13650</v>
      </c>
      <c r="K70" s="58">
        <v>14112</v>
      </c>
      <c r="L70" s="58">
        <v>14154</v>
      </c>
      <c r="M70" s="58">
        <v>13919</v>
      </c>
      <c r="N70" s="58">
        <v>14394</v>
      </c>
      <c r="O70" s="58">
        <v>14300</v>
      </c>
      <c r="Q70" s="211" t="s">
        <v>6767</v>
      </c>
    </row>
    <row r="71" spans="1:17">
      <c r="A71" s="211" t="s">
        <v>5391</v>
      </c>
      <c r="B71" s="211" t="s">
        <v>6772</v>
      </c>
      <c r="C71" s="55" t="s">
        <v>7472</v>
      </c>
      <c r="D71" s="213">
        <v>13023</v>
      </c>
      <c r="E71" s="213">
        <v>13087</v>
      </c>
      <c r="F71" s="213">
        <v>13338</v>
      </c>
      <c r="G71" s="213">
        <v>13587</v>
      </c>
      <c r="H71" s="58">
        <v>13785</v>
      </c>
      <c r="I71" s="58">
        <v>13589</v>
      </c>
      <c r="J71" s="58">
        <v>13576</v>
      </c>
      <c r="K71" s="58">
        <v>14091</v>
      </c>
      <c r="L71" s="58">
        <v>14331</v>
      </c>
      <c r="M71" s="58">
        <v>14350</v>
      </c>
      <c r="N71" s="58">
        <v>14929</v>
      </c>
      <c r="O71" s="58">
        <v>14837</v>
      </c>
      <c r="Q71" s="211" t="s">
        <v>6767</v>
      </c>
    </row>
    <row r="72" spans="1:17">
      <c r="A72" s="211" t="s">
        <v>5393</v>
      </c>
      <c r="B72" s="211" t="s">
        <v>6773</v>
      </c>
      <c r="C72" s="55" t="s">
        <v>7473</v>
      </c>
      <c r="D72" s="213">
        <v>10592</v>
      </c>
      <c r="E72" s="213">
        <v>11029</v>
      </c>
      <c r="F72" s="213">
        <v>11044</v>
      </c>
      <c r="G72" s="213">
        <v>10917</v>
      </c>
      <c r="H72" s="56">
        <v>10998</v>
      </c>
      <c r="I72" s="56">
        <v>10714</v>
      </c>
      <c r="J72" s="56">
        <v>10657</v>
      </c>
      <c r="K72" s="56">
        <v>11208</v>
      </c>
      <c r="L72" s="56">
        <v>11408</v>
      </c>
      <c r="M72" s="56">
        <v>11386</v>
      </c>
      <c r="N72" s="56">
        <v>11937</v>
      </c>
      <c r="O72" s="56">
        <v>11806</v>
      </c>
      <c r="Q72" s="211" t="s">
        <v>4571</v>
      </c>
    </row>
    <row r="73" spans="1:17">
      <c r="A73" s="211" t="s">
        <v>5394</v>
      </c>
      <c r="B73" s="211" t="s">
        <v>6774</v>
      </c>
      <c r="C73" s="55" t="s">
        <v>7474</v>
      </c>
      <c r="D73" s="213">
        <v>10833</v>
      </c>
      <c r="E73" s="213">
        <v>11258</v>
      </c>
      <c r="F73" s="213">
        <v>11712</v>
      </c>
      <c r="G73" s="213">
        <v>15175</v>
      </c>
      <c r="H73" s="56">
        <v>11941</v>
      </c>
      <c r="I73" s="56">
        <v>10495</v>
      </c>
      <c r="J73" s="56">
        <v>10773</v>
      </c>
      <c r="K73" s="56">
        <v>11613</v>
      </c>
      <c r="L73" s="56">
        <v>12149</v>
      </c>
      <c r="M73" s="56">
        <v>12219</v>
      </c>
      <c r="N73" s="56">
        <v>12928</v>
      </c>
      <c r="O73" s="56">
        <v>12897</v>
      </c>
      <c r="Q73" s="211" t="s">
        <v>4571</v>
      </c>
    </row>
    <row r="74" spans="1:17">
      <c r="A74" s="211" t="s">
        <v>5416</v>
      </c>
      <c r="B74" s="211" t="s">
        <v>6775</v>
      </c>
      <c r="C74" s="55" t="s">
        <v>7475</v>
      </c>
      <c r="D74" s="213">
        <v>11105</v>
      </c>
      <c r="E74" s="213">
        <v>11395</v>
      </c>
      <c r="F74" s="213">
        <v>11366</v>
      </c>
      <c r="G74" s="213">
        <v>8526</v>
      </c>
      <c r="H74" s="56">
        <v>11362</v>
      </c>
      <c r="I74" s="56">
        <v>10719</v>
      </c>
      <c r="J74" s="56">
        <v>10889</v>
      </c>
      <c r="K74" s="56">
        <v>11513</v>
      </c>
      <c r="L74" s="56">
        <v>11873</v>
      </c>
      <c r="M74" s="56">
        <v>12044</v>
      </c>
      <c r="N74" s="56">
        <v>12609</v>
      </c>
      <c r="O74" s="56">
        <v>12575</v>
      </c>
      <c r="Q74" s="211" t="s">
        <v>4571</v>
      </c>
    </row>
    <row r="75" spans="1:17">
      <c r="A75" s="211" t="s">
        <v>5418</v>
      </c>
      <c r="B75" s="211" t="s">
        <v>953</v>
      </c>
      <c r="C75" s="55" t="s">
        <v>7476</v>
      </c>
      <c r="D75" s="218">
        <v>9365</v>
      </c>
      <c r="E75" s="218">
        <v>9891</v>
      </c>
      <c r="F75" s="218">
        <v>10646</v>
      </c>
      <c r="G75" s="218">
        <v>10859</v>
      </c>
      <c r="H75" s="56">
        <v>10790</v>
      </c>
      <c r="I75" s="56">
        <v>9385</v>
      </c>
      <c r="J75" s="56">
        <v>9418</v>
      </c>
      <c r="K75" s="56">
        <v>10038</v>
      </c>
      <c r="L75" s="56">
        <v>10677</v>
      </c>
      <c r="M75" s="56">
        <v>10441</v>
      </c>
      <c r="N75" s="56">
        <v>11265</v>
      </c>
      <c r="O75" s="56">
        <v>11298</v>
      </c>
      <c r="Q75" s="211" t="s">
        <v>4574</v>
      </c>
    </row>
    <row r="76" spans="1:17">
      <c r="A76" s="211" t="s">
        <v>5420</v>
      </c>
      <c r="B76" s="110" t="s">
        <v>6776</v>
      </c>
      <c r="C76" s="55" t="s">
        <v>7477</v>
      </c>
      <c r="D76" s="213">
        <v>10264</v>
      </c>
      <c r="E76" s="213">
        <v>10868</v>
      </c>
      <c r="F76" s="213">
        <v>11088</v>
      </c>
      <c r="G76" s="213">
        <v>11145</v>
      </c>
      <c r="H76" s="56">
        <v>11037</v>
      </c>
      <c r="I76" s="56">
        <v>10172</v>
      </c>
      <c r="J76" s="56">
        <v>10251</v>
      </c>
      <c r="K76" s="56">
        <v>10968</v>
      </c>
      <c r="L76" s="56">
        <v>11178</v>
      </c>
      <c r="M76" s="56">
        <v>11159</v>
      </c>
      <c r="N76" s="56">
        <v>11735</v>
      </c>
      <c r="O76" s="56">
        <v>11649</v>
      </c>
      <c r="Q76" s="211" t="s">
        <v>4574</v>
      </c>
    </row>
    <row r="77" spans="1:17">
      <c r="A77" s="211" t="s">
        <v>5422</v>
      </c>
      <c r="B77" s="211" t="s">
        <v>4241</v>
      </c>
      <c r="C77" s="55" t="s">
        <v>7478</v>
      </c>
      <c r="D77" s="213">
        <v>12159</v>
      </c>
      <c r="E77" s="213">
        <v>12213</v>
      </c>
      <c r="F77" s="213">
        <v>12258</v>
      </c>
      <c r="G77" s="213">
        <v>12575</v>
      </c>
      <c r="H77" s="58">
        <v>12911</v>
      </c>
      <c r="I77" s="58">
        <v>12580</v>
      </c>
      <c r="J77" s="58">
        <v>12773</v>
      </c>
      <c r="K77" s="58">
        <v>13190</v>
      </c>
      <c r="L77" s="58">
        <v>13356</v>
      </c>
      <c r="M77" s="58">
        <v>13434</v>
      </c>
      <c r="N77" s="58">
        <v>14036</v>
      </c>
      <c r="O77" s="58">
        <v>13964</v>
      </c>
      <c r="Q77" s="211" t="s">
        <v>6109</v>
      </c>
    </row>
    <row r="78" spans="1:17">
      <c r="A78" s="211" t="s">
        <v>5424</v>
      </c>
      <c r="B78" s="211" t="s">
        <v>6777</v>
      </c>
      <c r="C78" s="55" t="s">
        <v>7479</v>
      </c>
      <c r="D78" s="213">
        <v>10450</v>
      </c>
      <c r="E78" s="213">
        <v>10865</v>
      </c>
      <c r="F78" s="213">
        <v>11100</v>
      </c>
      <c r="G78" s="213">
        <v>11662</v>
      </c>
      <c r="H78" s="56">
        <v>11787</v>
      </c>
      <c r="I78" s="56">
        <v>11045</v>
      </c>
      <c r="J78" s="56">
        <v>10949</v>
      </c>
      <c r="K78" s="56">
        <v>11652</v>
      </c>
      <c r="L78" s="56">
        <v>11793</v>
      </c>
      <c r="M78" s="56">
        <v>11710</v>
      </c>
      <c r="N78" s="56">
        <v>12189</v>
      </c>
      <c r="O78" s="56">
        <v>12149</v>
      </c>
      <c r="Q78" s="211" t="s">
        <v>4571</v>
      </c>
    </row>
    <row r="79" spans="1:17">
      <c r="A79" s="211" t="s">
        <v>5426</v>
      </c>
      <c r="B79" s="211" t="s">
        <v>4668</v>
      </c>
      <c r="C79" s="55" t="s">
        <v>7480</v>
      </c>
      <c r="D79" s="213">
        <v>11001</v>
      </c>
      <c r="E79" s="213">
        <v>10905</v>
      </c>
      <c r="F79" s="213">
        <v>10864</v>
      </c>
      <c r="G79" s="213">
        <v>11031</v>
      </c>
      <c r="H79" s="56">
        <v>10838</v>
      </c>
      <c r="I79" s="56">
        <v>10023</v>
      </c>
      <c r="J79" s="56">
        <v>9911</v>
      </c>
      <c r="K79" s="56">
        <v>10508</v>
      </c>
      <c r="L79" s="56">
        <v>10673</v>
      </c>
      <c r="M79" s="56">
        <v>10547</v>
      </c>
      <c r="N79" s="56">
        <v>11050</v>
      </c>
      <c r="O79" s="56">
        <v>11030</v>
      </c>
      <c r="Q79" s="211" t="s">
        <v>4573</v>
      </c>
    </row>
    <row r="80" spans="1:17">
      <c r="A80" s="211" t="s">
        <v>5428</v>
      </c>
      <c r="B80" s="211" t="s">
        <v>1612</v>
      </c>
      <c r="C80" s="55" t="s">
        <v>7481</v>
      </c>
      <c r="D80" s="213">
        <v>10030</v>
      </c>
      <c r="E80" s="213">
        <v>10133</v>
      </c>
      <c r="F80" s="213">
        <v>10452</v>
      </c>
      <c r="G80" s="213">
        <v>10882</v>
      </c>
      <c r="H80" s="56">
        <v>10325</v>
      </c>
      <c r="I80" s="56">
        <v>10163</v>
      </c>
      <c r="J80" s="56">
        <v>10364</v>
      </c>
      <c r="K80" s="56">
        <v>10901</v>
      </c>
      <c r="L80" s="56">
        <v>11124</v>
      </c>
      <c r="M80" s="56">
        <v>11170</v>
      </c>
      <c r="N80" s="56">
        <v>11801</v>
      </c>
      <c r="O80" s="56">
        <v>11755</v>
      </c>
      <c r="Q80" s="211" t="s">
        <v>4574</v>
      </c>
    </row>
    <row r="81" spans="1:17">
      <c r="A81" s="211" t="s">
        <v>5429</v>
      </c>
      <c r="B81" s="211" t="s">
        <v>4669</v>
      </c>
      <c r="C81" s="55" t="s">
        <v>7482</v>
      </c>
      <c r="D81" s="213">
        <v>11515</v>
      </c>
      <c r="E81" s="213">
        <v>11714</v>
      </c>
      <c r="F81" s="213">
        <v>12044</v>
      </c>
      <c r="G81" s="213">
        <v>12199</v>
      </c>
      <c r="H81" s="56">
        <v>12266</v>
      </c>
      <c r="I81" s="56">
        <v>11785</v>
      </c>
      <c r="J81" s="56">
        <v>11843</v>
      </c>
      <c r="K81" s="56">
        <v>12361</v>
      </c>
      <c r="L81" s="56">
        <v>12523</v>
      </c>
      <c r="M81" s="56">
        <v>12603</v>
      </c>
      <c r="N81" s="56">
        <v>13330</v>
      </c>
      <c r="O81" s="56">
        <v>13272</v>
      </c>
      <c r="Q81" s="211" t="s">
        <v>4571</v>
      </c>
    </row>
    <row r="82" spans="1:17">
      <c r="A82" s="211" t="s">
        <v>5431</v>
      </c>
      <c r="B82" s="211" t="s">
        <v>4670</v>
      </c>
      <c r="C82" s="55" t="s">
        <v>7483</v>
      </c>
      <c r="D82" s="213">
        <v>11039</v>
      </c>
      <c r="E82" s="213">
        <v>11224</v>
      </c>
      <c r="F82" s="213">
        <v>11225</v>
      </c>
      <c r="G82" s="213">
        <v>11496</v>
      </c>
      <c r="H82" s="58">
        <v>11693</v>
      </c>
      <c r="I82" s="58">
        <v>11488</v>
      </c>
      <c r="J82" s="58">
        <v>11563</v>
      </c>
      <c r="K82" s="58">
        <v>11915</v>
      </c>
      <c r="L82" s="58">
        <v>11919</v>
      </c>
      <c r="M82" s="58">
        <v>11734</v>
      </c>
      <c r="N82" s="58">
        <v>12245</v>
      </c>
      <c r="O82" s="58">
        <v>12173</v>
      </c>
      <c r="Q82" s="211" t="s">
        <v>6109</v>
      </c>
    </row>
    <row r="83" spans="1:17">
      <c r="A83" s="211" t="s">
        <v>5433</v>
      </c>
      <c r="B83" s="211" t="s">
        <v>4671</v>
      </c>
      <c r="C83" s="55" t="s">
        <v>7484</v>
      </c>
      <c r="D83" s="213">
        <v>10486</v>
      </c>
      <c r="E83" s="213">
        <v>11163</v>
      </c>
      <c r="F83" s="213">
        <v>11359</v>
      </c>
      <c r="G83" s="213">
        <v>11491</v>
      </c>
      <c r="H83" s="58">
        <v>11246</v>
      </c>
      <c r="I83" s="58">
        <v>10584</v>
      </c>
      <c r="J83" s="58">
        <v>10408</v>
      </c>
      <c r="K83" s="58">
        <v>10995</v>
      </c>
      <c r="L83" s="58">
        <v>11107</v>
      </c>
      <c r="M83" s="58">
        <v>11108</v>
      </c>
      <c r="N83" s="58">
        <v>11619</v>
      </c>
      <c r="O83" s="58">
        <v>11509</v>
      </c>
      <c r="Q83" s="211" t="s">
        <v>6109</v>
      </c>
    </row>
    <row r="84" spans="1:17">
      <c r="A84" s="211" t="s">
        <v>5435</v>
      </c>
      <c r="B84" s="211" t="s">
        <v>4672</v>
      </c>
      <c r="C84" s="55" t="s">
        <v>7485</v>
      </c>
      <c r="D84" s="213">
        <v>11110</v>
      </c>
      <c r="E84" s="213">
        <v>11588</v>
      </c>
      <c r="F84" s="213">
        <v>11684</v>
      </c>
      <c r="G84" s="213">
        <v>11806</v>
      </c>
      <c r="H84" s="58">
        <v>11869</v>
      </c>
      <c r="I84" s="58">
        <v>11408</v>
      </c>
      <c r="J84" s="58">
        <v>11447</v>
      </c>
      <c r="K84" s="58">
        <v>11881</v>
      </c>
      <c r="L84" s="58">
        <v>11948</v>
      </c>
      <c r="M84" s="58">
        <v>11949</v>
      </c>
      <c r="N84" s="58">
        <v>12390</v>
      </c>
      <c r="O84" s="58">
        <v>12370</v>
      </c>
      <c r="Q84" s="211" t="s">
        <v>6109</v>
      </c>
    </row>
    <row r="85" spans="1:17">
      <c r="A85" s="211" t="s">
        <v>5436</v>
      </c>
      <c r="B85" s="211" t="s">
        <v>4673</v>
      </c>
      <c r="C85" s="55" t="s">
        <v>7486</v>
      </c>
      <c r="D85" s="213">
        <v>10314</v>
      </c>
      <c r="E85" s="213">
        <v>10479</v>
      </c>
      <c r="F85" s="213">
        <v>10510</v>
      </c>
      <c r="G85" s="213">
        <v>11122</v>
      </c>
      <c r="H85" s="58">
        <v>11384</v>
      </c>
      <c r="I85" s="58">
        <v>10861</v>
      </c>
      <c r="J85" s="58">
        <v>10739</v>
      </c>
      <c r="K85" s="58">
        <v>11212</v>
      </c>
      <c r="L85" s="58">
        <v>11356</v>
      </c>
      <c r="M85" s="58">
        <v>11381</v>
      </c>
      <c r="N85" s="58">
        <v>11837</v>
      </c>
      <c r="O85" s="58">
        <v>11747</v>
      </c>
      <c r="Q85" s="211" t="s">
        <v>6109</v>
      </c>
    </row>
    <row r="86" spans="1:17">
      <c r="A86" s="211" t="s">
        <v>5437</v>
      </c>
      <c r="B86" s="211" t="s">
        <v>4674</v>
      </c>
      <c r="C86" s="55" t="s">
        <v>7487</v>
      </c>
      <c r="D86" s="213">
        <v>9887</v>
      </c>
      <c r="E86" s="213">
        <v>10457</v>
      </c>
      <c r="F86" s="213">
        <v>10453</v>
      </c>
      <c r="G86" s="213">
        <v>10626</v>
      </c>
      <c r="H86" s="56">
        <v>10405</v>
      </c>
      <c r="I86" s="56">
        <v>9870</v>
      </c>
      <c r="J86" s="56">
        <v>9841</v>
      </c>
      <c r="K86" s="56">
        <v>10302</v>
      </c>
      <c r="L86" s="56">
        <v>10569</v>
      </c>
      <c r="M86" s="56">
        <v>10593</v>
      </c>
      <c r="N86" s="56">
        <v>11212</v>
      </c>
      <c r="O86" s="56">
        <v>11022</v>
      </c>
      <c r="Q86" s="211" t="s">
        <v>4571</v>
      </c>
    </row>
    <row r="87" spans="1:17">
      <c r="A87" s="211" t="s">
        <v>5439</v>
      </c>
      <c r="B87" s="211" t="s">
        <v>4675</v>
      </c>
      <c r="C87" s="55" t="s">
        <v>7488</v>
      </c>
      <c r="D87" s="213">
        <v>10200</v>
      </c>
      <c r="E87" s="213">
        <v>10678</v>
      </c>
      <c r="F87" s="213">
        <v>10801</v>
      </c>
      <c r="G87" s="213">
        <v>11020</v>
      </c>
      <c r="H87" s="58">
        <v>10731</v>
      </c>
      <c r="I87" s="58">
        <v>10143</v>
      </c>
      <c r="J87" s="58">
        <v>10002</v>
      </c>
      <c r="K87" s="58">
        <v>10677</v>
      </c>
      <c r="L87" s="58">
        <v>10956</v>
      </c>
      <c r="M87" s="58">
        <v>11078</v>
      </c>
      <c r="N87" s="58">
        <v>11721</v>
      </c>
      <c r="O87" s="58">
        <v>11676</v>
      </c>
      <c r="Q87" s="211" t="s">
        <v>4574</v>
      </c>
    </row>
    <row r="88" spans="1:17">
      <c r="A88" s="211" t="s">
        <v>5441</v>
      </c>
      <c r="B88" s="211" t="s">
        <v>3996</v>
      </c>
      <c r="C88" s="55" t="s">
        <v>7489</v>
      </c>
      <c r="D88" s="213">
        <v>10863</v>
      </c>
      <c r="E88" s="213">
        <v>11099</v>
      </c>
      <c r="F88" s="213">
        <v>11360</v>
      </c>
      <c r="G88" s="213">
        <v>11578</v>
      </c>
      <c r="H88" s="56">
        <v>12007</v>
      </c>
      <c r="I88" s="56">
        <v>11685</v>
      </c>
      <c r="J88" s="56">
        <v>11681</v>
      </c>
      <c r="K88" s="56">
        <v>12108</v>
      </c>
      <c r="L88" s="56">
        <v>12316</v>
      </c>
      <c r="M88" s="56">
        <v>12195</v>
      </c>
      <c r="N88" s="56">
        <v>12598</v>
      </c>
      <c r="O88" s="56">
        <v>12545</v>
      </c>
      <c r="Q88" s="211" t="s">
        <v>4573</v>
      </c>
    </row>
    <row r="89" spans="1:17">
      <c r="A89" s="211" t="s">
        <v>5886</v>
      </c>
      <c r="B89" s="211" t="s">
        <v>4676</v>
      </c>
      <c r="C89" s="55" t="s">
        <v>7490</v>
      </c>
      <c r="D89" s="213">
        <v>10821</v>
      </c>
      <c r="E89" s="213">
        <v>11270</v>
      </c>
      <c r="F89" s="213">
        <v>11419</v>
      </c>
      <c r="G89" s="213">
        <v>11312</v>
      </c>
      <c r="H89" s="56">
        <v>11864</v>
      </c>
      <c r="I89" s="56">
        <v>11453</v>
      </c>
      <c r="J89" s="56">
        <v>11258</v>
      </c>
      <c r="K89" s="56">
        <v>11660</v>
      </c>
      <c r="L89" s="56">
        <v>11872</v>
      </c>
      <c r="M89" s="56">
        <v>11782</v>
      </c>
      <c r="N89" s="56">
        <v>12192</v>
      </c>
      <c r="O89" s="56">
        <v>12152</v>
      </c>
      <c r="Q89" s="211" t="s">
        <v>4573</v>
      </c>
    </row>
    <row r="90" spans="1:17">
      <c r="A90" s="211" t="s">
        <v>5888</v>
      </c>
      <c r="B90" s="211" t="s">
        <v>6785</v>
      </c>
      <c r="C90" s="55" t="s">
        <v>7491</v>
      </c>
      <c r="D90" s="213">
        <v>10484</v>
      </c>
      <c r="E90" s="213">
        <v>10695</v>
      </c>
      <c r="F90" s="213">
        <v>10972</v>
      </c>
      <c r="G90" s="213">
        <v>11237</v>
      </c>
      <c r="H90" s="58">
        <v>11183</v>
      </c>
      <c r="I90" s="58">
        <v>10671</v>
      </c>
      <c r="J90" s="58">
        <v>10788</v>
      </c>
      <c r="K90" s="58">
        <v>11125</v>
      </c>
      <c r="L90" s="58">
        <v>11310</v>
      </c>
      <c r="M90" s="58">
        <v>11146</v>
      </c>
      <c r="N90" s="58">
        <v>11845</v>
      </c>
      <c r="O90" s="58">
        <v>11776</v>
      </c>
      <c r="Q90" s="211" t="s">
        <v>6767</v>
      </c>
    </row>
    <row r="91" spans="1:17">
      <c r="A91" s="211" t="s">
        <v>5889</v>
      </c>
      <c r="B91" s="211" t="s">
        <v>6786</v>
      </c>
      <c r="C91" s="55" t="s">
        <v>7492</v>
      </c>
      <c r="D91" s="213">
        <v>10702</v>
      </c>
      <c r="E91" s="213">
        <v>10805</v>
      </c>
      <c r="F91" s="213">
        <v>10768</v>
      </c>
      <c r="G91" s="213">
        <v>11189</v>
      </c>
      <c r="H91" s="58">
        <v>11409</v>
      </c>
      <c r="I91" s="58">
        <v>11121</v>
      </c>
      <c r="J91" s="58">
        <v>11248</v>
      </c>
      <c r="K91" s="58">
        <v>11721</v>
      </c>
      <c r="L91" s="58">
        <v>11966</v>
      </c>
      <c r="M91" s="58">
        <v>11936</v>
      </c>
      <c r="N91" s="58">
        <v>12430</v>
      </c>
      <c r="O91" s="58">
        <v>12405</v>
      </c>
      <c r="Q91" s="211" t="s">
        <v>4574</v>
      </c>
    </row>
    <row r="92" spans="1:17">
      <c r="A92" s="211" t="s">
        <v>4431</v>
      </c>
      <c r="B92" s="211" t="s">
        <v>2296</v>
      </c>
      <c r="C92" s="55" t="s">
        <v>7493</v>
      </c>
      <c r="D92" s="213">
        <v>10097</v>
      </c>
      <c r="E92" s="213">
        <v>11050</v>
      </c>
      <c r="F92" s="213">
        <v>10997</v>
      </c>
      <c r="G92" s="213">
        <v>10994</v>
      </c>
      <c r="H92" s="58">
        <v>11275</v>
      </c>
      <c r="I92" s="58">
        <v>10666</v>
      </c>
      <c r="J92" s="58">
        <v>10813</v>
      </c>
      <c r="K92" s="58">
        <v>11356</v>
      </c>
      <c r="L92" s="58">
        <v>11818</v>
      </c>
      <c r="M92" s="58">
        <v>11903</v>
      </c>
      <c r="N92" s="58">
        <v>12633</v>
      </c>
      <c r="O92" s="58">
        <v>12475</v>
      </c>
      <c r="Q92" s="211" t="s">
        <v>4574</v>
      </c>
    </row>
    <row r="93" spans="1:17">
      <c r="A93" s="211" t="s">
        <v>4432</v>
      </c>
      <c r="B93" s="211" t="s">
        <v>6787</v>
      </c>
      <c r="C93" s="55" t="s">
        <v>7494</v>
      </c>
      <c r="D93" s="218">
        <v>11375</v>
      </c>
      <c r="E93" s="218">
        <v>11547</v>
      </c>
      <c r="F93" s="218">
        <v>11268</v>
      </c>
      <c r="G93" s="218">
        <v>11411</v>
      </c>
      <c r="H93" s="56">
        <v>11210</v>
      </c>
      <c r="I93" s="56">
        <v>9712</v>
      </c>
      <c r="J93" s="56">
        <v>10217</v>
      </c>
      <c r="K93" s="56">
        <v>11117</v>
      </c>
      <c r="L93" s="56">
        <v>11401</v>
      </c>
      <c r="M93" s="56">
        <v>11640</v>
      </c>
      <c r="N93" s="56">
        <v>12043</v>
      </c>
      <c r="O93" s="56">
        <v>11934</v>
      </c>
      <c r="Q93" s="211" t="s">
        <v>4573</v>
      </c>
    </row>
    <row r="94" spans="1:17">
      <c r="A94" s="211" t="s">
        <v>4434</v>
      </c>
      <c r="B94" s="211" t="s">
        <v>3168</v>
      </c>
      <c r="C94" s="55" t="s">
        <v>7495</v>
      </c>
      <c r="D94" s="213">
        <v>9013</v>
      </c>
      <c r="E94" s="213">
        <v>9108</v>
      </c>
      <c r="F94" s="213">
        <v>9178</v>
      </c>
      <c r="G94" s="213">
        <v>9178</v>
      </c>
      <c r="H94" s="58">
        <v>9329</v>
      </c>
      <c r="I94" s="58">
        <v>9166</v>
      </c>
      <c r="J94" s="58">
        <v>9226</v>
      </c>
      <c r="K94" s="58">
        <v>9495</v>
      </c>
      <c r="L94" s="58">
        <v>9425</v>
      </c>
      <c r="M94" s="58">
        <v>9409</v>
      </c>
      <c r="N94" s="58">
        <v>9701</v>
      </c>
      <c r="O94" s="58">
        <v>9647</v>
      </c>
      <c r="Q94" s="211" t="s">
        <v>6767</v>
      </c>
    </row>
    <row r="95" spans="1:17">
      <c r="A95" s="211" t="s">
        <v>4533</v>
      </c>
      <c r="B95" s="211" t="s">
        <v>3169</v>
      </c>
      <c r="C95" s="55" t="s">
        <v>7496</v>
      </c>
      <c r="D95" s="213">
        <v>9730</v>
      </c>
      <c r="E95" s="213">
        <v>9865</v>
      </c>
      <c r="F95" s="213">
        <v>9896</v>
      </c>
      <c r="G95" s="213">
        <v>10544</v>
      </c>
      <c r="H95" s="56">
        <v>10457</v>
      </c>
      <c r="I95" s="56">
        <v>10226</v>
      </c>
      <c r="J95" s="56">
        <v>10027</v>
      </c>
      <c r="K95" s="56">
        <v>10342</v>
      </c>
      <c r="L95" s="56">
        <v>10462</v>
      </c>
      <c r="M95" s="56">
        <v>10401</v>
      </c>
      <c r="N95" s="56">
        <v>10738</v>
      </c>
      <c r="O95" s="56">
        <v>10695</v>
      </c>
      <c r="Q95" s="211" t="s">
        <v>4573</v>
      </c>
    </row>
    <row r="96" spans="1:17">
      <c r="A96" s="211" t="s">
        <v>4535</v>
      </c>
      <c r="B96" s="211" t="s">
        <v>3170</v>
      </c>
      <c r="C96" s="55" t="s">
        <v>7497</v>
      </c>
      <c r="D96" s="218">
        <v>10515</v>
      </c>
      <c r="E96" s="218">
        <v>10578</v>
      </c>
      <c r="F96" s="218">
        <v>10454</v>
      </c>
      <c r="G96" s="218">
        <v>10765</v>
      </c>
      <c r="H96" s="58">
        <v>10901</v>
      </c>
      <c r="I96" s="58">
        <v>10379</v>
      </c>
      <c r="J96" s="58">
        <v>10575</v>
      </c>
      <c r="K96" s="58">
        <v>11018</v>
      </c>
      <c r="L96" s="58">
        <v>11070</v>
      </c>
      <c r="M96" s="58">
        <v>10989</v>
      </c>
      <c r="N96" s="58">
        <v>11354</v>
      </c>
      <c r="O96" s="58">
        <v>11302</v>
      </c>
      <c r="Q96" s="211" t="s">
        <v>6767</v>
      </c>
    </row>
    <row r="97" spans="1:17">
      <c r="A97" s="211" t="s">
        <v>4537</v>
      </c>
      <c r="B97" s="211" t="s">
        <v>3171</v>
      </c>
      <c r="C97" s="55" t="s">
        <v>7498</v>
      </c>
      <c r="D97" s="213">
        <v>10169</v>
      </c>
      <c r="E97" s="213">
        <v>10300</v>
      </c>
      <c r="F97" s="213">
        <v>10370</v>
      </c>
      <c r="G97" s="213">
        <v>10541</v>
      </c>
      <c r="H97" s="58">
        <v>10704</v>
      </c>
      <c r="I97" s="58">
        <v>10470</v>
      </c>
      <c r="J97" s="58">
        <v>10479</v>
      </c>
      <c r="K97" s="58">
        <v>10895</v>
      </c>
      <c r="L97" s="58">
        <v>10916</v>
      </c>
      <c r="M97" s="58">
        <v>10865</v>
      </c>
      <c r="N97" s="58">
        <v>11257</v>
      </c>
      <c r="O97" s="58">
        <v>11191</v>
      </c>
      <c r="Q97" s="211" t="s">
        <v>6109</v>
      </c>
    </row>
    <row r="98" spans="1:17" ht="15.75" thickBot="1">
      <c r="A98" s="211"/>
      <c r="B98" s="211"/>
      <c r="C98" s="55" t="s">
        <v>7498</v>
      </c>
      <c r="D98" s="220">
        <v>5</v>
      </c>
      <c r="E98" s="221">
        <v>4</v>
      </c>
      <c r="F98" s="221">
        <v>2</v>
      </c>
      <c r="G98" s="221">
        <v>2</v>
      </c>
      <c r="H98" s="222">
        <v>2</v>
      </c>
      <c r="I98" s="222">
        <v>2</v>
      </c>
      <c r="J98" s="56">
        <v>1</v>
      </c>
      <c r="K98" s="56">
        <v>2</v>
      </c>
      <c r="L98" s="56">
        <v>2</v>
      </c>
      <c r="M98" s="56">
        <v>0</v>
      </c>
      <c r="N98" s="56">
        <v>0</v>
      </c>
      <c r="O98" s="56">
        <v>0</v>
      </c>
      <c r="Q98" s="211" t="s">
        <v>6767</v>
      </c>
    </row>
    <row r="99" spans="1:17" ht="15.75" thickBot="1">
      <c r="A99" s="211"/>
      <c r="B99" s="211"/>
      <c r="C99" s="55" t="s">
        <v>7498</v>
      </c>
      <c r="D99" s="217">
        <f t="shared" ref="D99:L99" si="70">D97+D98</f>
        <v>10174</v>
      </c>
      <c r="E99" s="217">
        <f t="shared" si="70"/>
        <v>10304</v>
      </c>
      <c r="F99" s="217">
        <f t="shared" si="70"/>
        <v>10372</v>
      </c>
      <c r="G99" s="217">
        <f t="shared" si="70"/>
        <v>10543</v>
      </c>
      <c r="H99" s="223">
        <f t="shared" si="70"/>
        <v>10706</v>
      </c>
      <c r="I99" s="223">
        <f t="shared" si="70"/>
        <v>10472</v>
      </c>
      <c r="J99" s="223">
        <f t="shared" si="70"/>
        <v>10480</v>
      </c>
      <c r="K99" s="223">
        <f t="shared" si="70"/>
        <v>10897</v>
      </c>
      <c r="L99" s="223">
        <f t="shared" si="70"/>
        <v>10918</v>
      </c>
      <c r="M99" s="223">
        <f>M97+M98</f>
        <v>10865</v>
      </c>
      <c r="N99" s="223">
        <f>N97+N98</f>
        <v>11257</v>
      </c>
      <c r="O99" s="223">
        <f>O97+O98</f>
        <v>11191</v>
      </c>
      <c r="Q99" s="211"/>
    </row>
    <row r="100" spans="1:17">
      <c r="A100" s="211" t="s">
        <v>4539</v>
      </c>
      <c r="B100" s="211" t="s">
        <v>2466</v>
      </c>
      <c r="C100" s="55" t="s">
        <v>7499</v>
      </c>
      <c r="D100" s="213">
        <v>9742</v>
      </c>
      <c r="E100" s="213">
        <v>10029</v>
      </c>
      <c r="F100" s="213">
        <v>10198</v>
      </c>
      <c r="G100" s="213">
        <v>10334</v>
      </c>
      <c r="H100" s="56">
        <v>10362</v>
      </c>
      <c r="I100" s="56">
        <v>9719</v>
      </c>
      <c r="J100" s="56">
        <v>9874</v>
      </c>
      <c r="K100" s="56">
        <v>10439</v>
      </c>
      <c r="L100" s="56">
        <v>10677</v>
      </c>
      <c r="M100" s="56">
        <v>10694</v>
      </c>
      <c r="N100" s="56">
        <v>11046</v>
      </c>
      <c r="O100" s="56">
        <v>10963</v>
      </c>
      <c r="Q100" s="211" t="s">
        <v>4573</v>
      </c>
    </row>
    <row r="101" spans="1:17">
      <c r="D101" s="214"/>
      <c r="E101" s="214"/>
      <c r="F101" s="214"/>
      <c r="G101" s="214"/>
      <c r="H101" s="214"/>
      <c r="I101" s="214"/>
      <c r="J101" s="214"/>
      <c r="K101" s="214"/>
      <c r="L101" s="214"/>
      <c r="M101" s="214"/>
      <c r="N101" s="214"/>
      <c r="O101" s="214"/>
    </row>
    <row r="102" spans="1:17">
      <c r="A102" s="211" t="s">
        <v>4571</v>
      </c>
      <c r="D102" s="213">
        <f t="shared" ref="D102:I102" si="71">SUM(D72:D74)+D78+D81+D86</f>
        <v>64382</v>
      </c>
      <c r="E102" s="213">
        <f t="shared" si="71"/>
        <v>66718</v>
      </c>
      <c r="F102" s="213">
        <f t="shared" si="71"/>
        <v>67719</v>
      </c>
      <c r="G102" s="213">
        <f t="shared" si="71"/>
        <v>69105</v>
      </c>
      <c r="H102" s="213">
        <f t="shared" si="71"/>
        <v>68759</v>
      </c>
      <c r="I102" s="213">
        <f t="shared" si="71"/>
        <v>64628</v>
      </c>
      <c r="J102" s="213">
        <f t="shared" ref="J102:O102" si="72">SUM(J72:J74)+J78+J81+J86</f>
        <v>64952</v>
      </c>
      <c r="K102" s="213">
        <f t="shared" si="72"/>
        <v>68649</v>
      </c>
      <c r="L102" s="213">
        <f t="shared" si="72"/>
        <v>70315</v>
      </c>
      <c r="M102" s="213">
        <f t="shared" si="72"/>
        <v>70555</v>
      </c>
      <c r="N102" s="213">
        <f t="shared" si="72"/>
        <v>74205</v>
      </c>
      <c r="O102" s="213">
        <f t="shared" si="72"/>
        <v>73721</v>
      </c>
    </row>
    <row r="103" spans="1:17">
      <c r="A103" s="211" t="s">
        <v>4573</v>
      </c>
      <c r="D103" s="213">
        <f t="shared" ref="D103:I103" si="73">D79+D88+D89+D93+D95+D100</f>
        <v>63532</v>
      </c>
      <c r="E103" s="213">
        <f t="shared" si="73"/>
        <v>64715</v>
      </c>
      <c r="F103" s="213">
        <f t="shared" si="73"/>
        <v>65005</v>
      </c>
      <c r="G103" s="213">
        <f t="shared" si="73"/>
        <v>66210</v>
      </c>
      <c r="H103" s="213">
        <f t="shared" si="73"/>
        <v>66738</v>
      </c>
      <c r="I103" s="213">
        <f t="shared" si="73"/>
        <v>62818</v>
      </c>
      <c r="J103" s="213">
        <f t="shared" ref="J103:O103" si="74">J79+J88+J89+J93+J95+J100</f>
        <v>62968</v>
      </c>
      <c r="K103" s="213">
        <f t="shared" si="74"/>
        <v>66174</v>
      </c>
      <c r="L103" s="213">
        <f t="shared" si="74"/>
        <v>67401</v>
      </c>
      <c r="M103" s="213">
        <f t="shared" si="74"/>
        <v>67259</v>
      </c>
      <c r="N103" s="213">
        <f t="shared" si="74"/>
        <v>69667</v>
      </c>
      <c r="O103" s="213">
        <f t="shared" si="74"/>
        <v>69319</v>
      </c>
    </row>
    <row r="104" spans="1:17">
      <c r="A104" s="211" t="s">
        <v>4574</v>
      </c>
      <c r="D104" s="213">
        <f t="shared" ref="D104:I104" si="75">D75+D76+D80+D87+D91+D92</f>
        <v>60658</v>
      </c>
      <c r="E104" s="213">
        <f t="shared" si="75"/>
        <v>63425</v>
      </c>
      <c r="F104" s="213">
        <f t="shared" si="75"/>
        <v>64752</v>
      </c>
      <c r="G104" s="213">
        <f t="shared" si="75"/>
        <v>66089</v>
      </c>
      <c r="H104" s="213">
        <f t="shared" si="75"/>
        <v>65567</v>
      </c>
      <c r="I104" s="213">
        <f t="shared" si="75"/>
        <v>61650</v>
      </c>
      <c r="J104" s="213">
        <f t="shared" ref="J104:O104" si="76">J75+J76+J80+J87+J91+J92</f>
        <v>62096</v>
      </c>
      <c r="K104" s="213">
        <f t="shared" si="76"/>
        <v>65661</v>
      </c>
      <c r="L104" s="213">
        <f t="shared" si="76"/>
        <v>67719</v>
      </c>
      <c r="M104" s="213">
        <f t="shared" si="76"/>
        <v>67687</v>
      </c>
      <c r="N104" s="213">
        <f t="shared" si="76"/>
        <v>71585</v>
      </c>
      <c r="O104" s="213">
        <f t="shared" si="76"/>
        <v>71258</v>
      </c>
    </row>
    <row r="105" spans="1:17">
      <c r="A105" s="211" t="s">
        <v>6109</v>
      </c>
      <c r="D105" s="213">
        <f t="shared" ref="D105:I105" si="77">D77+SUM(D82:D85)+D97</f>
        <v>65277</v>
      </c>
      <c r="E105" s="213">
        <f t="shared" si="77"/>
        <v>66967</v>
      </c>
      <c r="F105" s="213">
        <f t="shared" si="77"/>
        <v>67406</v>
      </c>
      <c r="G105" s="213">
        <f t="shared" si="77"/>
        <v>69031</v>
      </c>
      <c r="H105" s="213">
        <f t="shared" si="77"/>
        <v>69807</v>
      </c>
      <c r="I105" s="213">
        <f t="shared" si="77"/>
        <v>67391</v>
      </c>
      <c r="J105" s="213">
        <f t="shared" ref="J105:O105" si="78">J77+SUM(J82:J85)+J97</f>
        <v>67409</v>
      </c>
      <c r="K105" s="213">
        <f t="shared" si="78"/>
        <v>70088</v>
      </c>
      <c r="L105" s="213">
        <f t="shared" si="78"/>
        <v>70602</v>
      </c>
      <c r="M105" s="213">
        <f t="shared" si="78"/>
        <v>70471</v>
      </c>
      <c r="N105" s="213">
        <f t="shared" si="78"/>
        <v>73384</v>
      </c>
      <c r="O105" s="213">
        <f t="shared" si="78"/>
        <v>72954</v>
      </c>
    </row>
    <row r="106" spans="1:17">
      <c r="A106" s="211" t="s">
        <v>6767</v>
      </c>
      <c r="D106" s="213">
        <f t="shared" ref="D106:I106" si="79">D69+D70+D71+D90+D94+D96+D98</f>
        <v>67489</v>
      </c>
      <c r="E106" s="213">
        <f t="shared" si="79"/>
        <v>68129</v>
      </c>
      <c r="F106" s="213">
        <f t="shared" si="79"/>
        <v>68944</v>
      </c>
      <c r="G106" s="213">
        <f t="shared" si="79"/>
        <v>70360</v>
      </c>
      <c r="H106" s="213">
        <f t="shared" si="79"/>
        <v>71208</v>
      </c>
      <c r="I106" s="213">
        <f t="shared" si="79"/>
        <v>69248</v>
      </c>
      <c r="J106" s="213">
        <f t="shared" ref="J106:O106" si="80">J69+J70+J71+J90+J94+J96+J98</f>
        <v>69358</v>
      </c>
      <c r="K106" s="213">
        <f t="shared" si="80"/>
        <v>71841</v>
      </c>
      <c r="L106" s="213">
        <f t="shared" si="80"/>
        <v>72244</v>
      </c>
      <c r="M106" s="213">
        <f t="shared" si="80"/>
        <v>71682</v>
      </c>
      <c r="N106" s="213">
        <f t="shared" si="80"/>
        <v>74522</v>
      </c>
      <c r="O106" s="213">
        <f t="shared" si="80"/>
        <v>74095</v>
      </c>
    </row>
    <row r="107" spans="1:17">
      <c r="A107" s="211"/>
      <c r="D107" s="213"/>
      <c r="E107" s="213"/>
      <c r="F107" s="213"/>
      <c r="G107" s="213"/>
      <c r="H107" s="213"/>
      <c r="I107" s="213"/>
      <c r="J107" s="213"/>
      <c r="K107" s="213"/>
      <c r="L107" s="213"/>
    </row>
    <row r="108" spans="1:17">
      <c r="A108" s="211" t="s">
        <v>3172</v>
      </c>
      <c r="D108" s="213"/>
      <c r="E108" s="213"/>
      <c r="F108" s="213"/>
      <c r="G108" s="213"/>
      <c r="H108" s="213"/>
      <c r="I108" s="213"/>
      <c r="J108" s="213"/>
      <c r="K108" s="213"/>
      <c r="L108" s="213"/>
    </row>
    <row r="109" spans="1:17" ht="15.75" customHeight="1">
      <c r="A109" s="211" t="s">
        <v>6903</v>
      </c>
      <c r="B109" s="211"/>
      <c r="D109" s="224"/>
      <c r="E109" s="224"/>
      <c r="F109" s="224"/>
      <c r="G109" s="224"/>
      <c r="H109" s="224"/>
      <c r="I109" s="224"/>
      <c r="J109" s="224"/>
      <c r="K109" s="224"/>
      <c r="L109" s="224"/>
    </row>
    <row r="110" spans="1:17" ht="15.75" customHeight="1">
      <c r="A110" s="21"/>
      <c r="B110" s="211"/>
      <c r="D110" s="224"/>
      <c r="E110" s="224"/>
      <c r="F110" s="224"/>
      <c r="G110" s="224"/>
      <c r="H110" s="224"/>
      <c r="I110" s="224"/>
      <c r="J110" s="224"/>
      <c r="K110" s="224"/>
      <c r="L110" s="224"/>
    </row>
    <row r="111" spans="1:17">
      <c r="A111" s="211"/>
      <c r="B111" s="211"/>
      <c r="D111" s="224"/>
      <c r="E111" s="224"/>
      <c r="F111" s="224"/>
      <c r="G111" s="224"/>
      <c r="H111" s="224"/>
      <c r="I111" s="224"/>
      <c r="J111" s="224"/>
      <c r="K111" s="224"/>
      <c r="L111" s="224"/>
    </row>
    <row r="112" spans="1:17">
      <c r="E112" s="51" t="s">
        <v>1526</v>
      </c>
      <c r="F112" s="51"/>
      <c r="G112" s="51"/>
      <c r="H112" s="51"/>
      <c r="I112" s="51"/>
      <c r="J112" s="51"/>
      <c r="K112" s="51"/>
      <c r="L112" s="51"/>
      <c r="M112" s="173"/>
      <c r="N112" s="173"/>
      <c r="O112" s="173"/>
      <c r="P112" s="173"/>
      <c r="Q112" s="173" t="s">
        <v>9479</v>
      </c>
    </row>
    <row r="113" spans="1:17">
      <c r="D113" s="212">
        <v>2010</v>
      </c>
      <c r="E113" s="212">
        <v>2011</v>
      </c>
      <c r="F113" s="212">
        <v>2012</v>
      </c>
      <c r="G113" s="212">
        <v>2013</v>
      </c>
      <c r="H113" s="212">
        <v>2014</v>
      </c>
      <c r="I113" s="212">
        <v>2015</v>
      </c>
      <c r="J113" s="212">
        <v>2016</v>
      </c>
      <c r="K113" s="212">
        <v>2017</v>
      </c>
      <c r="L113" s="212">
        <v>2018</v>
      </c>
      <c r="M113" s="212">
        <v>2019</v>
      </c>
      <c r="N113" s="212">
        <v>2020</v>
      </c>
      <c r="O113" s="926" t="s">
        <v>14823</v>
      </c>
      <c r="Q113" s="206" t="s">
        <v>1527</v>
      </c>
    </row>
    <row r="114" spans="1:17">
      <c r="A114" s="211" t="s">
        <v>6904</v>
      </c>
      <c r="D114" s="213">
        <f t="shared" ref="D114:I114" si="81">SUM(D115:D131)</f>
        <v>147691</v>
      </c>
      <c r="E114" s="213">
        <f t="shared" si="81"/>
        <v>145167</v>
      </c>
      <c r="F114" s="213">
        <f t="shared" si="81"/>
        <v>147214</v>
      </c>
      <c r="G114" s="213">
        <f t="shared" si="81"/>
        <v>147153</v>
      </c>
      <c r="H114" s="213">
        <f t="shared" si="81"/>
        <v>145702</v>
      </c>
      <c r="I114" s="213">
        <f t="shared" si="81"/>
        <v>142972</v>
      </c>
      <c r="J114" s="213">
        <f t="shared" ref="J114:O114" si="82">SUM(J115:J131)</f>
        <v>142864</v>
      </c>
      <c r="K114" s="213">
        <f t="shared" si="82"/>
        <v>146496</v>
      </c>
      <c r="L114" s="213">
        <f t="shared" si="82"/>
        <v>147634</v>
      </c>
      <c r="M114" s="213">
        <f t="shared" si="82"/>
        <v>146893</v>
      </c>
      <c r="N114" s="213">
        <f t="shared" si="82"/>
        <v>147917</v>
      </c>
      <c r="O114" s="213">
        <f t="shared" si="82"/>
        <v>150550</v>
      </c>
    </row>
    <row r="115" spans="1:17">
      <c r="A115" s="211" t="s">
        <v>5387</v>
      </c>
      <c r="B115" s="211" t="s">
        <v>6905</v>
      </c>
      <c r="C115" s="55" t="s">
        <v>7500</v>
      </c>
      <c r="D115" s="213">
        <v>8531</v>
      </c>
      <c r="E115" s="213">
        <v>8529</v>
      </c>
      <c r="F115" s="213">
        <v>8571</v>
      </c>
      <c r="G115" s="213">
        <v>8540</v>
      </c>
      <c r="H115" s="63">
        <v>8486</v>
      </c>
      <c r="I115" s="63">
        <v>8226</v>
      </c>
      <c r="J115" s="63">
        <v>8115</v>
      </c>
      <c r="K115" s="63">
        <v>8213</v>
      </c>
      <c r="L115" s="63">
        <v>8240</v>
      </c>
      <c r="M115" s="63">
        <v>8226</v>
      </c>
      <c r="N115" s="63">
        <v>8274</v>
      </c>
      <c r="O115" s="63">
        <v>8387</v>
      </c>
      <c r="Q115" s="211" t="s">
        <v>4575</v>
      </c>
    </row>
    <row r="116" spans="1:17">
      <c r="A116" s="211" t="s">
        <v>5389</v>
      </c>
      <c r="B116" s="211" t="s">
        <v>871</v>
      </c>
      <c r="C116" s="55" t="s">
        <v>7501</v>
      </c>
      <c r="D116" s="213">
        <v>9056</v>
      </c>
      <c r="E116" s="213">
        <v>8824</v>
      </c>
      <c r="F116" s="213">
        <v>9037</v>
      </c>
      <c r="G116" s="213">
        <v>9012</v>
      </c>
      <c r="H116" s="63">
        <v>8923</v>
      </c>
      <c r="I116" s="63">
        <v>8898</v>
      </c>
      <c r="J116" s="63">
        <v>8906</v>
      </c>
      <c r="K116" s="63">
        <v>9052</v>
      </c>
      <c r="L116" s="63">
        <v>9230</v>
      </c>
      <c r="M116" s="63">
        <v>9059</v>
      </c>
      <c r="N116" s="63">
        <v>9127</v>
      </c>
      <c r="O116" s="63">
        <v>9456</v>
      </c>
      <c r="Q116" s="211" t="s">
        <v>4575</v>
      </c>
    </row>
    <row r="117" spans="1:17">
      <c r="A117" s="211" t="s">
        <v>5391</v>
      </c>
      <c r="B117" s="211" t="s">
        <v>6906</v>
      </c>
      <c r="C117" s="55" t="s">
        <v>7502</v>
      </c>
      <c r="D117" s="213">
        <v>8551</v>
      </c>
      <c r="E117" s="213">
        <v>8267</v>
      </c>
      <c r="F117" s="213">
        <v>8365</v>
      </c>
      <c r="G117" s="213">
        <v>8387</v>
      </c>
      <c r="H117" s="63">
        <v>8315</v>
      </c>
      <c r="I117" s="63">
        <v>8123</v>
      </c>
      <c r="J117" s="63">
        <v>8094</v>
      </c>
      <c r="K117" s="63">
        <v>8490</v>
      </c>
      <c r="L117" s="63">
        <v>8591</v>
      </c>
      <c r="M117" s="63">
        <v>8537</v>
      </c>
      <c r="N117" s="63">
        <v>8579</v>
      </c>
      <c r="O117" s="63">
        <v>8633</v>
      </c>
      <c r="Q117" s="211" t="s">
        <v>4575</v>
      </c>
    </row>
    <row r="118" spans="1:17">
      <c r="A118" s="211" t="s">
        <v>5393</v>
      </c>
      <c r="B118" s="211" t="s">
        <v>6907</v>
      </c>
      <c r="C118" s="55" t="s">
        <v>7503</v>
      </c>
      <c r="D118" s="213">
        <v>8421</v>
      </c>
      <c r="E118" s="213">
        <v>8443</v>
      </c>
      <c r="F118" s="213">
        <v>8489</v>
      </c>
      <c r="G118" s="213">
        <v>8362</v>
      </c>
      <c r="H118" s="63">
        <v>8485</v>
      </c>
      <c r="I118" s="63">
        <v>8415</v>
      </c>
      <c r="J118" s="63">
        <v>8249</v>
      </c>
      <c r="K118" s="63">
        <v>8461</v>
      </c>
      <c r="L118" s="63">
        <v>8540</v>
      </c>
      <c r="M118" s="63">
        <v>8373</v>
      </c>
      <c r="N118" s="63">
        <v>8361</v>
      </c>
      <c r="O118" s="63">
        <v>8499</v>
      </c>
      <c r="Q118" s="211" t="s">
        <v>4575</v>
      </c>
    </row>
    <row r="119" spans="1:17">
      <c r="A119" s="211" t="s">
        <v>5394</v>
      </c>
      <c r="B119" s="211" t="s">
        <v>6908</v>
      </c>
      <c r="C119" s="55" t="s">
        <v>7504</v>
      </c>
      <c r="D119" s="213">
        <v>8644</v>
      </c>
      <c r="E119" s="213">
        <v>8661</v>
      </c>
      <c r="F119" s="213">
        <v>8726</v>
      </c>
      <c r="G119" s="213">
        <v>8803</v>
      </c>
      <c r="H119" s="63">
        <v>8758</v>
      </c>
      <c r="I119" s="63">
        <v>8572</v>
      </c>
      <c r="J119" s="63">
        <v>8670</v>
      </c>
      <c r="K119" s="63">
        <v>8843</v>
      </c>
      <c r="L119" s="63">
        <v>8959</v>
      </c>
      <c r="M119" s="63">
        <v>8888</v>
      </c>
      <c r="N119" s="63">
        <v>8999</v>
      </c>
      <c r="O119" s="63">
        <v>9110</v>
      </c>
      <c r="Q119" s="211" t="s">
        <v>4575</v>
      </c>
    </row>
    <row r="120" spans="1:17">
      <c r="A120" s="211" t="s">
        <v>5416</v>
      </c>
      <c r="B120" s="211" t="s">
        <v>6909</v>
      </c>
      <c r="C120" s="55" t="s">
        <v>5777</v>
      </c>
      <c r="D120" s="213">
        <v>9395</v>
      </c>
      <c r="E120" s="213">
        <v>9062</v>
      </c>
      <c r="F120" s="213">
        <v>9124</v>
      </c>
      <c r="G120" s="213">
        <v>9048</v>
      </c>
      <c r="H120" s="63">
        <v>8969</v>
      </c>
      <c r="I120" s="63">
        <v>8835</v>
      </c>
      <c r="J120" s="63">
        <v>8779</v>
      </c>
      <c r="K120" s="63">
        <v>8956</v>
      </c>
      <c r="L120" s="63">
        <v>8935</v>
      </c>
      <c r="M120" s="63">
        <v>8876</v>
      </c>
      <c r="N120" s="63">
        <v>8853</v>
      </c>
      <c r="O120" s="63">
        <v>9018</v>
      </c>
      <c r="Q120" s="211" t="s">
        <v>4581</v>
      </c>
    </row>
    <row r="121" spans="1:17">
      <c r="A121" s="211" t="s">
        <v>5418</v>
      </c>
      <c r="B121" s="211" t="s">
        <v>4692</v>
      </c>
      <c r="C121" s="55" t="s">
        <v>5778</v>
      </c>
      <c r="D121" s="213">
        <v>7878</v>
      </c>
      <c r="E121" s="213">
        <v>7965</v>
      </c>
      <c r="F121" s="213">
        <v>8026</v>
      </c>
      <c r="G121" s="213">
        <v>8000</v>
      </c>
      <c r="H121" s="63">
        <v>8032</v>
      </c>
      <c r="I121" s="63">
        <v>7848</v>
      </c>
      <c r="J121" s="63">
        <v>7828</v>
      </c>
      <c r="K121" s="63">
        <v>7982</v>
      </c>
      <c r="L121" s="63">
        <v>8051</v>
      </c>
      <c r="M121" s="63">
        <v>7970</v>
      </c>
      <c r="N121" s="63">
        <v>7980</v>
      </c>
      <c r="O121" s="63">
        <v>8114</v>
      </c>
      <c r="Q121" s="211" t="s">
        <v>4575</v>
      </c>
    </row>
    <row r="122" spans="1:17">
      <c r="A122" s="211" t="s">
        <v>5420</v>
      </c>
      <c r="B122" s="211" t="s">
        <v>4693</v>
      </c>
      <c r="C122" s="55" t="s">
        <v>5779</v>
      </c>
      <c r="D122" s="213">
        <v>9048</v>
      </c>
      <c r="E122" s="213">
        <v>9058</v>
      </c>
      <c r="F122" s="213">
        <v>9075</v>
      </c>
      <c r="G122" s="213">
        <v>9000</v>
      </c>
      <c r="H122" s="63">
        <v>8938</v>
      </c>
      <c r="I122" s="63">
        <v>8755</v>
      </c>
      <c r="J122" s="63">
        <v>8800</v>
      </c>
      <c r="K122" s="63">
        <v>8985</v>
      </c>
      <c r="L122" s="63">
        <v>9049</v>
      </c>
      <c r="M122" s="63">
        <v>8996</v>
      </c>
      <c r="N122" s="63">
        <v>9062</v>
      </c>
      <c r="O122" s="63">
        <v>9165</v>
      </c>
      <c r="Q122" s="211" t="s">
        <v>4581</v>
      </c>
    </row>
    <row r="123" spans="1:17">
      <c r="A123" s="211" t="s">
        <v>5422</v>
      </c>
      <c r="B123" s="211" t="s">
        <v>4694</v>
      </c>
      <c r="C123" s="55" t="s">
        <v>5780</v>
      </c>
      <c r="D123" s="213">
        <v>8448</v>
      </c>
      <c r="E123" s="213">
        <v>8078</v>
      </c>
      <c r="F123" s="213">
        <v>8292</v>
      </c>
      <c r="G123" s="213">
        <v>8275</v>
      </c>
      <c r="H123" s="63">
        <v>8001</v>
      </c>
      <c r="I123" s="63">
        <v>7843</v>
      </c>
      <c r="J123" s="63">
        <v>7855</v>
      </c>
      <c r="K123" s="63">
        <v>8024</v>
      </c>
      <c r="L123" s="63">
        <v>7973</v>
      </c>
      <c r="M123" s="63">
        <v>8051</v>
      </c>
      <c r="N123" s="63">
        <v>8091</v>
      </c>
      <c r="O123" s="63">
        <v>8196</v>
      </c>
      <c r="Q123" s="211" t="s">
        <v>4581</v>
      </c>
    </row>
    <row r="124" spans="1:17">
      <c r="A124" s="211" t="s">
        <v>5424</v>
      </c>
      <c r="B124" s="211" t="s">
        <v>1645</v>
      </c>
      <c r="C124" s="55" t="s">
        <v>5781</v>
      </c>
      <c r="D124" s="213">
        <v>8750</v>
      </c>
      <c r="E124" s="213">
        <v>8576</v>
      </c>
      <c r="F124" s="213">
        <v>8663</v>
      </c>
      <c r="G124" s="213">
        <v>8673</v>
      </c>
      <c r="H124" s="63">
        <v>8588</v>
      </c>
      <c r="I124" s="63">
        <v>8549</v>
      </c>
      <c r="J124" s="63">
        <v>8439</v>
      </c>
      <c r="K124" s="63">
        <v>8663</v>
      </c>
      <c r="L124" s="63">
        <v>8775</v>
      </c>
      <c r="M124" s="63">
        <v>8894</v>
      </c>
      <c r="N124" s="63">
        <v>8959</v>
      </c>
      <c r="O124" s="63">
        <v>9166</v>
      </c>
      <c r="Q124" s="211" t="s">
        <v>4581</v>
      </c>
    </row>
    <row r="125" spans="1:17">
      <c r="A125" s="211" t="s">
        <v>5426</v>
      </c>
      <c r="B125" s="211" t="s">
        <v>4695</v>
      </c>
      <c r="C125" s="55" t="s">
        <v>5782</v>
      </c>
      <c r="D125" s="213">
        <v>8541</v>
      </c>
      <c r="E125" s="213">
        <v>8503</v>
      </c>
      <c r="F125" s="213">
        <v>8551</v>
      </c>
      <c r="G125" s="213">
        <v>8422</v>
      </c>
      <c r="H125" s="63">
        <v>8308</v>
      </c>
      <c r="I125" s="63">
        <v>8151</v>
      </c>
      <c r="J125" s="63">
        <v>8048</v>
      </c>
      <c r="K125" s="63">
        <v>8191</v>
      </c>
      <c r="L125" s="63">
        <v>8264</v>
      </c>
      <c r="M125" s="63">
        <v>8231</v>
      </c>
      <c r="N125" s="63">
        <v>8287</v>
      </c>
      <c r="O125" s="63">
        <v>8389</v>
      </c>
      <c r="Q125" s="211" t="s">
        <v>4575</v>
      </c>
    </row>
    <row r="126" spans="1:17">
      <c r="A126" s="211" t="s">
        <v>5428</v>
      </c>
      <c r="B126" s="211" t="s">
        <v>6165</v>
      </c>
      <c r="C126" s="55" t="s">
        <v>5783</v>
      </c>
      <c r="D126" s="213">
        <v>8743</v>
      </c>
      <c r="E126" s="213">
        <v>8535</v>
      </c>
      <c r="F126" s="213">
        <v>8735</v>
      </c>
      <c r="G126" s="213">
        <v>8805</v>
      </c>
      <c r="H126" s="63">
        <v>8716</v>
      </c>
      <c r="I126" s="63">
        <v>8528</v>
      </c>
      <c r="J126" s="63">
        <v>8567</v>
      </c>
      <c r="K126" s="63">
        <v>8798</v>
      </c>
      <c r="L126" s="63">
        <v>8850</v>
      </c>
      <c r="M126" s="63">
        <v>8786</v>
      </c>
      <c r="N126" s="63">
        <v>8888</v>
      </c>
      <c r="O126" s="63">
        <v>9068</v>
      </c>
      <c r="Q126" s="211" t="s">
        <v>4575</v>
      </c>
    </row>
    <row r="127" spans="1:17">
      <c r="A127" s="211" t="s">
        <v>5429</v>
      </c>
      <c r="B127" s="211" t="s">
        <v>6166</v>
      </c>
      <c r="C127" s="55" t="s">
        <v>5784</v>
      </c>
      <c r="D127" s="213">
        <v>9590</v>
      </c>
      <c r="E127" s="213">
        <v>9366</v>
      </c>
      <c r="F127" s="213">
        <v>9426</v>
      </c>
      <c r="G127" s="213">
        <v>9503</v>
      </c>
      <c r="H127" s="63">
        <v>9425</v>
      </c>
      <c r="I127" s="63">
        <v>9123</v>
      </c>
      <c r="J127" s="63">
        <v>9125</v>
      </c>
      <c r="K127" s="63">
        <v>9336</v>
      </c>
      <c r="L127" s="63">
        <v>9460</v>
      </c>
      <c r="M127" s="63">
        <v>9387</v>
      </c>
      <c r="N127" s="63">
        <v>9442</v>
      </c>
      <c r="O127" s="63">
        <v>9688</v>
      </c>
      <c r="Q127" s="211" t="s">
        <v>4581</v>
      </c>
    </row>
    <row r="128" spans="1:17">
      <c r="A128" s="211" t="s">
        <v>5431</v>
      </c>
      <c r="B128" s="211" t="s">
        <v>6167</v>
      </c>
      <c r="C128" s="55" t="s">
        <v>5785</v>
      </c>
      <c r="D128" s="218">
        <v>8286</v>
      </c>
      <c r="E128" s="218">
        <v>8208</v>
      </c>
      <c r="F128" s="218">
        <v>8382</v>
      </c>
      <c r="G128" s="218">
        <v>8467</v>
      </c>
      <c r="H128" s="63">
        <v>8465</v>
      </c>
      <c r="I128" s="63">
        <v>8300</v>
      </c>
      <c r="J128" s="63">
        <v>8198</v>
      </c>
      <c r="K128" s="63">
        <v>8458</v>
      </c>
      <c r="L128" s="63">
        <v>8533</v>
      </c>
      <c r="M128" s="63">
        <v>8515</v>
      </c>
      <c r="N128" s="63">
        <v>8591</v>
      </c>
      <c r="O128" s="63">
        <v>8793</v>
      </c>
      <c r="Q128" s="211" t="s">
        <v>4581</v>
      </c>
    </row>
    <row r="129" spans="1:17">
      <c r="A129" s="211" t="s">
        <v>5433</v>
      </c>
      <c r="B129" s="211" t="s">
        <v>6168</v>
      </c>
      <c r="C129" s="55" t="s">
        <v>5786</v>
      </c>
      <c r="D129" s="213">
        <v>8704</v>
      </c>
      <c r="E129" s="213">
        <v>8314</v>
      </c>
      <c r="F129" s="213">
        <v>8724</v>
      </c>
      <c r="G129" s="213">
        <v>8836</v>
      </c>
      <c r="H129" s="63">
        <v>8515</v>
      </c>
      <c r="I129" s="63">
        <v>8288</v>
      </c>
      <c r="J129" s="63">
        <v>8582</v>
      </c>
      <c r="K129" s="63">
        <v>8846</v>
      </c>
      <c r="L129" s="63">
        <v>8949</v>
      </c>
      <c r="M129" s="63">
        <v>8869</v>
      </c>
      <c r="N129" s="63">
        <v>9009</v>
      </c>
      <c r="O129" s="63">
        <v>9168</v>
      </c>
      <c r="Q129" s="211" t="s">
        <v>4575</v>
      </c>
    </row>
    <row r="130" spans="1:17">
      <c r="A130" s="211" t="s">
        <v>5435</v>
      </c>
      <c r="B130" s="211" t="s">
        <v>3229</v>
      </c>
      <c r="C130" s="55" t="s">
        <v>5787</v>
      </c>
      <c r="D130" s="218">
        <v>8715</v>
      </c>
      <c r="E130" s="218">
        <v>8449</v>
      </c>
      <c r="F130" s="218">
        <v>8551</v>
      </c>
      <c r="G130" s="218">
        <v>8618</v>
      </c>
      <c r="H130" s="63">
        <v>8525</v>
      </c>
      <c r="I130" s="63">
        <v>8298</v>
      </c>
      <c r="J130" s="63">
        <v>8242</v>
      </c>
      <c r="K130" s="63">
        <v>8476</v>
      </c>
      <c r="L130" s="63">
        <v>8432</v>
      </c>
      <c r="M130" s="63">
        <v>8420</v>
      </c>
      <c r="N130" s="63">
        <v>8611</v>
      </c>
      <c r="O130" s="63">
        <v>8793</v>
      </c>
      <c r="Q130" s="211" t="s">
        <v>4581</v>
      </c>
    </row>
    <row r="131" spans="1:17">
      <c r="A131" s="211" t="s">
        <v>5436</v>
      </c>
      <c r="B131" s="211" t="s">
        <v>2829</v>
      </c>
      <c r="C131" s="55" t="s">
        <v>5788</v>
      </c>
      <c r="D131" s="214">
        <v>8390</v>
      </c>
      <c r="E131" s="214">
        <v>8329</v>
      </c>
      <c r="F131" s="214">
        <v>8477</v>
      </c>
      <c r="G131" s="214">
        <v>8402</v>
      </c>
      <c r="H131" s="63">
        <v>8253</v>
      </c>
      <c r="I131" s="63">
        <v>8220</v>
      </c>
      <c r="J131" s="63">
        <v>8367</v>
      </c>
      <c r="K131" s="63">
        <v>8722</v>
      </c>
      <c r="L131" s="63">
        <v>8803</v>
      </c>
      <c r="M131" s="63">
        <v>8815</v>
      </c>
      <c r="N131" s="63">
        <v>8804</v>
      </c>
      <c r="O131" s="63">
        <v>8907</v>
      </c>
      <c r="Q131" s="211" t="s">
        <v>4581</v>
      </c>
    </row>
    <row r="132" spans="1:17">
      <c r="D132" s="214"/>
      <c r="E132" s="214"/>
      <c r="F132" s="214"/>
      <c r="G132" s="214"/>
      <c r="H132" s="214"/>
      <c r="I132" s="214"/>
      <c r="J132" s="214"/>
      <c r="K132" s="214"/>
      <c r="L132" s="214"/>
      <c r="M132" s="214"/>
      <c r="N132" s="214"/>
      <c r="O132" s="214"/>
    </row>
    <row r="133" spans="1:17">
      <c r="A133" s="211" t="s">
        <v>4575</v>
      </c>
      <c r="D133" s="213">
        <f t="shared" ref="D133:I133" si="83">SUM(D115:D119)+D121+D125+D126+D129</f>
        <v>77069</v>
      </c>
      <c r="E133" s="213">
        <f t="shared" si="83"/>
        <v>76041</v>
      </c>
      <c r="F133" s="213">
        <f t="shared" si="83"/>
        <v>77224</v>
      </c>
      <c r="G133" s="213">
        <f t="shared" si="83"/>
        <v>77167</v>
      </c>
      <c r="H133" s="213">
        <f t="shared" si="83"/>
        <v>76538</v>
      </c>
      <c r="I133" s="213">
        <f t="shared" si="83"/>
        <v>75049</v>
      </c>
      <c r="J133" s="213">
        <f t="shared" ref="J133:O133" si="84">SUM(J115:J119)+J121+J125+J126+J129</f>
        <v>75059</v>
      </c>
      <c r="K133" s="213">
        <f t="shared" si="84"/>
        <v>76876</v>
      </c>
      <c r="L133" s="213">
        <f t="shared" si="84"/>
        <v>77674</v>
      </c>
      <c r="M133" s="213">
        <f t="shared" si="84"/>
        <v>76939</v>
      </c>
      <c r="N133" s="213">
        <f t="shared" si="84"/>
        <v>77504</v>
      </c>
      <c r="O133" s="213">
        <f t="shared" si="84"/>
        <v>78824</v>
      </c>
    </row>
    <row r="134" spans="1:17">
      <c r="A134" s="211" t="s">
        <v>4581</v>
      </c>
      <c r="D134" s="213">
        <f t="shared" ref="D134:I134" si="85">D120+SUM(D122:D124)+D127+D128+D130+D131</f>
        <v>70622</v>
      </c>
      <c r="E134" s="213">
        <f t="shared" si="85"/>
        <v>69126</v>
      </c>
      <c r="F134" s="213">
        <f t="shared" si="85"/>
        <v>69990</v>
      </c>
      <c r="G134" s="213">
        <f t="shared" si="85"/>
        <v>69986</v>
      </c>
      <c r="H134" s="213">
        <f t="shared" si="85"/>
        <v>69164</v>
      </c>
      <c r="I134" s="213">
        <f t="shared" si="85"/>
        <v>67923</v>
      </c>
      <c r="J134" s="213">
        <f t="shared" ref="J134:O134" si="86">J120+SUM(J122:J124)+J127+J128+J130+J131</f>
        <v>67805</v>
      </c>
      <c r="K134" s="213">
        <f t="shared" si="86"/>
        <v>69620</v>
      </c>
      <c r="L134" s="213">
        <f t="shared" si="86"/>
        <v>69960</v>
      </c>
      <c r="M134" s="213">
        <f t="shared" si="86"/>
        <v>69954</v>
      </c>
      <c r="N134" s="213">
        <f t="shared" si="86"/>
        <v>70413</v>
      </c>
      <c r="O134" s="213">
        <f t="shared" si="86"/>
        <v>71726</v>
      </c>
    </row>
    <row r="135" spans="1:17">
      <c r="A135" s="211"/>
      <c r="D135" s="213"/>
      <c r="E135" s="213"/>
      <c r="F135" s="213"/>
      <c r="G135" s="213"/>
      <c r="H135" s="213"/>
      <c r="I135" s="213"/>
      <c r="J135" s="213"/>
      <c r="K135" s="213"/>
      <c r="L135" s="213"/>
    </row>
    <row r="136" spans="1:17">
      <c r="A136" s="211" t="s">
        <v>6169</v>
      </c>
      <c r="D136" s="213"/>
      <c r="E136" s="213"/>
      <c r="F136" s="213"/>
      <c r="G136" s="213"/>
      <c r="H136" s="213"/>
      <c r="I136" s="213"/>
      <c r="J136" s="213"/>
      <c r="K136" s="213"/>
      <c r="L136" s="213"/>
    </row>
    <row r="137" spans="1:17">
      <c r="A137" s="211"/>
      <c r="B137" s="211"/>
      <c r="D137" s="224"/>
      <c r="E137" s="224"/>
      <c r="F137" s="224"/>
      <c r="G137" s="224"/>
      <c r="H137" s="224"/>
      <c r="I137" s="224"/>
      <c r="J137" s="224"/>
      <c r="K137" s="224"/>
      <c r="L137" s="224"/>
    </row>
    <row r="138" spans="1:17">
      <c r="A138" s="211"/>
      <c r="B138" s="211"/>
      <c r="D138" s="224"/>
      <c r="E138" s="224"/>
      <c r="F138" s="224"/>
      <c r="G138" s="224"/>
      <c r="H138" s="224"/>
      <c r="I138" s="224"/>
      <c r="J138" s="224"/>
      <c r="K138" s="224"/>
      <c r="L138" s="224"/>
    </row>
    <row r="139" spans="1:17">
      <c r="E139" s="51" t="s">
        <v>1526</v>
      </c>
      <c r="F139" s="51"/>
      <c r="G139" s="51"/>
      <c r="H139" s="51"/>
      <c r="I139" s="51"/>
      <c r="J139" s="51"/>
      <c r="K139" s="51"/>
      <c r="L139" s="51"/>
      <c r="M139" s="173"/>
      <c r="N139" s="173"/>
      <c r="O139" s="173"/>
      <c r="P139" s="173"/>
      <c r="Q139" s="173" t="s">
        <v>9479</v>
      </c>
    </row>
    <row r="140" spans="1:17">
      <c r="D140" s="212">
        <v>2010</v>
      </c>
      <c r="E140" s="212">
        <v>2011</v>
      </c>
      <c r="F140" s="212">
        <v>2012</v>
      </c>
      <c r="G140" s="212">
        <v>2013</v>
      </c>
      <c r="H140" s="212">
        <v>2014</v>
      </c>
      <c r="I140" s="212">
        <v>2015</v>
      </c>
      <c r="J140" s="212">
        <v>2016</v>
      </c>
      <c r="K140" s="212">
        <v>2017</v>
      </c>
      <c r="L140" s="212">
        <v>2018</v>
      </c>
      <c r="M140" s="212">
        <v>2019</v>
      </c>
      <c r="N140" s="212">
        <v>2020</v>
      </c>
      <c r="O140" s="926" t="s">
        <v>14823</v>
      </c>
      <c r="Q140" s="206" t="s">
        <v>1527</v>
      </c>
    </row>
    <row r="141" spans="1:17">
      <c r="A141" s="211" t="s">
        <v>6170</v>
      </c>
      <c r="D141" s="213">
        <f t="shared" ref="D141:O141" si="87">SUM(D142:D162)+SUM(D164:D167)</f>
        <v>301360</v>
      </c>
      <c r="E141" s="213">
        <f t="shared" si="87"/>
        <v>304578</v>
      </c>
      <c r="F141" s="213">
        <f t="shared" si="87"/>
        <v>307626</v>
      </c>
      <c r="G141" s="213">
        <f t="shared" si="87"/>
        <v>308896</v>
      </c>
      <c r="H141" s="213">
        <f t="shared" si="87"/>
        <v>308557</v>
      </c>
      <c r="I141" s="213">
        <f t="shared" si="87"/>
        <v>296481</v>
      </c>
      <c r="J141" s="213">
        <f t="shared" si="87"/>
        <v>295405</v>
      </c>
      <c r="K141" s="213">
        <f t="shared" si="87"/>
        <v>306707</v>
      </c>
      <c r="L141" s="213">
        <f t="shared" si="87"/>
        <v>302980</v>
      </c>
      <c r="M141" s="213">
        <f t="shared" si="87"/>
        <v>300853</v>
      </c>
      <c r="N141" s="213">
        <f t="shared" si="87"/>
        <v>312683</v>
      </c>
      <c r="O141" s="213">
        <f t="shared" si="87"/>
        <v>312908</v>
      </c>
    </row>
    <row r="142" spans="1:17">
      <c r="A142" s="225">
        <v>1</v>
      </c>
      <c r="B142" s="211" t="s">
        <v>6171</v>
      </c>
      <c r="C142" s="55" t="s">
        <v>9282</v>
      </c>
      <c r="D142" s="213">
        <v>13390</v>
      </c>
      <c r="E142" s="213">
        <v>13488</v>
      </c>
      <c r="F142" s="213">
        <v>13741</v>
      </c>
      <c r="G142" s="213">
        <v>13798</v>
      </c>
      <c r="H142" s="63">
        <v>13839</v>
      </c>
      <c r="I142" s="58">
        <v>13359</v>
      </c>
      <c r="J142" s="58">
        <v>13363</v>
      </c>
      <c r="K142" s="58">
        <v>13671</v>
      </c>
      <c r="L142" s="58">
        <v>13411</v>
      </c>
      <c r="M142" s="58">
        <v>13238</v>
      </c>
      <c r="N142" s="58">
        <v>13582</v>
      </c>
      <c r="O142" s="58">
        <v>13577</v>
      </c>
      <c r="Q142" s="211" t="s">
        <v>6108</v>
      </c>
    </row>
    <row r="143" spans="1:17">
      <c r="A143" s="211" t="s">
        <v>5389</v>
      </c>
      <c r="B143" s="211" t="s">
        <v>6172</v>
      </c>
      <c r="C143" s="55" t="s">
        <v>5789</v>
      </c>
      <c r="D143" s="213">
        <v>13303</v>
      </c>
      <c r="E143" s="213">
        <v>13541</v>
      </c>
      <c r="F143" s="213">
        <v>13620</v>
      </c>
      <c r="G143" s="213">
        <v>13595</v>
      </c>
      <c r="H143" s="63">
        <v>13451</v>
      </c>
      <c r="I143" s="58">
        <v>12987</v>
      </c>
      <c r="J143" s="58">
        <v>12980</v>
      </c>
      <c r="K143" s="58">
        <v>13600</v>
      </c>
      <c r="L143" s="58">
        <v>13300</v>
      </c>
      <c r="M143" s="58">
        <v>13248</v>
      </c>
      <c r="N143" s="58">
        <v>13445</v>
      </c>
      <c r="O143" s="58">
        <v>13458</v>
      </c>
      <c r="Q143" s="211" t="s">
        <v>6108</v>
      </c>
    </row>
    <row r="144" spans="1:17">
      <c r="A144" s="211" t="s">
        <v>5391</v>
      </c>
      <c r="B144" s="211" t="s">
        <v>6173</v>
      </c>
      <c r="C144" s="55" t="s">
        <v>5790</v>
      </c>
      <c r="D144" s="213">
        <v>12622</v>
      </c>
      <c r="E144" s="213">
        <v>12671</v>
      </c>
      <c r="F144" s="213">
        <v>12872</v>
      </c>
      <c r="G144" s="213">
        <v>12846</v>
      </c>
      <c r="H144" s="63">
        <v>12687</v>
      </c>
      <c r="I144" s="56">
        <v>12190</v>
      </c>
      <c r="J144" s="56">
        <v>12092</v>
      </c>
      <c r="K144" s="56">
        <v>12747</v>
      </c>
      <c r="L144" s="56">
        <v>12676</v>
      </c>
      <c r="M144" s="56">
        <v>12485</v>
      </c>
      <c r="N144" s="56">
        <v>12957</v>
      </c>
      <c r="O144" s="56">
        <v>12960</v>
      </c>
      <c r="Q144" s="211" t="s">
        <v>4569</v>
      </c>
    </row>
    <row r="145" spans="1:17">
      <c r="A145" s="211" t="s">
        <v>5393</v>
      </c>
      <c r="B145" s="211" t="s">
        <v>6174</v>
      </c>
      <c r="C145" s="55" t="s">
        <v>5791</v>
      </c>
      <c r="D145" s="213">
        <v>12877</v>
      </c>
      <c r="E145" s="213">
        <v>13075</v>
      </c>
      <c r="F145" s="213">
        <v>13086</v>
      </c>
      <c r="G145" s="213">
        <v>13181</v>
      </c>
      <c r="H145" s="63">
        <v>13297</v>
      </c>
      <c r="I145" s="56">
        <v>12870</v>
      </c>
      <c r="J145" s="56">
        <v>12663</v>
      </c>
      <c r="K145" s="56">
        <v>13219</v>
      </c>
      <c r="L145" s="56">
        <v>13197</v>
      </c>
      <c r="M145" s="56">
        <v>13157</v>
      </c>
      <c r="N145" s="56">
        <v>13736</v>
      </c>
      <c r="O145" s="56">
        <v>13746</v>
      </c>
      <c r="Q145" s="211" t="s">
        <v>4569</v>
      </c>
    </row>
    <row r="146" spans="1:17">
      <c r="A146" s="211" t="s">
        <v>5394</v>
      </c>
      <c r="B146" s="211" t="s">
        <v>6175</v>
      </c>
      <c r="C146" s="55" t="s">
        <v>5792</v>
      </c>
      <c r="D146" s="213">
        <v>12395</v>
      </c>
      <c r="E146" s="213">
        <v>12521</v>
      </c>
      <c r="F146" s="213">
        <v>12595</v>
      </c>
      <c r="G146" s="213">
        <v>12708</v>
      </c>
      <c r="H146" s="63">
        <v>12741</v>
      </c>
      <c r="I146" s="56">
        <v>12361</v>
      </c>
      <c r="J146" s="56">
        <v>12155</v>
      </c>
      <c r="K146" s="56">
        <v>12618</v>
      </c>
      <c r="L146" s="56">
        <v>12453</v>
      </c>
      <c r="M146" s="56">
        <v>12373</v>
      </c>
      <c r="N146" s="56">
        <v>12805</v>
      </c>
      <c r="O146" s="56">
        <v>12784</v>
      </c>
      <c r="Q146" s="211" t="s">
        <v>4569</v>
      </c>
    </row>
    <row r="147" spans="1:17">
      <c r="A147" s="211" t="s">
        <v>5416</v>
      </c>
      <c r="B147" s="211" t="s">
        <v>6176</v>
      </c>
      <c r="C147" s="55" t="s">
        <v>5793</v>
      </c>
      <c r="D147" s="213">
        <v>12579</v>
      </c>
      <c r="E147" s="213">
        <v>12846</v>
      </c>
      <c r="F147" s="213">
        <v>12984</v>
      </c>
      <c r="G147" s="213">
        <v>13006</v>
      </c>
      <c r="H147" s="63">
        <v>13118</v>
      </c>
      <c r="I147" s="56">
        <v>12924</v>
      </c>
      <c r="J147" s="56">
        <v>12719</v>
      </c>
      <c r="K147" s="56">
        <v>13132</v>
      </c>
      <c r="L147" s="56">
        <v>12828</v>
      </c>
      <c r="M147" s="56">
        <v>12761</v>
      </c>
      <c r="N147" s="56">
        <v>13303</v>
      </c>
      <c r="O147" s="56">
        <v>13326</v>
      </c>
      <c r="Q147" s="211" t="s">
        <v>4569</v>
      </c>
    </row>
    <row r="148" spans="1:17">
      <c r="A148" s="211" t="s">
        <v>5418</v>
      </c>
      <c r="B148" s="211" t="s">
        <v>6177</v>
      </c>
      <c r="C148" s="55" t="s">
        <v>9283</v>
      </c>
      <c r="D148" s="213">
        <v>13024</v>
      </c>
      <c r="E148" s="213">
        <v>13256</v>
      </c>
      <c r="F148" s="213">
        <v>13440</v>
      </c>
      <c r="G148" s="213">
        <v>13494</v>
      </c>
      <c r="H148" s="63">
        <v>13588</v>
      </c>
      <c r="I148" s="56">
        <v>13190</v>
      </c>
      <c r="J148" s="56">
        <v>13093</v>
      </c>
      <c r="K148" s="56">
        <v>13530</v>
      </c>
      <c r="L148" s="56">
        <v>13385</v>
      </c>
      <c r="M148" s="56">
        <v>13353</v>
      </c>
      <c r="N148" s="56">
        <v>13863</v>
      </c>
      <c r="O148" s="56">
        <v>13841</v>
      </c>
      <c r="Q148" s="211" t="s">
        <v>4577</v>
      </c>
    </row>
    <row r="149" spans="1:17">
      <c r="A149" s="211" t="s">
        <v>5420</v>
      </c>
      <c r="B149" s="211" t="s">
        <v>6178</v>
      </c>
      <c r="C149" s="55" t="s">
        <v>9284</v>
      </c>
      <c r="D149" s="213">
        <v>12869</v>
      </c>
      <c r="E149" s="213">
        <v>13017</v>
      </c>
      <c r="F149" s="213">
        <v>13137</v>
      </c>
      <c r="G149" s="213">
        <v>13249</v>
      </c>
      <c r="H149" s="63">
        <v>13173</v>
      </c>
      <c r="I149" s="56">
        <v>12651</v>
      </c>
      <c r="J149" s="56">
        <v>12481</v>
      </c>
      <c r="K149" s="56">
        <v>12919</v>
      </c>
      <c r="L149" s="56">
        <v>12701</v>
      </c>
      <c r="M149" s="56">
        <v>12560</v>
      </c>
      <c r="N149" s="56">
        <v>13130</v>
      </c>
      <c r="O149" s="56">
        <v>13147</v>
      </c>
      <c r="Q149" s="211" t="s">
        <v>4577</v>
      </c>
    </row>
    <row r="150" spans="1:17">
      <c r="A150" s="211" t="s">
        <v>5422</v>
      </c>
      <c r="B150" s="211" t="s">
        <v>3429</v>
      </c>
      <c r="C150" s="55" t="s">
        <v>5794</v>
      </c>
      <c r="D150" s="213">
        <v>12744</v>
      </c>
      <c r="E150" s="213">
        <v>12650</v>
      </c>
      <c r="F150" s="213">
        <v>12776</v>
      </c>
      <c r="G150" s="213">
        <v>12813</v>
      </c>
      <c r="H150" s="63">
        <v>12716</v>
      </c>
      <c r="I150" s="58">
        <v>12110</v>
      </c>
      <c r="J150" s="58">
        <v>12034</v>
      </c>
      <c r="K150" s="58">
        <v>12508</v>
      </c>
      <c r="L150" s="58">
        <v>12345</v>
      </c>
      <c r="M150" s="58">
        <v>12181</v>
      </c>
      <c r="N150" s="58">
        <v>12496</v>
      </c>
      <c r="O150" s="58">
        <v>12494</v>
      </c>
      <c r="Q150" s="211" t="s">
        <v>6108</v>
      </c>
    </row>
    <row r="151" spans="1:17">
      <c r="A151" s="211" t="s">
        <v>5424</v>
      </c>
      <c r="B151" s="211" t="s">
        <v>6179</v>
      </c>
      <c r="C151" s="55" t="s">
        <v>5795</v>
      </c>
      <c r="D151" s="213">
        <v>12506</v>
      </c>
      <c r="E151" s="213">
        <v>12692</v>
      </c>
      <c r="F151" s="213">
        <v>12814</v>
      </c>
      <c r="G151" s="213">
        <v>12864</v>
      </c>
      <c r="H151" s="63">
        <v>12846</v>
      </c>
      <c r="I151" s="56">
        <v>12594</v>
      </c>
      <c r="J151" s="56">
        <v>12647</v>
      </c>
      <c r="K151" s="56">
        <v>13127</v>
      </c>
      <c r="L151" s="56">
        <v>12936</v>
      </c>
      <c r="M151" s="56">
        <v>12856</v>
      </c>
      <c r="N151" s="56">
        <v>13293</v>
      </c>
      <c r="O151" s="56">
        <v>13267</v>
      </c>
      <c r="Q151" s="211" t="s">
        <v>4578</v>
      </c>
    </row>
    <row r="152" spans="1:17">
      <c r="A152" s="211" t="s">
        <v>5426</v>
      </c>
      <c r="B152" s="211" t="s">
        <v>6180</v>
      </c>
      <c r="C152" s="55" t="s">
        <v>5796</v>
      </c>
      <c r="D152" s="218">
        <v>13280</v>
      </c>
      <c r="E152" s="218">
        <v>13439</v>
      </c>
      <c r="F152" s="218">
        <v>13446</v>
      </c>
      <c r="G152" s="218">
        <v>13567</v>
      </c>
      <c r="H152" s="63">
        <v>13505</v>
      </c>
      <c r="I152" s="56">
        <v>12984</v>
      </c>
      <c r="J152" s="56">
        <v>12811</v>
      </c>
      <c r="K152" s="56">
        <v>13352</v>
      </c>
      <c r="L152" s="56">
        <v>13410</v>
      </c>
      <c r="M152" s="56">
        <v>13272</v>
      </c>
      <c r="N152" s="56">
        <v>13792</v>
      </c>
      <c r="O152" s="56">
        <v>13814</v>
      </c>
      <c r="Q152" s="211" t="s">
        <v>4578</v>
      </c>
    </row>
    <row r="153" spans="1:17">
      <c r="A153" s="211" t="s">
        <v>5428</v>
      </c>
      <c r="B153" s="211" t="s">
        <v>6181</v>
      </c>
      <c r="C153" s="55" t="s">
        <v>5797</v>
      </c>
      <c r="D153" s="213">
        <v>12657</v>
      </c>
      <c r="E153" s="213">
        <v>12864</v>
      </c>
      <c r="F153" s="213">
        <v>13037</v>
      </c>
      <c r="G153" s="213">
        <v>13133</v>
      </c>
      <c r="H153" s="63">
        <v>13024</v>
      </c>
      <c r="I153" s="58">
        <v>12799</v>
      </c>
      <c r="J153" s="58">
        <v>12662</v>
      </c>
      <c r="K153" s="58">
        <v>13088</v>
      </c>
      <c r="L153" s="58">
        <v>12940</v>
      </c>
      <c r="M153" s="58">
        <v>12925</v>
      </c>
      <c r="N153" s="58">
        <v>13275</v>
      </c>
      <c r="O153" s="58">
        <v>13289</v>
      </c>
      <c r="Q153" s="211" t="s">
        <v>4578</v>
      </c>
    </row>
    <row r="154" spans="1:17">
      <c r="A154" s="211" t="s">
        <v>5429</v>
      </c>
      <c r="B154" s="211" t="s">
        <v>6182</v>
      </c>
      <c r="C154" s="55" t="s">
        <v>5798</v>
      </c>
      <c r="D154" s="218">
        <v>12491</v>
      </c>
      <c r="E154" s="218">
        <v>12720</v>
      </c>
      <c r="F154" s="218">
        <v>12902</v>
      </c>
      <c r="G154" s="218">
        <v>13075</v>
      </c>
      <c r="H154" s="63">
        <v>13083</v>
      </c>
      <c r="I154" s="58">
        <v>12498</v>
      </c>
      <c r="J154" s="58">
        <v>12347</v>
      </c>
      <c r="K154" s="58">
        <v>12979</v>
      </c>
      <c r="L154" s="58">
        <v>12745</v>
      </c>
      <c r="M154" s="58">
        <v>12814</v>
      </c>
      <c r="N154" s="58">
        <v>13463</v>
      </c>
      <c r="O154" s="58">
        <v>13542</v>
      </c>
      <c r="Q154" s="211" t="s">
        <v>4578</v>
      </c>
    </row>
    <row r="155" spans="1:17">
      <c r="A155" s="211" t="s">
        <v>5431</v>
      </c>
      <c r="B155" s="211" t="s">
        <v>6183</v>
      </c>
      <c r="C155" s="55" t="s">
        <v>5799</v>
      </c>
      <c r="D155" s="213">
        <v>13421</v>
      </c>
      <c r="E155" s="213">
        <v>13548</v>
      </c>
      <c r="F155" s="213">
        <v>13649</v>
      </c>
      <c r="G155" s="213">
        <v>13664</v>
      </c>
      <c r="H155" s="63">
        <v>13608</v>
      </c>
      <c r="I155" s="56">
        <v>13177</v>
      </c>
      <c r="J155" s="56">
        <v>13141</v>
      </c>
      <c r="K155" s="56">
        <v>13673</v>
      </c>
      <c r="L155" s="56">
        <v>13464</v>
      </c>
      <c r="M155" s="56">
        <v>13325</v>
      </c>
      <c r="N155" s="56">
        <v>13777</v>
      </c>
      <c r="O155" s="56">
        <v>13789</v>
      </c>
      <c r="Q155" s="211" t="s">
        <v>4577</v>
      </c>
    </row>
    <row r="156" spans="1:17">
      <c r="A156" s="211" t="s">
        <v>5433</v>
      </c>
      <c r="B156" s="211" t="s">
        <v>6184</v>
      </c>
      <c r="C156" s="55" t="s">
        <v>5800</v>
      </c>
      <c r="D156" s="218">
        <v>13268</v>
      </c>
      <c r="E156" s="218">
        <v>13487</v>
      </c>
      <c r="F156" s="218">
        <v>13699</v>
      </c>
      <c r="G156" s="218">
        <v>13686</v>
      </c>
      <c r="H156" s="63">
        <v>13467</v>
      </c>
      <c r="I156" s="58">
        <v>12616</v>
      </c>
      <c r="J156" s="58">
        <v>12595</v>
      </c>
      <c r="K156" s="58">
        <v>13239</v>
      </c>
      <c r="L156" s="58">
        <v>12990</v>
      </c>
      <c r="M156" s="58">
        <v>12824</v>
      </c>
      <c r="N156" s="58">
        <v>13684</v>
      </c>
      <c r="O156" s="58">
        <v>13735</v>
      </c>
      <c r="Q156" s="211" t="s">
        <v>6108</v>
      </c>
    </row>
    <row r="157" spans="1:17">
      <c r="A157" s="211" t="s">
        <v>5435</v>
      </c>
      <c r="B157" s="211" t="s">
        <v>6185</v>
      </c>
      <c r="C157" s="55" t="s">
        <v>5801</v>
      </c>
      <c r="D157" s="213">
        <v>12509</v>
      </c>
      <c r="E157" s="213">
        <v>12653</v>
      </c>
      <c r="F157" s="213">
        <v>12888</v>
      </c>
      <c r="G157" s="213">
        <v>12957</v>
      </c>
      <c r="H157" s="63">
        <v>13019</v>
      </c>
      <c r="I157" s="56">
        <v>12873</v>
      </c>
      <c r="J157" s="56">
        <v>12803</v>
      </c>
      <c r="K157" s="56">
        <v>13314</v>
      </c>
      <c r="L157" s="56">
        <v>13143</v>
      </c>
      <c r="M157" s="56">
        <v>13021</v>
      </c>
      <c r="N157" s="56">
        <v>13292</v>
      </c>
      <c r="O157" s="56">
        <v>13317</v>
      </c>
      <c r="Q157" s="211" t="s">
        <v>4569</v>
      </c>
    </row>
    <row r="158" spans="1:17">
      <c r="A158" s="211" t="s">
        <v>5436</v>
      </c>
      <c r="B158" s="211" t="s">
        <v>4728</v>
      </c>
      <c r="C158" s="55" t="s">
        <v>9285</v>
      </c>
      <c r="D158" s="213">
        <v>12869</v>
      </c>
      <c r="E158" s="213">
        <v>12694</v>
      </c>
      <c r="F158" s="213">
        <v>12781</v>
      </c>
      <c r="G158" s="213">
        <v>12836</v>
      </c>
      <c r="H158" s="63">
        <v>12860</v>
      </c>
      <c r="I158" s="56">
        <v>12603</v>
      </c>
      <c r="J158" s="56">
        <v>12677</v>
      </c>
      <c r="K158" s="56">
        <v>13035</v>
      </c>
      <c r="L158" s="56">
        <v>12978</v>
      </c>
      <c r="M158" s="56">
        <v>12904</v>
      </c>
      <c r="N158" s="56">
        <v>13345</v>
      </c>
      <c r="O158" s="56">
        <v>13325</v>
      </c>
      <c r="Q158" s="211" t="s">
        <v>4577</v>
      </c>
    </row>
    <row r="159" spans="1:17">
      <c r="A159" s="211" t="s">
        <v>5437</v>
      </c>
      <c r="B159" s="211" t="s">
        <v>4729</v>
      </c>
      <c r="C159" s="55" t="s">
        <v>5802</v>
      </c>
      <c r="D159" s="213">
        <v>14064</v>
      </c>
      <c r="E159" s="213">
        <v>14358</v>
      </c>
      <c r="F159" s="213">
        <v>14504</v>
      </c>
      <c r="G159" s="213">
        <v>14553</v>
      </c>
      <c r="H159" s="63">
        <v>14584</v>
      </c>
      <c r="I159" s="56">
        <v>14296</v>
      </c>
      <c r="J159" s="56">
        <v>14345</v>
      </c>
      <c r="K159" s="56">
        <v>14822</v>
      </c>
      <c r="L159" s="56">
        <v>14784</v>
      </c>
      <c r="M159" s="56">
        <v>14637</v>
      </c>
      <c r="N159" s="56">
        <v>15233</v>
      </c>
      <c r="O159" s="56">
        <v>15238</v>
      </c>
      <c r="Q159" s="211" t="s">
        <v>4577</v>
      </c>
    </row>
    <row r="160" spans="1:17">
      <c r="A160" s="211" t="s">
        <v>5439</v>
      </c>
      <c r="B160" s="211" t="s">
        <v>4730</v>
      </c>
      <c r="C160" s="55" t="s">
        <v>9286</v>
      </c>
      <c r="D160" s="213">
        <v>0</v>
      </c>
      <c r="E160" s="213">
        <v>0</v>
      </c>
      <c r="F160" s="213">
        <v>0</v>
      </c>
      <c r="G160" s="213">
        <v>0</v>
      </c>
      <c r="H160" s="63">
        <v>71</v>
      </c>
      <c r="I160" s="56">
        <v>70</v>
      </c>
      <c r="J160" s="56">
        <v>67</v>
      </c>
      <c r="K160" s="56">
        <v>68</v>
      </c>
      <c r="L160" s="56">
        <v>71</v>
      </c>
      <c r="M160" s="56">
        <v>70</v>
      </c>
      <c r="N160" s="56">
        <v>67</v>
      </c>
      <c r="O160" s="56">
        <v>66</v>
      </c>
      <c r="Q160" s="211" t="s">
        <v>4577</v>
      </c>
    </row>
    <row r="161" spans="1:17">
      <c r="A161" s="211"/>
      <c r="B161" s="211"/>
      <c r="C161" s="55" t="s">
        <v>9286</v>
      </c>
      <c r="D161" s="213">
        <v>12760</v>
      </c>
      <c r="E161" s="213">
        <v>12861</v>
      </c>
      <c r="F161" s="213">
        <v>13026</v>
      </c>
      <c r="G161" s="213">
        <v>13072</v>
      </c>
      <c r="H161" s="63">
        <v>13007</v>
      </c>
      <c r="I161" s="58">
        <v>11623</v>
      </c>
      <c r="J161" s="58">
        <v>11614</v>
      </c>
      <c r="K161" s="58">
        <v>11924</v>
      </c>
      <c r="L161" s="58">
        <v>11846</v>
      </c>
      <c r="M161" s="58">
        <v>11734</v>
      </c>
      <c r="N161" s="58">
        <v>12457</v>
      </c>
      <c r="O161" s="58">
        <v>12463</v>
      </c>
      <c r="Q161" s="211" t="s">
        <v>4578</v>
      </c>
    </row>
    <row r="162" spans="1:17" ht="15.75" thickBot="1">
      <c r="A162" s="211"/>
      <c r="B162" s="211"/>
      <c r="C162" s="55" t="s">
        <v>9286</v>
      </c>
      <c r="D162" s="216">
        <v>0</v>
      </c>
      <c r="E162" s="216">
        <v>0</v>
      </c>
      <c r="F162" s="216">
        <v>0</v>
      </c>
      <c r="G162" s="216">
        <v>0</v>
      </c>
      <c r="H162" s="63">
        <v>33</v>
      </c>
      <c r="I162" s="58">
        <v>30</v>
      </c>
      <c r="J162" s="58">
        <v>35</v>
      </c>
      <c r="K162" s="58">
        <v>37</v>
      </c>
      <c r="L162" s="58">
        <v>36</v>
      </c>
      <c r="M162" s="58">
        <v>37</v>
      </c>
      <c r="N162" s="58">
        <v>29</v>
      </c>
      <c r="O162" s="58">
        <v>30</v>
      </c>
      <c r="Q162" s="211" t="s">
        <v>6108</v>
      </c>
    </row>
    <row r="163" spans="1:17" ht="15.75" thickBot="1">
      <c r="A163" s="211"/>
      <c r="B163" s="211"/>
      <c r="C163" s="55" t="s">
        <v>9286</v>
      </c>
      <c r="D163" s="217">
        <f>SUM(D160:D162)</f>
        <v>12760</v>
      </c>
      <c r="E163" s="217">
        <f t="shared" ref="E163:L163" si="88">SUM(E160:E162)</f>
        <v>12861</v>
      </c>
      <c r="F163" s="217">
        <f t="shared" si="88"/>
        <v>13026</v>
      </c>
      <c r="G163" s="217">
        <f t="shared" si="88"/>
        <v>13072</v>
      </c>
      <c r="H163" s="217">
        <f t="shared" si="88"/>
        <v>13111</v>
      </c>
      <c r="I163" s="217">
        <f t="shared" si="88"/>
        <v>11723</v>
      </c>
      <c r="J163" s="217">
        <f t="shared" si="88"/>
        <v>11716</v>
      </c>
      <c r="K163" s="217">
        <f t="shared" si="88"/>
        <v>12029</v>
      </c>
      <c r="L163" s="217">
        <f t="shared" si="88"/>
        <v>11953</v>
      </c>
      <c r="M163" s="217">
        <f>SUM(M160:M162)</f>
        <v>11841</v>
      </c>
      <c r="N163" s="217">
        <f>SUM(N160:N162)</f>
        <v>12553</v>
      </c>
      <c r="O163" s="217">
        <f>SUM(O160:O162)</f>
        <v>12559</v>
      </c>
      <c r="Q163" s="211"/>
    </row>
    <row r="164" spans="1:17">
      <c r="A164" s="211" t="s">
        <v>5441</v>
      </c>
      <c r="B164" s="211" t="s">
        <v>4758</v>
      </c>
      <c r="C164" s="55" t="s">
        <v>5803</v>
      </c>
      <c r="D164" s="213">
        <v>13678</v>
      </c>
      <c r="E164" s="213">
        <v>13918</v>
      </c>
      <c r="F164" s="213">
        <v>14103</v>
      </c>
      <c r="G164" s="213">
        <v>14165</v>
      </c>
      <c r="H164" s="63">
        <v>14300</v>
      </c>
      <c r="I164" s="56">
        <v>13957</v>
      </c>
      <c r="J164" s="56">
        <v>14175</v>
      </c>
      <c r="K164" s="56">
        <v>14618</v>
      </c>
      <c r="L164" s="56">
        <v>14614</v>
      </c>
      <c r="M164" s="56">
        <v>14768</v>
      </c>
      <c r="N164" s="56">
        <v>15329</v>
      </c>
      <c r="O164" s="56">
        <v>15325</v>
      </c>
      <c r="Q164" s="211" t="s">
        <v>4577</v>
      </c>
    </row>
    <row r="165" spans="1:17">
      <c r="A165" s="211" t="s">
        <v>5886</v>
      </c>
      <c r="B165" s="211" t="s">
        <v>4759</v>
      </c>
      <c r="C165" s="55" t="s">
        <v>5804</v>
      </c>
      <c r="D165" s="213">
        <v>13637</v>
      </c>
      <c r="E165" s="213">
        <v>13706</v>
      </c>
      <c r="F165" s="213">
        <v>13800</v>
      </c>
      <c r="G165" s="213">
        <v>13878</v>
      </c>
      <c r="H165" s="63">
        <v>13891</v>
      </c>
      <c r="I165" s="56">
        <v>13476</v>
      </c>
      <c r="J165" s="56">
        <v>13529</v>
      </c>
      <c r="K165" s="56">
        <v>13949</v>
      </c>
      <c r="L165" s="56">
        <v>13716</v>
      </c>
      <c r="M165" s="56">
        <v>13619</v>
      </c>
      <c r="N165" s="56">
        <v>14017</v>
      </c>
      <c r="O165" s="56">
        <v>14029</v>
      </c>
      <c r="Q165" s="211" t="s">
        <v>4569</v>
      </c>
    </row>
    <row r="166" spans="1:17">
      <c r="A166" s="211" t="s">
        <v>5888</v>
      </c>
      <c r="B166" s="211" t="s">
        <v>4760</v>
      </c>
      <c r="C166" s="55" t="s">
        <v>5805</v>
      </c>
      <c r="D166" s="213">
        <v>14916</v>
      </c>
      <c r="E166" s="213">
        <v>15058</v>
      </c>
      <c r="F166" s="213">
        <v>15119</v>
      </c>
      <c r="G166" s="213">
        <v>15288</v>
      </c>
      <c r="H166" s="63">
        <v>15355</v>
      </c>
      <c r="I166" s="58">
        <v>15027</v>
      </c>
      <c r="J166" s="58">
        <v>14984</v>
      </c>
      <c r="K166" s="58">
        <v>15548</v>
      </c>
      <c r="L166" s="58">
        <v>15342</v>
      </c>
      <c r="M166" s="58">
        <v>15212</v>
      </c>
      <c r="N166" s="58">
        <v>15632</v>
      </c>
      <c r="O166" s="58">
        <v>15628</v>
      </c>
      <c r="Q166" s="211" t="s">
        <v>4578</v>
      </c>
    </row>
    <row r="167" spans="1:17">
      <c r="A167" s="211" t="s">
        <v>5889</v>
      </c>
      <c r="B167" s="211" t="s">
        <v>4761</v>
      </c>
      <c r="C167" s="55" t="s">
        <v>5806</v>
      </c>
      <c r="D167" s="213">
        <v>13501</v>
      </c>
      <c r="E167" s="213">
        <v>13515</v>
      </c>
      <c r="F167" s="213">
        <v>13607</v>
      </c>
      <c r="G167" s="213">
        <v>13468</v>
      </c>
      <c r="H167" s="63">
        <v>13294</v>
      </c>
      <c r="I167" s="58">
        <v>11216</v>
      </c>
      <c r="J167" s="58">
        <v>11393</v>
      </c>
      <c r="K167" s="58">
        <v>11990</v>
      </c>
      <c r="L167" s="58">
        <v>11669</v>
      </c>
      <c r="M167" s="58">
        <v>11479</v>
      </c>
      <c r="N167" s="58">
        <v>12681</v>
      </c>
      <c r="O167" s="58">
        <v>12718</v>
      </c>
      <c r="Q167" s="211" t="s">
        <v>6108</v>
      </c>
    </row>
    <row r="168" spans="1:17">
      <c r="D168" s="214"/>
      <c r="E168" s="214"/>
      <c r="F168" s="214"/>
      <c r="G168" s="214"/>
      <c r="H168" s="214"/>
      <c r="I168" s="214"/>
      <c r="J168" s="214"/>
      <c r="K168" s="214"/>
      <c r="L168" s="214"/>
      <c r="M168" s="214"/>
      <c r="N168" s="214"/>
      <c r="O168" s="214"/>
    </row>
    <row r="169" spans="1:17">
      <c r="A169" s="211" t="s">
        <v>4569</v>
      </c>
      <c r="D169" s="213">
        <f t="shared" ref="D169:I169" si="89">SUM(D144:D147)+D157+D165</f>
        <v>76619</v>
      </c>
      <c r="E169" s="213">
        <f t="shared" si="89"/>
        <v>77472</v>
      </c>
      <c r="F169" s="213">
        <f t="shared" si="89"/>
        <v>78225</v>
      </c>
      <c r="G169" s="213">
        <f t="shared" si="89"/>
        <v>78576</v>
      </c>
      <c r="H169" s="213">
        <f t="shared" si="89"/>
        <v>78753</v>
      </c>
      <c r="I169" s="213">
        <f t="shared" si="89"/>
        <v>76694</v>
      </c>
      <c r="J169" s="213">
        <f t="shared" ref="J169:O169" si="90">SUM(J144:J147)+J157+J165</f>
        <v>75961</v>
      </c>
      <c r="K169" s="213">
        <f t="shared" si="90"/>
        <v>78979</v>
      </c>
      <c r="L169" s="213">
        <f t="shared" si="90"/>
        <v>78013</v>
      </c>
      <c r="M169" s="213">
        <f t="shared" si="90"/>
        <v>77416</v>
      </c>
      <c r="N169" s="213">
        <f t="shared" si="90"/>
        <v>80110</v>
      </c>
      <c r="O169" s="213">
        <f t="shared" si="90"/>
        <v>80162</v>
      </c>
    </row>
    <row r="170" spans="1:17">
      <c r="A170" s="211" t="s">
        <v>4577</v>
      </c>
      <c r="D170" s="213">
        <f t="shared" ref="D170:O170" si="91">D148+D149+D155+SUM(D158:D160)+D164</f>
        <v>79925</v>
      </c>
      <c r="E170" s="213">
        <f t="shared" si="91"/>
        <v>80791</v>
      </c>
      <c r="F170" s="213">
        <f t="shared" si="91"/>
        <v>81614</v>
      </c>
      <c r="G170" s="213">
        <f t="shared" si="91"/>
        <v>81961</v>
      </c>
      <c r="H170" s="213">
        <f t="shared" si="91"/>
        <v>82184</v>
      </c>
      <c r="I170" s="213">
        <f t="shared" si="91"/>
        <v>79944</v>
      </c>
      <c r="J170" s="213">
        <f t="shared" si="91"/>
        <v>79979</v>
      </c>
      <c r="K170" s="213">
        <f t="shared" si="91"/>
        <v>82665</v>
      </c>
      <c r="L170" s="213">
        <f t="shared" si="91"/>
        <v>81997</v>
      </c>
      <c r="M170" s="213">
        <f t="shared" si="91"/>
        <v>81617</v>
      </c>
      <c r="N170" s="213">
        <f t="shared" si="91"/>
        <v>84744</v>
      </c>
      <c r="O170" s="213">
        <f t="shared" si="91"/>
        <v>84731</v>
      </c>
    </row>
    <row r="171" spans="1:17">
      <c r="A171" s="211" t="s">
        <v>4578</v>
      </c>
      <c r="D171" s="213">
        <f t="shared" ref="D171:O171" si="92">SUM(D151:D154)+D161+D166</f>
        <v>78610</v>
      </c>
      <c r="E171" s="213">
        <f t="shared" si="92"/>
        <v>79634</v>
      </c>
      <c r="F171" s="213">
        <f t="shared" si="92"/>
        <v>80344</v>
      </c>
      <c r="G171" s="213">
        <f t="shared" si="92"/>
        <v>80999</v>
      </c>
      <c r="H171" s="213">
        <f t="shared" si="92"/>
        <v>80820</v>
      </c>
      <c r="I171" s="213">
        <f t="shared" si="92"/>
        <v>77525</v>
      </c>
      <c r="J171" s="213">
        <f t="shared" si="92"/>
        <v>77065</v>
      </c>
      <c r="K171" s="213">
        <f t="shared" si="92"/>
        <v>80018</v>
      </c>
      <c r="L171" s="213">
        <f t="shared" si="92"/>
        <v>79219</v>
      </c>
      <c r="M171" s="213">
        <f t="shared" si="92"/>
        <v>78813</v>
      </c>
      <c r="N171" s="213">
        <f t="shared" si="92"/>
        <v>81912</v>
      </c>
      <c r="O171" s="213">
        <f t="shared" si="92"/>
        <v>82003</v>
      </c>
    </row>
    <row r="172" spans="1:17">
      <c r="A172" s="211" t="s">
        <v>6108</v>
      </c>
      <c r="D172" s="213">
        <f t="shared" ref="D172:O172" si="93">D142+D143+D150+D156++D162+D167</f>
        <v>66206</v>
      </c>
      <c r="E172" s="213">
        <f t="shared" si="93"/>
        <v>66681</v>
      </c>
      <c r="F172" s="213">
        <f t="shared" si="93"/>
        <v>67443</v>
      </c>
      <c r="G172" s="213">
        <f t="shared" si="93"/>
        <v>67360</v>
      </c>
      <c r="H172" s="213">
        <f t="shared" si="93"/>
        <v>66800</v>
      </c>
      <c r="I172" s="213">
        <f t="shared" si="93"/>
        <v>62318</v>
      </c>
      <c r="J172" s="213">
        <f t="shared" si="93"/>
        <v>62400</v>
      </c>
      <c r="K172" s="213">
        <f t="shared" si="93"/>
        <v>65045</v>
      </c>
      <c r="L172" s="213">
        <f t="shared" si="93"/>
        <v>63751</v>
      </c>
      <c r="M172" s="213">
        <f t="shared" si="93"/>
        <v>63007</v>
      </c>
      <c r="N172" s="213">
        <f t="shared" si="93"/>
        <v>65917</v>
      </c>
      <c r="O172" s="213">
        <f t="shared" si="93"/>
        <v>66012</v>
      </c>
    </row>
    <row r="173" spans="1:17">
      <c r="A173" s="211"/>
      <c r="D173" s="213"/>
      <c r="E173" s="213"/>
      <c r="F173" s="213"/>
      <c r="G173" s="213"/>
      <c r="H173" s="213"/>
      <c r="I173" s="213"/>
      <c r="J173" s="213"/>
      <c r="K173" s="213"/>
      <c r="L173" s="213"/>
    </row>
    <row r="174" spans="1:17">
      <c r="A174" s="211" t="s">
        <v>9280</v>
      </c>
      <c r="D174" s="213"/>
      <c r="E174" s="213"/>
      <c r="F174" s="213"/>
      <c r="G174" s="213"/>
      <c r="H174" s="213"/>
      <c r="I174" s="213"/>
      <c r="J174" s="213"/>
      <c r="K174" s="213"/>
      <c r="L174" s="213"/>
    </row>
    <row r="175" spans="1:17">
      <c r="A175" s="211" t="s">
        <v>9281</v>
      </c>
      <c r="B175" s="211"/>
      <c r="D175" s="224"/>
      <c r="E175" s="224"/>
      <c r="F175" s="224"/>
      <c r="G175" s="224"/>
      <c r="H175" s="224"/>
      <c r="I175" s="224"/>
      <c r="J175" s="224"/>
      <c r="K175" s="224"/>
      <c r="L175" s="224"/>
    </row>
    <row r="176" spans="1:17">
      <c r="A176" s="211"/>
      <c r="B176" s="211"/>
      <c r="D176" s="224"/>
      <c r="E176" s="224"/>
      <c r="F176" s="224"/>
      <c r="G176" s="224"/>
      <c r="H176" s="224"/>
      <c r="I176" s="224"/>
      <c r="J176" s="224"/>
      <c r="K176" s="224"/>
      <c r="L176" s="224"/>
    </row>
    <row r="177" spans="1:17">
      <c r="A177" s="211"/>
      <c r="B177" s="211"/>
      <c r="D177" s="224"/>
      <c r="E177" s="224"/>
      <c r="F177" s="224"/>
      <c r="G177" s="224"/>
      <c r="H177" s="224"/>
      <c r="I177" s="224"/>
      <c r="J177" s="224"/>
      <c r="K177" s="224"/>
      <c r="L177" s="224"/>
    </row>
    <row r="178" spans="1:17">
      <c r="E178" s="51" t="s">
        <v>1526</v>
      </c>
      <c r="F178" s="51"/>
      <c r="G178" s="51"/>
      <c r="H178" s="51"/>
      <c r="I178" s="51"/>
      <c r="J178" s="51"/>
      <c r="K178" s="51"/>
      <c r="L178" s="51"/>
      <c r="M178" s="173"/>
      <c r="N178" s="173"/>
      <c r="O178" s="173"/>
      <c r="P178" s="173"/>
      <c r="Q178" s="173" t="s">
        <v>9479</v>
      </c>
    </row>
    <row r="179" spans="1:17">
      <c r="D179" s="212">
        <v>2010</v>
      </c>
      <c r="E179" s="212">
        <v>2011</v>
      </c>
      <c r="F179" s="212">
        <v>2012</v>
      </c>
      <c r="G179" s="212">
        <v>2013</v>
      </c>
      <c r="H179" s="212">
        <v>2014</v>
      </c>
      <c r="I179" s="212">
        <v>2015</v>
      </c>
      <c r="J179" s="212">
        <v>2016</v>
      </c>
      <c r="K179" s="212">
        <v>2017</v>
      </c>
      <c r="L179" s="212">
        <v>2018</v>
      </c>
      <c r="M179" s="212">
        <v>2019</v>
      </c>
      <c r="N179" s="212">
        <v>2020</v>
      </c>
      <c r="O179" s="926" t="s">
        <v>14823</v>
      </c>
      <c r="Q179" s="206" t="s">
        <v>1527</v>
      </c>
    </row>
    <row r="180" spans="1:17">
      <c r="A180" s="211" t="s">
        <v>6208</v>
      </c>
      <c r="D180" s="213">
        <f t="shared" ref="D180:M180" si="94">SUM(D181:D182,D184:D187,D189:D190,D192:D196,D198:D201,D203:D207,D209:D210,D212:D219,D221:D223,D225:D227,D229:D231,D233:D235,D237:D238,D240)</f>
        <v>541763</v>
      </c>
      <c r="E180" s="213">
        <f t="shared" si="94"/>
        <v>545338</v>
      </c>
      <c r="F180" s="213">
        <f t="shared" si="94"/>
        <v>541754</v>
      </c>
      <c r="G180" s="213">
        <f t="shared" si="94"/>
        <v>548575</v>
      </c>
      <c r="H180" s="213">
        <f t="shared" si="94"/>
        <v>523862</v>
      </c>
      <c r="I180" s="213">
        <f t="shared" si="94"/>
        <v>519957</v>
      </c>
      <c r="J180" s="213">
        <f t="shared" si="94"/>
        <v>515304</v>
      </c>
      <c r="K180" s="213">
        <f t="shared" si="94"/>
        <v>535725</v>
      </c>
      <c r="L180" s="213">
        <f t="shared" si="94"/>
        <v>541976</v>
      </c>
      <c r="M180" s="213">
        <f t="shared" si="94"/>
        <v>533294</v>
      </c>
      <c r="N180" s="213">
        <f>SUM(N181:N182,N184:N187,N189:N190,N192:N196,N198:N201,N203:N207,N209:N210,N212:N219,N221:N223,N225:N227,N229:N231,N233:N235,N237:N238,N240)</f>
        <v>543568</v>
      </c>
      <c r="O180" s="213">
        <f>SUM(O181:O182,O184:O187,O189:O190,O192:O196,O198:O201,O203:O207,O209:O210,O212:O219,O221:O223,O225:O227,O229:O231,O233:O235,O237:O238,O240)</f>
        <v>574579</v>
      </c>
    </row>
    <row r="181" spans="1:17">
      <c r="A181" s="211" t="s">
        <v>5387</v>
      </c>
      <c r="B181" s="55" t="s">
        <v>12361</v>
      </c>
      <c r="C181" s="55" t="s">
        <v>12888</v>
      </c>
      <c r="D181" s="213">
        <v>0</v>
      </c>
      <c r="E181" s="213">
        <v>0</v>
      </c>
      <c r="F181" s="213">
        <v>0</v>
      </c>
      <c r="G181" s="213">
        <v>0</v>
      </c>
      <c r="H181" s="213">
        <v>0</v>
      </c>
      <c r="I181" s="213">
        <v>0</v>
      </c>
      <c r="J181" s="213">
        <v>0</v>
      </c>
      <c r="K181" s="213">
        <v>0</v>
      </c>
      <c r="L181" s="213">
        <v>0</v>
      </c>
      <c r="M181" s="213">
        <v>0</v>
      </c>
      <c r="N181" s="213">
        <v>32</v>
      </c>
      <c r="O181" s="213">
        <v>31</v>
      </c>
      <c r="Q181" s="211" t="s">
        <v>6761</v>
      </c>
    </row>
    <row r="182" spans="1:17" ht="15.75" thickBot="1">
      <c r="B182" s="55"/>
      <c r="C182" s="55" t="s">
        <v>12888</v>
      </c>
      <c r="D182" s="213">
        <v>64822</v>
      </c>
      <c r="E182" s="213">
        <v>65047</v>
      </c>
      <c r="F182" s="213">
        <v>61811</v>
      </c>
      <c r="G182" s="213">
        <v>62907</v>
      </c>
      <c r="H182" s="213">
        <v>58511</v>
      </c>
      <c r="I182" s="213">
        <v>55213</v>
      </c>
      <c r="J182" s="213">
        <v>55650</v>
      </c>
      <c r="K182" s="213">
        <v>58694</v>
      </c>
      <c r="L182" s="213">
        <v>60552</v>
      </c>
      <c r="M182" s="213">
        <v>58553</v>
      </c>
      <c r="N182" s="213">
        <v>15934</v>
      </c>
      <c r="O182" s="213">
        <v>16478</v>
      </c>
      <c r="Q182" s="211" t="s">
        <v>6762</v>
      </c>
    </row>
    <row r="183" spans="1:17" ht="15.75" thickBot="1">
      <c r="B183" s="55"/>
      <c r="C183" s="55" t="s">
        <v>12888</v>
      </c>
      <c r="D183" s="217">
        <f t="shared" ref="D183:O183" si="95">SUM(D181:D182)</f>
        <v>64822</v>
      </c>
      <c r="E183" s="217">
        <f t="shared" si="95"/>
        <v>65047</v>
      </c>
      <c r="F183" s="217">
        <f t="shared" si="95"/>
        <v>61811</v>
      </c>
      <c r="G183" s="217">
        <f t="shared" si="95"/>
        <v>62907</v>
      </c>
      <c r="H183" s="217">
        <f t="shared" si="95"/>
        <v>58511</v>
      </c>
      <c r="I183" s="217">
        <f t="shared" si="95"/>
        <v>55213</v>
      </c>
      <c r="J183" s="217">
        <f t="shared" si="95"/>
        <v>55650</v>
      </c>
      <c r="K183" s="217">
        <f t="shared" si="95"/>
        <v>58694</v>
      </c>
      <c r="L183" s="217">
        <f t="shared" si="95"/>
        <v>60552</v>
      </c>
      <c r="M183" s="217">
        <f t="shared" si="95"/>
        <v>58553</v>
      </c>
      <c r="N183" s="217">
        <f t="shared" si="95"/>
        <v>15966</v>
      </c>
      <c r="O183" s="217">
        <f t="shared" si="95"/>
        <v>16509</v>
      </c>
      <c r="Q183" s="211"/>
    </row>
    <row r="184" spans="1:17">
      <c r="A184" s="211" t="s">
        <v>5389</v>
      </c>
      <c r="B184" s="55" t="s">
        <v>6209</v>
      </c>
      <c r="C184" s="55" t="s">
        <v>12889</v>
      </c>
      <c r="D184" s="213">
        <v>67489</v>
      </c>
      <c r="E184" s="213">
        <v>68269</v>
      </c>
      <c r="F184" s="213">
        <v>68541</v>
      </c>
      <c r="G184" s="213">
        <v>69037</v>
      </c>
      <c r="H184" s="213">
        <v>66396</v>
      </c>
      <c r="I184" s="213">
        <v>67091</v>
      </c>
      <c r="J184" s="213">
        <v>65935</v>
      </c>
      <c r="K184" s="213">
        <v>67746</v>
      </c>
      <c r="L184" s="213">
        <v>67590</v>
      </c>
      <c r="M184" s="213">
        <v>67264</v>
      </c>
      <c r="N184" s="213">
        <v>17047</v>
      </c>
      <c r="O184" s="213">
        <v>17544</v>
      </c>
      <c r="Q184" s="211" t="s">
        <v>6761</v>
      </c>
    </row>
    <row r="185" spans="1:17">
      <c r="A185" s="211" t="s">
        <v>5391</v>
      </c>
      <c r="B185" s="55" t="s">
        <v>12362</v>
      </c>
      <c r="C185" s="55" t="s">
        <v>12378</v>
      </c>
      <c r="D185" s="213">
        <v>0</v>
      </c>
      <c r="E185" s="213">
        <v>0</v>
      </c>
      <c r="F185" s="213">
        <v>0</v>
      </c>
      <c r="G185" s="213">
        <v>0</v>
      </c>
      <c r="H185" s="213">
        <v>0</v>
      </c>
      <c r="I185" s="213">
        <v>0</v>
      </c>
      <c r="J185" s="213">
        <v>0</v>
      </c>
      <c r="K185" s="213">
        <v>0</v>
      </c>
      <c r="L185" s="213">
        <v>0</v>
      </c>
      <c r="M185" s="213">
        <v>0</v>
      </c>
      <c r="N185" s="213">
        <v>0</v>
      </c>
      <c r="O185" s="213">
        <v>0</v>
      </c>
      <c r="Q185" s="211" t="s">
        <v>4579</v>
      </c>
    </row>
    <row r="186" spans="1:17">
      <c r="B186" s="55"/>
      <c r="C186" s="55" t="s">
        <v>12378</v>
      </c>
      <c r="D186" s="213">
        <v>0</v>
      </c>
      <c r="E186" s="213">
        <v>0</v>
      </c>
      <c r="F186" s="213">
        <v>0</v>
      </c>
      <c r="G186" s="213">
        <v>0</v>
      </c>
      <c r="H186" s="213">
        <v>0</v>
      </c>
      <c r="I186" s="213">
        <v>0</v>
      </c>
      <c r="J186" s="213">
        <v>0</v>
      </c>
      <c r="K186" s="213">
        <v>0</v>
      </c>
      <c r="L186" s="213">
        <v>0</v>
      </c>
      <c r="M186" s="213">
        <v>0</v>
      </c>
      <c r="N186" s="213">
        <v>163</v>
      </c>
      <c r="O186" s="213">
        <v>162</v>
      </c>
      <c r="Q186" s="211" t="s">
        <v>6110</v>
      </c>
    </row>
    <row r="187" spans="1:17" ht="15.75" thickBot="1">
      <c r="B187" s="55"/>
      <c r="C187" s="55" t="s">
        <v>12378</v>
      </c>
      <c r="D187" s="213">
        <v>0</v>
      </c>
      <c r="E187" s="213">
        <v>0</v>
      </c>
      <c r="F187" s="213">
        <v>0</v>
      </c>
      <c r="G187" s="213">
        <v>0</v>
      </c>
      <c r="H187" s="213">
        <v>0</v>
      </c>
      <c r="I187" s="213">
        <v>0</v>
      </c>
      <c r="J187" s="213">
        <v>0</v>
      </c>
      <c r="K187" s="213">
        <v>0</v>
      </c>
      <c r="L187" s="213">
        <v>0</v>
      </c>
      <c r="M187" s="213">
        <v>0</v>
      </c>
      <c r="N187" s="213">
        <v>17078</v>
      </c>
      <c r="O187" s="213">
        <v>17516</v>
      </c>
      <c r="Q187" s="211" t="s">
        <v>6764</v>
      </c>
    </row>
    <row r="188" spans="1:17" ht="15.75" thickBot="1">
      <c r="B188" s="55"/>
      <c r="C188" s="55" t="s">
        <v>12378</v>
      </c>
      <c r="D188" s="217">
        <f t="shared" ref="D188:N188" si="96">SUM(D185:D187)</f>
        <v>0</v>
      </c>
      <c r="E188" s="217">
        <f t="shared" si="96"/>
        <v>0</v>
      </c>
      <c r="F188" s="217">
        <f t="shared" si="96"/>
        <v>0</v>
      </c>
      <c r="G188" s="217">
        <f t="shared" si="96"/>
        <v>0</v>
      </c>
      <c r="H188" s="217">
        <f t="shared" si="96"/>
        <v>0</v>
      </c>
      <c r="I188" s="217">
        <f t="shared" si="96"/>
        <v>0</v>
      </c>
      <c r="J188" s="217">
        <f t="shared" si="96"/>
        <v>0</v>
      </c>
      <c r="K188" s="217">
        <f t="shared" si="96"/>
        <v>0</v>
      </c>
      <c r="L188" s="217">
        <f t="shared" si="96"/>
        <v>0</v>
      </c>
      <c r="M188" s="217">
        <f t="shared" si="96"/>
        <v>0</v>
      </c>
      <c r="N188" s="217">
        <f t="shared" si="96"/>
        <v>17241</v>
      </c>
      <c r="O188" s="217">
        <f>SUM(O185:O187)</f>
        <v>17678</v>
      </c>
      <c r="Q188" s="211"/>
    </row>
    <row r="189" spans="1:17">
      <c r="A189" s="211" t="s">
        <v>5393</v>
      </c>
      <c r="B189" s="55" t="s">
        <v>6210</v>
      </c>
      <c r="C189" s="55" t="s">
        <v>12379</v>
      </c>
      <c r="D189" s="213">
        <v>0</v>
      </c>
      <c r="E189" s="213">
        <v>0</v>
      </c>
      <c r="F189" s="213">
        <v>0</v>
      </c>
      <c r="G189" s="213">
        <v>0</v>
      </c>
      <c r="H189" s="213">
        <v>0</v>
      </c>
      <c r="I189" s="213">
        <v>0</v>
      </c>
      <c r="J189" s="213">
        <v>0</v>
      </c>
      <c r="K189" s="213">
        <v>0</v>
      </c>
      <c r="L189" s="213">
        <v>0</v>
      </c>
      <c r="M189" s="213">
        <v>0</v>
      </c>
      <c r="N189" s="213">
        <v>0</v>
      </c>
      <c r="O189" s="213">
        <v>0</v>
      </c>
      <c r="Q189" s="211" t="s">
        <v>6110</v>
      </c>
    </row>
    <row r="190" spans="1:17" ht="15.75" thickBot="1">
      <c r="B190" s="55"/>
      <c r="C190" s="55" t="s">
        <v>12379</v>
      </c>
      <c r="D190" s="213">
        <v>0</v>
      </c>
      <c r="E190" s="213">
        <v>0</v>
      </c>
      <c r="F190" s="213">
        <v>0</v>
      </c>
      <c r="G190" s="213">
        <v>0</v>
      </c>
      <c r="H190" s="213">
        <v>0</v>
      </c>
      <c r="I190" s="213">
        <v>0</v>
      </c>
      <c r="J190" s="213">
        <v>0</v>
      </c>
      <c r="K190" s="213">
        <v>0</v>
      </c>
      <c r="L190" s="213">
        <v>0</v>
      </c>
      <c r="M190" s="213">
        <v>0</v>
      </c>
      <c r="N190" s="213">
        <v>15134</v>
      </c>
      <c r="O190" s="213">
        <v>15841</v>
      </c>
      <c r="Q190" s="211" t="s">
        <v>6763</v>
      </c>
    </row>
    <row r="191" spans="1:17" ht="15.75" thickBot="1">
      <c r="B191" s="55"/>
      <c r="C191" s="55" t="s">
        <v>12379</v>
      </c>
      <c r="D191" s="217">
        <f t="shared" ref="D191:N191" si="97">SUM(D189:D190)</f>
        <v>0</v>
      </c>
      <c r="E191" s="217">
        <f t="shared" si="97"/>
        <v>0</v>
      </c>
      <c r="F191" s="217">
        <f t="shared" si="97"/>
        <v>0</v>
      </c>
      <c r="G191" s="217">
        <f t="shared" si="97"/>
        <v>0</v>
      </c>
      <c r="H191" s="217">
        <f t="shared" si="97"/>
        <v>0</v>
      </c>
      <c r="I191" s="217">
        <f t="shared" si="97"/>
        <v>0</v>
      </c>
      <c r="J191" s="217">
        <f t="shared" si="97"/>
        <v>0</v>
      </c>
      <c r="K191" s="217">
        <f t="shared" si="97"/>
        <v>0</v>
      </c>
      <c r="L191" s="217">
        <f t="shared" si="97"/>
        <v>0</v>
      </c>
      <c r="M191" s="217">
        <f t="shared" si="97"/>
        <v>0</v>
      </c>
      <c r="N191" s="217">
        <f t="shared" si="97"/>
        <v>15134</v>
      </c>
      <c r="O191" s="217">
        <f>SUM(O189:O190)</f>
        <v>15841</v>
      </c>
      <c r="Q191" s="211"/>
    </row>
    <row r="192" spans="1:17">
      <c r="A192" s="211" t="s">
        <v>5394</v>
      </c>
      <c r="B192" s="55" t="s">
        <v>12363</v>
      </c>
      <c r="C192" s="55" t="s">
        <v>12886</v>
      </c>
      <c r="D192" s="213">
        <v>79696</v>
      </c>
      <c r="E192" s="213">
        <v>80912</v>
      </c>
      <c r="F192" s="213">
        <v>79025</v>
      </c>
      <c r="G192" s="213">
        <v>82737</v>
      </c>
      <c r="H192" s="213">
        <v>77542</v>
      </c>
      <c r="I192" s="213">
        <v>73489</v>
      </c>
      <c r="J192" s="213">
        <v>73767</v>
      </c>
      <c r="K192" s="213">
        <v>79095</v>
      </c>
      <c r="L192" s="213">
        <v>84272</v>
      </c>
      <c r="M192" s="213">
        <v>78095</v>
      </c>
      <c r="N192" s="213">
        <v>15030</v>
      </c>
      <c r="O192" s="213">
        <v>15658</v>
      </c>
      <c r="Q192" s="211" t="s">
        <v>6110</v>
      </c>
    </row>
    <row r="193" spans="1:17">
      <c r="A193" s="211" t="s">
        <v>5416</v>
      </c>
      <c r="B193" s="55" t="s">
        <v>12364</v>
      </c>
      <c r="C193" s="55" t="s">
        <v>12380</v>
      </c>
      <c r="D193" s="213">
        <v>0</v>
      </c>
      <c r="E193" s="213">
        <v>0</v>
      </c>
      <c r="F193" s="213">
        <v>0</v>
      </c>
      <c r="G193" s="213">
        <v>0</v>
      </c>
      <c r="H193" s="213">
        <v>0</v>
      </c>
      <c r="I193" s="213">
        <v>0</v>
      </c>
      <c r="J193" s="213">
        <v>0</v>
      </c>
      <c r="K193" s="213">
        <v>0</v>
      </c>
      <c r="L193" s="213">
        <v>0</v>
      </c>
      <c r="M193" s="213">
        <v>0</v>
      </c>
      <c r="N193" s="213">
        <v>16244</v>
      </c>
      <c r="O193" s="213">
        <v>16889</v>
      </c>
      <c r="Q193" s="211" t="s">
        <v>6763</v>
      </c>
    </row>
    <row r="194" spans="1:17">
      <c r="A194" s="211" t="s">
        <v>5418</v>
      </c>
      <c r="B194" s="55" t="s">
        <v>12365</v>
      </c>
      <c r="C194" s="110" t="s">
        <v>12381</v>
      </c>
      <c r="D194" s="213">
        <v>0</v>
      </c>
      <c r="E194" s="213">
        <v>0</v>
      </c>
      <c r="F194" s="213">
        <v>0</v>
      </c>
      <c r="G194" s="213">
        <v>0</v>
      </c>
      <c r="H194" s="213">
        <v>0</v>
      </c>
      <c r="I194" s="213">
        <v>0</v>
      </c>
      <c r="J194" s="213">
        <v>0</v>
      </c>
      <c r="K194" s="213">
        <v>0</v>
      </c>
      <c r="L194" s="213">
        <v>0</v>
      </c>
      <c r="M194" s="213">
        <v>0</v>
      </c>
      <c r="N194" s="213">
        <v>14464</v>
      </c>
      <c r="O194" s="213">
        <v>15342</v>
      </c>
      <c r="Q194" s="211" t="s">
        <v>6110</v>
      </c>
    </row>
    <row r="195" spans="1:17">
      <c r="A195" s="211" t="s">
        <v>5420</v>
      </c>
      <c r="B195" s="55" t="s">
        <v>12366</v>
      </c>
      <c r="C195" s="55" t="s">
        <v>12382</v>
      </c>
      <c r="D195" s="213">
        <v>0</v>
      </c>
      <c r="E195" s="213">
        <v>0</v>
      </c>
      <c r="F195" s="213">
        <v>0</v>
      </c>
      <c r="G195" s="213">
        <v>0</v>
      </c>
      <c r="H195" s="213">
        <v>0</v>
      </c>
      <c r="I195" s="213">
        <v>0</v>
      </c>
      <c r="J195" s="213">
        <v>0</v>
      </c>
      <c r="K195" s="213">
        <v>0</v>
      </c>
      <c r="L195" s="213">
        <v>0</v>
      </c>
      <c r="M195" s="213">
        <v>0</v>
      </c>
      <c r="N195" s="213">
        <v>867</v>
      </c>
      <c r="O195" s="213">
        <v>909</v>
      </c>
      <c r="Q195" s="211" t="s">
        <v>6763</v>
      </c>
    </row>
    <row r="196" spans="1:17" ht="15.75" thickBot="1">
      <c r="B196" s="55"/>
      <c r="C196" s="55" t="s">
        <v>12382</v>
      </c>
      <c r="D196" s="213">
        <v>0</v>
      </c>
      <c r="E196" s="213">
        <v>0</v>
      </c>
      <c r="F196" s="213">
        <v>0</v>
      </c>
      <c r="G196" s="213">
        <v>0</v>
      </c>
      <c r="H196" s="213">
        <v>0</v>
      </c>
      <c r="I196" s="213">
        <v>0</v>
      </c>
      <c r="J196" s="213">
        <v>0</v>
      </c>
      <c r="K196" s="213">
        <v>0</v>
      </c>
      <c r="L196" s="213">
        <v>0</v>
      </c>
      <c r="M196" s="213">
        <v>0</v>
      </c>
      <c r="N196" s="213">
        <v>17121</v>
      </c>
      <c r="O196" s="213">
        <v>17708</v>
      </c>
      <c r="Q196" s="211" t="s">
        <v>6766</v>
      </c>
    </row>
    <row r="197" spans="1:17" ht="15.75" thickBot="1">
      <c r="B197" s="55"/>
      <c r="C197" s="55" t="s">
        <v>12382</v>
      </c>
      <c r="D197" s="217">
        <f t="shared" ref="D197:O197" si="98">SUM(D195:D196)</f>
        <v>0</v>
      </c>
      <c r="E197" s="217">
        <f t="shared" si="98"/>
        <v>0</v>
      </c>
      <c r="F197" s="217">
        <f t="shared" si="98"/>
        <v>0</v>
      </c>
      <c r="G197" s="217">
        <f t="shared" si="98"/>
        <v>0</v>
      </c>
      <c r="H197" s="217">
        <f t="shared" si="98"/>
        <v>0</v>
      </c>
      <c r="I197" s="217">
        <f t="shared" si="98"/>
        <v>0</v>
      </c>
      <c r="J197" s="217">
        <f t="shared" si="98"/>
        <v>0</v>
      </c>
      <c r="K197" s="217">
        <f t="shared" si="98"/>
        <v>0</v>
      </c>
      <c r="L197" s="217">
        <f t="shared" si="98"/>
        <v>0</v>
      </c>
      <c r="M197" s="217">
        <f t="shared" si="98"/>
        <v>0</v>
      </c>
      <c r="N197" s="217">
        <f t="shared" si="98"/>
        <v>17988</v>
      </c>
      <c r="O197" s="217">
        <f t="shared" si="98"/>
        <v>18617</v>
      </c>
      <c r="Q197" s="211"/>
    </row>
    <row r="198" spans="1:17">
      <c r="A198" s="211" t="s">
        <v>5422</v>
      </c>
      <c r="B198" s="55" t="s">
        <v>6215</v>
      </c>
      <c r="C198" s="55" t="s">
        <v>12383</v>
      </c>
      <c r="D198" s="213">
        <v>0</v>
      </c>
      <c r="E198" s="213">
        <v>0</v>
      </c>
      <c r="F198" s="213">
        <v>0</v>
      </c>
      <c r="G198" s="213">
        <v>0</v>
      </c>
      <c r="H198" s="213">
        <v>0</v>
      </c>
      <c r="I198" s="213">
        <v>0</v>
      </c>
      <c r="J198" s="213">
        <v>0</v>
      </c>
      <c r="K198" s="213">
        <v>0</v>
      </c>
      <c r="L198" s="213">
        <v>0</v>
      </c>
      <c r="M198" s="213">
        <v>0</v>
      </c>
      <c r="N198" s="213">
        <v>17074</v>
      </c>
      <c r="O198" s="213">
        <v>18208</v>
      </c>
      <c r="Q198" s="211" t="s">
        <v>6761</v>
      </c>
    </row>
    <row r="199" spans="1:17">
      <c r="A199" s="211" t="s">
        <v>5424</v>
      </c>
      <c r="B199" s="55" t="s">
        <v>12367</v>
      </c>
      <c r="C199" s="110" t="s">
        <v>12384</v>
      </c>
      <c r="D199" s="213">
        <v>64479</v>
      </c>
      <c r="E199" s="213">
        <v>64742</v>
      </c>
      <c r="F199" s="213">
        <v>65401</v>
      </c>
      <c r="G199" s="213">
        <v>66055</v>
      </c>
      <c r="H199" s="213">
        <v>62646</v>
      </c>
      <c r="I199" s="213">
        <v>63581</v>
      </c>
      <c r="J199" s="213">
        <v>62608</v>
      </c>
      <c r="K199" s="213">
        <v>64655</v>
      </c>
      <c r="L199" s="213">
        <v>64623</v>
      </c>
      <c r="M199" s="213">
        <v>64579</v>
      </c>
      <c r="N199" s="213">
        <v>18072</v>
      </c>
      <c r="O199" s="213">
        <v>18542</v>
      </c>
      <c r="Q199" s="211" t="s">
        <v>6111</v>
      </c>
    </row>
    <row r="200" spans="1:17">
      <c r="A200" s="211" t="s">
        <v>5426</v>
      </c>
      <c r="B200" s="55" t="s">
        <v>12368</v>
      </c>
      <c r="C200" s="55" t="s">
        <v>12887</v>
      </c>
      <c r="D200" s="213">
        <v>0</v>
      </c>
      <c r="E200" s="213">
        <v>0</v>
      </c>
      <c r="F200" s="213">
        <v>0</v>
      </c>
      <c r="G200" s="213">
        <v>0</v>
      </c>
      <c r="H200" s="213">
        <v>0</v>
      </c>
      <c r="I200" s="213">
        <v>0</v>
      </c>
      <c r="J200" s="213">
        <v>0</v>
      </c>
      <c r="K200" s="213">
        <v>0</v>
      </c>
      <c r="L200" s="213">
        <v>0</v>
      </c>
      <c r="M200" s="213">
        <v>0</v>
      </c>
      <c r="N200" s="213">
        <v>19</v>
      </c>
      <c r="O200" s="213">
        <v>21</v>
      </c>
      <c r="Q200" s="211" t="s">
        <v>6110</v>
      </c>
    </row>
    <row r="201" spans="1:17" ht="15.75" thickBot="1">
      <c r="B201" s="55"/>
      <c r="C201" s="55" t="s">
        <v>12887</v>
      </c>
      <c r="D201" s="213">
        <v>0</v>
      </c>
      <c r="E201" s="213">
        <v>0</v>
      </c>
      <c r="F201" s="213">
        <v>0</v>
      </c>
      <c r="G201" s="213">
        <v>0</v>
      </c>
      <c r="H201" s="213">
        <v>0</v>
      </c>
      <c r="I201" s="213">
        <v>0</v>
      </c>
      <c r="J201" s="213">
        <v>0</v>
      </c>
      <c r="K201" s="213">
        <v>0</v>
      </c>
      <c r="L201" s="213">
        <v>0</v>
      </c>
      <c r="M201" s="213">
        <v>0</v>
      </c>
      <c r="N201" s="213">
        <v>17299</v>
      </c>
      <c r="O201" s="213">
        <v>17774</v>
      </c>
      <c r="Q201" s="211" t="s">
        <v>6763</v>
      </c>
    </row>
    <row r="202" spans="1:17" ht="15.75" thickBot="1">
      <c r="B202" s="55"/>
      <c r="C202" s="55" t="s">
        <v>12887</v>
      </c>
      <c r="D202" s="217">
        <f>SUM(D200:D201)</f>
        <v>0</v>
      </c>
      <c r="E202" s="217">
        <f t="shared" ref="E202:N202" si="99">SUM(E200:E201)</f>
        <v>0</v>
      </c>
      <c r="F202" s="217">
        <f t="shared" si="99"/>
        <v>0</v>
      </c>
      <c r="G202" s="217">
        <f t="shared" si="99"/>
        <v>0</v>
      </c>
      <c r="H202" s="217">
        <f t="shared" si="99"/>
        <v>0</v>
      </c>
      <c r="I202" s="217">
        <f t="shared" si="99"/>
        <v>0</v>
      </c>
      <c r="J202" s="217">
        <f t="shared" si="99"/>
        <v>0</v>
      </c>
      <c r="K202" s="217">
        <f t="shared" si="99"/>
        <v>0</v>
      </c>
      <c r="L202" s="217">
        <f t="shared" si="99"/>
        <v>0</v>
      </c>
      <c r="M202" s="217">
        <f t="shared" si="99"/>
        <v>0</v>
      </c>
      <c r="N202" s="217">
        <f t="shared" si="99"/>
        <v>17318</v>
      </c>
      <c r="O202" s="217">
        <f>SUM(O200:O201)</f>
        <v>17795</v>
      </c>
      <c r="Q202" s="211"/>
    </row>
    <row r="203" spans="1:17">
      <c r="A203" s="211" t="s">
        <v>5428</v>
      </c>
      <c r="B203" s="55" t="s">
        <v>12369</v>
      </c>
      <c r="C203" s="55" t="s">
        <v>12881</v>
      </c>
      <c r="D203" s="213">
        <v>77858</v>
      </c>
      <c r="E203" s="213">
        <v>77994</v>
      </c>
      <c r="F203" s="213">
        <v>78521</v>
      </c>
      <c r="G203" s="213">
        <v>78781</v>
      </c>
      <c r="H203" s="213">
        <v>77587</v>
      </c>
      <c r="I203" s="213">
        <v>78038</v>
      </c>
      <c r="J203" s="213">
        <v>77287</v>
      </c>
      <c r="K203" s="213">
        <v>78913</v>
      </c>
      <c r="L203" s="213">
        <v>78278</v>
      </c>
      <c r="M203" s="213">
        <v>78514</v>
      </c>
      <c r="N203" s="213">
        <v>15961</v>
      </c>
      <c r="O203" s="213">
        <v>16375</v>
      </c>
      <c r="Q203" s="211" t="s">
        <v>4579</v>
      </c>
    </row>
    <row r="204" spans="1:17">
      <c r="A204" s="211" t="s">
        <v>5429</v>
      </c>
      <c r="B204" s="55" t="s">
        <v>12370</v>
      </c>
      <c r="C204" s="55" t="s">
        <v>12385</v>
      </c>
      <c r="D204" s="213">
        <v>0</v>
      </c>
      <c r="E204" s="213">
        <v>0</v>
      </c>
      <c r="F204" s="213">
        <v>0</v>
      </c>
      <c r="G204" s="213">
        <v>0</v>
      </c>
      <c r="H204" s="213">
        <v>0</v>
      </c>
      <c r="I204" s="213">
        <v>0</v>
      </c>
      <c r="J204" s="213">
        <v>0</v>
      </c>
      <c r="K204" s="213">
        <v>0</v>
      </c>
      <c r="L204" s="213">
        <v>0</v>
      </c>
      <c r="M204" s="213">
        <v>0</v>
      </c>
      <c r="N204" s="213">
        <v>15109</v>
      </c>
      <c r="O204" s="213">
        <v>15797</v>
      </c>
      <c r="Q204" s="211" t="s">
        <v>6111</v>
      </c>
    </row>
    <row r="205" spans="1:17">
      <c r="A205" s="211" t="s">
        <v>5431</v>
      </c>
      <c r="B205" s="55" t="s">
        <v>12371</v>
      </c>
      <c r="C205" s="110" t="s">
        <v>12386</v>
      </c>
      <c r="D205" s="213">
        <v>69207</v>
      </c>
      <c r="E205" s="213">
        <v>69738</v>
      </c>
      <c r="F205" s="213">
        <v>69657</v>
      </c>
      <c r="G205" s="213">
        <v>69991</v>
      </c>
      <c r="H205" s="213">
        <v>69102</v>
      </c>
      <c r="I205" s="213">
        <v>69338</v>
      </c>
      <c r="J205" s="213">
        <v>68624</v>
      </c>
      <c r="K205" s="213">
        <v>70863</v>
      </c>
      <c r="L205" s="213">
        <v>70517</v>
      </c>
      <c r="M205" s="213">
        <v>70447</v>
      </c>
      <c r="N205" s="213">
        <v>18277</v>
      </c>
      <c r="O205" s="213">
        <v>18827</v>
      </c>
      <c r="Q205" s="211" t="s">
        <v>6766</v>
      </c>
    </row>
    <row r="206" spans="1:17">
      <c r="A206" s="211" t="s">
        <v>5433</v>
      </c>
      <c r="B206" s="55" t="s">
        <v>1408</v>
      </c>
      <c r="C206" s="55" t="s">
        <v>12387</v>
      </c>
      <c r="D206" s="213">
        <v>0</v>
      </c>
      <c r="E206" s="213">
        <v>0</v>
      </c>
      <c r="F206" s="213">
        <v>0</v>
      </c>
      <c r="G206" s="213">
        <v>0</v>
      </c>
      <c r="H206" s="213">
        <v>0</v>
      </c>
      <c r="I206" s="213">
        <v>0</v>
      </c>
      <c r="J206" s="213">
        <v>0</v>
      </c>
      <c r="K206" s="213">
        <v>0</v>
      </c>
      <c r="L206" s="213">
        <v>0</v>
      </c>
      <c r="M206" s="213">
        <v>0</v>
      </c>
      <c r="N206" s="213">
        <v>14846</v>
      </c>
      <c r="O206" s="213">
        <v>15193</v>
      </c>
      <c r="Q206" s="211" t="s">
        <v>4579</v>
      </c>
    </row>
    <row r="207" spans="1:17" ht="15.75" thickBot="1">
      <c r="A207" s="211"/>
      <c r="B207" s="55"/>
      <c r="C207" s="55" t="s">
        <v>12387</v>
      </c>
      <c r="D207" s="213">
        <v>0</v>
      </c>
      <c r="E207" s="213">
        <v>0</v>
      </c>
      <c r="F207" s="213">
        <v>0</v>
      </c>
      <c r="G207" s="213">
        <v>0</v>
      </c>
      <c r="H207" s="213">
        <v>0</v>
      </c>
      <c r="I207" s="213">
        <v>0</v>
      </c>
      <c r="J207" s="213">
        <v>0</v>
      </c>
      <c r="K207" s="213">
        <v>0</v>
      </c>
      <c r="L207" s="213">
        <v>0</v>
      </c>
      <c r="M207" s="213">
        <v>0</v>
      </c>
      <c r="N207" s="213">
        <v>0</v>
      </c>
      <c r="O207" s="213">
        <v>1</v>
      </c>
      <c r="Q207" s="211" t="s">
        <v>6111</v>
      </c>
    </row>
    <row r="208" spans="1:17" ht="15.75" thickBot="1">
      <c r="A208" s="211"/>
      <c r="B208" s="55"/>
      <c r="C208" s="55" t="s">
        <v>12387</v>
      </c>
      <c r="D208" s="217">
        <f t="shared" ref="D208:O208" si="100">SUM(D206:D207)</f>
        <v>0</v>
      </c>
      <c r="E208" s="217">
        <f t="shared" si="100"/>
        <v>0</v>
      </c>
      <c r="F208" s="217">
        <f t="shared" si="100"/>
        <v>0</v>
      </c>
      <c r="G208" s="217">
        <f t="shared" si="100"/>
        <v>0</v>
      </c>
      <c r="H208" s="217">
        <f t="shared" si="100"/>
        <v>0</v>
      </c>
      <c r="I208" s="217">
        <f t="shared" si="100"/>
        <v>0</v>
      </c>
      <c r="J208" s="217">
        <f t="shared" si="100"/>
        <v>0</v>
      </c>
      <c r="K208" s="217">
        <f t="shared" si="100"/>
        <v>0</v>
      </c>
      <c r="L208" s="217">
        <f t="shared" si="100"/>
        <v>0</v>
      </c>
      <c r="M208" s="217">
        <f t="shared" si="100"/>
        <v>0</v>
      </c>
      <c r="N208" s="217">
        <f t="shared" si="100"/>
        <v>14846</v>
      </c>
      <c r="O208" s="217">
        <f t="shared" si="100"/>
        <v>15194</v>
      </c>
      <c r="Q208" s="211"/>
    </row>
    <row r="209" spans="1:17">
      <c r="A209" s="211" t="s">
        <v>5435</v>
      </c>
      <c r="B209" s="55" t="s">
        <v>12372</v>
      </c>
      <c r="C209" s="110" t="s">
        <v>12388</v>
      </c>
      <c r="D209" s="213">
        <v>0</v>
      </c>
      <c r="E209" s="213">
        <v>0</v>
      </c>
      <c r="F209" s="213">
        <v>0</v>
      </c>
      <c r="G209" s="213">
        <v>0</v>
      </c>
      <c r="H209" s="213">
        <v>0</v>
      </c>
      <c r="I209" s="213">
        <v>0</v>
      </c>
      <c r="J209" s="213">
        <v>0</v>
      </c>
      <c r="K209" s="213">
        <v>0</v>
      </c>
      <c r="L209" s="213">
        <v>0</v>
      </c>
      <c r="M209" s="213">
        <v>0</v>
      </c>
      <c r="N209" s="218">
        <v>6192</v>
      </c>
      <c r="O209" s="218">
        <v>8110</v>
      </c>
      <c r="Q209" s="211" t="s">
        <v>6110</v>
      </c>
    </row>
    <row r="210" spans="1:17" ht="15.75" thickBot="1">
      <c r="A210" s="211"/>
      <c r="B210" s="55"/>
      <c r="C210" s="110" t="s">
        <v>12388</v>
      </c>
      <c r="D210" s="213">
        <v>0</v>
      </c>
      <c r="E210" s="213">
        <v>0</v>
      </c>
      <c r="F210" s="213">
        <v>0</v>
      </c>
      <c r="G210" s="213">
        <v>0</v>
      </c>
      <c r="H210" s="213">
        <v>0</v>
      </c>
      <c r="I210" s="213">
        <v>0</v>
      </c>
      <c r="J210" s="213">
        <v>0</v>
      </c>
      <c r="K210" s="213">
        <v>0</v>
      </c>
      <c r="L210" s="213">
        <v>0</v>
      </c>
      <c r="M210" s="213">
        <v>0</v>
      </c>
      <c r="N210" s="213">
        <v>12377</v>
      </c>
      <c r="O210" s="213">
        <v>17398</v>
      </c>
      <c r="Q210" s="211" t="s">
        <v>6762</v>
      </c>
    </row>
    <row r="211" spans="1:17" ht="15.75" thickBot="1">
      <c r="A211" s="211"/>
      <c r="B211" s="55"/>
      <c r="C211" s="110" t="s">
        <v>12388</v>
      </c>
      <c r="D211" s="217">
        <f>SUM(D209:D210)</f>
        <v>0</v>
      </c>
      <c r="E211" s="217">
        <f t="shared" ref="E211:N211" si="101">SUM(E209:E210)</f>
        <v>0</v>
      </c>
      <c r="F211" s="217">
        <f t="shared" si="101"/>
        <v>0</v>
      </c>
      <c r="G211" s="217">
        <f t="shared" si="101"/>
        <v>0</v>
      </c>
      <c r="H211" s="217">
        <f t="shared" si="101"/>
        <v>0</v>
      </c>
      <c r="I211" s="217">
        <f t="shared" si="101"/>
        <v>0</v>
      </c>
      <c r="J211" s="217">
        <f t="shared" si="101"/>
        <v>0</v>
      </c>
      <c r="K211" s="217">
        <f t="shared" si="101"/>
        <v>0</v>
      </c>
      <c r="L211" s="217">
        <f t="shared" si="101"/>
        <v>0</v>
      </c>
      <c r="M211" s="217">
        <f t="shared" si="101"/>
        <v>0</v>
      </c>
      <c r="N211" s="217">
        <f t="shared" si="101"/>
        <v>18569</v>
      </c>
      <c r="O211" s="217">
        <f>SUM(O209:O210)</f>
        <v>25508</v>
      </c>
      <c r="Q211" s="211"/>
    </row>
    <row r="212" spans="1:17">
      <c r="A212" s="211" t="s">
        <v>5436</v>
      </c>
      <c r="B212" s="55" t="s">
        <v>3271</v>
      </c>
      <c r="C212" s="55" t="s">
        <v>12401</v>
      </c>
      <c r="D212" s="213">
        <v>0</v>
      </c>
      <c r="E212" s="213">
        <v>0</v>
      </c>
      <c r="F212" s="213">
        <v>0</v>
      </c>
      <c r="G212" s="213">
        <v>0</v>
      </c>
      <c r="H212" s="213">
        <v>0</v>
      </c>
      <c r="I212" s="213">
        <v>0</v>
      </c>
      <c r="J212" s="213">
        <v>0</v>
      </c>
      <c r="K212" s="213">
        <v>0</v>
      </c>
      <c r="L212" s="213">
        <v>0</v>
      </c>
      <c r="M212" s="213">
        <v>0</v>
      </c>
      <c r="N212" s="213">
        <v>17417</v>
      </c>
      <c r="O212" s="213">
        <v>18238</v>
      </c>
      <c r="Q212" s="211" t="s">
        <v>6766</v>
      </c>
    </row>
    <row r="213" spans="1:17">
      <c r="A213" s="211" t="s">
        <v>5437</v>
      </c>
      <c r="B213" s="55" t="s">
        <v>12373</v>
      </c>
      <c r="C213" s="55" t="s">
        <v>12389</v>
      </c>
      <c r="D213" s="213">
        <v>0</v>
      </c>
      <c r="E213" s="213">
        <v>0</v>
      </c>
      <c r="F213" s="213">
        <v>0</v>
      </c>
      <c r="G213" s="213">
        <v>0</v>
      </c>
      <c r="H213" s="213">
        <v>0</v>
      </c>
      <c r="I213" s="213">
        <v>0</v>
      </c>
      <c r="J213" s="213">
        <v>0</v>
      </c>
      <c r="K213" s="213">
        <v>0</v>
      </c>
      <c r="L213" s="213">
        <v>0</v>
      </c>
      <c r="M213" s="213">
        <v>0</v>
      </c>
      <c r="N213" s="213">
        <v>14478</v>
      </c>
      <c r="O213" s="213">
        <v>15770</v>
      </c>
      <c r="Q213" s="211" t="s">
        <v>6110</v>
      </c>
    </row>
    <row r="214" spans="1:17">
      <c r="A214" s="211" t="s">
        <v>5439</v>
      </c>
      <c r="B214" s="55" t="s">
        <v>12374</v>
      </c>
      <c r="C214" s="55" t="s">
        <v>12390</v>
      </c>
      <c r="D214" s="213">
        <v>0</v>
      </c>
      <c r="E214" s="213">
        <v>0</v>
      </c>
      <c r="F214" s="213">
        <v>0</v>
      </c>
      <c r="G214" s="213">
        <v>0</v>
      </c>
      <c r="H214" s="213">
        <v>0</v>
      </c>
      <c r="I214" s="213">
        <v>0</v>
      </c>
      <c r="J214" s="213">
        <v>0</v>
      </c>
      <c r="K214" s="213">
        <v>0</v>
      </c>
      <c r="L214" s="213">
        <v>0</v>
      </c>
      <c r="M214" s="213">
        <v>0</v>
      </c>
      <c r="N214" s="213">
        <v>16615</v>
      </c>
      <c r="O214" s="213">
        <v>17245</v>
      </c>
      <c r="Q214" s="211" t="s">
        <v>6111</v>
      </c>
    </row>
    <row r="215" spans="1:17">
      <c r="A215" s="211" t="s">
        <v>5441</v>
      </c>
      <c r="B215" s="55" t="s">
        <v>12375</v>
      </c>
      <c r="C215" s="55" t="s">
        <v>12882</v>
      </c>
      <c r="D215" s="213">
        <v>0</v>
      </c>
      <c r="E215" s="213">
        <v>0</v>
      </c>
      <c r="F215" s="213">
        <v>0</v>
      </c>
      <c r="G215" s="213">
        <v>0</v>
      </c>
      <c r="H215" s="213">
        <v>0</v>
      </c>
      <c r="I215" s="213">
        <v>0</v>
      </c>
      <c r="J215" s="213">
        <v>0</v>
      </c>
      <c r="K215" s="213">
        <v>0</v>
      </c>
      <c r="L215" s="213">
        <v>0</v>
      </c>
      <c r="M215" s="213">
        <v>0</v>
      </c>
      <c r="N215" s="213">
        <v>16487</v>
      </c>
      <c r="O215" s="213">
        <v>16989</v>
      </c>
      <c r="Q215" s="211" t="s">
        <v>4579</v>
      </c>
    </row>
    <row r="216" spans="1:17">
      <c r="A216" s="211" t="s">
        <v>5886</v>
      </c>
      <c r="B216" s="55" t="s">
        <v>4795</v>
      </c>
      <c r="C216" s="55" t="s">
        <v>12391</v>
      </c>
      <c r="D216" s="213">
        <v>67243</v>
      </c>
      <c r="E216" s="213">
        <v>67222</v>
      </c>
      <c r="F216" s="213">
        <v>67196</v>
      </c>
      <c r="G216" s="213">
        <v>67226</v>
      </c>
      <c r="H216" s="213">
        <v>61760</v>
      </c>
      <c r="I216" s="213">
        <v>62295</v>
      </c>
      <c r="J216" s="213">
        <v>61508</v>
      </c>
      <c r="K216" s="213">
        <v>64155</v>
      </c>
      <c r="L216" s="213">
        <v>65021</v>
      </c>
      <c r="M216" s="213">
        <v>63954</v>
      </c>
      <c r="N216" s="213">
        <v>14860</v>
      </c>
      <c r="O216" s="213">
        <v>16631</v>
      </c>
      <c r="Q216" s="211" t="s">
        <v>6763</v>
      </c>
    </row>
    <row r="217" spans="1:17">
      <c r="A217" s="211" t="s">
        <v>5888</v>
      </c>
      <c r="B217" s="55" t="s">
        <v>12376</v>
      </c>
      <c r="C217" s="55" t="s">
        <v>12392</v>
      </c>
      <c r="D217" s="213">
        <v>0</v>
      </c>
      <c r="E217" s="213">
        <v>0</v>
      </c>
      <c r="F217" s="213">
        <v>0</v>
      </c>
      <c r="G217" s="213">
        <v>0</v>
      </c>
      <c r="H217" s="213">
        <v>0</v>
      </c>
      <c r="I217" s="213">
        <v>0</v>
      </c>
      <c r="J217" s="213">
        <v>0</v>
      </c>
      <c r="K217" s="213">
        <v>0</v>
      </c>
      <c r="L217" s="213">
        <v>0</v>
      </c>
      <c r="M217" s="213">
        <v>0</v>
      </c>
      <c r="N217" s="213">
        <v>13619</v>
      </c>
      <c r="O217" s="213">
        <v>17302</v>
      </c>
      <c r="Q217" s="211" t="s">
        <v>6110</v>
      </c>
    </row>
    <row r="218" spans="1:17">
      <c r="A218" s="211" t="s">
        <v>5889</v>
      </c>
      <c r="B218" s="55" t="s">
        <v>4796</v>
      </c>
      <c r="C218" s="55" t="s">
        <v>12393</v>
      </c>
      <c r="D218" s="213">
        <v>0</v>
      </c>
      <c r="E218" s="213">
        <v>0</v>
      </c>
      <c r="F218" s="213">
        <v>0</v>
      </c>
      <c r="G218" s="213">
        <v>0</v>
      </c>
      <c r="H218" s="213">
        <v>0</v>
      </c>
      <c r="I218" s="213">
        <v>0</v>
      </c>
      <c r="J218" s="213">
        <v>0</v>
      </c>
      <c r="K218" s="213">
        <v>0</v>
      </c>
      <c r="L218" s="213">
        <v>0</v>
      </c>
      <c r="M218" s="213">
        <v>0</v>
      </c>
      <c r="N218" s="213">
        <v>18246</v>
      </c>
      <c r="O218" s="213">
        <v>18704</v>
      </c>
      <c r="Q218" s="211" t="s">
        <v>6110</v>
      </c>
    </row>
    <row r="219" spans="1:17" ht="15.75" thickBot="1">
      <c r="B219" s="55"/>
      <c r="C219" s="55" t="s">
        <v>12393</v>
      </c>
      <c r="D219" s="213">
        <v>0</v>
      </c>
      <c r="E219" s="213">
        <v>0</v>
      </c>
      <c r="F219" s="213">
        <v>0</v>
      </c>
      <c r="G219" s="213">
        <v>0</v>
      </c>
      <c r="H219" s="213">
        <v>0</v>
      </c>
      <c r="I219" s="213">
        <v>0</v>
      </c>
      <c r="J219" s="213">
        <v>0</v>
      </c>
      <c r="K219" s="213">
        <v>0</v>
      </c>
      <c r="L219" s="213">
        <v>0</v>
      </c>
      <c r="M219" s="213">
        <v>0</v>
      </c>
      <c r="N219" s="213">
        <v>166</v>
      </c>
      <c r="O219" s="213">
        <v>172</v>
      </c>
      <c r="Q219" s="211" t="s">
        <v>6764</v>
      </c>
    </row>
    <row r="220" spans="1:17" ht="15.75" thickBot="1">
      <c r="B220" s="55"/>
      <c r="C220" s="55" t="s">
        <v>12393</v>
      </c>
      <c r="D220" s="217">
        <f t="shared" ref="D220:O220" si="102">SUM(D218:D219)</f>
        <v>0</v>
      </c>
      <c r="E220" s="217">
        <f t="shared" si="102"/>
        <v>0</v>
      </c>
      <c r="F220" s="217">
        <f t="shared" si="102"/>
        <v>0</v>
      </c>
      <c r="G220" s="217">
        <f t="shared" si="102"/>
        <v>0</v>
      </c>
      <c r="H220" s="217">
        <f t="shared" si="102"/>
        <v>0</v>
      </c>
      <c r="I220" s="217">
        <f t="shared" si="102"/>
        <v>0</v>
      </c>
      <c r="J220" s="217">
        <f t="shared" si="102"/>
        <v>0</v>
      </c>
      <c r="K220" s="217">
        <f t="shared" si="102"/>
        <v>0</v>
      </c>
      <c r="L220" s="217">
        <f t="shared" si="102"/>
        <v>0</v>
      </c>
      <c r="M220" s="217">
        <f t="shared" si="102"/>
        <v>0</v>
      </c>
      <c r="N220" s="217">
        <f t="shared" si="102"/>
        <v>18412</v>
      </c>
      <c r="O220" s="217">
        <f t="shared" si="102"/>
        <v>18876</v>
      </c>
      <c r="Q220" s="211"/>
    </row>
    <row r="221" spans="1:17">
      <c r="A221" s="211" t="s">
        <v>4431</v>
      </c>
      <c r="B221" s="55" t="s">
        <v>4797</v>
      </c>
      <c r="C221" s="55" t="s">
        <v>12394</v>
      </c>
      <c r="D221" s="213">
        <v>0</v>
      </c>
      <c r="E221" s="213">
        <v>0</v>
      </c>
      <c r="F221" s="213">
        <v>0</v>
      </c>
      <c r="G221" s="213">
        <v>0</v>
      </c>
      <c r="H221" s="213">
        <v>0</v>
      </c>
      <c r="I221" s="213">
        <v>0</v>
      </c>
      <c r="J221" s="213">
        <v>0</v>
      </c>
      <c r="K221" s="213">
        <v>0</v>
      </c>
      <c r="L221" s="213">
        <v>0</v>
      </c>
      <c r="M221" s="213">
        <v>0</v>
      </c>
      <c r="N221" s="213">
        <v>16841</v>
      </c>
      <c r="O221" s="213">
        <v>17466</v>
      </c>
      <c r="Q221" s="211" t="s">
        <v>6761</v>
      </c>
    </row>
    <row r="222" spans="1:17">
      <c r="A222" s="211" t="s">
        <v>4432</v>
      </c>
      <c r="B222" s="55" t="s">
        <v>4798</v>
      </c>
      <c r="C222" s="55" t="s">
        <v>12395</v>
      </c>
      <c r="D222" s="213">
        <v>0</v>
      </c>
      <c r="E222" s="213">
        <v>0</v>
      </c>
      <c r="F222" s="213">
        <v>0</v>
      </c>
      <c r="G222" s="213">
        <v>0</v>
      </c>
      <c r="H222" s="213">
        <v>0</v>
      </c>
      <c r="I222" s="213">
        <v>0</v>
      </c>
      <c r="J222" s="213">
        <v>0</v>
      </c>
      <c r="K222" s="213">
        <v>0</v>
      </c>
      <c r="L222" s="213">
        <v>0</v>
      </c>
      <c r="M222" s="213">
        <v>0</v>
      </c>
      <c r="N222" s="213">
        <v>66</v>
      </c>
      <c r="O222" s="213">
        <v>69</v>
      </c>
      <c r="Q222" s="211" t="s">
        <v>6763</v>
      </c>
    </row>
    <row r="223" spans="1:17" ht="15.75" thickBot="1">
      <c r="B223" s="55"/>
      <c r="C223" s="55" t="s">
        <v>12395</v>
      </c>
      <c r="D223" s="213">
        <v>0</v>
      </c>
      <c r="E223" s="213">
        <v>0</v>
      </c>
      <c r="F223" s="213">
        <v>0</v>
      </c>
      <c r="G223" s="213">
        <v>0</v>
      </c>
      <c r="H223" s="213">
        <v>0</v>
      </c>
      <c r="I223" s="213">
        <v>0</v>
      </c>
      <c r="J223" s="213">
        <v>0</v>
      </c>
      <c r="K223" s="213">
        <v>0</v>
      </c>
      <c r="L223" s="213">
        <v>0</v>
      </c>
      <c r="M223" s="213">
        <v>0</v>
      </c>
      <c r="N223" s="213">
        <v>17594</v>
      </c>
      <c r="O223" s="213">
        <v>18070</v>
      </c>
      <c r="Q223" s="211" t="s">
        <v>6764</v>
      </c>
    </row>
    <row r="224" spans="1:17" ht="15.75" thickBot="1">
      <c r="B224" s="55"/>
      <c r="C224" s="55" t="s">
        <v>12395</v>
      </c>
      <c r="D224" s="217">
        <f t="shared" ref="D224:O224" si="103">SUM(D222:D223)</f>
        <v>0</v>
      </c>
      <c r="E224" s="217">
        <f t="shared" si="103"/>
        <v>0</v>
      </c>
      <c r="F224" s="217">
        <f t="shared" si="103"/>
        <v>0</v>
      </c>
      <c r="G224" s="217">
        <f t="shared" si="103"/>
        <v>0</v>
      </c>
      <c r="H224" s="217">
        <f t="shared" si="103"/>
        <v>0</v>
      </c>
      <c r="I224" s="217">
        <f t="shared" si="103"/>
        <v>0</v>
      </c>
      <c r="J224" s="217">
        <f t="shared" si="103"/>
        <v>0</v>
      </c>
      <c r="K224" s="217">
        <f t="shared" si="103"/>
        <v>0</v>
      </c>
      <c r="L224" s="217">
        <f t="shared" si="103"/>
        <v>0</v>
      </c>
      <c r="M224" s="217">
        <f t="shared" si="103"/>
        <v>0</v>
      </c>
      <c r="N224" s="217">
        <f t="shared" si="103"/>
        <v>17660</v>
      </c>
      <c r="O224" s="217">
        <f t="shared" si="103"/>
        <v>18139</v>
      </c>
      <c r="Q224" s="211"/>
    </row>
    <row r="225" spans="1:17">
      <c r="A225" s="211" t="s">
        <v>4434</v>
      </c>
      <c r="B225" s="110" t="s">
        <v>4799</v>
      </c>
      <c r="C225" s="55" t="s">
        <v>12396</v>
      </c>
      <c r="D225" s="213">
        <v>50969</v>
      </c>
      <c r="E225" s="213">
        <v>51414</v>
      </c>
      <c r="F225" s="213">
        <v>51602</v>
      </c>
      <c r="G225" s="213">
        <v>51841</v>
      </c>
      <c r="H225" s="213">
        <v>50318</v>
      </c>
      <c r="I225" s="213">
        <v>50912</v>
      </c>
      <c r="J225" s="213">
        <v>49925</v>
      </c>
      <c r="K225" s="213">
        <v>51604</v>
      </c>
      <c r="L225" s="213">
        <v>51123</v>
      </c>
      <c r="M225" s="213">
        <v>51888</v>
      </c>
      <c r="N225" s="213">
        <v>17170</v>
      </c>
      <c r="O225" s="213">
        <v>17764</v>
      </c>
      <c r="Q225" s="211" t="s">
        <v>6764</v>
      </c>
    </row>
    <row r="226" spans="1:17">
      <c r="A226" s="211" t="s">
        <v>4533</v>
      </c>
      <c r="B226" s="110" t="s">
        <v>12377</v>
      </c>
      <c r="C226" s="55" t="s">
        <v>12402</v>
      </c>
      <c r="D226" s="213">
        <v>0</v>
      </c>
      <c r="E226" s="213">
        <v>0</v>
      </c>
      <c r="F226" s="213">
        <v>0</v>
      </c>
      <c r="G226" s="213">
        <v>0</v>
      </c>
      <c r="H226" s="213">
        <v>0</v>
      </c>
      <c r="I226" s="213">
        <v>0</v>
      </c>
      <c r="J226" s="213">
        <v>0</v>
      </c>
      <c r="K226" s="213">
        <v>0</v>
      </c>
      <c r="L226" s="213">
        <v>0</v>
      </c>
      <c r="M226" s="213">
        <v>0</v>
      </c>
      <c r="N226" s="213">
        <v>17544</v>
      </c>
      <c r="O226" s="213">
        <v>18029</v>
      </c>
      <c r="Q226" s="211" t="s">
        <v>6762</v>
      </c>
    </row>
    <row r="227" spans="1:17" ht="15.75" thickBot="1">
      <c r="C227" s="55" t="s">
        <v>12402</v>
      </c>
      <c r="D227" s="213">
        <v>0</v>
      </c>
      <c r="E227" s="213">
        <v>0</v>
      </c>
      <c r="F227" s="213">
        <v>0</v>
      </c>
      <c r="G227" s="213">
        <v>0</v>
      </c>
      <c r="H227" s="213">
        <v>0</v>
      </c>
      <c r="I227" s="213">
        <v>0</v>
      </c>
      <c r="J227" s="213">
        <v>0</v>
      </c>
      <c r="K227" s="213">
        <v>0</v>
      </c>
      <c r="L227" s="213">
        <v>0</v>
      </c>
      <c r="M227" s="213">
        <v>0</v>
      </c>
      <c r="N227" s="213">
        <v>4</v>
      </c>
      <c r="O227" s="213">
        <v>4</v>
      </c>
      <c r="Q227" s="211" t="s">
        <v>6766</v>
      </c>
    </row>
    <row r="228" spans="1:17" ht="15.75" thickBot="1">
      <c r="C228" s="55" t="s">
        <v>12402</v>
      </c>
      <c r="D228" s="217">
        <f t="shared" ref="D228:O228" si="104">SUM(D226:D227)</f>
        <v>0</v>
      </c>
      <c r="E228" s="217">
        <f t="shared" si="104"/>
        <v>0</v>
      </c>
      <c r="F228" s="217">
        <f t="shared" si="104"/>
        <v>0</v>
      </c>
      <c r="G228" s="217">
        <f t="shared" si="104"/>
        <v>0</v>
      </c>
      <c r="H228" s="217">
        <f t="shared" si="104"/>
        <v>0</v>
      </c>
      <c r="I228" s="217">
        <f t="shared" si="104"/>
        <v>0</v>
      </c>
      <c r="J228" s="217">
        <f t="shared" si="104"/>
        <v>0</v>
      </c>
      <c r="K228" s="217">
        <f t="shared" si="104"/>
        <v>0</v>
      </c>
      <c r="L228" s="217">
        <f t="shared" si="104"/>
        <v>0</v>
      </c>
      <c r="M228" s="217">
        <f t="shared" si="104"/>
        <v>0</v>
      </c>
      <c r="N228" s="217">
        <f t="shared" si="104"/>
        <v>17548</v>
      </c>
      <c r="O228" s="217">
        <f t="shared" si="104"/>
        <v>18033</v>
      </c>
      <c r="Q228" s="211"/>
    </row>
    <row r="229" spans="1:17">
      <c r="A229" s="211" t="s">
        <v>4535</v>
      </c>
      <c r="B229" s="110" t="s">
        <v>12883</v>
      </c>
      <c r="C229" s="55" t="s">
        <v>12397</v>
      </c>
      <c r="D229" s="213">
        <v>0</v>
      </c>
      <c r="E229" s="213">
        <v>0</v>
      </c>
      <c r="F229" s="213">
        <v>0</v>
      </c>
      <c r="G229" s="213">
        <v>0</v>
      </c>
      <c r="H229" s="213">
        <v>0</v>
      </c>
      <c r="I229" s="213">
        <v>0</v>
      </c>
      <c r="J229" s="213">
        <v>0</v>
      </c>
      <c r="K229" s="213">
        <v>0</v>
      </c>
      <c r="L229" s="213">
        <v>0</v>
      </c>
      <c r="M229" s="213">
        <v>0</v>
      </c>
      <c r="N229" s="213">
        <v>18347</v>
      </c>
      <c r="O229" s="213">
        <v>18923</v>
      </c>
      <c r="Q229" s="211" t="s">
        <v>6766</v>
      </c>
    </row>
    <row r="230" spans="1:17">
      <c r="A230" s="211" t="s">
        <v>4537</v>
      </c>
      <c r="B230" s="110" t="s">
        <v>4840</v>
      </c>
      <c r="C230" s="55" t="s">
        <v>12884</v>
      </c>
      <c r="D230" s="213">
        <v>0</v>
      </c>
      <c r="E230" s="213">
        <v>0</v>
      </c>
      <c r="F230" s="213">
        <v>0</v>
      </c>
      <c r="G230" s="213">
        <v>0</v>
      </c>
      <c r="H230" s="213">
        <v>0</v>
      </c>
      <c r="I230" s="213">
        <v>0</v>
      </c>
      <c r="J230" s="213">
        <v>0</v>
      </c>
      <c r="K230" s="213">
        <v>0</v>
      </c>
      <c r="L230" s="213">
        <v>0</v>
      </c>
      <c r="M230" s="213">
        <v>0</v>
      </c>
      <c r="N230" s="213">
        <v>15784</v>
      </c>
      <c r="O230" s="213">
        <v>16191</v>
      </c>
      <c r="Q230" s="211" t="s">
        <v>4579</v>
      </c>
    </row>
    <row r="231" spans="1:17" ht="15.75" thickBot="1">
      <c r="C231" s="55" t="s">
        <v>12884</v>
      </c>
      <c r="D231" s="213">
        <v>0</v>
      </c>
      <c r="E231" s="213">
        <v>0</v>
      </c>
      <c r="F231" s="213">
        <v>0</v>
      </c>
      <c r="G231" s="213">
        <v>0</v>
      </c>
      <c r="H231" s="213">
        <v>0</v>
      </c>
      <c r="I231" s="213">
        <v>0</v>
      </c>
      <c r="J231" s="213">
        <v>0</v>
      </c>
      <c r="K231" s="213">
        <v>0</v>
      </c>
      <c r="L231" s="213">
        <v>0</v>
      </c>
      <c r="M231" s="213">
        <v>0</v>
      </c>
      <c r="N231" s="213">
        <v>4</v>
      </c>
      <c r="O231" s="213">
        <v>4</v>
      </c>
      <c r="Q231" s="211" t="s">
        <v>6764</v>
      </c>
    </row>
    <row r="232" spans="1:17" ht="15.75" thickBot="1">
      <c r="C232" s="55" t="s">
        <v>12884</v>
      </c>
      <c r="D232" s="217">
        <f t="shared" ref="D232:O232" si="105">SUM(D230:D231)</f>
        <v>0</v>
      </c>
      <c r="E232" s="217">
        <f t="shared" si="105"/>
        <v>0</v>
      </c>
      <c r="F232" s="217">
        <f t="shared" si="105"/>
        <v>0</v>
      </c>
      <c r="G232" s="217">
        <f t="shared" si="105"/>
        <v>0</v>
      </c>
      <c r="H232" s="217">
        <f t="shared" si="105"/>
        <v>0</v>
      </c>
      <c r="I232" s="217">
        <f t="shared" si="105"/>
        <v>0</v>
      </c>
      <c r="J232" s="217">
        <f t="shared" si="105"/>
        <v>0</v>
      </c>
      <c r="K232" s="217">
        <f t="shared" si="105"/>
        <v>0</v>
      </c>
      <c r="L232" s="217">
        <f t="shared" si="105"/>
        <v>0</v>
      </c>
      <c r="M232" s="217">
        <f t="shared" si="105"/>
        <v>0</v>
      </c>
      <c r="N232" s="217">
        <f t="shared" si="105"/>
        <v>15788</v>
      </c>
      <c r="O232" s="217">
        <f t="shared" si="105"/>
        <v>16195</v>
      </c>
      <c r="Q232" s="211"/>
    </row>
    <row r="233" spans="1:17">
      <c r="A233" s="211" t="s">
        <v>4539</v>
      </c>
      <c r="B233" s="110" t="s">
        <v>4800</v>
      </c>
      <c r="C233" s="55" t="s">
        <v>12398</v>
      </c>
      <c r="D233" s="213">
        <v>0</v>
      </c>
      <c r="E233" s="213">
        <v>0</v>
      </c>
      <c r="F233" s="213">
        <v>0</v>
      </c>
      <c r="G233" s="213">
        <v>0</v>
      </c>
      <c r="H233" s="213">
        <v>0</v>
      </c>
      <c r="I233" s="213">
        <v>0</v>
      </c>
      <c r="J233" s="213">
        <v>0</v>
      </c>
      <c r="K233" s="213">
        <v>0</v>
      </c>
      <c r="L233" s="213">
        <v>0</v>
      </c>
      <c r="M233" s="213">
        <v>0</v>
      </c>
      <c r="N233" s="213">
        <v>17061</v>
      </c>
      <c r="O233" s="213">
        <v>17758</v>
      </c>
      <c r="Q233" s="211" t="s">
        <v>6761</v>
      </c>
    </row>
    <row r="234" spans="1:17">
      <c r="A234" s="211" t="s">
        <v>6158</v>
      </c>
      <c r="B234" s="110" t="s">
        <v>4801</v>
      </c>
      <c r="C234" s="55" t="s">
        <v>12885</v>
      </c>
      <c r="D234" s="213">
        <v>0</v>
      </c>
      <c r="E234" s="213">
        <v>0</v>
      </c>
      <c r="F234" s="213">
        <v>0</v>
      </c>
      <c r="G234" s="213">
        <v>0</v>
      </c>
      <c r="H234" s="213">
        <v>0</v>
      </c>
      <c r="I234" s="213">
        <v>0</v>
      </c>
      <c r="J234" s="213">
        <v>0</v>
      </c>
      <c r="K234" s="213">
        <v>0</v>
      </c>
      <c r="L234" s="213">
        <v>0</v>
      </c>
      <c r="M234" s="213">
        <v>0</v>
      </c>
      <c r="N234" s="213">
        <v>144</v>
      </c>
      <c r="O234" s="213">
        <v>153</v>
      </c>
      <c r="Q234" s="211" t="s">
        <v>4579</v>
      </c>
    </row>
    <row r="235" spans="1:17" ht="15.75" thickBot="1">
      <c r="C235" s="55" t="s">
        <v>12885</v>
      </c>
      <c r="D235" s="213">
        <v>0</v>
      </c>
      <c r="E235" s="213">
        <v>0</v>
      </c>
      <c r="F235" s="213">
        <v>0</v>
      </c>
      <c r="G235" s="213">
        <v>0</v>
      </c>
      <c r="H235" s="213">
        <v>0</v>
      </c>
      <c r="I235" s="213">
        <v>0</v>
      </c>
      <c r="J235" s="213">
        <v>0</v>
      </c>
      <c r="K235" s="213">
        <v>0</v>
      </c>
      <c r="L235" s="213">
        <v>0</v>
      </c>
      <c r="M235" s="213">
        <v>0</v>
      </c>
      <c r="N235" s="213">
        <v>15897</v>
      </c>
      <c r="O235" s="213">
        <v>16298</v>
      </c>
      <c r="Q235" s="211" t="s">
        <v>6111</v>
      </c>
    </row>
    <row r="236" spans="1:17" ht="15.75" thickBot="1">
      <c r="C236" s="55" t="s">
        <v>12885</v>
      </c>
      <c r="D236" s="217">
        <f t="shared" ref="D236:O236" si="106">SUM(D234:D235)</f>
        <v>0</v>
      </c>
      <c r="E236" s="217">
        <f t="shared" si="106"/>
        <v>0</v>
      </c>
      <c r="F236" s="217">
        <f t="shared" si="106"/>
        <v>0</v>
      </c>
      <c r="G236" s="217">
        <f t="shared" si="106"/>
        <v>0</v>
      </c>
      <c r="H236" s="217">
        <f t="shared" si="106"/>
        <v>0</v>
      </c>
      <c r="I236" s="217">
        <f t="shared" si="106"/>
        <v>0</v>
      </c>
      <c r="J236" s="217">
        <f t="shared" si="106"/>
        <v>0</v>
      </c>
      <c r="K236" s="217">
        <f t="shared" si="106"/>
        <v>0</v>
      </c>
      <c r="L236" s="217">
        <f t="shared" si="106"/>
        <v>0</v>
      </c>
      <c r="M236" s="217">
        <f t="shared" si="106"/>
        <v>0</v>
      </c>
      <c r="N236" s="217">
        <f t="shared" si="106"/>
        <v>16041</v>
      </c>
      <c r="O236" s="217">
        <f t="shared" si="106"/>
        <v>16451</v>
      </c>
      <c r="Q236" s="211"/>
    </row>
    <row r="237" spans="1:17">
      <c r="A237" s="211" t="s">
        <v>6159</v>
      </c>
      <c r="B237" s="110" t="s">
        <v>4802</v>
      </c>
      <c r="C237" s="55" t="s">
        <v>12399</v>
      </c>
      <c r="D237" s="213">
        <v>0</v>
      </c>
      <c r="E237" s="213">
        <v>0</v>
      </c>
      <c r="F237" s="213">
        <v>0</v>
      </c>
      <c r="G237" s="213">
        <v>0</v>
      </c>
      <c r="H237" s="213">
        <v>0</v>
      </c>
      <c r="I237" s="213">
        <v>0</v>
      </c>
      <c r="J237" s="213">
        <v>0</v>
      </c>
      <c r="K237" s="213">
        <v>0</v>
      </c>
      <c r="L237" s="213">
        <v>0</v>
      </c>
      <c r="M237" s="213">
        <v>0</v>
      </c>
      <c r="N237" s="213">
        <v>4</v>
      </c>
      <c r="O237" s="213">
        <v>4</v>
      </c>
      <c r="Q237" s="211" t="s">
        <v>6761</v>
      </c>
    </row>
    <row r="238" spans="1:17" ht="15.75" thickBot="1">
      <c r="C238" s="55" t="s">
        <v>12399</v>
      </c>
      <c r="D238" s="213">
        <v>0</v>
      </c>
      <c r="E238" s="213">
        <v>0</v>
      </c>
      <c r="F238" s="213">
        <v>0</v>
      </c>
      <c r="G238" s="213">
        <v>0</v>
      </c>
      <c r="H238" s="213">
        <v>0</v>
      </c>
      <c r="I238" s="213">
        <v>0</v>
      </c>
      <c r="J238" s="213">
        <v>0</v>
      </c>
      <c r="K238" s="213">
        <v>0</v>
      </c>
      <c r="L238" s="213">
        <v>0</v>
      </c>
      <c r="M238" s="213">
        <v>0</v>
      </c>
      <c r="N238" s="213">
        <v>14786</v>
      </c>
      <c r="O238" s="213">
        <v>15951</v>
      </c>
      <c r="Q238" s="211" t="s">
        <v>6762</v>
      </c>
    </row>
    <row r="239" spans="1:17" ht="15.75" thickBot="1">
      <c r="C239" s="55" t="s">
        <v>12399</v>
      </c>
      <c r="D239" s="217">
        <f t="shared" ref="D239:O239" si="107">SUM(D237:D238)</f>
        <v>0</v>
      </c>
      <c r="E239" s="217">
        <f t="shared" si="107"/>
        <v>0</v>
      </c>
      <c r="F239" s="217">
        <f t="shared" si="107"/>
        <v>0</v>
      </c>
      <c r="G239" s="217">
        <f t="shared" si="107"/>
        <v>0</v>
      </c>
      <c r="H239" s="217">
        <f t="shared" si="107"/>
        <v>0</v>
      </c>
      <c r="I239" s="217">
        <f t="shared" si="107"/>
        <v>0</v>
      </c>
      <c r="J239" s="217">
        <f t="shared" si="107"/>
        <v>0</v>
      </c>
      <c r="K239" s="217">
        <f t="shared" si="107"/>
        <v>0</v>
      </c>
      <c r="L239" s="217">
        <f t="shared" si="107"/>
        <v>0</v>
      </c>
      <c r="M239" s="217">
        <f t="shared" si="107"/>
        <v>0</v>
      </c>
      <c r="N239" s="217">
        <f t="shared" si="107"/>
        <v>14790</v>
      </c>
      <c r="O239" s="217">
        <f t="shared" si="107"/>
        <v>15955</v>
      </c>
      <c r="Q239" s="211"/>
    </row>
    <row r="240" spans="1:17">
      <c r="A240" s="211" t="s">
        <v>6160</v>
      </c>
      <c r="B240" s="110" t="s">
        <v>4803</v>
      </c>
      <c r="C240" s="55" t="s">
        <v>12400</v>
      </c>
      <c r="D240" s="213">
        <v>0</v>
      </c>
      <c r="E240" s="213">
        <v>0</v>
      </c>
      <c r="F240" s="213">
        <v>0</v>
      </c>
      <c r="G240" s="213">
        <v>0</v>
      </c>
      <c r="H240" s="213">
        <v>0</v>
      </c>
      <c r="I240" s="213">
        <v>0</v>
      </c>
      <c r="J240" s="213">
        <v>0</v>
      </c>
      <c r="K240" s="213">
        <v>0</v>
      </c>
      <c r="L240" s="213">
        <v>0</v>
      </c>
      <c r="M240" s="213">
        <v>0</v>
      </c>
      <c r="N240" s="213">
        <v>16094</v>
      </c>
      <c r="O240" s="213">
        <v>16520</v>
      </c>
      <c r="Q240" s="211" t="s">
        <v>4579</v>
      </c>
    </row>
    <row r="241" spans="1:17">
      <c r="D241" s="214"/>
      <c r="E241" s="214"/>
      <c r="F241" s="214"/>
      <c r="G241" s="214"/>
      <c r="H241" s="214"/>
      <c r="I241" s="63"/>
      <c r="J241" s="63"/>
      <c r="K241" s="63"/>
      <c r="L241" s="63"/>
    </row>
    <row r="242" spans="1:17">
      <c r="A242" s="211" t="s">
        <v>4579</v>
      </c>
      <c r="D242" s="213">
        <f t="shared" ref="D242:M242" si="108">SUM(D185,D203,D206,D215,D230,D234,D240)</f>
        <v>77858</v>
      </c>
      <c r="E242" s="213">
        <f t="shared" si="108"/>
        <v>77994</v>
      </c>
      <c r="F242" s="213">
        <f t="shared" si="108"/>
        <v>78521</v>
      </c>
      <c r="G242" s="213">
        <f t="shared" si="108"/>
        <v>78781</v>
      </c>
      <c r="H242" s="213">
        <f t="shared" si="108"/>
        <v>77587</v>
      </c>
      <c r="I242" s="213">
        <f t="shared" si="108"/>
        <v>78038</v>
      </c>
      <c r="J242" s="213">
        <f t="shared" si="108"/>
        <v>77287</v>
      </c>
      <c r="K242" s="213">
        <f t="shared" si="108"/>
        <v>78913</v>
      </c>
      <c r="L242" s="213">
        <f t="shared" si="108"/>
        <v>78278</v>
      </c>
      <c r="M242" s="213">
        <f t="shared" si="108"/>
        <v>78514</v>
      </c>
      <c r="N242" s="213">
        <f>SUM(N185,N203,N206,N215,N230,N234,N240)</f>
        <v>79316</v>
      </c>
      <c r="O242" s="213">
        <f>SUM(O185,O203,O206,O215,O230,O234,O240)</f>
        <v>81421</v>
      </c>
    </row>
    <row r="243" spans="1:17">
      <c r="A243" s="211" t="s">
        <v>6110</v>
      </c>
      <c r="D243" s="213">
        <f t="shared" ref="D243:M243" si="109">SUM(D186,D189,D192,D194,D200,D209,D213,D217,D218)</f>
        <v>79696</v>
      </c>
      <c r="E243" s="213">
        <f t="shared" si="109"/>
        <v>80912</v>
      </c>
      <c r="F243" s="213">
        <f t="shared" si="109"/>
        <v>79025</v>
      </c>
      <c r="G243" s="213">
        <f t="shared" si="109"/>
        <v>82737</v>
      </c>
      <c r="H243" s="213">
        <f t="shared" si="109"/>
        <v>77542</v>
      </c>
      <c r="I243" s="213">
        <f t="shared" si="109"/>
        <v>73489</v>
      </c>
      <c r="J243" s="213">
        <f t="shared" si="109"/>
        <v>73767</v>
      </c>
      <c r="K243" s="213">
        <f t="shared" si="109"/>
        <v>79095</v>
      </c>
      <c r="L243" s="213">
        <f t="shared" si="109"/>
        <v>84272</v>
      </c>
      <c r="M243" s="213">
        <f t="shared" si="109"/>
        <v>78095</v>
      </c>
      <c r="N243" s="213">
        <f>SUM(N186,N189,N192,N194,N200,N209,N213,N217,N218)</f>
        <v>82211</v>
      </c>
      <c r="O243" s="213">
        <f>SUM(O186,O189,O192,O194,O200,O209,O213,O217,O218)</f>
        <v>91069</v>
      </c>
    </row>
    <row r="244" spans="1:17">
      <c r="A244" s="211" t="s">
        <v>6111</v>
      </c>
      <c r="D244" s="213">
        <f t="shared" ref="D244:M244" si="110">SUM(D199,D204,D207,D214,D235)</f>
        <v>64479</v>
      </c>
      <c r="E244" s="213">
        <f t="shared" si="110"/>
        <v>64742</v>
      </c>
      <c r="F244" s="213">
        <f t="shared" si="110"/>
        <v>65401</v>
      </c>
      <c r="G244" s="213">
        <f t="shared" si="110"/>
        <v>66055</v>
      </c>
      <c r="H244" s="213">
        <f t="shared" si="110"/>
        <v>62646</v>
      </c>
      <c r="I244" s="213">
        <f t="shared" si="110"/>
        <v>63581</v>
      </c>
      <c r="J244" s="213">
        <f t="shared" si="110"/>
        <v>62608</v>
      </c>
      <c r="K244" s="213">
        <f t="shared" si="110"/>
        <v>64655</v>
      </c>
      <c r="L244" s="213">
        <f t="shared" si="110"/>
        <v>64623</v>
      </c>
      <c r="M244" s="213">
        <f t="shared" si="110"/>
        <v>64579</v>
      </c>
      <c r="N244" s="213">
        <f>SUM(N199,N204,N207,N214,N235)</f>
        <v>65693</v>
      </c>
      <c r="O244" s="213">
        <f>SUM(O199,O204,O207,O214,O235)</f>
        <v>67883</v>
      </c>
    </row>
    <row r="245" spans="1:17">
      <c r="A245" s="211" t="s">
        <v>6761</v>
      </c>
      <c r="D245" s="213">
        <f t="shared" ref="D245:M245" si="111">SUM(D181,D184,D198,D221,D233,D237)</f>
        <v>67489</v>
      </c>
      <c r="E245" s="213">
        <f t="shared" si="111"/>
        <v>68269</v>
      </c>
      <c r="F245" s="213">
        <f t="shared" si="111"/>
        <v>68541</v>
      </c>
      <c r="G245" s="213">
        <f t="shared" si="111"/>
        <v>69037</v>
      </c>
      <c r="H245" s="213">
        <f t="shared" si="111"/>
        <v>66396</v>
      </c>
      <c r="I245" s="213">
        <f t="shared" si="111"/>
        <v>67091</v>
      </c>
      <c r="J245" s="213">
        <f t="shared" si="111"/>
        <v>65935</v>
      </c>
      <c r="K245" s="213">
        <f t="shared" si="111"/>
        <v>67746</v>
      </c>
      <c r="L245" s="213">
        <f t="shared" si="111"/>
        <v>67590</v>
      </c>
      <c r="M245" s="213">
        <f t="shared" si="111"/>
        <v>67264</v>
      </c>
      <c r="N245" s="213">
        <f>SUM(N181,N184,N198,N221,N233,N237)</f>
        <v>68059</v>
      </c>
      <c r="O245" s="213">
        <f>SUM(O181,O184,O198,O221,O233,O237)</f>
        <v>71011</v>
      </c>
    </row>
    <row r="246" spans="1:17">
      <c r="A246" s="211" t="s">
        <v>6762</v>
      </c>
      <c r="D246" s="213">
        <f t="shared" ref="D246:M246" si="112">SUM(D182,D210,D226,D238)</f>
        <v>64822</v>
      </c>
      <c r="E246" s="213">
        <f t="shared" si="112"/>
        <v>65047</v>
      </c>
      <c r="F246" s="213">
        <f t="shared" si="112"/>
        <v>61811</v>
      </c>
      <c r="G246" s="213">
        <f t="shared" si="112"/>
        <v>62907</v>
      </c>
      <c r="H246" s="213">
        <f t="shared" si="112"/>
        <v>58511</v>
      </c>
      <c r="I246" s="213">
        <f t="shared" si="112"/>
        <v>55213</v>
      </c>
      <c r="J246" s="213">
        <f t="shared" si="112"/>
        <v>55650</v>
      </c>
      <c r="K246" s="213">
        <f t="shared" si="112"/>
        <v>58694</v>
      </c>
      <c r="L246" s="213">
        <f t="shared" si="112"/>
        <v>60552</v>
      </c>
      <c r="M246" s="213">
        <f t="shared" si="112"/>
        <v>58553</v>
      </c>
      <c r="N246" s="213">
        <f>SUM(N182,N210,N226,N238)</f>
        <v>60641</v>
      </c>
      <c r="O246" s="213">
        <f>SUM(O182,O210,O226,O238)</f>
        <v>67856</v>
      </c>
    </row>
    <row r="247" spans="1:17">
      <c r="A247" s="211" t="s">
        <v>6763</v>
      </c>
      <c r="D247" s="213">
        <f t="shared" ref="D247:M247" si="113">SUM(D190,D193,D195,D201,D216,D222)</f>
        <v>67243</v>
      </c>
      <c r="E247" s="213">
        <f t="shared" si="113"/>
        <v>67222</v>
      </c>
      <c r="F247" s="213">
        <f t="shared" si="113"/>
        <v>67196</v>
      </c>
      <c r="G247" s="213">
        <f t="shared" si="113"/>
        <v>67226</v>
      </c>
      <c r="H247" s="213">
        <f t="shared" si="113"/>
        <v>61760</v>
      </c>
      <c r="I247" s="213">
        <f t="shared" si="113"/>
        <v>62295</v>
      </c>
      <c r="J247" s="213">
        <f t="shared" si="113"/>
        <v>61508</v>
      </c>
      <c r="K247" s="213">
        <f t="shared" si="113"/>
        <v>64155</v>
      </c>
      <c r="L247" s="213">
        <f t="shared" si="113"/>
        <v>65021</v>
      </c>
      <c r="M247" s="213">
        <f t="shared" si="113"/>
        <v>63954</v>
      </c>
      <c r="N247" s="213">
        <f>SUM(N190,N193,N195,N201,N216,N222)</f>
        <v>64470</v>
      </c>
      <c r="O247" s="213">
        <f>SUM(O190,O193,O195,O201,O216,O222)</f>
        <v>68113</v>
      </c>
    </row>
    <row r="248" spans="1:17">
      <c r="A248" s="211" t="s">
        <v>6258</v>
      </c>
      <c r="D248" s="213">
        <f t="shared" ref="D248:M248" si="114">SUM(D187,D219,D223,D225,D231)</f>
        <v>50969</v>
      </c>
      <c r="E248" s="213">
        <f t="shared" si="114"/>
        <v>51414</v>
      </c>
      <c r="F248" s="213">
        <f t="shared" si="114"/>
        <v>51602</v>
      </c>
      <c r="G248" s="213">
        <f t="shared" si="114"/>
        <v>51841</v>
      </c>
      <c r="H248" s="213">
        <f t="shared" si="114"/>
        <v>50318</v>
      </c>
      <c r="I248" s="213">
        <f t="shared" si="114"/>
        <v>50912</v>
      </c>
      <c r="J248" s="213">
        <f t="shared" si="114"/>
        <v>49925</v>
      </c>
      <c r="K248" s="213">
        <f t="shared" si="114"/>
        <v>51604</v>
      </c>
      <c r="L248" s="213">
        <f t="shared" si="114"/>
        <v>51123</v>
      </c>
      <c r="M248" s="213">
        <f t="shared" si="114"/>
        <v>51888</v>
      </c>
      <c r="N248" s="213">
        <f>SUM(N187,N219,N223,N225,N231)</f>
        <v>52012</v>
      </c>
      <c r="O248" s="213">
        <f>SUM(O187,O219,O223,O225,O231)</f>
        <v>53526</v>
      </c>
    </row>
    <row r="249" spans="1:17">
      <c r="A249" s="211" t="s">
        <v>6766</v>
      </c>
      <c r="D249" s="213">
        <f t="shared" ref="D249:M249" si="115">SUM(D196,D205,D212,D227,D229)</f>
        <v>69207</v>
      </c>
      <c r="E249" s="213">
        <f t="shared" si="115"/>
        <v>69738</v>
      </c>
      <c r="F249" s="213">
        <f t="shared" si="115"/>
        <v>69657</v>
      </c>
      <c r="G249" s="213">
        <f t="shared" si="115"/>
        <v>69991</v>
      </c>
      <c r="H249" s="213">
        <f t="shared" si="115"/>
        <v>69102</v>
      </c>
      <c r="I249" s="213">
        <f t="shared" si="115"/>
        <v>69338</v>
      </c>
      <c r="J249" s="213">
        <f t="shared" si="115"/>
        <v>68624</v>
      </c>
      <c r="K249" s="213">
        <f t="shared" si="115"/>
        <v>70863</v>
      </c>
      <c r="L249" s="213">
        <f t="shared" si="115"/>
        <v>70517</v>
      </c>
      <c r="M249" s="213">
        <f t="shared" si="115"/>
        <v>70447</v>
      </c>
      <c r="N249" s="213">
        <f>SUM(N196,N205,N212,N227,N229)</f>
        <v>71166</v>
      </c>
      <c r="O249" s="213">
        <f>SUM(O196,O205,O212,O227,O229)</f>
        <v>73700</v>
      </c>
    </row>
    <row r="250" spans="1:17">
      <c r="A250" s="211"/>
      <c r="D250" s="213"/>
      <c r="E250" s="213"/>
      <c r="F250" s="213"/>
      <c r="G250" s="213"/>
      <c r="H250" s="213"/>
      <c r="I250" s="213"/>
      <c r="J250" s="213"/>
      <c r="K250" s="213"/>
      <c r="L250" s="213"/>
    </row>
    <row r="251" spans="1:17">
      <c r="A251" s="211" t="s">
        <v>12890</v>
      </c>
      <c r="D251" s="213"/>
      <c r="E251" s="213"/>
      <c r="F251" s="213"/>
      <c r="G251" s="213"/>
      <c r="H251" s="213"/>
      <c r="I251" s="213"/>
      <c r="J251" s="213"/>
      <c r="K251" s="213"/>
      <c r="L251" s="213"/>
    </row>
    <row r="252" spans="1:17">
      <c r="A252" s="211" t="s">
        <v>12891</v>
      </c>
      <c r="B252" s="211"/>
      <c r="D252" s="224"/>
      <c r="E252" s="224"/>
      <c r="F252" s="224"/>
      <c r="G252" s="224"/>
      <c r="H252" s="224"/>
      <c r="I252" s="224"/>
      <c r="J252" s="224"/>
      <c r="K252" s="224"/>
      <c r="L252" s="224"/>
    </row>
    <row r="253" spans="1:17" ht="15" customHeight="1">
      <c r="A253" s="211"/>
      <c r="B253" s="211"/>
      <c r="D253" s="224"/>
      <c r="E253" s="224"/>
      <c r="F253" s="224"/>
      <c r="G253" s="224"/>
      <c r="H253" s="224"/>
      <c r="I253" s="224"/>
      <c r="J253" s="224"/>
      <c r="K253" s="224"/>
      <c r="L253" s="224"/>
    </row>
    <row r="254" spans="1:17">
      <c r="E254" s="51" t="s">
        <v>1526</v>
      </c>
      <c r="F254" s="51"/>
      <c r="G254" s="51"/>
      <c r="H254" s="51"/>
      <c r="I254" s="51"/>
      <c r="J254" s="51"/>
      <c r="K254" s="51"/>
      <c r="L254" s="51"/>
      <c r="M254" s="173"/>
      <c r="N254" s="173"/>
      <c r="O254" s="173"/>
      <c r="P254" s="173"/>
      <c r="Q254" s="173" t="s">
        <v>9479</v>
      </c>
    </row>
    <row r="255" spans="1:17">
      <c r="D255" s="212">
        <v>2010</v>
      </c>
      <c r="E255" s="212">
        <v>2011</v>
      </c>
      <c r="F255" s="212">
        <v>2012</v>
      </c>
      <c r="G255" s="212">
        <v>2013</v>
      </c>
      <c r="H255" s="212">
        <v>2014</v>
      </c>
      <c r="I255" s="212">
        <v>2015</v>
      </c>
      <c r="J255" s="212">
        <v>2016</v>
      </c>
      <c r="K255" s="212">
        <v>2017</v>
      </c>
      <c r="L255" s="212">
        <v>2018</v>
      </c>
      <c r="M255" s="212">
        <v>2019</v>
      </c>
      <c r="N255" s="212">
        <v>2020</v>
      </c>
      <c r="O255" s="926" t="s">
        <v>14823</v>
      </c>
      <c r="Q255" s="206" t="s">
        <v>1527</v>
      </c>
    </row>
    <row r="256" spans="1:17">
      <c r="A256" s="211" t="s">
        <v>3274</v>
      </c>
      <c r="D256" s="213">
        <f t="shared" ref="D256:I256" si="116">SUM(D257:D277)</f>
        <v>250658</v>
      </c>
      <c r="E256" s="213">
        <f t="shared" si="116"/>
        <v>252051</v>
      </c>
      <c r="F256" s="213">
        <f t="shared" si="116"/>
        <v>251403</v>
      </c>
      <c r="G256" s="213">
        <f t="shared" si="116"/>
        <v>250596</v>
      </c>
      <c r="H256" s="213">
        <f t="shared" si="116"/>
        <v>246378</v>
      </c>
      <c r="I256" s="213">
        <f t="shared" si="116"/>
        <v>247935</v>
      </c>
      <c r="J256" s="213">
        <f t="shared" ref="J256:O256" si="117">SUM(J257:J277)</f>
        <v>237299</v>
      </c>
      <c r="K256" s="213">
        <f t="shared" si="117"/>
        <v>241370</v>
      </c>
      <c r="L256" s="213">
        <f t="shared" si="117"/>
        <v>246957</v>
      </c>
      <c r="M256" s="213">
        <f t="shared" si="117"/>
        <v>244841</v>
      </c>
      <c r="N256" s="213">
        <f t="shared" si="117"/>
        <v>255186</v>
      </c>
      <c r="O256" s="213">
        <f t="shared" si="117"/>
        <v>254556</v>
      </c>
    </row>
    <row r="257" spans="1:17">
      <c r="A257" s="211" t="s">
        <v>5387</v>
      </c>
      <c r="B257" s="211" t="s">
        <v>3275</v>
      </c>
      <c r="C257" s="55" t="s">
        <v>5807</v>
      </c>
      <c r="D257" s="213">
        <v>12656</v>
      </c>
      <c r="E257" s="213">
        <v>12665</v>
      </c>
      <c r="F257" s="213">
        <v>12562</v>
      </c>
      <c r="G257" s="213">
        <v>12607</v>
      </c>
      <c r="H257" s="63">
        <v>12344</v>
      </c>
      <c r="I257" s="63">
        <v>12480</v>
      </c>
      <c r="J257" s="63">
        <v>12178</v>
      </c>
      <c r="K257" s="63">
        <v>12353</v>
      </c>
      <c r="L257" s="63">
        <v>12696</v>
      </c>
      <c r="M257" s="63">
        <v>12543</v>
      </c>
      <c r="N257" s="63">
        <v>13134</v>
      </c>
      <c r="O257" s="63">
        <v>13107</v>
      </c>
      <c r="Q257" s="211" t="s">
        <v>4582</v>
      </c>
    </row>
    <row r="258" spans="1:17">
      <c r="A258" s="211" t="s">
        <v>5389</v>
      </c>
      <c r="B258" s="211" t="s">
        <v>3276</v>
      </c>
      <c r="C258" s="55" t="s">
        <v>5808</v>
      </c>
      <c r="D258" s="213">
        <v>11597</v>
      </c>
      <c r="E258" s="213">
        <v>11625</v>
      </c>
      <c r="F258" s="213">
        <v>11442</v>
      </c>
      <c r="G258" s="213">
        <v>11547</v>
      </c>
      <c r="H258" s="63">
        <v>11299</v>
      </c>
      <c r="I258" s="63">
        <v>11393</v>
      </c>
      <c r="J258" s="63">
        <v>10844</v>
      </c>
      <c r="K258" s="63">
        <v>11000</v>
      </c>
      <c r="L258" s="63">
        <v>11128</v>
      </c>
      <c r="M258" s="63">
        <v>10969</v>
      </c>
      <c r="N258" s="63">
        <v>11317</v>
      </c>
      <c r="O258" s="63">
        <v>11301</v>
      </c>
      <c r="Q258" s="211" t="s">
        <v>6765</v>
      </c>
    </row>
    <row r="259" spans="1:17">
      <c r="A259" s="211" t="s">
        <v>5391</v>
      </c>
      <c r="B259" s="211" t="s">
        <v>3277</v>
      </c>
      <c r="C259" s="55" t="s">
        <v>5809</v>
      </c>
      <c r="D259" s="218">
        <v>12242</v>
      </c>
      <c r="E259" s="218">
        <v>12512</v>
      </c>
      <c r="F259" s="218">
        <v>12570</v>
      </c>
      <c r="G259" s="218">
        <v>12534</v>
      </c>
      <c r="H259" s="63">
        <v>12512</v>
      </c>
      <c r="I259" s="63">
        <v>12669</v>
      </c>
      <c r="J259" s="63">
        <v>12245</v>
      </c>
      <c r="K259" s="63">
        <v>12638</v>
      </c>
      <c r="L259" s="63">
        <v>12942</v>
      </c>
      <c r="M259" s="63">
        <v>12981</v>
      </c>
      <c r="N259" s="63">
        <v>13594</v>
      </c>
      <c r="O259" s="63">
        <v>13553</v>
      </c>
      <c r="Q259" s="211" t="s">
        <v>6765</v>
      </c>
    </row>
    <row r="260" spans="1:17">
      <c r="A260" s="211" t="s">
        <v>5393</v>
      </c>
      <c r="B260" s="211" t="s">
        <v>3278</v>
      </c>
      <c r="C260" s="55" t="s">
        <v>5810</v>
      </c>
      <c r="D260" s="213">
        <v>12028</v>
      </c>
      <c r="E260" s="213">
        <v>12039</v>
      </c>
      <c r="F260" s="213">
        <v>12055</v>
      </c>
      <c r="G260" s="213">
        <v>11943</v>
      </c>
      <c r="H260" s="63">
        <v>11842</v>
      </c>
      <c r="I260" s="63">
        <v>11873</v>
      </c>
      <c r="J260" s="63">
        <v>11207</v>
      </c>
      <c r="K260" s="63">
        <v>11328</v>
      </c>
      <c r="L260" s="63">
        <v>11657</v>
      </c>
      <c r="M260" s="63">
        <v>11636</v>
      </c>
      <c r="N260" s="63">
        <v>12266</v>
      </c>
      <c r="O260" s="63">
        <v>12241</v>
      </c>
      <c r="Q260" s="211" t="s">
        <v>6765</v>
      </c>
    </row>
    <row r="261" spans="1:17">
      <c r="A261" s="211" t="s">
        <v>5394</v>
      </c>
      <c r="B261" s="211" t="s">
        <v>3279</v>
      </c>
      <c r="C261" s="55" t="s">
        <v>5811</v>
      </c>
      <c r="D261" s="213">
        <v>12260</v>
      </c>
      <c r="E261" s="213">
        <v>12244</v>
      </c>
      <c r="F261" s="213">
        <v>12132</v>
      </c>
      <c r="G261" s="213">
        <v>12159</v>
      </c>
      <c r="H261" s="63">
        <v>12060</v>
      </c>
      <c r="I261" s="63">
        <v>12087</v>
      </c>
      <c r="J261" s="63">
        <v>11637</v>
      </c>
      <c r="K261" s="63">
        <v>11785</v>
      </c>
      <c r="L261" s="63">
        <v>12044</v>
      </c>
      <c r="M261" s="63">
        <v>11900</v>
      </c>
      <c r="N261" s="63">
        <v>12345</v>
      </c>
      <c r="O261" s="63">
        <v>12363</v>
      </c>
      <c r="Q261" s="211" t="s">
        <v>4582</v>
      </c>
    </row>
    <row r="262" spans="1:17">
      <c r="A262" s="211" t="s">
        <v>5416</v>
      </c>
      <c r="B262" s="211" t="s">
        <v>3280</v>
      </c>
      <c r="C262" s="55" t="s">
        <v>5812</v>
      </c>
      <c r="D262" s="213">
        <v>12702</v>
      </c>
      <c r="E262" s="213">
        <v>12702</v>
      </c>
      <c r="F262" s="213">
        <v>12688</v>
      </c>
      <c r="G262" s="213">
        <v>12782</v>
      </c>
      <c r="H262" s="63">
        <v>12665</v>
      </c>
      <c r="I262" s="63">
        <v>12720</v>
      </c>
      <c r="J262" s="63">
        <v>12120</v>
      </c>
      <c r="K262" s="63">
        <v>12346</v>
      </c>
      <c r="L262" s="63">
        <v>12643</v>
      </c>
      <c r="M262" s="63">
        <v>12568</v>
      </c>
      <c r="N262" s="63">
        <v>12997</v>
      </c>
      <c r="O262" s="63">
        <v>12974</v>
      </c>
      <c r="Q262" s="211" t="s">
        <v>4582</v>
      </c>
    </row>
    <row r="263" spans="1:17">
      <c r="A263" s="211" t="s">
        <v>5418</v>
      </c>
      <c r="B263" s="211" t="s">
        <v>3281</v>
      </c>
      <c r="C263" s="55" t="s">
        <v>5813</v>
      </c>
      <c r="D263" s="213">
        <v>11748</v>
      </c>
      <c r="E263" s="213">
        <v>11963</v>
      </c>
      <c r="F263" s="213">
        <v>12001</v>
      </c>
      <c r="G263" s="213">
        <v>11893</v>
      </c>
      <c r="H263" s="63">
        <v>11623</v>
      </c>
      <c r="I263" s="63">
        <v>11759</v>
      </c>
      <c r="J263" s="63">
        <v>11263</v>
      </c>
      <c r="K263" s="63">
        <v>11335</v>
      </c>
      <c r="L263" s="63">
        <v>11600</v>
      </c>
      <c r="M263" s="63">
        <v>11535</v>
      </c>
      <c r="N263" s="63">
        <v>11966</v>
      </c>
      <c r="O263" s="63">
        <v>11915</v>
      </c>
      <c r="Q263" s="211" t="s">
        <v>4582</v>
      </c>
    </row>
    <row r="264" spans="1:17">
      <c r="A264" s="211" t="s">
        <v>5420</v>
      </c>
      <c r="B264" s="211" t="s">
        <v>3282</v>
      </c>
      <c r="C264" s="55" t="s">
        <v>5814</v>
      </c>
      <c r="D264" s="213">
        <v>12060</v>
      </c>
      <c r="E264" s="213">
        <v>12111</v>
      </c>
      <c r="F264" s="213">
        <v>12040</v>
      </c>
      <c r="G264" s="213">
        <v>12129</v>
      </c>
      <c r="H264" s="63">
        <v>11947</v>
      </c>
      <c r="I264" s="63">
        <v>12021</v>
      </c>
      <c r="J264" s="63">
        <v>11424</v>
      </c>
      <c r="K264" s="63">
        <v>11634</v>
      </c>
      <c r="L264" s="63">
        <v>11863</v>
      </c>
      <c r="M264" s="63">
        <v>11648</v>
      </c>
      <c r="N264" s="63">
        <v>11972</v>
      </c>
      <c r="O264" s="63">
        <v>11959</v>
      </c>
      <c r="Q264" s="211" t="s">
        <v>6768</v>
      </c>
    </row>
    <row r="265" spans="1:17">
      <c r="A265" s="211" t="s">
        <v>5422</v>
      </c>
      <c r="B265" s="211" t="s">
        <v>3283</v>
      </c>
      <c r="C265" s="55" t="s">
        <v>5815</v>
      </c>
      <c r="D265" s="213">
        <v>10534</v>
      </c>
      <c r="E265" s="213">
        <v>10621</v>
      </c>
      <c r="F265" s="213">
        <v>10724</v>
      </c>
      <c r="G265" s="213">
        <v>10697</v>
      </c>
      <c r="H265" s="63">
        <v>10176</v>
      </c>
      <c r="I265" s="63">
        <v>10244</v>
      </c>
      <c r="J265" s="63">
        <v>9672</v>
      </c>
      <c r="K265" s="63">
        <v>9851</v>
      </c>
      <c r="L265" s="63">
        <v>10045</v>
      </c>
      <c r="M265" s="63">
        <v>9856</v>
      </c>
      <c r="N265" s="63">
        <v>10330</v>
      </c>
      <c r="O265" s="63">
        <v>10281</v>
      </c>
      <c r="Q265" s="211" t="s">
        <v>6765</v>
      </c>
    </row>
    <row r="266" spans="1:17">
      <c r="A266" s="211" t="s">
        <v>5424</v>
      </c>
      <c r="B266" s="211" t="s">
        <v>5531</v>
      </c>
      <c r="C266" s="55" t="s">
        <v>5816</v>
      </c>
      <c r="D266" s="218">
        <v>12337</v>
      </c>
      <c r="E266" s="218">
        <v>12309</v>
      </c>
      <c r="F266" s="218">
        <v>12356</v>
      </c>
      <c r="G266" s="218">
        <v>12226</v>
      </c>
      <c r="H266" s="63">
        <v>11985</v>
      </c>
      <c r="I266" s="63">
        <v>12007</v>
      </c>
      <c r="J266" s="63">
        <v>11454</v>
      </c>
      <c r="K266" s="63">
        <v>11500</v>
      </c>
      <c r="L266" s="63">
        <v>11687</v>
      </c>
      <c r="M266" s="63">
        <v>11463</v>
      </c>
      <c r="N266" s="63">
        <v>11885</v>
      </c>
      <c r="O266" s="63">
        <v>11876</v>
      </c>
      <c r="Q266" s="211" t="s">
        <v>6765</v>
      </c>
    </row>
    <row r="267" spans="1:17">
      <c r="A267" s="211" t="s">
        <v>5426</v>
      </c>
      <c r="B267" s="211" t="s">
        <v>3284</v>
      </c>
      <c r="C267" s="55" t="s">
        <v>5817</v>
      </c>
      <c r="D267" s="213">
        <v>12587</v>
      </c>
      <c r="E267" s="213">
        <v>12753</v>
      </c>
      <c r="F267" s="213">
        <v>12650</v>
      </c>
      <c r="G267" s="213">
        <v>12647</v>
      </c>
      <c r="H267" s="63">
        <v>12520</v>
      </c>
      <c r="I267" s="63">
        <v>12606</v>
      </c>
      <c r="J267" s="63">
        <v>12147</v>
      </c>
      <c r="K267" s="63">
        <v>12283</v>
      </c>
      <c r="L267" s="63">
        <v>12383</v>
      </c>
      <c r="M267" s="63">
        <v>12219</v>
      </c>
      <c r="N267" s="63">
        <v>12628</v>
      </c>
      <c r="O267" s="63">
        <v>12623</v>
      </c>
      <c r="Q267" s="211" t="s">
        <v>6768</v>
      </c>
    </row>
    <row r="268" spans="1:17">
      <c r="A268" s="211" t="s">
        <v>5428</v>
      </c>
      <c r="B268" s="211" t="s">
        <v>3285</v>
      </c>
      <c r="C268" s="55" t="s">
        <v>5818</v>
      </c>
      <c r="D268" s="213">
        <v>11925</v>
      </c>
      <c r="E268" s="213">
        <v>12088</v>
      </c>
      <c r="F268" s="213">
        <v>12145</v>
      </c>
      <c r="G268" s="213">
        <v>12083</v>
      </c>
      <c r="H268" s="63">
        <v>11742</v>
      </c>
      <c r="I268" s="63">
        <v>11808</v>
      </c>
      <c r="J268" s="63">
        <v>11272</v>
      </c>
      <c r="K268" s="63">
        <v>11699</v>
      </c>
      <c r="L268" s="63">
        <v>12285</v>
      </c>
      <c r="M268" s="63">
        <v>12544</v>
      </c>
      <c r="N268" s="63">
        <v>13485</v>
      </c>
      <c r="O268" s="63">
        <v>13430</v>
      </c>
      <c r="Q268" s="211" t="s">
        <v>6765</v>
      </c>
    </row>
    <row r="269" spans="1:17">
      <c r="A269" s="211" t="s">
        <v>5429</v>
      </c>
      <c r="B269" s="211" t="s">
        <v>3286</v>
      </c>
      <c r="C269" s="55" t="s">
        <v>5819</v>
      </c>
      <c r="D269" s="213">
        <v>12171</v>
      </c>
      <c r="E269" s="213">
        <v>12090</v>
      </c>
      <c r="F269" s="213">
        <v>12016</v>
      </c>
      <c r="G269" s="213">
        <v>11914</v>
      </c>
      <c r="H269" s="63">
        <v>11823</v>
      </c>
      <c r="I269" s="63">
        <v>11805</v>
      </c>
      <c r="J269" s="63">
        <v>11403</v>
      </c>
      <c r="K269" s="63">
        <v>11645</v>
      </c>
      <c r="L269" s="63">
        <v>11845</v>
      </c>
      <c r="M269" s="63">
        <v>11594</v>
      </c>
      <c r="N269" s="63">
        <v>11997</v>
      </c>
      <c r="O269" s="63">
        <v>11945</v>
      </c>
      <c r="Q269" s="211" t="s">
        <v>6765</v>
      </c>
    </row>
    <row r="270" spans="1:17">
      <c r="A270" s="211" t="s">
        <v>5431</v>
      </c>
      <c r="B270" s="211" t="s">
        <v>3287</v>
      </c>
      <c r="C270" s="55" t="s">
        <v>5820</v>
      </c>
      <c r="D270" s="213">
        <v>13379</v>
      </c>
      <c r="E270" s="213">
        <v>13352</v>
      </c>
      <c r="F270" s="213">
        <v>13244</v>
      </c>
      <c r="G270" s="213">
        <v>13149</v>
      </c>
      <c r="H270" s="63">
        <v>12803</v>
      </c>
      <c r="I270" s="63">
        <v>12918</v>
      </c>
      <c r="J270" s="63">
        <v>12361</v>
      </c>
      <c r="K270" s="63">
        <v>12668</v>
      </c>
      <c r="L270" s="63">
        <v>12970</v>
      </c>
      <c r="M270" s="63">
        <v>12850</v>
      </c>
      <c r="N270" s="63">
        <v>13232</v>
      </c>
      <c r="O270" s="63">
        <v>13153</v>
      </c>
      <c r="Q270" s="211" t="s">
        <v>4582</v>
      </c>
    </row>
    <row r="271" spans="1:17">
      <c r="A271" s="211" t="s">
        <v>5433</v>
      </c>
      <c r="B271" s="211" t="s">
        <v>3288</v>
      </c>
      <c r="C271" s="55" t="s">
        <v>5821</v>
      </c>
      <c r="D271" s="213">
        <v>11978</v>
      </c>
      <c r="E271" s="213">
        <v>12079</v>
      </c>
      <c r="F271" s="213">
        <v>12185</v>
      </c>
      <c r="G271" s="213">
        <v>12228</v>
      </c>
      <c r="H271" s="63">
        <v>12286</v>
      </c>
      <c r="I271" s="63">
        <v>12400</v>
      </c>
      <c r="J271" s="63">
        <v>11957</v>
      </c>
      <c r="K271" s="63">
        <v>12004</v>
      </c>
      <c r="L271" s="63">
        <v>12322</v>
      </c>
      <c r="M271" s="63">
        <v>12272</v>
      </c>
      <c r="N271" s="63">
        <v>12786</v>
      </c>
      <c r="O271" s="63">
        <v>12793</v>
      </c>
      <c r="Q271" s="211" t="s">
        <v>6764</v>
      </c>
    </row>
    <row r="272" spans="1:17">
      <c r="A272" s="211" t="s">
        <v>5435</v>
      </c>
      <c r="B272" s="211" t="s">
        <v>3289</v>
      </c>
      <c r="C272" s="55" t="s">
        <v>5822</v>
      </c>
      <c r="D272" s="218">
        <v>11174</v>
      </c>
      <c r="E272" s="218">
        <v>11163</v>
      </c>
      <c r="F272" s="218">
        <v>11097</v>
      </c>
      <c r="G272" s="218">
        <v>10878</v>
      </c>
      <c r="H272" s="63">
        <v>10451</v>
      </c>
      <c r="I272" s="63">
        <v>10424</v>
      </c>
      <c r="J272" s="63">
        <v>9798</v>
      </c>
      <c r="K272" s="63">
        <v>9875</v>
      </c>
      <c r="L272" s="63">
        <v>10074</v>
      </c>
      <c r="M272" s="63">
        <v>9842</v>
      </c>
      <c r="N272" s="63">
        <v>10217</v>
      </c>
      <c r="O272" s="63">
        <v>10185</v>
      </c>
      <c r="Q272" s="211" t="s">
        <v>6768</v>
      </c>
    </row>
    <row r="273" spans="1:17">
      <c r="A273" s="211" t="s">
        <v>5436</v>
      </c>
      <c r="B273" s="211" t="s">
        <v>3290</v>
      </c>
      <c r="C273" s="55" t="s">
        <v>5823</v>
      </c>
      <c r="D273" s="218">
        <v>10718</v>
      </c>
      <c r="E273" s="218">
        <v>10765</v>
      </c>
      <c r="F273" s="218">
        <v>10779</v>
      </c>
      <c r="G273" s="218">
        <v>10580</v>
      </c>
      <c r="H273" s="63">
        <v>10159</v>
      </c>
      <c r="I273" s="63">
        <v>10321</v>
      </c>
      <c r="J273" s="63">
        <v>9951</v>
      </c>
      <c r="K273" s="63">
        <v>10349</v>
      </c>
      <c r="L273" s="63">
        <v>10723</v>
      </c>
      <c r="M273" s="63">
        <v>10650</v>
      </c>
      <c r="N273" s="63">
        <v>11199</v>
      </c>
      <c r="O273" s="63">
        <v>11191</v>
      </c>
      <c r="Q273" s="211" t="s">
        <v>6768</v>
      </c>
    </row>
    <row r="274" spans="1:17">
      <c r="A274" s="211" t="s">
        <v>5437</v>
      </c>
      <c r="B274" s="211" t="s">
        <v>3291</v>
      </c>
      <c r="C274" s="55" t="s">
        <v>5824</v>
      </c>
      <c r="D274" s="213">
        <v>13274</v>
      </c>
      <c r="E274" s="213">
        <v>13505</v>
      </c>
      <c r="F274" s="213">
        <v>13477</v>
      </c>
      <c r="G274" s="213">
        <v>13586</v>
      </c>
      <c r="H274" s="63">
        <v>13398</v>
      </c>
      <c r="I274" s="63">
        <v>13539</v>
      </c>
      <c r="J274" s="63">
        <v>13088</v>
      </c>
      <c r="K274" s="63">
        <v>13294</v>
      </c>
      <c r="L274" s="63">
        <v>13587</v>
      </c>
      <c r="M274" s="63">
        <v>13444</v>
      </c>
      <c r="N274" s="63">
        <v>13881</v>
      </c>
      <c r="O274" s="63">
        <v>13868</v>
      </c>
      <c r="Q274" s="211" t="s">
        <v>6768</v>
      </c>
    </row>
    <row r="275" spans="1:17">
      <c r="A275" s="211" t="s">
        <v>5439</v>
      </c>
      <c r="B275" s="211" t="s">
        <v>3292</v>
      </c>
      <c r="C275" s="55" t="s">
        <v>5825</v>
      </c>
      <c r="D275" s="218">
        <v>10450</v>
      </c>
      <c r="E275" s="218">
        <v>10561</v>
      </c>
      <c r="F275" s="218">
        <v>10374</v>
      </c>
      <c r="G275" s="218">
        <v>10349</v>
      </c>
      <c r="H275" s="63">
        <v>10224</v>
      </c>
      <c r="I275" s="63">
        <v>10242</v>
      </c>
      <c r="J275" s="63">
        <v>9760</v>
      </c>
      <c r="K275" s="63">
        <v>9880</v>
      </c>
      <c r="L275" s="63">
        <v>10083</v>
      </c>
      <c r="M275" s="63">
        <v>9875</v>
      </c>
      <c r="N275" s="63">
        <v>10327</v>
      </c>
      <c r="O275" s="63">
        <v>10194</v>
      </c>
      <c r="Q275" s="211" t="s">
        <v>4582</v>
      </c>
    </row>
    <row r="276" spans="1:17">
      <c r="A276" s="211" t="s">
        <v>5441</v>
      </c>
      <c r="B276" s="211" t="s">
        <v>3293</v>
      </c>
      <c r="C276" s="55" t="s">
        <v>5826</v>
      </c>
      <c r="D276" s="218">
        <v>11298</v>
      </c>
      <c r="E276" s="218">
        <v>11234</v>
      </c>
      <c r="F276" s="218">
        <v>11222</v>
      </c>
      <c r="G276" s="218">
        <v>11013</v>
      </c>
      <c r="H276" s="63">
        <v>10865</v>
      </c>
      <c r="I276" s="63">
        <v>10869</v>
      </c>
      <c r="J276" s="63">
        <v>10144</v>
      </c>
      <c r="K276" s="63">
        <v>10261</v>
      </c>
      <c r="L276" s="63">
        <v>10401</v>
      </c>
      <c r="M276" s="63">
        <v>10275</v>
      </c>
      <c r="N276" s="63">
        <v>10612</v>
      </c>
      <c r="O276" s="63">
        <v>10593</v>
      </c>
      <c r="Q276" s="211" t="s">
        <v>6768</v>
      </c>
    </row>
    <row r="277" spans="1:17">
      <c r="A277" s="211" t="s">
        <v>5886</v>
      </c>
      <c r="B277" s="211" t="s">
        <v>6271</v>
      </c>
      <c r="C277" s="55" t="s">
        <v>5827</v>
      </c>
      <c r="D277" s="213">
        <v>11540</v>
      </c>
      <c r="E277" s="213">
        <v>11670</v>
      </c>
      <c r="F277" s="213">
        <v>11644</v>
      </c>
      <c r="G277" s="213">
        <v>11652</v>
      </c>
      <c r="H277" s="63">
        <v>11654</v>
      </c>
      <c r="I277" s="63">
        <v>11750</v>
      </c>
      <c r="J277" s="63">
        <v>11374</v>
      </c>
      <c r="K277" s="63">
        <v>11642</v>
      </c>
      <c r="L277" s="63">
        <v>11979</v>
      </c>
      <c r="M277" s="63">
        <v>12177</v>
      </c>
      <c r="N277" s="63">
        <v>13016</v>
      </c>
      <c r="O277" s="63">
        <v>13011</v>
      </c>
      <c r="Q277" s="211" t="s">
        <v>6764</v>
      </c>
    </row>
    <row r="278" spans="1:17">
      <c r="D278" s="214"/>
      <c r="E278" s="214"/>
      <c r="F278" s="214"/>
      <c r="G278" s="214"/>
      <c r="H278" s="214"/>
      <c r="I278" s="214"/>
      <c r="J278" s="214"/>
      <c r="K278" s="214"/>
      <c r="L278" s="214"/>
      <c r="M278" s="214"/>
      <c r="N278" s="214"/>
      <c r="O278" s="214"/>
    </row>
    <row r="279" spans="1:17">
      <c r="A279" s="211" t="s">
        <v>4582</v>
      </c>
      <c r="D279" s="213">
        <f t="shared" ref="D279:I279" si="118">D257+SUM(D261:D263)+D270+D275</f>
        <v>73195</v>
      </c>
      <c r="E279" s="213">
        <f t="shared" si="118"/>
        <v>73487</v>
      </c>
      <c r="F279" s="213">
        <f t="shared" si="118"/>
        <v>73001</v>
      </c>
      <c r="G279" s="213">
        <f t="shared" si="118"/>
        <v>72939</v>
      </c>
      <c r="H279" s="213">
        <f t="shared" si="118"/>
        <v>71719</v>
      </c>
      <c r="I279" s="213">
        <f t="shared" si="118"/>
        <v>72206</v>
      </c>
      <c r="J279" s="213">
        <f t="shared" ref="J279:O279" si="119">J257+SUM(J261:J263)+J270+J275</f>
        <v>69319</v>
      </c>
      <c r="K279" s="213">
        <f t="shared" si="119"/>
        <v>70367</v>
      </c>
      <c r="L279" s="213">
        <f t="shared" si="119"/>
        <v>72036</v>
      </c>
      <c r="M279" s="213">
        <f t="shared" si="119"/>
        <v>71271</v>
      </c>
      <c r="N279" s="213">
        <f t="shared" si="119"/>
        <v>74001</v>
      </c>
      <c r="O279" s="213">
        <f t="shared" si="119"/>
        <v>73706</v>
      </c>
    </row>
    <row r="280" spans="1:17">
      <c r="A280" s="211" t="s">
        <v>6258</v>
      </c>
      <c r="D280" s="213">
        <f t="shared" ref="D280:I280" si="120">D271+D277</f>
        <v>23518</v>
      </c>
      <c r="E280" s="213">
        <f t="shared" si="120"/>
        <v>23749</v>
      </c>
      <c r="F280" s="213">
        <f t="shared" si="120"/>
        <v>23829</v>
      </c>
      <c r="G280" s="213">
        <f t="shared" si="120"/>
        <v>23880</v>
      </c>
      <c r="H280" s="213">
        <f t="shared" si="120"/>
        <v>23940</v>
      </c>
      <c r="I280" s="213">
        <f t="shared" si="120"/>
        <v>24150</v>
      </c>
      <c r="J280" s="213">
        <f t="shared" ref="J280:O280" si="121">J271+J277</f>
        <v>23331</v>
      </c>
      <c r="K280" s="213">
        <f t="shared" si="121"/>
        <v>23646</v>
      </c>
      <c r="L280" s="213">
        <f t="shared" si="121"/>
        <v>24301</v>
      </c>
      <c r="M280" s="213">
        <f t="shared" si="121"/>
        <v>24449</v>
      </c>
      <c r="N280" s="213">
        <f t="shared" si="121"/>
        <v>25802</v>
      </c>
      <c r="O280" s="213">
        <f t="shared" si="121"/>
        <v>25804</v>
      </c>
    </row>
    <row r="281" spans="1:17">
      <c r="A281" s="211" t="s">
        <v>6765</v>
      </c>
      <c r="D281" s="213">
        <f t="shared" ref="D281:I281" si="122">SUM(D258:D260)+D265+D266+D268+D269</f>
        <v>82834</v>
      </c>
      <c r="E281" s="213">
        <f t="shared" si="122"/>
        <v>83284</v>
      </c>
      <c r="F281" s="213">
        <f t="shared" si="122"/>
        <v>83308</v>
      </c>
      <c r="G281" s="213">
        <f t="shared" si="122"/>
        <v>82944</v>
      </c>
      <c r="H281" s="213">
        <f t="shared" si="122"/>
        <v>81379</v>
      </c>
      <c r="I281" s="213">
        <f t="shared" si="122"/>
        <v>81799</v>
      </c>
      <c r="J281" s="213">
        <f t="shared" ref="J281:O281" si="123">SUM(J258:J260)+J265+J266+J268+J269</f>
        <v>78097</v>
      </c>
      <c r="K281" s="213">
        <f t="shared" si="123"/>
        <v>79661</v>
      </c>
      <c r="L281" s="213">
        <f t="shared" si="123"/>
        <v>81589</v>
      </c>
      <c r="M281" s="213">
        <f t="shared" si="123"/>
        <v>81043</v>
      </c>
      <c r="N281" s="213">
        <f t="shared" si="123"/>
        <v>84874</v>
      </c>
      <c r="O281" s="213">
        <f t="shared" si="123"/>
        <v>84627</v>
      </c>
    </row>
    <row r="282" spans="1:17">
      <c r="A282" s="211" t="s">
        <v>6768</v>
      </c>
      <c r="D282" s="213">
        <f t="shared" ref="D282:I282" si="124">D264+D267+SUM(D272:D274)+D276</f>
        <v>71111</v>
      </c>
      <c r="E282" s="213">
        <f t="shared" si="124"/>
        <v>71531</v>
      </c>
      <c r="F282" s="213">
        <f t="shared" si="124"/>
        <v>71265</v>
      </c>
      <c r="G282" s="213">
        <f t="shared" si="124"/>
        <v>70833</v>
      </c>
      <c r="H282" s="213">
        <f t="shared" si="124"/>
        <v>69340</v>
      </c>
      <c r="I282" s="213">
        <f t="shared" si="124"/>
        <v>69780</v>
      </c>
      <c r="J282" s="213">
        <f t="shared" ref="J282:O282" si="125">J264+J267+SUM(J272:J274)+J276</f>
        <v>66552</v>
      </c>
      <c r="K282" s="213">
        <f t="shared" si="125"/>
        <v>67696</v>
      </c>
      <c r="L282" s="213">
        <f t="shared" si="125"/>
        <v>69031</v>
      </c>
      <c r="M282" s="213">
        <f t="shared" si="125"/>
        <v>68078</v>
      </c>
      <c r="N282" s="213">
        <f t="shared" si="125"/>
        <v>70509</v>
      </c>
      <c r="O282" s="213">
        <f t="shared" si="125"/>
        <v>70419</v>
      </c>
    </row>
    <row r="284" spans="1:17">
      <c r="A284" s="110" t="s">
        <v>6272</v>
      </c>
    </row>
  </sheetData>
  <phoneticPr fontId="6" type="noConversion"/>
  <printOptions gridLinesSet="0"/>
  <pageMargins left="0.78740157480314965" right="0" top="0.51181102362204722" bottom="0.51181102362204722" header="0.51181102362204722" footer="0.51181102362204722"/>
  <pageSetup paperSize="9" scale="54" orientation="portrait" horizontalDpi="300" verticalDpi="300" r:id="rId1"/>
  <headerFooter alignWithMargins="0">
    <oddFooter>&amp;C&amp;8&amp;P of &amp;N</oddFooter>
  </headerFooter>
  <ignoredErrors>
    <ignoredError sqref="D114:E114 D68:E68 D256:E256 D133:E134 D99:E106 F99:F114 F133:F140 F177:F179 F250:F256 D12:E63 F12:F68 G114:K114 D169:K172 G99:I99 G68:K68 G256:K256 D3:G11 G12:G63 F173:F175 D141:K141 H3:K63 G102:I106 J99:J106 K99 K102:K106 G133:K134 D279:K282 L3:L96 L241 L99:L179 L250:L282" unlockedFormula="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dimension ref="A1:Q172"/>
  <sheetViews>
    <sheetView showGridLines="0" tabSelected="1" topLeftCell="A148" zoomScale="90" zoomScaleNormal="90" workbookViewId="0">
      <selection activeCell="A172" sqref="A172"/>
    </sheetView>
  </sheetViews>
  <sheetFormatPr defaultColWidth="12.5703125" defaultRowHeight="15"/>
  <cols>
    <col min="1" max="1" width="4.85546875" style="109" customWidth="1"/>
    <col min="2" max="2" width="45.7109375" style="109" customWidth="1"/>
    <col min="3" max="3" width="11.42578125" style="109" customWidth="1"/>
    <col min="4" max="12" width="10.140625" style="109" customWidth="1"/>
    <col min="13" max="15" width="10" style="109" customWidth="1"/>
    <col min="16" max="16" width="2.5703125" style="109" customWidth="1"/>
    <col min="17" max="17" width="26.85546875" style="109" customWidth="1"/>
    <col min="18" max="16384" width="12.5703125" style="109"/>
  </cols>
  <sheetData>
    <row r="1" spans="1:17">
      <c r="A1" s="200" t="s">
        <v>6924</v>
      </c>
      <c r="D1" s="201">
        <v>2010</v>
      </c>
      <c r="E1" s="201">
        <v>2011</v>
      </c>
      <c r="F1" s="201">
        <v>2012</v>
      </c>
      <c r="G1" s="201">
        <v>2013</v>
      </c>
      <c r="H1" s="201">
        <v>2014</v>
      </c>
      <c r="I1" s="201">
        <v>2015</v>
      </c>
      <c r="J1" s="201">
        <v>2016</v>
      </c>
      <c r="K1" s="201">
        <v>2017</v>
      </c>
      <c r="L1" s="201">
        <v>2018</v>
      </c>
      <c r="M1" s="201">
        <v>2019</v>
      </c>
      <c r="N1" s="201">
        <v>2020</v>
      </c>
      <c r="O1" s="925" t="s">
        <v>14823</v>
      </c>
      <c r="P1" s="201"/>
    </row>
    <row r="3" spans="1:17">
      <c r="A3" s="200" t="s">
        <v>3444</v>
      </c>
      <c r="D3" s="202">
        <f t="shared" ref="D3:N3" si="0">D28</f>
        <v>343136</v>
      </c>
      <c r="E3" s="202">
        <f t="shared" si="0"/>
        <v>350863</v>
      </c>
      <c r="F3" s="202">
        <f t="shared" si="0"/>
        <v>350619</v>
      </c>
      <c r="G3" s="202">
        <f t="shared" si="0"/>
        <v>351990</v>
      </c>
      <c r="H3" s="202">
        <f t="shared" si="0"/>
        <v>352165</v>
      </c>
      <c r="I3" s="202">
        <f t="shared" si="0"/>
        <v>342196</v>
      </c>
      <c r="J3" s="202">
        <f t="shared" si="0"/>
        <v>346724</v>
      </c>
      <c r="K3" s="202">
        <f t="shared" si="0"/>
        <v>358156</v>
      </c>
      <c r="L3" s="202">
        <f t="shared" si="0"/>
        <v>363093</v>
      </c>
      <c r="M3" s="202">
        <f t="shared" si="0"/>
        <v>360075</v>
      </c>
      <c r="N3" s="202">
        <f t="shared" si="0"/>
        <v>378753</v>
      </c>
      <c r="O3" s="202">
        <f t="shared" ref="O3" si="1">O28</f>
        <v>377959</v>
      </c>
      <c r="P3" s="203"/>
    </row>
    <row r="4" spans="1:17">
      <c r="D4" s="204"/>
      <c r="E4" s="204"/>
      <c r="F4" s="204"/>
      <c r="G4" s="204"/>
      <c r="H4" s="204"/>
      <c r="I4" s="204"/>
      <c r="J4" s="204"/>
      <c r="K4" s="204"/>
      <c r="L4" s="204"/>
      <c r="M4" s="204"/>
      <c r="N4" s="204"/>
      <c r="O4" s="204"/>
    </row>
    <row r="5" spans="1:17">
      <c r="A5" s="200" t="s">
        <v>5522</v>
      </c>
      <c r="D5" s="202">
        <f t="shared" ref="D5:N5" si="2">D3/5</f>
        <v>68627.199999999997</v>
      </c>
      <c r="E5" s="202">
        <f t="shared" si="2"/>
        <v>70172.600000000006</v>
      </c>
      <c r="F5" s="202">
        <f t="shared" si="2"/>
        <v>70123.8</v>
      </c>
      <c r="G5" s="202">
        <f t="shared" si="2"/>
        <v>70398</v>
      </c>
      <c r="H5" s="202">
        <f t="shared" si="2"/>
        <v>70433</v>
      </c>
      <c r="I5" s="202">
        <f t="shared" si="2"/>
        <v>68439.199999999997</v>
      </c>
      <c r="J5" s="202">
        <f t="shared" si="2"/>
        <v>69344.800000000003</v>
      </c>
      <c r="K5" s="202">
        <f t="shared" si="2"/>
        <v>71631.199999999997</v>
      </c>
      <c r="L5" s="202">
        <f t="shared" si="2"/>
        <v>72618.600000000006</v>
      </c>
      <c r="M5" s="202">
        <f t="shared" si="2"/>
        <v>72015</v>
      </c>
      <c r="N5" s="202">
        <f t="shared" si="2"/>
        <v>75750.600000000006</v>
      </c>
      <c r="O5" s="202">
        <f t="shared" ref="O5" si="3">O3/5</f>
        <v>75591.8</v>
      </c>
      <c r="P5" s="205"/>
    </row>
    <row r="6" spans="1:17">
      <c r="D6" s="204"/>
      <c r="E6" s="204"/>
      <c r="F6" s="204"/>
      <c r="G6" s="204"/>
      <c r="H6" s="204"/>
      <c r="I6" s="204"/>
      <c r="J6" s="204"/>
      <c r="K6" s="204"/>
      <c r="L6" s="204"/>
      <c r="M6" s="204"/>
      <c r="N6" s="204"/>
      <c r="O6" s="204"/>
    </row>
    <row r="7" spans="1:17">
      <c r="A7" s="109" t="s">
        <v>3445</v>
      </c>
      <c r="D7" s="204">
        <f t="shared" ref="D7:N7" si="4">D160</f>
        <v>71870</v>
      </c>
      <c r="E7" s="204">
        <f t="shared" si="4"/>
        <v>73312</v>
      </c>
      <c r="F7" s="204">
        <f t="shared" si="4"/>
        <v>73625</v>
      </c>
      <c r="G7" s="204">
        <f t="shared" si="4"/>
        <v>73642</v>
      </c>
      <c r="H7" s="204">
        <f t="shared" si="4"/>
        <v>73846</v>
      </c>
      <c r="I7" s="204">
        <f t="shared" si="4"/>
        <v>72404</v>
      </c>
      <c r="J7" s="204">
        <f t="shared" si="4"/>
        <v>72812</v>
      </c>
      <c r="K7" s="204">
        <f t="shared" si="4"/>
        <v>74534</v>
      </c>
      <c r="L7" s="204">
        <f t="shared" si="4"/>
        <v>75179</v>
      </c>
      <c r="M7" s="204">
        <f t="shared" si="4"/>
        <v>74381</v>
      </c>
      <c r="N7" s="204">
        <f t="shared" si="4"/>
        <v>77655</v>
      </c>
      <c r="O7" s="204">
        <f t="shared" ref="O7" si="5">O160</f>
        <v>77475</v>
      </c>
      <c r="Q7" s="109" t="s">
        <v>3446</v>
      </c>
    </row>
    <row r="8" spans="1:17">
      <c r="D8" s="204"/>
      <c r="E8" s="204"/>
      <c r="F8" s="204"/>
      <c r="G8" s="204"/>
      <c r="H8" s="204"/>
      <c r="I8" s="204"/>
      <c r="J8" s="204"/>
      <c r="K8" s="204"/>
      <c r="L8" s="204"/>
      <c r="M8" s="204"/>
      <c r="N8" s="204"/>
      <c r="O8" s="204"/>
    </row>
    <row r="9" spans="1:17">
      <c r="A9" s="200" t="s">
        <v>3447</v>
      </c>
      <c r="D9" s="202">
        <f t="shared" ref="D9:N9" si="6">D161</f>
        <v>66972</v>
      </c>
      <c r="E9" s="202">
        <f t="shared" si="6"/>
        <v>68846</v>
      </c>
      <c r="F9" s="202">
        <f t="shared" si="6"/>
        <v>68569</v>
      </c>
      <c r="G9" s="202">
        <f t="shared" si="6"/>
        <v>68795</v>
      </c>
      <c r="H9" s="202">
        <f t="shared" si="6"/>
        <v>68473</v>
      </c>
      <c r="I9" s="202">
        <f t="shared" si="6"/>
        <v>66399</v>
      </c>
      <c r="J9" s="202">
        <f t="shared" si="6"/>
        <v>67301</v>
      </c>
      <c r="K9" s="202">
        <f t="shared" si="6"/>
        <v>69598</v>
      </c>
      <c r="L9" s="202">
        <f t="shared" si="6"/>
        <v>70199</v>
      </c>
      <c r="M9" s="202">
        <f t="shared" si="6"/>
        <v>69682</v>
      </c>
      <c r="N9" s="202">
        <f t="shared" si="6"/>
        <v>73893</v>
      </c>
      <c r="O9" s="202">
        <f t="shared" ref="O9" si="7">O161</f>
        <v>73734</v>
      </c>
      <c r="P9" s="203"/>
      <c r="Q9" s="109" t="s">
        <v>3446</v>
      </c>
    </row>
    <row r="10" spans="1:17">
      <c r="D10" s="204"/>
      <c r="E10" s="204"/>
      <c r="F10" s="204"/>
      <c r="G10" s="204"/>
      <c r="H10" s="204"/>
      <c r="I10" s="204"/>
      <c r="J10" s="204"/>
      <c r="K10" s="204"/>
      <c r="L10" s="204"/>
      <c r="M10" s="204"/>
      <c r="N10" s="204"/>
      <c r="O10" s="204"/>
    </row>
    <row r="11" spans="1:17">
      <c r="A11" s="200" t="s">
        <v>3448</v>
      </c>
      <c r="D11" s="202">
        <f t="shared" ref="D11:N11" si="8">D162</f>
        <v>65762</v>
      </c>
      <c r="E11" s="202">
        <f t="shared" si="8"/>
        <v>67154</v>
      </c>
      <c r="F11" s="202">
        <f t="shared" si="8"/>
        <v>66986</v>
      </c>
      <c r="G11" s="202">
        <f t="shared" si="8"/>
        <v>67313</v>
      </c>
      <c r="H11" s="202">
        <f t="shared" si="8"/>
        <v>67648</v>
      </c>
      <c r="I11" s="202">
        <f t="shared" si="8"/>
        <v>65506</v>
      </c>
      <c r="J11" s="202">
        <f t="shared" si="8"/>
        <v>66692</v>
      </c>
      <c r="K11" s="202">
        <f t="shared" si="8"/>
        <v>69032</v>
      </c>
      <c r="L11" s="202">
        <f t="shared" si="8"/>
        <v>70473</v>
      </c>
      <c r="M11" s="202">
        <f t="shared" si="8"/>
        <v>69978</v>
      </c>
      <c r="N11" s="202">
        <f t="shared" si="8"/>
        <v>73818</v>
      </c>
      <c r="O11" s="202">
        <f t="shared" ref="O11" si="9">O162</f>
        <v>73678</v>
      </c>
      <c r="P11" s="203"/>
      <c r="Q11" s="109" t="s">
        <v>3446</v>
      </c>
    </row>
    <row r="12" spans="1:17">
      <c r="D12" s="204"/>
      <c r="E12" s="204"/>
      <c r="F12" s="204"/>
      <c r="G12" s="204"/>
      <c r="H12" s="204"/>
      <c r="I12" s="204"/>
      <c r="J12" s="204"/>
      <c r="K12" s="204"/>
      <c r="L12" s="204"/>
      <c r="M12" s="204"/>
      <c r="N12" s="204"/>
      <c r="O12" s="204"/>
    </row>
    <row r="13" spans="1:17">
      <c r="A13" s="200" t="s">
        <v>3449</v>
      </c>
      <c r="D13" s="202">
        <f t="shared" ref="D13:N13" si="10">D163</f>
        <v>67080</v>
      </c>
      <c r="E13" s="202">
        <f t="shared" si="10"/>
        <v>68731</v>
      </c>
      <c r="F13" s="202">
        <f t="shared" si="10"/>
        <v>68757</v>
      </c>
      <c r="G13" s="202">
        <f t="shared" si="10"/>
        <v>69442</v>
      </c>
      <c r="H13" s="202">
        <f t="shared" si="10"/>
        <v>69448</v>
      </c>
      <c r="I13" s="202">
        <f t="shared" si="10"/>
        <v>67122</v>
      </c>
      <c r="J13" s="202">
        <f t="shared" si="10"/>
        <v>68261</v>
      </c>
      <c r="K13" s="202">
        <f t="shared" si="10"/>
        <v>70247</v>
      </c>
      <c r="L13" s="202">
        <f t="shared" si="10"/>
        <v>71614</v>
      </c>
      <c r="M13" s="202">
        <f t="shared" si="10"/>
        <v>71142</v>
      </c>
      <c r="N13" s="202">
        <f t="shared" si="10"/>
        <v>75023</v>
      </c>
      <c r="O13" s="202">
        <f t="shared" ref="O13" si="11">O163</f>
        <v>74865</v>
      </c>
      <c r="P13" s="203"/>
      <c r="Q13" s="109" t="s">
        <v>3446</v>
      </c>
    </row>
    <row r="14" spans="1:17">
      <c r="D14" s="204"/>
      <c r="E14" s="204"/>
      <c r="F14" s="204"/>
      <c r="G14" s="204"/>
      <c r="H14" s="204"/>
      <c r="I14" s="204"/>
      <c r="J14" s="204"/>
      <c r="K14" s="204"/>
      <c r="L14" s="204"/>
      <c r="M14" s="204"/>
      <c r="N14" s="204"/>
      <c r="O14" s="204"/>
    </row>
    <row r="15" spans="1:17">
      <c r="A15" s="200" t="s">
        <v>4968</v>
      </c>
      <c r="D15" s="202">
        <f t="shared" ref="D15:N15" si="12">D164</f>
        <v>71452</v>
      </c>
      <c r="E15" s="202">
        <f t="shared" si="12"/>
        <v>72820</v>
      </c>
      <c r="F15" s="202">
        <f t="shared" si="12"/>
        <v>72682</v>
      </c>
      <c r="G15" s="202">
        <f t="shared" si="12"/>
        <v>72798</v>
      </c>
      <c r="H15" s="202">
        <f t="shared" si="12"/>
        <v>72750</v>
      </c>
      <c r="I15" s="202">
        <f t="shared" si="12"/>
        <v>70765</v>
      </c>
      <c r="J15" s="202">
        <f t="shared" si="12"/>
        <v>71658</v>
      </c>
      <c r="K15" s="202">
        <f t="shared" si="12"/>
        <v>74745</v>
      </c>
      <c r="L15" s="202">
        <f t="shared" si="12"/>
        <v>75628</v>
      </c>
      <c r="M15" s="202">
        <f t="shared" si="12"/>
        <v>74892</v>
      </c>
      <c r="N15" s="202">
        <f t="shared" si="12"/>
        <v>78364</v>
      </c>
      <c r="O15" s="202">
        <f t="shared" ref="O15" si="13">O164</f>
        <v>78207</v>
      </c>
      <c r="P15" s="203"/>
      <c r="Q15" s="109" t="s">
        <v>3446</v>
      </c>
    </row>
    <row r="16" spans="1:17">
      <c r="D16" s="204"/>
      <c r="E16" s="204"/>
      <c r="F16" s="204"/>
      <c r="G16" s="204"/>
      <c r="H16" s="204"/>
      <c r="I16" s="204"/>
      <c r="J16" s="204"/>
      <c r="K16" s="204"/>
      <c r="L16" s="204"/>
      <c r="M16" s="204"/>
      <c r="N16" s="204"/>
      <c r="O16" s="204"/>
    </row>
    <row r="17" spans="1:17">
      <c r="A17" s="200" t="s">
        <v>6796</v>
      </c>
      <c r="D17" s="202">
        <f t="shared" ref="D17:I17" si="14">D7+D9+D11+D13+D15</f>
        <v>343136</v>
      </c>
      <c r="E17" s="202">
        <f t="shared" si="14"/>
        <v>350863</v>
      </c>
      <c r="F17" s="202">
        <f t="shared" si="14"/>
        <v>350619</v>
      </c>
      <c r="G17" s="202">
        <f t="shared" si="14"/>
        <v>351990</v>
      </c>
      <c r="H17" s="202">
        <f t="shared" si="14"/>
        <v>352165</v>
      </c>
      <c r="I17" s="202">
        <f t="shared" si="14"/>
        <v>342196</v>
      </c>
      <c r="J17" s="202">
        <f t="shared" ref="J17:O17" si="15">J7+J9+J11+J13+J15</f>
        <v>346724</v>
      </c>
      <c r="K17" s="202">
        <f t="shared" si="15"/>
        <v>358156</v>
      </c>
      <c r="L17" s="202">
        <f t="shared" si="15"/>
        <v>363093</v>
      </c>
      <c r="M17" s="202">
        <f t="shared" si="15"/>
        <v>360075</v>
      </c>
      <c r="N17" s="202">
        <f t="shared" si="15"/>
        <v>378753</v>
      </c>
      <c r="O17" s="202">
        <f t="shared" si="15"/>
        <v>377959</v>
      </c>
      <c r="P17" s="203"/>
    </row>
    <row r="18" spans="1:17">
      <c r="A18" s="200"/>
      <c r="D18" s="202"/>
      <c r="E18" s="202"/>
      <c r="F18" s="202"/>
      <c r="G18" s="202"/>
      <c r="H18" s="202"/>
      <c r="I18" s="202"/>
      <c r="J18" s="202"/>
      <c r="K18" s="202"/>
      <c r="L18" s="202"/>
      <c r="M18" s="202"/>
      <c r="N18" s="202"/>
      <c r="O18" s="202"/>
      <c r="P18" s="203"/>
    </row>
    <row r="19" spans="1:17">
      <c r="A19" s="200" t="s">
        <v>6797</v>
      </c>
      <c r="D19" s="202">
        <f t="shared" ref="D19:I19" si="16">MAX(D7,D9,D11,D13,D15)-MIN(D7,D9,D11,D13,D15)</f>
        <v>6108</v>
      </c>
      <c r="E19" s="202">
        <f t="shared" si="16"/>
        <v>6158</v>
      </c>
      <c r="F19" s="202">
        <f t="shared" si="16"/>
        <v>6639</v>
      </c>
      <c r="G19" s="202">
        <f t="shared" si="16"/>
        <v>6329</v>
      </c>
      <c r="H19" s="202">
        <f t="shared" si="16"/>
        <v>6198</v>
      </c>
      <c r="I19" s="202">
        <f t="shared" si="16"/>
        <v>6898</v>
      </c>
      <c r="J19" s="202">
        <f t="shared" ref="J19:O19" si="17">MAX(J7,J9,J11,J13,J15)-MIN(J7,J9,J11,J13,J15)</f>
        <v>6120</v>
      </c>
      <c r="K19" s="202">
        <f t="shared" si="17"/>
        <v>5713</v>
      </c>
      <c r="L19" s="202">
        <f t="shared" si="17"/>
        <v>5429</v>
      </c>
      <c r="M19" s="202">
        <f t="shared" si="17"/>
        <v>5210</v>
      </c>
      <c r="N19" s="202">
        <f t="shared" si="17"/>
        <v>4546</v>
      </c>
      <c r="O19" s="202">
        <f t="shared" si="17"/>
        <v>4529</v>
      </c>
      <c r="P19" s="203"/>
    </row>
    <row r="20" spans="1:17">
      <c r="A20" s="200"/>
      <c r="D20" s="202"/>
      <c r="E20" s="202"/>
      <c r="F20" s="202"/>
      <c r="G20" s="202"/>
      <c r="H20" s="202"/>
      <c r="I20" s="202"/>
      <c r="J20" s="202"/>
      <c r="K20" s="202"/>
      <c r="L20" s="202"/>
      <c r="M20" s="202"/>
      <c r="N20" s="202"/>
      <c r="O20" s="202"/>
      <c r="P20" s="203"/>
    </row>
    <row r="21" spans="1:17">
      <c r="A21" s="200" t="s">
        <v>6800</v>
      </c>
      <c r="D21" s="202">
        <f t="shared" ref="D21:I21" si="18">STDEVP(D7,D9,D11,D13,D15)</f>
        <v>2523.415653434844</v>
      </c>
      <c r="E21" s="202">
        <f t="shared" si="18"/>
        <v>2441.9084012304802</v>
      </c>
      <c r="F21" s="202">
        <f t="shared" si="18"/>
        <v>2566.4809681741262</v>
      </c>
      <c r="G21" s="202">
        <f t="shared" si="18"/>
        <v>2420.0952873802303</v>
      </c>
      <c r="H21" s="202">
        <f t="shared" si="18"/>
        <v>2432.4928776874149</v>
      </c>
      <c r="I21" s="202">
        <f t="shared" si="18"/>
        <v>2669.4598255077749</v>
      </c>
      <c r="J21" s="202">
        <f t="shared" ref="J21:O21" si="19">STDEVP(J7,J9,J11,J13,J15)</f>
        <v>2439.7319033041313</v>
      </c>
      <c r="K21" s="202">
        <f t="shared" si="19"/>
        <v>2487.0766292979397</v>
      </c>
      <c r="L21" s="202">
        <f t="shared" si="19"/>
        <v>2327.2052423454188</v>
      </c>
      <c r="M21" s="202">
        <f t="shared" si="19"/>
        <v>2201.339228742358</v>
      </c>
      <c r="N21" s="202">
        <f t="shared" si="19"/>
        <v>1906.3903692580907</v>
      </c>
      <c r="O21" s="202">
        <f t="shared" si="19"/>
        <v>1898.841899685174</v>
      </c>
      <c r="P21" s="205"/>
    </row>
    <row r="23" spans="1:17">
      <c r="A23" s="200" t="s">
        <v>4969</v>
      </c>
    </row>
    <row r="24" spans="1:17">
      <c r="A24" s="200"/>
    </row>
    <row r="25" spans="1:17">
      <c r="A25" s="200"/>
    </row>
    <row r="26" spans="1:17">
      <c r="E26" s="51" t="s">
        <v>1526</v>
      </c>
      <c r="F26" s="51"/>
      <c r="G26" s="51"/>
      <c r="H26" s="51"/>
      <c r="I26" s="51"/>
      <c r="J26" s="51"/>
      <c r="K26" s="51"/>
      <c r="L26" s="51"/>
      <c r="M26" s="51"/>
      <c r="N26" s="51"/>
      <c r="O26" s="51"/>
      <c r="P26" s="173"/>
      <c r="Q26" s="173" t="s">
        <v>9479</v>
      </c>
    </row>
    <row r="27" spans="1:17">
      <c r="D27" s="51">
        <v>2010</v>
      </c>
      <c r="E27" s="51">
        <v>2011</v>
      </c>
      <c r="F27" s="51">
        <v>2012</v>
      </c>
      <c r="G27" s="51">
        <v>2013</v>
      </c>
      <c r="H27" s="51">
        <v>2014</v>
      </c>
      <c r="I27" s="51">
        <v>2015</v>
      </c>
      <c r="J27" s="51">
        <v>2016</v>
      </c>
      <c r="K27" s="51">
        <v>2017</v>
      </c>
      <c r="L27" s="51">
        <v>2018</v>
      </c>
      <c r="M27" s="51">
        <v>2019</v>
      </c>
      <c r="N27" s="51">
        <v>2020</v>
      </c>
      <c r="O27" s="925" t="s">
        <v>14823</v>
      </c>
      <c r="P27" s="173"/>
      <c r="Q27" s="206" t="s">
        <v>1527</v>
      </c>
    </row>
    <row r="28" spans="1:17">
      <c r="A28" s="200" t="s">
        <v>3444</v>
      </c>
      <c r="B28" s="200"/>
      <c r="C28" s="200"/>
      <c r="D28" s="202">
        <f t="shared" ref="D28:N28" si="20">SUM(D29:D32,D34:D50,D52:D54,D56:D57,D59:D61,D63:D64,D66:D69,D71:D72,D74:D78,D80:D85,D87:D90,D92:D95,D97:D105,D107:D110,D112:D143,D145:D155,D157:D158)</f>
        <v>343136</v>
      </c>
      <c r="E28" s="202">
        <f t="shared" si="20"/>
        <v>350863</v>
      </c>
      <c r="F28" s="202">
        <f t="shared" si="20"/>
        <v>350619</v>
      </c>
      <c r="G28" s="202">
        <f t="shared" si="20"/>
        <v>351990</v>
      </c>
      <c r="H28" s="202">
        <f t="shared" si="20"/>
        <v>352165</v>
      </c>
      <c r="I28" s="202">
        <f t="shared" si="20"/>
        <v>342196</v>
      </c>
      <c r="J28" s="202">
        <f t="shared" si="20"/>
        <v>346724</v>
      </c>
      <c r="K28" s="202">
        <f t="shared" si="20"/>
        <v>358156</v>
      </c>
      <c r="L28" s="202">
        <f t="shared" si="20"/>
        <v>363093</v>
      </c>
      <c r="M28" s="202">
        <f t="shared" si="20"/>
        <v>360075</v>
      </c>
      <c r="N28" s="202">
        <f t="shared" si="20"/>
        <v>378753</v>
      </c>
      <c r="O28" s="202">
        <f>SUM(O29:O32,O34:O50,O52:O54,O56:O57,O59:O61,O63:O64,O66:O69,O71:O72,O74:O78,O80:O85,O87:O90,O92:O95,O97:O105,O107:O110,O112:O143,O145:O155,O157:O158)</f>
        <v>377959</v>
      </c>
      <c r="P28" s="203"/>
    </row>
    <row r="29" spans="1:17">
      <c r="A29" s="200" t="s">
        <v>5387</v>
      </c>
      <c r="B29" s="109" t="s">
        <v>15422</v>
      </c>
      <c r="C29" s="109" t="s">
        <v>15474</v>
      </c>
      <c r="D29" s="202">
        <v>66972</v>
      </c>
      <c r="E29" s="202">
        <v>68846</v>
      </c>
      <c r="F29" s="202">
        <v>68569</v>
      </c>
      <c r="G29" s="202">
        <v>68795</v>
      </c>
      <c r="H29" s="202">
        <v>68473</v>
      </c>
      <c r="I29" s="202">
        <v>66399</v>
      </c>
      <c r="J29" s="202">
        <v>67301</v>
      </c>
      <c r="K29" s="202">
        <v>69598</v>
      </c>
      <c r="L29" s="202">
        <v>70199</v>
      </c>
      <c r="M29" s="202">
        <v>69682</v>
      </c>
      <c r="N29" s="202">
        <v>73893</v>
      </c>
      <c r="O29" s="202">
        <v>4530</v>
      </c>
      <c r="P29" s="203"/>
      <c r="Q29" s="200" t="s">
        <v>3447</v>
      </c>
    </row>
    <row r="30" spans="1:17">
      <c r="A30" s="200" t="s">
        <v>5389</v>
      </c>
      <c r="B30" s="109" t="s">
        <v>15423</v>
      </c>
      <c r="C30" s="109" t="s">
        <v>15475</v>
      </c>
      <c r="D30" s="202">
        <v>67080</v>
      </c>
      <c r="E30" s="202">
        <v>68731</v>
      </c>
      <c r="F30" s="202">
        <v>68757</v>
      </c>
      <c r="G30" s="202">
        <v>69442</v>
      </c>
      <c r="H30" s="202">
        <v>69448</v>
      </c>
      <c r="I30" s="202">
        <v>67122</v>
      </c>
      <c r="J30" s="202">
        <v>68261</v>
      </c>
      <c r="K30" s="202">
        <v>70247</v>
      </c>
      <c r="L30" s="202">
        <v>71614</v>
      </c>
      <c r="M30" s="202">
        <v>71142</v>
      </c>
      <c r="N30" s="202">
        <v>75023</v>
      </c>
      <c r="O30" s="202">
        <v>4506</v>
      </c>
      <c r="P30" s="203"/>
      <c r="Q30" s="200" t="s">
        <v>3449</v>
      </c>
    </row>
    <row r="31" spans="1:17">
      <c r="A31" s="200" t="s">
        <v>5391</v>
      </c>
      <c r="B31" s="109" t="s">
        <v>15424</v>
      </c>
      <c r="C31" s="109" t="s">
        <v>15476</v>
      </c>
      <c r="D31" s="202">
        <v>0</v>
      </c>
      <c r="E31" s="202">
        <v>0</v>
      </c>
      <c r="F31" s="202">
        <v>0</v>
      </c>
      <c r="G31" s="202">
        <v>0</v>
      </c>
      <c r="H31" s="202">
        <v>0</v>
      </c>
      <c r="I31" s="202">
        <v>0</v>
      </c>
      <c r="J31" s="202">
        <v>0</v>
      </c>
      <c r="K31" s="202">
        <v>0</v>
      </c>
      <c r="L31" s="202">
        <v>0</v>
      </c>
      <c r="M31" s="202">
        <v>0</v>
      </c>
      <c r="N31" s="202">
        <v>0</v>
      </c>
      <c r="O31" s="202">
        <v>2866</v>
      </c>
      <c r="P31" s="203"/>
      <c r="Q31" s="200" t="s">
        <v>3447</v>
      </c>
    </row>
    <row r="32" spans="1:17" ht="15.75" thickBot="1">
      <c r="A32" s="200"/>
      <c r="C32" s="109" t="s">
        <v>15476</v>
      </c>
      <c r="D32" s="202">
        <v>0</v>
      </c>
      <c r="E32" s="202">
        <v>0</v>
      </c>
      <c r="F32" s="202">
        <v>0</v>
      </c>
      <c r="G32" s="202">
        <v>0</v>
      </c>
      <c r="H32" s="202">
        <v>0</v>
      </c>
      <c r="I32" s="202">
        <v>0</v>
      </c>
      <c r="J32" s="202">
        <v>0</v>
      </c>
      <c r="K32" s="202">
        <v>0</v>
      </c>
      <c r="L32" s="202">
        <v>0</v>
      </c>
      <c r="M32" s="202">
        <v>0</v>
      </c>
      <c r="N32" s="202">
        <v>0</v>
      </c>
      <c r="O32" s="202">
        <v>1340</v>
      </c>
      <c r="P32" s="203"/>
      <c r="Q32" s="200" t="s">
        <v>3449</v>
      </c>
    </row>
    <row r="33" spans="1:17" ht="15.75" thickBot="1">
      <c r="A33" s="200"/>
      <c r="C33" s="109" t="s">
        <v>15476</v>
      </c>
      <c r="D33" s="217">
        <f t="shared" ref="D33:O33" si="21">SUM(D31:D32)</f>
        <v>0</v>
      </c>
      <c r="E33" s="217">
        <f t="shared" si="21"/>
        <v>0</v>
      </c>
      <c r="F33" s="217">
        <f t="shared" si="21"/>
        <v>0</v>
      </c>
      <c r="G33" s="217">
        <f t="shared" si="21"/>
        <v>0</v>
      </c>
      <c r="H33" s="217">
        <f t="shared" si="21"/>
        <v>0</v>
      </c>
      <c r="I33" s="217">
        <f t="shared" si="21"/>
        <v>0</v>
      </c>
      <c r="J33" s="217">
        <f t="shared" si="21"/>
        <v>0</v>
      </c>
      <c r="K33" s="217">
        <f t="shared" si="21"/>
        <v>0</v>
      </c>
      <c r="L33" s="217">
        <f t="shared" si="21"/>
        <v>0</v>
      </c>
      <c r="M33" s="217">
        <f t="shared" si="21"/>
        <v>0</v>
      </c>
      <c r="N33" s="217">
        <f t="shared" si="21"/>
        <v>0</v>
      </c>
      <c r="O33" s="217">
        <f t="shared" si="21"/>
        <v>4206</v>
      </c>
      <c r="P33" s="203"/>
      <c r="Q33" s="200"/>
    </row>
    <row r="34" spans="1:17">
      <c r="A34" s="200" t="s">
        <v>5393</v>
      </c>
      <c r="B34" s="109" t="s">
        <v>15425</v>
      </c>
      <c r="C34" s="109" t="s">
        <v>15477</v>
      </c>
      <c r="D34" s="202">
        <v>0</v>
      </c>
      <c r="E34" s="202">
        <v>0</v>
      </c>
      <c r="F34" s="202">
        <v>0</v>
      </c>
      <c r="G34" s="202">
        <v>0</v>
      </c>
      <c r="H34" s="202">
        <v>0</v>
      </c>
      <c r="I34" s="202">
        <v>0</v>
      </c>
      <c r="J34" s="202">
        <v>0</v>
      </c>
      <c r="K34" s="202">
        <v>0</v>
      </c>
      <c r="L34" s="202">
        <v>0</v>
      </c>
      <c r="M34" s="202">
        <v>0</v>
      </c>
      <c r="N34" s="202">
        <v>0</v>
      </c>
      <c r="O34" s="202">
        <v>3380</v>
      </c>
      <c r="P34" s="203"/>
      <c r="Q34" s="200" t="s">
        <v>3449</v>
      </c>
    </row>
    <row r="35" spans="1:17">
      <c r="A35" s="200" t="s">
        <v>5394</v>
      </c>
      <c r="B35" s="109" t="s">
        <v>4970</v>
      </c>
      <c r="C35" s="109" t="s">
        <v>15478</v>
      </c>
      <c r="D35" s="202">
        <v>0</v>
      </c>
      <c r="E35" s="202">
        <v>0</v>
      </c>
      <c r="F35" s="202">
        <v>0</v>
      </c>
      <c r="G35" s="202">
        <v>0</v>
      </c>
      <c r="H35" s="202">
        <v>0</v>
      </c>
      <c r="I35" s="202">
        <v>0</v>
      </c>
      <c r="J35" s="202">
        <v>0</v>
      </c>
      <c r="K35" s="202">
        <v>0</v>
      </c>
      <c r="L35" s="202">
        <v>0</v>
      </c>
      <c r="M35" s="202">
        <v>0</v>
      </c>
      <c r="N35" s="202">
        <v>0</v>
      </c>
      <c r="O35" s="202">
        <v>4442</v>
      </c>
      <c r="P35" s="203"/>
      <c r="Q35" s="200" t="s">
        <v>3449</v>
      </c>
    </row>
    <row r="36" spans="1:17">
      <c r="A36" s="200" t="s">
        <v>5416</v>
      </c>
      <c r="B36" s="109" t="s">
        <v>15426</v>
      </c>
      <c r="C36" s="109" t="s">
        <v>15479</v>
      </c>
      <c r="D36" s="202">
        <v>0</v>
      </c>
      <c r="E36" s="202">
        <v>0</v>
      </c>
      <c r="F36" s="202">
        <v>0</v>
      </c>
      <c r="G36" s="202">
        <v>0</v>
      </c>
      <c r="H36" s="202">
        <v>0</v>
      </c>
      <c r="I36" s="202">
        <v>0</v>
      </c>
      <c r="J36" s="202">
        <v>0</v>
      </c>
      <c r="K36" s="202">
        <v>0</v>
      </c>
      <c r="L36" s="202">
        <v>0</v>
      </c>
      <c r="M36" s="202">
        <v>0</v>
      </c>
      <c r="N36" s="202">
        <v>0</v>
      </c>
      <c r="O36" s="202">
        <v>3491</v>
      </c>
      <c r="P36" s="203"/>
      <c r="Q36" s="200" t="s">
        <v>3447</v>
      </c>
    </row>
    <row r="37" spans="1:17">
      <c r="A37" s="200" t="s">
        <v>5418</v>
      </c>
      <c r="B37" s="109" t="s">
        <v>15427</v>
      </c>
      <c r="C37" s="109" t="s">
        <v>15480</v>
      </c>
      <c r="D37" s="202">
        <v>71870</v>
      </c>
      <c r="E37" s="202">
        <v>73312</v>
      </c>
      <c r="F37" s="202">
        <v>73625</v>
      </c>
      <c r="G37" s="202">
        <v>73642</v>
      </c>
      <c r="H37" s="202">
        <v>73846</v>
      </c>
      <c r="I37" s="202">
        <v>72404</v>
      </c>
      <c r="J37" s="202">
        <v>72812</v>
      </c>
      <c r="K37" s="202">
        <v>74534</v>
      </c>
      <c r="L37" s="202">
        <v>75179</v>
      </c>
      <c r="M37" s="202">
        <v>74381</v>
      </c>
      <c r="N37" s="202">
        <v>77655</v>
      </c>
      <c r="O37" s="202">
        <v>3366</v>
      </c>
      <c r="P37" s="203"/>
      <c r="Q37" s="200" t="s">
        <v>3445</v>
      </c>
    </row>
    <row r="38" spans="1:17">
      <c r="A38" s="200" t="s">
        <v>5420</v>
      </c>
      <c r="B38" s="109" t="s">
        <v>15428</v>
      </c>
      <c r="C38" s="109" t="s">
        <v>15481</v>
      </c>
      <c r="D38" s="202">
        <v>65762</v>
      </c>
      <c r="E38" s="202">
        <v>67154</v>
      </c>
      <c r="F38" s="202">
        <v>66986</v>
      </c>
      <c r="G38" s="202">
        <v>67313</v>
      </c>
      <c r="H38" s="202">
        <v>67648</v>
      </c>
      <c r="I38" s="202">
        <v>65506</v>
      </c>
      <c r="J38" s="202">
        <v>66692</v>
      </c>
      <c r="K38" s="202">
        <v>69032</v>
      </c>
      <c r="L38" s="202">
        <v>70473</v>
      </c>
      <c r="M38" s="202">
        <v>69978</v>
      </c>
      <c r="N38" s="202">
        <v>73818</v>
      </c>
      <c r="O38" s="202">
        <v>4036</v>
      </c>
      <c r="P38" s="203"/>
      <c r="Q38" s="200" t="s">
        <v>3448</v>
      </c>
    </row>
    <row r="39" spans="1:17">
      <c r="A39" s="200" t="s">
        <v>5422</v>
      </c>
      <c r="B39" s="109" t="s">
        <v>4971</v>
      </c>
      <c r="C39" s="109" t="s">
        <v>15482</v>
      </c>
      <c r="D39" s="202">
        <v>0</v>
      </c>
      <c r="E39" s="202">
        <v>0</v>
      </c>
      <c r="F39" s="202">
        <v>0</v>
      </c>
      <c r="G39" s="202">
        <v>0</v>
      </c>
      <c r="H39" s="202">
        <v>0</v>
      </c>
      <c r="I39" s="202">
        <v>0</v>
      </c>
      <c r="J39" s="202">
        <v>0</v>
      </c>
      <c r="K39" s="202">
        <v>0</v>
      </c>
      <c r="L39" s="202">
        <v>0</v>
      </c>
      <c r="M39" s="202">
        <v>0</v>
      </c>
      <c r="N39" s="202">
        <v>0</v>
      </c>
      <c r="O39" s="202">
        <v>3994</v>
      </c>
      <c r="P39" s="203"/>
      <c r="Q39" s="200" t="s">
        <v>3445</v>
      </c>
    </row>
    <row r="40" spans="1:17">
      <c r="A40" s="200" t="s">
        <v>5424</v>
      </c>
      <c r="B40" s="109" t="s">
        <v>4972</v>
      </c>
      <c r="C40" s="109" t="s">
        <v>15483</v>
      </c>
      <c r="D40" s="202">
        <v>0</v>
      </c>
      <c r="E40" s="202">
        <v>0</v>
      </c>
      <c r="F40" s="202">
        <v>0</v>
      </c>
      <c r="G40" s="202">
        <v>0</v>
      </c>
      <c r="H40" s="202">
        <v>0</v>
      </c>
      <c r="I40" s="202">
        <v>0</v>
      </c>
      <c r="J40" s="202">
        <v>0</v>
      </c>
      <c r="K40" s="202">
        <v>0</v>
      </c>
      <c r="L40" s="202">
        <v>0</v>
      </c>
      <c r="M40" s="202">
        <v>0</v>
      </c>
      <c r="N40" s="202">
        <v>0</v>
      </c>
      <c r="O40" s="202">
        <v>4274</v>
      </c>
      <c r="P40" s="203"/>
      <c r="Q40" s="200" t="s">
        <v>3445</v>
      </c>
    </row>
    <row r="41" spans="1:17">
      <c r="A41" s="200" t="s">
        <v>5426</v>
      </c>
      <c r="B41" s="109" t="s">
        <v>4973</v>
      </c>
      <c r="C41" s="109" t="s">
        <v>15484</v>
      </c>
      <c r="D41" s="202">
        <v>0</v>
      </c>
      <c r="E41" s="202">
        <v>0</v>
      </c>
      <c r="F41" s="202">
        <v>0</v>
      </c>
      <c r="G41" s="202">
        <v>0</v>
      </c>
      <c r="H41" s="202">
        <v>0</v>
      </c>
      <c r="I41" s="202">
        <v>0</v>
      </c>
      <c r="J41" s="202">
        <v>0</v>
      </c>
      <c r="K41" s="202">
        <v>0</v>
      </c>
      <c r="L41" s="202">
        <v>0</v>
      </c>
      <c r="M41" s="202">
        <v>0</v>
      </c>
      <c r="N41" s="202">
        <v>0</v>
      </c>
      <c r="O41" s="202">
        <v>3740</v>
      </c>
      <c r="P41" s="203"/>
      <c r="Q41" s="200" t="s">
        <v>3448</v>
      </c>
    </row>
    <row r="42" spans="1:17">
      <c r="A42" s="200" t="s">
        <v>5428</v>
      </c>
      <c r="B42" s="109" t="s">
        <v>15429</v>
      </c>
      <c r="C42" s="109" t="s">
        <v>15485</v>
      </c>
      <c r="D42" s="202">
        <v>0</v>
      </c>
      <c r="E42" s="202">
        <v>0</v>
      </c>
      <c r="F42" s="202">
        <v>0</v>
      </c>
      <c r="G42" s="202">
        <v>0</v>
      </c>
      <c r="H42" s="202">
        <v>0</v>
      </c>
      <c r="I42" s="202">
        <v>0</v>
      </c>
      <c r="J42" s="202">
        <v>0</v>
      </c>
      <c r="K42" s="202">
        <v>0</v>
      </c>
      <c r="L42" s="202">
        <v>0</v>
      </c>
      <c r="M42" s="202">
        <v>0</v>
      </c>
      <c r="N42" s="202">
        <v>0</v>
      </c>
      <c r="O42" s="202">
        <v>4005</v>
      </c>
      <c r="P42" s="203"/>
      <c r="Q42" s="200" t="s">
        <v>3447</v>
      </c>
    </row>
    <row r="43" spans="1:17">
      <c r="A43" s="200" t="s">
        <v>5429</v>
      </c>
      <c r="B43" s="109" t="s">
        <v>4974</v>
      </c>
      <c r="C43" s="109" t="s">
        <v>15486</v>
      </c>
      <c r="D43" s="202">
        <v>0</v>
      </c>
      <c r="E43" s="202">
        <v>0</v>
      </c>
      <c r="F43" s="202">
        <v>0</v>
      </c>
      <c r="G43" s="202">
        <v>0</v>
      </c>
      <c r="H43" s="202">
        <v>0</v>
      </c>
      <c r="I43" s="202">
        <v>0</v>
      </c>
      <c r="J43" s="202">
        <v>0</v>
      </c>
      <c r="K43" s="202">
        <v>0</v>
      </c>
      <c r="L43" s="202">
        <v>0</v>
      </c>
      <c r="M43" s="202">
        <v>0</v>
      </c>
      <c r="N43" s="202">
        <v>0</v>
      </c>
      <c r="O43" s="202">
        <v>3621</v>
      </c>
      <c r="P43" s="203"/>
      <c r="Q43" s="200" t="s">
        <v>3448</v>
      </c>
    </row>
    <row r="44" spans="1:17">
      <c r="A44" s="200" t="s">
        <v>5431</v>
      </c>
      <c r="B44" s="109" t="s">
        <v>4975</v>
      </c>
      <c r="C44" s="109" t="s">
        <v>15487</v>
      </c>
      <c r="D44" s="202">
        <v>0</v>
      </c>
      <c r="E44" s="202">
        <v>0</v>
      </c>
      <c r="F44" s="202">
        <v>0</v>
      </c>
      <c r="G44" s="202">
        <v>0</v>
      </c>
      <c r="H44" s="202">
        <v>0</v>
      </c>
      <c r="I44" s="202">
        <v>0</v>
      </c>
      <c r="J44" s="202">
        <v>0</v>
      </c>
      <c r="K44" s="202">
        <v>0</v>
      </c>
      <c r="L44" s="202">
        <v>0</v>
      </c>
      <c r="M44" s="202">
        <v>0</v>
      </c>
      <c r="N44" s="202">
        <v>0</v>
      </c>
      <c r="O44" s="202">
        <v>3741</v>
      </c>
      <c r="P44" s="203"/>
      <c r="Q44" s="200" t="s">
        <v>3448</v>
      </c>
    </row>
    <row r="45" spans="1:17">
      <c r="A45" s="200" t="s">
        <v>5433</v>
      </c>
      <c r="B45" s="109" t="s">
        <v>15430</v>
      </c>
      <c r="C45" s="109" t="s">
        <v>15488</v>
      </c>
      <c r="D45" s="202">
        <v>0</v>
      </c>
      <c r="E45" s="202">
        <v>0</v>
      </c>
      <c r="F45" s="202">
        <v>0</v>
      </c>
      <c r="G45" s="202">
        <v>0</v>
      </c>
      <c r="H45" s="202">
        <v>0</v>
      </c>
      <c r="I45" s="202">
        <v>0</v>
      </c>
      <c r="J45" s="202">
        <v>0</v>
      </c>
      <c r="K45" s="202">
        <v>0</v>
      </c>
      <c r="L45" s="202">
        <v>0</v>
      </c>
      <c r="M45" s="202">
        <v>0</v>
      </c>
      <c r="N45" s="202">
        <v>0</v>
      </c>
      <c r="O45" s="202">
        <v>3959</v>
      </c>
      <c r="P45" s="203"/>
      <c r="Q45" s="200" t="s">
        <v>3448</v>
      </c>
    </row>
    <row r="46" spans="1:17">
      <c r="A46" s="200" t="s">
        <v>5435</v>
      </c>
      <c r="B46" s="109" t="s">
        <v>4976</v>
      </c>
      <c r="C46" s="109" t="s">
        <v>15489</v>
      </c>
      <c r="D46" s="202">
        <v>0</v>
      </c>
      <c r="E46" s="202">
        <v>0</v>
      </c>
      <c r="F46" s="202">
        <v>0</v>
      </c>
      <c r="G46" s="202">
        <v>0</v>
      </c>
      <c r="H46" s="202">
        <v>0</v>
      </c>
      <c r="I46" s="202">
        <v>0</v>
      </c>
      <c r="J46" s="202">
        <v>0</v>
      </c>
      <c r="K46" s="202">
        <v>0</v>
      </c>
      <c r="L46" s="202">
        <v>0</v>
      </c>
      <c r="M46" s="202">
        <v>0</v>
      </c>
      <c r="N46" s="202">
        <v>0</v>
      </c>
      <c r="O46" s="202">
        <v>3570</v>
      </c>
      <c r="P46" s="203"/>
      <c r="Q46" s="200" t="s">
        <v>3448</v>
      </c>
    </row>
    <row r="47" spans="1:17">
      <c r="A47" s="200" t="s">
        <v>5436</v>
      </c>
      <c r="B47" s="109" t="s">
        <v>4977</v>
      </c>
      <c r="C47" s="109" t="s">
        <v>15490</v>
      </c>
      <c r="D47" s="202">
        <v>0</v>
      </c>
      <c r="E47" s="202">
        <v>0</v>
      </c>
      <c r="F47" s="202">
        <v>0</v>
      </c>
      <c r="G47" s="202">
        <v>0</v>
      </c>
      <c r="H47" s="202">
        <v>0</v>
      </c>
      <c r="I47" s="202">
        <v>0</v>
      </c>
      <c r="J47" s="202">
        <v>0</v>
      </c>
      <c r="K47" s="202">
        <v>0</v>
      </c>
      <c r="L47" s="202">
        <v>0</v>
      </c>
      <c r="M47" s="202">
        <v>0</v>
      </c>
      <c r="N47" s="202">
        <v>0</v>
      </c>
      <c r="O47" s="202">
        <v>4164</v>
      </c>
      <c r="P47" s="203"/>
      <c r="Q47" s="200" t="s">
        <v>3448</v>
      </c>
    </row>
    <row r="48" spans="1:17">
      <c r="A48" s="200" t="s">
        <v>5437</v>
      </c>
      <c r="B48" s="109" t="s">
        <v>15431</v>
      </c>
      <c r="C48" s="109" t="s">
        <v>15491</v>
      </c>
      <c r="D48" s="202">
        <v>0</v>
      </c>
      <c r="E48" s="202">
        <v>0</v>
      </c>
      <c r="F48" s="202">
        <v>0</v>
      </c>
      <c r="G48" s="202">
        <v>0</v>
      </c>
      <c r="H48" s="202">
        <v>0</v>
      </c>
      <c r="I48" s="202">
        <v>0</v>
      </c>
      <c r="J48" s="202">
        <v>0</v>
      </c>
      <c r="K48" s="202">
        <v>0</v>
      </c>
      <c r="L48" s="202">
        <v>0</v>
      </c>
      <c r="M48" s="202">
        <v>0</v>
      </c>
      <c r="N48" s="202">
        <v>0</v>
      </c>
      <c r="O48" s="202">
        <v>3533</v>
      </c>
      <c r="P48" s="203"/>
      <c r="Q48" s="200" t="s">
        <v>3448</v>
      </c>
    </row>
    <row r="49" spans="1:17">
      <c r="A49" s="200" t="s">
        <v>5439</v>
      </c>
      <c r="B49" s="109" t="s">
        <v>15432</v>
      </c>
      <c r="C49" s="109" t="s">
        <v>15492</v>
      </c>
      <c r="D49" s="202">
        <v>0</v>
      </c>
      <c r="E49" s="202">
        <v>0</v>
      </c>
      <c r="F49" s="202">
        <v>0</v>
      </c>
      <c r="G49" s="202">
        <v>0</v>
      </c>
      <c r="H49" s="202">
        <v>0</v>
      </c>
      <c r="I49" s="202">
        <v>0</v>
      </c>
      <c r="J49" s="202">
        <v>0</v>
      </c>
      <c r="K49" s="202">
        <v>0</v>
      </c>
      <c r="L49" s="202">
        <v>0</v>
      </c>
      <c r="M49" s="202">
        <v>0</v>
      </c>
      <c r="N49" s="202">
        <v>0</v>
      </c>
      <c r="O49" s="202">
        <v>3883</v>
      </c>
      <c r="P49" s="203"/>
      <c r="Q49" s="200" t="s">
        <v>3445</v>
      </c>
    </row>
    <row r="50" spans="1:17" ht="15.75" thickBot="1">
      <c r="A50" s="200"/>
      <c r="C50" s="109" t="s">
        <v>15492</v>
      </c>
      <c r="D50" s="202">
        <v>0</v>
      </c>
      <c r="E50" s="202">
        <v>0</v>
      </c>
      <c r="F50" s="202">
        <v>0</v>
      </c>
      <c r="G50" s="202">
        <v>0</v>
      </c>
      <c r="H50" s="202">
        <v>0</v>
      </c>
      <c r="I50" s="202">
        <v>0</v>
      </c>
      <c r="J50" s="202">
        <v>0</v>
      </c>
      <c r="K50" s="202">
        <v>0</v>
      </c>
      <c r="L50" s="202">
        <v>0</v>
      </c>
      <c r="M50" s="202">
        <v>0</v>
      </c>
      <c r="N50" s="202">
        <v>0</v>
      </c>
      <c r="O50" s="202">
        <v>25</v>
      </c>
      <c r="P50" s="203"/>
      <c r="Q50" s="200" t="s">
        <v>3448</v>
      </c>
    </row>
    <row r="51" spans="1:17" ht="15.75" thickBot="1">
      <c r="A51" s="200"/>
      <c r="C51" s="109" t="s">
        <v>15492</v>
      </c>
      <c r="D51" s="217">
        <f t="shared" ref="D51" si="22">SUM(D49:D50)</f>
        <v>0</v>
      </c>
      <c r="E51" s="217">
        <f t="shared" ref="E51" si="23">SUM(E49:E50)</f>
        <v>0</v>
      </c>
      <c r="F51" s="217">
        <f t="shared" ref="F51" si="24">SUM(F49:F50)</f>
        <v>0</v>
      </c>
      <c r="G51" s="217">
        <f t="shared" ref="G51" si="25">SUM(G49:G50)</f>
        <v>0</v>
      </c>
      <c r="H51" s="217">
        <f t="shared" ref="H51" si="26">SUM(H49:H50)</f>
        <v>0</v>
      </c>
      <c r="I51" s="217">
        <f t="shared" ref="I51" si="27">SUM(I49:I50)</f>
        <v>0</v>
      </c>
      <c r="J51" s="217">
        <f t="shared" ref="J51" si="28">SUM(J49:J50)</f>
        <v>0</v>
      </c>
      <c r="K51" s="217">
        <f t="shared" ref="K51" si="29">SUM(K49:K50)</f>
        <v>0</v>
      </c>
      <c r="L51" s="217">
        <f t="shared" ref="L51" si="30">SUM(L49:L50)</f>
        <v>0</v>
      </c>
      <c r="M51" s="217">
        <f t="shared" ref="M51" si="31">SUM(M49:M50)</f>
        <v>0</v>
      </c>
      <c r="N51" s="217">
        <f t="shared" ref="N51" si="32">SUM(N49:N50)</f>
        <v>0</v>
      </c>
      <c r="O51" s="217">
        <f t="shared" ref="O51" si="33">SUM(O49:O50)</f>
        <v>3908</v>
      </c>
      <c r="P51" s="203"/>
      <c r="Q51" s="200"/>
    </row>
    <row r="52" spans="1:17">
      <c r="A52" s="200" t="s">
        <v>5441</v>
      </c>
      <c r="B52" s="109" t="s">
        <v>15433</v>
      </c>
      <c r="C52" s="109" t="s">
        <v>15493</v>
      </c>
      <c r="D52" s="202">
        <v>0</v>
      </c>
      <c r="E52" s="202">
        <v>0</v>
      </c>
      <c r="F52" s="202">
        <v>0</v>
      </c>
      <c r="G52" s="202">
        <v>0</v>
      </c>
      <c r="H52" s="202">
        <v>0</v>
      </c>
      <c r="I52" s="202">
        <v>0</v>
      </c>
      <c r="J52" s="202">
        <v>0</v>
      </c>
      <c r="K52" s="202">
        <v>0</v>
      </c>
      <c r="L52" s="202">
        <v>0</v>
      </c>
      <c r="M52" s="202">
        <v>0</v>
      </c>
      <c r="N52" s="202">
        <v>0</v>
      </c>
      <c r="O52" s="202">
        <v>3601</v>
      </c>
      <c r="P52" s="203"/>
      <c r="Q52" s="200" t="s">
        <v>3445</v>
      </c>
    </row>
    <row r="53" spans="1:17">
      <c r="A53" s="200" t="s">
        <v>5886</v>
      </c>
      <c r="B53" s="109" t="s">
        <v>1042</v>
      </c>
      <c r="C53" s="109" t="s">
        <v>15494</v>
      </c>
      <c r="D53" s="202">
        <v>0</v>
      </c>
      <c r="E53" s="202">
        <v>0</v>
      </c>
      <c r="F53" s="202">
        <v>0</v>
      </c>
      <c r="G53" s="202">
        <v>0</v>
      </c>
      <c r="H53" s="202">
        <v>0</v>
      </c>
      <c r="I53" s="202">
        <v>0</v>
      </c>
      <c r="J53" s="202">
        <v>0</v>
      </c>
      <c r="K53" s="202">
        <v>0</v>
      </c>
      <c r="L53" s="202">
        <v>0</v>
      </c>
      <c r="M53" s="202">
        <v>0</v>
      </c>
      <c r="N53" s="202">
        <v>0</v>
      </c>
      <c r="O53" s="202">
        <v>2726</v>
      </c>
      <c r="P53" s="203"/>
      <c r="Q53" s="200" t="s">
        <v>3445</v>
      </c>
    </row>
    <row r="54" spans="1:17" ht="15.75" thickBot="1">
      <c r="A54" s="200"/>
      <c r="C54" s="109" t="s">
        <v>15494</v>
      </c>
      <c r="D54" s="202">
        <v>0</v>
      </c>
      <c r="E54" s="202">
        <v>0</v>
      </c>
      <c r="F54" s="202">
        <v>0</v>
      </c>
      <c r="G54" s="202">
        <v>0</v>
      </c>
      <c r="H54" s="202">
        <v>0</v>
      </c>
      <c r="I54" s="202">
        <v>0</v>
      </c>
      <c r="J54" s="202">
        <v>0</v>
      </c>
      <c r="K54" s="202">
        <v>0</v>
      </c>
      <c r="L54" s="202">
        <v>0</v>
      </c>
      <c r="M54" s="202">
        <v>0</v>
      </c>
      <c r="N54" s="202">
        <v>0</v>
      </c>
      <c r="O54" s="202">
        <v>181</v>
      </c>
      <c r="P54" s="203"/>
      <c r="Q54" s="200" t="s">
        <v>3448</v>
      </c>
    </row>
    <row r="55" spans="1:17" ht="15.75" thickBot="1">
      <c r="A55" s="200"/>
      <c r="C55" s="109" t="s">
        <v>15494</v>
      </c>
      <c r="D55" s="217">
        <f t="shared" ref="D55" si="34">SUM(D53:D54)</f>
        <v>0</v>
      </c>
      <c r="E55" s="217">
        <f t="shared" ref="E55" si="35">SUM(E53:E54)</f>
        <v>0</v>
      </c>
      <c r="F55" s="217">
        <f t="shared" ref="F55" si="36">SUM(F53:F54)</f>
        <v>0</v>
      </c>
      <c r="G55" s="217">
        <f t="shared" ref="G55" si="37">SUM(G53:G54)</f>
        <v>0</v>
      </c>
      <c r="H55" s="217">
        <f t="shared" ref="H55" si="38">SUM(H53:H54)</f>
        <v>0</v>
      </c>
      <c r="I55" s="217">
        <f t="shared" ref="I55" si="39">SUM(I53:I54)</f>
        <v>0</v>
      </c>
      <c r="J55" s="217">
        <f t="shared" ref="J55" si="40">SUM(J53:J54)</f>
        <v>0</v>
      </c>
      <c r="K55" s="217">
        <f t="shared" ref="K55" si="41">SUM(K53:K54)</f>
        <v>0</v>
      </c>
      <c r="L55" s="217">
        <f t="shared" ref="L55" si="42">SUM(L53:L54)</f>
        <v>0</v>
      </c>
      <c r="M55" s="217">
        <f t="shared" ref="M55" si="43">SUM(M53:M54)</f>
        <v>0</v>
      </c>
      <c r="N55" s="217">
        <f t="shared" ref="N55" si="44">SUM(N53:N54)</f>
        <v>0</v>
      </c>
      <c r="O55" s="217">
        <f t="shared" ref="O55" si="45">SUM(O53:O54)</f>
        <v>2907</v>
      </c>
      <c r="P55" s="203"/>
      <c r="Q55" s="200"/>
    </row>
    <row r="56" spans="1:17">
      <c r="A56" s="200" t="s">
        <v>5888</v>
      </c>
      <c r="B56" s="109" t="s">
        <v>15434</v>
      </c>
      <c r="C56" s="109" t="s">
        <v>15495</v>
      </c>
      <c r="D56" s="202">
        <v>0</v>
      </c>
      <c r="E56" s="202">
        <v>0</v>
      </c>
      <c r="F56" s="202">
        <v>0</v>
      </c>
      <c r="G56" s="202">
        <v>0</v>
      </c>
      <c r="H56" s="202">
        <v>0</v>
      </c>
      <c r="I56" s="202">
        <v>0</v>
      </c>
      <c r="J56" s="202">
        <v>0</v>
      </c>
      <c r="K56" s="202">
        <v>0</v>
      </c>
      <c r="L56" s="202">
        <v>0</v>
      </c>
      <c r="M56" s="202">
        <v>0</v>
      </c>
      <c r="N56" s="202">
        <v>0</v>
      </c>
      <c r="O56" s="202">
        <v>4224</v>
      </c>
      <c r="P56" s="203"/>
      <c r="Q56" s="200" t="s">
        <v>3445</v>
      </c>
    </row>
    <row r="57" spans="1:17" ht="15.75" thickBot="1">
      <c r="A57" s="200"/>
      <c r="C57" s="109" t="s">
        <v>15495</v>
      </c>
      <c r="D57" s="202">
        <v>0</v>
      </c>
      <c r="E57" s="202">
        <v>0</v>
      </c>
      <c r="F57" s="202">
        <v>0</v>
      </c>
      <c r="G57" s="202">
        <v>0</v>
      </c>
      <c r="H57" s="202">
        <v>0</v>
      </c>
      <c r="I57" s="202">
        <v>0</v>
      </c>
      <c r="J57" s="202">
        <v>0</v>
      </c>
      <c r="K57" s="202">
        <v>0</v>
      </c>
      <c r="L57" s="202">
        <v>0</v>
      </c>
      <c r="M57" s="202">
        <v>0</v>
      </c>
      <c r="N57" s="202">
        <v>0</v>
      </c>
      <c r="O57" s="202">
        <v>2</v>
      </c>
      <c r="P57" s="203"/>
      <c r="Q57" s="200" t="s">
        <v>3448</v>
      </c>
    </row>
    <row r="58" spans="1:17" ht="15.75" thickBot="1">
      <c r="A58" s="200"/>
      <c r="C58" s="109" t="s">
        <v>15495</v>
      </c>
      <c r="D58" s="217">
        <f t="shared" ref="D58" si="46">SUM(D56:D57)</f>
        <v>0</v>
      </c>
      <c r="E58" s="217">
        <f t="shared" ref="E58" si="47">SUM(E56:E57)</f>
        <v>0</v>
      </c>
      <c r="F58" s="217">
        <f t="shared" ref="F58" si="48">SUM(F56:F57)</f>
        <v>0</v>
      </c>
      <c r="G58" s="217">
        <f t="shared" ref="G58" si="49">SUM(G56:G57)</f>
        <v>0</v>
      </c>
      <c r="H58" s="217">
        <f t="shared" ref="H58" si="50">SUM(H56:H57)</f>
        <v>0</v>
      </c>
      <c r="I58" s="217">
        <f t="shared" ref="I58" si="51">SUM(I56:I57)</f>
        <v>0</v>
      </c>
      <c r="J58" s="217">
        <f t="shared" ref="J58" si="52">SUM(J56:J57)</f>
        <v>0</v>
      </c>
      <c r="K58" s="217">
        <f t="shared" ref="K58" si="53">SUM(K56:K57)</f>
        <v>0</v>
      </c>
      <c r="L58" s="217">
        <f t="shared" ref="L58" si="54">SUM(L56:L57)</f>
        <v>0</v>
      </c>
      <c r="M58" s="217">
        <f t="shared" ref="M58" si="55">SUM(M56:M57)</f>
        <v>0</v>
      </c>
      <c r="N58" s="217">
        <f t="shared" ref="N58" si="56">SUM(N56:N57)</f>
        <v>0</v>
      </c>
      <c r="O58" s="217">
        <f t="shared" ref="O58" si="57">SUM(O56:O57)</f>
        <v>4226</v>
      </c>
      <c r="P58" s="203"/>
      <c r="Q58" s="200"/>
    </row>
    <row r="59" spans="1:17">
      <c r="A59" s="200" t="s">
        <v>5889</v>
      </c>
      <c r="B59" s="109" t="s">
        <v>15435</v>
      </c>
      <c r="C59" s="109" t="s">
        <v>15496</v>
      </c>
      <c r="D59" s="202">
        <v>0</v>
      </c>
      <c r="E59" s="202">
        <v>0</v>
      </c>
      <c r="F59" s="202">
        <v>0</v>
      </c>
      <c r="G59" s="202">
        <v>0</v>
      </c>
      <c r="H59" s="202">
        <v>0</v>
      </c>
      <c r="I59" s="202">
        <v>0</v>
      </c>
      <c r="J59" s="202">
        <v>0</v>
      </c>
      <c r="K59" s="202">
        <v>0</v>
      </c>
      <c r="L59" s="202">
        <v>0</v>
      </c>
      <c r="M59" s="202">
        <v>0</v>
      </c>
      <c r="N59" s="202">
        <v>0</v>
      </c>
      <c r="O59" s="202">
        <v>2550</v>
      </c>
      <c r="P59" s="203"/>
      <c r="Q59" s="200" t="s">
        <v>3445</v>
      </c>
    </row>
    <row r="60" spans="1:17">
      <c r="A60" s="200" t="s">
        <v>4431</v>
      </c>
      <c r="B60" s="109" t="s">
        <v>4978</v>
      </c>
      <c r="C60" s="109" t="s">
        <v>15497</v>
      </c>
      <c r="D60" s="202">
        <v>0</v>
      </c>
      <c r="E60" s="202">
        <v>0</v>
      </c>
      <c r="F60" s="202">
        <v>0</v>
      </c>
      <c r="G60" s="202">
        <v>0</v>
      </c>
      <c r="H60" s="202">
        <v>0</v>
      </c>
      <c r="I60" s="202">
        <v>0</v>
      </c>
      <c r="J60" s="202">
        <v>0</v>
      </c>
      <c r="K60" s="202">
        <v>0</v>
      </c>
      <c r="L60" s="202">
        <v>0</v>
      </c>
      <c r="M60" s="202">
        <v>0</v>
      </c>
      <c r="N60" s="202">
        <v>0</v>
      </c>
      <c r="O60" s="202">
        <v>2260</v>
      </c>
      <c r="P60" s="203"/>
      <c r="Q60" s="200" t="s">
        <v>3445</v>
      </c>
    </row>
    <row r="61" spans="1:17" ht="15.75" thickBot="1">
      <c r="A61" s="200"/>
      <c r="C61" s="109" t="s">
        <v>15497</v>
      </c>
      <c r="D61" s="202">
        <v>0</v>
      </c>
      <c r="E61" s="202">
        <v>0</v>
      </c>
      <c r="F61" s="202">
        <v>0</v>
      </c>
      <c r="G61" s="202">
        <v>0</v>
      </c>
      <c r="H61" s="202">
        <v>0</v>
      </c>
      <c r="I61" s="202">
        <v>0</v>
      </c>
      <c r="J61" s="202">
        <v>0</v>
      </c>
      <c r="K61" s="202">
        <v>0</v>
      </c>
      <c r="L61" s="202">
        <v>0</v>
      </c>
      <c r="M61" s="202">
        <v>0</v>
      </c>
      <c r="N61" s="202">
        <v>0</v>
      </c>
      <c r="O61" s="202">
        <v>0</v>
      </c>
      <c r="P61" s="203"/>
      <c r="Q61" s="200" t="s">
        <v>3448</v>
      </c>
    </row>
    <row r="62" spans="1:17" ht="15.75" thickBot="1">
      <c r="A62" s="200"/>
      <c r="C62" s="109" t="s">
        <v>15497</v>
      </c>
      <c r="D62" s="217">
        <f t="shared" ref="D62" si="58">SUM(D60:D61)</f>
        <v>0</v>
      </c>
      <c r="E62" s="217">
        <f t="shared" ref="E62" si="59">SUM(E60:E61)</f>
        <v>0</v>
      </c>
      <c r="F62" s="217">
        <f t="shared" ref="F62" si="60">SUM(F60:F61)</f>
        <v>0</v>
      </c>
      <c r="G62" s="217">
        <f t="shared" ref="G62" si="61">SUM(G60:G61)</f>
        <v>0</v>
      </c>
      <c r="H62" s="217">
        <f t="shared" ref="H62" si="62">SUM(H60:H61)</f>
        <v>0</v>
      </c>
      <c r="I62" s="217">
        <f t="shared" ref="I62" si="63">SUM(I60:I61)</f>
        <v>0</v>
      </c>
      <c r="J62" s="217">
        <f t="shared" ref="J62" si="64">SUM(J60:J61)</f>
        <v>0</v>
      </c>
      <c r="K62" s="217">
        <f t="shared" ref="K62" si="65">SUM(K60:K61)</f>
        <v>0</v>
      </c>
      <c r="L62" s="217">
        <f t="shared" ref="L62" si="66">SUM(L60:L61)</f>
        <v>0</v>
      </c>
      <c r="M62" s="217">
        <f t="shared" ref="M62" si="67">SUM(M60:M61)</f>
        <v>0</v>
      </c>
      <c r="N62" s="217">
        <f t="shared" ref="N62" si="68">SUM(N60:N61)</f>
        <v>0</v>
      </c>
      <c r="O62" s="217">
        <f t="shared" ref="O62" si="69">SUM(O60:O61)</f>
        <v>2260</v>
      </c>
      <c r="P62" s="203"/>
      <c r="Q62" s="200"/>
    </row>
    <row r="63" spans="1:17">
      <c r="A63" s="200" t="s">
        <v>4432</v>
      </c>
      <c r="B63" s="109" t="s">
        <v>4979</v>
      </c>
      <c r="C63" s="109" t="s">
        <v>15498</v>
      </c>
      <c r="D63" s="202">
        <v>0</v>
      </c>
      <c r="E63" s="202">
        <v>0</v>
      </c>
      <c r="F63" s="202">
        <v>0</v>
      </c>
      <c r="G63" s="202">
        <v>0</v>
      </c>
      <c r="H63" s="202">
        <v>0</v>
      </c>
      <c r="I63" s="202">
        <v>0</v>
      </c>
      <c r="J63" s="202">
        <v>0</v>
      </c>
      <c r="K63" s="202">
        <v>0</v>
      </c>
      <c r="L63" s="202">
        <v>0</v>
      </c>
      <c r="M63" s="202">
        <v>0</v>
      </c>
      <c r="N63" s="202">
        <v>0</v>
      </c>
      <c r="O63" s="202">
        <v>3872</v>
      </c>
      <c r="P63" s="203"/>
      <c r="Q63" s="200" t="s">
        <v>3445</v>
      </c>
    </row>
    <row r="64" spans="1:17" ht="15.75" thickBot="1">
      <c r="A64" s="200"/>
      <c r="C64" s="109" t="s">
        <v>15498</v>
      </c>
      <c r="D64" s="202">
        <v>0</v>
      </c>
      <c r="E64" s="202">
        <v>0</v>
      </c>
      <c r="F64" s="202">
        <v>0</v>
      </c>
      <c r="G64" s="202">
        <v>0</v>
      </c>
      <c r="H64" s="202">
        <v>0</v>
      </c>
      <c r="I64" s="202">
        <v>0</v>
      </c>
      <c r="J64" s="202">
        <v>0</v>
      </c>
      <c r="K64" s="202">
        <v>0</v>
      </c>
      <c r="L64" s="202">
        <v>0</v>
      </c>
      <c r="M64" s="202">
        <v>0</v>
      </c>
      <c r="N64" s="202">
        <v>0</v>
      </c>
      <c r="O64" s="202">
        <v>3</v>
      </c>
      <c r="P64" s="203"/>
      <c r="Q64" s="200" t="s">
        <v>3448</v>
      </c>
    </row>
    <row r="65" spans="1:17" ht="15.75" thickBot="1">
      <c r="A65" s="200"/>
      <c r="C65" s="109" t="s">
        <v>15498</v>
      </c>
      <c r="D65" s="217">
        <f t="shared" ref="D65" si="70">SUM(D63:D64)</f>
        <v>0</v>
      </c>
      <c r="E65" s="217">
        <f t="shared" ref="E65" si="71">SUM(E63:E64)</f>
        <v>0</v>
      </c>
      <c r="F65" s="217">
        <f t="shared" ref="F65" si="72">SUM(F63:F64)</f>
        <v>0</v>
      </c>
      <c r="G65" s="217">
        <f t="shared" ref="G65" si="73">SUM(G63:G64)</f>
        <v>0</v>
      </c>
      <c r="H65" s="217">
        <f t="shared" ref="H65" si="74">SUM(H63:H64)</f>
        <v>0</v>
      </c>
      <c r="I65" s="217">
        <f t="shared" ref="I65" si="75">SUM(I63:I64)</f>
        <v>0</v>
      </c>
      <c r="J65" s="217">
        <f t="shared" ref="J65" si="76">SUM(J63:J64)</f>
        <v>0</v>
      </c>
      <c r="K65" s="217">
        <f t="shared" ref="K65" si="77">SUM(K63:K64)</f>
        <v>0</v>
      </c>
      <c r="L65" s="217">
        <f t="shared" ref="L65" si="78">SUM(L63:L64)</f>
        <v>0</v>
      </c>
      <c r="M65" s="217">
        <f t="shared" ref="M65" si="79">SUM(M63:M64)</f>
        <v>0</v>
      </c>
      <c r="N65" s="217">
        <f t="shared" ref="N65" si="80">SUM(N63:N64)</f>
        <v>0</v>
      </c>
      <c r="O65" s="217">
        <f t="shared" ref="O65" si="81">SUM(O63:O64)</f>
        <v>3875</v>
      </c>
      <c r="P65" s="203"/>
      <c r="Q65" s="200"/>
    </row>
    <row r="66" spans="1:17">
      <c r="A66" s="200" t="s">
        <v>4434</v>
      </c>
      <c r="B66" s="109" t="s">
        <v>15436</v>
      </c>
      <c r="C66" s="109" t="s">
        <v>15499</v>
      </c>
      <c r="D66" s="202">
        <v>0</v>
      </c>
      <c r="E66" s="202">
        <v>0</v>
      </c>
      <c r="F66" s="202">
        <v>0</v>
      </c>
      <c r="G66" s="202">
        <v>0</v>
      </c>
      <c r="H66" s="202">
        <v>0</v>
      </c>
      <c r="I66" s="202">
        <v>0</v>
      </c>
      <c r="J66" s="202">
        <v>0</v>
      </c>
      <c r="K66" s="202">
        <v>0</v>
      </c>
      <c r="L66" s="202">
        <v>0</v>
      </c>
      <c r="M66" s="202">
        <v>0</v>
      </c>
      <c r="N66" s="202">
        <v>0</v>
      </c>
      <c r="O66" s="202">
        <v>4210</v>
      </c>
      <c r="P66" s="203"/>
      <c r="Q66" s="200" t="s">
        <v>3445</v>
      </c>
    </row>
    <row r="67" spans="1:17">
      <c r="A67" s="200" t="s">
        <v>4533</v>
      </c>
      <c r="B67" s="109" t="s">
        <v>15437</v>
      </c>
      <c r="C67" s="109" t="s">
        <v>15500</v>
      </c>
      <c r="D67" s="202">
        <v>0</v>
      </c>
      <c r="E67" s="202">
        <v>0</v>
      </c>
      <c r="F67" s="202">
        <v>0</v>
      </c>
      <c r="G67" s="202">
        <v>0</v>
      </c>
      <c r="H67" s="202">
        <v>0</v>
      </c>
      <c r="I67" s="202">
        <v>0</v>
      </c>
      <c r="J67" s="202">
        <v>0</v>
      </c>
      <c r="K67" s="202">
        <v>0</v>
      </c>
      <c r="L67" s="202">
        <v>0</v>
      </c>
      <c r="M67" s="202">
        <v>0</v>
      </c>
      <c r="N67" s="202">
        <v>0</v>
      </c>
      <c r="O67" s="202">
        <v>4306</v>
      </c>
      <c r="P67" s="203"/>
      <c r="Q67" s="200" t="s">
        <v>3445</v>
      </c>
    </row>
    <row r="68" spans="1:17">
      <c r="A68" s="200" t="s">
        <v>4535</v>
      </c>
      <c r="B68" s="109" t="s">
        <v>915</v>
      </c>
      <c r="C68" s="109" t="s">
        <v>15501</v>
      </c>
      <c r="D68" s="202">
        <v>0</v>
      </c>
      <c r="E68" s="202">
        <v>0</v>
      </c>
      <c r="F68" s="202">
        <v>0</v>
      </c>
      <c r="G68" s="202">
        <v>0</v>
      </c>
      <c r="H68" s="202">
        <v>0</v>
      </c>
      <c r="I68" s="202">
        <v>0</v>
      </c>
      <c r="J68" s="202">
        <v>0</v>
      </c>
      <c r="K68" s="202">
        <v>0</v>
      </c>
      <c r="L68" s="202">
        <v>0</v>
      </c>
      <c r="M68" s="202">
        <v>0</v>
      </c>
      <c r="N68" s="202">
        <v>0</v>
      </c>
      <c r="O68" s="202">
        <v>3211</v>
      </c>
      <c r="P68" s="203"/>
      <c r="Q68" s="200" t="s">
        <v>3445</v>
      </c>
    </row>
    <row r="69" spans="1:17" ht="15.75" thickBot="1">
      <c r="A69" s="200"/>
      <c r="C69" s="109" t="s">
        <v>15501</v>
      </c>
      <c r="D69" s="202">
        <v>0</v>
      </c>
      <c r="E69" s="202">
        <v>0</v>
      </c>
      <c r="F69" s="202">
        <v>0</v>
      </c>
      <c r="G69" s="202">
        <v>0</v>
      </c>
      <c r="H69" s="202">
        <v>0</v>
      </c>
      <c r="I69" s="202">
        <v>0</v>
      </c>
      <c r="J69" s="202">
        <v>0</v>
      </c>
      <c r="K69" s="202">
        <v>0</v>
      </c>
      <c r="L69" s="202">
        <v>0</v>
      </c>
      <c r="M69" s="202">
        <v>0</v>
      </c>
      <c r="N69" s="202">
        <v>0</v>
      </c>
      <c r="O69" s="202">
        <v>798</v>
      </c>
      <c r="P69" s="203"/>
      <c r="Q69" s="200" t="s">
        <v>3448</v>
      </c>
    </row>
    <row r="70" spans="1:17" ht="15.75" thickBot="1">
      <c r="A70" s="200"/>
      <c r="C70" s="109" t="s">
        <v>15501</v>
      </c>
      <c r="D70" s="217">
        <f t="shared" ref="D70" si="82">SUM(D68:D69)</f>
        <v>0</v>
      </c>
      <c r="E70" s="217">
        <f t="shared" ref="E70" si="83">SUM(E68:E69)</f>
        <v>0</v>
      </c>
      <c r="F70" s="217">
        <f t="shared" ref="F70" si="84">SUM(F68:F69)</f>
        <v>0</v>
      </c>
      <c r="G70" s="217">
        <f t="shared" ref="G70" si="85">SUM(G68:G69)</f>
        <v>0</v>
      </c>
      <c r="H70" s="217">
        <f t="shared" ref="H70" si="86">SUM(H68:H69)</f>
        <v>0</v>
      </c>
      <c r="I70" s="217">
        <f t="shared" ref="I70" si="87">SUM(I68:I69)</f>
        <v>0</v>
      </c>
      <c r="J70" s="217">
        <f t="shared" ref="J70" si="88">SUM(J68:J69)</f>
        <v>0</v>
      </c>
      <c r="K70" s="217">
        <f t="shared" ref="K70" si="89">SUM(K68:K69)</f>
        <v>0</v>
      </c>
      <c r="L70" s="217">
        <f t="shared" ref="L70" si="90">SUM(L68:L69)</f>
        <v>0</v>
      </c>
      <c r="M70" s="217">
        <f t="shared" ref="M70" si="91">SUM(M68:M69)</f>
        <v>0</v>
      </c>
      <c r="N70" s="217">
        <f t="shared" ref="N70" si="92">SUM(N68:N69)</f>
        <v>0</v>
      </c>
      <c r="O70" s="217">
        <f t="shared" ref="O70" si="93">SUM(O68:O69)</f>
        <v>4009</v>
      </c>
      <c r="P70" s="203"/>
      <c r="Q70" s="200"/>
    </row>
    <row r="71" spans="1:17">
      <c r="A71" s="200" t="s">
        <v>4537</v>
      </c>
      <c r="B71" s="109" t="s">
        <v>15438</v>
      </c>
      <c r="C71" s="109" t="s">
        <v>15502</v>
      </c>
      <c r="D71" s="202">
        <v>0</v>
      </c>
      <c r="E71" s="202">
        <v>0</v>
      </c>
      <c r="F71" s="202">
        <v>0</v>
      </c>
      <c r="G71" s="202">
        <v>0</v>
      </c>
      <c r="H71" s="202">
        <v>0</v>
      </c>
      <c r="I71" s="202">
        <v>0</v>
      </c>
      <c r="J71" s="202">
        <v>0</v>
      </c>
      <c r="K71" s="202">
        <v>0</v>
      </c>
      <c r="L71" s="202">
        <v>0</v>
      </c>
      <c r="M71" s="202">
        <v>0</v>
      </c>
      <c r="N71" s="202">
        <v>0</v>
      </c>
      <c r="O71" s="202">
        <v>2545</v>
      </c>
      <c r="P71" s="203"/>
      <c r="Q71" s="200" t="s">
        <v>3445</v>
      </c>
    </row>
    <row r="72" spans="1:17" ht="15.75" thickBot="1">
      <c r="A72" s="200"/>
      <c r="C72" s="109" t="s">
        <v>15502</v>
      </c>
      <c r="D72" s="202">
        <v>0</v>
      </c>
      <c r="E72" s="202">
        <v>0</v>
      </c>
      <c r="F72" s="202">
        <v>0</v>
      </c>
      <c r="G72" s="202">
        <v>0</v>
      </c>
      <c r="H72" s="202">
        <v>0</v>
      </c>
      <c r="I72" s="202">
        <v>0</v>
      </c>
      <c r="J72" s="202">
        <v>0</v>
      </c>
      <c r="K72" s="202">
        <v>0</v>
      </c>
      <c r="L72" s="202">
        <v>0</v>
      </c>
      <c r="M72" s="202">
        <v>0</v>
      </c>
      <c r="N72" s="202">
        <v>0</v>
      </c>
      <c r="O72" s="202">
        <v>1160</v>
      </c>
      <c r="P72" s="203"/>
      <c r="Q72" s="200" t="s">
        <v>3448</v>
      </c>
    </row>
    <row r="73" spans="1:17" ht="15.75" thickBot="1">
      <c r="A73" s="200"/>
      <c r="C73" s="109" t="s">
        <v>15502</v>
      </c>
      <c r="D73" s="217">
        <f t="shared" ref="D73" si="94">SUM(D71:D72)</f>
        <v>0</v>
      </c>
      <c r="E73" s="217">
        <f t="shared" ref="E73" si="95">SUM(E71:E72)</f>
        <v>0</v>
      </c>
      <c r="F73" s="217">
        <f t="shared" ref="F73" si="96">SUM(F71:F72)</f>
        <v>0</v>
      </c>
      <c r="G73" s="217">
        <f t="shared" ref="G73" si="97">SUM(G71:G72)</f>
        <v>0</v>
      </c>
      <c r="H73" s="217">
        <f t="shared" ref="H73" si="98">SUM(H71:H72)</f>
        <v>0</v>
      </c>
      <c r="I73" s="217">
        <f t="shared" ref="I73" si="99">SUM(I71:I72)</f>
        <v>0</v>
      </c>
      <c r="J73" s="217">
        <f t="shared" ref="J73" si="100">SUM(J71:J72)</f>
        <v>0</v>
      </c>
      <c r="K73" s="217">
        <f t="shared" ref="K73" si="101">SUM(K71:K72)</f>
        <v>0</v>
      </c>
      <c r="L73" s="217">
        <f t="shared" ref="L73" si="102">SUM(L71:L72)</f>
        <v>0</v>
      </c>
      <c r="M73" s="217">
        <f t="shared" ref="M73" si="103">SUM(M71:M72)</f>
        <v>0</v>
      </c>
      <c r="N73" s="217">
        <f t="shared" ref="N73" si="104">SUM(N71:N72)</f>
        <v>0</v>
      </c>
      <c r="O73" s="217">
        <f t="shared" ref="O73" si="105">SUM(O71:O72)</f>
        <v>3705</v>
      </c>
      <c r="P73" s="203"/>
      <c r="Q73" s="200"/>
    </row>
    <row r="74" spans="1:17">
      <c r="A74" s="210">
        <v>30</v>
      </c>
      <c r="B74" s="109" t="s">
        <v>15439</v>
      </c>
      <c r="C74" s="109" t="s">
        <v>15503</v>
      </c>
      <c r="D74" s="202">
        <v>0</v>
      </c>
      <c r="E74" s="202">
        <v>0</v>
      </c>
      <c r="F74" s="202">
        <v>0</v>
      </c>
      <c r="G74" s="202">
        <v>0</v>
      </c>
      <c r="H74" s="202">
        <v>0</v>
      </c>
      <c r="I74" s="202">
        <v>0</v>
      </c>
      <c r="J74" s="202">
        <v>0</v>
      </c>
      <c r="K74" s="202">
        <v>0</v>
      </c>
      <c r="L74" s="202">
        <v>0</v>
      </c>
      <c r="M74" s="202">
        <v>0</v>
      </c>
      <c r="N74" s="202">
        <v>0</v>
      </c>
      <c r="O74" s="202">
        <v>3914</v>
      </c>
      <c r="P74" s="203"/>
      <c r="Q74" s="200" t="s">
        <v>3448</v>
      </c>
    </row>
    <row r="75" spans="1:17">
      <c r="A75" s="210">
        <v>31</v>
      </c>
      <c r="B75" s="109" t="s">
        <v>4980</v>
      </c>
      <c r="C75" s="109" t="s">
        <v>15504</v>
      </c>
      <c r="D75" s="202">
        <v>0</v>
      </c>
      <c r="E75" s="202">
        <v>0</v>
      </c>
      <c r="F75" s="202">
        <v>0</v>
      </c>
      <c r="G75" s="202">
        <v>0</v>
      </c>
      <c r="H75" s="202">
        <v>0</v>
      </c>
      <c r="I75" s="202">
        <v>0</v>
      </c>
      <c r="J75" s="202">
        <v>0</v>
      </c>
      <c r="K75" s="202">
        <v>0</v>
      </c>
      <c r="L75" s="202">
        <v>0</v>
      </c>
      <c r="M75" s="202">
        <v>0</v>
      </c>
      <c r="N75" s="202">
        <v>0</v>
      </c>
      <c r="O75" s="202">
        <v>4258</v>
      </c>
      <c r="P75" s="203"/>
      <c r="Q75" s="200" t="s">
        <v>3447</v>
      </c>
    </row>
    <row r="76" spans="1:17">
      <c r="A76" s="210">
        <v>32</v>
      </c>
      <c r="B76" s="109" t="s">
        <v>4981</v>
      </c>
      <c r="C76" s="109" t="s">
        <v>15505</v>
      </c>
      <c r="D76" s="202">
        <v>0</v>
      </c>
      <c r="E76" s="202">
        <v>0</v>
      </c>
      <c r="F76" s="202">
        <v>0</v>
      </c>
      <c r="G76" s="202">
        <v>0</v>
      </c>
      <c r="H76" s="202">
        <v>0</v>
      </c>
      <c r="I76" s="202">
        <v>0</v>
      </c>
      <c r="J76" s="202">
        <v>0</v>
      </c>
      <c r="K76" s="202">
        <v>0</v>
      </c>
      <c r="L76" s="202">
        <v>0</v>
      </c>
      <c r="M76" s="202">
        <v>0</v>
      </c>
      <c r="N76" s="202">
        <v>0</v>
      </c>
      <c r="O76" s="202">
        <v>3322</v>
      </c>
      <c r="P76" s="203"/>
      <c r="Q76" s="200" t="s">
        <v>3447</v>
      </c>
    </row>
    <row r="77" spans="1:17">
      <c r="A77" s="210">
        <v>33</v>
      </c>
      <c r="B77" s="109" t="s">
        <v>15440</v>
      </c>
      <c r="C77" s="109" t="s">
        <v>15506</v>
      </c>
      <c r="D77" s="202">
        <v>0</v>
      </c>
      <c r="E77" s="202">
        <v>0</v>
      </c>
      <c r="F77" s="202">
        <v>0</v>
      </c>
      <c r="G77" s="202">
        <v>0</v>
      </c>
      <c r="H77" s="202">
        <v>0</v>
      </c>
      <c r="I77" s="202">
        <v>0</v>
      </c>
      <c r="J77" s="202">
        <v>0</v>
      </c>
      <c r="K77" s="202">
        <v>0</v>
      </c>
      <c r="L77" s="202">
        <v>0</v>
      </c>
      <c r="M77" s="202">
        <v>0</v>
      </c>
      <c r="N77" s="202">
        <v>0</v>
      </c>
      <c r="O77" s="202">
        <v>3299</v>
      </c>
      <c r="P77" s="203"/>
      <c r="Q77" s="200" t="s">
        <v>3447</v>
      </c>
    </row>
    <row r="78" spans="1:17" ht="15.75" thickBot="1">
      <c r="A78" s="210"/>
      <c r="C78" s="109" t="s">
        <v>15506</v>
      </c>
      <c r="D78" s="202">
        <v>0</v>
      </c>
      <c r="E78" s="202">
        <v>0</v>
      </c>
      <c r="F78" s="202">
        <v>0</v>
      </c>
      <c r="G78" s="202">
        <v>0</v>
      </c>
      <c r="H78" s="202">
        <v>0</v>
      </c>
      <c r="I78" s="202">
        <v>0</v>
      </c>
      <c r="J78" s="202">
        <v>0</v>
      </c>
      <c r="K78" s="202">
        <v>0</v>
      </c>
      <c r="L78" s="202">
        <v>0</v>
      </c>
      <c r="M78" s="202">
        <v>0</v>
      </c>
      <c r="N78" s="202">
        <v>0</v>
      </c>
      <c r="O78" s="202">
        <v>342</v>
      </c>
      <c r="P78" s="203"/>
      <c r="Q78" s="200" t="s">
        <v>4968</v>
      </c>
    </row>
    <row r="79" spans="1:17" ht="15.75" thickBot="1">
      <c r="A79" s="210"/>
      <c r="C79" s="109" t="s">
        <v>15506</v>
      </c>
      <c r="D79" s="217">
        <f t="shared" ref="D79" si="106">SUM(D77:D78)</f>
        <v>0</v>
      </c>
      <c r="E79" s="217">
        <f t="shared" ref="E79" si="107">SUM(E77:E78)</f>
        <v>0</v>
      </c>
      <c r="F79" s="217">
        <f t="shared" ref="F79" si="108">SUM(F77:F78)</f>
        <v>0</v>
      </c>
      <c r="G79" s="217">
        <f t="shared" ref="G79" si="109">SUM(G77:G78)</f>
        <v>0</v>
      </c>
      <c r="H79" s="217">
        <f t="shared" ref="H79" si="110">SUM(H77:H78)</f>
        <v>0</v>
      </c>
      <c r="I79" s="217">
        <f t="shared" ref="I79" si="111">SUM(I77:I78)</f>
        <v>0</v>
      </c>
      <c r="J79" s="217">
        <f t="shared" ref="J79" si="112">SUM(J77:J78)</f>
        <v>0</v>
      </c>
      <c r="K79" s="217">
        <f t="shared" ref="K79" si="113">SUM(K77:K78)</f>
        <v>0</v>
      </c>
      <c r="L79" s="217">
        <f t="shared" ref="L79" si="114">SUM(L77:L78)</f>
        <v>0</v>
      </c>
      <c r="M79" s="217">
        <f t="shared" ref="M79" si="115">SUM(M77:M78)</f>
        <v>0</v>
      </c>
      <c r="N79" s="217">
        <f t="shared" ref="N79" si="116">SUM(N77:N78)</f>
        <v>0</v>
      </c>
      <c r="O79" s="217">
        <f t="shared" ref="O79" si="117">SUM(O77:O78)</f>
        <v>3641</v>
      </c>
      <c r="P79" s="203"/>
      <c r="Q79" s="200"/>
    </row>
    <row r="80" spans="1:17">
      <c r="A80" s="210">
        <v>34</v>
      </c>
      <c r="B80" s="109" t="s">
        <v>15441</v>
      </c>
      <c r="C80" s="109" t="s">
        <v>15507</v>
      </c>
      <c r="D80" s="202">
        <v>0</v>
      </c>
      <c r="E80" s="202">
        <v>0</v>
      </c>
      <c r="F80" s="202">
        <v>0</v>
      </c>
      <c r="G80" s="202">
        <v>0</v>
      </c>
      <c r="H80" s="202">
        <v>0</v>
      </c>
      <c r="I80" s="202">
        <v>0</v>
      </c>
      <c r="J80" s="202">
        <v>0</v>
      </c>
      <c r="K80" s="202">
        <v>0</v>
      </c>
      <c r="L80" s="202">
        <v>0</v>
      </c>
      <c r="M80" s="202">
        <v>0</v>
      </c>
      <c r="N80" s="202">
        <v>0</v>
      </c>
      <c r="O80" s="202">
        <v>3921</v>
      </c>
      <c r="P80" s="203"/>
      <c r="Q80" s="200" t="s">
        <v>3447</v>
      </c>
    </row>
    <row r="81" spans="1:17">
      <c r="A81" s="210">
        <v>35</v>
      </c>
      <c r="B81" s="109" t="s">
        <v>15442</v>
      </c>
      <c r="C81" s="109" t="s">
        <v>15508</v>
      </c>
      <c r="D81" s="202">
        <v>0</v>
      </c>
      <c r="E81" s="202">
        <v>0</v>
      </c>
      <c r="F81" s="202">
        <v>0</v>
      </c>
      <c r="G81" s="202">
        <v>0</v>
      </c>
      <c r="H81" s="202">
        <v>0</v>
      </c>
      <c r="I81" s="202">
        <v>0</v>
      </c>
      <c r="J81" s="202">
        <v>0</v>
      </c>
      <c r="K81" s="202">
        <v>0</v>
      </c>
      <c r="L81" s="202">
        <v>0</v>
      </c>
      <c r="M81" s="202">
        <v>0</v>
      </c>
      <c r="N81" s="202">
        <v>0</v>
      </c>
      <c r="O81" s="202">
        <v>4024</v>
      </c>
      <c r="P81" s="203"/>
      <c r="Q81" s="200" t="s">
        <v>3449</v>
      </c>
    </row>
    <row r="82" spans="1:17">
      <c r="A82" s="210">
        <v>36</v>
      </c>
      <c r="B82" s="109" t="s">
        <v>4555</v>
      </c>
      <c r="C82" s="109" t="s">
        <v>15509</v>
      </c>
      <c r="D82" s="202">
        <v>0</v>
      </c>
      <c r="E82" s="202">
        <v>0</v>
      </c>
      <c r="F82" s="202">
        <v>0</v>
      </c>
      <c r="G82" s="202">
        <v>0</v>
      </c>
      <c r="H82" s="202">
        <v>0</v>
      </c>
      <c r="I82" s="202">
        <v>0</v>
      </c>
      <c r="J82" s="202">
        <v>0</v>
      </c>
      <c r="K82" s="202">
        <v>0</v>
      </c>
      <c r="L82" s="202">
        <v>0</v>
      </c>
      <c r="M82" s="202">
        <v>0</v>
      </c>
      <c r="N82" s="202">
        <v>0</v>
      </c>
      <c r="O82" s="202">
        <v>3681</v>
      </c>
      <c r="P82" s="203"/>
      <c r="Q82" s="200" t="s">
        <v>3447</v>
      </c>
    </row>
    <row r="83" spans="1:17">
      <c r="A83" s="210">
        <v>37</v>
      </c>
      <c r="B83" s="109" t="s">
        <v>9086</v>
      </c>
      <c r="C83" s="109" t="s">
        <v>15510</v>
      </c>
      <c r="D83" s="202">
        <v>71452</v>
      </c>
      <c r="E83" s="202">
        <v>72820</v>
      </c>
      <c r="F83" s="202">
        <v>72682</v>
      </c>
      <c r="G83" s="202">
        <v>72798</v>
      </c>
      <c r="H83" s="202">
        <v>72750</v>
      </c>
      <c r="I83" s="202">
        <v>70765</v>
      </c>
      <c r="J83" s="202">
        <v>71658</v>
      </c>
      <c r="K83" s="202">
        <v>74745</v>
      </c>
      <c r="L83" s="202">
        <v>75628</v>
      </c>
      <c r="M83" s="202">
        <v>74892</v>
      </c>
      <c r="N83" s="202">
        <v>78364</v>
      </c>
      <c r="O83" s="202">
        <v>3801</v>
      </c>
      <c r="P83" s="203"/>
      <c r="Q83" s="200" t="s">
        <v>4968</v>
      </c>
    </row>
    <row r="84" spans="1:17">
      <c r="A84" s="210">
        <v>38</v>
      </c>
      <c r="B84" s="109" t="s">
        <v>15443</v>
      </c>
      <c r="C84" s="109" t="s">
        <v>15511</v>
      </c>
      <c r="D84" s="202">
        <v>0</v>
      </c>
      <c r="E84" s="202">
        <v>0</v>
      </c>
      <c r="F84" s="202">
        <v>0</v>
      </c>
      <c r="G84" s="202">
        <v>0</v>
      </c>
      <c r="H84" s="202">
        <v>0</v>
      </c>
      <c r="I84" s="202">
        <v>0</v>
      </c>
      <c r="J84" s="202">
        <v>0</v>
      </c>
      <c r="K84" s="202">
        <v>0</v>
      </c>
      <c r="L84" s="202">
        <v>0</v>
      </c>
      <c r="M84" s="202">
        <v>0</v>
      </c>
      <c r="N84" s="202">
        <v>0</v>
      </c>
      <c r="O84" s="202">
        <v>1766</v>
      </c>
      <c r="P84" s="203"/>
      <c r="Q84" s="200" t="s">
        <v>3449</v>
      </c>
    </row>
    <row r="85" spans="1:17" ht="15.75" thickBot="1">
      <c r="A85" s="210"/>
      <c r="C85" s="109" t="s">
        <v>15511</v>
      </c>
      <c r="D85" s="202">
        <v>0</v>
      </c>
      <c r="E85" s="202">
        <v>0</v>
      </c>
      <c r="F85" s="202">
        <v>0</v>
      </c>
      <c r="G85" s="202">
        <v>0</v>
      </c>
      <c r="H85" s="202">
        <v>0</v>
      </c>
      <c r="I85" s="202">
        <v>0</v>
      </c>
      <c r="J85" s="202">
        <v>0</v>
      </c>
      <c r="K85" s="202">
        <v>0</v>
      </c>
      <c r="L85" s="202">
        <v>0</v>
      </c>
      <c r="M85" s="202">
        <v>0</v>
      </c>
      <c r="N85" s="202">
        <v>0</v>
      </c>
      <c r="O85" s="202">
        <v>1998</v>
      </c>
      <c r="P85" s="203"/>
      <c r="Q85" s="200" t="s">
        <v>4968</v>
      </c>
    </row>
    <row r="86" spans="1:17" ht="15.75" thickBot="1">
      <c r="A86" s="210"/>
      <c r="C86" s="109" t="s">
        <v>15511</v>
      </c>
      <c r="D86" s="217">
        <f t="shared" ref="D86" si="118">SUM(D84:D85)</f>
        <v>0</v>
      </c>
      <c r="E86" s="217">
        <f t="shared" ref="E86" si="119">SUM(E84:E85)</f>
        <v>0</v>
      </c>
      <c r="F86" s="217">
        <f t="shared" ref="F86" si="120">SUM(F84:F85)</f>
        <v>0</v>
      </c>
      <c r="G86" s="217">
        <f t="shared" ref="G86" si="121">SUM(G84:G85)</f>
        <v>0</v>
      </c>
      <c r="H86" s="217">
        <f t="shared" ref="H86" si="122">SUM(H84:H85)</f>
        <v>0</v>
      </c>
      <c r="I86" s="217">
        <f t="shared" ref="I86" si="123">SUM(I84:I85)</f>
        <v>0</v>
      </c>
      <c r="J86" s="217">
        <f t="shared" ref="J86" si="124">SUM(J84:J85)</f>
        <v>0</v>
      </c>
      <c r="K86" s="217">
        <f t="shared" ref="K86" si="125">SUM(K84:K85)</f>
        <v>0</v>
      </c>
      <c r="L86" s="217">
        <f t="shared" ref="L86" si="126">SUM(L84:L85)</f>
        <v>0</v>
      </c>
      <c r="M86" s="217">
        <f t="shared" ref="M86" si="127">SUM(M84:M85)</f>
        <v>0</v>
      </c>
      <c r="N86" s="217">
        <f t="shared" ref="N86" si="128">SUM(N84:N85)</f>
        <v>0</v>
      </c>
      <c r="O86" s="217">
        <f t="shared" ref="O86" si="129">SUM(O84:O85)</f>
        <v>3764</v>
      </c>
      <c r="P86" s="203"/>
      <c r="Q86" s="200"/>
    </row>
    <row r="87" spans="1:17">
      <c r="A87" s="210">
        <v>39</v>
      </c>
      <c r="B87" s="109" t="s">
        <v>4982</v>
      </c>
      <c r="C87" s="109" t="s">
        <v>15512</v>
      </c>
      <c r="D87" s="202">
        <v>0</v>
      </c>
      <c r="E87" s="202">
        <v>0</v>
      </c>
      <c r="F87" s="202">
        <v>0</v>
      </c>
      <c r="G87" s="202">
        <v>0</v>
      </c>
      <c r="H87" s="202">
        <v>0</v>
      </c>
      <c r="I87" s="202">
        <v>0</v>
      </c>
      <c r="J87" s="202">
        <v>0</v>
      </c>
      <c r="K87" s="202">
        <v>0</v>
      </c>
      <c r="L87" s="202">
        <v>0</v>
      </c>
      <c r="M87" s="202">
        <v>0</v>
      </c>
      <c r="N87" s="202">
        <v>0</v>
      </c>
      <c r="O87" s="202">
        <v>3460</v>
      </c>
      <c r="P87" s="203"/>
      <c r="Q87" s="200" t="s">
        <v>3445</v>
      </c>
    </row>
    <row r="88" spans="1:17">
      <c r="A88" s="210">
        <v>40</v>
      </c>
      <c r="B88" s="109" t="s">
        <v>3247</v>
      </c>
      <c r="C88" s="109" t="s">
        <v>15513</v>
      </c>
      <c r="D88" s="202">
        <v>0</v>
      </c>
      <c r="E88" s="202">
        <v>0</v>
      </c>
      <c r="F88" s="202">
        <v>0</v>
      </c>
      <c r="G88" s="202">
        <v>0</v>
      </c>
      <c r="H88" s="202">
        <v>0</v>
      </c>
      <c r="I88" s="202">
        <v>0</v>
      </c>
      <c r="J88" s="202">
        <v>0</v>
      </c>
      <c r="K88" s="202">
        <v>0</v>
      </c>
      <c r="L88" s="202">
        <v>0</v>
      </c>
      <c r="M88" s="202">
        <v>0</v>
      </c>
      <c r="N88" s="202">
        <v>0</v>
      </c>
      <c r="O88" s="202">
        <v>3727</v>
      </c>
      <c r="P88" s="203"/>
      <c r="Q88" s="200" t="s">
        <v>3445</v>
      </c>
    </row>
    <row r="89" spans="1:17">
      <c r="A89" s="210">
        <v>41</v>
      </c>
      <c r="B89" s="109" t="s">
        <v>4983</v>
      </c>
      <c r="C89" s="109" t="s">
        <v>15514</v>
      </c>
      <c r="D89" s="202">
        <v>0</v>
      </c>
      <c r="E89" s="202">
        <v>0</v>
      </c>
      <c r="F89" s="202">
        <v>0</v>
      </c>
      <c r="G89" s="202">
        <v>0</v>
      </c>
      <c r="H89" s="202">
        <v>0</v>
      </c>
      <c r="I89" s="202">
        <v>0</v>
      </c>
      <c r="J89" s="202">
        <v>0</v>
      </c>
      <c r="K89" s="202">
        <v>0</v>
      </c>
      <c r="L89" s="202">
        <v>0</v>
      </c>
      <c r="M89" s="202">
        <v>0</v>
      </c>
      <c r="N89" s="202">
        <v>0</v>
      </c>
      <c r="O89" s="202">
        <v>0</v>
      </c>
      <c r="P89" s="203"/>
      <c r="Q89" s="200" t="s">
        <v>3445</v>
      </c>
    </row>
    <row r="90" spans="1:17" ht="15.75" thickBot="1">
      <c r="A90" s="210"/>
      <c r="C90" s="109" t="s">
        <v>15514</v>
      </c>
      <c r="D90" s="202">
        <v>0</v>
      </c>
      <c r="E90" s="202">
        <v>0</v>
      </c>
      <c r="F90" s="202">
        <v>0</v>
      </c>
      <c r="G90" s="202">
        <v>0</v>
      </c>
      <c r="H90" s="202">
        <v>0</v>
      </c>
      <c r="I90" s="202">
        <v>0</v>
      </c>
      <c r="J90" s="202">
        <v>0</v>
      </c>
      <c r="K90" s="202">
        <v>0</v>
      </c>
      <c r="L90" s="202">
        <v>0</v>
      </c>
      <c r="M90" s="202">
        <v>0</v>
      </c>
      <c r="N90" s="202">
        <v>0</v>
      </c>
      <c r="O90" s="202">
        <v>4102</v>
      </c>
      <c r="P90" s="203"/>
      <c r="Q90" s="200" t="s">
        <v>3448</v>
      </c>
    </row>
    <row r="91" spans="1:17" ht="15.75" thickBot="1">
      <c r="A91" s="210"/>
      <c r="C91" s="109" t="s">
        <v>15514</v>
      </c>
      <c r="D91" s="217">
        <f t="shared" ref="D91" si="130">SUM(D89:D90)</f>
        <v>0</v>
      </c>
      <c r="E91" s="217">
        <f t="shared" ref="E91" si="131">SUM(E89:E90)</f>
        <v>0</v>
      </c>
      <c r="F91" s="217">
        <f t="shared" ref="F91" si="132">SUM(F89:F90)</f>
        <v>0</v>
      </c>
      <c r="G91" s="217">
        <f t="shared" ref="G91" si="133">SUM(G89:G90)</f>
        <v>0</v>
      </c>
      <c r="H91" s="217">
        <f t="shared" ref="H91" si="134">SUM(H89:H90)</f>
        <v>0</v>
      </c>
      <c r="I91" s="217">
        <f t="shared" ref="I91" si="135">SUM(I89:I90)</f>
        <v>0</v>
      </c>
      <c r="J91" s="217">
        <f t="shared" ref="J91" si="136">SUM(J89:J90)</f>
        <v>0</v>
      </c>
      <c r="K91" s="217">
        <f t="shared" ref="K91" si="137">SUM(K89:K90)</f>
        <v>0</v>
      </c>
      <c r="L91" s="217">
        <f t="shared" ref="L91" si="138">SUM(L89:L90)</f>
        <v>0</v>
      </c>
      <c r="M91" s="217">
        <f t="shared" ref="M91" si="139">SUM(M89:M90)</f>
        <v>0</v>
      </c>
      <c r="N91" s="217">
        <f t="shared" ref="N91" si="140">SUM(N89:N90)</f>
        <v>0</v>
      </c>
      <c r="O91" s="217">
        <f t="shared" ref="O91" si="141">SUM(O89:O90)</f>
        <v>4102</v>
      </c>
      <c r="P91" s="203"/>
      <c r="Q91" s="200"/>
    </row>
    <row r="92" spans="1:17">
      <c r="A92" s="210">
        <v>42</v>
      </c>
      <c r="B92" s="109" t="s">
        <v>15444</v>
      </c>
      <c r="C92" s="109" t="s">
        <v>15515</v>
      </c>
      <c r="D92" s="202">
        <v>0</v>
      </c>
      <c r="E92" s="202">
        <v>0</v>
      </c>
      <c r="F92" s="202">
        <v>0</v>
      </c>
      <c r="G92" s="202">
        <v>0</v>
      </c>
      <c r="H92" s="202">
        <v>0</v>
      </c>
      <c r="I92" s="202">
        <v>0</v>
      </c>
      <c r="J92" s="202">
        <v>0</v>
      </c>
      <c r="K92" s="202">
        <v>0</v>
      </c>
      <c r="L92" s="202">
        <v>0</v>
      </c>
      <c r="M92" s="202">
        <v>0</v>
      </c>
      <c r="N92" s="202">
        <v>0</v>
      </c>
      <c r="O92" s="202">
        <v>4432</v>
      </c>
      <c r="P92" s="203"/>
      <c r="Q92" s="200" t="s">
        <v>3449</v>
      </c>
    </row>
    <row r="93" spans="1:17">
      <c r="A93" s="210">
        <v>43</v>
      </c>
      <c r="B93" s="109" t="s">
        <v>15445</v>
      </c>
      <c r="C93" s="109" t="s">
        <v>15516</v>
      </c>
      <c r="D93" s="202">
        <v>0</v>
      </c>
      <c r="E93" s="202">
        <v>0</v>
      </c>
      <c r="F93" s="202">
        <v>0</v>
      </c>
      <c r="G93" s="202">
        <v>0</v>
      </c>
      <c r="H93" s="202">
        <v>0</v>
      </c>
      <c r="I93" s="202">
        <v>0</v>
      </c>
      <c r="J93" s="202">
        <v>0</v>
      </c>
      <c r="K93" s="202">
        <v>0</v>
      </c>
      <c r="L93" s="202">
        <v>0</v>
      </c>
      <c r="M93" s="202">
        <v>0</v>
      </c>
      <c r="N93" s="202">
        <v>0</v>
      </c>
      <c r="O93" s="202">
        <v>3966</v>
      </c>
      <c r="P93" s="203"/>
      <c r="Q93" s="200" t="s">
        <v>3447</v>
      </c>
    </row>
    <row r="94" spans="1:17">
      <c r="A94" s="210">
        <v>44</v>
      </c>
      <c r="B94" s="109" t="s">
        <v>3479</v>
      </c>
      <c r="C94" s="109" t="s">
        <v>15517</v>
      </c>
      <c r="D94" s="202">
        <v>0</v>
      </c>
      <c r="E94" s="202">
        <v>0</v>
      </c>
      <c r="F94" s="202">
        <v>0</v>
      </c>
      <c r="G94" s="202">
        <v>0</v>
      </c>
      <c r="H94" s="202">
        <v>0</v>
      </c>
      <c r="I94" s="202">
        <v>0</v>
      </c>
      <c r="J94" s="202">
        <v>0</v>
      </c>
      <c r="K94" s="202">
        <v>0</v>
      </c>
      <c r="L94" s="202">
        <v>0</v>
      </c>
      <c r="M94" s="202">
        <v>0</v>
      </c>
      <c r="N94" s="202">
        <v>0</v>
      </c>
      <c r="O94" s="202">
        <v>661</v>
      </c>
      <c r="P94" s="203"/>
      <c r="Q94" s="200" t="s">
        <v>3447</v>
      </c>
    </row>
    <row r="95" spans="1:17" ht="15.75" thickBot="1">
      <c r="A95" s="210"/>
      <c r="C95" s="109" t="s">
        <v>15517</v>
      </c>
      <c r="D95" s="202">
        <v>0</v>
      </c>
      <c r="E95" s="202">
        <v>0</v>
      </c>
      <c r="F95" s="202">
        <v>0</v>
      </c>
      <c r="G95" s="202">
        <v>0</v>
      </c>
      <c r="H95" s="202">
        <v>0</v>
      </c>
      <c r="I95" s="202">
        <v>0</v>
      </c>
      <c r="J95" s="202">
        <v>0</v>
      </c>
      <c r="K95" s="202">
        <v>0</v>
      </c>
      <c r="L95" s="202">
        <v>0</v>
      </c>
      <c r="M95" s="202">
        <v>0</v>
      </c>
      <c r="N95" s="202">
        <v>0</v>
      </c>
      <c r="O95" s="202">
        <v>3483</v>
      </c>
      <c r="P95" s="203"/>
      <c r="Q95" s="200" t="s">
        <v>3448</v>
      </c>
    </row>
    <row r="96" spans="1:17" ht="15.75" thickBot="1">
      <c r="A96" s="210"/>
      <c r="C96" s="109" t="s">
        <v>15517</v>
      </c>
      <c r="D96" s="217">
        <f t="shared" ref="D96" si="142">SUM(D94:D95)</f>
        <v>0</v>
      </c>
      <c r="E96" s="217">
        <f t="shared" ref="E96" si="143">SUM(E94:E95)</f>
        <v>0</v>
      </c>
      <c r="F96" s="217">
        <f t="shared" ref="F96" si="144">SUM(F94:F95)</f>
        <v>0</v>
      </c>
      <c r="G96" s="217">
        <f t="shared" ref="G96" si="145">SUM(G94:G95)</f>
        <v>0</v>
      </c>
      <c r="H96" s="217">
        <f t="shared" ref="H96" si="146">SUM(H94:H95)</f>
        <v>0</v>
      </c>
      <c r="I96" s="217">
        <f t="shared" ref="I96" si="147">SUM(I94:I95)</f>
        <v>0</v>
      </c>
      <c r="J96" s="217">
        <f t="shared" ref="J96" si="148">SUM(J94:J95)</f>
        <v>0</v>
      </c>
      <c r="K96" s="217">
        <f t="shared" ref="K96" si="149">SUM(K94:K95)</f>
        <v>0</v>
      </c>
      <c r="L96" s="217">
        <f t="shared" ref="L96" si="150">SUM(L94:L95)</f>
        <v>0</v>
      </c>
      <c r="M96" s="217">
        <f t="shared" ref="M96" si="151">SUM(M94:M95)</f>
        <v>0</v>
      </c>
      <c r="N96" s="217">
        <f t="shared" ref="N96" si="152">SUM(N94:N95)</f>
        <v>0</v>
      </c>
      <c r="O96" s="217">
        <f t="shared" ref="O96" si="153">SUM(O94:O95)</f>
        <v>4144</v>
      </c>
      <c r="P96" s="203"/>
      <c r="Q96" s="200"/>
    </row>
    <row r="97" spans="1:17">
      <c r="A97" s="210">
        <v>45</v>
      </c>
      <c r="B97" s="109" t="s">
        <v>3480</v>
      </c>
      <c r="C97" s="109" t="s">
        <v>15518</v>
      </c>
      <c r="D97" s="202">
        <v>0</v>
      </c>
      <c r="E97" s="202">
        <v>0</v>
      </c>
      <c r="F97" s="202">
        <v>0</v>
      </c>
      <c r="G97" s="202">
        <v>0</v>
      </c>
      <c r="H97" s="202">
        <v>0</v>
      </c>
      <c r="I97" s="202">
        <v>0</v>
      </c>
      <c r="J97" s="202">
        <v>0</v>
      </c>
      <c r="K97" s="202">
        <v>0</v>
      </c>
      <c r="L97" s="202">
        <v>0</v>
      </c>
      <c r="M97" s="202">
        <v>0</v>
      </c>
      <c r="N97" s="202">
        <v>0</v>
      </c>
      <c r="O97" s="202">
        <v>4373</v>
      </c>
      <c r="P97" s="203"/>
      <c r="Q97" s="200" t="s">
        <v>3448</v>
      </c>
    </row>
    <row r="98" spans="1:17">
      <c r="A98" s="210">
        <v>46</v>
      </c>
      <c r="B98" s="109" t="s">
        <v>3481</v>
      </c>
      <c r="C98" s="109" t="s">
        <v>15519</v>
      </c>
      <c r="D98" s="202">
        <v>0</v>
      </c>
      <c r="E98" s="202">
        <v>0</v>
      </c>
      <c r="F98" s="202">
        <v>0</v>
      </c>
      <c r="G98" s="202">
        <v>0</v>
      </c>
      <c r="H98" s="202">
        <v>0</v>
      </c>
      <c r="I98" s="202">
        <v>0</v>
      </c>
      <c r="J98" s="202">
        <v>0</v>
      </c>
      <c r="K98" s="202">
        <v>0</v>
      </c>
      <c r="L98" s="202">
        <v>0</v>
      </c>
      <c r="M98" s="202">
        <v>0</v>
      </c>
      <c r="N98" s="202">
        <v>0</v>
      </c>
      <c r="O98" s="202">
        <v>4020</v>
      </c>
      <c r="P98" s="203"/>
      <c r="Q98" s="200" t="s">
        <v>3447</v>
      </c>
    </row>
    <row r="99" spans="1:17">
      <c r="A99" s="210">
        <v>47</v>
      </c>
      <c r="B99" s="109" t="s">
        <v>3482</v>
      </c>
      <c r="C99" s="109" t="s">
        <v>15520</v>
      </c>
      <c r="D99" s="202">
        <v>0</v>
      </c>
      <c r="E99" s="202">
        <v>0</v>
      </c>
      <c r="F99" s="202">
        <v>0</v>
      </c>
      <c r="G99" s="202">
        <v>0</v>
      </c>
      <c r="H99" s="202">
        <v>0</v>
      </c>
      <c r="I99" s="202">
        <v>0</v>
      </c>
      <c r="J99" s="202">
        <v>0</v>
      </c>
      <c r="K99" s="202">
        <v>0</v>
      </c>
      <c r="L99" s="202">
        <v>0</v>
      </c>
      <c r="M99" s="202">
        <v>0</v>
      </c>
      <c r="N99" s="202">
        <v>0</v>
      </c>
      <c r="O99" s="202">
        <v>4365</v>
      </c>
      <c r="P99" s="203"/>
      <c r="Q99" s="200" t="s">
        <v>3447</v>
      </c>
    </row>
    <row r="100" spans="1:17">
      <c r="A100" s="210">
        <v>48</v>
      </c>
      <c r="B100" s="109" t="s">
        <v>15446</v>
      </c>
      <c r="C100" s="109" t="s">
        <v>15521</v>
      </c>
      <c r="D100" s="202">
        <v>0</v>
      </c>
      <c r="E100" s="202">
        <v>0</v>
      </c>
      <c r="F100" s="202">
        <v>0</v>
      </c>
      <c r="G100" s="202">
        <v>0</v>
      </c>
      <c r="H100" s="202">
        <v>0</v>
      </c>
      <c r="I100" s="202">
        <v>0</v>
      </c>
      <c r="J100" s="202">
        <v>0</v>
      </c>
      <c r="K100" s="202">
        <v>0</v>
      </c>
      <c r="L100" s="202">
        <v>0</v>
      </c>
      <c r="M100" s="202">
        <v>0</v>
      </c>
      <c r="N100" s="202">
        <v>0</v>
      </c>
      <c r="O100" s="202">
        <v>3255</v>
      </c>
      <c r="P100" s="203"/>
      <c r="Q100" s="200" t="s">
        <v>3445</v>
      </c>
    </row>
    <row r="101" spans="1:17">
      <c r="A101" s="210">
        <v>49</v>
      </c>
      <c r="B101" s="109" t="s">
        <v>15447</v>
      </c>
      <c r="C101" s="109" t="s">
        <v>15522</v>
      </c>
      <c r="D101" s="202">
        <v>0</v>
      </c>
      <c r="E101" s="202">
        <v>0</v>
      </c>
      <c r="F101" s="202">
        <v>0</v>
      </c>
      <c r="G101" s="202">
        <v>0</v>
      </c>
      <c r="H101" s="202">
        <v>0</v>
      </c>
      <c r="I101" s="202">
        <v>0</v>
      </c>
      <c r="J101" s="202">
        <v>0</v>
      </c>
      <c r="K101" s="202">
        <v>0</v>
      </c>
      <c r="L101" s="202">
        <v>0</v>
      </c>
      <c r="M101" s="202">
        <v>0</v>
      </c>
      <c r="N101" s="202">
        <v>0</v>
      </c>
      <c r="O101" s="202">
        <v>3938</v>
      </c>
      <c r="P101" s="203"/>
      <c r="Q101" s="200" t="s">
        <v>3445</v>
      </c>
    </row>
    <row r="102" spans="1:17">
      <c r="A102" s="210">
        <v>50</v>
      </c>
      <c r="B102" s="109" t="s">
        <v>2081</v>
      </c>
      <c r="C102" s="109" t="s">
        <v>15523</v>
      </c>
      <c r="D102" s="202">
        <v>0</v>
      </c>
      <c r="E102" s="202">
        <v>0</v>
      </c>
      <c r="F102" s="202">
        <v>0</v>
      </c>
      <c r="G102" s="202">
        <v>0</v>
      </c>
      <c r="H102" s="202">
        <v>0</v>
      </c>
      <c r="I102" s="202">
        <v>0</v>
      </c>
      <c r="J102" s="202">
        <v>0</v>
      </c>
      <c r="K102" s="202">
        <v>0</v>
      </c>
      <c r="L102" s="202">
        <v>0</v>
      </c>
      <c r="M102" s="202">
        <v>0</v>
      </c>
      <c r="N102" s="202">
        <v>0</v>
      </c>
      <c r="O102" s="202">
        <v>3941</v>
      </c>
      <c r="P102" s="203"/>
      <c r="Q102" s="200" t="s">
        <v>3445</v>
      </c>
    </row>
    <row r="103" spans="1:17">
      <c r="A103" s="210">
        <v>51</v>
      </c>
      <c r="B103" s="109" t="s">
        <v>15448</v>
      </c>
      <c r="C103" s="109" t="s">
        <v>15524</v>
      </c>
      <c r="D103" s="202">
        <v>0</v>
      </c>
      <c r="E103" s="202">
        <v>0</v>
      </c>
      <c r="F103" s="202">
        <v>0</v>
      </c>
      <c r="G103" s="202">
        <v>0</v>
      </c>
      <c r="H103" s="202">
        <v>0</v>
      </c>
      <c r="I103" s="202">
        <v>0</v>
      </c>
      <c r="J103" s="202">
        <v>0</v>
      </c>
      <c r="K103" s="202">
        <v>0</v>
      </c>
      <c r="L103" s="202">
        <v>0</v>
      </c>
      <c r="M103" s="202">
        <v>0</v>
      </c>
      <c r="N103" s="202">
        <v>0</v>
      </c>
      <c r="O103" s="202">
        <v>3692</v>
      </c>
      <c r="P103" s="203"/>
      <c r="Q103" s="200" t="s">
        <v>3445</v>
      </c>
    </row>
    <row r="104" spans="1:17">
      <c r="A104" s="210">
        <v>52</v>
      </c>
      <c r="B104" s="109" t="s">
        <v>15449</v>
      </c>
      <c r="C104" s="109" t="s">
        <v>15525</v>
      </c>
      <c r="D104" s="202">
        <v>0</v>
      </c>
      <c r="E104" s="202">
        <v>0</v>
      </c>
      <c r="F104" s="202">
        <v>0</v>
      </c>
      <c r="G104" s="202">
        <v>0</v>
      </c>
      <c r="H104" s="202">
        <v>0</v>
      </c>
      <c r="I104" s="202">
        <v>0</v>
      </c>
      <c r="J104" s="202">
        <v>0</v>
      </c>
      <c r="K104" s="202">
        <v>0</v>
      </c>
      <c r="L104" s="202">
        <v>0</v>
      </c>
      <c r="M104" s="202">
        <v>0</v>
      </c>
      <c r="N104" s="202">
        <v>0</v>
      </c>
      <c r="O104" s="202">
        <v>2153</v>
      </c>
      <c r="P104" s="203"/>
      <c r="Q104" s="200" t="s">
        <v>3445</v>
      </c>
    </row>
    <row r="105" spans="1:17" ht="15.75" thickBot="1">
      <c r="A105" s="210"/>
      <c r="C105" s="109" t="s">
        <v>15525</v>
      </c>
      <c r="D105" s="202">
        <v>0</v>
      </c>
      <c r="E105" s="202">
        <v>0</v>
      </c>
      <c r="F105" s="202">
        <v>0</v>
      </c>
      <c r="G105" s="202">
        <v>0</v>
      </c>
      <c r="H105" s="202">
        <v>0</v>
      </c>
      <c r="I105" s="202">
        <v>0</v>
      </c>
      <c r="J105" s="202">
        <v>0</v>
      </c>
      <c r="K105" s="202">
        <v>0</v>
      </c>
      <c r="L105" s="202">
        <v>0</v>
      </c>
      <c r="M105" s="202">
        <v>0</v>
      </c>
      <c r="N105" s="202">
        <v>0</v>
      </c>
      <c r="O105" s="202">
        <v>1318</v>
      </c>
      <c r="P105" s="203"/>
      <c r="Q105" s="200" t="s">
        <v>4968</v>
      </c>
    </row>
    <row r="106" spans="1:17" ht="15.75" thickBot="1">
      <c r="A106" s="210"/>
      <c r="C106" s="109" t="s">
        <v>15525</v>
      </c>
      <c r="D106" s="217">
        <f t="shared" ref="D106" si="154">SUM(D104:D105)</f>
        <v>0</v>
      </c>
      <c r="E106" s="217">
        <f t="shared" ref="E106" si="155">SUM(E104:E105)</f>
        <v>0</v>
      </c>
      <c r="F106" s="217">
        <f t="shared" ref="F106" si="156">SUM(F104:F105)</f>
        <v>0</v>
      </c>
      <c r="G106" s="217">
        <f t="shared" ref="G106" si="157">SUM(G104:G105)</f>
        <v>0</v>
      </c>
      <c r="H106" s="217">
        <f t="shared" ref="H106" si="158">SUM(H104:H105)</f>
        <v>0</v>
      </c>
      <c r="I106" s="217">
        <f t="shared" ref="I106" si="159">SUM(I104:I105)</f>
        <v>0</v>
      </c>
      <c r="J106" s="217">
        <f t="shared" ref="J106" si="160">SUM(J104:J105)</f>
        <v>0</v>
      </c>
      <c r="K106" s="217">
        <f t="shared" ref="K106" si="161">SUM(K104:K105)</f>
        <v>0</v>
      </c>
      <c r="L106" s="217">
        <f t="shared" ref="L106" si="162">SUM(L104:L105)</f>
        <v>0</v>
      </c>
      <c r="M106" s="217">
        <f t="shared" ref="M106" si="163">SUM(M104:M105)</f>
        <v>0</v>
      </c>
      <c r="N106" s="217">
        <f t="shared" ref="N106" si="164">SUM(N104:N105)</f>
        <v>0</v>
      </c>
      <c r="O106" s="217">
        <f t="shared" ref="O106" si="165">SUM(O104:O105)</f>
        <v>3471</v>
      </c>
      <c r="P106" s="203"/>
      <c r="Q106" s="200"/>
    </row>
    <row r="107" spans="1:17">
      <c r="A107" s="210">
        <v>53</v>
      </c>
      <c r="B107" s="109" t="s">
        <v>2082</v>
      </c>
      <c r="C107" s="109" t="s">
        <v>15526</v>
      </c>
      <c r="D107" s="202">
        <v>0</v>
      </c>
      <c r="E107" s="202">
        <v>0</v>
      </c>
      <c r="F107" s="202">
        <v>0</v>
      </c>
      <c r="G107" s="202">
        <v>0</v>
      </c>
      <c r="H107" s="202">
        <v>0</v>
      </c>
      <c r="I107" s="202">
        <v>0</v>
      </c>
      <c r="J107" s="202">
        <v>0</v>
      </c>
      <c r="K107" s="202">
        <v>0</v>
      </c>
      <c r="L107" s="202">
        <v>0</v>
      </c>
      <c r="M107" s="202">
        <v>0</v>
      </c>
      <c r="N107" s="202">
        <v>0</v>
      </c>
      <c r="O107" s="202">
        <v>3597</v>
      </c>
      <c r="P107" s="203"/>
      <c r="Q107" s="200" t="s">
        <v>4968</v>
      </c>
    </row>
    <row r="108" spans="1:17">
      <c r="A108" s="210">
        <v>54</v>
      </c>
      <c r="B108" s="109" t="s">
        <v>2083</v>
      </c>
      <c r="C108" s="109" t="s">
        <v>15527</v>
      </c>
      <c r="D108" s="202">
        <v>0</v>
      </c>
      <c r="E108" s="202">
        <v>0</v>
      </c>
      <c r="F108" s="202">
        <v>0</v>
      </c>
      <c r="G108" s="202">
        <v>0</v>
      </c>
      <c r="H108" s="202">
        <v>0</v>
      </c>
      <c r="I108" s="202">
        <v>0</v>
      </c>
      <c r="J108" s="202">
        <v>0</v>
      </c>
      <c r="K108" s="202">
        <v>0</v>
      </c>
      <c r="L108" s="202">
        <v>0</v>
      </c>
      <c r="M108" s="202">
        <v>0</v>
      </c>
      <c r="N108" s="202">
        <v>0</v>
      </c>
      <c r="O108" s="202">
        <v>3905</v>
      </c>
      <c r="P108" s="203"/>
      <c r="Q108" s="200" t="s">
        <v>3448</v>
      </c>
    </row>
    <row r="109" spans="1:17">
      <c r="A109" s="210">
        <v>55</v>
      </c>
      <c r="B109" s="109" t="s">
        <v>15450</v>
      </c>
      <c r="C109" s="109" t="s">
        <v>15528</v>
      </c>
      <c r="D109" s="202">
        <v>0</v>
      </c>
      <c r="E109" s="202">
        <v>0</v>
      </c>
      <c r="F109" s="202">
        <v>0</v>
      </c>
      <c r="G109" s="202">
        <v>0</v>
      </c>
      <c r="H109" s="202">
        <v>0</v>
      </c>
      <c r="I109" s="202">
        <v>0</v>
      </c>
      <c r="J109" s="202">
        <v>0</v>
      </c>
      <c r="K109" s="202">
        <v>0</v>
      </c>
      <c r="L109" s="202">
        <v>0</v>
      </c>
      <c r="M109" s="202">
        <v>0</v>
      </c>
      <c r="N109" s="202">
        <v>0</v>
      </c>
      <c r="O109" s="202">
        <v>821</v>
      </c>
      <c r="P109" s="203"/>
      <c r="Q109" s="200" t="s">
        <v>3449</v>
      </c>
    </row>
    <row r="110" spans="1:17" ht="15.75" thickBot="1">
      <c r="A110" s="210"/>
      <c r="C110" s="109" t="s">
        <v>15528</v>
      </c>
      <c r="D110" s="202">
        <v>0</v>
      </c>
      <c r="E110" s="202">
        <v>0</v>
      </c>
      <c r="F110" s="202">
        <v>0</v>
      </c>
      <c r="G110" s="202">
        <v>0</v>
      </c>
      <c r="H110" s="202">
        <v>0</v>
      </c>
      <c r="I110" s="202">
        <v>0</v>
      </c>
      <c r="J110" s="202">
        <v>0</v>
      </c>
      <c r="K110" s="202">
        <v>0</v>
      </c>
      <c r="L110" s="202">
        <v>0</v>
      </c>
      <c r="M110" s="202">
        <v>0</v>
      </c>
      <c r="N110" s="202">
        <v>0</v>
      </c>
      <c r="O110" s="202">
        <v>2927</v>
      </c>
      <c r="P110" s="203"/>
      <c r="Q110" s="200" t="s">
        <v>4968</v>
      </c>
    </row>
    <row r="111" spans="1:17" ht="15.75" thickBot="1">
      <c r="A111" s="210"/>
      <c r="C111" s="109" t="s">
        <v>15528</v>
      </c>
      <c r="D111" s="217">
        <f t="shared" ref="D111" si="166">SUM(D109:D110)</f>
        <v>0</v>
      </c>
      <c r="E111" s="217">
        <f t="shared" ref="E111" si="167">SUM(E109:E110)</f>
        <v>0</v>
      </c>
      <c r="F111" s="217">
        <f t="shared" ref="F111" si="168">SUM(F109:F110)</f>
        <v>0</v>
      </c>
      <c r="G111" s="217">
        <f t="shared" ref="G111" si="169">SUM(G109:G110)</f>
        <v>0</v>
      </c>
      <c r="H111" s="217">
        <f t="shared" ref="H111" si="170">SUM(H109:H110)</f>
        <v>0</v>
      </c>
      <c r="I111" s="217">
        <f t="shared" ref="I111" si="171">SUM(I109:I110)</f>
        <v>0</v>
      </c>
      <c r="J111" s="217">
        <f t="shared" ref="J111" si="172">SUM(J109:J110)</f>
        <v>0</v>
      </c>
      <c r="K111" s="217">
        <f t="shared" ref="K111" si="173">SUM(K109:K110)</f>
        <v>0</v>
      </c>
      <c r="L111" s="217">
        <f t="shared" ref="L111" si="174">SUM(L109:L110)</f>
        <v>0</v>
      </c>
      <c r="M111" s="217">
        <f t="shared" ref="M111" si="175">SUM(M109:M110)</f>
        <v>0</v>
      </c>
      <c r="N111" s="217">
        <f t="shared" ref="N111" si="176">SUM(N109:N110)</f>
        <v>0</v>
      </c>
      <c r="O111" s="217">
        <f t="shared" ref="O111" si="177">SUM(O109:O110)</f>
        <v>3748</v>
      </c>
      <c r="P111" s="203"/>
      <c r="Q111" s="200"/>
    </row>
    <row r="112" spans="1:17">
      <c r="A112" s="210">
        <v>56</v>
      </c>
      <c r="B112" s="109" t="s">
        <v>15451</v>
      </c>
      <c r="C112" s="109" t="s">
        <v>15529</v>
      </c>
      <c r="D112" s="202">
        <v>0</v>
      </c>
      <c r="E112" s="202">
        <v>0</v>
      </c>
      <c r="F112" s="202">
        <v>0</v>
      </c>
      <c r="G112" s="202">
        <v>0</v>
      </c>
      <c r="H112" s="202">
        <v>0</v>
      </c>
      <c r="I112" s="202">
        <v>0</v>
      </c>
      <c r="J112" s="202">
        <v>0</v>
      </c>
      <c r="K112" s="202">
        <v>0</v>
      </c>
      <c r="L112" s="202">
        <v>0</v>
      </c>
      <c r="M112" s="202">
        <v>0</v>
      </c>
      <c r="N112" s="202">
        <v>0</v>
      </c>
      <c r="O112" s="202">
        <v>4160</v>
      </c>
      <c r="P112" s="203"/>
      <c r="Q112" s="200" t="s">
        <v>3449</v>
      </c>
    </row>
    <row r="113" spans="1:17">
      <c r="A113" s="210">
        <v>57</v>
      </c>
      <c r="B113" s="109" t="s">
        <v>2084</v>
      </c>
      <c r="C113" s="109" t="s">
        <v>15530</v>
      </c>
      <c r="D113" s="202">
        <v>0</v>
      </c>
      <c r="E113" s="202">
        <v>0</v>
      </c>
      <c r="F113" s="202">
        <v>0</v>
      </c>
      <c r="G113" s="202">
        <v>0</v>
      </c>
      <c r="H113" s="202">
        <v>0</v>
      </c>
      <c r="I113" s="202">
        <v>0</v>
      </c>
      <c r="J113" s="202">
        <v>0</v>
      </c>
      <c r="K113" s="202">
        <v>0</v>
      </c>
      <c r="L113" s="202">
        <v>0</v>
      </c>
      <c r="M113" s="202">
        <v>0</v>
      </c>
      <c r="N113" s="202">
        <v>0</v>
      </c>
      <c r="O113" s="202">
        <v>3938</v>
      </c>
      <c r="P113" s="203"/>
      <c r="Q113" s="200" t="s">
        <v>3447</v>
      </c>
    </row>
    <row r="114" spans="1:17">
      <c r="A114" s="210">
        <v>58</v>
      </c>
      <c r="B114" s="109" t="s">
        <v>15452</v>
      </c>
      <c r="C114" s="109" t="s">
        <v>15531</v>
      </c>
      <c r="D114" s="202">
        <v>0</v>
      </c>
      <c r="E114" s="202">
        <v>0</v>
      </c>
      <c r="F114" s="202">
        <v>0</v>
      </c>
      <c r="G114" s="202">
        <v>0</v>
      </c>
      <c r="H114" s="202">
        <v>0</v>
      </c>
      <c r="I114" s="202">
        <v>0</v>
      </c>
      <c r="J114" s="202">
        <v>0</v>
      </c>
      <c r="K114" s="202">
        <v>0</v>
      </c>
      <c r="L114" s="202">
        <v>0</v>
      </c>
      <c r="M114" s="202">
        <v>0</v>
      </c>
      <c r="N114" s="202">
        <v>0</v>
      </c>
      <c r="O114" s="202">
        <v>4430</v>
      </c>
      <c r="P114" s="203"/>
      <c r="Q114" s="200" t="s">
        <v>3447</v>
      </c>
    </row>
    <row r="115" spans="1:17">
      <c r="A115" s="210">
        <v>59</v>
      </c>
      <c r="B115" s="109" t="s">
        <v>15453</v>
      </c>
      <c r="C115" s="109" t="s">
        <v>15532</v>
      </c>
      <c r="D115" s="202">
        <v>0</v>
      </c>
      <c r="E115" s="202">
        <v>0</v>
      </c>
      <c r="F115" s="202">
        <v>0</v>
      </c>
      <c r="G115" s="202">
        <v>0</v>
      </c>
      <c r="H115" s="202">
        <v>0</v>
      </c>
      <c r="I115" s="202">
        <v>0</v>
      </c>
      <c r="J115" s="202">
        <v>0</v>
      </c>
      <c r="K115" s="202">
        <v>0</v>
      </c>
      <c r="L115" s="202">
        <v>0</v>
      </c>
      <c r="M115" s="202">
        <v>0</v>
      </c>
      <c r="N115" s="202">
        <v>0</v>
      </c>
      <c r="O115" s="202">
        <v>3926</v>
      </c>
      <c r="P115" s="203"/>
      <c r="Q115" s="200" t="s">
        <v>3447</v>
      </c>
    </row>
    <row r="116" spans="1:17">
      <c r="A116" s="210">
        <v>60</v>
      </c>
      <c r="B116" s="109" t="s">
        <v>2085</v>
      </c>
      <c r="C116" s="109" t="s">
        <v>15533</v>
      </c>
      <c r="D116" s="202">
        <v>0</v>
      </c>
      <c r="E116" s="202">
        <v>0</v>
      </c>
      <c r="F116" s="202">
        <v>0</v>
      </c>
      <c r="G116" s="202">
        <v>0</v>
      </c>
      <c r="H116" s="202">
        <v>0</v>
      </c>
      <c r="I116" s="202">
        <v>0</v>
      </c>
      <c r="J116" s="202">
        <v>0</v>
      </c>
      <c r="K116" s="202">
        <v>0</v>
      </c>
      <c r="L116" s="202">
        <v>0</v>
      </c>
      <c r="M116" s="202">
        <v>0</v>
      </c>
      <c r="N116" s="202">
        <v>0</v>
      </c>
      <c r="O116" s="202">
        <v>4799</v>
      </c>
      <c r="P116" s="203"/>
      <c r="Q116" s="200" t="s">
        <v>3448</v>
      </c>
    </row>
    <row r="117" spans="1:17">
      <c r="A117" s="210">
        <v>61</v>
      </c>
      <c r="B117" s="109" t="s">
        <v>15454</v>
      </c>
      <c r="C117" s="109" t="s">
        <v>15534</v>
      </c>
      <c r="D117" s="202">
        <v>0</v>
      </c>
      <c r="E117" s="202">
        <v>0</v>
      </c>
      <c r="F117" s="202">
        <v>0</v>
      </c>
      <c r="G117" s="202">
        <v>0</v>
      </c>
      <c r="H117" s="202">
        <v>0</v>
      </c>
      <c r="I117" s="202">
        <v>0</v>
      </c>
      <c r="J117" s="202">
        <v>0</v>
      </c>
      <c r="K117" s="202">
        <v>0</v>
      </c>
      <c r="L117" s="202">
        <v>0</v>
      </c>
      <c r="M117" s="202">
        <v>0</v>
      </c>
      <c r="N117" s="202">
        <v>0</v>
      </c>
      <c r="O117" s="202">
        <v>3773</v>
      </c>
      <c r="P117" s="203"/>
      <c r="Q117" s="200" t="s">
        <v>3449</v>
      </c>
    </row>
    <row r="118" spans="1:17">
      <c r="A118" s="210">
        <v>62</v>
      </c>
      <c r="B118" s="109" t="s">
        <v>11867</v>
      </c>
      <c r="C118" s="109" t="s">
        <v>15535</v>
      </c>
      <c r="D118" s="202">
        <v>0</v>
      </c>
      <c r="E118" s="202">
        <v>0</v>
      </c>
      <c r="F118" s="202">
        <v>0</v>
      </c>
      <c r="G118" s="202">
        <v>0</v>
      </c>
      <c r="H118" s="202">
        <v>0</v>
      </c>
      <c r="I118" s="202">
        <v>0</v>
      </c>
      <c r="J118" s="202">
        <v>0</v>
      </c>
      <c r="K118" s="202">
        <v>0</v>
      </c>
      <c r="L118" s="202">
        <v>0</v>
      </c>
      <c r="M118" s="202">
        <v>0</v>
      </c>
      <c r="N118" s="202">
        <v>0</v>
      </c>
      <c r="O118" s="202">
        <v>3719</v>
      </c>
      <c r="P118" s="203"/>
      <c r="Q118" s="200" t="s">
        <v>3448</v>
      </c>
    </row>
    <row r="119" spans="1:17">
      <c r="A119" s="210">
        <v>63</v>
      </c>
      <c r="B119" s="109" t="s">
        <v>11321</v>
      </c>
      <c r="C119" s="109" t="s">
        <v>15536</v>
      </c>
      <c r="D119" s="202">
        <v>0</v>
      </c>
      <c r="E119" s="202">
        <v>0</v>
      </c>
      <c r="F119" s="202">
        <v>0</v>
      </c>
      <c r="G119" s="202">
        <v>0</v>
      </c>
      <c r="H119" s="202">
        <v>0</v>
      </c>
      <c r="I119" s="202">
        <v>0</v>
      </c>
      <c r="J119" s="202">
        <v>0</v>
      </c>
      <c r="K119" s="202">
        <v>0</v>
      </c>
      <c r="L119" s="202">
        <v>0</v>
      </c>
      <c r="M119" s="202">
        <v>0</v>
      </c>
      <c r="N119" s="202">
        <v>0</v>
      </c>
      <c r="O119" s="202">
        <v>4165</v>
      </c>
      <c r="P119" s="203"/>
      <c r="Q119" s="200" t="s">
        <v>3448</v>
      </c>
    </row>
    <row r="120" spans="1:17">
      <c r="A120" s="210">
        <v>64</v>
      </c>
      <c r="B120" s="109" t="s">
        <v>15455</v>
      </c>
      <c r="C120" s="109" t="s">
        <v>15537</v>
      </c>
      <c r="D120" s="202">
        <v>0</v>
      </c>
      <c r="E120" s="202">
        <v>0</v>
      </c>
      <c r="F120" s="202">
        <v>0</v>
      </c>
      <c r="G120" s="202">
        <v>0</v>
      </c>
      <c r="H120" s="202">
        <v>0</v>
      </c>
      <c r="I120" s="202">
        <v>0</v>
      </c>
      <c r="J120" s="202">
        <v>0</v>
      </c>
      <c r="K120" s="202">
        <v>0</v>
      </c>
      <c r="L120" s="202">
        <v>0</v>
      </c>
      <c r="M120" s="202">
        <v>0</v>
      </c>
      <c r="N120" s="202">
        <v>0</v>
      </c>
      <c r="O120" s="202">
        <v>4629</v>
      </c>
      <c r="P120" s="203"/>
      <c r="Q120" s="200" t="s">
        <v>3448</v>
      </c>
    </row>
    <row r="121" spans="1:17">
      <c r="A121" s="210">
        <v>65</v>
      </c>
      <c r="B121" s="109" t="s">
        <v>15456</v>
      </c>
      <c r="C121" s="109" t="s">
        <v>15538</v>
      </c>
      <c r="D121" s="202">
        <v>0</v>
      </c>
      <c r="E121" s="202">
        <v>0</v>
      </c>
      <c r="F121" s="202">
        <v>0</v>
      </c>
      <c r="G121" s="202">
        <v>0</v>
      </c>
      <c r="H121" s="202">
        <v>0</v>
      </c>
      <c r="I121" s="202">
        <v>0</v>
      </c>
      <c r="J121" s="202">
        <v>0</v>
      </c>
      <c r="K121" s="202">
        <v>0</v>
      </c>
      <c r="L121" s="202">
        <v>0</v>
      </c>
      <c r="M121" s="202">
        <v>0</v>
      </c>
      <c r="N121" s="202">
        <v>0</v>
      </c>
      <c r="O121" s="202">
        <v>2631</v>
      </c>
      <c r="P121" s="203"/>
      <c r="Q121" s="200" t="s">
        <v>3449</v>
      </c>
    </row>
    <row r="122" spans="1:17">
      <c r="A122" s="210">
        <v>66</v>
      </c>
      <c r="B122" s="109" t="s">
        <v>15457</v>
      </c>
      <c r="C122" s="109" t="s">
        <v>15539</v>
      </c>
      <c r="D122" s="202">
        <v>0</v>
      </c>
      <c r="E122" s="202">
        <v>0</v>
      </c>
      <c r="F122" s="202">
        <v>0</v>
      </c>
      <c r="G122" s="202">
        <v>0</v>
      </c>
      <c r="H122" s="202">
        <v>0</v>
      </c>
      <c r="I122" s="202">
        <v>0</v>
      </c>
      <c r="J122" s="202">
        <v>0</v>
      </c>
      <c r="K122" s="202">
        <v>0</v>
      </c>
      <c r="L122" s="202">
        <v>0</v>
      </c>
      <c r="M122" s="202">
        <v>0</v>
      </c>
      <c r="N122" s="202">
        <v>0</v>
      </c>
      <c r="O122" s="202">
        <v>4266</v>
      </c>
      <c r="P122" s="203"/>
      <c r="Q122" s="200" t="s">
        <v>3449</v>
      </c>
    </row>
    <row r="123" spans="1:17">
      <c r="A123" s="210">
        <v>67</v>
      </c>
      <c r="B123" s="109" t="s">
        <v>15458</v>
      </c>
      <c r="C123" s="109" t="s">
        <v>15540</v>
      </c>
      <c r="D123" s="202">
        <v>0</v>
      </c>
      <c r="E123" s="202">
        <v>0</v>
      </c>
      <c r="F123" s="202">
        <v>0</v>
      </c>
      <c r="G123" s="202">
        <v>0</v>
      </c>
      <c r="H123" s="202">
        <v>0</v>
      </c>
      <c r="I123" s="202">
        <v>0</v>
      </c>
      <c r="J123" s="202">
        <v>0</v>
      </c>
      <c r="K123" s="202">
        <v>0</v>
      </c>
      <c r="L123" s="202">
        <v>0</v>
      </c>
      <c r="M123" s="202">
        <v>0</v>
      </c>
      <c r="N123" s="202">
        <v>0</v>
      </c>
      <c r="O123" s="202">
        <v>3899</v>
      </c>
      <c r="P123" s="203"/>
      <c r="Q123" s="200" t="s">
        <v>3449</v>
      </c>
    </row>
    <row r="124" spans="1:17">
      <c r="A124" s="210">
        <v>68</v>
      </c>
      <c r="B124" s="109" t="s">
        <v>15459</v>
      </c>
      <c r="C124" s="109" t="s">
        <v>15541</v>
      </c>
      <c r="D124" s="202">
        <v>0</v>
      </c>
      <c r="E124" s="202">
        <v>0</v>
      </c>
      <c r="F124" s="202">
        <v>0</v>
      </c>
      <c r="G124" s="202">
        <v>0</v>
      </c>
      <c r="H124" s="202">
        <v>0</v>
      </c>
      <c r="I124" s="202">
        <v>0</v>
      </c>
      <c r="J124" s="202">
        <v>0</v>
      </c>
      <c r="K124" s="202">
        <v>0</v>
      </c>
      <c r="L124" s="202">
        <v>0</v>
      </c>
      <c r="M124" s="202">
        <v>0</v>
      </c>
      <c r="N124" s="202">
        <v>0</v>
      </c>
      <c r="O124" s="202">
        <v>3443</v>
      </c>
      <c r="P124" s="203"/>
      <c r="Q124" s="200" t="s">
        <v>3449</v>
      </c>
    </row>
    <row r="125" spans="1:17">
      <c r="A125" s="210">
        <v>69</v>
      </c>
      <c r="B125" s="109" t="s">
        <v>15460</v>
      </c>
      <c r="C125" s="109" t="s">
        <v>15542</v>
      </c>
      <c r="D125" s="202">
        <v>0</v>
      </c>
      <c r="E125" s="202">
        <v>0</v>
      </c>
      <c r="F125" s="202">
        <v>0</v>
      </c>
      <c r="G125" s="202">
        <v>0</v>
      </c>
      <c r="H125" s="202">
        <v>0</v>
      </c>
      <c r="I125" s="202">
        <v>0</v>
      </c>
      <c r="J125" s="202">
        <v>0</v>
      </c>
      <c r="K125" s="202">
        <v>0</v>
      </c>
      <c r="L125" s="202">
        <v>0</v>
      </c>
      <c r="M125" s="202">
        <v>0</v>
      </c>
      <c r="N125" s="202">
        <v>0</v>
      </c>
      <c r="O125" s="202">
        <v>4286</v>
      </c>
      <c r="P125" s="203"/>
      <c r="Q125" s="200" t="s">
        <v>3449</v>
      </c>
    </row>
    <row r="126" spans="1:17">
      <c r="A126" s="210">
        <v>70</v>
      </c>
      <c r="B126" s="109" t="s">
        <v>15461</v>
      </c>
      <c r="C126" s="109" t="s">
        <v>15543</v>
      </c>
      <c r="D126" s="202">
        <v>0</v>
      </c>
      <c r="E126" s="202">
        <v>0</v>
      </c>
      <c r="F126" s="202">
        <v>0</v>
      </c>
      <c r="G126" s="202">
        <v>0</v>
      </c>
      <c r="H126" s="202">
        <v>0</v>
      </c>
      <c r="I126" s="202">
        <v>0</v>
      </c>
      <c r="J126" s="202">
        <v>0</v>
      </c>
      <c r="K126" s="202">
        <v>0</v>
      </c>
      <c r="L126" s="202">
        <v>0</v>
      </c>
      <c r="M126" s="202">
        <v>0</v>
      </c>
      <c r="N126" s="202">
        <v>0</v>
      </c>
      <c r="O126" s="202">
        <v>3815</v>
      </c>
      <c r="P126" s="203"/>
      <c r="Q126" s="200" t="s">
        <v>3449</v>
      </c>
    </row>
    <row r="127" spans="1:17">
      <c r="A127" s="210">
        <v>71</v>
      </c>
      <c r="B127" s="109" t="s">
        <v>15462</v>
      </c>
      <c r="C127" s="109" t="s">
        <v>15544</v>
      </c>
      <c r="D127" s="202">
        <v>0</v>
      </c>
      <c r="E127" s="202">
        <v>0</v>
      </c>
      <c r="F127" s="202">
        <v>0</v>
      </c>
      <c r="G127" s="202">
        <v>0</v>
      </c>
      <c r="H127" s="202">
        <v>0</v>
      </c>
      <c r="I127" s="202">
        <v>0</v>
      </c>
      <c r="J127" s="202">
        <v>0</v>
      </c>
      <c r="K127" s="202">
        <v>0</v>
      </c>
      <c r="L127" s="202">
        <v>0</v>
      </c>
      <c r="M127" s="202">
        <v>0</v>
      </c>
      <c r="N127" s="202">
        <v>0</v>
      </c>
      <c r="O127" s="202">
        <v>4090</v>
      </c>
      <c r="P127" s="203"/>
      <c r="Q127" s="200" t="s">
        <v>3449</v>
      </c>
    </row>
    <row r="128" spans="1:17">
      <c r="A128" s="210">
        <v>72</v>
      </c>
      <c r="B128" s="109" t="s">
        <v>790</v>
      </c>
      <c r="C128" s="109" t="s">
        <v>15545</v>
      </c>
      <c r="D128" s="202">
        <v>0</v>
      </c>
      <c r="E128" s="202">
        <v>0</v>
      </c>
      <c r="F128" s="202">
        <v>0</v>
      </c>
      <c r="G128" s="202">
        <v>0</v>
      </c>
      <c r="H128" s="202">
        <v>0</v>
      </c>
      <c r="I128" s="202">
        <v>0</v>
      </c>
      <c r="J128" s="202">
        <v>0</v>
      </c>
      <c r="K128" s="202">
        <v>0</v>
      </c>
      <c r="L128" s="202">
        <v>0</v>
      </c>
      <c r="M128" s="202">
        <v>0</v>
      </c>
      <c r="N128" s="202">
        <v>0</v>
      </c>
      <c r="O128" s="202">
        <v>3724</v>
      </c>
      <c r="P128" s="203"/>
      <c r="Q128" s="200" t="s">
        <v>3449</v>
      </c>
    </row>
    <row r="129" spans="1:17">
      <c r="A129" s="210">
        <v>73</v>
      </c>
      <c r="B129" s="109" t="s">
        <v>791</v>
      </c>
      <c r="C129" s="109" t="s">
        <v>15546</v>
      </c>
      <c r="D129" s="202">
        <v>0</v>
      </c>
      <c r="E129" s="202">
        <v>0</v>
      </c>
      <c r="F129" s="202">
        <v>0</v>
      </c>
      <c r="G129" s="202">
        <v>0</v>
      </c>
      <c r="H129" s="202">
        <v>0</v>
      </c>
      <c r="I129" s="202">
        <v>0</v>
      </c>
      <c r="J129" s="202">
        <v>0</v>
      </c>
      <c r="K129" s="202">
        <v>0</v>
      </c>
      <c r="L129" s="202">
        <v>0</v>
      </c>
      <c r="M129" s="202">
        <v>0</v>
      </c>
      <c r="N129" s="202">
        <v>0</v>
      </c>
      <c r="O129" s="202">
        <v>4056</v>
      </c>
      <c r="P129" s="203"/>
      <c r="Q129" s="200" t="s">
        <v>3448</v>
      </c>
    </row>
    <row r="130" spans="1:17">
      <c r="A130" s="210">
        <v>74</v>
      </c>
      <c r="B130" s="109" t="s">
        <v>792</v>
      </c>
      <c r="C130" s="109" t="s">
        <v>15547</v>
      </c>
      <c r="D130" s="202">
        <v>0</v>
      </c>
      <c r="E130" s="202">
        <v>0</v>
      </c>
      <c r="F130" s="202">
        <v>0</v>
      </c>
      <c r="G130" s="202">
        <v>0</v>
      </c>
      <c r="H130" s="202">
        <v>0</v>
      </c>
      <c r="I130" s="202">
        <v>0</v>
      </c>
      <c r="J130" s="202">
        <v>0</v>
      </c>
      <c r="K130" s="202">
        <v>0</v>
      </c>
      <c r="L130" s="202">
        <v>0</v>
      </c>
      <c r="M130" s="202">
        <v>0</v>
      </c>
      <c r="N130" s="202">
        <v>0</v>
      </c>
      <c r="O130" s="202">
        <v>3402</v>
      </c>
      <c r="P130" s="203"/>
      <c r="Q130" s="200" t="s">
        <v>4968</v>
      </c>
    </row>
    <row r="131" spans="1:17">
      <c r="A131" s="210">
        <v>75</v>
      </c>
      <c r="B131" s="109" t="s">
        <v>15463</v>
      </c>
      <c r="C131" s="109" t="s">
        <v>15548</v>
      </c>
      <c r="D131" s="202">
        <v>0</v>
      </c>
      <c r="E131" s="202">
        <v>0</v>
      </c>
      <c r="F131" s="202">
        <v>0</v>
      </c>
      <c r="G131" s="202">
        <v>0</v>
      </c>
      <c r="H131" s="202">
        <v>0</v>
      </c>
      <c r="I131" s="202">
        <v>0</v>
      </c>
      <c r="J131" s="202">
        <v>0</v>
      </c>
      <c r="K131" s="202">
        <v>0</v>
      </c>
      <c r="L131" s="202">
        <v>0</v>
      </c>
      <c r="M131" s="202">
        <v>0</v>
      </c>
      <c r="N131" s="202">
        <v>0</v>
      </c>
      <c r="O131" s="202">
        <v>3702</v>
      </c>
      <c r="P131" s="203"/>
      <c r="Q131" s="200" t="s">
        <v>3447</v>
      </c>
    </row>
    <row r="132" spans="1:17">
      <c r="A132" s="210">
        <v>76</v>
      </c>
      <c r="B132" s="109" t="s">
        <v>15464</v>
      </c>
      <c r="C132" s="109" t="s">
        <v>15549</v>
      </c>
      <c r="D132" s="202">
        <v>0</v>
      </c>
      <c r="E132" s="202">
        <v>0</v>
      </c>
      <c r="F132" s="202">
        <v>0</v>
      </c>
      <c r="G132" s="202">
        <v>0</v>
      </c>
      <c r="H132" s="202">
        <v>0</v>
      </c>
      <c r="I132" s="202">
        <v>0</v>
      </c>
      <c r="J132" s="202">
        <v>0</v>
      </c>
      <c r="K132" s="202">
        <v>0</v>
      </c>
      <c r="L132" s="202">
        <v>0</v>
      </c>
      <c r="M132" s="202">
        <v>0</v>
      </c>
      <c r="N132" s="202">
        <v>0</v>
      </c>
      <c r="O132" s="202">
        <v>3979</v>
      </c>
      <c r="P132" s="203"/>
      <c r="Q132" s="200" t="s">
        <v>3447</v>
      </c>
    </row>
    <row r="133" spans="1:17">
      <c r="A133" s="210">
        <v>77</v>
      </c>
      <c r="B133" s="109" t="s">
        <v>15465</v>
      </c>
      <c r="C133" s="109" t="s">
        <v>15550</v>
      </c>
      <c r="D133" s="202">
        <v>0</v>
      </c>
      <c r="E133" s="202">
        <v>0</v>
      </c>
      <c r="F133" s="202">
        <v>0</v>
      </c>
      <c r="G133" s="202">
        <v>0</v>
      </c>
      <c r="H133" s="202">
        <v>0</v>
      </c>
      <c r="I133" s="202">
        <v>0</v>
      </c>
      <c r="J133" s="202">
        <v>0</v>
      </c>
      <c r="K133" s="202">
        <v>0</v>
      </c>
      <c r="L133" s="202">
        <v>0</v>
      </c>
      <c r="M133" s="202">
        <v>0</v>
      </c>
      <c r="N133" s="202">
        <v>0</v>
      </c>
      <c r="O133" s="202">
        <v>3692</v>
      </c>
      <c r="P133" s="203"/>
      <c r="Q133" s="200" t="s">
        <v>3447</v>
      </c>
    </row>
    <row r="134" spans="1:17">
      <c r="A134" s="210">
        <v>78</v>
      </c>
      <c r="B134" s="109" t="s">
        <v>15466</v>
      </c>
      <c r="C134" s="109" t="s">
        <v>15551</v>
      </c>
      <c r="D134" s="202">
        <v>0</v>
      </c>
      <c r="E134" s="202">
        <v>0</v>
      </c>
      <c r="F134" s="202">
        <v>0</v>
      </c>
      <c r="G134" s="202">
        <v>0</v>
      </c>
      <c r="H134" s="202">
        <v>0</v>
      </c>
      <c r="I134" s="202">
        <v>0</v>
      </c>
      <c r="J134" s="202">
        <v>0</v>
      </c>
      <c r="K134" s="202">
        <v>0</v>
      </c>
      <c r="L134" s="202">
        <v>0</v>
      </c>
      <c r="M134" s="202">
        <v>0</v>
      </c>
      <c r="N134" s="202">
        <v>0</v>
      </c>
      <c r="O134" s="202">
        <v>4139</v>
      </c>
      <c r="P134" s="203"/>
      <c r="Q134" s="200" t="s">
        <v>3449</v>
      </c>
    </row>
    <row r="135" spans="1:17">
      <c r="A135" s="210">
        <v>79</v>
      </c>
      <c r="B135" s="109" t="s">
        <v>6355</v>
      </c>
      <c r="C135" s="109" t="s">
        <v>15552</v>
      </c>
      <c r="D135" s="202">
        <v>0</v>
      </c>
      <c r="E135" s="202">
        <v>0</v>
      </c>
      <c r="F135" s="202">
        <v>0</v>
      </c>
      <c r="G135" s="202">
        <v>0</v>
      </c>
      <c r="H135" s="202">
        <v>0</v>
      </c>
      <c r="I135" s="202">
        <v>0</v>
      </c>
      <c r="J135" s="202">
        <v>0</v>
      </c>
      <c r="K135" s="202">
        <v>0</v>
      </c>
      <c r="L135" s="202">
        <v>0</v>
      </c>
      <c r="M135" s="202">
        <v>0</v>
      </c>
      <c r="N135" s="202">
        <v>0</v>
      </c>
      <c r="O135" s="202">
        <v>3753</v>
      </c>
      <c r="P135" s="203"/>
      <c r="Q135" s="200" t="s">
        <v>4968</v>
      </c>
    </row>
    <row r="136" spans="1:17">
      <c r="A136" s="210">
        <v>80</v>
      </c>
      <c r="B136" s="109" t="s">
        <v>6356</v>
      </c>
      <c r="C136" s="109" t="s">
        <v>15553</v>
      </c>
      <c r="D136" s="202">
        <v>0</v>
      </c>
      <c r="E136" s="202">
        <v>0</v>
      </c>
      <c r="F136" s="202">
        <v>0</v>
      </c>
      <c r="G136" s="202">
        <v>0</v>
      </c>
      <c r="H136" s="202">
        <v>0</v>
      </c>
      <c r="I136" s="202">
        <v>0</v>
      </c>
      <c r="J136" s="202">
        <v>0</v>
      </c>
      <c r="K136" s="202">
        <v>0</v>
      </c>
      <c r="L136" s="202">
        <v>0</v>
      </c>
      <c r="M136" s="202">
        <v>0</v>
      </c>
      <c r="N136" s="202">
        <v>0</v>
      </c>
      <c r="O136" s="202">
        <v>3989</v>
      </c>
      <c r="P136" s="203"/>
      <c r="Q136" s="200" t="s">
        <v>4968</v>
      </c>
    </row>
    <row r="137" spans="1:17">
      <c r="A137" s="210">
        <v>81</v>
      </c>
      <c r="B137" s="109" t="s">
        <v>6357</v>
      </c>
      <c r="C137" s="109" t="s">
        <v>15554</v>
      </c>
      <c r="D137" s="202">
        <v>0</v>
      </c>
      <c r="E137" s="202">
        <v>0</v>
      </c>
      <c r="F137" s="202">
        <v>0</v>
      </c>
      <c r="G137" s="202">
        <v>0</v>
      </c>
      <c r="H137" s="202">
        <v>0</v>
      </c>
      <c r="I137" s="202">
        <v>0</v>
      </c>
      <c r="J137" s="202">
        <v>0</v>
      </c>
      <c r="K137" s="202">
        <v>0</v>
      </c>
      <c r="L137" s="202">
        <v>0</v>
      </c>
      <c r="M137" s="202">
        <v>0</v>
      </c>
      <c r="N137" s="202">
        <v>0</v>
      </c>
      <c r="O137" s="202">
        <v>4641</v>
      </c>
      <c r="P137" s="203"/>
      <c r="Q137" s="200" t="s">
        <v>4968</v>
      </c>
    </row>
    <row r="138" spans="1:17">
      <c r="A138" s="210">
        <v>82</v>
      </c>
      <c r="B138" s="109" t="s">
        <v>6358</v>
      </c>
      <c r="C138" s="109" t="s">
        <v>15555</v>
      </c>
      <c r="D138" s="202">
        <v>0</v>
      </c>
      <c r="E138" s="202">
        <v>0</v>
      </c>
      <c r="F138" s="202">
        <v>0</v>
      </c>
      <c r="G138" s="202">
        <v>0</v>
      </c>
      <c r="H138" s="202">
        <v>0</v>
      </c>
      <c r="I138" s="202">
        <v>0</v>
      </c>
      <c r="J138" s="202">
        <v>0</v>
      </c>
      <c r="K138" s="202">
        <v>0</v>
      </c>
      <c r="L138" s="202">
        <v>0</v>
      </c>
      <c r="M138" s="202">
        <v>0</v>
      </c>
      <c r="N138" s="202">
        <v>0</v>
      </c>
      <c r="O138" s="202">
        <v>3307</v>
      </c>
      <c r="P138" s="203"/>
      <c r="Q138" s="200" t="s">
        <v>4968</v>
      </c>
    </row>
    <row r="139" spans="1:17">
      <c r="A139" s="210">
        <v>83</v>
      </c>
      <c r="B139" s="109" t="s">
        <v>6359</v>
      </c>
      <c r="C139" s="109" t="s">
        <v>15556</v>
      </c>
      <c r="D139" s="202">
        <v>0</v>
      </c>
      <c r="E139" s="202">
        <v>0</v>
      </c>
      <c r="F139" s="202">
        <v>0</v>
      </c>
      <c r="G139" s="202">
        <v>0</v>
      </c>
      <c r="H139" s="202">
        <v>0</v>
      </c>
      <c r="I139" s="202">
        <v>0</v>
      </c>
      <c r="J139" s="202">
        <v>0</v>
      </c>
      <c r="K139" s="202">
        <v>0</v>
      </c>
      <c r="L139" s="202">
        <v>0</v>
      </c>
      <c r="M139" s="202">
        <v>0</v>
      </c>
      <c r="N139" s="202">
        <v>0</v>
      </c>
      <c r="O139" s="202">
        <v>3413</v>
      </c>
      <c r="P139" s="203"/>
      <c r="Q139" s="200" t="s">
        <v>4968</v>
      </c>
    </row>
    <row r="140" spans="1:17">
      <c r="A140" s="210">
        <v>84</v>
      </c>
      <c r="B140" s="109" t="s">
        <v>9476</v>
      </c>
      <c r="C140" s="109" t="s">
        <v>15557</v>
      </c>
      <c r="D140" s="202">
        <v>0</v>
      </c>
      <c r="E140" s="202">
        <v>0</v>
      </c>
      <c r="F140" s="202">
        <v>0</v>
      </c>
      <c r="G140" s="202">
        <v>0</v>
      </c>
      <c r="H140" s="202">
        <v>0</v>
      </c>
      <c r="I140" s="202">
        <v>0</v>
      </c>
      <c r="J140" s="202">
        <v>0</v>
      </c>
      <c r="K140" s="202">
        <v>0</v>
      </c>
      <c r="L140" s="202">
        <v>0</v>
      </c>
      <c r="M140" s="202">
        <v>0</v>
      </c>
      <c r="N140" s="202">
        <v>0</v>
      </c>
      <c r="O140" s="202">
        <v>4013</v>
      </c>
      <c r="P140" s="203"/>
      <c r="Q140" s="200" t="s">
        <v>4968</v>
      </c>
    </row>
    <row r="141" spans="1:17">
      <c r="A141" s="210">
        <v>85</v>
      </c>
      <c r="B141" s="109" t="s">
        <v>6360</v>
      </c>
      <c r="C141" s="109" t="s">
        <v>15558</v>
      </c>
      <c r="D141" s="202">
        <v>0</v>
      </c>
      <c r="E141" s="202">
        <v>0</v>
      </c>
      <c r="F141" s="202">
        <v>0</v>
      </c>
      <c r="G141" s="202">
        <v>0</v>
      </c>
      <c r="H141" s="202">
        <v>0</v>
      </c>
      <c r="I141" s="202">
        <v>0</v>
      </c>
      <c r="J141" s="202">
        <v>0</v>
      </c>
      <c r="K141" s="202">
        <v>0</v>
      </c>
      <c r="L141" s="202">
        <v>0</v>
      </c>
      <c r="M141" s="202">
        <v>0</v>
      </c>
      <c r="N141" s="202">
        <v>0</v>
      </c>
      <c r="O141" s="202">
        <v>2839</v>
      </c>
      <c r="P141" s="203"/>
      <c r="Q141" s="200" t="s">
        <v>4968</v>
      </c>
    </row>
    <row r="142" spans="1:17">
      <c r="A142" s="210">
        <v>86</v>
      </c>
      <c r="B142" s="109" t="s">
        <v>6361</v>
      </c>
      <c r="C142" s="109" t="s">
        <v>15559</v>
      </c>
      <c r="D142" s="202">
        <v>0</v>
      </c>
      <c r="E142" s="202">
        <v>0</v>
      </c>
      <c r="F142" s="202">
        <v>0</v>
      </c>
      <c r="G142" s="202">
        <v>0</v>
      </c>
      <c r="H142" s="202">
        <v>0</v>
      </c>
      <c r="I142" s="202">
        <v>0</v>
      </c>
      <c r="J142" s="202">
        <v>0</v>
      </c>
      <c r="K142" s="202">
        <v>0</v>
      </c>
      <c r="L142" s="202">
        <v>0</v>
      </c>
      <c r="M142" s="202">
        <v>0</v>
      </c>
      <c r="N142" s="202">
        <v>0</v>
      </c>
      <c r="O142" s="202">
        <v>497</v>
      </c>
      <c r="P142" s="203"/>
      <c r="Q142" s="200" t="s">
        <v>3445</v>
      </c>
    </row>
    <row r="143" spans="1:17" ht="15.75" thickBot="1">
      <c r="A143" s="210"/>
      <c r="C143" s="109" t="s">
        <v>15559</v>
      </c>
      <c r="D143" s="202">
        <v>0</v>
      </c>
      <c r="E143" s="202">
        <v>0</v>
      </c>
      <c r="F143" s="202">
        <v>0</v>
      </c>
      <c r="G143" s="202">
        <v>0</v>
      </c>
      <c r="H143" s="202">
        <v>0</v>
      </c>
      <c r="I143" s="202">
        <v>0</v>
      </c>
      <c r="J143" s="202">
        <v>0</v>
      </c>
      <c r="K143" s="202">
        <v>0</v>
      </c>
      <c r="L143" s="202">
        <v>0</v>
      </c>
      <c r="M143" s="202">
        <v>0</v>
      </c>
      <c r="N143" s="202">
        <v>0</v>
      </c>
      <c r="O143" s="202">
        <v>3439</v>
      </c>
      <c r="P143" s="203"/>
      <c r="Q143" s="200" t="s">
        <v>4968</v>
      </c>
    </row>
    <row r="144" spans="1:17" ht="15.75" thickBot="1">
      <c r="A144" s="210"/>
      <c r="C144" s="109" t="s">
        <v>15559</v>
      </c>
      <c r="D144" s="217">
        <f t="shared" ref="D144" si="178">SUM(D142:D143)</f>
        <v>0</v>
      </c>
      <c r="E144" s="217">
        <f t="shared" ref="E144" si="179">SUM(E142:E143)</f>
        <v>0</v>
      </c>
      <c r="F144" s="217">
        <f t="shared" ref="F144" si="180">SUM(F142:F143)</f>
        <v>0</v>
      </c>
      <c r="G144" s="217">
        <f t="shared" ref="G144" si="181">SUM(G142:G143)</f>
        <v>0</v>
      </c>
      <c r="H144" s="217">
        <f t="shared" ref="H144" si="182">SUM(H142:H143)</f>
        <v>0</v>
      </c>
      <c r="I144" s="217">
        <f t="shared" ref="I144" si="183">SUM(I142:I143)</f>
        <v>0</v>
      </c>
      <c r="J144" s="217">
        <f t="shared" ref="J144" si="184">SUM(J142:J143)</f>
        <v>0</v>
      </c>
      <c r="K144" s="217">
        <f t="shared" ref="K144" si="185">SUM(K142:K143)</f>
        <v>0</v>
      </c>
      <c r="L144" s="217">
        <f t="shared" ref="L144" si="186">SUM(L142:L143)</f>
        <v>0</v>
      </c>
      <c r="M144" s="217">
        <f t="shared" ref="M144" si="187">SUM(M142:M143)</f>
        <v>0</v>
      </c>
      <c r="N144" s="217">
        <f t="shared" ref="N144" si="188">SUM(N142:N143)</f>
        <v>0</v>
      </c>
      <c r="O144" s="217">
        <f t="shared" ref="O144" si="189">SUM(O142:O143)</f>
        <v>3936</v>
      </c>
      <c r="P144" s="203"/>
      <c r="Q144" s="200"/>
    </row>
    <row r="145" spans="1:17">
      <c r="A145" s="210">
        <v>87</v>
      </c>
      <c r="B145" s="109" t="s">
        <v>15467</v>
      </c>
      <c r="C145" s="109" t="s">
        <v>15560</v>
      </c>
      <c r="D145" s="202">
        <v>0</v>
      </c>
      <c r="E145" s="202">
        <v>0</v>
      </c>
      <c r="F145" s="202">
        <v>0</v>
      </c>
      <c r="G145" s="202">
        <v>0</v>
      </c>
      <c r="H145" s="202">
        <v>0</v>
      </c>
      <c r="I145" s="202">
        <v>0</v>
      </c>
      <c r="J145" s="202">
        <v>0</v>
      </c>
      <c r="K145" s="202">
        <v>0</v>
      </c>
      <c r="L145" s="202">
        <v>0</v>
      </c>
      <c r="M145" s="202">
        <v>0</v>
      </c>
      <c r="N145" s="202">
        <v>0</v>
      </c>
      <c r="O145" s="202">
        <v>3682</v>
      </c>
      <c r="P145" s="203"/>
      <c r="Q145" s="200" t="s">
        <v>3447</v>
      </c>
    </row>
    <row r="146" spans="1:17">
      <c r="A146" s="210">
        <v>88</v>
      </c>
      <c r="B146" s="109" t="s">
        <v>6362</v>
      </c>
      <c r="C146" s="109" t="s">
        <v>15561</v>
      </c>
      <c r="D146" s="202">
        <v>0</v>
      </c>
      <c r="E146" s="202">
        <v>0</v>
      </c>
      <c r="F146" s="202">
        <v>0</v>
      </c>
      <c r="G146" s="202">
        <v>0</v>
      </c>
      <c r="H146" s="202">
        <v>0</v>
      </c>
      <c r="I146" s="202">
        <v>0</v>
      </c>
      <c r="J146" s="202">
        <v>0</v>
      </c>
      <c r="K146" s="202">
        <v>0</v>
      </c>
      <c r="L146" s="202">
        <v>0</v>
      </c>
      <c r="M146" s="202">
        <v>0</v>
      </c>
      <c r="N146" s="202">
        <v>0</v>
      </c>
      <c r="O146" s="202">
        <v>3859</v>
      </c>
      <c r="P146" s="203"/>
      <c r="Q146" s="200" t="s">
        <v>4968</v>
      </c>
    </row>
    <row r="147" spans="1:17">
      <c r="A147" s="210">
        <v>89</v>
      </c>
      <c r="B147" s="109" t="s">
        <v>6363</v>
      </c>
      <c r="C147" s="109" t="s">
        <v>15562</v>
      </c>
      <c r="D147" s="202">
        <v>0</v>
      </c>
      <c r="E147" s="202">
        <v>0</v>
      </c>
      <c r="F147" s="202">
        <v>0</v>
      </c>
      <c r="G147" s="202">
        <v>0</v>
      </c>
      <c r="H147" s="202">
        <v>0</v>
      </c>
      <c r="I147" s="202">
        <v>0</v>
      </c>
      <c r="J147" s="202">
        <v>0</v>
      </c>
      <c r="K147" s="202">
        <v>0</v>
      </c>
      <c r="L147" s="202">
        <v>0</v>
      </c>
      <c r="M147" s="202">
        <v>0</v>
      </c>
      <c r="N147" s="202">
        <v>0</v>
      </c>
      <c r="O147" s="202">
        <v>4162</v>
      </c>
      <c r="P147" s="203"/>
      <c r="Q147" s="200" t="s">
        <v>4968</v>
      </c>
    </row>
    <row r="148" spans="1:17">
      <c r="A148" s="210">
        <v>90</v>
      </c>
      <c r="B148" s="109" t="s">
        <v>15468</v>
      </c>
      <c r="C148" s="109" t="s">
        <v>15563</v>
      </c>
      <c r="D148" s="202">
        <v>0</v>
      </c>
      <c r="E148" s="202">
        <v>0</v>
      </c>
      <c r="F148" s="202">
        <v>0</v>
      </c>
      <c r="G148" s="202">
        <v>0</v>
      </c>
      <c r="H148" s="202">
        <v>0</v>
      </c>
      <c r="I148" s="202">
        <v>0</v>
      </c>
      <c r="J148" s="202">
        <v>0</v>
      </c>
      <c r="K148" s="202">
        <v>0</v>
      </c>
      <c r="L148" s="202">
        <v>0</v>
      </c>
      <c r="M148" s="202">
        <v>0</v>
      </c>
      <c r="N148" s="202">
        <v>0</v>
      </c>
      <c r="O148" s="202">
        <v>4833</v>
      </c>
      <c r="P148" s="203"/>
      <c r="Q148" s="200" t="s">
        <v>4968</v>
      </c>
    </row>
    <row r="149" spans="1:17">
      <c r="A149" s="210">
        <v>91</v>
      </c>
      <c r="B149" s="109" t="s">
        <v>6364</v>
      </c>
      <c r="C149" s="109" t="s">
        <v>15564</v>
      </c>
      <c r="D149" s="202">
        <v>0</v>
      </c>
      <c r="E149" s="202">
        <v>0</v>
      </c>
      <c r="F149" s="202">
        <v>0</v>
      </c>
      <c r="G149" s="202">
        <v>0</v>
      </c>
      <c r="H149" s="202">
        <v>0</v>
      </c>
      <c r="I149" s="202">
        <v>0</v>
      </c>
      <c r="J149" s="202">
        <v>0</v>
      </c>
      <c r="K149" s="202">
        <v>0</v>
      </c>
      <c r="L149" s="202">
        <v>0</v>
      </c>
      <c r="M149" s="202">
        <v>0</v>
      </c>
      <c r="N149" s="202">
        <v>0</v>
      </c>
      <c r="O149" s="202">
        <v>2872</v>
      </c>
      <c r="P149" s="203"/>
      <c r="Q149" s="200" t="s">
        <v>4968</v>
      </c>
    </row>
    <row r="150" spans="1:17">
      <c r="A150" s="210">
        <v>92</v>
      </c>
      <c r="B150" s="109" t="s">
        <v>6366</v>
      </c>
      <c r="C150" s="109" t="s">
        <v>15565</v>
      </c>
      <c r="D150" s="202">
        <v>0</v>
      </c>
      <c r="E150" s="202">
        <v>0</v>
      </c>
      <c r="F150" s="202">
        <v>0</v>
      </c>
      <c r="G150" s="202">
        <v>0</v>
      </c>
      <c r="H150" s="202">
        <v>0</v>
      </c>
      <c r="I150" s="202">
        <v>0</v>
      </c>
      <c r="J150" s="202">
        <v>0</v>
      </c>
      <c r="K150" s="202">
        <v>0</v>
      </c>
      <c r="L150" s="202">
        <v>0</v>
      </c>
      <c r="M150" s="202">
        <v>0</v>
      </c>
      <c r="N150" s="202">
        <v>0</v>
      </c>
      <c r="O150" s="202">
        <v>3637</v>
      </c>
      <c r="P150" s="203"/>
      <c r="Q150" s="200" t="s">
        <v>4968</v>
      </c>
    </row>
    <row r="151" spans="1:17">
      <c r="A151" s="210">
        <v>93</v>
      </c>
      <c r="B151" s="109" t="s">
        <v>6365</v>
      </c>
      <c r="C151" s="109" t="s">
        <v>15566</v>
      </c>
      <c r="D151" s="202">
        <v>0</v>
      </c>
      <c r="E151" s="202">
        <v>0</v>
      </c>
      <c r="F151" s="202">
        <v>0</v>
      </c>
      <c r="G151" s="202">
        <v>0</v>
      </c>
      <c r="H151" s="202">
        <v>0</v>
      </c>
      <c r="I151" s="202">
        <v>0</v>
      </c>
      <c r="J151" s="202">
        <v>0</v>
      </c>
      <c r="K151" s="202">
        <v>0</v>
      </c>
      <c r="L151" s="202">
        <v>0</v>
      </c>
      <c r="M151" s="202">
        <v>0</v>
      </c>
      <c r="N151" s="202">
        <v>0</v>
      </c>
      <c r="O151" s="202">
        <v>3916</v>
      </c>
      <c r="P151" s="203"/>
      <c r="Q151" s="200" t="s">
        <v>4968</v>
      </c>
    </row>
    <row r="152" spans="1:17">
      <c r="A152" s="210">
        <v>94</v>
      </c>
      <c r="B152" s="109" t="s">
        <v>6367</v>
      </c>
      <c r="C152" s="109" t="s">
        <v>15567</v>
      </c>
      <c r="D152" s="202">
        <v>0</v>
      </c>
      <c r="E152" s="202">
        <v>0</v>
      </c>
      <c r="F152" s="202">
        <v>0</v>
      </c>
      <c r="G152" s="202">
        <v>0</v>
      </c>
      <c r="H152" s="202">
        <v>0</v>
      </c>
      <c r="I152" s="202">
        <v>0</v>
      </c>
      <c r="J152" s="202">
        <v>0</v>
      </c>
      <c r="K152" s="202">
        <v>0</v>
      </c>
      <c r="L152" s="202">
        <v>0</v>
      </c>
      <c r="M152" s="202">
        <v>0</v>
      </c>
      <c r="N152" s="202">
        <v>0</v>
      </c>
      <c r="O152" s="202">
        <v>3958</v>
      </c>
      <c r="P152" s="203"/>
      <c r="Q152" s="200" t="s">
        <v>4968</v>
      </c>
    </row>
    <row r="153" spans="1:17">
      <c r="A153" s="210">
        <v>95</v>
      </c>
      <c r="B153" s="109" t="s">
        <v>15469</v>
      </c>
      <c r="C153" s="109" t="s">
        <v>15568</v>
      </c>
      <c r="D153" s="202">
        <v>0</v>
      </c>
      <c r="E153" s="202">
        <v>0</v>
      </c>
      <c r="F153" s="202">
        <v>0</v>
      </c>
      <c r="G153" s="202">
        <v>0</v>
      </c>
      <c r="H153" s="202">
        <v>0</v>
      </c>
      <c r="I153" s="202">
        <v>0</v>
      </c>
      <c r="J153" s="202">
        <v>0</v>
      </c>
      <c r="K153" s="202">
        <v>0</v>
      </c>
      <c r="L153" s="202">
        <v>0</v>
      </c>
      <c r="M153" s="202">
        <v>0</v>
      </c>
      <c r="N153" s="202">
        <v>0</v>
      </c>
      <c r="O153" s="202">
        <v>3806</v>
      </c>
      <c r="P153" s="203"/>
      <c r="Q153" s="200" t="s">
        <v>3449</v>
      </c>
    </row>
    <row r="154" spans="1:17">
      <c r="A154" s="210">
        <v>96</v>
      </c>
      <c r="B154" s="109" t="s">
        <v>15470</v>
      </c>
      <c r="C154" s="109" t="s">
        <v>15569</v>
      </c>
      <c r="D154" s="202">
        <v>0</v>
      </c>
      <c r="E154" s="202">
        <v>0</v>
      </c>
      <c r="F154" s="202">
        <v>0</v>
      </c>
      <c r="G154" s="202">
        <v>0</v>
      </c>
      <c r="H154" s="202">
        <v>0</v>
      </c>
      <c r="I154" s="202">
        <v>0</v>
      </c>
      <c r="J154" s="202">
        <v>0</v>
      </c>
      <c r="K154" s="202">
        <v>0</v>
      </c>
      <c r="L154" s="202">
        <v>0</v>
      </c>
      <c r="M154" s="202">
        <v>0</v>
      </c>
      <c r="N154" s="202">
        <v>0</v>
      </c>
      <c r="O154" s="202">
        <v>3790</v>
      </c>
      <c r="P154" s="203"/>
      <c r="Q154" s="200" t="s">
        <v>3445</v>
      </c>
    </row>
    <row r="155" spans="1:17" ht="15.75" thickBot="1">
      <c r="A155" s="210"/>
      <c r="C155" s="109" t="s">
        <v>15569</v>
      </c>
      <c r="D155" s="202">
        <v>0</v>
      </c>
      <c r="E155" s="202">
        <v>0</v>
      </c>
      <c r="F155" s="202">
        <v>0</v>
      </c>
      <c r="G155" s="202">
        <v>0</v>
      </c>
      <c r="H155" s="202">
        <v>0</v>
      </c>
      <c r="I155" s="202">
        <v>0</v>
      </c>
      <c r="J155" s="202">
        <v>0</v>
      </c>
      <c r="K155" s="202">
        <v>0</v>
      </c>
      <c r="L155" s="202">
        <v>0</v>
      </c>
      <c r="M155" s="202">
        <v>0</v>
      </c>
      <c r="N155" s="202">
        <v>0</v>
      </c>
      <c r="O155" s="202">
        <v>275</v>
      </c>
      <c r="P155" s="203"/>
      <c r="Q155" s="200" t="s">
        <v>4968</v>
      </c>
    </row>
    <row r="156" spans="1:17" ht="15.75" thickBot="1">
      <c r="A156" s="210"/>
      <c r="C156" s="109" t="s">
        <v>15569</v>
      </c>
      <c r="D156" s="217">
        <f t="shared" ref="D156" si="190">SUM(D154:D155)</f>
        <v>0</v>
      </c>
      <c r="E156" s="217">
        <f t="shared" ref="E156" si="191">SUM(E154:E155)</f>
        <v>0</v>
      </c>
      <c r="F156" s="217">
        <f t="shared" ref="F156" si="192">SUM(F154:F155)</f>
        <v>0</v>
      </c>
      <c r="G156" s="217">
        <f t="shared" ref="G156" si="193">SUM(G154:G155)</f>
        <v>0</v>
      </c>
      <c r="H156" s="217">
        <f t="shared" ref="H156" si="194">SUM(H154:H155)</f>
        <v>0</v>
      </c>
      <c r="I156" s="217">
        <f t="shared" ref="I156" si="195">SUM(I154:I155)</f>
        <v>0</v>
      </c>
      <c r="J156" s="217">
        <f t="shared" ref="J156" si="196">SUM(J154:J155)</f>
        <v>0</v>
      </c>
      <c r="K156" s="217">
        <f t="shared" ref="K156" si="197">SUM(K154:K155)</f>
        <v>0</v>
      </c>
      <c r="L156" s="217">
        <f t="shared" ref="L156" si="198">SUM(L154:L155)</f>
        <v>0</v>
      </c>
      <c r="M156" s="217">
        <f t="shared" ref="M156" si="199">SUM(M154:M155)</f>
        <v>0</v>
      </c>
      <c r="N156" s="217">
        <f t="shared" ref="N156" si="200">SUM(N154:N155)</f>
        <v>0</v>
      </c>
      <c r="O156" s="217">
        <f t="shared" ref="O156" si="201">SUM(O154:O155)</f>
        <v>4065</v>
      </c>
      <c r="P156" s="203"/>
      <c r="Q156" s="200"/>
    </row>
    <row r="157" spans="1:17">
      <c r="A157" s="200">
        <v>97</v>
      </c>
      <c r="B157" s="109" t="s">
        <v>15471</v>
      </c>
      <c r="C157" s="109" t="s">
        <v>15570</v>
      </c>
      <c r="D157" s="202">
        <v>0</v>
      </c>
      <c r="E157" s="202">
        <v>0</v>
      </c>
      <c r="F157" s="202">
        <v>0</v>
      </c>
      <c r="G157" s="202">
        <v>0</v>
      </c>
      <c r="H157" s="202">
        <v>0</v>
      </c>
      <c r="I157" s="202">
        <v>0</v>
      </c>
      <c r="J157" s="202">
        <v>0</v>
      </c>
      <c r="K157" s="202">
        <v>0</v>
      </c>
      <c r="L157" s="202">
        <v>0</v>
      </c>
      <c r="M157" s="202">
        <v>0</v>
      </c>
      <c r="N157" s="202">
        <v>0</v>
      </c>
      <c r="O157" s="202">
        <v>4122</v>
      </c>
      <c r="P157" s="203"/>
      <c r="Q157" s="200" t="s">
        <v>3449</v>
      </c>
    </row>
    <row r="158" spans="1:17">
      <c r="A158" s="200">
        <v>98</v>
      </c>
      <c r="B158" s="109" t="s">
        <v>15472</v>
      </c>
      <c r="C158" s="109" t="s">
        <v>15571</v>
      </c>
      <c r="D158" s="202">
        <v>0</v>
      </c>
      <c r="E158" s="202">
        <v>0</v>
      </c>
      <c r="F158" s="202">
        <v>0</v>
      </c>
      <c r="G158" s="202">
        <v>0</v>
      </c>
      <c r="H158" s="202">
        <v>0</v>
      </c>
      <c r="I158" s="202">
        <v>0</v>
      </c>
      <c r="J158" s="202">
        <v>0</v>
      </c>
      <c r="K158" s="202">
        <v>0</v>
      </c>
      <c r="L158" s="202">
        <v>0</v>
      </c>
      <c r="M158" s="202">
        <v>0</v>
      </c>
      <c r="N158" s="202">
        <v>0</v>
      </c>
      <c r="O158" s="202">
        <v>3916</v>
      </c>
      <c r="P158" s="203"/>
      <c r="Q158" s="200" t="s">
        <v>4968</v>
      </c>
    </row>
    <row r="159" spans="1:17">
      <c r="D159" s="202"/>
      <c r="E159" s="202"/>
      <c r="F159" s="202"/>
      <c r="G159" s="202"/>
      <c r="H159" s="202"/>
      <c r="I159" s="202"/>
      <c r="J159" s="202"/>
      <c r="K159" s="202"/>
      <c r="L159" s="202"/>
      <c r="M159" s="202"/>
      <c r="N159" s="202"/>
      <c r="O159" s="202"/>
      <c r="P159" s="203"/>
      <c r="Q159" s="200"/>
    </row>
    <row r="160" spans="1:17">
      <c r="A160" s="200" t="s">
        <v>3445</v>
      </c>
      <c r="D160" s="202">
        <f t="shared" ref="D160:N160" si="202">SUM(D37,D39,D49,D52:D53,D56,D59:D60,D63,D66:D68,D71,D87:D89,D100:D104,D142,D154)</f>
        <v>71870</v>
      </c>
      <c r="E160" s="202">
        <f t="shared" si="202"/>
        <v>73312</v>
      </c>
      <c r="F160" s="202">
        <f t="shared" si="202"/>
        <v>73625</v>
      </c>
      <c r="G160" s="202">
        <f t="shared" si="202"/>
        <v>73642</v>
      </c>
      <c r="H160" s="202">
        <f t="shared" si="202"/>
        <v>73846</v>
      </c>
      <c r="I160" s="202">
        <f t="shared" si="202"/>
        <v>72404</v>
      </c>
      <c r="J160" s="202">
        <f t="shared" si="202"/>
        <v>72812</v>
      </c>
      <c r="K160" s="202">
        <f t="shared" si="202"/>
        <v>74534</v>
      </c>
      <c r="L160" s="202">
        <f t="shared" si="202"/>
        <v>75179</v>
      </c>
      <c r="M160" s="202">
        <f t="shared" si="202"/>
        <v>74381</v>
      </c>
      <c r="N160" s="202">
        <f t="shared" si="202"/>
        <v>77655</v>
      </c>
      <c r="O160" s="202">
        <f>SUM(O37,O39:O40,O49,O52:O53,O56,O59:O60,O63,O66:O68,O71,O87:O89,O100:O104,O142,O154)</f>
        <v>77475</v>
      </c>
    </row>
    <row r="161" spans="1:16">
      <c r="A161" s="200" t="s">
        <v>3447</v>
      </c>
      <c r="D161" s="202">
        <f t="shared" ref="D161:N161" si="203">SUM(D29,D31,D36,D42,D75:D77,D80,D82,D93:D94,D98:D99,D113:D115,D131:D133,D145)</f>
        <v>66972</v>
      </c>
      <c r="E161" s="202">
        <f t="shared" si="203"/>
        <v>68846</v>
      </c>
      <c r="F161" s="202">
        <f t="shared" si="203"/>
        <v>68569</v>
      </c>
      <c r="G161" s="202">
        <f t="shared" si="203"/>
        <v>68795</v>
      </c>
      <c r="H161" s="202">
        <f t="shared" si="203"/>
        <v>68473</v>
      </c>
      <c r="I161" s="202">
        <f t="shared" si="203"/>
        <v>66399</v>
      </c>
      <c r="J161" s="202">
        <f t="shared" si="203"/>
        <v>67301</v>
      </c>
      <c r="K161" s="202">
        <f t="shared" si="203"/>
        <v>69598</v>
      </c>
      <c r="L161" s="202">
        <f t="shared" si="203"/>
        <v>70199</v>
      </c>
      <c r="M161" s="202">
        <f t="shared" si="203"/>
        <v>69682</v>
      </c>
      <c r="N161" s="202">
        <f t="shared" si="203"/>
        <v>73893</v>
      </c>
      <c r="O161" s="202">
        <f>SUM(O29,O31,O36,O42,O75:O77,O80,O82,O93:O94,O98:O99,O113:O115,O131:O133,O145)</f>
        <v>73734</v>
      </c>
    </row>
    <row r="162" spans="1:16">
      <c r="A162" s="200" t="s">
        <v>3448</v>
      </c>
      <c r="D162" s="202">
        <f t="shared" ref="D162:N162" si="204">SUM(D38,D41,D43:D48,D50,D54,D57,D61,D64,D69,D72,D74,D90,D95,D97,D108,D116,D118:D120,D129)</f>
        <v>65762</v>
      </c>
      <c r="E162" s="202">
        <f t="shared" si="204"/>
        <v>67154</v>
      </c>
      <c r="F162" s="202">
        <f t="shared" si="204"/>
        <v>66986</v>
      </c>
      <c r="G162" s="202">
        <f t="shared" si="204"/>
        <v>67313</v>
      </c>
      <c r="H162" s="202">
        <f t="shared" si="204"/>
        <v>67648</v>
      </c>
      <c r="I162" s="202">
        <f t="shared" si="204"/>
        <v>65506</v>
      </c>
      <c r="J162" s="202">
        <f t="shared" si="204"/>
        <v>66692</v>
      </c>
      <c r="K162" s="202">
        <f t="shared" si="204"/>
        <v>69032</v>
      </c>
      <c r="L162" s="202">
        <f t="shared" si="204"/>
        <v>70473</v>
      </c>
      <c r="M162" s="202">
        <f t="shared" si="204"/>
        <v>69978</v>
      </c>
      <c r="N162" s="202">
        <f t="shared" si="204"/>
        <v>73818</v>
      </c>
      <c r="O162" s="202">
        <f>SUM(O38,O41,O43:O48,O50,O54,O57,O61,O64,O69,O72,O74,O90,O95,O97,O108,O116,O118:O120,O129)</f>
        <v>73678</v>
      </c>
    </row>
    <row r="163" spans="1:16">
      <c r="A163" s="200" t="s">
        <v>3449</v>
      </c>
      <c r="D163" s="202">
        <f t="shared" ref="D163:N163" si="205">SUM(D30,D32,D34:D35,D81,D84,D92,D109,D112,D117,D121:D128,D134,D153,D157)</f>
        <v>67080</v>
      </c>
      <c r="E163" s="202">
        <f t="shared" si="205"/>
        <v>68731</v>
      </c>
      <c r="F163" s="202">
        <f t="shared" si="205"/>
        <v>68757</v>
      </c>
      <c r="G163" s="202">
        <f t="shared" si="205"/>
        <v>69442</v>
      </c>
      <c r="H163" s="202">
        <f t="shared" si="205"/>
        <v>69448</v>
      </c>
      <c r="I163" s="202">
        <f t="shared" si="205"/>
        <v>67122</v>
      </c>
      <c r="J163" s="202">
        <f t="shared" si="205"/>
        <v>68261</v>
      </c>
      <c r="K163" s="202">
        <f t="shared" si="205"/>
        <v>70247</v>
      </c>
      <c r="L163" s="202">
        <f t="shared" si="205"/>
        <v>71614</v>
      </c>
      <c r="M163" s="202">
        <f t="shared" si="205"/>
        <v>71142</v>
      </c>
      <c r="N163" s="202">
        <f t="shared" si="205"/>
        <v>75023</v>
      </c>
      <c r="O163" s="202">
        <f>SUM(O30,O32,O34:O35,O81,O84,O92,O109,O112,O117,O121:O128,O134,O153,O157)</f>
        <v>74865</v>
      </c>
    </row>
    <row r="164" spans="1:16">
      <c r="A164" s="200" t="s">
        <v>4968</v>
      </c>
      <c r="D164" s="202">
        <f t="shared" ref="D164:N164" si="206">SUM(D78,D83,D85,D105,D107,D110,D130,D135:D141,D143,D146:D152,D155,D158)</f>
        <v>71452</v>
      </c>
      <c r="E164" s="202">
        <f t="shared" si="206"/>
        <v>72820</v>
      </c>
      <c r="F164" s="202">
        <f t="shared" si="206"/>
        <v>72682</v>
      </c>
      <c r="G164" s="202">
        <f t="shared" si="206"/>
        <v>72798</v>
      </c>
      <c r="H164" s="202">
        <f t="shared" si="206"/>
        <v>72750</v>
      </c>
      <c r="I164" s="202">
        <f t="shared" si="206"/>
        <v>70765</v>
      </c>
      <c r="J164" s="202">
        <f t="shared" si="206"/>
        <v>71658</v>
      </c>
      <c r="K164" s="202">
        <f t="shared" si="206"/>
        <v>74745</v>
      </c>
      <c r="L164" s="202">
        <f t="shared" si="206"/>
        <v>75628</v>
      </c>
      <c r="M164" s="202">
        <f t="shared" si="206"/>
        <v>74892</v>
      </c>
      <c r="N164" s="202">
        <f t="shared" si="206"/>
        <v>78364</v>
      </c>
      <c r="O164" s="202">
        <f>SUM(O78,O83,O85,O105,O107,O110,O130,O135:O141,O143,O146:O152,O155,O158)</f>
        <v>78207</v>
      </c>
      <c r="P164" s="203"/>
    </row>
    <row r="165" spans="1:16">
      <c r="M165" s="203"/>
      <c r="N165" s="203"/>
      <c r="O165" s="203"/>
      <c r="P165" s="203"/>
    </row>
    <row r="166" spans="1:16">
      <c r="A166" s="109" t="s">
        <v>4964</v>
      </c>
    </row>
    <row r="167" spans="1:16">
      <c r="A167" s="109" t="s">
        <v>15473</v>
      </c>
    </row>
    <row r="169" spans="1:16">
      <c r="A169" s="1012" t="s">
        <v>16023</v>
      </c>
    </row>
    <row r="170" spans="1:16">
      <c r="A170" s="167" t="s">
        <v>16099</v>
      </c>
    </row>
    <row r="171" spans="1:16">
      <c r="A171" s="109" t="s">
        <v>16100</v>
      </c>
    </row>
    <row r="172" spans="1:16">
      <c r="A172" s="109" t="s">
        <v>16101</v>
      </c>
    </row>
  </sheetData>
  <phoneticPr fontId="6" type="noConversion"/>
  <printOptions gridLinesSet="0"/>
  <pageMargins left="0.51181102362204722" right="0" top="0.51181102362204722" bottom="0.51181102362204722" header="0.51181102362204722" footer="0.51181102362204722"/>
  <pageSetup paperSize="9" scale="81" orientation="portrait" horizontalDpi="300" verticalDpi="300" r:id="rId1"/>
  <headerFooter alignWithMargins="0">
    <oddFooter>&amp;C&amp;8&amp;P of &amp;N</oddFooter>
  </headerFooter>
  <rowBreaks count="1" manualBreakCount="1">
    <brk id="23" max="4" man="1"/>
  </rowBreaks>
  <ignoredErrors>
    <ignoredError sqref="D159 E159 D16:D21 E16:E21 F16:F21 G16:G21 H16:H21 I16:I21 J16:J21 K16:K21 L16:L27 L159" unlockedFormula="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ransitionEvaluation="1"/>
  <dimension ref="A1:Q215"/>
  <sheetViews>
    <sheetView showGridLines="0" topLeftCell="A196" zoomScale="90" zoomScaleNormal="90" workbookViewId="0">
      <selection activeCell="Q133" sqref="Q133"/>
    </sheetView>
  </sheetViews>
  <sheetFormatPr defaultColWidth="12.5703125" defaultRowHeight="15"/>
  <cols>
    <col min="1" max="1" width="4.85546875" style="108" customWidth="1"/>
    <col min="2" max="2" width="40.7109375" style="108" customWidth="1"/>
    <col min="3" max="3" width="11.5703125" style="108" customWidth="1"/>
    <col min="4" max="12" width="10.42578125" style="108" customWidth="1"/>
    <col min="13" max="15" width="10" style="108" customWidth="1"/>
    <col min="16" max="16" width="2.28515625" style="108" customWidth="1"/>
    <col min="17" max="17" width="35.7109375" style="108" customWidth="1"/>
    <col min="18" max="16384" width="12.5703125" style="108"/>
  </cols>
  <sheetData>
    <row r="1" spans="1:17">
      <c r="A1" s="187" t="s">
        <v>6924</v>
      </c>
      <c r="D1" s="108">
        <v>2010</v>
      </c>
      <c r="E1" s="108">
        <v>2011</v>
      </c>
      <c r="F1" s="108">
        <v>2012</v>
      </c>
      <c r="G1" s="108">
        <v>2013</v>
      </c>
      <c r="H1" s="108">
        <v>2014</v>
      </c>
      <c r="I1" s="108">
        <v>2015</v>
      </c>
      <c r="J1" s="108">
        <v>2016</v>
      </c>
      <c r="K1" s="108">
        <v>2017</v>
      </c>
      <c r="L1" s="108">
        <v>2018</v>
      </c>
      <c r="M1" s="108">
        <v>2019</v>
      </c>
      <c r="N1" s="108">
        <v>2020</v>
      </c>
      <c r="O1" s="924" t="s">
        <v>14823</v>
      </c>
    </row>
    <row r="3" spans="1:17">
      <c r="A3" s="187" t="s">
        <v>6273</v>
      </c>
      <c r="D3" s="188">
        <f t="shared" ref="D3:I3" si="0">SUM(D5:D10)</f>
        <v>434692</v>
      </c>
      <c r="E3" s="188">
        <f t="shared" si="0"/>
        <v>436192</v>
      </c>
      <c r="F3" s="188">
        <f t="shared" si="0"/>
        <v>437589</v>
      </c>
      <c r="G3" s="188">
        <f t="shared" si="0"/>
        <v>439009</v>
      </c>
      <c r="H3" s="188">
        <f t="shared" si="0"/>
        <v>431737</v>
      </c>
      <c r="I3" s="188">
        <f t="shared" si="0"/>
        <v>430060</v>
      </c>
      <c r="J3" s="188">
        <f t="shared" ref="J3:O3" si="1">SUM(J5:J10)</f>
        <v>427975</v>
      </c>
      <c r="K3" s="188">
        <f t="shared" si="1"/>
        <v>437046</v>
      </c>
      <c r="L3" s="188">
        <f t="shared" si="1"/>
        <v>435370</v>
      </c>
      <c r="M3" s="188">
        <f t="shared" si="1"/>
        <v>434502</v>
      </c>
      <c r="N3" s="188">
        <f t="shared" si="1"/>
        <v>441749</v>
      </c>
      <c r="O3" s="188">
        <f t="shared" si="1"/>
        <v>447152</v>
      </c>
    </row>
    <row r="4" spans="1:17">
      <c r="D4" s="189"/>
      <c r="E4" s="189"/>
      <c r="F4" s="189"/>
      <c r="G4" s="189"/>
      <c r="H4" s="189"/>
      <c r="I4" s="189"/>
      <c r="J4" s="189"/>
      <c r="K4" s="189"/>
      <c r="L4" s="189"/>
      <c r="M4" s="189"/>
      <c r="N4" s="189"/>
      <c r="O4" s="189"/>
    </row>
    <row r="5" spans="1:17">
      <c r="A5" s="187" t="s">
        <v>6274</v>
      </c>
      <c r="C5" s="187"/>
      <c r="D5" s="190">
        <f t="shared" ref="D5:I5" si="2">D41</f>
        <v>73430</v>
      </c>
      <c r="E5" s="190">
        <f t="shared" si="2"/>
        <v>73279</v>
      </c>
      <c r="F5" s="190">
        <f t="shared" si="2"/>
        <v>73099</v>
      </c>
      <c r="G5" s="190">
        <f t="shared" si="2"/>
        <v>73892</v>
      </c>
      <c r="H5" s="190">
        <f t="shared" si="2"/>
        <v>71548</v>
      </c>
      <c r="I5" s="190">
        <f t="shared" si="2"/>
        <v>72319</v>
      </c>
      <c r="J5" s="190">
        <f t="shared" ref="J5:O5" si="3">J41</f>
        <v>72042</v>
      </c>
      <c r="K5" s="190">
        <f t="shared" si="3"/>
        <v>72948</v>
      </c>
      <c r="L5" s="190">
        <f t="shared" si="3"/>
        <v>72206</v>
      </c>
      <c r="M5" s="190">
        <f t="shared" si="3"/>
        <v>71813</v>
      </c>
      <c r="N5" s="190">
        <f t="shared" si="3"/>
        <v>73943</v>
      </c>
      <c r="O5" s="190">
        <f t="shared" si="3"/>
        <v>75305</v>
      </c>
      <c r="Q5" s="191"/>
    </row>
    <row r="6" spans="1:17">
      <c r="A6" s="187" t="s">
        <v>6275</v>
      </c>
      <c r="C6" s="187"/>
      <c r="D6" s="190">
        <f t="shared" ref="D6:I6" si="4">D80</f>
        <v>58849</v>
      </c>
      <c r="E6" s="190">
        <f t="shared" si="4"/>
        <v>59220</v>
      </c>
      <c r="F6" s="190">
        <f t="shared" si="4"/>
        <v>59261</v>
      </c>
      <c r="G6" s="190">
        <f t="shared" si="4"/>
        <v>59839</v>
      </c>
      <c r="H6" s="190">
        <f t="shared" si="4"/>
        <v>59462</v>
      </c>
      <c r="I6" s="190">
        <f t="shared" si="4"/>
        <v>58717</v>
      </c>
      <c r="J6" s="190">
        <f t="shared" ref="J6:O6" si="5">J80</f>
        <v>58606</v>
      </c>
      <c r="K6" s="190">
        <f t="shared" si="5"/>
        <v>59796</v>
      </c>
      <c r="L6" s="190">
        <f t="shared" si="5"/>
        <v>59644</v>
      </c>
      <c r="M6" s="190">
        <f t="shared" si="5"/>
        <v>59537</v>
      </c>
      <c r="N6" s="190">
        <f t="shared" si="5"/>
        <v>60514</v>
      </c>
      <c r="O6" s="190">
        <f t="shared" si="5"/>
        <v>61738</v>
      </c>
      <c r="Q6" s="191"/>
    </row>
    <row r="7" spans="1:17">
      <c r="A7" s="187" t="s">
        <v>6255</v>
      </c>
      <c r="C7" s="187"/>
      <c r="D7" s="190">
        <f t="shared" ref="D7:I7" si="6">D111</f>
        <v>62522</v>
      </c>
      <c r="E7" s="190">
        <f t="shared" si="6"/>
        <v>61937</v>
      </c>
      <c r="F7" s="190">
        <f t="shared" si="6"/>
        <v>61986</v>
      </c>
      <c r="G7" s="190">
        <f t="shared" si="6"/>
        <v>62189</v>
      </c>
      <c r="H7" s="190">
        <f t="shared" si="6"/>
        <v>60349</v>
      </c>
      <c r="I7" s="190">
        <f t="shared" si="6"/>
        <v>60417</v>
      </c>
      <c r="J7" s="190">
        <f t="shared" ref="J7:O7" si="7">J111</f>
        <v>59495</v>
      </c>
      <c r="K7" s="190">
        <f t="shared" si="7"/>
        <v>59938</v>
      </c>
      <c r="L7" s="190">
        <f t="shared" si="7"/>
        <v>58564</v>
      </c>
      <c r="M7" s="190">
        <f t="shared" si="7"/>
        <v>58045</v>
      </c>
      <c r="N7" s="190">
        <f t="shared" si="7"/>
        <v>59599</v>
      </c>
      <c r="O7" s="190">
        <f t="shared" si="7"/>
        <v>60565</v>
      </c>
      <c r="Q7" s="191"/>
    </row>
    <row r="8" spans="1:17">
      <c r="A8" s="187" t="s">
        <v>6256</v>
      </c>
      <c r="C8" s="187"/>
      <c r="D8" s="190">
        <f t="shared" ref="D8:I8" si="8">D132</f>
        <v>72965</v>
      </c>
      <c r="E8" s="190">
        <f t="shared" si="8"/>
        <v>73960</v>
      </c>
      <c r="F8" s="190">
        <f t="shared" si="8"/>
        <v>74513</v>
      </c>
      <c r="G8" s="190">
        <f t="shared" si="8"/>
        <v>73837</v>
      </c>
      <c r="H8" s="190">
        <f t="shared" si="8"/>
        <v>72165</v>
      </c>
      <c r="I8" s="190">
        <f t="shared" si="8"/>
        <v>71580</v>
      </c>
      <c r="J8" s="190">
        <f t="shared" ref="J8:O8" si="9">J132</f>
        <v>70542</v>
      </c>
      <c r="K8" s="190">
        <f t="shared" si="9"/>
        <v>72543</v>
      </c>
      <c r="L8" s="190">
        <f t="shared" si="9"/>
        <v>72702</v>
      </c>
      <c r="M8" s="190">
        <f t="shared" si="9"/>
        <v>73889</v>
      </c>
      <c r="N8" s="190">
        <f t="shared" si="9"/>
        <v>73930</v>
      </c>
      <c r="O8" s="190">
        <f t="shared" si="9"/>
        <v>73928</v>
      </c>
      <c r="Q8" s="191"/>
    </row>
    <row r="9" spans="1:17">
      <c r="A9" s="187" t="s">
        <v>6257</v>
      </c>
      <c r="C9" s="187"/>
      <c r="D9" s="190">
        <f t="shared" ref="D9:I9" si="10">D156</f>
        <v>90152</v>
      </c>
      <c r="E9" s="190">
        <f t="shared" si="10"/>
        <v>89996</v>
      </c>
      <c r="F9" s="190">
        <f t="shared" si="10"/>
        <v>91095</v>
      </c>
      <c r="G9" s="190">
        <f t="shared" si="10"/>
        <v>91938</v>
      </c>
      <c r="H9" s="190">
        <f t="shared" si="10"/>
        <v>91382</v>
      </c>
      <c r="I9" s="190">
        <f t="shared" si="10"/>
        <v>89821</v>
      </c>
      <c r="J9" s="190">
        <f t="shared" ref="J9:O9" si="11">J156</f>
        <v>92064</v>
      </c>
      <c r="K9" s="190">
        <f t="shared" si="11"/>
        <v>94479</v>
      </c>
      <c r="L9" s="190">
        <f t="shared" si="11"/>
        <v>95023</v>
      </c>
      <c r="M9" s="190">
        <f t="shared" si="11"/>
        <v>95500</v>
      </c>
      <c r="N9" s="190">
        <f t="shared" si="11"/>
        <v>96745</v>
      </c>
      <c r="O9" s="190">
        <f t="shared" si="11"/>
        <v>98601</v>
      </c>
      <c r="Q9" s="191"/>
    </row>
    <row r="10" spans="1:17">
      <c r="A10" s="187" t="s">
        <v>5591</v>
      </c>
      <c r="C10" s="187"/>
      <c r="D10" s="190">
        <f t="shared" ref="D10:I10" si="12">D199</f>
        <v>76774</v>
      </c>
      <c r="E10" s="190">
        <f t="shared" si="12"/>
        <v>77800</v>
      </c>
      <c r="F10" s="190">
        <f t="shared" si="12"/>
        <v>77635</v>
      </c>
      <c r="G10" s="190">
        <f t="shared" si="12"/>
        <v>77314</v>
      </c>
      <c r="H10" s="190">
        <f t="shared" si="12"/>
        <v>76831</v>
      </c>
      <c r="I10" s="190">
        <f t="shared" si="12"/>
        <v>77206</v>
      </c>
      <c r="J10" s="190">
        <f t="shared" ref="J10:O10" si="13">J199</f>
        <v>75226</v>
      </c>
      <c r="K10" s="190">
        <f t="shared" si="13"/>
        <v>77342</v>
      </c>
      <c r="L10" s="190">
        <f t="shared" si="13"/>
        <v>77231</v>
      </c>
      <c r="M10" s="190">
        <f t="shared" si="13"/>
        <v>75718</v>
      </c>
      <c r="N10" s="190">
        <f t="shared" si="13"/>
        <v>77018</v>
      </c>
      <c r="O10" s="190">
        <f t="shared" si="13"/>
        <v>77015</v>
      </c>
      <c r="Q10" s="191"/>
    </row>
    <row r="12" spans="1:17">
      <c r="A12" s="187" t="s">
        <v>639</v>
      </c>
      <c r="D12" s="190">
        <f t="shared" ref="D12:I12" si="14">D3/6</f>
        <v>72448.666666666672</v>
      </c>
      <c r="E12" s="190">
        <f t="shared" si="14"/>
        <v>72698.666666666672</v>
      </c>
      <c r="F12" s="190">
        <f t="shared" si="14"/>
        <v>72931.5</v>
      </c>
      <c r="G12" s="190">
        <f t="shared" si="14"/>
        <v>73168.166666666672</v>
      </c>
      <c r="H12" s="190">
        <f t="shared" si="14"/>
        <v>71956.166666666672</v>
      </c>
      <c r="I12" s="190">
        <f t="shared" si="14"/>
        <v>71676.666666666672</v>
      </c>
      <c r="J12" s="190">
        <f t="shared" ref="J12:O12" si="15">J3/6</f>
        <v>71329.166666666672</v>
      </c>
      <c r="K12" s="190">
        <f t="shared" si="15"/>
        <v>72841</v>
      </c>
      <c r="L12" s="190">
        <f t="shared" si="15"/>
        <v>72561.666666666672</v>
      </c>
      <c r="M12" s="190">
        <f t="shared" si="15"/>
        <v>72417</v>
      </c>
      <c r="N12" s="190">
        <f t="shared" si="15"/>
        <v>73624.833333333328</v>
      </c>
      <c r="O12" s="190">
        <f t="shared" si="15"/>
        <v>74525.333333333328</v>
      </c>
    </row>
    <row r="13" spans="1:17">
      <c r="D13" s="189"/>
      <c r="E13" s="189"/>
      <c r="F13" s="189"/>
      <c r="G13" s="189"/>
      <c r="H13" s="189"/>
      <c r="I13" s="189"/>
      <c r="J13" s="189"/>
      <c r="K13" s="189"/>
      <c r="L13" s="189"/>
      <c r="M13" s="189"/>
      <c r="N13" s="189"/>
      <c r="O13" s="189"/>
    </row>
    <row r="14" spans="1:17">
      <c r="A14" s="187" t="s">
        <v>5592</v>
      </c>
      <c r="D14" s="188">
        <f t="shared" ref="D14:I14" si="16">D73</f>
        <v>73430</v>
      </c>
      <c r="E14" s="188">
        <f t="shared" si="16"/>
        <v>73279</v>
      </c>
      <c r="F14" s="188">
        <f t="shared" si="16"/>
        <v>73099</v>
      </c>
      <c r="G14" s="188">
        <f t="shared" si="16"/>
        <v>73892</v>
      </c>
      <c r="H14" s="188">
        <f t="shared" si="16"/>
        <v>71548</v>
      </c>
      <c r="I14" s="188">
        <f t="shared" si="16"/>
        <v>72319</v>
      </c>
      <c r="J14" s="188">
        <f t="shared" ref="J14:O14" si="17">J73</f>
        <v>72042</v>
      </c>
      <c r="K14" s="188">
        <f t="shared" si="17"/>
        <v>72948</v>
      </c>
      <c r="L14" s="188">
        <f t="shared" si="17"/>
        <v>72206</v>
      </c>
      <c r="M14" s="188">
        <f t="shared" si="17"/>
        <v>71813</v>
      </c>
      <c r="N14" s="188">
        <f t="shared" si="17"/>
        <v>73943</v>
      </c>
      <c r="O14" s="188">
        <f t="shared" si="17"/>
        <v>75305</v>
      </c>
      <c r="Q14" s="187" t="s">
        <v>6847</v>
      </c>
    </row>
    <row r="15" spans="1:17">
      <c r="D15" s="189"/>
      <c r="E15" s="189"/>
      <c r="F15" s="189"/>
      <c r="G15" s="189"/>
      <c r="H15" s="189"/>
      <c r="I15" s="189"/>
      <c r="J15" s="189"/>
      <c r="K15" s="189"/>
      <c r="L15" s="189"/>
      <c r="M15" s="189"/>
      <c r="N15" s="189"/>
      <c r="O15" s="189"/>
    </row>
    <row r="16" spans="1:17">
      <c r="A16" s="187" t="s">
        <v>5593</v>
      </c>
      <c r="D16" s="190">
        <f t="shared" ref="D16:I16" si="18">D190</f>
        <v>71858</v>
      </c>
      <c r="E16" s="190">
        <f t="shared" si="18"/>
        <v>71660</v>
      </c>
      <c r="F16" s="190">
        <f t="shared" si="18"/>
        <v>72641</v>
      </c>
      <c r="G16" s="190">
        <f t="shared" si="18"/>
        <v>73227</v>
      </c>
      <c r="H16" s="190">
        <f t="shared" si="18"/>
        <v>72649</v>
      </c>
      <c r="I16" s="190">
        <f t="shared" si="18"/>
        <v>71461</v>
      </c>
      <c r="J16" s="190">
        <f t="shared" ref="J16:O16" si="19">J190</f>
        <v>73420</v>
      </c>
      <c r="K16" s="190">
        <f t="shared" si="19"/>
        <v>75378</v>
      </c>
      <c r="L16" s="190">
        <f t="shared" si="19"/>
        <v>75796</v>
      </c>
      <c r="M16" s="190">
        <f t="shared" si="19"/>
        <v>76171</v>
      </c>
      <c r="N16" s="190">
        <f t="shared" si="19"/>
        <v>77299</v>
      </c>
      <c r="O16" s="190">
        <f t="shared" si="19"/>
        <v>78759</v>
      </c>
      <c r="Q16" s="187" t="s">
        <v>5594</v>
      </c>
    </row>
    <row r="17" spans="1:17">
      <c r="D17" s="189"/>
      <c r="E17" s="189"/>
      <c r="F17" s="189"/>
      <c r="G17" s="189"/>
      <c r="H17" s="189"/>
      <c r="I17" s="189"/>
      <c r="J17" s="189"/>
      <c r="K17" s="189"/>
      <c r="L17" s="189"/>
      <c r="M17" s="189"/>
      <c r="N17" s="189"/>
      <c r="O17" s="189"/>
    </row>
    <row r="18" spans="1:17">
      <c r="A18" s="187" t="s">
        <v>5595</v>
      </c>
      <c r="D18" s="190">
        <f t="shared" ref="D18:I18" si="20">D125</f>
        <v>62522</v>
      </c>
      <c r="E18" s="190">
        <f t="shared" si="20"/>
        <v>61937</v>
      </c>
      <c r="F18" s="190">
        <f t="shared" si="20"/>
        <v>61986</v>
      </c>
      <c r="G18" s="190">
        <f t="shared" si="20"/>
        <v>62189</v>
      </c>
      <c r="H18" s="190">
        <f t="shared" si="20"/>
        <v>60349</v>
      </c>
      <c r="I18" s="190">
        <f t="shared" si="20"/>
        <v>60417</v>
      </c>
      <c r="J18" s="190">
        <f t="shared" ref="J18:O18" si="21">J125</f>
        <v>59495</v>
      </c>
      <c r="K18" s="190">
        <f t="shared" si="21"/>
        <v>59938</v>
      </c>
      <c r="L18" s="190">
        <f t="shared" si="21"/>
        <v>58564</v>
      </c>
      <c r="M18" s="190">
        <f t="shared" si="21"/>
        <v>58045</v>
      </c>
      <c r="N18" s="190">
        <f t="shared" si="21"/>
        <v>59599</v>
      </c>
      <c r="O18" s="190">
        <f t="shared" si="21"/>
        <v>60565</v>
      </c>
      <c r="Q18" s="187" t="s">
        <v>6849</v>
      </c>
    </row>
    <row r="19" spans="1:17" ht="15.75" thickBot="1">
      <c r="D19" s="192">
        <f t="shared" ref="D19:I19" si="22">D191</f>
        <v>4455</v>
      </c>
      <c r="E19" s="192">
        <f t="shared" si="22"/>
        <v>4555</v>
      </c>
      <c r="F19" s="192">
        <f t="shared" si="22"/>
        <v>4585</v>
      </c>
      <c r="G19" s="192">
        <f t="shared" si="22"/>
        <v>4612</v>
      </c>
      <c r="H19" s="192">
        <f t="shared" si="22"/>
        <v>4578</v>
      </c>
      <c r="I19" s="192">
        <f t="shared" si="22"/>
        <v>4504</v>
      </c>
      <c r="J19" s="192">
        <f t="shared" ref="J19:O19" si="23">J191</f>
        <v>4576</v>
      </c>
      <c r="K19" s="192">
        <f t="shared" si="23"/>
        <v>4744</v>
      </c>
      <c r="L19" s="192">
        <f t="shared" si="23"/>
        <v>4821</v>
      </c>
      <c r="M19" s="192">
        <f t="shared" si="23"/>
        <v>4818</v>
      </c>
      <c r="N19" s="192">
        <f t="shared" si="23"/>
        <v>4861</v>
      </c>
      <c r="O19" s="192">
        <f t="shared" si="23"/>
        <v>4942</v>
      </c>
      <c r="Q19" s="187" t="s">
        <v>5594</v>
      </c>
    </row>
    <row r="20" spans="1:17" ht="15.75" thickBot="1">
      <c r="D20" s="192">
        <f t="shared" ref="D20:I20" si="24">D18+D19</f>
        <v>66977</v>
      </c>
      <c r="E20" s="192">
        <f t="shared" si="24"/>
        <v>66492</v>
      </c>
      <c r="F20" s="192">
        <f t="shared" si="24"/>
        <v>66571</v>
      </c>
      <c r="G20" s="192">
        <f t="shared" si="24"/>
        <v>66801</v>
      </c>
      <c r="H20" s="192">
        <f t="shared" si="24"/>
        <v>64927</v>
      </c>
      <c r="I20" s="192">
        <f t="shared" si="24"/>
        <v>64921</v>
      </c>
      <c r="J20" s="192">
        <f t="shared" ref="J20:O20" si="25">J18+J19</f>
        <v>64071</v>
      </c>
      <c r="K20" s="192">
        <f t="shared" si="25"/>
        <v>64682</v>
      </c>
      <c r="L20" s="192">
        <f t="shared" si="25"/>
        <v>63385</v>
      </c>
      <c r="M20" s="192">
        <f t="shared" si="25"/>
        <v>62863</v>
      </c>
      <c r="N20" s="192">
        <f t="shared" si="25"/>
        <v>64460</v>
      </c>
      <c r="O20" s="192">
        <f t="shared" si="25"/>
        <v>65507</v>
      </c>
    </row>
    <row r="21" spans="1:17">
      <c r="D21" s="189"/>
      <c r="E21" s="189"/>
      <c r="F21" s="189"/>
      <c r="G21" s="189"/>
      <c r="H21" s="189"/>
      <c r="I21" s="189"/>
      <c r="J21" s="189"/>
      <c r="K21" s="189"/>
      <c r="L21" s="189"/>
      <c r="M21" s="189"/>
      <c r="N21" s="189"/>
      <c r="O21" s="189"/>
    </row>
    <row r="22" spans="1:17">
      <c r="A22" s="187" t="s">
        <v>5596</v>
      </c>
      <c r="D22" s="190">
        <f t="shared" ref="D22:I22" si="26">D104</f>
        <v>58849</v>
      </c>
      <c r="E22" s="190">
        <f t="shared" si="26"/>
        <v>59220</v>
      </c>
      <c r="F22" s="190">
        <f t="shared" si="26"/>
        <v>59261</v>
      </c>
      <c r="G22" s="190">
        <f t="shared" si="26"/>
        <v>59839</v>
      </c>
      <c r="H22" s="190">
        <f t="shared" si="26"/>
        <v>59462</v>
      </c>
      <c r="I22" s="190">
        <f t="shared" si="26"/>
        <v>58717</v>
      </c>
      <c r="J22" s="190">
        <f t="shared" ref="J22:O22" si="27">J104</f>
        <v>58606</v>
      </c>
      <c r="K22" s="190">
        <f t="shared" si="27"/>
        <v>59796</v>
      </c>
      <c r="L22" s="190">
        <f t="shared" si="27"/>
        <v>59644</v>
      </c>
      <c r="M22" s="190">
        <f t="shared" si="27"/>
        <v>59537</v>
      </c>
      <c r="N22" s="190">
        <f t="shared" si="27"/>
        <v>60514</v>
      </c>
      <c r="O22" s="190">
        <f t="shared" si="27"/>
        <v>61738</v>
      </c>
      <c r="Q22" s="187" t="s">
        <v>6848</v>
      </c>
    </row>
    <row r="23" spans="1:17" ht="15.75" thickBot="1">
      <c r="D23" s="192">
        <f t="shared" ref="D23:I23" si="28">D192</f>
        <v>13839</v>
      </c>
      <c r="E23" s="192">
        <f t="shared" si="28"/>
        <v>13781</v>
      </c>
      <c r="F23" s="192">
        <f t="shared" si="28"/>
        <v>13869</v>
      </c>
      <c r="G23" s="192">
        <f t="shared" si="28"/>
        <v>14099</v>
      </c>
      <c r="H23" s="192">
        <f t="shared" si="28"/>
        <v>14155</v>
      </c>
      <c r="I23" s="192">
        <f t="shared" si="28"/>
        <v>13856</v>
      </c>
      <c r="J23" s="192">
        <f t="shared" ref="J23:O23" si="29">J192</f>
        <v>14068</v>
      </c>
      <c r="K23" s="192">
        <f t="shared" si="29"/>
        <v>14357</v>
      </c>
      <c r="L23" s="192">
        <f t="shared" si="29"/>
        <v>14406</v>
      </c>
      <c r="M23" s="192">
        <f t="shared" si="29"/>
        <v>14511</v>
      </c>
      <c r="N23" s="192">
        <f t="shared" si="29"/>
        <v>14585</v>
      </c>
      <c r="O23" s="192">
        <f t="shared" si="29"/>
        <v>14900</v>
      </c>
      <c r="Q23" s="187" t="s">
        <v>5594</v>
      </c>
    </row>
    <row r="24" spans="1:17" ht="15.75" thickBot="1">
      <c r="D24" s="192">
        <f t="shared" ref="D24:I24" si="30">SUM(D22:D23)</f>
        <v>72688</v>
      </c>
      <c r="E24" s="192">
        <f t="shared" si="30"/>
        <v>73001</v>
      </c>
      <c r="F24" s="192">
        <f t="shared" si="30"/>
        <v>73130</v>
      </c>
      <c r="G24" s="192">
        <f t="shared" si="30"/>
        <v>73938</v>
      </c>
      <c r="H24" s="192">
        <f t="shared" si="30"/>
        <v>73617</v>
      </c>
      <c r="I24" s="192">
        <f t="shared" si="30"/>
        <v>72573</v>
      </c>
      <c r="J24" s="192">
        <f t="shared" ref="J24:O24" si="31">SUM(J22:J23)</f>
        <v>72674</v>
      </c>
      <c r="K24" s="192">
        <f t="shared" si="31"/>
        <v>74153</v>
      </c>
      <c r="L24" s="192">
        <f t="shared" si="31"/>
        <v>74050</v>
      </c>
      <c r="M24" s="192">
        <f t="shared" si="31"/>
        <v>74048</v>
      </c>
      <c r="N24" s="192">
        <f t="shared" si="31"/>
        <v>75099</v>
      </c>
      <c r="O24" s="192">
        <f t="shared" si="31"/>
        <v>76638</v>
      </c>
    </row>
    <row r="25" spans="1:17">
      <c r="D25" s="189"/>
      <c r="E25" s="189"/>
      <c r="F25" s="189"/>
      <c r="G25" s="189"/>
      <c r="H25" s="189"/>
      <c r="I25" s="189"/>
      <c r="J25" s="189"/>
      <c r="K25" s="189"/>
      <c r="L25" s="189"/>
      <c r="M25" s="189"/>
      <c r="N25" s="189"/>
      <c r="O25" s="189"/>
    </row>
    <row r="26" spans="1:17">
      <c r="A26" s="187" t="s">
        <v>5597</v>
      </c>
      <c r="D26" s="190">
        <f t="shared" ref="D26:I26" si="32">D149</f>
        <v>72965</v>
      </c>
      <c r="E26" s="190">
        <f t="shared" si="32"/>
        <v>73960</v>
      </c>
      <c r="F26" s="190">
        <f t="shared" si="32"/>
        <v>74513</v>
      </c>
      <c r="G26" s="190">
        <f t="shared" si="32"/>
        <v>73837</v>
      </c>
      <c r="H26" s="190">
        <f t="shared" si="32"/>
        <v>72165</v>
      </c>
      <c r="I26" s="190">
        <f t="shared" si="32"/>
        <v>71580</v>
      </c>
      <c r="J26" s="190">
        <f t="shared" ref="J26:O26" si="33">J149</f>
        <v>70542</v>
      </c>
      <c r="K26" s="190">
        <f t="shared" si="33"/>
        <v>72543</v>
      </c>
      <c r="L26" s="190">
        <f t="shared" si="33"/>
        <v>72702</v>
      </c>
      <c r="M26" s="190">
        <f t="shared" si="33"/>
        <v>73889</v>
      </c>
      <c r="N26" s="190">
        <f t="shared" si="33"/>
        <v>73930</v>
      </c>
      <c r="O26" s="190">
        <f t="shared" si="33"/>
        <v>73928</v>
      </c>
      <c r="Q26" s="187" t="s">
        <v>6850</v>
      </c>
    </row>
    <row r="27" spans="1:17">
      <c r="D27" s="189"/>
      <c r="E27" s="189"/>
      <c r="F27" s="189"/>
      <c r="G27" s="189"/>
      <c r="H27" s="189"/>
      <c r="I27" s="189"/>
      <c r="J27" s="189"/>
      <c r="K27" s="189"/>
      <c r="L27" s="189"/>
      <c r="M27" s="189"/>
      <c r="N27" s="189"/>
      <c r="O27" s="189"/>
    </row>
    <row r="28" spans="1:17">
      <c r="A28" s="187" t="s">
        <v>5598</v>
      </c>
      <c r="D28" s="190">
        <f t="shared" ref="D28:I28" si="34">D213</f>
        <v>76774</v>
      </c>
      <c r="E28" s="190">
        <f t="shared" si="34"/>
        <v>77800</v>
      </c>
      <c r="F28" s="190">
        <f t="shared" si="34"/>
        <v>77635</v>
      </c>
      <c r="G28" s="190">
        <f t="shared" si="34"/>
        <v>77314</v>
      </c>
      <c r="H28" s="190">
        <f t="shared" si="34"/>
        <v>76831</v>
      </c>
      <c r="I28" s="190">
        <f t="shared" si="34"/>
        <v>77206</v>
      </c>
      <c r="J28" s="190">
        <f t="shared" ref="J28:O28" si="35">J213</f>
        <v>75226</v>
      </c>
      <c r="K28" s="190">
        <f t="shared" si="35"/>
        <v>77342</v>
      </c>
      <c r="L28" s="190">
        <f t="shared" si="35"/>
        <v>77231</v>
      </c>
      <c r="M28" s="190">
        <f t="shared" si="35"/>
        <v>75718</v>
      </c>
      <c r="N28" s="190">
        <f t="shared" si="35"/>
        <v>77018</v>
      </c>
      <c r="O28" s="190">
        <f t="shared" si="35"/>
        <v>77015</v>
      </c>
      <c r="Q28" s="187" t="s">
        <v>6860</v>
      </c>
    </row>
    <row r="29" spans="1:17">
      <c r="D29" s="189"/>
      <c r="E29" s="189"/>
      <c r="F29" s="189"/>
      <c r="G29" s="189"/>
      <c r="H29" s="189"/>
      <c r="I29" s="189"/>
      <c r="J29" s="189"/>
      <c r="K29" s="189"/>
      <c r="L29" s="189"/>
      <c r="M29" s="189"/>
      <c r="N29" s="189"/>
      <c r="O29" s="189"/>
    </row>
    <row r="30" spans="1:17">
      <c r="A30" s="187" t="s">
        <v>6796</v>
      </c>
      <c r="D30" s="190">
        <f t="shared" ref="D30:I30" si="36">D14+D16+D20+D24+D26+D28</f>
        <v>434692</v>
      </c>
      <c r="E30" s="190">
        <f t="shared" si="36"/>
        <v>436192</v>
      </c>
      <c r="F30" s="190">
        <f t="shared" si="36"/>
        <v>437589</v>
      </c>
      <c r="G30" s="190">
        <f t="shared" si="36"/>
        <v>439009</v>
      </c>
      <c r="H30" s="190">
        <f t="shared" si="36"/>
        <v>431737</v>
      </c>
      <c r="I30" s="190">
        <f t="shared" si="36"/>
        <v>430060</v>
      </c>
      <c r="J30" s="190">
        <f t="shared" ref="J30:O30" si="37">J14+J16+J20+J24+J26+J28</f>
        <v>427975</v>
      </c>
      <c r="K30" s="190">
        <f t="shared" si="37"/>
        <v>437046</v>
      </c>
      <c r="L30" s="190">
        <f t="shared" si="37"/>
        <v>435370</v>
      </c>
      <c r="M30" s="190">
        <f t="shared" si="37"/>
        <v>434502</v>
      </c>
      <c r="N30" s="190">
        <f t="shared" si="37"/>
        <v>441749</v>
      </c>
      <c r="O30" s="190">
        <f t="shared" si="37"/>
        <v>447152</v>
      </c>
    </row>
    <row r="31" spans="1:17">
      <c r="A31" s="187"/>
      <c r="D31" s="190"/>
      <c r="E31" s="190"/>
      <c r="F31" s="190"/>
      <c r="G31" s="190"/>
      <c r="H31" s="190"/>
      <c r="I31" s="190"/>
      <c r="J31" s="190"/>
      <c r="K31" s="190"/>
      <c r="L31" s="190"/>
      <c r="M31" s="190"/>
      <c r="N31" s="190"/>
      <c r="O31" s="190"/>
    </row>
    <row r="32" spans="1:17">
      <c r="A32" s="187" t="s">
        <v>6797</v>
      </c>
      <c r="D32" s="190">
        <f t="shared" ref="D32:I32" si="38">MAX(D14,D16,D20,D24,D26,D28)-MIN(D14,D16,D20,D24,D26,D28)</f>
        <v>9797</v>
      </c>
      <c r="E32" s="190">
        <f t="shared" si="38"/>
        <v>11308</v>
      </c>
      <c r="F32" s="190">
        <f t="shared" si="38"/>
        <v>11064</v>
      </c>
      <c r="G32" s="190">
        <f t="shared" si="38"/>
        <v>10513</v>
      </c>
      <c r="H32" s="190">
        <f t="shared" si="38"/>
        <v>11904</v>
      </c>
      <c r="I32" s="190">
        <f t="shared" si="38"/>
        <v>12285</v>
      </c>
      <c r="J32" s="190">
        <f t="shared" ref="J32:O32" si="39">MAX(J14,J16,J20,J24,J26,J28)-MIN(J14,J16,J20,J24,J26,J28)</f>
        <v>11155</v>
      </c>
      <c r="K32" s="190">
        <f t="shared" si="39"/>
        <v>12660</v>
      </c>
      <c r="L32" s="190">
        <f t="shared" si="39"/>
        <v>13846</v>
      </c>
      <c r="M32" s="190">
        <f t="shared" si="39"/>
        <v>13308</v>
      </c>
      <c r="N32" s="190">
        <f t="shared" si="39"/>
        <v>12839</v>
      </c>
      <c r="O32" s="190">
        <f t="shared" si="39"/>
        <v>13252</v>
      </c>
    </row>
    <row r="33" spans="1:17">
      <c r="A33" s="187"/>
      <c r="D33" s="190"/>
      <c r="E33" s="190"/>
      <c r="F33" s="190"/>
      <c r="G33" s="190"/>
      <c r="H33" s="190"/>
      <c r="I33" s="190"/>
      <c r="J33" s="190"/>
      <c r="K33" s="190"/>
      <c r="L33" s="190"/>
      <c r="M33" s="190"/>
      <c r="N33" s="190"/>
      <c r="O33" s="190"/>
    </row>
    <row r="34" spans="1:17">
      <c r="A34" s="193" t="s">
        <v>6800</v>
      </c>
      <c r="D34" s="190">
        <f t="shared" ref="D34:I34" si="40">STDEVP(D14,D16,D20,D24,D26,D28)</f>
        <v>2894.9216262659374</v>
      </c>
      <c r="E34" s="190">
        <f t="shared" si="40"/>
        <v>3357.6850987283219</v>
      </c>
      <c r="F34" s="190">
        <f t="shared" si="40"/>
        <v>3297.2681495444072</v>
      </c>
      <c r="G34" s="190">
        <f t="shared" si="40"/>
        <v>3143.6741464230813</v>
      </c>
      <c r="H34" s="190">
        <f t="shared" si="40"/>
        <v>3573.5552053320175</v>
      </c>
      <c r="I34" s="190">
        <f t="shared" si="40"/>
        <v>3593.6152023028594</v>
      </c>
      <c r="J34" s="190">
        <f t="shared" ref="J34:O34" si="41">STDEVP(J14,J16,J20,J24,J26,J28)</f>
        <v>3539.6378542004677</v>
      </c>
      <c r="K34" s="190">
        <f t="shared" si="41"/>
        <v>3980.9179845859671</v>
      </c>
      <c r="L34" s="190">
        <f t="shared" si="41"/>
        <v>4450.3955879100104</v>
      </c>
      <c r="M34" s="190">
        <f t="shared" si="41"/>
        <v>4499.2553828383643</v>
      </c>
      <c r="N34" s="190">
        <f t="shared" si="41"/>
        <v>4308.417629736261</v>
      </c>
      <c r="O34" s="190">
        <f t="shared" si="41"/>
        <v>4298.8517329889637</v>
      </c>
    </row>
    <row r="35" spans="1:17">
      <c r="A35" s="193"/>
      <c r="D35" s="194"/>
      <c r="E35" s="194"/>
      <c r="F35" s="194"/>
      <c r="G35" s="194"/>
      <c r="H35" s="194"/>
      <c r="I35" s="194"/>
      <c r="J35" s="194"/>
      <c r="K35" s="194"/>
      <c r="L35" s="194"/>
      <c r="M35" s="194"/>
      <c r="N35" s="194"/>
      <c r="O35" s="194"/>
    </row>
    <row r="36" spans="1:17">
      <c r="A36" s="193" t="s">
        <v>4827</v>
      </c>
      <c r="D36" s="194"/>
      <c r="E36" s="194"/>
      <c r="F36" s="194"/>
      <c r="G36" s="194"/>
      <c r="H36" s="194"/>
      <c r="I36" s="194"/>
      <c r="J36" s="194"/>
      <c r="K36" s="194"/>
      <c r="L36" s="194"/>
      <c r="M36" s="194"/>
      <c r="N36" s="194"/>
      <c r="O36" s="194"/>
    </row>
    <row r="37" spans="1:17">
      <c r="A37" s="193"/>
      <c r="D37" s="194"/>
      <c r="E37" s="194"/>
      <c r="F37" s="194"/>
      <c r="G37" s="194"/>
      <c r="H37" s="194"/>
      <c r="I37" s="194"/>
      <c r="J37" s="194"/>
      <c r="K37" s="194"/>
      <c r="L37" s="194"/>
      <c r="M37" s="194"/>
      <c r="N37" s="194"/>
      <c r="O37" s="194"/>
    </row>
    <row r="38" spans="1:17">
      <c r="A38" s="193"/>
      <c r="D38" s="194"/>
      <c r="E38" s="194"/>
      <c r="F38" s="194"/>
      <c r="G38" s="194"/>
      <c r="H38" s="194"/>
      <c r="I38" s="194"/>
      <c r="J38" s="194"/>
      <c r="K38" s="194"/>
      <c r="L38" s="194"/>
      <c r="M38" s="194"/>
      <c r="N38" s="194"/>
      <c r="O38" s="194"/>
    </row>
    <row r="39" spans="1:17">
      <c r="E39" s="51" t="s">
        <v>1526</v>
      </c>
      <c r="F39" s="51"/>
      <c r="G39" s="51"/>
      <c r="H39" s="51"/>
      <c r="I39" s="51"/>
      <c r="J39" s="51"/>
      <c r="K39" s="51"/>
      <c r="L39" s="51"/>
      <c r="M39" s="51"/>
      <c r="N39" s="51"/>
      <c r="O39" s="51"/>
      <c r="P39" s="52"/>
      <c r="Q39" s="54" t="s">
        <v>9479</v>
      </c>
    </row>
    <row r="40" spans="1:17">
      <c r="D40" s="108">
        <v>2010</v>
      </c>
      <c r="E40" s="108">
        <v>2011</v>
      </c>
      <c r="F40" s="108">
        <v>2012</v>
      </c>
      <c r="G40" s="108">
        <v>2013</v>
      </c>
      <c r="H40" s="108">
        <v>2014</v>
      </c>
      <c r="I40" s="108">
        <v>2015</v>
      </c>
      <c r="J40" s="108">
        <v>2016</v>
      </c>
      <c r="K40" s="108">
        <v>2017</v>
      </c>
      <c r="L40" s="108">
        <v>2018</v>
      </c>
      <c r="M40" s="108">
        <v>2019</v>
      </c>
      <c r="N40" s="108">
        <v>2020</v>
      </c>
      <c r="O40" s="924" t="s">
        <v>14823</v>
      </c>
      <c r="Q40" s="54" t="s">
        <v>1527</v>
      </c>
    </row>
    <row r="41" spans="1:17">
      <c r="A41" s="195" t="s">
        <v>4828</v>
      </c>
      <c r="C41" s="195"/>
      <c r="D41" s="190">
        <f t="shared" ref="D41:I41" si="42">SUM(D42:D71)</f>
        <v>73430</v>
      </c>
      <c r="E41" s="190">
        <f t="shared" si="42"/>
        <v>73279</v>
      </c>
      <c r="F41" s="190">
        <f t="shared" si="42"/>
        <v>73099</v>
      </c>
      <c r="G41" s="190">
        <f t="shared" si="42"/>
        <v>73892</v>
      </c>
      <c r="H41" s="190">
        <f t="shared" si="42"/>
        <v>71548</v>
      </c>
      <c r="I41" s="190">
        <f t="shared" si="42"/>
        <v>72319</v>
      </c>
      <c r="J41" s="190">
        <f t="shared" ref="J41:O41" si="43">SUM(J42:J71)</f>
        <v>72042</v>
      </c>
      <c r="K41" s="190">
        <f t="shared" si="43"/>
        <v>72948</v>
      </c>
      <c r="L41" s="190">
        <f t="shared" si="43"/>
        <v>72206</v>
      </c>
      <c r="M41" s="190">
        <f t="shared" si="43"/>
        <v>71813</v>
      </c>
      <c r="N41" s="190">
        <f t="shared" si="43"/>
        <v>73943</v>
      </c>
      <c r="O41" s="190">
        <f t="shared" si="43"/>
        <v>75305</v>
      </c>
    </row>
    <row r="42" spans="1:17">
      <c r="A42" s="187" t="s">
        <v>5387</v>
      </c>
      <c r="B42" s="187" t="s">
        <v>9788</v>
      </c>
      <c r="C42" s="55" t="s">
        <v>11416</v>
      </c>
      <c r="D42" s="189">
        <v>73430</v>
      </c>
      <c r="E42" s="189">
        <v>73279</v>
      </c>
      <c r="F42" s="189">
        <v>73099</v>
      </c>
      <c r="G42" s="56">
        <v>73892</v>
      </c>
      <c r="H42" s="56">
        <v>71548</v>
      </c>
      <c r="I42" s="56">
        <v>2269</v>
      </c>
      <c r="J42" s="56">
        <v>2248</v>
      </c>
      <c r="K42" s="56">
        <v>2322</v>
      </c>
      <c r="L42" s="56">
        <v>2292</v>
      </c>
      <c r="M42" s="56">
        <v>2244</v>
      </c>
      <c r="N42" s="56">
        <v>2290</v>
      </c>
      <c r="O42" s="56">
        <v>2315</v>
      </c>
      <c r="Q42" s="187" t="s">
        <v>5592</v>
      </c>
    </row>
    <row r="43" spans="1:17">
      <c r="A43" s="187" t="s">
        <v>5389</v>
      </c>
      <c r="B43" s="187" t="s">
        <v>9789</v>
      </c>
      <c r="C43" s="55" t="s">
        <v>11417</v>
      </c>
      <c r="D43" s="189">
        <v>0</v>
      </c>
      <c r="E43" s="189">
        <v>0</v>
      </c>
      <c r="F43" s="189">
        <v>0</v>
      </c>
      <c r="G43" s="56">
        <v>0</v>
      </c>
      <c r="H43" s="56">
        <v>0</v>
      </c>
      <c r="I43" s="56">
        <v>2253</v>
      </c>
      <c r="J43" s="56">
        <v>2234</v>
      </c>
      <c r="K43" s="56">
        <v>2254</v>
      </c>
      <c r="L43" s="56">
        <v>2239</v>
      </c>
      <c r="M43" s="56">
        <v>2210</v>
      </c>
      <c r="N43" s="56">
        <v>2241</v>
      </c>
      <c r="O43" s="56">
        <v>2269</v>
      </c>
      <c r="Q43" s="187" t="s">
        <v>5592</v>
      </c>
    </row>
    <row r="44" spans="1:17">
      <c r="A44" s="187" t="s">
        <v>5391</v>
      </c>
      <c r="B44" s="108" t="s">
        <v>9790</v>
      </c>
      <c r="C44" s="55" t="s">
        <v>11418</v>
      </c>
      <c r="D44" s="189">
        <v>0</v>
      </c>
      <c r="E44" s="189">
        <v>0</v>
      </c>
      <c r="F44" s="189">
        <v>0</v>
      </c>
      <c r="G44" s="56">
        <v>0</v>
      </c>
      <c r="H44" s="56">
        <v>0</v>
      </c>
      <c r="I44" s="56">
        <v>2452</v>
      </c>
      <c r="J44" s="56">
        <v>2492</v>
      </c>
      <c r="K44" s="56">
        <v>2545</v>
      </c>
      <c r="L44" s="56">
        <v>2499</v>
      </c>
      <c r="M44" s="56">
        <v>2438</v>
      </c>
      <c r="N44" s="56">
        <v>2502</v>
      </c>
      <c r="O44" s="56">
        <v>2561</v>
      </c>
      <c r="Q44" s="187" t="s">
        <v>5592</v>
      </c>
    </row>
    <row r="45" spans="1:17">
      <c r="A45" s="187" t="s">
        <v>5393</v>
      </c>
      <c r="B45" s="108" t="s">
        <v>9791</v>
      </c>
      <c r="C45" s="55" t="s">
        <v>11419</v>
      </c>
      <c r="D45" s="189">
        <v>0</v>
      </c>
      <c r="E45" s="189">
        <v>0</v>
      </c>
      <c r="F45" s="189">
        <v>0</v>
      </c>
      <c r="G45" s="56">
        <v>0</v>
      </c>
      <c r="H45" s="56">
        <v>0</v>
      </c>
      <c r="I45" s="56">
        <v>2438</v>
      </c>
      <c r="J45" s="56">
        <v>2424</v>
      </c>
      <c r="K45" s="56">
        <v>2446</v>
      </c>
      <c r="L45" s="56">
        <v>2441</v>
      </c>
      <c r="M45" s="56">
        <v>2432</v>
      </c>
      <c r="N45" s="56">
        <v>2564</v>
      </c>
      <c r="O45" s="56">
        <v>2607</v>
      </c>
      <c r="Q45" s="187" t="s">
        <v>5592</v>
      </c>
    </row>
    <row r="46" spans="1:17">
      <c r="A46" s="187" t="s">
        <v>5394</v>
      </c>
      <c r="B46" s="108" t="s">
        <v>9792</v>
      </c>
      <c r="C46" s="55" t="s">
        <v>11420</v>
      </c>
      <c r="D46" s="189">
        <v>0</v>
      </c>
      <c r="E46" s="189">
        <v>0</v>
      </c>
      <c r="F46" s="189">
        <v>0</v>
      </c>
      <c r="G46" s="56">
        <v>0</v>
      </c>
      <c r="H46" s="56">
        <v>0</v>
      </c>
      <c r="I46" s="56">
        <v>2290</v>
      </c>
      <c r="J46" s="56">
        <v>2208</v>
      </c>
      <c r="K46" s="56">
        <v>2279</v>
      </c>
      <c r="L46" s="56">
        <v>2310</v>
      </c>
      <c r="M46" s="56">
        <v>2310</v>
      </c>
      <c r="N46" s="56">
        <v>2398</v>
      </c>
      <c r="O46" s="56">
        <v>2446</v>
      </c>
      <c r="Q46" s="187" t="s">
        <v>5592</v>
      </c>
    </row>
    <row r="47" spans="1:17">
      <c r="A47" s="187" t="s">
        <v>5416</v>
      </c>
      <c r="B47" s="108" t="s">
        <v>9793</v>
      </c>
      <c r="C47" s="55" t="s">
        <v>11421</v>
      </c>
      <c r="D47" s="189">
        <v>0</v>
      </c>
      <c r="E47" s="189">
        <v>0</v>
      </c>
      <c r="F47" s="189">
        <v>0</v>
      </c>
      <c r="G47" s="56">
        <v>0</v>
      </c>
      <c r="H47" s="56">
        <v>0</v>
      </c>
      <c r="I47" s="56">
        <v>5208</v>
      </c>
      <c r="J47" s="56">
        <v>5193</v>
      </c>
      <c r="K47" s="56">
        <v>5262</v>
      </c>
      <c r="L47" s="56">
        <v>5179</v>
      </c>
      <c r="M47" s="56">
        <v>5152</v>
      </c>
      <c r="N47" s="56">
        <v>5262</v>
      </c>
      <c r="O47" s="56">
        <v>5352</v>
      </c>
      <c r="Q47" s="187" t="s">
        <v>5592</v>
      </c>
    </row>
    <row r="48" spans="1:17">
      <c r="A48" s="187" t="s">
        <v>5418</v>
      </c>
      <c r="B48" s="108" t="s">
        <v>9794</v>
      </c>
      <c r="C48" s="55" t="s">
        <v>11422</v>
      </c>
      <c r="D48" s="189">
        <v>0</v>
      </c>
      <c r="E48" s="189">
        <v>0</v>
      </c>
      <c r="F48" s="189">
        <v>0</v>
      </c>
      <c r="G48" s="56">
        <v>0</v>
      </c>
      <c r="H48" s="56">
        <v>0</v>
      </c>
      <c r="I48" s="56">
        <v>2361</v>
      </c>
      <c r="J48" s="56">
        <v>2363</v>
      </c>
      <c r="K48" s="56">
        <v>2370</v>
      </c>
      <c r="L48" s="56">
        <v>2331</v>
      </c>
      <c r="M48" s="56">
        <v>2306</v>
      </c>
      <c r="N48" s="56">
        <v>2339</v>
      </c>
      <c r="O48" s="56">
        <v>2386</v>
      </c>
      <c r="Q48" s="187" t="s">
        <v>5592</v>
      </c>
    </row>
    <row r="49" spans="1:17">
      <c r="A49" s="187" t="s">
        <v>5420</v>
      </c>
      <c r="B49" s="108" t="s">
        <v>9795</v>
      </c>
      <c r="C49" s="55" t="s">
        <v>11423</v>
      </c>
      <c r="D49" s="189">
        <v>0</v>
      </c>
      <c r="E49" s="189">
        <v>0</v>
      </c>
      <c r="F49" s="189">
        <v>0</v>
      </c>
      <c r="G49" s="56">
        <v>0</v>
      </c>
      <c r="H49" s="56">
        <v>0</v>
      </c>
      <c r="I49" s="56">
        <v>2226</v>
      </c>
      <c r="J49" s="56">
        <v>2208</v>
      </c>
      <c r="K49" s="56">
        <v>2227</v>
      </c>
      <c r="L49" s="56">
        <v>2162</v>
      </c>
      <c r="M49" s="56">
        <v>2139</v>
      </c>
      <c r="N49" s="56">
        <v>2164</v>
      </c>
      <c r="O49" s="56">
        <v>2200</v>
      </c>
      <c r="Q49" s="187" t="s">
        <v>5592</v>
      </c>
    </row>
    <row r="50" spans="1:17">
      <c r="A50" s="187" t="s">
        <v>5422</v>
      </c>
      <c r="B50" s="187" t="s">
        <v>9796</v>
      </c>
      <c r="C50" s="55" t="s">
        <v>11424</v>
      </c>
      <c r="D50" s="189">
        <v>0</v>
      </c>
      <c r="E50" s="189">
        <v>0</v>
      </c>
      <c r="F50" s="189">
        <v>0</v>
      </c>
      <c r="G50" s="56">
        <v>0</v>
      </c>
      <c r="H50" s="56">
        <v>0</v>
      </c>
      <c r="I50" s="56">
        <v>2154</v>
      </c>
      <c r="J50" s="56">
        <v>2174</v>
      </c>
      <c r="K50" s="56">
        <v>2240</v>
      </c>
      <c r="L50" s="56">
        <v>2208</v>
      </c>
      <c r="M50" s="56">
        <v>2154</v>
      </c>
      <c r="N50" s="56">
        <v>2187</v>
      </c>
      <c r="O50" s="56">
        <v>2218</v>
      </c>
      <c r="Q50" s="187" t="s">
        <v>5592</v>
      </c>
    </row>
    <row r="51" spans="1:17">
      <c r="A51" s="187" t="s">
        <v>5424</v>
      </c>
      <c r="B51" s="187" t="s">
        <v>6330</v>
      </c>
      <c r="C51" s="55" t="s">
        <v>11425</v>
      </c>
      <c r="D51" s="189">
        <v>0</v>
      </c>
      <c r="E51" s="189">
        <v>0</v>
      </c>
      <c r="F51" s="189">
        <v>0</v>
      </c>
      <c r="G51" s="56">
        <v>0</v>
      </c>
      <c r="H51" s="56">
        <v>0</v>
      </c>
      <c r="I51" s="56">
        <v>2343</v>
      </c>
      <c r="J51" s="56">
        <v>2318</v>
      </c>
      <c r="K51" s="56">
        <v>2323</v>
      </c>
      <c r="L51" s="56">
        <v>2260</v>
      </c>
      <c r="M51" s="56">
        <v>2224</v>
      </c>
      <c r="N51" s="56">
        <v>2253</v>
      </c>
      <c r="O51" s="56">
        <v>2303</v>
      </c>
      <c r="Q51" s="187" t="s">
        <v>5592</v>
      </c>
    </row>
    <row r="52" spans="1:17">
      <c r="A52" s="187" t="s">
        <v>5426</v>
      </c>
      <c r="B52" s="187" t="s">
        <v>9797</v>
      </c>
      <c r="C52" s="55" t="s">
        <v>11426</v>
      </c>
      <c r="D52" s="189">
        <v>0</v>
      </c>
      <c r="E52" s="189">
        <v>0</v>
      </c>
      <c r="F52" s="189">
        <v>0</v>
      </c>
      <c r="G52" s="56">
        <v>0</v>
      </c>
      <c r="H52" s="56">
        <v>0</v>
      </c>
      <c r="I52" s="56">
        <v>1972</v>
      </c>
      <c r="J52" s="56">
        <v>2142</v>
      </c>
      <c r="K52" s="56">
        <v>2285</v>
      </c>
      <c r="L52" s="56">
        <v>2254</v>
      </c>
      <c r="M52" s="56">
        <v>2257</v>
      </c>
      <c r="N52" s="56">
        <v>2364</v>
      </c>
      <c r="O52" s="56">
        <v>2441</v>
      </c>
      <c r="Q52" s="187" t="s">
        <v>5592</v>
      </c>
    </row>
    <row r="53" spans="1:17">
      <c r="A53" s="187" t="s">
        <v>5428</v>
      </c>
      <c r="B53" s="187" t="s">
        <v>9798</v>
      </c>
      <c r="C53" s="55" t="s">
        <v>11427</v>
      </c>
      <c r="D53" s="189">
        <v>0</v>
      </c>
      <c r="E53" s="189">
        <v>0</v>
      </c>
      <c r="F53" s="189">
        <v>0</v>
      </c>
      <c r="G53" s="56">
        <v>0</v>
      </c>
      <c r="H53" s="56">
        <v>0</v>
      </c>
      <c r="I53" s="56">
        <v>2532</v>
      </c>
      <c r="J53" s="56">
        <v>2489</v>
      </c>
      <c r="K53" s="56">
        <v>2473</v>
      </c>
      <c r="L53" s="56">
        <v>2443</v>
      </c>
      <c r="M53" s="56">
        <v>2420</v>
      </c>
      <c r="N53" s="56">
        <v>2447</v>
      </c>
      <c r="O53" s="56">
        <v>2469</v>
      </c>
      <c r="Q53" s="187" t="s">
        <v>5592</v>
      </c>
    </row>
    <row r="54" spans="1:17">
      <c r="A54" s="187" t="s">
        <v>5429</v>
      </c>
      <c r="B54" s="187" t="s">
        <v>9799</v>
      </c>
      <c r="C54" s="55" t="s">
        <v>11428</v>
      </c>
      <c r="D54" s="189">
        <v>0</v>
      </c>
      <c r="E54" s="189">
        <v>0</v>
      </c>
      <c r="F54" s="189">
        <v>0</v>
      </c>
      <c r="G54" s="56">
        <v>0</v>
      </c>
      <c r="H54" s="56">
        <v>0</v>
      </c>
      <c r="I54" s="56">
        <v>2045</v>
      </c>
      <c r="J54" s="56">
        <v>2044</v>
      </c>
      <c r="K54" s="56">
        <v>2141</v>
      </c>
      <c r="L54" s="56">
        <v>2202</v>
      </c>
      <c r="M54" s="56">
        <v>2244</v>
      </c>
      <c r="N54" s="56">
        <v>2401</v>
      </c>
      <c r="O54" s="56">
        <v>2470</v>
      </c>
      <c r="Q54" s="187" t="s">
        <v>5592</v>
      </c>
    </row>
    <row r="55" spans="1:17">
      <c r="A55" s="187" t="s">
        <v>5431</v>
      </c>
      <c r="B55" s="187" t="s">
        <v>9800</v>
      </c>
      <c r="C55" s="55" t="s">
        <v>11429</v>
      </c>
      <c r="D55" s="189">
        <v>0</v>
      </c>
      <c r="E55" s="189">
        <v>0</v>
      </c>
      <c r="F55" s="189">
        <v>0</v>
      </c>
      <c r="G55" s="56">
        <v>0</v>
      </c>
      <c r="H55" s="56">
        <v>0</v>
      </c>
      <c r="I55" s="56">
        <v>2704</v>
      </c>
      <c r="J55" s="56">
        <v>2680</v>
      </c>
      <c r="K55" s="56">
        <v>2672</v>
      </c>
      <c r="L55" s="56">
        <v>2709</v>
      </c>
      <c r="M55" s="56">
        <v>2745</v>
      </c>
      <c r="N55" s="56">
        <v>2881</v>
      </c>
      <c r="O55" s="56">
        <v>2934</v>
      </c>
      <c r="Q55" s="187" t="s">
        <v>5592</v>
      </c>
    </row>
    <row r="56" spans="1:17">
      <c r="A56" s="187" t="s">
        <v>5433</v>
      </c>
      <c r="B56" s="187" t="s">
        <v>9801</v>
      </c>
      <c r="C56" s="55" t="s">
        <v>11430</v>
      </c>
      <c r="D56" s="189">
        <v>0</v>
      </c>
      <c r="E56" s="189">
        <v>0</v>
      </c>
      <c r="F56" s="189">
        <v>0</v>
      </c>
      <c r="G56" s="56">
        <v>0</v>
      </c>
      <c r="H56" s="56">
        <v>0</v>
      </c>
      <c r="I56" s="56">
        <v>1747</v>
      </c>
      <c r="J56" s="56">
        <v>1778</v>
      </c>
      <c r="K56" s="56">
        <v>1789</v>
      </c>
      <c r="L56" s="56">
        <v>1805</v>
      </c>
      <c r="M56" s="56">
        <v>1765</v>
      </c>
      <c r="N56" s="56">
        <v>1816</v>
      </c>
      <c r="O56" s="56">
        <v>1854</v>
      </c>
      <c r="Q56" s="187" t="s">
        <v>5592</v>
      </c>
    </row>
    <row r="57" spans="1:17">
      <c r="A57" s="187" t="s">
        <v>5435</v>
      </c>
      <c r="B57" s="187" t="s">
        <v>9802</v>
      </c>
      <c r="C57" s="55" t="s">
        <v>11431</v>
      </c>
      <c r="D57" s="189">
        <v>0</v>
      </c>
      <c r="E57" s="189">
        <v>0</v>
      </c>
      <c r="F57" s="189">
        <v>0</v>
      </c>
      <c r="G57" s="58">
        <v>0</v>
      </c>
      <c r="H57" s="58">
        <v>0</v>
      </c>
      <c r="I57" s="58">
        <v>2430</v>
      </c>
      <c r="J57" s="58">
        <v>2390</v>
      </c>
      <c r="K57" s="58">
        <v>2407</v>
      </c>
      <c r="L57" s="58">
        <v>2389</v>
      </c>
      <c r="M57" s="58">
        <v>2322</v>
      </c>
      <c r="N57" s="58">
        <v>2365</v>
      </c>
      <c r="O57" s="58">
        <v>2402</v>
      </c>
      <c r="Q57" s="187" t="s">
        <v>5592</v>
      </c>
    </row>
    <row r="58" spans="1:17">
      <c r="A58" s="187" t="s">
        <v>5436</v>
      </c>
      <c r="B58" s="187" t="s">
        <v>9803</v>
      </c>
      <c r="C58" s="55" t="s">
        <v>11432</v>
      </c>
      <c r="D58" s="189">
        <v>0</v>
      </c>
      <c r="E58" s="189">
        <v>0</v>
      </c>
      <c r="F58" s="189">
        <v>0</v>
      </c>
      <c r="G58" s="58">
        <v>0</v>
      </c>
      <c r="H58" s="58">
        <v>0</v>
      </c>
      <c r="I58" s="58">
        <v>2258</v>
      </c>
      <c r="J58" s="58">
        <v>2242</v>
      </c>
      <c r="K58" s="58">
        <v>2265</v>
      </c>
      <c r="L58" s="58">
        <v>2222</v>
      </c>
      <c r="M58" s="58">
        <v>2193</v>
      </c>
      <c r="N58" s="58">
        <v>2260</v>
      </c>
      <c r="O58" s="58">
        <v>2294</v>
      </c>
      <c r="Q58" s="187" t="s">
        <v>5592</v>
      </c>
    </row>
    <row r="59" spans="1:17">
      <c r="A59" s="196">
        <v>18</v>
      </c>
      <c r="B59" s="187" t="s">
        <v>9811</v>
      </c>
      <c r="C59" s="55" t="s">
        <v>11433</v>
      </c>
      <c r="D59" s="189">
        <v>0</v>
      </c>
      <c r="E59" s="189">
        <v>0</v>
      </c>
      <c r="F59" s="189">
        <v>0</v>
      </c>
      <c r="G59" s="58">
        <v>0</v>
      </c>
      <c r="H59" s="58">
        <v>0</v>
      </c>
      <c r="I59" s="58">
        <v>2563</v>
      </c>
      <c r="J59" s="58">
        <v>2565</v>
      </c>
      <c r="K59" s="58">
        <v>2589</v>
      </c>
      <c r="L59" s="58">
        <v>2574</v>
      </c>
      <c r="M59" s="58">
        <v>2538</v>
      </c>
      <c r="N59" s="58">
        <v>2528</v>
      </c>
      <c r="O59" s="58">
        <v>2565</v>
      </c>
      <c r="Q59" s="187" t="s">
        <v>5592</v>
      </c>
    </row>
    <row r="60" spans="1:17">
      <c r="A60" s="196">
        <v>19</v>
      </c>
      <c r="B60" s="187" t="s">
        <v>3332</v>
      </c>
      <c r="C60" s="55" t="s">
        <v>11434</v>
      </c>
      <c r="D60" s="189">
        <v>0</v>
      </c>
      <c r="E60" s="189">
        <v>0</v>
      </c>
      <c r="F60" s="189">
        <v>0</v>
      </c>
      <c r="G60" s="58">
        <v>0</v>
      </c>
      <c r="H60" s="58">
        <v>0</v>
      </c>
      <c r="I60" s="58">
        <v>2443</v>
      </c>
      <c r="J60" s="58">
        <v>2395</v>
      </c>
      <c r="K60" s="58">
        <v>2402</v>
      </c>
      <c r="L60" s="58">
        <v>2357</v>
      </c>
      <c r="M60" s="58">
        <v>2342</v>
      </c>
      <c r="N60" s="58">
        <v>2388</v>
      </c>
      <c r="O60" s="58">
        <v>2434</v>
      </c>
      <c r="Q60" s="187" t="s">
        <v>5592</v>
      </c>
    </row>
    <row r="61" spans="1:17">
      <c r="A61" s="197">
        <v>20</v>
      </c>
      <c r="B61" s="187" t="s">
        <v>2739</v>
      </c>
      <c r="C61" s="55" t="s">
        <v>11435</v>
      </c>
      <c r="D61" s="189">
        <v>0</v>
      </c>
      <c r="E61" s="189">
        <v>0</v>
      </c>
      <c r="F61" s="189">
        <v>0</v>
      </c>
      <c r="G61" s="58">
        <v>0</v>
      </c>
      <c r="H61" s="58">
        <v>0</v>
      </c>
      <c r="I61" s="58">
        <v>2082</v>
      </c>
      <c r="J61" s="58">
        <v>2058</v>
      </c>
      <c r="K61" s="58">
        <v>2049</v>
      </c>
      <c r="L61" s="58">
        <v>2042</v>
      </c>
      <c r="M61" s="58">
        <v>2165</v>
      </c>
      <c r="N61" s="58">
        <v>2420</v>
      </c>
      <c r="O61" s="58">
        <v>2512</v>
      </c>
      <c r="Q61" s="187" t="s">
        <v>5592</v>
      </c>
    </row>
    <row r="62" spans="1:17">
      <c r="A62" s="197">
        <v>21</v>
      </c>
      <c r="B62" s="187" t="s">
        <v>9810</v>
      </c>
      <c r="C62" s="55" t="s">
        <v>11436</v>
      </c>
      <c r="D62" s="189">
        <v>0</v>
      </c>
      <c r="E62" s="189">
        <v>0</v>
      </c>
      <c r="F62" s="189">
        <v>0</v>
      </c>
      <c r="G62" s="58">
        <v>0</v>
      </c>
      <c r="H62" s="58">
        <v>0</v>
      </c>
      <c r="I62" s="58">
        <v>1396</v>
      </c>
      <c r="J62" s="58">
        <v>1385</v>
      </c>
      <c r="K62" s="58">
        <v>1401</v>
      </c>
      <c r="L62" s="58">
        <v>1423</v>
      </c>
      <c r="M62" s="58">
        <v>1432</v>
      </c>
      <c r="N62" s="58">
        <v>1483</v>
      </c>
      <c r="O62" s="58">
        <v>1515</v>
      </c>
      <c r="Q62" s="187" t="s">
        <v>5592</v>
      </c>
    </row>
    <row r="63" spans="1:17">
      <c r="A63" s="197">
        <v>22</v>
      </c>
      <c r="B63" s="187" t="s">
        <v>9809</v>
      </c>
      <c r="C63" s="55" t="s">
        <v>11437</v>
      </c>
      <c r="D63" s="189">
        <v>0</v>
      </c>
      <c r="E63" s="189">
        <v>0</v>
      </c>
      <c r="F63" s="189">
        <v>0</v>
      </c>
      <c r="G63" s="58">
        <v>0</v>
      </c>
      <c r="H63" s="58">
        <v>0</v>
      </c>
      <c r="I63" s="58">
        <v>2419</v>
      </c>
      <c r="J63" s="58">
        <v>2414</v>
      </c>
      <c r="K63" s="58">
        <v>2416</v>
      </c>
      <c r="L63" s="58">
        <v>2368</v>
      </c>
      <c r="M63" s="58">
        <v>2318</v>
      </c>
      <c r="N63" s="58">
        <v>2362</v>
      </c>
      <c r="O63" s="58">
        <v>2402</v>
      </c>
      <c r="Q63" s="187" t="s">
        <v>5592</v>
      </c>
    </row>
    <row r="64" spans="1:17">
      <c r="A64" s="197">
        <v>23</v>
      </c>
      <c r="B64" s="187" t="s">
        <v>9808</v>
      </c>
      <c r="C64" s="55" t="s">
        <v>11438</v>
      </c>
      <c r="D64" s="189">
        <v>0</v>
      </c>
      <c r="E64" s="189">
        <v>0</v>
      </c>
      <c r="F64" s="189">
        <v>0</v>
      </c>
      <c r="G64" s="58">
        <v>0</v>
      </c>
      <c r="H64" s="58">
        <v>0</v>
      </c>
      <c r="I64" s="58">
        <v>2573</v>
      </c>
      <c r="J64" s="58">
        <v>2507</v>
      </c>
      <c r="K64" s="58">
        <v>2499</v>
      </c>
      <c r="L64" s="58">
        <v>2444</v>
      </c>
      <c r="M64" s="58">
        <v>2392</v>
      </c>
      <c r="N64" s="58">
        <v>2403</v>
      </c>
      <c r="O64" s="58">
        <v>2423</v>
      </c>
      <c r="Q64" s="187" t="s">
        <v>5592</v>
      </c>
    </row>
    <row r="65" spans="1:17">
      <c r="A65" s="187" t="s">
        <v>4431</v>
      </c>
      <c r="B65" s="187" t="s">
        <v>9807</v>
      </c>
      <c r="C65" s="55" t="s">
        <v>11439</v>
      </c>
      <c r="D65" s="189">
        <v>0</v>
      </c>
      <c r="E65" s="189">
        <v>0</v>
      </c>
      <c r="F65" s="189">
        <v>0</v>
      </c>
      <c r="G65" s="58">
        <v>0</v>
      </c>
      <c r="H65" s="58">
        <v>0</v>
      </c>
      <c r="I65" s="58">
        <v>2596</v>
      </c>
      <c r="J65" s="58">
        <v>2563</v>
      </c>
      <c r="K65" s="58">
        <v>2550</v>
      </c>
      <c r="L65" s="58">
        <v>2447</v>
      </c>
      <c r="M65" s="58">
        <v>2414</v>
      </c>
      <c r="N65" s="58">
        <v>2472</v>
      </c>
      <c r="O65" s="58">
        <v>2507</v>
      </c>
      <c r="Q65" s="187" t="s">
        <v>5592</v>
      </c>
    </row>
    <row r="66" spans="1:17">
      <c r="A66" s="187" t="s">
        <v>4432</v>
      </c>
      <c r="B66" s="187" t="s">
        <v>9806</v>
      </c>
      <c r="C66" s="55" t="s">
        <v>11440</v>
      </c>
      <c r="D66" s="189">
        <v>0</v>
      </c>
      <c r="E66" s="189">
        <v>0</v>
      </c>
      <c r="F66" s="189">
        <v>0</v>
      </c>
      <c r="G66" s="58">
        <v>0</v>
      </c>
      <c r="H66" s="58">
        <v>0</v>
      </c>
      <c r="I66" s="58">
        <v>2699</v>
      </c>
      <c r="J66" s="58">
        <v>2671</v>
      </c>
      <c r="K66" s="58">
        <v>2721</v>
      </c>
      <c r="L66" s="58">
        <v>2661</v>
      </c>
      <c r="M66" s="58">
        <v>2612</v>
      </c>
      <c r="N66" s="58">
        <v>2702</v>
      </c>
      <c r="O66" s="58">
        <v>2776</v>
      </c>
      <c r="Q66" s="187" t="s">
        <v>5592</v>
      </c>
    </row>
    <row r="67" spans="1:17">
      <c r="A67" s="187" t="s">
        <v>4434</v>
      </c>
      <c r="B67" s="187" t="s">
        <v>3333</v>
      </c>
      <c r="C67" s="55" t="s">
        <v>11441</v>
      </c>
      <c r="D67" s="189">
        <v>0</v>
      </c>
      <c r="E67" s="189">
        <v>0</v>
      </c>
      <c r="F67" s="189">
        <v>0</v>
      </c>
      <c r="G67" s="58">
        <v>0</v>
      </c>
      <c r="H67" s="58">
        <v>0</v>
      </c>
      <c r="I67" s="58">
        <v>2591</v>
      </c>
      <c r="J67" s="58">
        <v>2530</v>
      </c>
      <c r="K67" s="58">
        <v>2529</v>
      </c>
      <c r="L67" s="58">
        <v>2506</v>
      </c>
      <c r="M67" s="58">
        <v>2474</v>
      </c>
      <c r="N67" s="58">
        <v>2645</v>
      </c>
      <c r="O67" s="58">
        <v>2700</v>
      </c>
      <c r="Q67" s="187" t="s">
        <v>5592</v>
      </c>
    </row>
    <row r="68" spans="1:17">
      <c r="A68" s="187" t="s">
        <v>4533</v>
      </c>
      <c r="B68" s="187" t="s">
        <v>3334</v>
      </c>
      <c r="C68" s="55" t="s">
        <v>11442</v>
      </c>
      <c r="D68" s="189">
        <v>0</v>
      </c>
      <c r="E68" s="189">
        <v>0</v>
      </c>
      <c r="F68" s="189">
        <v>0</v>
      </c>
      <c r="G68" s="58">
        <v>0</v>
      </c>
      <c r="H68" s="58">
        <v>0</v>
      </c>
      <c r="I68" s="58">
        <v>2647</v>
      </c>
      <c r="J68" s="58">
        <v>2635</v>
      </c>
      <c r="K68" s="58">
        <v>2650</v>
      </c>
      <c r="L68" s="58">
        <v>2618</v>
      </c>
      <c r="M68" s="58">
        <v>2573</v>
      </c>
      <c r="N68" s="58">
        <v>2648</v>
      </c>
      <c r="O68" s="58">
        <v>2686</v>
      </c>
      <c r="Q68" s="187" t="s">
        <v>5592</v>
      </c>
    </row>
    <row r="69" spans="1:17">
      <c r="A69" s="187" t="s">
        <v>4535</v>
      </c>
      <c r="B69" s="187" t="s">
        <v>4882</v>
      </c>
      <c r="C69" s="55" t="s">
        <v>11443</v>
      </c>
      <c r="D69" s="189">
        <v>0</v>
      </c>
      <c r="E69" s="189">
        <v>0</v>
      </c>
      <c r="F69" s="189">
        <v>0</v>
      </c>
      <c r="G69" s="58">
        <v>0</v>
      </c>
      <c r="H69" s="58">
        <v>0</v>
      </c>
      <c r="I69" s="58">
        <v>2041</v>
      </c>
      <c r="J69" s="58">
        <v>2209</v>
      </c>
      <c r="K69" s="58">
        <v>2308</v>
      </c>
      <c r="L69" s="58">
        <v>2309</v>
      </c>
      <c r="M69" s="58">
        <v>2325</v>
      </c>
      <c r="N69" s="58">
        <v>2359</v>
      </c>
      <c r="O69" s="58">
        <v>2418</v>
      </c>
      <c r="Q69" s="187" t="s">
        <v>5592</v>
      </c>
    </row>
    <row r="70" spans="1:17">
      <c r="A70" s="187" t="s">
        <v>4537</v>
      </c>
      <c r="B70" s="187" t="s">
        <v>9805</v>
      </c>
      <c r="C70" s="55" t="s">
        <v>11444</v>
      </c>
      <c r="D70" s="189">
        <v>0</v>
      </c>
      <c r="E70" s="189">
        <v>0</v>
      </c>
      <c r="F70" s="189">
        <v>0</v>
      </c>
      <c r="G70" s="58">
        <v>0</v>
      </c>
      <c r="H70" s="58">
        <v>0</v>
      </c>
      <c r="I70" s="58">
        <v>2374</v>
      </c>
      <c r="J70" s="58">
        <v>2344</v>
      </c>
      <c r="K70" s="58">
        <v>2402</v>
      </c>
      <c r="L70" s="58">
        <v>2431</v>
      </c>
      <c r="M70" s="58">
        <v>2494</v>
      </c>
      <c r="N70" s="58">
        <v>2474</v>
      </c>
      <c r="O70" s="58">
        <v>2503</v>
      </c>
      <c r="Q70" s="187" t="s">
        <v>5592</v>
      </c>
    </row>
    <row r="71" spans="1:17">
      <c r="A71" s="187" t="s">
        <v>4539</v>
      </c>
      <c r="B71" s="187" t="s">
        <v>9804</v>
      </c>
      <c r="C71" s="55" t="s">
        <v>11445</v>
      </c>
      <c r="D71" s="189">
        <v>0</v>
      </c>
      <c r="E71" s="189">
        <v>0</v>
      </c>
      <c r="F71" s="189">
        <v>0</v>
      </c>
      <c r="G71" s="58">
        <v>0</v>
      </c>
      <c r="H71" s="58">
        <v>0</v>
      </c>
      <c r="I71" s="58">
        <v>2213</v>
      </c>
      <c r="J71" s="58">
        <v>2139</v>
      </c>
      <c r="K71" s="58">
        <v>2132</v>
      </c>
      <c r="L71" s="58">
        <v>2081</v>
      </c>
      <c r="M71" s="58">
        <v>2179</v>
      </c>
      <c r="N71" s="58">
        <v>2325</v>
      </c>
      <c r="O71" s="58">
        <v>2343</v>
      </c>
      <c r="Q71" s="187" t="s">
        <v>5592</v>
      </c>
    </row>
    <row r="72" spans="1:17">
      <c r="D72" s="189"/>
      <c r="E72" s="189"/>
      <c r="F72" s="189"/>
      <c r="G72" s="189"/>
      <c r="H72" s="189"/>
      <c r="I72" s="189"/>
      <c r="J72" s="189"/>
      <c r="K72" s="189"/>
      <c r="L72" s="189"/>
      <c r="M72" s="189"/>
      <c r="N72" s="189"/>
      <c r="O72" s="189"/>
    </row>
    <row r="73" spans="1:17">
      <c r="A73" s="187" t="s">
        <v>5592</v>
      </c>
      <c r="D73" s="190">
        <f t="shared" ref="D73:I73" si="44">SUM(D42:D71)</f>
        <v>73430</v>
      </c>
      <c r="E73" s="190">
        <f t="shared" si="44"/>
        <v>73279</v>
      </c>
      <c r="F73" s="190">
        <f t="shared" si="44"/>
        <v>73099</v>
      </c>
      <c r="G73" s="190">
        <f t="shared" si="44"/>
        <v>73892</v>
      </c>
      <c r="H73" s="190">
        <f t="shared" si="44"/>
        <v>71548</v>
      </c>
      <c r="I73" s="190">
        <f t="shared" si="44"/>
        <v>72319</v>
      </c>
      <c r="J73" s="190">
        <f t="shared" ref="J73:O73" si="45">SUM(J42:J71)</f>
        <v>72042</v>
      </c>
      <c r="K73" s="190">
        <f t="shared" si="45"/>
        <v>72948</v>
      </c>
      <c r="L73" s="190">
        <f t="shared" si="45"/>
        <v>72206</v>
      </c>
      <c r="M73" s="190">
        <f t="shared" si="45"/>
        <v>71813</v>
      </c>
      <c r="N73" s="190">
        <f t="shared" si="45"/>
        <v>73943</v>
      </c>
      <c r="O73" s="190">
        <f t="shared" si="45"/>
        <v>75305</v>
      </c>
    </row>
    <row r="75" spans="1:17">
      <c r="A75" s="108" t="s">
        <v>9812</v>
      </c>
    </row>
    <row r="76" spans="1:17">
      <c r="A76" s="187"/>
    </row>
    <row r="77" spans="1:17">
      <c r="A77" s="187"/>
    </row>
    <row r="78" spans="1:17">
      <c r="E78" s="51" t="s">
        <v>1526</v>
      </c>
      <c r="F78" s="51"/>
      <c r="G78" s="51"/>
      <c r="H78" s="51"/>
      <c r="I78" s="51"/>
      <c r="J78" s="51"/>
      <c r="K78" s="51"/>
      <c r="L78" s="51"/>
      <c r="M78" s="51"/>
      <c r="N78" s="51"/>
      <c r="O78" s="51"/>
      <c r="P78" s="52"/>
      <c r="Q78" s="54" t="s">
        <v>9479</v>
      </c>
    </row>
    <row r="79" spans="1:17">
      <c r="D79" s="108">
        <v>2010</v>
      </c>
      <c r="E79" s="108">
        <v>2011</v>
      </c>
      <c r="F79" s="108">
        <v>2012</v>
      </c>
      <c r="G79" s="108">
        <v>2013</v>
      </c>
      <c r="H79" s="108">
        <v>2014</v>
      </c>
      <c r="I79" s="108">
        <v>2015</v>
      </c>
      <c r="J79" s="108">
        <v>2016</v>
      </c>
      <c r="K79" s="108">
        <v>2017</v>
      </c>
      <c r="L79" s="108">
        <v>2018</v>
      </c>
      <c r="M79" s="108">
        <v>2019</v>
      </c>
      <c r="N79" s="108">
        <v>2020</v>
      </c>
      <c r="O79" s="924" t="s">
        <v>14823</v>
      </c>
      <c r="Q79" s="54" t="s">
        <v>1527</v>
      </c>
    </row>
    <row r="80" spans="1:17">
      <c r="A80" s="187" t="s">
        <v>6333</v>
      </c>
      <c r="D80" s="190">
        <f t="shared" ref="D80:I80" si="46">SUM(D81:D102)</f>
        <v>58849</v>
      </c>
      <c r="E80" s="190">
        <f t="shared" si="46"/>
        <v>59220</v>
      </c>
      <c r="F80" s="190">
        <f t="shared" si="46"/>
        <v>59261</v>
      </c>
      <c r="G80" s="190">
        <f t="shared" si="46"/>
        <v>59839</v>
      </c>
      <c r="H80" s="190">
        <f t="shared" si="46"/>
        <v>59462</v>
      </c>
      <c r="I80" s="190">
        <f t="shared" si="46"/>
        <v>58717</v>
      </c>
      <c r="J80" s="190">
        <f t="shared" ref="J80:O80" si="47">SUM(J81:J102)</f>
        <v>58606</v>
      </c>
      <c r="K80" s="190">
        <f t="shared" si="47"/>
        <v>59796</v>
      </c>
      <c r="L80" s="190">
        <f t="shared" si="47"/>
        <v>59644</v>
      </c>
      <c r="M80" s="190">
        <f t="shared" si="47"/>
        <v>59537</v>
      </c>
      <c r="N80" s="190">
        <f t="shared" si="47"/>
        <v>60514</v>
      </c>
      <c r="O80" s="190">
        <f t="shared" si="47"/>
        <v>61738</v>
      </c>
    </row>
    <row r="81" spans="1:17">
      <c r="A81" s="187" t="s">
        <v>5387</v>
      </c>
      <c r="B81" s="187" t="s">
        <v>6334</v>
      </c>
      <c r="C81" s="55" t="s">
        <v>7950</v>
      </c>
      <c r="D81" s="189">
        <v>2877</v>
      </c>
      <c r="E81" s="189">
        <v>2927</v>
      </c>
      <c r="F81" s="189">
        <v>2931</v>
      </c>
      <c r="G81" s="56">
        <v>2928</v>
      </c>
      <c r="H81" s="56">
        <v>2933</v>
      </c>
      <c r="I81" s="56">
        <v>2877</v>
      </c>
      <c r="J81" s="56">
        <v>2844</v>
      </c>
      <c r="K81" s="56">
        <v>2841</v>
      </c>
      <c r="L81" s="56">
        <v>2851</v>
      </c>
      <c r="M81" s="56">
        <v>2880</v>
      </c>
      <c r="N81" s="56">
        <v>2949</v>
      </c>
      <c r="O81" s="56">
        <v>2992</v>
      </c>
      <c r="Q81" s="187" t="s">
        <v>5596</v>
      </c>
    </row>
    <row r="82" spans="1:17">
      <c r="A82" s="187" t="s">
        <v>5389</v>
      </c>
      <c r="B82" s="187" t="s">
        <v>6335</v>
      </c>
      <c r="C82" s="55" t="s">
        <v>7951</v>
      </c>
      <c r="D82" s="189">
        <v>1680</v>
      </c>
      <c r="E82" s="189">
        <v>1691</v>
      </c>
      <c r="F82" s="189">
        <v>1696</v>
      </c>
      <c r="G82" s="56">
        <v>1693</v>
      </c>
      <c r="H82" s="56">
        <v>1607</v>
      </c>
      <c r="I82" s="56">
        <v>1619</v>
      </c>
      <c r="J82" s="56">
        <v>1654</v>
      </c>
      <c r="K82" s="56">
        <v>1692</v>
      </c>
      <c r="L82" s="56">
        <v>1676</v>
      </c>
      <c r="M82" s="56">
        <v>1682</v>
      </c>
      <c r="N82" s="56">
        <v>1699</v>
      </c>
      <c r="O82" s="56">
        <v>1738</v>
      </c>
      <c r="Q82" s="187" t="s">
        <v>5596</v>
      </c>
    </row>
    <row r="83" spans="1:17">
      <c r="A83" s="187" t="s">
        <v>5391</v>
      </c>
      <c r="B83" s="187" t="s">
        <v>6684</v>
      </c>
      <c r="C83" s="55" t="s">
        <v>7952</v>
      </c>
      <c r="D83" s="189">
        <v>2740</v>
      </c>
      <c r="E83" s="189">
        <v>2825</v>
      </c>
      <c r="F83" s="189">
        <v>2827</v>
      </c>
      <c r="G83" s="56">
        <v>2840</v>
      </c>
      <c r="H83" s="56">
        <v>2809</v>
      </c>
      <c r="I83" s="56">
        <v>2753</v>
      </c>
      <c r="J83" s="56">
        <v>2782</v>
      </c>
      <c r="K83" s="56">
        <v>2888</v>
      </c>
      <c r="L83" s="56">
        <v>2907</v>
      </c>
      <c r="M83" s="56">
        <v>2916</v>
      </c>
      <c r="N83" s="56">
        <v>3023</v>
      </c>
      <c r="O83" s="56">
        <v>3067</v>
      </c>
      <c r="Q83" s="187" t="s">
        <v>5596</v>
      </c>
    </row>
    <row r="84" spans="1:17">
      <c r="A84" s="187" t="s">
        <v>5393</v>
      </c>
      <c r="B84" s="187" t="s">
        <v>710</v>
      </c>
      <c r="C84" s="55" t="s">
        <v>7953</v>
      </c>
      <c r="D84" s="189">
        <v>4881</v>
      </c>
      <c r="E84" s="189">
        <v>4876</v>
      </c>
      <c r="F84" s="189">
        <v>4877</v>
      </c>
      <c r="G84" s="56">
        <v>4943</v>
      </c>
      <c r="H84" s="56">
        <v>4748</v>
      </c>
      <c r="I84" s="56">
        <v>4666</v>
      </c>
      <c r="J84" s="56">
        <v>4648</v>
      </c>
      <c r="K84" s="56">
        <v>4701</v>
      </c>
      <c r="L84" s="56">
        <v>4625</v>
      </c>
      <c r="M84" s="56">
        <v>4616</v>
      </c>
      <c r="N84" s="56">
        <v>4652</v>
      </c>
      <c r="O84" s="56">
        <v>4742</v>
      </c>
      <c r="Q84" s="187" t="s">
        <v>5596</v>
      </c>
    </row>
    <row r="85" spans="1:17">
      <c r="A85" s="187" t="s">
        <v>5394</v>
      </c>
      <c r="B85" s="187" t="s">
        <v>6336</v>
      </c>
      <c r="C85" s="55" t="s">
        <v>7954</v>
      </c>
      <c r="D85" s="189">
        <v>2729</v>
      </c>
      <c r="E85" s="189">
        <v>2906</v>
      </c>
      <c r="F85" s="189">
        <v>3105</v>
      </c>
      <c r="G85" s="56">
        <v>3294</v>
      </c>
      <c r="H85" s="56">
        <v>3384</v>
      </c>
      <c r="I85" s="56">
        <v>3351</v>
      </c>
      <c r="J85" s="56">
        <v>3330</v>
      </c>
      <c r="K85" s="56">
        <v>3353</v>
      </c>
      <c r="L85" s="56">
        <v>3348</v>
      </c>
      <c r="M85" s="56">
        <v>3325</v>
      </c>
      <c r="N85" s="56">
        <v>3367</v>
      </c>
      <c r="O85" s="56">
        <v>3456</v>
      </c>
      <c r="Q85" s="187" t="s">
        <v>5596</v>
      </c>
    </row>
    <row r="86" spans="1:17">
      <c r="A86" s="187" t="s">
        <v>5416</v>
      </c>
      <c r="B86" s="187" t="s">
        <v>6337</v>
      </c>
      <c r="C86" s="55" t="s">
        <v>7955</v>
      </c>
      <c r="D86" s="189">
        <v>1549</v>
      </c>
      <c r="E86" s="189">
        <v>1534</v>
      </c>
      <c r="F86" s="189">
        <v>1529</v>
      </c>
      <c r="G86" s="56">
        <v>1538</v>
      </c>
      <c r="H86" s="56">
        <v>1455</v>
      </c>
      <c r="I86" s="56">
        <v>1492</v>
      </c>
      <c r="J86" s="56">
        <v>1488</v>
      </c>
      <c r="K86" s="56">
        <v>1522</v>
      </c>
      <c r="L86" s="56">
        <v>1497</v>
      </c>
      <c r="M86" s="56">
        <v>1497</v>
      </c>
      <c r="N86" s="56">
        <v>1531</v>
      </c>
      <c r="O86" s="56">
        <v>1589</v>
      </c>
      <c r="Q86" s="187" t="s">
        <v>5596</v>
      </c>
    </row>
    <row r="87" spans="1:17">
      <c r="A87" s="187" t="s">
        <v>5418</v>
      </c>
      <c r="B87" s="187" t="s">
        <v>6338</v>
      </c>
      <c r="C87" s="55" t="s">
        <v>7956</v>
      </c>
      <c r="D87" s="189">
        <v>3244</v>
      </c>
      <c r="E87" s="189">
        <v>3245</v>
      </c>
      <c r="F87" s="189">
        <v>3227</v>
      </c>
      <c r="G87" s="56">
        <v>3205</v>
      </c>
      <c r="H87" s="56">
        <v>3162</v>
      </c>
      <c r="I87" s="56">
        <v>3123</v>
      </c>
      <c r="J87" s="56">
        <v>3051</v>
      </c>
      <c r="K87" s="56">
        <v>3152</v>
      </c>
      <c r="L87" s="56">
        <v>3396</v>
      </c>
      <c r="M87" s="56">
        <v>3579</v>
      </c>
      <c r="N87" s="56">
        <v>3697</v>
      </c>
      <c r="O87" s="56">
        <v>3783</v>
      </c>
      <c r="Q87" s="187" t="s">
        <v>5596</v>
      </c>
    </row>
    <row r="88" spans="1:17">
      <c r="A88" s="187" t="s">
        <v>5420</v>
      </c>
      <c r="B88" s="187" t="s">
        <v>6339</v>
      </c>
      <c r="C88" s="55" t="s">
        <v>7957</v>
      </c>
      <c r="D88" s="189">
        <v>1807</v>
      </c>
      <c r="E88" s="189">
        <v>1823</v>
      </c>
      <c r="F88" s="189">
        <v>1824</v>
      </c>
      <c r="G88" s="56">
        <v>1845</v>
      </c>
      <c r="H88" s="56">
        <v>1878</v>
      </c>
      <c r="I88" s="56">
        <v>1870</v>
      </c>
      <c r="J88" s="56">
        <v>1846</v>
      </c>
      <c r="K88" s="56">
        <v>1857</v>
      </c>
      <c r="L88" s="56">
        <v>1818</v>
      </c>
      <c r="M88" s="56">
        <v>1838</v>
      </c>
      <c r="N88" s="56">
        <v>1868</v>
      </c>
      <c r="O88" s="56">
        <v>1874</v>
      </c>
      <c r="Q88" s="187" t="s">
        <v>5596</v>
      </c>
    </row>
    <row r="89" spans="1:17">
      <c r="A89" s="187" t="s">
        <v>5422</v>
      </c>
      <c r="B89" s="187" t="s">
        <v>4918</v>
      </c>
      <c r="C89" s="55" t="s">
        <v>7958</v>
      </c>
      <c r="D89" s="189">
        <v>4955</v>
      </c>
      <c r="E89" s="189">
        <v>4958</v>
      </c>
      <c r="F89" s="189">
        <v>5024</v>
      </c>
      <c r="G89" s="56">
        <v>4999</v>
      </c>
      <c r="H89" s="56">
        <v>4997</v>
      </c>
      <c r="I89" s="56">
        <v>4936</v>
      </c>
      <c r="J89" s="56">
        <v>4825</v>
      </c>
      <c r="K89" s="56">
        <v>4956</v>
      </c>
      <c r="L89" s="56">
        <v>4845</v>
      </c>
      <c r="M89" s="56">
        <v>4714</v>
      </c>
      <c r="N89" s="56">
        <v>4758</v>
      </c>
      <c r="O89" s="56">
        <v>4851</v>
      </c>
      <c r="Q89" s="187" t="s">
        <v>5596</v>
      </c>
    </row>
    <row r="90" spans="1:17">
      <c r="A90" s="187" t="s">
        <v>5424</v>
      </c>
      <c r="B90" s="187" t="s">
        <v>3054</v>
      </c>
      <c r="C90" s="55" t="s">
        <v>7959</v>
      </c>
      <c r="D90" s="189">
        <v>1735</v>
      </c>
      <c r="E90" s="189">
        <v>1711</v>
      </c>
      <c r="F90" s="189">
        <v>1727</v>
      </c>
      <c r="G90" s="56">
        <v>1681</v>
      </c>
      <c r="H90" s="56">
        <v>1605</v>
      </c>
      <c r="I90" s="56">
        <v>1652</v>
      </c>
      <c r="J90" s="56">
        <v>1673</v>
      </c>
      <c r="K90" s="56">
        <v>1728</v>
      </c>
      <c r="L90" s="56">
        <v>1724</v>
      </c>
      <c r="M90" s="56">
        <v>1687</v>
      </c>
      <c r="N90" s="56">
        <v>1730</v>
      </c>
      <c r="O90" s="56">
        <v>1758</v>
      </c>
      <c r="Q90" s="187" t="s">
        <v>5596</v>
      </c>
    </row>
    <row r="91" spans="1:17">
      <c r="A91" s="187" t="s">
        <v>5426</v>
      </c>
      <c r="B91" s="187" t="s">
        <v>4919</v>
      </c>
      <c r="C91" s="55" t="s">
        <v>7960</v>
      </c>
      <c r="D91" s="189">
        <v>1432</v>
      </c>
      <c r="E91" s="189">
        <v>1419</v>
      </c>
      <c r="F91" s="189">
        <v>1429</v>
      </c>
      <c r="G91" s="56">
        <v>1422</v>
      </c>
      <c r="H91" s="56">
        <v>1413</v>
      </c>
      <c r="I91" s="56">
        <v>1382</v>
      </c>
      <c r="J91" s="56">
        <v>1411</v>
      </c>
      <c r="K91" s="56">
        <v>1529</v>
      </c>
      <c r="L91" s="56">
        <v>1542</v>
      </c>
      <c r="M91" s="56">
        <v>1549</v>
      </c>
      <c r="N91" s="56">
        <v>1540</v>
      </c>
      <c r="O91" s="56">
        <v>1566</v>
      </c>
      <c r="Q91" s="187" t="s">
        <v>5596</v>
      </c>
    </row>
    <row r="92" spans="1:17">
      <c r="A92" s="187" t="s">
        <v>5428</v>
      </c>
      <c r="B92" s="187" t="s">
        <v>2107</v>
      </c>
      <c r="C92" s="55" t="s">
        <v>7961</v>
      </c>
      <c r="D92" s="189">
        <v>1668</v>
      </c>
      <c r="E92" s="189">
        <v>1680</v>
      </c>
      <c r="F92" s="189">
        <v>1712</v>
      </c>
      <c r="G92" s="56">
        <v>1701</v>
      </c>
      <c r="H92" s="56">
        <v>1701</v>
      </c>
      <c r="I92" s="56">
        <v>1652</v>
      </c>
      <c r="J92" s="56">
        <v>1684</v>
      </c>
      <c r="K92" s="56">
        <v>1708</v>
      </c>
      <c r="L92" s="56">
        <v>1755</v>
      </c>
      <c r="M92" s="56">
        <v>1799</v>
      </c>
      <c r="N92" s="56">
        <v>1845</v>
      </c>
      <c r="O92" s="56">
        <v>1885</v>
      </c>
      <c r="Q92" s="187" t="s">
        <v>5596</v>
      </c>
    </row>
    <row r="93" spans="1:17">
      <c r="A93" s="187" t="s">
        <v>5429</v>
      </c>
      <c r="B93" s="187" t="s">
        <v>4920</v>
      </c>
      <c r="C93" s="55" t="s">
        <v>7962</v>
      </c>
      <c r="D93" s="189">
        <v>4483</v>
      </c>
      <c r="E93" s="189">
        <v>4481</v>
      </c>
      <c r="F93" s="189">
        <v>4421</v>
      </c>
      <c r="G93" s="56">
        <v>4614</v>
      </c>
      <c r="H93" s="56">
        <v>4665</v>
      </c>
      <c r="I93" s="56">
        <v>4468</v>
      </c>
      <c r="J93" s="56">
        <v>4433</v>
      </c>
      <c r="K93" s="56">
        <v>4452</v>
      </c>
      <c r="L93" s="56">
        <v>4328</v>
      </c>
      <c r="M93" s="56">
        <v>4284</v>
      </c>
      <c r="N93" s="56">
        <v>4284</v>
      </c>
      <c r="O93" s="56">
        <v>4356</v>
      </c>
      <c r="Q93" s="187" t="s">
        <v>5596</v>
      </c>
    </row>
    <row r="94" spans="1:17">
      <c r="A94" s="187" t="s">
        <v>5431</v>
      </c>
      <c r="B94" s="187" t="s">
        <v>4921</v>
      </c>
      <c r="C94" s="55" t="s">
        <v>7963</v>
      </c>
      <c r="D94" s="63">
        <v>3130</v>
      </c>
      <c r="E94" s="63">
        <v>3124</v>
      </c>
      <c r="F94" s="63">
        <v>3110</v>
      </c>
      <c r="G94" s="56">
        <v>3166</v>
      </c>
      <c r="H94" s="56">
        <v>3160</v>
      </c>
      <c r="I94" s="56">
        <v>3113</v>
      </c>
      <c r="J94" s="56">
        <v>3058</v>
      </c>
      <c r="K94" s="56">
        <v>3187</v>
      </c>
      <c r="L94" s="56">
        <v>3168</v>
      </c>
      <c r="M94" s="56">
        <v>3191</v>
      </c>
      <c r="N94" s="56">
        <v>3291</v>
      </c>
      <c r="O94" s="56">
        <v>3363</v>
      </c>
      <c r="Q94" s="187" t="s">
        <v>5596</v>
      </c>
    </row>
    <row r="95" spans="1:17">
      <c r="A95" s="187" t="s">
        <v>5433</v>
      </c>
      <c r="B95" s="187" t="s">
        <v>2989</v>
      </c>
      <c r="C95" s="55" t="s">
        <v>7964</v>
      </c>
      <c r="D95" s="2">
        <v>2842</v>
      </c>
      <c r="E95" s="2">
        <v>2965</v>
      </c>
      <c r="F95" s="2">
        <v>2930</v>
      </c>
      <c r="G95" s="56">
        <v>3000</v>
      </c>
      <c r="H95" s="56">
        <v>3019</v>
      </c>
      <c r="I95" s="56">
        <v>3009</v>
      </c>
      <c r="J95" s="56">
        <v>3039</v>
      </c>
      <c r="K95" s="56">
        <v>3113</v>
      </c>
      <c r="L95" s="56">
        <v>3159</v>
      </c>
      <c r="M95" s="56">
        <v>3057</v>
      </c>
      <c r="N95" s="56">
        <v>3120</v>
      </c>
      <c r="O95" s="56">
        <v>3221</v>
      </c>
      <c r="Q95" s="187" t="s">
        <v>5596</v>
      </c>
    </row>
    <row r="96" spans="1:17">
      <c r="A96" s="187" t="s">
        <v>5435</v>
      </c>
      <c r="B96" s="187" t="s">
        <v>4922</v>
      </c>
      <c r="C96" s="55" t="s">
        <v>7965</v>
      </c>
      <c r="D96" s="188">
        <v>1503</v>
      </c>
      <c r="E96" s="188">
        <v>1500</v>
      </c>
      <c r="F96" s="188">
        <v>1505</v>
      </c>
      <c r="G96" s="58">
        <v>1491</v>
      </c>
      <c r="H96" s="58">
        <v>1484</v>
      </c>
      <c r="I96" s="58">
        <v>1467</v>
      </c>
      <c r="J96" s="58">
        <v>1436</v>
      </c>
      <c r="K96" s="58">
        <v>1458</v>
      </c>
      <c r="L96" s="58">
        <v>1476</v>
      </c>
      <c r="M96" s="58">
        <v>1509</v>
      </c>
      <c r="N96" s="58">
        <v>1538</v>
      </c>
      <c r="O96" s="58">
        <v>1554</v>
      </c>
      <c r="Q96" s="187" t="s">
        <v>5596</v>
      </c>
    </row>
    <row r="97" spans="1:17">
      <c r="A97" s="187" t="s">
        <v>5436</v>
      </c>
      <c r="B97" s="187" t="s">
        <v>4923</v>
      </c>
      <c r="C97" s="55" t="s">
        <v>7966</v>
      </c>
      <c r="D97" s="2">
        <v>1523</v>
      </c>
      <c r="E97" s="2">
        <v>1559</v>
      </c>
      <c r="F97" s="2">
        <v>1595</v>
      </c>
      <c r="G97" s="58">
        <v>1550</v>
      </c>
      <c r="H97" s="58">
        <v>1482</v>
      </c>
      <c r="I97" s="58">
        <v>1527</v>
      </c>
      <c r="J97" s="58">
        <v>1544</v>
      </c>
      <c r="K97" s="58">
        <v>1570</v>
      </c>
      <c r="L97" s="58">
        <v>1572</v>
      </c>
      <c r="M97" s="58">
        <v>1595</v>
      </c>
      <c r="N97" s="58">
        <v>1628</v>
      </c>
      <c r="O97" s="58">
        <v>1682</v>
      </c>
      <c r="Q97" s="187" t="s">
        <v>5596</v>
      </c>
    </row>
    <row r="98" spans="1:17">
      <c r="A98" s="187" t="s">
        <v>5437</v>
      </c>
      <c r="B98" s="187" t="s">
        <v>4924</v>
      </c>
      <c r="C98" s="55" t="s">
        <v>7967</v>
      </c>
      <c r="D98" s="189">
        <v>3037</v>
      </c>
      <c r="E98" s="189">
        <v>3022</v>
      </c>
      <c r="F98" s="189">
        <v>3006</v>
      </c>
      <c r="G98" s="58">
        <v>2999</v>
      </c>
      <c r="H98" s="58">
        <v>3070</v>
      </c>
      <c r="I98" s="58">
        <v>2997</v>
      </c>
      <c r="J98" s="58">
        <v>2924</v>
      </c>
      <c r="K98" s="58">
        <v>3004</v>
      </c>
      <c r="L98" s="58">
        <v>2994</v>
      </c>
      <c r="M98" s="58">
        <v>2949</v>
      </c>
      <c r="N98" s="58">
        <v>3000</v>
      </c>
      <c r="O98" s="58">
        <v>3057</v>
      </c>
      <c r="Q98" s="187" t="s">
        <v>5596</v>
      </c>
    </row>
    <row r="99" spans="1:17">
      <c r="A99" s="187" t="s">
        <v>5439</v>
      </c>
      <c r="B99" s="187" t="s">
        <v>4925</v>
      </c>
      <c r="C99" s="55" t="s">
        <v>7968</v>
      </c>
      <c r="D99" s="189">
        <v>3475</v>
      </c>
      <c r="E99" s="189">
        <v>3422</v>
      </c>
      <c r="F99" s="189">
        <v>3447</v>
      </c>
      <c r="G99" s="58">
        <v>3355</v>
      </c>
      <c r="H99" s="58">
        <v>3372</v>
      </c>
      <c r="I99" s="58">
        <v>3338</v>
      </c>
      <c r="J99" s="58">
        <v>3377</v>
      </c>
      <c r="K99" s="58">
        <v>3482</v>
      </c>
      <c r="L99" s="58">
        <v>3418</v>
      </c>
      <c r="M99" s="58">
        <v>3408</v>
      </c>
      <c r="N99" s="58">
        <v>3494</v>
      </c>
      <c r="O99" s="58">
        <v>3552</v>
      </c>
      <c r="Q99" s="187" t="s">
        <v>5596</v>
      </c>
    </row>
    <row r="100" spans="1:17">
      <c r="A100" s="187" t="s">
        <v>5441</v>
      </c>
      <c r="B100" s="76" t="s">
        <v>4926</v>
      </c>
      <c r="C100" s="55" t="s">
        <v>7969</v>
      </c>
      <c r="D100" s="189">
        <v>2660</v>
      </c>
      <c r="E100" s="189">
        <v>2652</v>
      </c>
      <c r="F100" s="189">
        <v>2588</v>
      </c>
      <c r="G100" s="58">
        <v>2673</v>
      </c>
      <c r="H100" s="58">
        <v>2671</v>
      </c>
      <c r="I100" s="58">
        <v>2611</v>
      </c>
      <c r="J100" s="58">
        <v>2630</v>
      </c>
      <c r="K100" s="58">
        <v>2628</v>
      </c>
      <c r="L100" s="58">
        <v>2577</v>
      </c>
      <c r="M100" s="58">
        <v>2563</v>
      </c>
      <c r="N100" s="58">
        <v>2585</v>
      </c>
      <c r="O100" s="58">
        <v>2604</v>
      </c>
      <c r="Q100" s="187" t="s">
        <v>5596</v>
      </c>
    </row>
    <row r="101" spans="1:17">
      <c r="A101" s="187" t="s">
        <v>5886</v>
      </c>
      <c r="B101" s="187" t="s">
        <v>6090</v>
      </c>
      <c r="C101" s="55" t="s">
        <v>7970</v>
      </c>
      <c r="D101" s="189">
        <v>3236</v>
      </c>
      <c r="E101" s="189">
        <v>3240</v>
      </c>
      <c r="F101" s="189">
        <v>3095</v>
      </c>
      <c r="G101" s="58">
        <v>3233</v>
      </c>
      <c r="H101" s="58">
        <v>3260</v>
      </c>
      <c r="I101" s="58">
        <v>3221</v>
      </c>
      <c r="J101" s="58">
        <v>3267</v>
      </c>
      <c r="K101" s="58">
        <v>3269</v>
      </c>
      <c r="L101" s="58">
        <v>3262</v>
      </c>
      <c r="M101" s="58">
        <v>3153</v>
      </c>
      <c r="N101" s="58">
        <v>3168</v>
      </c>
      <c r="O101" s="58">
        <v>3261</v>
      </c>
      <c r="Q101" s="187" t="s">
        <v>5596</v>
      </c>
    </row>
    <row r="102" spans="1:17">
      <c r="A102" s="187" t="s">
        <v>5888</v>
      </c>
      <c r="B102" s="187" t="s">
        <v>4927</v>
      </c>
      <c r="C102" s="55" t="s">
        <v>7971</v>
      </c>
      <c r="D102" s="2">
        <v>1663</v>
      </c>
      <c r="E102" s="2">
        <v>1660</v>
      </c>
      <c r="F102" s="2">
        <v>1656</v>
      </c>
      <c r="G102" s="58">
        <v>1669</v>
      </c>
      <c r="H102" s="58">
        <v>1587</v>
      </c>
      <c r="I102" s="58">
        <v>1593</v>
      </c>
      <c r="J102" s="58">
        <v>1662</v>
      </c>
      <c r="K102" s="58">
        <v>1706</v>
      </c>
      <c r="L102" s="58">
        <v>1706</v>
      </c>
      <c r="M102" s="58">
        <v>1746</v>
      </c>
      <c r="N102" s="58">
        <v>1747</v>
      </c>
      <c r="O102" s="58">
        <v>1787</v>
      </c>
      <c r="Q102" s="187" t="s">
        <v>5596</v>
      </c>
    </row>
    <row r="103" spans="1:17">
      <c r="A103" s="187"/>
      <c r="B103" s="187"/>
      <c r="D103" s="189"/>
      <c r="E103" s="189"/>
      <c r="F103" s="189"/>
      <c r="G103" s="189"/>
      <c r="H103" s="189"/>
      <c r="I103" s="189"/>
      <c r="J103" s="189"/>
      <c r="K103" s="189"/>
      <c r="L103" s="189"/>
      <c r="M103" s="189"/>
      <c r="N103" s="189"/>
      <c r="O103" s="189"/>
      <c r="Q103" s="187"/>
    </row>
    <row r="104" spans="1:17">
      <c r="A104" s="187" t="s">
        <v>4928</v>
      </c>
      <c r="D104" s="190">
        <f t="shared" ref="D104:I104" si="48">SUM(D81:D102)</f>
        <v>58849</v>
      </c>
      <c r="E104" s="190">
        <f t="shared" si="48"/>
        <v>59220</v>
      </c>
      <c r="F104" s="190">
        <f t="shared" si="48"/>
        <v>59261</v>
      </c>
      <c r="G104" s="190">
        <f t="shared" si="48"/>
        <v>59839</v>
      </c>
      <c r="H104" s="190">
        <f t="shared" si="48"/>
        <v>59462</v>
      </c>
      <c r="I104" s="190">
        <f t="shared" si="48"/>
        <v>58717</v>
      </c>
      <c r="J104" s="190">
        <f t="shared" ref="J104:O104" si="49">SUM(J81:J102)</f>
        <v>58606</v>
      </c>
      <c r="K104" s="190">
        <f t="shared" si="49"/>
        <v>59796</v>
      </c>
      <c r="L104" s="190">
        <f t="shared" si="49"/>
        <v>59644</v>
      </c>
      <c r="M104" s="190">
        <f t="shared" si="49"/>
        <v>59537</v>
      </c>
      <c r="N104" s="190">
        <f t="shared" si="49"/>
        <v>60514</v>
      </c>
      <c r="O104" s="190">
        <f t="shared" si="49"/>
        <v>61738</v>
      </c>
    </row>
    <row r="106" spans="1:17">
      <c r="A106" s="193" t="s">
        <v>4929</v>
      </c>
    </row>
    <row r="107" spans="1:17">
      <c r="A107" s="193"/>
    </row>
    <row r="108" spans="1:17">
      <c r="A108" s="193"/>
    </row>
    <row r="109" spans="1:17">
      <c r="E109" s="51" t="s">
        <v>1526</v>
      </c>
      <c r="F109" s="51"/>
      <c r="G109" s="51"/>
      <c r="H109" s="51"/>
      <c r="I109" s="51"/>
      <c r="J109" s="51"/>
      <c r="K109" s="51"/>
      <c r="L109" s="51"/>
      <c r="M109" s="51"/>
      <c r="N109" s="51"/>
      <c r="O109" s="51"/>
      <c r="P109" s="52"/>
      <c r="Q109" s="54" t="s">
        <v>9479</v>
      </c>
    </row>
    <row r="110" spans="1:17">
      <c r="A110" s="193"/>
      <c r="D110" s="108">
        <v>2010</v>
      </c>
      <c r="E110" s="108">
        <v>2011</v>
      </c>
      <c r="F110" s="108">
        <v>2012</v>
      </c>
      <c r="G110" s="108">
        <v>2013</v>
      </c>
      <c r="H110" s="108">
        <v>2014</v>
      </c>
      <c r="I110" s="108">
        <v>2015</v>
      </c>
      <c r="J110" s="108">
        <v>2016</v>
      </c>
      <c r="K110" s="108">
        <v>2017</v>
      </c>
      <c r="L110" s="108">
        <v>2018</v>
      </c>
      <c r="M110" s="108">
        <v>2019</v>
      </c>
      <c r="N110" s="108">
        <v>2020</v>
      </c>
      <c r="O110" s="924" t="s">
        <v>14823</v>
      </c>
      <c r="Q110" s="54" t="s">
        <v>1527</v>
      </c>
    </row>
    <row r="111" spans="1:17">
      <c r="A111" s="187" t="s">
        <v>4930</v>
      </c>
      <c r="D111" s="190">
        <f t="shared" ref="D111:I111" si="50">SUM(D112:D123)</f>
        <v>62522</v>
      </c>
      <c r="E111" s="190">
        <f t="shared" si="50"/>
        <v>61937</v>
      </c>
      <c r="F111" s="190">
        <f t="shared" si="50"/>
        <v>61986</v>
      </c>
      <c r="G111" s="190">
        <f t="shared" si="50"/>
        <v>62189</v>
      </c>
      <c r="H111" s="190">
        <f t="shared" si="50"/>
        <v>60349</v>
      </c>
      <c r="I111" s="190">
        <f t="shared" si="50"/>
        <v>60417</v>
      </c>
      <c r="J111" s="190">
        <f t="shared" ref="J111:O111" si="51">SUM(J112:J123)</f>
        <v>59495</v>
      </c>
      <c r="K111" s="190">
        <f t="shared" si="51"/>
        <v>59938</v>
      </c>
      <c r="L111" s="190">
        <f t="shared" si="51"/>
        <v>58564</v>
      </c>
      <c r="M111" s="190">
        <f t="shared" si="51"/>
        <v>58045</v>
      </c>
      <c r="N111" s="190">
        <f t="shared" si="51"/>
        <v>59599</v>
      </c>
      <c r="O111" s="190">
        <f t="shared" si="51"/>
        <v>60565</v>
      </c>
    </row>
    <row r="112" spans="1:17">
      <c r="A112" s="187" t="s">
        <v>5387</v>
      </c>
      <c r="B112" s="187" t="s">
        <v>6402</v>
      </c>
      <c r="C112" s="55" t="s">
        <v>7972</v>
      </c>
      <c r="D112" s="189">
        <v>4242</v>
      </c>
      <c r="E112" s="189">
        <v>4345</v>
      </c>
      <c r="F112" s="189">
        <v>4490</v>
      </c>
      <c r="G112" s="56">
        <v>4519</v>
      </c>
      <c r="H112" s="56">
        <v>4372</v>
      </c>
      <c r="I112" s="56">
        <v>4380</v>
      </c>
      <c r="J112" s="56">
        <v>4213</v>
      </c>
      <c r="K112" s="56">
        <v>4262</v>
      </c>
      <c r="L112" s="56">
        <v>4166</v>
      </c>
      <c r="M112" s="56">
        <v>4167</v>
      </c>
      <c r="N112" s="56">
        <v>4338</v>
      </c>
      <c r="O112" s="56">
        <v>4470</v>
      </c>
      <c r="Q112" s="187" t="s">
        <v>5595</v>
      </c>
    </row>
    <row r="113" spans="1:17">
      <c r="A113" s="187" t="s">
        <v>5389</v>
      </c>
      <c r="B113" s="187" t="s">
        <v>4931</v>
      </c>
      <c r="C113" s="55" t="s">
        <v>7973</v>
      </c>
      <c r="D113" s="189">
        <v>4710</v>
      </c>
      <c r="E113" s="189">
        <v>4699</v>
      </c>
      <c r="F113" s="189">
        <v>4767</v>
      </c>
      <c r="G113" s="56">
        <v>4750</v>
      </c>
      <c r="H113" s="56">
        <v>4679</v>
      </c>
      <c r="I113" s="56">
        <v>4636</v>
      </c>
      <c r="J113" s="56">
        <v>4596</v>
      </c>
      <c r="K113" s="56">
        <v>4678</v>
      </c>
      <c r="L113" s="56">
        <v>4650</v>
      </c>
      <c r="M113" s="56">
        <v>4581</v>
      </c>
      <c r="N113" s="56">
        <v>4669</v>
      </c>
      <c r="O113" s="56">
        <v>4761</v>
      </c>
      <c r="Q113" s="187" t="s">
        <v>5595</v>
      </c>
    </row>
    <row r="114" spans="1:17">
      <c r="A114" s="187" t="s">
        <v>5391</v>
      </c>
      <c r="B114" s="187" t="s">
        <v>8893</v>
      </c>
      <c r="C114" s="55" t="s">
        <v>7974</v>
      </c>
      <c r="D114" s="189">
        <v>5842</v>
      </c>
      <c r="E114" s="189">
        <v>5643</v>
      </c>
      <c r="F114" s="189">
        <v>5636</v>
      </c>
      <c r="G114" s="56">
        <v>5662</v>
      </c>
      <c r="H114" s="56">
        <v>5525</v>
      </c>
      <c r="I114" s="56">
        <v>5670</v>
      </c>
      <c r="J114" s="56">
        <v>5677</v>
      </c>
      <c r="K114" s="56">
        <v>5788</v>
      </c>
      <c r="L114" s="56">
        <v>5674</v>
      </c>
      <c r="M114" s="56">
        <v>5698</v>
      </c>
      <c r="N114" s="56">
        <v>5916</v>
      </c>
      <c r="O114" s="56">
        <v>6042</v>
      </c>
      <c r="Q114" s="187" t="s">
        <v>5595</v>
      </c>
    </row>
    <row r="115" spans="1:17">
      <c r="A115" s="187" t="s">
        <v>5393</v>
      </c>
      <c r="B115" s="187" t="s">
        <v>6024</v>
      </c>
      <c r="C115" s="55" t="s">
        <v>7975</v>
      </c>
      <c r="D115" s="189">
        <v>4447</v>
      </c>
      <c r="E115" s="189">
        <v>4409</v>
      </c>
      <c r="F115" s="189">
        <v>4352</v>
      </c>
      <c r="G115" s="56">
        <v>4376</v>
      </c>
      <c r="H115" s="56">
        <v>4131</v>
      </c>
      <c r="I115" s="56">
        <v>4143</v>
      </c>
      <c r="J115" s="56">
        <v>4015</v>
      </c>
      <c r="K115" s="56">
        <v>3976</v>
      </c>
      <c r="L115" s="56">
        <v>3919</v>
      </c>
      <c r="M115" s="56">
        <v>3901</v>
      </c>
      <c r="N115" s="56">
        <v>4008</v>
      </c>
      <c r="O115" s="56">
        <v>4065</v>
      </c>
      <c r="Q115" s="187" t="s">
        <v>5595</v>
      </c>
    </row>
    <row r="116" spans="1:17">
      <c r="A116" s="187" t="s">
        <v>5394</v>
      </c>
      <c r="B116" s="187" t="s">
        <v>3367</v>
      </c>
      <c r="C116" s="55" t="s">
        <v>7976</v>
      </c>
      <c r="D116" s="189">
        <v>6084</v>
      </c>
      <c r="E116" s="189">
        <v>6019</v>
      </c>
      <c r="F116" s="189">
        <v>5991</v>
      </c>
      <c r="G116" s="56">
        <v>5968</v>
      </c>
      <c r="H116" s="56">
        <v>5876</v>
      </c>
      <c r="I116" s="56">
        <v>5804</v>
      </c>
      <c r="J116" s="56">
        <v>5654</v>
      </c>
      <c r="K116" s="56">
        <v>5685</v>
      </c>
      <c r="L116" s="56">
        <v>5416</v>
      </c>
      <c r="M116" s="56">
        <v>5242</v>
      </c>
      <c r="N116" s="56">
        <v>5448</v>
      </c>
      <c r="O116" s="56">
        <v>5477</v>
      </c>
      <c r="Q116" s="187" t="s">
        <v>5595</v>
      </c>
    </row>
    <row r="117" spans="1:17">
      <c r="A117" s="187" t="s">
        <v>5416</v>
      </c>
      <c r="B117" s="187" t="s">
        <v>3368</v>
      </c>
      <c r="C117" s="55" t="s">
        <v>7977</v>
      </c>
      <c r="D117" s="189">
        <v>4587</v>
      </c>
      <c r="E117" s="189">
        <v>4550</v>
      </c>
      <c r="F117" s="189">
        <v>4654</v>
      </c>
      <c r="G117" s="56">
        <v>4615</v>
      </c>
      <c r="H117" s="56">
        <v>4451</v>
      </c>
      <c r="I117" s="56">
        <v>4447</v>
      </c>
      <c r="J117" s="56">
        <v>4431</v>
      </c>
      <c r="K117" s="56">
        <v>4501</v>
      </c>
      <c r="L117" s="56">
        <v>4410</v>
      </c>
      <c r="M117" s="56">
        <v>4330</v>
      </c>
      <c r="N117" s="56">
        <v>4402</v>
      </c>
      <c r="O117" s="56">
        <v>4458</v>
      </c>
      <c r="Q117" s="187" t="s">
        <v>5595</v>
      </c>
    </row>
    <row r="118" spans="1:17">
      <c r="A118" s="187" t="s">
        <v>5418</v>
      </c>
      <c r="B118" s="187" t="s">
        <v>733</v>
      </c>
      <c r="C118" s="55" t="s">
        <v>7978</v>
      </c>
      <c r="D118" s="189">
        <v>6265</v>
      </c>
      <c r="E118" s="189">
        <v>6225</v>
      </c>
      <c r="F118" s="189">
        <v>6200</v>
      </c>
      <c r="G118" s="56">
        <v>6181</v>
      </c>
      <c r="H118" s="56">
        <v>6065</v>
      </c>
      <c r="I118" s="56">
        <v>6026</v>
      </c>
      <c r="J118" s="56">
        <v>5970</v>
      </c>
      <c r="K118" s="56">
        <v>6092</v>
      </c>
      <c r="L118" s="56">
        <v>6123</v>
      </c>
      <c r="M118" s="56">
        <v>6077</v>
      </c>
      <c r="N118" s="56">
        <v>6289</v>
      </c>
      <c r="O118" s="56">
        <v>6375</v>
      </c>
      <c r="Q118" s="187" t="s">
        <v>5595</v>
      </c>
    </row>
    <row r="119" spans="1:17">
      <c r="A119" s="187" t="s">
        <v>5420</v>
      </c>
      <c r="B119" s="187" t="s">
        <v>3369</v>
      </c>
      <c r="C119" s="55" t="s">
        <v>7979</v>
      </c>
      <c r="D119" s="189">
        <v>6852</v>
      </c>
      <c r="E119" s="189">
        <v>6782</v>
      </c>
      <c r="F119" s="189">
        <v>6783</v>
      </c>
      <c r="G119" s="56">
        <v>6853</v>
      </c>
      <c r="H119" s="56">
        <v>6676</v>
      </c>
      <c r="I119" s="56">
        <v>6682</v>
      </c>
      <c r="J119" s="56">
        <v>6588</v>
      </c>
      <c r="K119" s="56">
        <v>6557</v>
      </c>
      <c r="L119" s="56">
        <v>6370</v>
      </c>
      <c r="M119" s="56">
        <v>6327</v>
      </c>
      <c r="N119" s="56">
        <v>6368</v>
      </c>
      <c r="O119" s="56">
        <v>6451</v>
      </c>
      <c r="Q119" s="187" t="s">
        <v>5595</v>
      </c>
    </row>
    <row r="120" spans="1:17">
      <c r="A120" s="187" t="s">
        <v>5422</v>
      </c>
      <c r="B120" s="187" t="s">
        <v>4786</v>
      </c>
      <c r="C120" s="55" t="s">
        <v>7980</v>
      </c>
      <c r="D120" s="189">
        <v>3919</v>
      </c>
      <c r="E120" s="189">
        <v>3831</v>
      </c>
      <c r="F120" s="189">
        <v>3848</v>
      </c>
      <c r="G120" s="56">
        <v>3955</v>
      </c>
      <c r="H120" s="56">
        <v>3556</v>
      </c>
      <c r="I120" s="56">
        <v>3652</v>
      </c>
      <c r="J120" s="56">
        <v>3633</v>
      </c>
      <c r="K120" s="56">
        <v>3646</v>
      </c>
      <c r="L120" s="56">
        <v>3494</v>
      </c>
      <c r="M120" s="56">
        <v>3482</v>
      </c>
      <c r="N120" s="56">
        <v>3526</v>
      </c>
      <c r="O120" s="56">
        <v>3564</v>
      </c>
      <c r="Q120" s="187" t="s">
        <v>5595</v>
      </c>
    </row>
    <row r="121" spans="1:17">
      <c r="A121" s="187" t="s">
        <v>5424</v>
      </c>
      <c r="B121" s="187" t="s">
        <v>3370</v>
      </c>
      <c r="C121" s="55" t="s">
        <v>7981</v>
      </c>
      <c r="D121" s="189">
        <v>4559</v>
      </c>
      <c r="E121" s="189">
        <v>4493</v>
      </c>
      <c r="F121" s="189">
        <v>4456</v>
      </c>
      <c r="G121" s="56">
        <v>4432</v>
      </c>
      <c r="H121" s="56">
        <v>4390</v>
      </c>
      <c r="I121" s="56">
        <v>4414</v>
      </c>
      <c r="J121" s="56">
        <v>4338</v>
      </c>
      <c r="K121" s="56">
        <v>4359</v>
      </c>
      <c r="L121" s="56">
        <v>4232</v>
      </c>
      <c r="M121" s="56">
        <v>4121</v>
      </c>
      <c r="N121" s="56">
        <v>4209</v>
      </c>
      <c r="O121" s="56">
        <v>4286</v>
      </c>
      <c r="Q121" s="187" t="s">
        <v>5595</v>
      </c>
    </row>
    <row r="122" spans="1:17">
      <c r="A122" s="187" t="s">
        <v>5426</v>
      </c>
      <c r="B122" s="187" t="s">
        <v>6090</v>
      </c>
      <c r="C122" s="55" t="s">
        <v>7982</v>
      </c>
      <c r="D122" s="189">
        <v>4495</v>
      </c>
      <c r="E122" s="189">
        <v>4557</v>
      </c>
      <c r="F122" s="189">
        <v>4527</v>
      </c>
      <c r="G122" s="56">
        <v>4561</v>
      </c>
      <c r="H122" s="56">
        <v>4470</v>
      </c>
      <c r="I122" s="56">
        <v>4431</v>
      </c>
      <c r="J122" s="56">
        <v>4360</v>
      </c>
      <c r="K122" s="56">
        <v>4430</v>
      </c>
      <c r="L122" s="56">
        <v>4322</v>
      </c>
      <c r="M122" s="56">
        <v>4414</v>
      </c>
      <c r="N122" s="56">
        <v>4691</v>
      </c>
      <c r="O122" s="56">
        <v>4803</v>
      </c>
      <c r="Q122" s="187" t="s">
        <v>5595</v>
      </c>
    </row>
    <row r="123" spans="1:17">
      <c r="A123" s="197">
        <v>12</v>
      </c>
      <c r="B123" s="187" t="s">
        <v>3371</v>
      </c>
      <c r="C123" s="55" t="s">
        <v>7983</v>
      </c>
      <c r="D123" s="189">
        <v>6520</v>
      </c>
      <c r="E123" s="189">
        <v>6384</v>
      </c>
      <c r="F123" s="189">
        <v>6282</v>
      </c>
      <c r="G123" s="56">
        <v>6317</v>
      </c>
      <c r="H123" s="56">
        <v>6158</v>
      </c>
      <c r="I123" s="56">
        <v>6132</v>
      </c>
      <c r="J123" s="56">
        <v>6020</v>
      </c>
      <c r="K123" s="56">
        <v>5964</v>
      </c>
      <c r="L123" s="56">
        <v>5788</v>
      </c>
      <c r="M123" s="56">
        <v>5705</v>
      </c>
      <c r="N123" s="56">
        <v>5735</v>
      </c>
      <c r="O123" s="56">
        <v>5813</v>
      </c>
      <c r="Q123" s="187" t="s">
        <v>5595</v>
      </c>
    </row>
    <row r="124" spans="1:17">
      <c r="D124" s="189"/>
      <c r="E124" s="189"/>
      <c r="F124" s="189"/>
      <c r="G124" s="189"/>
      <c r="H124" s="189"/>
      <c r="I124" s="189"/>
      <c r="J124" s="189"/>
      <c r="K124" s="189"/>
      <c r="L124" s="189"/>
      <c r="M124" s="189"/>
      <c r="N124" s="189"/>
      <c r="O124" s="189"/>
    </row>
    <row r="125" spans="1:17">
      <c r="A125" s="187" t="s">
        <v>3372</v>
      </c>
      <c r="D125" s="190">
        <f t="shared" ref="D125:I125" si="52">SUM(D112:D123)</f>
        <v>62522</v>
      </c>
      <c r="E125" s="190">
        <f t="shared" si="52"/>
        <v>61937</v>
      </c>
      <c r="F125" s="190">
        <f t="shared" si="52"/>
        <v>61986</v>
      </c>
      <c r="G125" s="190">
        <f t="shared" si="52"/>
        <v>62189</v>
      </c>
      <c r="H125" s="190">
        <f t="shared" si="52"/>
        <v>60349</v>
      </c>
      <c r="I125" s="190">
        <f t="shared" si="52"/>
        <v>60417</v>
      </c>
      <c r="J125" s="190">
        <f t="shared" ref="J125:O125" si="53">SUM(J112:J123)</f>
        <v>59495</v>
      </c>
      <c r="K125" s="190">
        <f t="shared" si="53"/>
        <v>59938</v>
      </c>
      <c r="L125" s="190">
        <f t="shared" si="53"/>
        <v>58564</v>
      </c>
      <c r="M125" s="190">
        <f t="shared" si="53"/>
        <v>58045</v>
      </c>
      <c r="N125" s="190">
        <f t="shared" si="53"/>
        <v>59599</v>
      </c>
      <c r="O125" s="190">
        <f t="shared" si="53"/>
        <v>60565</v>
      </c>
    </row>
    <row r="126" spans="1:17">
      <c r="A126" s="187"/>
      <c r="B126" s="187"/>
      <c r="D126" s="198"/>
      <c r="E126" s="198"/>
      <c r="F126" s="198"/>
      <c r="G126" s="198"/>
      <c r="H126" s="198"/>
      <c r="I126" s="198"/>
      <c r="J126" s="198"/>
      <c r="K126" s="198"/>
      <c r="L126" s="198"/>
      <c r="M126" s="198"/>
      <c r="N126" s="198"/>
      <c r="O126" s="198"/>
    </row>
    <row r="127" spans="1:17">
      <c r="A127" s="187" t="s">
        <v>3373</v>
      </c>
      <c r="B127" s="187"/>
      <c r="D127" s="198"/>
      <c r="E127" s="198"/>
      <c r="F127" s="198"/>
      <c r="G127" s="198"/>
      <c r="H127" s="198"/>
      <c r="I127" s="198"/>
      <c r="J127" s="198"/>
      <c r="K127" s="198"/>
      <c r="L127" s="198"/>
      <c r="M127" s="198"/>
      <c r="N127" s="198"/>
      <c r="O127" s="198"/>
    </row>
    <row r="128" spans="1:17">
      <c r="A128" s="187"/>
      <c r="B128" s="187"/>
      <c r="D128" s="198"/>
      <c r="E128" s="198"/>
      <c r="F128" s="198"/>
      <c r="G128" s="198"/>
      <c r="H128" s="198"/>
      <c r="I128" s="198"/>
      <c r="J128" s="198"/>
      <c r="K128" s="198"/>
      <c r="L128" s="198"/>
      <c r="M128" s="198"/>
      <c r="N128" s="198"/>
      <c r="O128" s="198"/>
    </row>
    <row r="129" spans="1:17">
      <c r="A129" s="187"/>
      <c r="B129" s="187"/>
      <c r="D129" s="198"/>
      <c r="E129" s="198"/>
      <c r="F129" s="198"/>
      <c r="G129" s="198"/>
      <c r="H129" s="198"/>
      <c r="I129" s="198"/>
      <c r="J129" s="198"/>
      <c r="K129" s="198"/>
      <c r="L129" s="198"/>
      <c r="M129" s="198"/>
      <c r="N129" s="198"/>
      <c r="O129" s="198"/>
    </row>
    <row r="130" spans="1:17">
      <c r="E130" s="51" t="s">
        <v>1526</v>
      </c>
      <c r="F130" s="51"/>
      <c r="G130" s="51"/>
      <c r="H130" s="51"/>
      <c r="I130" s="51"/>
      <c r="J130" s="51"/>
      <c r="K130" s="51"/>
      <c r="L130" s="51"/>
      <c r="M130" s="51"/>
      <c r="N130" s="51"/>
      <c r="O130" s="51"/>
      <c r="P130" s="52"/>
      <c r="Q130" s="54" t="s">
        <v>9479</v>
      </c>
    </row>
    <row r="131" spans="1:17">
      <c r="A131" s="76"/>
      <c r="B131" s="76"/>
      <c r="D131" s="108">
        <v>2010</v>
      </c>
      <c r="E131" s="108">
        <v>2011</v>
      </c>
      <c r="F131" s="108">
        <v>2012</v>
      </c>
      <c r="G131" s="108">
        <v>2013</v>
      </c>
      <c r="H131" s="108">
        <v>2014</v>
      </c>
      <c r="I131" s="108">
        <v>2015</v>
      </c>
      <c r="J131" s="108">
        <v>2016</v>
      </c>
      <c r="K131" s="108">
        <v>2017</v>
      </c>
      <c r="L131" s="108">
        <v>2018</v>
      </c>
      <c r="M131" s="108">
        <v>2019</v>
      </c>
      <c r="N131" s="108">
        <v>2020</v>
      </c>
      <c r="O131" s="924" t="s">
        <v>14823</v>
      </c>
      <c r="Q131" s="54" t="s">
        <v>1527</v>
      </c>
    </row>
    <row r="132" spans="1:17">
      <c r="A132" s="187" t="s">
        <v>3374</v>
      </c>
      <c r="D132" s="190">
        <f t="shared" ref="D132:I132" si="54">SUM(D133:D147)</f>
        <v>72965</v>
      </c>
      <c r="E132" s="190">
        <f t="shared" si="54"/>
        <v>73960</v>
      </c>
      <c r="F132" s="190">
        <f t="shared" si="54"/>
        <v>74513</v>
      </c>
      <c r="G132" s="190">
        <f t="shared" si="54"/>
        <v>73837</v>
      </c>
      <c r="H132" s="190">
        <f t="shared" si="54"/>
        <v>72165</v>
      </c>
      <c r="I132" s="190">
        <f t="shared" si="54"/>
        <v>71580</v>
      </c>
      <c r="J132" s="190">
        <f t="shared" ref="J132:O132" si="55">SUM(J133:J147)</f>
        <v>70542</v>
      </c>
      <c r="K132" s="190">
        <f t="shared" si="55"/>
        <v>72543</v>
      </c>
      <c r="L132" s="190">
        <f t="shared" si="55"/>
        <v>72702</v>
      </c>
      <c r="M132" s="190">
        <f t="shared" si="55"/>
        <v>73889</v>
      </c>
      <c r="N132" s="190">
        <f t="shared" si="55"/>
        <v>73930</v>
      </c>
      <c r="O132" s="190">
        <f t="shared" si="55"/>
        <v>73928</v>
      </c>
    </row>
    <row r="133" spans="1:17">
      <c r="A133" s="187" t="s">
        <v>5387</v>
      </c>
      <c r="B133" s="187" t="s">
        <v>2509</v>
      </c>
      <c r="C133" s="55" t="s">
        <v>7984</v>
      </c>
      <c r="D133" s="189">
        <v>4423</v>
      </c>
      <c r="E133" s="189">
        <v>4537</v>
      </c>
      <c r="F133" s="189">
        <v>4565</v>
      </c>
      <c r="G133" s="56">
        <v>4568</v>
      </c>
      <c r="H133" s="56">
        <v>4190</v>
      </c>
      <c r="I133" s="56">
        <v>4228</v>
      </c>
      <c r="J133" s="56">
        <v>4141</v>
      </c>
      <c r="K133" s="56">
        <v>4339</v>
      </c>
      <c r="L133" s="56">
        <v>4396</v>
      </c>
      <c r="M133" s="56">
        <v>4466</v>
      </c>
      <c r="N133" s="56">
        <v>4445</v>
      </c>
      <c r="O133" s="56">
        <v>4432</v>
      </c>
      <c r="Q133" s="187" t="s">
        <v>5597</v>
      </c>
    </row>
    <row r="134" spans="1:17">
      <c r="A134" s="187" t="s">
        <v>5389</v>
      </c>
      <c r="B134" s="187" t="s">
        <v>3375</v>
      </c>
      <c r="C134" s="55" t="s">
        <v>7985</v>
      </c>
      <c r="D134" s="189">
        <v>4144</v>
      </c>
      <c r="E134" s="189">
        <v>4139</v>
      </c>
      <c r="F134" s="189">
        <v>4123</v>
      </c>
      <c r="G134" s="56">
        <v>4159</v>
      </c>
      <c r="H134" s="56">
        <v>3997</v>
      </c>
      <c r="I134" s="56">
        <v>3983</v>
      </c>
      <c r="J134" s="56">
        <v>3914</v>
      </c>
      <c r="K134" s="56">
        <v>4042</v>
      </c>
      <c r="L134" s="56">
        <v>3984</v>
      </c>
      <c r="M134" s="56">
        <v>4082</v>
      </c>
      <c r="N134" s="56">
        <v>4092</v>
      </c>
      <c r="O134" s="56">
        <v>4085</v>
      </c>
      <c r="Q134" s="187" t="s">
        <v>5597</v>
      </c>
    </row>
    <row r="135" spans="1:17">
      <c r="A135" s="187" t="s">
        <v>5391</v>
      </c>
      <c r="B135" s="187" t="s">
        <v>6341</v>
      </c>
      <c r="C135" s="55" t="s">
        <v>7986</v>
      </c>
      <c r="D135" s="189">
        <v>6318</v>
      </c>
      <c r="E135" s="189">
        <v>6337</v>
      </c>
      <c r="F135" s="189">
        <v>6370</v>
      </c>
      <c r="G135" s="56">
        <v>6474</v>
      </c>
      <c r="H135" s="56">
        <v>6342</v>
      </c>
      <c r="I135" s="56">
        <v>6348</v>
      </c>
      <c r="J135" s="56">
        <v>6304</v>
      </c>
      <c r="K135" s="56">
        <v>6547</v>
      </c>
      <c r="L135" s="56">
        <v>6582</v>
      </c>
      <c r="M135" s="56">
        <v>6615</v>
      </c>
      <c r="N135" s="56">
        <v>6621</v>
      </c>
      <c r="O135" s="56">
        <v>6638</v>
      </c>
      <c r="Q135" s="187" t="s">
        <v>5597</v>
      </c>
    </row>
    <row r="136" spans="1:17">
      <c r="A136" s="187" t="s">
        <v>5393</v>
      </c>
      <c r="B136" s="187" t="s">
        <v>6342</v>
      </c>
      <c r="C136" s="55" t="s">
        <v>7987</v>
      </c>
      <c r="D136" s="189">
        <v>6895</v>
      </c>
      <c r="E136" s="189">
        <v>7247</v>
      </c>
      <c r="F136" s="189">
        <v>7380</v>
      </c>
      <c r="G136" s="56">
        <v>7097</v>
      </c>
      <c r="H136" s="56">
        <v>7058</v>
      </c>
      <c r="I136" s="56">
        <v>7000</v>
      </c>
      <c r="J136" s="56">
        <v>6826</v>
      </c>
      <c r="K136" s="56">
        <v>7138</v>
      </c>
      <c r="L136" s="56">
        <v>7229</v>
      </c>
      <c r="M136" s="56">
        <v>7613</v>
      </c>
      <c r="N136" s="56">
        <v>7737</v>
      </c>
      <c r="O136" s="56">
        <v>7727</v>
      </c>
      <c r="Q136" s="187" t="s">
        <v>5597</v>
      </c>
    </row>
    <row r="137" spans="1:17">
      <c r="A137" s="187" t="s">
        <v>5394</v>
      </c>
      <c r="B137" s="187" t="s">
        <v>6343</v>
      </c>
      <c r="C137" s="55" t="s">
        <v>7988</v>
      </c>
      <c r="D137" s="189">
        <v>6597</v>
      </c>
      <c r="E137" s="189">
        <v>6634</v>
      </c>
      <c r="F137" s="189">
        <v>6607</v>
      </c>
      <c r="G137" s="56">
        <v>6586</v>
      </c>
      <c r="H137" s="56">
        <v>6503</v>
      </c>
      <c r="I137" s="56">
        <v>6474</v>
      </c>
      <c r="J137" s="56">
        <v>6397</v>
      </c>
      <c r="K137" s="56">
        <v>6526</v>
      </c>
      <c r="L137" s="56">
        <v>6491</v>
      </c>
      <c r="M137" s="56">
        <v>6505</v>
      </c>
      <c r="N137" s="56">
        <v>6491</v>
      </c>
      <c r="O137" s="56">
        <v>6482</v>
      </c>
      <c r="Q137" s="187" t="s">
        <v>5597</v>
      </c>
    </row>
    <row r="138" spans="1:17">
      <c r="A138" s="187" t="s">
        <v>5416</v>
      </c>
      <c r="B138" s="187" t="s">
        <v>3945</v>
      </c>
      <c r="C138" s="55" t="s">
        <v>7989</v>
      </c>
      <c r="D138" s="189">
        <v>3802</v>
      </c>
      <c r="E138" s="189">
        <v>3820</v>
      </c>
      <c r="F138" s="189">
        <v>3787</v>
      </c>
      <c r="G138" s="56">
        <v>3727</v>
      </c>
      <c r="H138" s="56">
        <v>3430</v>
      </c>
      <c r="I138" s="56">
        <v>3448</v>
      </c>
      <c r="J138" s="56">
        <v>3407</v>
      </c>
      <c r="K138" s="56">
        <v>3493</v>
      </c>
      <c r="L138" s="56">
        <v>3505</v>
      </c>
      <c r="M138" s="56">
        <v>3588</v>
      </c>
      <c r="N138" s="56">
        <v>3496</v>
      </c>
      <c r="O138" s="56">
        <v>3510</v>
      </c>
      <c r="Q138" s="187" t="s">
        <v>5597</v>
      </c>
    </row>
    <row r="139" spans="1:17">
      <c r="A139" s="187" t="s">
        <v>5418</v>
      </c>
      <c r="B139" s="187" t="s">
        <v>6344</v>
      </c>
      <c r="C139" s="55" t="s">
        <v>7990</v>
      </c>
      <c r="D139" s="189">
        <v>5918</v>
      </c>
      <c r="E139" s="189">
        <v>5911</v>
      </c>
      <c r="F139" s="189">
        <v>5949</v>
      </c>
      <c r="G139" s="56">
        <v>5956</v>
      </c>
      <c r="H139" s="56">
        <v>5874</v>
      </c>
      <c r="I139" s="56">
        <v>5851</v>
      </c>
      <c r="J139" s="56">
        <v>5590</v>
      </c>
      <c r="K139" s="56">
        <v>5779</v>
      </c>
      <c r="L139" s="56">
        <v>5708</v>
      </c>
      <c r="M139" s="56">
        <v>5845</v>
      </c>
      <c r="N139" s="56">
        <v>5806</v>
      </c>
      <c r="O139" s="56">
        <v>5821</v>
      </c>
      <c r="Q139" s="187" t="s">
        <v>5597</v>
      </c>
    </row>
    <row r="140" spans="1:17">
      <c r="A140" s="187" t="s">
        <v>5420</v>
      </c>
      <c r="B140" s="187" t="s">
        <v>6345</v>
      </c>
      <c r="C140" s="55" t="s">
        <v>7991</v>
      </c>
      <c r="D140" s="189">
        <v>3923</v>
      </c>
      <c r="E140" s="189">
        <v>3970</v>
      </c>
      <c r="F140" s="189">
        <v>4018</v>
      </c>
      <c r="G140" s="56">
        <v>4133</v>
      </c>
      <c r="H140" s="56">
        <v>4009</v>
      </c>
      <c r="I140" s="56">
        <v>3998</v>
      </c>
      <c r="J140" s="56">
        <v>3844</v>
      </c>
      <c r="K140" s="56">
        <v>3963</v>
      </c>
      <c r="L140" s="56">
        <v>3950</v>
      </c>
      <c r="M140" s="56">
        <v>3947</v>
      </c>
      <c r="N140" s="56">
        <v>3885</v>
      </c>
      <c r="O140" s="56">
        <v>3891</v>
      </c>
      <c r="Q140" s="187" t="s">
        <v>5597</v>
      </c>
    </row>
    <row r="141" spans="1:17">
      <c r="A141" s="187" t="s">
        <v>5422</v>
      </c>
      <c r="B141" s="187" t="s">
        <v>6346</v>
      </c>
      <c r="C141" s="55" t="s">
        <v>7992</v>
      </c>
      <c r="D141" s="189">
        <v>4621</v>
      </c>
      <c r="E141" s="189">
        <v>4714</v>
      </c>
      <c r="F141" s="189">
        <v>4771</v>
      </c>
      <c r="G141" s="56">
        <v>4208</v>
      </c>
      <c r="H141" s="56">
        <v>4743</v>
      </c>
      <c r="I141" s="56">
        <v>3990</v>
      </c>
      <c r="J141" s="56">
        <v>3938</v>
      </c>
      <c r="K141" s="56">
        <v>3816</v>
      </c>
      <c r="L141" s="56">
        <v>3996</v>
      </c>
      <c r="M141" s="56">
        <v>4029</v>
      </c>
      <c r="N141" s="56">
        <v>4390</v>
      </c>
      <c r="O141" s="56">
        <v>4353</v>
      </c>
      <c r="Q141" s="187" t="s">
        <v>5597</v>
      </c>
    </row>
    <row r="142" spans="1:17">
      <c r="A142" s="187" t="s">
        <v>5424</v>
      </c>
      <c r="B142" s="187" t="s">
        <v>6347</v>
      </c>
      <c r="C142" s="55" t="s">
        <v>7993</v>
      </c>
      <c r="D142" s="189">
        <v>5696</v>
      </c>
      <c r="E142" s="189">
        <v>5729</v>
      </c>
      <c r="F142" s="189">
        <v>5809</v>
      </c>
      <c r="G142" s="56">
        <v>5780</v>
      </c>
      <c r="H142" s="56">
        <v>5609</v>
      </c>
      <c r="I142" s="56">
        <v>5695</v>
      </c>
      <c r="J142" s="56">
        <v>5738</v>
      </c>
      <c r="K142" s="56">
        <v>5859</v>
      </c>
      <c r="L142" s="56">
        <v>5841</v>
      </c>
      <c r="M142" s="56">
        <v>5877</v>
      </c>
      <c r="N142" s="56">
        <v>5997</v>
      </c>
      <c r="O142" s="56">
        <v>6023</v>
      </c>
      <c r="Q142" s="187" t="s">
        <v>5597</v>
      </c>
    </row>
    <row r="143" spans="1:17">
      <c r="A143" s="187" t="s">
        <v>5426</v>
      </c>
      <c r="B143" s="187" t="s">
        <v>6348</v>
      </c>
      <c r="C143" s="55" t="s">
        <v>7994</v>
      </c>
      <c r="D143" s="189">
        <v>4440</v>
      </c>
      <c r="E143" s="189">
        <v>4483</v>
      </c>
      <c r="F143" s="189">
        <v>4546</v>
      </c>
      <c r="G143" s="56">
        <v>4586</v>
      </c>
      <c r="H143" s="56">
        <v>4371</v>
      </c>
      <c r="I143" s="56">
        <v>4425</v>
      </c>
      <c r="J143" s="56">
        <v>4374</v>
      </c>
      <c r="K143" s="56">
        <v>4420</v>
      </c>
      <c r="L143" s="56">
        <v>4449</v>
      </c>
      <c r="M143" s="56">
        <v>4518</v>
      </c>
      <c r="N143" s="56">
        <v>4513</v>
      </c>
      <c r="O143" s="56">
        <v>4499</v>
      </c>
      <c r="Q143" s="187" t="s">
        <v>5597</v>
      </c>
    </row>
    <row r="144" spans="1:17">
      <c r="A144" s="187" t="s">
        <v>5428</v>
      </c>
      <c r="B144" s="187" t="s">
        <v>5495</v>
      </c>
      <c r="C144" s="55" t="s">
        <v>7995</v>
      </c>
      <c r="D144" s="189">
        <v>4052</v>
      </c>
      <c r="E144" s="189">
        <v>4090</v>
      </c>
      <c r="F144" s="189">
        <v>4072</v>
      </c>
      <c r="G144" s="56">
        <v>4058</v>
      </c>
      <c r="H144" s="56">
        <v>3996</v>
      </c>
      <c r="I144" s="56">
        <v>4031</v>
      </c>
      <c r="J144" s="56">
        <v>4057</v>
      </c>
      <c r="K144" s="56">
        <v>4249</v>
      </c>
      <c r="L144" s="56">
        <v>4318</v>
      </c>
      <c r="M144" s="56">
        <v>4409</v>
      </c>
      <c r="N144" s="56">
        <v>4327</v>
      </c>
      <c r="O144" s="56">
        <v>4326</v>
      </c>
      <c r="Q144" s="187" t="s">
        <v>5597</v>
      </c>
    </row>
    <row r="145" spans="1:17">
      <c r="A145" s="196">
        <v>13</v>
      </c>
      <c r="B145" s="187" t="s">
        <v>5664</v>
      </c>
      <c r="C145" s="55" t="s">
        <v>7996</v>
      </c>
      <c r="D145" s="189">
        <v>4017</v>
      </c>
      <c r="E145" s="189">
        <v>4111</v>
      </c>
      <c r="F145" s="189">
        <v>4153</v>
      </c>
      <c r="G145" s="56">
        <v>4110</v>
      </c>
      <c r="H145" s="56">
        <v>3847</v>
      </c>
      <c r="I145" s="56">
        <v>3819</v>
      </c>
      <c r="J145" s="56">
        <v>3683</v>
      </c>
      <c r="K145" s="56">
        <v>3809</v>
      </c>
      <c r="L145" s="56">
        <v>3758</v>
      </c>
      <c r="M145" s="56">
        <v>3808</v>
      </c>
      <c r="N145" s="56">
        <v>3706</v>
      </c>
      <c r="O145" s="56">
        <v>3720</v>
      </c>
      <c r="Q145" s="187" t="s">
        <v>5597</v>
      </c>
    </row>
    <row r="146" spans="1:17">
      <c r="A146" s="196">
        <v>14</v>
      </c>
      <c r="B146" s="187" t="s">
        <v>5665</v>
      </c>
      <c r="C146" s="55" t="s">
        <v>7997</v>
      </c>
      <c r="D146" s="189">
        <v>4072</v>
      </c>
      <c r="E146" s="189">
        <v>4137</v>
      </c>
      <c r="F146" s="189">
        <v>4155</v>
      </c>
      <c r="G146" s="56">
        <v>4161</v>
      </c>
      <c r="H146" s="56">
        <v>4052</v>
      </c>
      <c r="I146" s="56">
        <v>4061</v>
      </c>
      <c r="J146" s="56">
        <v>3965</v>
      </c>
      <c r="K146" s="56">
        <v>4046</v>
      </c>
      <c r="L146" s="56">
        <v>4008</v>
      </c>
      <c r="M146" s="56">
        <v>4009</v>
      </c>
      <c r="N146" s="56">
        <v>3967</v>
      </c>
      <c r="O146" s="56">
        <v>3956</v>
      </c>
      <c r="Q146" s="187" t="s">
        <v>5597</v>
      </c>
    </row>
    <row r="147" spans="1:17">
      <c r="A147" s="197">
        <v>15</v>
      </c>
      <c r="B147" s="187" t="s">
        <v>5666</v>
      </c>
      <c r="C147" s="55" t="s">
        <v>7998</v>
      </c>
      <c r="D147" s="189">
        <v>4047</v>
      </c>
      <c r="E147" s="189">
        <v>4101</v>
      </c>
      <c r="F147" s="189">
        <v>4208</v>
      </c>
      <c r="G147" s="56">
        <v>4234</v>
      </c>
      <c r="H147" s="56">
        <v>4144</v>
      </c>
      <c r="I147" s="56">
        <v>4229</v>
      </c>
      <c r="J147" s="56">
        <v>4364</v>
      </c>
      <c r="K147" s="56">
        <v>4517</v>
      </c>
      <c r="L147" s="56">
        <v>4487</v>
      </c>
      <c r="M147" s="56">
        <v>4578</v>
      </c>
      <c r="N147" s="56">
        <v>4457</v>
      </c>
      <c r="O147" s="56">
        <v>4465</v>
      </c>
      <c r="Q147" s="187" t="s">
        <v>5597</v>
      </c>
    </row>
    <row r="148" spans="1:17">
      <c r="B148" s="76"/>
      <c r="D148" s="199"/>
      <c r="E148" s="199"/>
      <c r="F148" s="199"/>
      <c r="G148" s="199"/>
      <c r="H148" s="199"/>
      <c r="I148" s="199"/>
      <c r="J148" s="199"/>
      <c r="K148" s="199"/>
      <c r="L148" s="199"/>
      <c r="M148" s="199"/>
      <c r="N148" s="199"/>
      <c r="O148" s="199"/>
      <c r="P148" s="76"/>
      <c r="Q148" s="76"/>
    </row>
    <row r="149" spans="1:17">
      <c r="A149" s="187" t="s">
        <v>5597</v>
      </c>
      <c r="D149" s="190">
        <f t="shared" ref="D149:I149" si="56">SUM(D133:D147)</f>
        <v>72965</v>
      </c>
      <c r="E149" s="190">
        <f t="shared" si="56"/>
        <v>73960</v>
      </c>
      <c r="F149" s="190">
        <f t="shared" si="56"/>
        <v>74513</v>
      </c>
      <c r="G149" s="190">
        <f t="shared" si="56"/>
        <v>73837</v>
      </c>
      <c r="H149" s="190">
        <f t="shared" si="56"/>
        <v>72165</v>
      </c>
      <c r="I149" s="190">
        <f t="shared" si="56"/>
        <v>71580</v>
      </c>
      <c r="J149" s="190">
        <f t="shared" ref="J149:O149" si="57">SUM(J133:J147)</f>
        <v>70542</v>
      </c>
      <c r="K149" s="190">
        <f t="shared" si="57"/>
        <v>72543</v>
      </c>
      <c r="L149" s="190">
        <f t="shared" si="57"/>
        <v>72702</v>
      </c>
      <c r="M149" s="190">
        <f t="shared" si="57"/>
        <v>73889</v>
      </c>
      <c r="N149" s="190">
        <f t="shared" si="57"/>
        <v>73930</v>
      </c>
      <c r="O149" s="190">
        <f t="shared" si="57"/>
        <v>73928</v>
      </c>
    </row>
    <row r="150" spans="1:17">
      <c r="A150" s="187"/>
      <c r="B150" s="187"/>
      <c r="D150" s="198"/>
      <c r="E150" s="198"/>
      <c r="F150" s="198"/>
      <c r="G150" s="198"/>
      <c r="H150" s="198"/>
      <c r="I150" s="198"/>
      <c r="J150" s="198"/>
      <c r="K150" s="198"/>
      <c r="L150" s="198"/>
      <c r="M150" s="198"/>
      <c r="N150" s="198"/>
      <c r="O150" s="198"/>
    </row>
    <row r="151" spans="1:17">
      <c r="A151" s="187" t="s">
        <v>5599</v>
      </c>
      <c r="B151" s="187"/>
      <c r="D151" s="198"/>
      <c r="E151" s="198"/>
      <c r="F151" s="198"/>
      <c r="G151" s="198"/>
      <c r="H151" s="198"/>
      <c r="I151" s="198"/>
      <c r="J151" s="198"/>
      <c r="K151" s="198"/>
      <c r="L151" s="198"/>
      <c r="M151" s="198"/>
      <c r="N151" s="198"/>
      <c r="O151" s="198"/>
    </row>
    <row r="152" spans="1:17">
      <c r="A152" s="187"/>
      <c r="B152" s="187"/>
      <c r="D152" s="198"/>
      <c r="E152" s="198"/>
      <c r="F152" s="198"/>
      <c r="G152" s="198"/>
      <c r="H152" s="198"/>
      <c r="I152" s="198"/>
      <c r="J152" s="198"/>
      <c r="K152" s="198"/>
      <c r="L152" s="198"/>
      <c r="M152" s="198"/>
      <c r="N152" s="198"/>
      <c r="O152" s="198"/>
    </row>
    <row r="153" spans="1:17">
      <c r="A153" s="187"/>
      <c r="B153" s="187"/>
      <c r="D153" s="198"/>
      <c r="E153" s="198"/>
      <c r="F153" s="198"/>
      <c r="G153" s="198"/>
      <c r="H153" s="198"/>
      <c r="I153" s="198"/>
      <c r="J153" s="198"/>
      <c r="K153" s="198"/>
      <c r="L153" s="198"/>
      <c r="M153" s="198"/>
      <c r="N153" s="198"/>
      <c r="O153" s="198"/>
    </row>
    <row r="154" spans="1:17">
      <c r="D154" s="51"/>
      <c r="E154" s="51" t="s">
        <v>1526</v>
      </c>
      <c r="F154" s="51"/>
      <c r="G154" s="51"/>
      <c r="H154" s="51"/>
      <c r="I154" s="51"/>
      <c r="J154" s="51"/>
      <c r="K154" s="51"/>
      <c r="L154" s="51"/>
      <c r="M154" s="51"/>
      <c r="N154" s="51"/>
      <c r="O154" s="51"/>
      <c r="P154" s="52"/>
      <c r="Q154" s="54" t="s">
        <v>9479</v>
      </c>
    </row>
    <row r="155" spans="1:17">
      <c r="D155" s="108">
        <v>2010</v>
      </c>
      <c r="E155" s="108">
        <v>2011</v>
      </c>
      <c r="F155" s="108">
        <v>2012</v>
      </c>
      <c r="G155" s="108">
        <v>2013</v>
      </c>
      <c r="H155" s="108">
        <v>2014</v>
      </c>
      <c r="I155" s="108">
        <v>2015</v>
      </c>
      <c r="J155" s="108">
        <v>2016</v>
      </c>
      <c r="K155" s="108">
        <v>2017</v>
      </c>
      <c r="L155" s="108">
        <v>2018</v>
      </c>
      <c r="M155" s="108">
        <v>2019</v>
      </c>
      <c r="N155" s="108">
        <v>2020</v>
      </c>
      <c r="O155" s="924" t="s">
        <v>14823</v>
      </c>
      <c r="Q155" s="54" t="s">
        <v>1527</v>
      </c>
    </row>
    <row r="156" spans="1:17">
      <c r="A156" s="187" t="s">
        <v>5600</v>
      </c>
      <c r="D156" s="190">
        <f t="shared" ref="D156:I156" si="58">SUM(D157:D188)</f>
        <v>90152</v>
      </c>
      <c r="E156" s="190">
        <f t="shared" si="58"/>
        <v>89996</v>
      </c>
      <c r="F156" s="190">
        <f t="shared" si="58"/>
        <v>91095</v>
      </c>
      <c r="G156" s="190">
        <f t="shared" si="58"/>
        <v>91938</v>
      </c>
      <c r="H156" s="190">
        <f t="shared" si="58"/>
        <v>91382</v>
      </c>
      <c r="I156" s="190">
        <f t="shared" si="58"/>
        <v>89821</v>
      </c>
      <c r="J156" s="190">
        <f t="shared" ref="J156:O156" si="59">SUM(J157:J188)</f>
        <v>92064</v>
      </c>
      <c r="K156" s="190">
        <f t="shared" si="59"/>
        <v>94479</v>
      </c>
      <c r="L156" s="190">
        <f t="shared" si="59"/>
        <v>95023</v>
      </c>
      <c r="M156" s="190">
        <f t="shared" si="59"/>
        <v>95500</v>
      </c>
      <c r="N156" s="190">
        <f t="shared" si="59"/>
        <v>96745</v>
      </c>
      <c r="O156" s="190">
        <f t="shared" si="59"/>
        <v>98601</v>
      </c>
    </row>
    <row r="157" spans="1:17">
      <c r="A157" s="187" t="s">
        <v>5387</v>
      </c>
      <c r="B157" s="187" t="s">
        <v>3437</v>
      </c>
      <c r="C157" s="55" t="s">
        <v>7999</v>
      </c>
      <c r="D157" s="189">
        <v>2113</v>
      </c>
      <c r="E157" s="189">
        <v>2142</v>
      </c>
      <c r="F157" s="189">
        <v>2193</v>
      </c>
      <c r="G157" s="56">
        <v>2197</v>
      </c>
      <c r="H157" s="56">
        <v>2212</v>
      </c>
      <c r="I157" s="56">
        <v>2184</v>
      </c>
      <c r="J157" s="56">
        <v>2233</v>
      </c>
      <c r="K157" s="56">
        <v>2333</v>
      </c>
      <c r="L157" s="56">
        <v>2333</v>
      </c>
      <c r="M157" s="56">
        <v>2448</v>
      </c>
      <c r="N157" s="56">
        <v>2459</v>
      </c>
      <c r="O157" s="56">
        <v>2492</v>
      </c>
      <c r="Q157" s="187" t="s">
        <v>5593</v>
      </c>
    </row>
    <row r="158" spans="1:17">
      <c r="A158" s="187" t="s">
        <v>5389</v>
      </c>
      <c r="B158" s="187" t="s">
        <v>3438</v>
      </c>
      <c r="C158" s="55" t="s">
        <v>8000</v>
      </c>
      <c r="D158" s="189">
        <v>3471</v>
      </c>
      <c r="E158" s="189">
        <v>3516</v>
      </c>
      <c r="F158" s="189">
        <v>3666</v>
      </c>
      <c r="G158" s="56">
        <v>3777</v>
      </c>
      <c r="H158" s="56">
        <v>3856</v>
      </c>
      <c r="I158" s="56">
        <v>3955</v>
      </c>
      <c r="J158" s="56">
        <v>4394</v>
      </c>
      <c r="K158" s="56">
        <v>4628</v>
      </c>
      <c r="L158" s="56">
        <v>4565</v>
      </c>
      <c r="M158" s="56">
        <v>4512</v>
      </c>
      <c r="N158" s="56">
        <v>4450</v>
      </c>
      <c r="O158" s="56">
        <v>4537</v>
      </c>
      <c r="Q158" s="187" t="s">
        <v>5593</v>
      </c>
    </row>
    <row r="159" spans="1:17">
      <c r="A159" s="187" t="s">
        <v>5391</v>
      </c>
      <c r="B159" s="187" t="s">
        <v>4848</v>
      </c>
      <c r="C159" s="55" t="s">
        <v>8001</v>
      </c>
      <c r="D159" s="189">
        <v>2135</v>
      </c>
      <c r="E159" s="189">
        <v>2163</v>
      </c>
      <c r="F159" s="189">
        <v>2210</v>
      </c>
      <c r="G159" s="56">
        <v>2243</v>
      </c>
      <c r="H159" s="56">
        <v>2276</v>
      </c>
      <c r="I159" s="56">
        <v>2268</v>
      </c>
      <c r="J159" s="56">
        <v>2339</v>
      </c>
      <c r="K159" s="56">
        <v>2382</v>
      </c>
      <c r="L159" s="56">
        <v>2401</v>
      </c>
      <c r="M159" s="56">
        <v>2367</v>
      </c>
      <c r="N159" s="56">
        <v>2400</v>
      </c>
      <c r="O159" s="56">
        <v>2439</v>
      </c>
      <c r="Q159" s="187" t="s">
        <v>5593</v>
      </c>
    </row>
    <row r="160" spans="1:17">
      <c r="A160" s="187" t="s">
        <v>5393</v>
      </c>
      <c r="B160" s="187" t="s">
        <v>3439</v>
      </c>
      <c r="C160" s="55" t="s">
        <v>8002</v>
      </c>
      <c r="D160" s="189">
        <v>2009</v>
      </c>
      <c r="E160" s="189">
        <v>2028</v>
      </c>
      <c r="F160" s="189">
        <v>2046</v>
      </c>
      <c r="G160" s="58">
        <v>2085</v>
      </c>
      <c r="H160" s="58">
        <v>2088</v>
      </c>
      <c r="I160" s="58">
        <v>2057</v>
      </c>
      <c r="J160" s="58">
        <v>2089</v>
      </c>
      <c r="K160" s="58">
        <v>2105</v>
      </c>
      <c r="L160" s="58">
        <v>2112</v>
      </c>
      <c r="M160" s="58">
        <v>2123</v>
      </c>
      <c r="N160" s="58">
        <v>2118</v>
      </c>
      <c r="O160" s="58">
        <v>2142</v>
      </c>
      <c r="Q160" s="187" t="s">
        <v>5596</v>
      </c>
    </row>
    <row r="161" spans="1:17">
      <c r="A161" s="187" t="s">
        <v>5394</v>
      </c>
      <c r="B161" s="187" t="s">
        <v>3440</v>
      </c>
      <c r="C161" s="55" t="s">
        <v>8003</v>
      </c>
      <c r="D161" s="189">
        <v>2021</v>
      </c>
      <c r="E161" s="189">
        <v>2017</v>
      </c>
      <c r="F161" s="189">
        <v>2091</v>
      </c>
      <c r="G161" s="56">
        <v>2114</v>
      </c>
      <c r="H161" s="56">
        <v>2146</v>
      </c>
      <c r="I161" s="56">
        <v>2120</v>
      </c>
      <c r="J161" s="56">
        <v>2203</v>
      </c>
      <c r="K161" s="56">
        <v>2259</v>
      </c>
      <c r="L161" s="56">
        <v>2219</v>
      </c>
      <c r="M161" s="56">
        <v>2246</v>
      </c>
      <c r="N161" s="56">
        <v>2273</v>
      </c>
      <c r="O161" s="56">
        <v>2295</v>
      </c>
      <c r="Q161" s="187" t="s">
        <v>5593</v>
      </c>
    </row>
    <row r="162" spans="1:17">
      <c r="A162" s="187" t="s">
        <v>5416</v>
      </c>
      <c r="B162" s="187" t="s">
        <v>2046</v>
      </c>
      <c r="C162" s="55" t="s">
        <v>8004</v>
      </c>
      <c r="D162" s="189">
        <v>3755</v>
      </c>
      <c r="E162" s="189">
        <v>3762</v>
      </c>
      <c r="F162" s="189">
        <v>3834</v>
      </c>
      <c r="G162" s="56">
        <v>3864</v>
      </c>
      <c r="H162" s="56">
        <v>3804</v>
      </c>
      <c r="I162" s="56">
        <v>3776</v>
      </c>
      <c r="J162" s="56">
        <v>3818</v>
      </c>
      <c r="K162" s="56">
        <v>3882</v>
      </c>
      <c r="L162" s="56">
        <v>3863</v>
      </c>
      <c r="M162" s="56">
        <v>3883</v>
      </c>
      <c r="N162" s="56">
        <v>4020</v>
      </c>
      <c r="O162" s="56">
        <v>4077</v>
      </c>
      <c r="Q162" s="187" t="s">
        <v>5593</v>
      </c>
    </row>
    <row r="163" spans="1:17">
      <c r="A163" s="187" t="s">
        <v>5418</v>
      </c>
      <c r="B163" s="187" t="s">
        <v>2047</v>
      </c>
      <c r="C163" s="55" t="s">
        <v>8005</v>
      </c>
      <c r="D163" s="189">
        <v>1904</v>
      </c>
      <c r="E163" s="189">
        <v>1957</v>
      </c>
      <c r="F163" s="189">
        <v>1962</v>
      </c>
      <c r="G163" s="56">
        <v>2000</v>
      </c>
      <c r="H163" s="56">
        <v>1950</v>
      </c>
      <c r="I163" s="56">
        <v>1919</v>
      </c>
      <c r="J163" s="56">
        <v>2129</v>
      </c>
      <c r="K163" s="56">
        <v>2231</v>
      </c>
      <c r="L163" s="56">
        <v>2257</v>
      </c>
      <c r="M163" s="56">
        <v>2215</v>
      </c>
      <c r="N163" s="56">
        <v>2196</v>
      </c>
      <c r="O163" s="56">
        <v>2243</v>
      </c>
      <c r="Q163" s="187" t="s">
        <v>5593</v>
      </c>
    </row>
    <row r="164" spans="1:17">
      <c r="A164" s="187" t="s">
        <v>5420</v>
      </c>
      <c r="B164" s="187" t="s">
        <v>2048</v>
      </c>
      <c r="C164" s="55" t="s">
        <v>8006</v>
      </c>
      <c r="D164" s="189">
        <v>1905</v>
      </c>
      <c r="E164" s="189">
        <v>1884</v>
      </c>
      <c r="F164" s="189">
        <v>1904</v>
      </c>
      <c r="G164" s="56">
        <v>1920</v>
      </c>
      <c r="H164" s="56">
        <v>1916</v>
      </c>
      <c r="I164" s="56">
        <v>1877</v>
      </c>
      <c r="J164" s="56">
        <v>1920</v>
      </c>
      <c r="K164" s="56">
        <v>1963</v>
      </c>
      <c r="L164" s="56">
        <v>2012</v>
      </c>
      <c r="M164" s="56">
        <v>2056</v>
      </c>
      <c r="N164" s="56">
        <v>2081</v>
      </c>
      <c r="O164" s="56">
        <v>2129</v>
      </c>
      <c r="Q164" s="187" t="s">
        <v>5593</v>
      </c>
    </row>
    <row r="165" spans="1:17">
      <c r="A165" s="187" t="s">
        <v>5422</v>
      </c>
      <c r="B165" s="187" t="s">
        <v>2049</v>
      </c>
      <c r="C165" s="55" t="s">
        <v>8007</v>
      </c>
      <c r="D165" s="189">
        <v>2010</v>
      </c>
      <c r="E165" s="189">
        <v>2001</v>
      </c>
      <c r="F165" s="189">
        <v>2008</v>
      </c>
      <c r="G165" s="56">
        <v>2050</v>
      </c>
      <c r="H165" s="56">
        <v>2009</v>
      </c>
      <c r="I165" s="56">
        <v>1945</v>
      </c>
      <c r="J165" s="56">
        <v>1930</v>
      </c>
      <c r="K165" s="56">
        <v>1950</v>
      </c>
      <c r="L165" s="56">
        <v>1926</v>
      </c>
      <c r="M165" s="56">
        <v>1896</v>
      </c>
      <c r="N165" s="56">
        <v>1919</v>
      </c>
      <c r="O165" s="56">
        <v>1959</v>
      </c>
      <c r="Q165" s="187" t="s">
        <v>5593</v>
      </c>
    </row>
    <row r="166" spans="1:17">
      <c r="A166" s="187" t="s">
        <v>5424</v>
      </c>
      <c r="B166" s="187" t="s">
        <v>2050</v>
      </c>
      <c r="C166" s="55" t="s">
        <v>8008</v>
      </c>
      <c r="D166" s="189">
        <v>4301</v>
      </c>
      <c r="E166" s="189">
        <v>4264</v>
      </c>
      <c r="F166" s="189">
        <v>4347</v>
      </c>
      <c r="G166" s="56">
        <v>4359</v>
      </c>
      <c r="H166" s="56">
        <v>4296</v>
      </c>
      <c r="I166" s="56">
        <v>4183</v>
      </c>
      <c r="J166" s="56">
        <v>4257</v>
      </c>
      <c r="K166" s="56">
        <v>4352</v>
      </c>
      <c r="L166" s="56">
        <v>4253</v>
      </c>
      <c r="M166" s="56">
        <v>4233</v>
      </c>
      <c r="N166" s="56">
        <v>4187</v>
      </c>
      <c r="O166" s="56">
        <v>4235</v>
      </c>
      <c r="Q166" s="187" t="s">
        <v>5593</v>
      </c>
    </row>
    <row r="167" spans="1:17">
      <c r="A167" s="187" t="s">
        <v>5426</v>
      </c>
      <c r="B167" s="187" t="s">
        <v>2051</v>
      </c>
      <c r="C167" s="55" t="s">
        <v>8009</v>
      </c>
      <c r="D167" s="189">
        <v>4006</v>
      </c>
      <c r="E167" s="189">
        <v>4050</v>
      </c>
      <c r="F167" s="189">
        <v>4071</v>
      </c>
      <c r="G167" s="56">
        <v>4083</v>
      </c>
      <c r="H167" s="56">
        <v>4109</v>
      </c>
      <c r="I167" s="56">
        <v>4118</v>
      </c>
      <c r="J167" s="56">
        <v>4185</v>
      </c>
      <c r="K167" s="56">
        <v>4251</v>
      </c>
      <c r="L167" s="56">
        <v>4352</v>
      </c>
      <c r="M167" s="56">
        <v>4511</v>
      </c>
      <c r="N167" s="56">
        <v>4712</v>
      </c>
      <c r="O167" s="56">
        <v>4881</v>
      </c>
      <c r="Q167" s="187" t="s">
        <v>5593</v>
      </c>
    </row>
    <row r="168" spans="1:17">
      <c r="A168" s="187" t="s">
        <v>5428</v>
      </c>
      <c r="B168" s="187" t="s">
        <v>2052</v>
      </c>
      <c r="C168" s="55" t="s">
        <v>8010</v>
      </c>
      <c r="D168" s="189">
        <v>3971</v>
      </c>
      <c r="E168" s="189">
        <v>3957</v>
      </c>
      <c r="F168" s="189">
        <v>3991</v>
      </c>
      <c r="G168" s="56">
        <v>4002</v>
      </c>
      <c r="H168" s="56">
        <v>3984</v>
      </c>
      <c r="I168" s="56">
        <v>3874</v>
      </c>
      <c r="J168" s="56">
        <v>3862</v>
      </c>
      <c r="K168" s="56">
        <v>3896</v>
      </c>
      <c r="L168" s="56">
        <v>3859</v>
      </c>
      <c r="M168" s="56">
        <v>3790</v>
      </c>
      <c r="N168" s="56">
        <v>3862</v>
      </c>
      <c r="O168" s="56">
        <v>3913</v>
      </c>
      <c r="Q168" s="187" t="s">
        <v>5593</v>
      </c>
    </row>
    <row r="169" spans="1:17">
      <c r="A169" s="187" t="s">
        <v>5429</v>
      </c>
      <c r="B169" s="187" t="s">
        <v>2053</v>
      </c>
      <c r="C169" s="55" t="s">
        <v>8011</v>
      </c>
      <c r="D169" s="189">
        <v>3857</v>
      </c>
      <c r="E169" s="189">
        <v>3780</v>
      </c>
      <c r="F169" s="189">
        <v>3843</v>
      </c>
      <c r="G169" s="56">
        <v>3885</v>
      </c>
      <c r="H169" s="56">
        <v>3862</v>
      </c>
      <c r="I169" s="56">
        <v>3714</v>
      </c>
      <c r="J169" s="56">
        <v>3747</v>
      </c>
      <c r="K169" s="56">
        <v>3773</v>
      </c>
      <c r="L169" s="56">
        <v>3688</v>
      </c>
      <c r="M169" s="56">
        <v>3643</v>
      </c>
      <c r="N169" s="56">
        <v>3600</v>
      </c>
      <c r="O169" s="56">
        <v>3634</v>
      </c>
      <c r="Q169" s="187" t="s">
        <v>5593</v>
      </c>
    </row>
    <row r="170" spans="1:17">
      <c r="A170" s="187" t="s">
        <v>5431</v>
      </c>
      <c r="B170" s="187" t="s">
        <v>2054</v>
      </c>
      <c r="C170" s="55" t="s">
        <v>8012</v>
      </c>
      <c r="D170" s="189">
        <v>2240</v>
      </c>
      <c r="E170" s="189">
        <v>2234</v>
      </c>
      <c r="F170" s="189">
        <v>2262</v>
      </c>
      <c r="G170" s="58">
        <v>2273</v>
      </c>
      <c r="H170" s="58">
        <v>2251</v>
      </c>
      <c r="I170" s="58">
        <v>2218</v>
      </c>
      <c r="J170" s="58">
        <v>2215</v>
      </c>
      <c r="K170" s="58">
        <v>2245</v>
      </c>
      <c r="L170" s="58">
        <v>2219</v>
      </c>
      <c r="M170" s="58">
        <v>2216</v>
      </c>
      <c r="N170" s="58">
        <v>2239</v>
      </c>
      <c r="O170" s="58">
        <v>2288</v>
      </c>
      <c r="Q170" s="187" t="s">
        <v>5596</v>
      </c>
    </row>
    <row r="171" spans="1:17">
      <c r="A171" s="187" t="s">
        <v>5433</v>
      </c>
      <c r="B171" s="187" t="s">
        <v>2055</v>
      </c>
      <c r="C171" s="55" t="s">
        <v>8013</v>
      </c>
      <c r="D171" s="189">
        <v>1974</v>
      </c>
      <c r="E171" s="189">
        <v>1955</v>
      </c>
      <c r="F171" s="189">
        <v>1987</v>
      </c>
      <c r="G171" s="58">
        <v>2027</v>
      </c>
      <c r="H171" s="58">
        <v>1984</v>
      </c>
      <c r="I171" s="58">
        <v>1941</v>
      </c>
      <c r="J171" s="58">
        <v>2015</v>
      </c>
      <c r="K171" s="58">
        <v>2058</v>
      </c>
      <c r="L171" s="58">
        <v>2031</v>
      </c>
      <c r="M171" s="58">
        <v>2039</v>
      </c>
      <c r="N171" s="58">
        <v>2041</v>
      </c>
      <c r="O171" s="58">
        <v>2068</v>
      </c>
      <c r="Q171" s="187" t="s">
        <v>5596</v>
      </c>
    </row>
    <row r="172" spans="1:17">
      <c r="A172" s="187" t="s">
        <v>5435</v>
      </c>
      <c r="B172" s="187" t="s">
        <v>2056</v>
      </c>
      <c r="C172" s="55" t="s">
        <v>8014</v>
      </c>
      <c r="D172" s="189">
        <v>3519</v>
      </c>
      <c r="E172" s="189">
        <v>3483</v>
      </c>
      <c r="F172" s="189">
        <v>3468</v>
      </c>
      <c r="G172" s="56">
        <v>3452</v>
      </c>
      <c r="H172" s="56">
        <v>3362</v>
      </c>
      <c r="I172" s="56">
        <v>3226</v>
      </c>
      <c r="J172" s="56">
        <v>3324</v>
      </c>
      <c r="K172" s="56">
        <v>3390</v>
      </c>
      <c r="L172" s="56">
        <v>3338</v>
      </c>
      <c r="M172" s="56">
        <v>3256</v>
      </c>
      <c r="N172" s="56">
        <v>3207</v>
      </c>
      <c r="O172" s="56">
        <v>3248</v>
      </c>
      <c r="Q172" s="187" t="s">
        <v>5593</v>
      </c>
    </row>
    <row r="173" spans="1:17">
      <c r="A173" s="187" t="s">
        <v>5436</v>
      </c>
      <c r="B173" s="187" t="s">
        <v>2057</v>
      </c>
      <c r="C173" s="55" t="s">
        <v>8015</v>
      </c>
      <c r="D173" s="189">
        <v>4036</v>
      </c>
      <c r="E173" s="189">
        <v>4033</v>
      </c>
      <c r="F173" s="189">
        <v>4020</v>
      </c>
      <c r="G173" s="56">
        <v>4014</v>
      </c>
      <c r="H173" s="56">
        <v>3831</v>
      </c>
      <c r="I173" s="56">
        <v>3719</v>
      </c>
      <c r="J173" s="56">
        <v>3732</v>
      </c>
      <c r="K173" s="56">
        <v>3676</v>
      </c>
      <c r="L173" s="56">
        <v>3660</v>
      </c>
      <c r="M173" s="56">
        <v>3637</v>
      </c>
      <c r="N173" s="56">
        <v>3631</v>
      </c>
      <c r="O173" s="56">
        <v>3658</v>
      </c>
      <c r="Q173" s="187" t="s">
        <v>5593</v>
      </c>
    </row>
    <row r="174" spans="1:17">
      <c r="A174" s="187" t="s">
        <v>5437</v>
      </c>
      <c r="B174" s="187" t="s">
        <v>2058</v>
      </c>
      <c r="C174" s="55" t="s">
        <v>8016</v>
      </c>
      <c r="D174" s="189">
        <v>2163</v>
      </c>
      <c r="E174" s="189">
        <v>2181</v>
      </c>
      <c r="F174" s="189">
        <v>2187</v>
      </c>
      <c r="G174" s="56">
        <v>2197</v>
      </c>
      <c r="H174" s="56">
        <v>2208</v>
      </c>
      <c r="I174" s="56">
        <v>2145</v>
      </c>
      <c r="J174" s="56">
        <v>2214</v>
      </c>
      <c r="K174" s="56">
        <v>2261</v>
      </c>
      <c r="L174" s="56">
        <v>2295</v>
      </c>
      <c r="M174" s="56">
        <v>2274</v>
      </c>
      <c r="N174" s="56">
        <v>2263</v>
      </c>
      <c r="O174" s="56">
        <v>2306</v>
      </c>
      <c r="Q174" s="187" t="s">
        <v>5593</v>
      </c>
    </row>
    <row r="175" spans="1:17">
      <c r="A175" s="187" t="s">
        <v>5439</v>
      </c>
      <c r="B175" s="187" t="s">
        <v>2059</v>
      </c>
      <c r="C175" s="55" t="s">
        <v>8017</v>
      </c>
      <c r="D175" s="189">
        <v>2044</v>
      </c>
      <c r="E175" s="189">
        <v>1992</v>
      </c>
      <c r="F175" s="189">
        <v>2050</v>
      </c>
      <c r="G175" s="58">
        <v>2076</v>
      </c>
      <c r="H175" s="58">
        <v>2085</v>
      </c>
      <c r="I175" s="58">
        <v>2052</v>
      </c>
      <c r="J175" s="58">
        <v>2052</v>
      </c>
      <c r="K175" s="58">
        <v>2136</v>
      </c>
      <c r="L175" s="58">
        <v>2315</v>
      </c>
      <c r="M175" s="58">
        <v>2467</v>
      </c>
      <c r="N175" s="58">
        <v>2593</v>
      </c>
      <c r="O175" s="58">
        <v>2654</v>
      </c>
      <c r="Q175" s="187" t="s">
        <v>5593</v>
      </c>
    </row>
    <row r="176" spans="1:17">
      <c r="A176" s="187" t="s">
        <v>5441</v>
      </c>
      <c r="B176" s="187" t="s">
        <v>2060</v>
      </c>
      <c r="C176" s="55" t="s">
        <v>8018</v>
      </c>
      <c r="D176" s="189">
        <v>2147</v>
      </c>
      <c r="E176" s="189">
        <v>2139</v>
      </c>
      <c r="F176" s="189">
        <v>2196</v>
      </c>
      <c r="G176" s="58">
        <v>2199</v>
      </c>
      <c r="H176" s="58">
        <v>2128</v>
      </c>
      <c r="I176" s="58">
        <v>2122</v>
      </c>
      <c r="J176" s="58">
        <v>2152</v>
      </c>
      <c r="K176" s="58">
        <v>2205</v>
      </c>
      <c r="L176" s="58">
        <v>2270</v>
      </c>
      <c r="M176" s="58">
        <v>2303</v>
      </c>
      <c r="N176" s="58">
        <v>2324</v>
      </c>
      <c r="O176" s="58">
        <v>2372</v>
      </c>
      <c r="Q176" s="187" t="s">
        <v>5593</v>
      </c>
    </row>
    <row r="177" spans="1:17">
      <c r="A177" s="187" t="s">
        <v>5886</v>
      </c>
      <c r="B177" s="187" t="s">
        <v>3443</v>
      </c>
      <c r="C177" s="55" t="s">
        <v>8019</v>
      </c>
      <c r="D177" s="189">
        <v>2023</v>
      </c>
      <c r="E177" s="189">
        <v>1963</v>
      </c>
      <c r="F177" s="189">
        <v>2035</v>
      </c>
      <c r="G177" s="58">
        <v>2041</v>
      </c>
      <c r="H177" s="58">
        <v>1984</v>
      </c>
      <c r="I177" s="58">
        <v>1991</v>
      </c>
      <c r="J177" s="58">
        <v>2048</v>
      </c>
      <c r="K177" s="58">
        <v>2092</v>
      </c>
      <c r="L177" s="58">
        <v>2094</v>
      </c>
      <c r="M177" s="58">
        <v>2088</v>
      </c>
      <c r="N177" s="58">
        <v>2136</v>
      </c>
      <c r="O177" s="58">
        <v>2171</v>
      </c>
      <c r="Q177" s="187" t="s">
        <v>5593</v>
      </c>
    </row>
    <row r="178" spans="1:17">
      <c r="A178" s="187" t="s">
        <v>5888</v>
      </c>
      <c r="B178" s="187" t="s">
        <v>6453</v>
      </c>
      <c r="C178" s="55" t="s">
        <v>8020</v>
      </c>
      <c r="D178" s="189">
        <v>1938</v>
      </c>
      <c r="E178" s="189">
        <v>1913</v>
      </c>
      <c r="F178" s="189">
        <v>1963</v>
      </c>
      <c r="G178" s="58">
        <v>2001</v>
      </c>
      <c r="H178" s="58">
        <v>1997</v>
      </c>
      <c r="I178" s="58">
        <v>1931</v>
      </c>
      <c r="J178" s="58">
        <v>2007</v>
      </c>
      <c r="K178" s="58">
        <v>2225</v>
      </c>
      <c r="L178" s="58">
        <v>2322</v>
      </c>
      <c r="M178" s="58">
        <v>2315</v>
      </c>
      <c r="N178" s="58">
        <v>2355</v>
      </c>
      <c r="O178" s="58">
        <v>2382</v>
      </c>
      <c r="Q178" s="187" t="s">
        <v>5593</v>
      </c>
    </row>
    <row r="179" spans="1:17">
      <c r="A179" s="187" t="s">
        <v>5889</v>
      </c>
      <c r="B179" s="187" t="s">
        <v>6454</v>
      </c>
      <c r="C179" s="55" t="s">
        <v>8021</v>
      </c>
      <c r="D179" s="2">
        <v>4455</v>
      </c>
      <c r="E179" s="2">
        <v>4555</v>
      </c>
      <c r="F179" s="2">
        <v>4585</v>
      </c>
      <c r="G179" s="58">
        <v>4612</v>
      </c>
      <c r="H179" s="58">
        <v>4578</v>
      </c>
      <c r="I179" s="58">
        <v>4504</v>
      </c>
      <c r="J179" s="58">
        <v>4576</v>
      </c>
      <c r="K179" s="58">
        <v>4744</v>
      </c>
      <c r="L179" s="58">
        <v>4821</v>
      </c>
      <c r="M179" s="58">
        <v>4818</v>
      </c>
      <c r="N179" s="58">
        <v>4861</v>
      </c>
      <c r="O179" s="58">
        <v>4942</v>
      </c>
      <c r="Q179" s="187" t="s">
        <v>5595</v>
      </c>
    </row>
    <row r="180" spans="1:17">
      <c r="A180" s="187" t="s">
        <v>4431</v>
      </c>
      <c r="B180" s="187" t="s">
        <v>6455</v>
      </c>
      <c r="C180" s="55" t="s">
        <v>8022</v>
      </c>
      <c r="D180" s="189">
        <v>3582</v>
      </c>
      <c r="E180" s="189">
        <v>3543</v>
      </c>
      <c r="F180" s="189">
        <v>3531</v>
      </c>
      <c r="G180" s="58">
        <v>3538</v>
      </c>
      <c r="H180" s="58">
        <v>3470</v>
      </c>
      <c r="I180" s="58">
        <v>3449</v>
      </c>
      <c r="J180" s="58">
        <v>3601</v>
      </c>
      <c r="K180" s="58">
        <v>3636</v>
      </c>
      <c r="L180" s="58">
        <v>3589</v>
      </c>
      <c r="M180" s="58">
        <v>3515</v>
      </c>
      <c r="N180" s="58">
        <v>3557</v>
      </c>
      <c r="O180" s="58">
        <v>3612</v>
      </c>
      <c r="Q180" s="187" t="s">
        <v>5593</v>
      </c>
    </row>
    <row r="181" spans="1:17">
      <c r="A181" s="187" t="s">
        <v>4432</v>
      </c>
      <c r="B181" s="187" t="s">
        <v>6456</v>
      </c>
      <c r="C181" s="55" t="s">
        <v>8023</v>
      </c>
      <c r="D181" s="189">
        <v>4294</v>
      </c>
      <c r="E181" s="189">
        <v>4287</v>
      </c>
      <c r="F181" s="189">
        <v>4308</v>
      </c>
      <c r="G181" s="58">
        <v>4330</v>
      </c>
      <c r="H181" s="58">
        <v>4220</v>
      </c>
      <c r="I181" s="58">
        <v>4111</v>
      </c>
      <c r="J181" s="58">
        <v>4230</v>
      </c>
      <c r="K181" s="58">
        <v>4387</v>
      </c>
      <c r="L181" s="58">
        <v>4579</v>
      </c>
      <c r="M181" s="58">
        <v>4872</v>
      </c>
      <c r="N181" s="58">
        <v>5300</v>
      </c>
      <c r="O181" s="58">
        <v>5517</v>
      </c>
      <c r="Q181" s="187" t="s">
        <v>5593</v>
      </c>
    </row>
    <row r="182" spans="1:17">
      <c r="A182" s="187" t="s">
        <v>4434</v>
      </c>
      <c r="B182" s="187" t="s">
        <v>6457</v>
      </c>
      <c r="C182" s="55" t="s">
        <v>8024</v>
      </c>
      <c r="D182" s="189">
        <v>2169</v>
      </c>
      <c r="E182" s="189">
        <v>2183</v>
      </c>
      <c r="F182" s="189">
        <v>2180</v>
      </c>
      <c r="G182" s="58">
        <v>2228</v>
      </c>
      <c r="H182" s="58">
        <v>2292</v>
      </c>
      <c r="I182" s="58">
        <v>2238</v>
      </c>
      <c r="J182" s="58">
        <v>2370</v>
      </c>
      <c r="K182" s="58">
        <v>2566</v>
      </c>
      <c r="L182" s="58">
        <v>2702</v>
      </c>
      <c r="M182" s="58">
        <v>2758</v>
      </c>
      <c r="N182" s="58">
        <v>2791</v>
      </c>
      <c r="O182" s="58">
        <v>2845</v>
      </c>
      <c r="Q182" s="187" t="s">
        <v>5593</v>
      </c>
    </row>
    <row r="183" spans="1:17">
      <c r="A183" s="187" t="s">
        <v>4533</v>
      </c>
      <c r="B183" s="187" t="s">
        <v>6458</v>
      </c>
      <c r="C183" s="55" t="s">
        <v>8025</v>
      </c>
      <c r="D183" s="189">
        <v>1850</v>
      </c>
      <c r="E183" s="189">
        <v>1860</v>
      </c>
      <c r="F183" s="189">
        <v>1923</v>
      </c>
      <c r="G183" s="58">
        <v>1970</v>
      </c>
      <c r="H183" s="58">
        <v>1950</v>
      </c>
      <c r="I183" s="58">
        <v>1922</v>
      </c>
      <c r="J183" s="58">
        <v>1946</v>
      </c>
      <c r="K183" s="58">
        <v>2002</v>
      </c>
      <c r="L183" s="58">
        <v>1997</v>
      </c>
      <c r="M183" s="58">
        <v>1971</v>
      </c>
      <c r="N183" s="58">
        <v>1978</v>
      </c>
      <c r="O183" s="58">
        <v>2020</v>
      </c>
      <c r="Q183" s="187" t="s">
        <v>5593</v>
      </c>
    </row>
    <row r="184" spans="1:17">
      <c r="A184" s="187" t="s">
        <v>4535</v>
      </c>
      <c r="B184" s="187" t="s">
        <v>6459</v>
      </c>
      <c r="C184" s="55" t="s">
        <v>8026</v>
      </c>
      <c r="D184" s="189">
        <v>5682</v>
      </c>
      <c r="E184" s="189">
        <v>5667</v>
      </c>
      <c r="F184" s="189">
        <v>5667</v>
      </c>
      <c r="G184" s="58">
        <v>5818</v>
      </c>
      <c r="H184" s="58">
        <v>5923</v>
      </c>
      <c r="I184" s="58">
        <v>5767</v>
      </c>
      <c r="J184" s="58">
        <v>5836</v>
      </c>
      <c r="K184" s="58">
        <v>5997</v>
      </c>
      <c r="L184" s="58">
        <v>6086</v>
      </c>
      <c r="M184" s="58">
        <v>6162</v>
      </c>
      <c r="N184" s="58">
        <v>6242</v>
      </c>
      <c r="O184" s="58">
        <v>6439</v>
      </c>
      <c r="Q184" s="187" t="s">
        <v>5596</v>
      </c>
    </row>
    <row r="185" spans="1:17">
      <c r="A185" s="187" t="s">
        <v>4537</v>
      </c>
      <c r="B185" s="187" t="s">
        <v>6460</v>
      </c>
      <c r="C185" s="55" t="s">
        <v>8027</v>
      </c>
      <c r="D185" s="189">
        <v>2290</v>
      </c>
      <c r="E185" s="189">
        <v>2259</v>
      </c>
      <c r="F185" s="189">
        <v>2289</v>
      </c>
      <c r="G185" s="58">
        <v>2299</v>
      </c>
      <c r="H185" s="58">
        <v>2322</v>
      </c>
      <c r="I185" s="58">
        <v>2294</v>
      </c>
      <c r="J185" s="58">
        <v>2309</v>
      </c>
      <c r="K185" s="58">
        <v>2360</v>
      </c>
      <c r="L185" s="58">
        <v>2346</v>
      </c>
      <c r="M185" s="58">
        <v>2358</v>
      </c>
      <c r="N185" s="58">
        <v>2436</v>
      </c>
      <c r="O185" s="58">
        <v>2489</v>
      </c>
      <c r="Q185" s="187" t="s">
        <v>5593</v>
      </c>
    </row>
    <row r="186" spans="1:17">
      <c r="A186" s="187" t="s">
        <v>4539</v>
      </c>
      <c r="B186" s="187" t="s">
        <v>6461</v>
      </c>
      <c r="C186" s="55" t="s">
        <v>8028</v>
      </c>
      <c r="D186" s="189">
        <v>1934</v>
      </c>
      <c r="E186" s="189">
        <v>1897</v>
      </c>
      <c r="F186" s="189">
        <v>1907</v>
      </c>
      <c r="G186" s="58">
        <v>1896</v>
      </c>
      <c r="H186" s="58">
        <v>1909</v>
      </c>
      <c r="I186" s="58">
        <v>1873</v>
      </c>
      <c r="J186" s="58">
        <v>1913</v>
      </c>
      <c r="K186" s="58">
        <v>1952</v>
      </c>
      <c r="L186" s="58">
        <v>1958</v>
      </c>
      <c r="M186" s="58">
        <v>1971</v>
      </c>
      <c r="N186" s="58">
        <v>1945</v>
      </c>
      <c r="O186" s="58">
        <v>1963</v>
      </c>
      <c r="Q186" s="187" t="s">
        <v>5596</v>
      </c>
    </row>
    <row r="187" spans="1:17">
      <c r="A187" s="187" t="s">
        <v>6158</v>
      </c>
      <c r="B187" s="187" t="s">
        <v>6462</v>
      </c>
      <c r="C187" s="55" t="s">
        <v>8029</v>
      </c>
      <c r="D187" s="189">
        <v>2203</v>
      </c>
      <c r="E187" s="189">
        <v>2150</v>
      </c>
      <c r="F187" s="189">
        <v>2168</v>
      </c>
      <c r="G187" s="58">
        <v>2179</v>
      </c>
      <c r="H187" s="58">
        <v>2159</v>
      </c>
      <c r="I187" s="58">
        <v>2141</v>
      </c>
      <c r="J187" s="58">
        <v>2221</v>
      </c>
      <c r="K187" s="58">
        <v>2301</v>
      </c>
      <c r="L187" s="58">
        <v>2307</v>
      </c>
      <c r="M187" s="58">
        <v>2323</v>
      </c>
      <c r="N187" s="58">
        <v>2339</v>
      </c>
      <c r="O187" s="58">
        <v>2383</v>
      </c>
      <c r="Q187" s="187" t="s">
        <v>5593</v>
      </c>
    </row>
    <row r="188" spans="1:17">
      <c r="A188" s="187" t="s">
        <v>6159</v>
      </c>
      <c r="B188" s="187" t="s">
        <v>6463</v>
      </c>
      <c r="C188" s="55" t="s">
        <v>8030</v>
      </c>
      <c r="D188" s="189">
        <v>2151</v>
      </c>
      <c r="E188" s="189">
        <v>2181</v>
      </c>
      <c r="F188" s="189">
        <v>2203</v>
      </c>
      <c r="G188" s="58">
        <v>2209</v>
      </c>
      <c r="H188" s="58">
        <v>2221</v>
      </c>
      <c r="I188" s="58">
        <v>2187</v>
      </c>
      <c r="J188" s="58">
        <v>2197</v>
      </c>
      <c r="K188" s="58">
        <v>2241</v>
      </c>
      <c r="L188" s="58">
        <v>2254</v>
      </c>
      <c r="M188" s="58">
        <v>2234</v>
      </c>
      <c r="N188" s="58">
        <v>2230</v>
      </c>
      <c r="O188" s="58">
        <v>2268</v>
      </c>
      <c r="Q188" s="187" t="s">
        <v>5593</v>
      </c>
    </row>
    <row r="189" spans="1:17">
      <c r="D189" s="189"/>
      <c r="E189" s="189"/>
      <c r="F189" s="189"/>
      <c r="G189" s="189"/>
      <c r="H189" s="189"/>
      <c r="I189" s="189"/>
      <c r="J189" s="189"/>
      <c r="K189" s="189"/>
      <c r="L189" s="189"/>
      <c r="M189" s="189"/>
      <c r="N189" s="189"/>
      <c r="O189" s="189"/>
    </row>
    <row r="190" spans="1:17">
      <c r="A190" s="187" t="s">
        <v>5593</v>
      </c>
      <c r="D190" s="190">
        <f t="shared" ref="D190:I190" si="60">SUM(D157:D159)+SUM(D161:D169)+SUM(D172:D174)+SUM(D175:D178)+SUM(D180:D183)+D185+D187+D188</f>
        <v>71858</v>
      </c>
      <c r="E190" s="190">
        <f t="shared" si="60"/>
        <v>71660</v>
      </c>
      <c r="F190" s="190">
        <f t="shared" si="60"/>
        <v>72641</v>
      </c>
      <c r="G190" s="190">
        <f t="shared" si="60"/>
        <v>73227</v>
      </c>
      <c r="H190" s="190">
        <f t="shared" si="60"/>
        <v>72649</v>
      </c>
      <c r="I190" s="190">
        <f t="shared" si="60"/>
        <v>71461</v>
      </c>
      <c r="J190" s="190">
        <f t="shared" ref="J190:O190" si="61">SUM(J157:J159)+SUM(J161:J169)+SUM(J172:J174)+SUM(J175:J178)+SUM(J180:J183)+J185+J187+J188</f>
        <v>73420</v>
      </c>
      <c r="K190" s="190">
        <f t="shared" si="61"/>
        <v>75378</v>
      </c>
      <c r="L190" s="190">
        <f t="shared" si="61"/>
        <v>75796</v>
      </c>
      <c r="M190" s="190">
        <f t="shared" si="61"/>
        <v>76171</v>
      </c>
      <c r="N190" s="190">
        <f t="shared" si="61"/>
        <v>77299</v>
      </c>
      <c r="O190" s="190">
        <f t="shared" si="61"/>
        <v>78759</v>
      </c>
    </row>
    <row r="191" spans="1:17">
      <c r="A191" s="187" t="s">
        <v>3372</v>
      </c>
      <c r="D191" s="190">
        <f t="shared" ref="D191:I191" si="62">D179</f>
        <v>4455</v>
      </c>
      <c r="E191" s="190">
        <f t="shared" si="62"/>
        <v>4555</v>
      </c>
      <c r="F191" s="190">
        <f t="shared" si="62"/>
        <v>4585</v>
      </c>
      <c r="G191" s="190">
        <f t="shared" si="62"/>
        <v>4612</v>
      </c>
      <c r="H191" s="190">
        <f t="shared" si="62"/>
        <v>4578</v>
      </c>
      <c r="I191" s="190">
        <f t="shared" si="62"/>
        <v>4504</v>
      </c>
      <c r="J191" s="190">
        <f t="shared" ref="J191:O191" si="63">J179</f>
        <v>4576</v>
      </c>
      <c r="K191" s="190">
        <f t="shared" si="63"/>
        <v>4744</v>
      </c>
      <c r="L191" s="190">
        <f t="shared" si="63"/>
        <v>4821</v>
      </c>
      <c r="M191" s="190">
        <f t="shared" si="63"/>
        <v>4818</v>
      </c>
      <c r="N191" s="190">
        <f t="shared" si="63"/>
        <v>4861</v>
      </c>
      <c r="O191" s="190">
        <f t="shared" si="63"/>
        <v>4942</v>
      </c>
    </row>
    <row r="192" spans="1:17">
      <c r="A192" s="187" t="s">
        <v>4928</v>
      </c>
      <c r="D192" s="190">
        <f t="shared" ref="D192:I192" si="64">D160+D170+D171+D184+D186</f>
        <v>13839</v>
      </c>
      <c r="E192" s="190">
        <f t="shared" si="64"/>
        <v>13781</v>
      </c>
      <c r="F192" s="190">
        <f t="shared" si="64"/>
        <v>13869</v>
      </c>
      <c r="G192" s="190">
        <f t="shared" si="64"/>
        <v>14099</v>
      </c>
      <c r="H192" s="190">
        <f t="shared" si="64"/>
        <v>14155</v>
      </c>
      <c r="I192" s="190">
        <f t="shared" si="64"/>
        <v>13856</v>
      </c>
      <c r="J192" s="190">
        <f t="shared" ref="J192:O192" si="65">J160+J170+J171+J184+J186</f>
        <v>14068</v>
      </c>
      <c r="K192" s="190">
        <f t="shared" si="65"/>
        <v>14357</v>
      </c>
      <c r="L192" s="190">
        <f t="shared" si="65"/>
        <v>14406</v>
      </c>
      <c r="M192" s="190">
        <f t="shared" si="65"/>
        <v>14511</v>
      </c>
      <c r="N192" s="190">
        <f t="shared" si="65"/>
        <v>14585</v>
      </c>
      <c r="O192" s="190">
        <f t="shared" si="65"/>
        <v>14900</v>
      </c>
    </row>
    <row r="193" spans="1:17">
      <c r="A193" s="187"/>
      <c r="D193" s="190"/>
      <c r="E193" s="190"/>
      <c r="F193" s="190"/>
      <c r="G193" s="190"/>
      <c r="H193" s="190"/>
      <c r="I193" s="190"/>
      <c r="J193" s="190"/>
      <c r="K193" s="190"/>
      <c r="L193" s="190"/>
      <c r="M193" s="190"/>
      <c r="N193" s="190"/>
      <c r="O193" s="190"/>
    </row>
    <row r="194" spans="1:17">
      <c r="A194" s="187" t="s">
        <v>6464</v>
      </c>
      <c r="D194" s="190"/>
      <c r="E194" s="190"/>
      <c r="F194" s="190"/>
      <c r="G194" s="190"/>
      <c r="H194" s="190"/>
      <c r="I194" s="190"/>
      <c r="J194" s="190"/>
      <c r="K194" s="190"/>
      <c r="L194" s="190"/>
      <c r="M194" s="190"/>
      <c r="N194" s="190"/>
      <c r="O194" s="190"/>
    </row>
    <row r="195" spans="1:17">
      <c r="A195" s="187"/>
      <c r="B195" s="187"/>
      <c r="D195" s="198"/>
      <c r="E195" s="198"/>
      <c r="F195" s="198"/>
      <c r="G195" s="198"/>
      <c r="H195" s="198"/>
      <c r="I195" s="198"/>
      <c r="J195" s="198"/>
      <c r="K195" s="198"/>
      <c r="L195" s="198"/>
      <c r="M195" s="198"/>
      <c r="N195" s="198"/>
      <c r="O195" s="198"/>
    </row>
    <row r="196" spans="1:17">
      <c r="A196" s="187"/>
      <c r="B196" s="187"/>
      <c r="D196" s="198"/>
      <c r="E196" s="198"/>
      <c r="F196" s="198"/>
      <c r="G196" s="198"/>
      <c r="H196" s="198"/>
      <c r="I196" s="198"/>
      <c r="J196" s="198"/>
      <c r="K196" s="198"/>
      <c r="L196" s="198"/>
      <c r="M196" s="198"/>
      <c r="N196" s="198"/>
      <c r="O196" s="198"/>
    </row>
    <row r="197" spans="1:17">
      <c r="E197" s="51" t="s">
        <v>1526</v>
      </c>
      <c r="F197" s="51"/>
      <c r="G197" s="51"/>
      <c r="H197" s="51"/>
      <c r="I197" s="51"/>
      <c r="J197" s="51"/>
      <c r="K197" s="51"/>
      <c r="L197" s="51"/>
      <c r="M197" s="51"/>
      <c r="N197" s="51"/>
      <c r="O197" s="51"/>
      <c r="P197" s="52"/>
      <c r="Q197" s="54" t="s">
        <v>9479</v>
      </c>
    </row>
    <row r="198" spans="1:17">
      <c r="D198" s="108">
        <v>2010</v>
      </c>
      <c r="E198" s="108">
        <v>2011</v>
      </c>
      <c r="F198" s="108">
        <v>2012</v>
      </c>
      <c r="G198" s="108">
        <v>2013</v>
      </c>
      <c r="H198" s="108">
        <v>2014</v>
      </c>
      <c r="I198" s="108">
        <v>2015</v>
      </c>
      <c r="J198" s="108">
        <v>2016</v>
      </c>
      <c r="K198" s="108">
        <v>2017</v>
      </c>
      <c r="L198" s="108">
        <v>2018</v>
      </c>
      <c r="M198" s="108">
        <v>2019</v>
      </c>
      <c r="N198" s="108">
        <v>2020</v>
      </c>
      <c r="O198" s="924" t="s">
        <v>14823</v>
      </c>
      <c r="Q198" s="54" t="s">
        <v>1527</v>
      </c>
    </row>
    <row r="199" spans="1:17">
      <c r="A199" s="187" t="s">
        <v>6465</v>
      </c>
      <c r="D199" s="190">
        <f t="shared" ref="D199:J199" si="66">SUM(D200:D211)</f>
        <v>76774</v>
      </c>
      <c r="E199" s="190">
        <f t="shared" si="66"/>
        <v>77800</v>
      </c>
      <c r="F199" s="190">
        <f t="shared" si="66"/>
        <v>77635</v>
      </c>
      <c r="G199" s="190">
        <f t="shared" si="66"/>
        <v>77314</v>
      </c>
      <c r="H199" s="190">
        <f t="shared" si="66"/>
        <v>76831</v>
      </c>
      <c r="I199" s="190">
        <f t="shared" si="66"/>
        <v>77206</v>
      </c>
      <c r="J199" s="190">
        <f t="shared" si="66"/>
        <v>75226</v>
      </c>
      <c r="K199" s="190">
        <f>SUM(K200:K211)</f>
        <v>77342</v>
      </c>
      <c r="L199" s="190">
        <f>SUM(L200:L211)</f>
        <v>77231</v>
      </c>
      <c r="M199" s="190">
        <f>SUM(M200:M211)</f>
        <v>75718</v>
      </c>
      <c r="N199" s="190">
        <f>SUM(N200:N211)</f>
        <v>77018</v>
      </c>
      <c r="O199" s="190">
        <f>SUM(O200:O211)</f>
        <v>77015</v>
      </c>
    </row>
    <row r="200" spans="1:17">
      <c r="A200" s="187" t="s">
        <v>5387</v>
      </c>
      <c r="B200" s="187" t="s">
        <v>11323</v>
      </c>
      <c r="C200" s="55" t="s">
        <v>11322</v>
      </c>
      <c r="D200" s="189">
        <v>76774</v>
      </c>
      <c r="E200" s="189">
        <v>77800</v>
      </c>
      <c r="F200" s="189">
        <v>77635</v>
      </c>
      <c r="G200" s="56">
        <v>77314</v>
      </c>
      <c r="H200" s="56">
        <v>76831</v>
      </c>
      <c r="I200" s="56">
        <v>77206</v>
      </c>
      <c r="J200" s="56">
        <v>6559</v>
      </c>
      <c r="K200" s="56">
        <v>6684</v>
      </c>
      <c r="L200" s="56">
        <v>6643</v>
      </c>
      <c r="M200" s="56">
        <v>6420</v>
      </c>
      <c r="N200" s="56">
        <v>6477</v>
      </c>
      <c r="O200" s="56">
        <v>6542</v>
      </c>
      <c r="Q200" s="187" t="s">
        <v>5598</v>
      </c>
    </row>
    <row r="201" spans="1:17">
      <c r="A201" s="187" t="s">
        <v>5389</v>
      </c>
      <c r="B201" s="187" t="s">
        <v>11324</v>
      </c>
      <c r="C201" s="55" t="s">
        <v>11332</v>
      </c>
      <c r="D201" s="189">
        <v>0</v>
      </c>
      <c r="E201" s="189">
        <v>0</v>
      </c>
      <c r="F201" s="189">
        <v>0</v>
      </c>
      <c r="G201" s="56">
        <v>0</v>
      </c>
      <c r="H201" s="56">
        <v>0</v>
      </c>
      <c r="I201" s="56">
        <v>0</v>
      </c>
      <c r="J201" s="56">
        <v>6437</v>
      </c>
      <c r="K201" s="56">
        <v>6599</v>
      </c>
      <c r="L201" s="56">
        <v>6518</v>
      </c>
      <c r="M201" s="56">
        <v>6410</v>
      </c>
      <c r="N201" s="56">
        <v>6433</v>
      </c>
      <c r="O201" s="56">
        <v>6441</v>
      </c>
      <c r="Q201" s="187" t="s">
        <v>5598</v>
      </c>
    </row>
    <row r="202" spans="1:17">
      <c r="A202" s="187" t="s">
        <v>5391</v>
      </c>
      <c r="B202" s="187" t="s">
        <v>11325</v>
      </c>
      <c r="C202" s="55" t="s">
        <v>11333</v>
      </c>
      <c r="D202" s="189">
        <v>0</v>
      </c>
      <c r="E202" s="189">
        <v>0</v>
      </c>
      <c r="F202" s="189">
        <v>0</v>
      </c>
      <c r="G202" s="56">
        <v>0</v>
      </c>
      <c r="H202" s="56">
        <v>0</v>
      </c>
      <c r="I202" s="56">
        <v>0</v>
      </c>
      <c r="J202" s="56">
        <v>6788</v>
      </c>
      <c r="K202" s="56">
        <v>7039</v>
      </c>
      <c r="L202" s="56">
        <v>7034</v>
      </c>
      <c r="M202" s="56">
        <v>6886</v>
      </c>
      <c r="N202" s="56">
        <v>7046</v>
      </c>
      <c r="O202" s="56">
        <v>7049</v>
      </c>
      <c r="Q202" s="187" t="s">
        <v>5598</v>
      </c>
    </row>
    <row r="203" spans="1:17">
      <c r="A203" s="187" t="s">
        <v>5393</v>
      </c>
      <c r="B203" s="187" t="s">
        <v>11326</v>
      </c>
      <c r="C203" s="55" t="s">
        <v>11334</v>
      </c>
      <c r="D203" s="189">
        <v>0</v>
      </c>
      <c r="E203" s="189">
        <v>0</v>
      </c>
      <c r="F203" s="189">
        <v>0</v>
      </c>
      <c r="G203" s="56">
        <v>0</v>
      </c>
      <c r="H203" s="56">
        <v>0</v>
      </c>
      <c r="I203" s="56">
        <v>0</v>
      </c>
      <c r="J203" s="56">
        <v>6569</v>
      </c>
      <c r="K203" s="56">
        <v>6744</v>
      </c>
      <c r="L203" s="56">
        <v>6745</v>
      </c>
      <c r="M203" s="56">
        <v>6519</v>
      </c>
      <c r="N203" s="56">
        <v>6641</v>
      </c>
      <c r="O203" s="56">
        <v>6689</v>
      </c>
      <c r="Q203" s="187" t="s">
        <v>5598</v>
      </c>
    </row>
    <row r="204" spans="1:17">
      <c r="A204" s="187" t="s">
        <v>5394</v>
      </c>
      <c r="B204" s="187" t="s">
        <v>6466</v>
      </c>
      <c r="C204" s="55" t="s">
        <v>11335</v>
      </c>
      <c r="D204" s="189">
        <v>0</v>
      </c>
      <c r="E204" s="189">
        <v>0</v>
      </c>
      <c r="F204" s="189">
        <v>0</v>
      </c>
      <c r="G204" s="56">
        <v>0</v>
      </c>
      <c r="H204" s="56">
        <v>0</v>
      </c>
      <c r="I204" s="56">
        <v>0</v>
      </c>
      <c r="J204" s="56">
        <v>6424</v>
      </c>
      <c r="K204" s="56">
        <v>6650</v>
      </c>
      <c r="L204" s="56">
        <v>6648</v>
      </c>
      <c r="M204" s="56">
        <v>6462</v>
      </c>
      <c r="N204" s="56">
        <v>6574</v>
      </c>
      <c r="O204" s="56">
        <v>6547</v>
      </c>
      <c r="Q204" s="187" t="s">
        <v>5598</v>
      </c>
    </row>
    <row r="205" spans="1:17">
      <c r="A205" s="187" t="s">
        <v>5416</v>
      </c>
      <c r="B205" s="187" t="s">
        <v>11327</v>
      </c>
      <c r="C205" s="55" t="s">
        <v>11336</v>
      </c>
      <c r="D205" s="189">
        <v>0</v>
      </c>
      <c r="E205" s="189">
        <v>0</v>
      </c>
      <c r="F205" s="189">
        <v>0</v>
      </c>
      <c r="G205" s="56">
        <v>0</v>
      </c>
      <c r="H205" s="56">
        <v>0</v>
      </c>
      <c r="I205" s="56">
        <v>0</v>
      </c>
      <c r="J205" s="56">
        <v>6807</v>
      </c>
      <c r="K205" s="56">
        <v>7151</v>
      </c>
      <c r="L205" s="56">
        <v>7351</v>
      </c>
      <c r="M205" s="56">
        <v>7264</v>
      </c>
      <c r="N205" s="56">
        <v>7403</v>
      </c>
      <c r="O205" s="56">
        <v>7391</v>
      </c>
      <c r="Q205" s="187" t="s">
        <v>5598</v>
      </c>
    </row>
    <row r="206" spans="1:17">
      <c r="A206" s="187" t="s">
        <v>5418</v>
      </c>
      <c r="B206" s="187" t="s">
        <v>11328</v>
      </c>
      <c r="C206" s="55" t="s">
        <v>11337</v>
      </c>
      <c r="D206" s="189">
        <v>0</v>
      </c>
      <c r="E206" s="189">
        <v>0</v>
      </c>
      <c r="F206" s="189">
        <v>0</v>
      </c>
      <c r="G206" s="56">
        <v>0</v>
      </c>
      <c r="H206" s="56">
        <v>0</v>
      </c>
      <c r="I206" s="56">
        <v>0</v>
      </c>
      <c r="J206" s="56">
        <v>7591</v>
      </c>
      <c r="K206" s="56">
        <v>7736</v>
      </c>
      <c r="L206" s="56">
        <v>7625</v>
      </c>
      <c r="M206" s="56">
        <v>7563</v>
      </c>
      <c r="N206" s="56">
        <v>7660</v>
      </c>
      <c r="O206" s="56">
        <v>7625</v>
      </c>
      <c r="Q206" s="187" t="s">
        <v>5598</v>
      </c>
    </row>
    <row r="207" spans="1:17">
      <c r="A207" s="187" t="s">
        <v>5420</v>
      </c>
      <c r="B207" s="187" t="s">
        <v>6467</v>
      </c>
      <c r="C207" s="55" t="s">
        <v>11338</v>
      </c>
      <c r="D207" s="189">
        <v>0</v>
      </c>
      <c r="E207" s="189">
        <v>0</v>
      </c>
      <c r="F207" s="189">
        <v>0</v>
      </c>
      <c r="G207" s="56">
        <v>0</v>
      </c>
      <c r="H207" s="56">
        <v>0</v>
      </c>
      <c r="I207" s="56">
        <v>0</v>
      </c>
      <c r="J207" s="56">
        <v>2189</v>
      </c>
      <c r="K207" s="56">
        <v>2232</v>
      </c>
      <c r="L207" s="56">
        <v>2214</v>
      </c>
      <c r="M207" s="56">
        <v>2174</v>
      </c>
      <c r="N207" s="56">
        <v>2222</v>
      </c>
      <c r="O207" s="56">
        <v>2217</v>
      </c>
      <c r="Q207" s="187" t="s">
        <v>5598</v>
      </c>
    </row>
    <row r="208" spans="1:17">
      <c r="A208" s="187" t="s">
        <v>5422</v>
      </c>
      <c r="B208" s="187" t="s">
        <v>6468</v>
      </c>
      <c r="C208" s="55" t="s">
        <v>11339</v>
      </c>
      <c r="D208" s="189">
        <v>0</v>
      </c>
      <c r="E208" s="189">
        <v>0</v>
      </c>
      <c r="F208" s="189">
        <v>0</v>
      </c>
      <c r="G208" s="56">
        <v>0</v>
      </c>
      <c r="H208" s="56">
        <v>0</v>
      </c>
      <c r="I208" s="56">
        <v>0</v>
      </c>
      <c r="J208" s="56">
        <v>7246</v>
      </c>
      <c r="K208" s="56">
        <v>7393</v>
      </c>
      <c r="L208" s="56">
        <v>7405</v>
      </c>
      <c r="M208" s="56">
        <v>7289</v>
      </c>
      <c r="N208" s="56">
        <v>7483</v>
      </c>
      <c r="O208" s="56">
        <v>7485</v>
      </c>
      <c r="Q208" s="187" t="s">
        <v>5598</v>
      </c>
    </row>
    <row r="209" spans="1:17">
      <c r="A209" s="187" t="s">
        <v>5424</v>
      </c>
      <c r="B209" s="187" t="s">
        <v>11329</v>
      </c>
      <c r="C209" s="55" t="s">
        <v>11340</v>
      </c>
      <c r="D209" s="189">
        <v>0</v>
      </c>
      <c r="E209" s="189">
        <v>0</v>
      </c>
      <c r="F209" s="189">
        <v>0</v>
      </c>
      <c r="G209" s="56">
        <v>0</v>
      </c>
      <c r="H209" s="56">
        <v>0</v>
      </c>
      <c r="I209" s="56">
        <v>0</v>
      </c>
      <c r="J209" s="56">
        <v>7295</v>
      </c>
      <c r="K209" s="56">
        <v>7456</v>
      </c>
      <c r="L209" s="56">
        <v>7386</v>
      </c>
      <c r="M209" s="56">
        <v>7199</v>
      </c>
      <c r="N209" s="56">
        <v>7338</v>
      </c>
      <c r="O209" s="56">
        <v>7337</v>
      </c>
      <c r="Q209" s="187" t="s">
        <v>5598</v>
      </c>
    </row>
    <row r="210" spans="1:17">
      <c r="A210" s="187" t="s">
        <v>5426</v>
      </c>
      <c r="B210" s="187" t="s">
        <v>11330</v>
      </c>
      <c r="C210" s="55" t="s">
        <v>11341</v>
      </c>
      <c r="D210" s="189">
        <v>0</v>
      </c>
      <c r="E210" s="189">
        <v>0</v>
      </c>
      <c r="F210" s="189">
        <v>0</v>
      </c>
      <c r="G210" s="56">
        <v>0</v>
      </c>
      <c r="H210" s="56">
        <v>0</v>
      </c>
      <c r="I210" s="56">
        <v>0</v>
      </c>
      <c r="J210" s="56">
        <v>4277</v>
      </c>
      <c r="K210" s="56">
        <v>4407</v>
      </c>
      <c r="L210" s="56">
        <v>4381</v>
      </c>
      <c r="M210" s="56">
        <v>4338</v>
      </c>
      <c r="N210" s="56">
        <v>4365</v>
      </c>
      <c r="O210" s="56">
        <v>4335</v>
      </c>
      <c r="Q210" s="187" t="s">
        <v>5598</v>
      </c>
    </row>
    <row r="211" spans="1:17">
      <c r="A211" s="187" t="s">
        <v>5428</v>
      </c>
      <c r="B211" s="187" t="s">
        <v>11331</v>
      </c>
      <c r="C211" s="55" t="s">
        <v>11342</v>
      </c>
      <c r="D211" s="189">
        <v>0</v>
      </c>
      <c r="E211" s="189">
        <v>0</v>
      </c>
      <c r="F211" s="189">
        <v>0</v>
      </c>
      <c r="G211" s="56">
        <v>0</v>
      </c>
      <c r="H211" s="56">
        <v>0</v>
      </c>
      <c r="I211" s="56">
        <v>0</v>
      </c>
      <c r="J211" s="56">
        <v>7044</v>
      </c>
      <c r="K211" s="56">
        <v>7251</v>
      </c>
      <c r="L211" s="56">
        <v>7281</v>
      </c>
      <c r="M211" s="56">
        <v>7194</v>
      </c>
      <c r="N211" s="56">
        <v>7376</v>
      </c>
      <c r="O211" s="56">
        <v>7357</v>
      </c>
      <c r="Q211" s="187" t="s">
        <v>5598</v>
      </c>
    </row>
    <row r="212" spans="1:17">
      <c r="D212" s="189"/>
      <c r="E212" s="189"/>
      <c r="F212" s="189"/>
      <c r="G212" s="189"/>
      <c r="H212" s="189"/>
      <c r="I212" s="189"/>
      <c r="J212" s="189"/>
      <c r="K212" s="189"/>
      <c r="L212" s="189"/>
      <c r="M212" s="189"/>
      <c r="N212" s="189"/>
      <c r="O212" s="189"/>
    </row>
    <row r="213" spans="1:17">
      <c r="A213" s="187" t="s">
        <v>5598</v>
      </c>
      <c r="D213" s="190">
        <f t="shared" ref="D213:L213" si="67">SUM(D200:D211)</f>
        <v>76774</v>
      </c>
      <c r="E213" s="190">
        <f t="shared" si="67"/>
        <v>77800</v>
      </c>
      <c r="F213" s="190">
        <f t="shared" si="67"/>
        <v>77635</v>
      </c>
      <c r="G213" s="190">
        <f t="shared" si="67"/>
        <v>77314</v>
      </c>
      <c r="H213" s="190">
        <f t="shared" si="67"/>
        <v>76831</v>
      </c>
      <c r="I213" s="190">
        <f t="shared" si="67"/>
        <v>77206</v>
      </c>
      <c r="J213" s="190">
        <f t="shared" si="67"/>
        <v>75226</v>
      </c>
      <c r="K213" s="190">
        <f t="shared" si="67"/>
        <v>77342</v>
      </c>
      <c r="L213" s="190">
        <f t="shared" si="67"/>
        <v>77231</v>
      </c>
      <c r="M213" s="190">
        <f>SUM(M200:M211)</f>
        <v>75718</v>
      </c>
      <c r="N213" s="190">
        <f>SUM(N200:N211)</f>
        <v>77018</v>
      </c>
      <c r="O213" s="190">
        <f>SUM(O200:O211)</f>
        <v>77015</v>
      </c>
    </row>
    <row r="214" spans="1:17">
      <c r="B214" s="76"/>
      <c r="C214" s="76"/>
      <c r="D214" s="76"/>
      <c r="E214" s="76"/>
      <c r="F214" s="76"/>
      <c r="G214" s="76"/>
      <c r="H214" s="76"/>
      <c r="I214" s="76"/>
      <c r="J214" s="76"/>
      <c r="K214" s="76"/>
      <c r="L214" s="76"/>
      <c r="M214" s="76"/>
      <c r="N214" s="76"/>
      <c r="O214" s="76"/>
      <c r="P214" s="76"/>
      <c r="Q214" s="76"/>
    </row>
    <row r="215" spans="1:17">
      <c r="A215" s="108" t="s">
        <v>11343</v>
      </c>
      <c r="B215" s="76"/>
      <c r="C215" s="76"/>
      <c r="D215" s="76"/>
      <c r="E215" s="76"/>
      <c r="F215" s="76"/>
      <c r="G215" s="76"/>
      <c r="H215" s="76"/>
      <c r="I215" s="76"/>
      <c r="J215" s="76"/>
      <c r="K215" s="76"/>
      <c r="L215" s="76"/>
      <c r="M215" s="76"/>
      <c r="N215" s="76"/>
      <c r="O215" s="76"/>
      <c r="P215" s="76"/>
      <c r="Q215" s="76"/>
    </row>
  </sheetData>
  <phoneticPr fontId="6" type="noConversion"/>
  <printOptions gridLinesSet="0"/>
  <pageMargins left="0.78740157480314965" right="0" top="0.51181102362204722" bottom="0.51181102362204722" header="0.51181102362204722" footer="0.51181102362204722"/>
  <pageSetup paperSize="9" scale="62" orientation="portrait" horizontalDpi="300" verticalDpi="300" r:id="rId1"/>
  <headerFooter alignWithMargins="0">
    <oddFooter>&amp;C&amp;"Times New Roman,Regular"&amp;8&amp;P of &amp;N</oddFooter>
  </headerFooter>
  <rowBreaks count="6" manualBreakCount="6">
    <brk id="37" max="10" man="1"/>
    <brk id="76" max="10" man="1"/>
    <brk id="107" max="10" man="1"/>
    <brk id="128" max="10" man="1"/>
    <brk id="152" max="10" man="1"/>
    <brk id="195" max="10" man="1"/>
  </rowBreaks>
  <ignoredErrors>
    <ignoredError sqref="D73:K73 D41:K41 D125:K125 D111:K111 D149:K149 D132:K132 D190:D192 D156:K156 D213:K213 D199:K199 D104:K104 D80:K80 D3:D11 E190:E192 E3:E11 F190:F192 F3:F11 G190:G192 G3:G11 D12:D34 E12:E34 F12:F34 G12:G34 H190:H192 H3:H11 H12:H34 I190:I192 I3:I34 J190:J192 J3:J34 K190:K192 K3:K34 L3:L213" unlockedFormula="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ransitionEvaluation="1"/>
  <dimension ref="A1:Q51"/>
  <sheetViews>
    <sheetView showGridLines="0" zoomScale="90" zoomScaleNormal="90" workbookViewId="0">
      <selection activeCell="O3" sqref="O3"/>
    </sheetView>
  </sheetViews>
  <sheetFormatPr defaultColWidth="12.5703125" defaultRowHeight="15"/>
  <cols>
    <col min="1" max="1" width="4.7109375" style="107" customWidth="1"/>
    <col min="2" max="2" width="40.7109375" style="107" customWidth="1"/>
    <col min="3" max="3" width="11.5703125" style="107" customWidth="1"/>
    <col min="4" max="15" width="10" style="107" customWidth="1"/>
    <col min="16" max="16" width="2.28515625" style="107" customWidth="1"/>
    <col min="17" max="17" width="33.140625" style="107" customWidth="1"/>
    <col min="18" max="16384" width="12.5703125" style="107"/>
  </cols>
  <sheetData>
    <row r="1" spans="1:17">
      <c r="A1" s="176" t="s">
        <v>6924</v>
      </c>
      <c r="D1" s="177">
        <v>2010</v>
      </c>
      <c r="E1" s="177">
        <v>2011</v>
      </c>
      <c r="F1" s="177">
        <v>2012</v>
      </c>
      <c r="G1" s="177">
        <v>2013</v>
      </c>
      <c r="H1" s="177">
        <v>2014</v>
      </c>
      <c r="I1" s="177">
        <v>2015</v>
      </c>
      <c r="J1" s="177">
        <v>2016</v>
      </c>
      <c r="K1" s="177">
        <v>2017</v>
      </c>
      <c r="L1" s="177">
        <v>2018</v>
      </c>
      <c r="M1" s="177">
        <v>2019</v>
      </c>
      <c r="N1" s="177">
        <v>2020</v>
      </c>
      <c r="O1" s="923" t="s">
        <v>14823</v>
      </c>
    </row>
    <row r="3" spans="1:17">
      <c r="A3" s="176" t="s">
        <v>3484</v>
      </c>
      <c r="D3" s="178">
        <f t="shared" ref="D3:I3" si="0">SUM(D17:D24)+SUM(D26:D30)+SUM(D32:D34)+SUM(D36:D40)+SUM(D42:D45)</f>
        <v>148810</v>
      </c>
      <c r="E3" s="178">
        <f t="shared" si="0"/>
        <v>150781</v>
      </c>
      <c r="F3" s="178">
        <f t="shared" si="0"/>
        <v>152510</v>
      </c>
      <c r="G3" s="178">
        <f t="shared" si="0"/>
        <v>152053</v>
      </c>
      <c r="H3" s="178">
        <f t="shared" si="0"/>
        <v>153430</v>
      </c>
      <c r="I3" s="178">
        <f t="shared" si="0"/>
        <v>143140</v>
      </c>
      <c r="J3" s="178">
        <f t="shared" ref="J3:O3" si="1">SUM(J17:J24)+SUM(J26:J30)+SUM(J32:J34)+SUM(J36:J40)+SUM(J42:J45)</f>
        <v>147364</v>
      </c>
      <c r="K3" s="178">
        <f t="shared" si="1"/>
        <v>145153</v>
      </c>
      <c r="L3" s="178">
        <f t="shared" si="1"/>
        <v>149670</v>
      </c>
      <c r="M3" s="178">
        <f t="shared" si="1"/>
        <v>141440</v>
      </c>
      <c r="N3" s="178">
        <f t="shared" si="1"/>
        <v>142347</v>
      </c>
      <c r="O3" s="178">
        <f t="shared" si="1"/>
        <v>147574</v>
      </c>
    </row>
    <row r="4" spans="1:17">
      <c r="D4" s="179"/>
      <c r="E4" s="179"/>
      <c r="F4" s="179"/>
      <c r="G4" s="179"/>
      <c r="H4" s="179"/>
      <c r="I4" s="179"/>
      <c r="J4" s="179"/>
      <c r="K4" s="179"/>
      <c r="L4" s="179"/>
      <c r="M4" s="179"/>
      <c r="N4" s="179"/>
      <c r="O4" s="179"/>
    </row>
    <row r="5" spans="1:17">
      <c r="A5" s="176" t="s">
        <v>2476</v>
      </c>
      <c r="D5" s="180">
        <f t="shared" ref="D5:I5" si="2">D3/2</f>
        <v>74405</v>
      </c>
      <c r="E5" s="180">
        <f t="shared" si="2"/>
        <v>75390.5</v>
      </c>
      <c r="F5" s="180">
        <f t="shared" si="2"/>
        <v>76255</v>
      </c>
      <c r="G5" s="180">
        <f t="shared" si="2"/>
        <v>76026.5</v>
      </c>
      <c r="H5" s="180">
        <f t="shared" si="2"/>
        <v>76715</v>
      </c>
      <c r="I5" s="180">
        <f t="shared" si="2"/>
        <v>71570</v>
      </c>
      <c r="J5" s="180">
        <f t="shared" ref="J5:O5" si="3">J3/2</f>
        <v>73682</v>
      </c>
      <c r="K5" s="180">
        <f t="shared" si="3"/>
        <v>72576.5</v>
      </c>
      <c r="L5" s="180">
        <f t="shared" si="3"/>
        <v>74835</v>
      </c>
      <c r="M5" s="180">
        <f t="shared" si="3"/>
        <v>70720</v>
      </c>
      <c r="N5" s="180">
        <f t="shared" si="3"/>
        <v>71173.5</v>
      </c>
      <c r="O5" s="180">
        <f t="shared" si="3"/>
        <v>73787</v>
      </c>
    </row>
    <row r="6" spans="1:17">
      <c r="D6" s="179"/>
      <c r="E6" s="179"/>
      <c r="F6" s="179"/>
      <c r="G6" s="179"/>
      <c r="H6" s="179"/>
      <c r="I6" s="179"/>
      <c r="J6" s="179"/>
      <c r="K6" s="179"/>
      <c r="L6" s="179"/>
      <c r="M6" s="179"/>
      <c r="N6" s="179"/>
      <c r="O6" s="179"/>
    </row>
    <row r="7" spans="1:17">
      <c r="A7" s="176" t="s">
        <v>3485</v>
      </c>
      <c r="D7" s="180">
        <f t="shared" ref="D7:I7" si="4">D17+D19+D22+D23+D26+D28+D29+D32+D33+D37+D39+D44</f>
        <v>74013</v>
      </c>
      <c r="E7" s="180">
        <f t="shared" si="4"/>
        <v>75656</v>
      </c>
      <c r="F7" s="180">
        <f t="shared" si="4"/>
        <v>77027</v>
      </c>
      <c r="G7" s="180">
        <f t="shared" si="4"/>
        <v>76028</v>
      </c>
      <c r="H7" s="180">
        <f t="shared" si="4"/>
        <v>76753</v>
      </c>
      <c r="I7" s="180">
        <f t="shared" si="4"/>
        <v>68502</v>
      </c>
      <c r="J7" s="180">
        <f t="shared" ref="J7:O7" si="5">J17+J19+J22+J23+J26+J28+J29+J32+J33+J37+J39+J44</f>
        <v>71586</v>
      </c>
      <c r="K7" s="180">
        <f t="shared" si="5"/>
        <v>71822</v>
      </c>
      <c r="L7" s="180">
        <f t="shared" si="5"/>
        <v>74181</v>
      </c>
      <c r="M7" s="180">
        <f t="shared" si="5"/>
        <v>69076</v>
      </c>
      <c r="N7" s="180">
        <f t="shared" si="5"/>
        <v>69608</v>
      </c>
      <c r="O7" s="180">
        <f t="shared" si="5"/>
        <v>73445</v>
      </c>
      <c r="Q7" s="176" t="s">
        <v>3486</v>
      </c>
    </row>
    <row r="8" spans="1:17">
      <c r="D8" s="181" t="s">
        <v>5744</v>
      </c>
      <c r="E8" s="181" t="s">
        <v>5744</v>
      </c>
      <c r="F8" s="181" t="s">
        <v>5744</v>
      </c>
      <c r="G8" s="181" t="s">
        <v>5744</v>
      </c>
      <c r="H8" s="181" t="s">
        <v>5744</v>
      </c>
      <c r="I8" s="181" t="s">
        <v>5744</v>
      </c>
      <c r="J8" s="181" t="s">
        <v>5744</v>
      </c>
      <c r="K8" s="181" t="s">
        <v>5744</v>
      </c>
      <c r="L8" s="181" t="s">
        <v>5744</v>
      </c>
      <c r="M8" s="181" t="s">
        <v>5744</v>
      </c>
      <c r="N8" s="181" t="s">
        <v>5744</v>
      </c>
      <c r="O8" s="181" t="s">
        <v>5744</v>
      </c>
    </row>
    <row r="9" spans="1:17">
      <c r="A9" s="176" t="s">
        <v>3487</v>
      </c>
      <c r="D9" s="178">
        <f t="shared" ref="D9:J9" si="6">D18+D20+D21+D24+D27+D30+D34+D36+D38+D40+D42+D43+D45</f>
        <v>74797</v>
      </c>
      <c r="E9" s="178">
        <f t="shared" si="6"/>
        <v>75125</v>
      </c>
      <c r="F9" s="178">
        <f t="shared" si="6"/>
        <v>75483</v>
      </c>
      <c r="G9" s="178">
        <f t="shared" si="6"/>
        <v>76025</v>
      </c>
      <c r="H9" s="178">
        <f t="shared" si="6"/>
        <v>76677</v>
      </c>
      <c r="I9" s="178">
        <f t="shared" si="6"/>
        <v>74638</v>
      </c>
      <c r="J9" s="178">
        <f t="shared" si="6"/>
        <v>75778</v>
      </c>
      <c r="K9" s="178">
        <f>K18+K20+K21+K24+K27+K30+K34+K36+K38+K40+K42+K43+K45</f>
        <v>73331</v>
      </c>
      <c r="L9" s="178">
        <f>L18+L20+L21+L24+L27+L30+L34+L36+L38+L40+L42+L43+L45</f>
        <v>75489</v>
      </c>
      <c r="M9" s="178">
        <f>M18+M20+M21+M24+M27+M30+M34+M36+M38+M40+M42+M43+M45</f>
        <v>72364</v>
      </c>
      <c r="N9" s="178">
        <f>N18+N20+N21+N24+N27+N30+N34+N36+N38+N40+N42+N43+N45</f>
        <v>72739</v>
      </c>
      <c r="O9" s="178">
        <f>O18+O20+O21+O24+O27+O30+O34+O36+O38+O40+O42+O43+O45</f>
        <v>74129</v>
      </c>
      <c r="Q9" s="176" t="s">
        <v>3486</v>
      </c>
    </row>
    <row r="10" spans="1:17">
      <c r="D10" s="181" t="s">
        <v>5744</v>
      </c>
      <c r="E10" s="181" t="s">
        <v>5744</v>
      </c>
      <c r="F10" s="181" t="s">
        <v>5744</v>
      </c>
      <c r="G10" s="181" t="s">
        <v>5744</v>
      </c>
      <c r="H10" s="181" t="s">
        <v>5744</v>
      </c>
      <c r="I10" s="181" t="s">
        <v>5744</v>
      </c>
      <c r="J10" s="181" t="s">
        <v>5744</v>
      </c>
      <c r="K10" s="181" t="s">
        <v>5744</v>
      </c>
      <c r="L10" s="181" t="s">
        <v>5744</v>
      </c>
      <c r="M10" s="181" t="s">
        <v>5744</v>
      </c>
      <c r="N10" s="181" t="s">
        <v>5744</v>
      </c>
      <c r="O10" s="181" t="s">
        <v>5744</v>
      </c>
    </row>
    <row r="11" spans="1:17">
      <c r="A11" s="176" t="s">
        <v>6796</v>
      </c>
      <c r="D11" s="180">
        <f t="shared" ref="D11:I11" si="7">D7+D9</f>
        <v>148810</v>
      </c>
      <c r="E11" s="180">
        <f t="shared" si="7"/>
        <v>150781</v>
      </c>
      <c r="F11" s="180">
        <f t="shared" si="7"/>
        <v>152510</v>
      </c>
      <c r="G11" s="180">
        <f t="shared" si="7"/>
        <v>152053</v>
      </c>
      <c r="H11" s="180">
        <f t="shared" si="7"/>
        <v>153430</v>
      </c>
      <c r="I11" s="180">
        <f t="shared" si="7"/>
        <v>143140</v>
      </c>
      <c r="J11" s="180">
        <f t="shared" ref="J11:O11" si="8">J7+J9</f>
        <v>147364</v>
      </c>
      <c r="K11" s="180">
        <f t="shared" si="8"/>
        <v>145153</v>
      </c>
      <c r="L11" s="180">
        <f t="shared" si="8"/>
        <v>149670</v>
      </c>
      <c r="M11" s="180">
        <f t="shared" si="8"/>
        <v>141440</v>
      </c>
      <c r="N11" s="180">
        <f t="shared" si="8"/>
        <v>142347</v>
      </c>
      <c r="O11" s="180">
        <f t="shared" si="8"/>
        <v>147574</v>
      </c>
    </row>
    <row r="12" spans="1:17">
      <c r="D12" s="179"/>
      <c r="E12" s="179"/>
      <c r="F12" s="179"/>
      <c r="G12" s="179"/>
      <c r="H12" s="179"/>
      <c r="I12" s="179"/>
      <c r="J12" s="179"/>
      <c r="K12" s="179"/>
      <c r="L12" s="179"/>
      <c r="M12" s="179"/>
      <c r="N12" s="179"/>
      <c r="O12" s="179"/>
    </row>
    <row r="13" spans="1:17">
      <c r="A13" s="176" t="s">
        <v>6797</v>
      </c>
      <c r="D13" s="180">
        <f t="shared" ref="D13:I13" si="9">MAX(D7,D9)-MIN(D7,D9)</f>
        <v>784</v>
      </c>
      <c r="E13" s="180">
        <f t="shared" si="9"/>
        <v>531</v>
      </c>
      <c r="F13" s="180">
        <f t="shared" si="9"/>
        <v>1544</v>
      </c>
      <c r="G13" s="180">
        <f t="shared" si="9"/>
        <v>3</v>
      </c>
      <c r="H13" s="180">
        <f t="shared" si="9"/>
        <v>76</v>
      </c>
      <c r="I13" s="180">
        <f t="shared" si="9"/>
        <v>6136</v>
      </c>
      <c r="J13" s="180">
        <f t="shared" ref="J13:O13" si="10">MAX(J7,J9)-MIN(J7,J9)</f>
        <v>4192</v>
      </c>
      <c r="K13" s="180">
        <f t="shared" si="10"/>
        <v>1509</v>
      </c>
      <c r="L13" s="180">
        <f t="shared" si="10"/>
        <v>1308</v>
      </c>
      <c r="M13" s="180">
        <f t="shared" si="10"/>
        <v>3288</v>
      </c>
      <c r="N13" s="180">
        <f t="shared" si="10"/>
        <v>3131</v>
      </c>
      <c r="O13" s="180">
        <f t="shared" si="10"/>
        <v>684</v>
      </c>
    </row>
    <row r="14" spans="1:17">
      <c r="D14" s="179"/>
      <c r="E14" s="179"/>
      <c r="F14" s="179"/>
      <c r="G14" s="179"/>
      <c r="H14" s="179"/>
      <c r="I14" s="179"/>
      <c r="J14" s="179"/>
      <c r="K14" s="179"/>
      <c r="L14" s="179"/>
      <c r="M14" s="179"/>
      <c r="N14" s="179"/>
      <c r="O14" s="179"/>
    </row>
    <row r="15" spans="1:17">
      <c r="A15" s="176" t="s">
        <v>6800</v>
      </c>
      <c r="D15" s="180">
        <f t="shared" ref="D15:I15" si="11">STDEVP(D7,D9)</f>
        <v>392</v>
      </c>
      <c r="E15" s="180">
        <f t="shared" si="11"/>
        <v>265.5</v>
      </c>
      <c r="F15" s="180">
        <f t="shared" si="11"/>
        <v>772</v>
      </c>
      <c r="G15" s="180">
        <f t="shared" si="11"/>
        <v>1.5</v>
      </c>
      <c r="H15" s="180">
        <f t="shared" si="11"/>
        <v>38</v>
      </c>
      <c r="I15" s="180">
        <f t="shared" si="11"/>
        <v>3068</v>
      </c>
      <c r="J15" s="180">
        <f t="shared" ref="J15:O15" si="12">STDEVP(J7,J9)</f>
        <v>2096</v>
      </c>
      <c r="K15" s="180">
        <f t="shared" si="12"/>
        <v>754.5</v>
      </c>
      <c r="L15" s="180">
        <f t="shared" si="12"/>
        <v>654</v>
      </c>
      <c r="M15" s="180">
        <f t="shared" si="12"/>
        <v>1644</v>
      </c>
      <c r="N15" s="180">
        <f t="shared" si="12"/>
        <v>1565.5</v>
      </c>
      <c r="O15" s="180">
        <f t="shared" si="12"/>
        <v>342</v>
      </c>
    </row>
    <row r="17" spans="1:17">
      <c r="A17" s="182">
        <v>1</v>
      </c>
      <c r="B17" s="176" t="s">
        <v>3488</v>
      </c>
      <c r="C17" s="55" t="s">
        <v>10249</v>
      </c>
      <c r="D17" s="180">
        <v>74013</v>
      </c>
      <c r="E17" s="180">
        <v>75656</v>
      </c>
      <c r="F17" s="180">
        <v>77027</v>
      </c>
      <c r="G17" s="180">
        <v>76028</v>
      </c>
      <c r="H17" s="63">
        <v>76753</v>
      </c>
      <c r="I17" s="63">
        <v>6241</v>
      </c>
      <c r="J17" s="63">
        <v>6413</v>
      </c>
      <c r="K17" s="63">
        <v>6624</v>
      </c>
      <c r="L17" s="63">
        <v>6771</v>
      </c>
      <c r="M17" s="63">
        <v>6676</v>
      </c>
      <c r="N17" s="63">
        <v>6599</v>
      </c>
      <c r="O17" s="63">
        <v>6664</v>
      </c>
      <c r="Q17" s="176" t="s">
        <v>3485</v>
      </c>
    </row>
    <row r="18" spans="1:17">
      <c r="A18" s="182">
        <v>2</v>
      </c>
      <c r="B18" s="176" t="s">
        <v>3489</v>
      </c>
      <c r="C18" s="55" t="s">
        <v>10253</v>
      </c>
      <c r="D18" s="178">
        <v>74797</v>
      </c>
      <c r="E18" s="178">
        <v>75125</v>
      </c>
      <c r="F18" s="178">
        <v>75483</v>
      </c>
      <c r="G18" s="178">
        <v>76025</v>
      </c>
      <c r="H18" s="63">
        <v>76677</v>
      </c>
      <c r="I18" s="63">
        <v>3172</v>
      </c>
      <c r="J18" s="63">
        <v>3236</v>
      </c>
      <c r="K18" s="63">
        <v>3305</v>
      </c>
      <c r="L18" s="63">
        <v>3370</v>
      </c>
      <c r="M18" s="63">
        <v>3321</v>
      </c>
      <c r="N18" s="63">
        <v>3313</v>
      </c>
      <c r="O18" s="63">
        <v>3351</v>
      </c>
      <c r="Q18" s="176" t="s">
        <v>3487</v>
      </c>
    </row>
    <row r="19" spans="1:17">
      <c r="A19" s="182">
        <v>3</v>
      </c>
      <c r="B19" s="176" t="s">
        <v>6190</v>
      </c>
      <c r="C19" s="55" t="s">
        <v>10254</v>
      </c>
      <c r="D19" s="180">
        <v>0</v>
      </c>
      <c r="E19" s="180">
        <v>0</v>
      </c>
      <c r="F19" s="180">
        <v>0</v>
      </c>
      <c r="G19" s="180">
        <v>0</v>
      </c>
      <c r="H19" s="180">
        <v>0</v>
      </c>
      <c r="I19" s="63">
        <v>6081</v>
      </c>
      <c r="J19" s="63">
        <v>6358</v>
      </c>
      <c r="K19" s="63">
        <v>6465</v>
      </c>
      <c r="L19" s="63">
        <v>6556</v>
      </c>
      <c r="M19" s="63">
        <v>6329</v>
      </c>
      <c r="N19" s="63">
        <v>6353</v>
      </c>
      <c r="O19" s="63">
        <v>6647</v>
      </c>
      <c r="Q19" s="176" t="s">
        <v>3485</v>
      </c>
    </row>
    <row r="20" spans="1:17">
      <c r="A20" s="182">
        <v>4</v>
      </c>
      <c r="B20" s="176" t="s">
        <v>10250</v>
      </c>
      <c r="C20" s="55" t="s">
        <v>10255</v>
      </c>
      <c r="D20" s="178">
        <v>0</v>
      </c>
      <c r="E20" s="178">
        <v>0</v>
      </c>
      <c r="F20" s="178">
        <v>0</v>
      </c>
      <c r="G20" s="178">
        <v>0</v>
      </c>
      <c r="H20" s="178">
        <v>0</v>
      </c>
      <c r="I20" s="63">
        <v>3434</v>
      </c>
      <c r="J20" s="63">
        <v>3378</v>
      </c>
      <c r="K20" s="63">
        <v>3352</v>
      </c>
      <c r="L20" s="63">
        <v>3384</v>
      </c>
      <c r="M20" s="63">
        <v>3322</v>
      </c>
      <c r="N20" s="63">
        <v>3329</v>
      </c>
      <c r="O20" s="63">
        <v>3339</v>
      </c>
      <c r="Q20" s="176" t="s">
        <v>3487</v>
      </c>
    </row>
    <row r="21" spans="1:17">
      <c r="A21" s="182">
        <v>5</v>
      </c>
      <c r="B21" s="176" t="s">
        <v>10251</v>
      </c>
      <c r="C21" s="55" t="s">
        <v>10256</v>
      </c>
      <c r="D21" s="180">
        <v>0</v>
      </c>
      <c r="E21" s="180">
        <v>0</v>
      </c>
      <c r="F21" s="180">
        <v>0</v>
      </c>
      <c r="G21" s="180">
        <v>0</v>
      </c>
      <c r="H21" s="180">
        <v>0</v>
      </c>
      <c r="I21" s="63">
        <v>8833</v>
      </c>
      <c r="J21" s="63">
        <v>8838</v>
      </c>
      <c r="K21" s="63">
        <v>9021</v>
      </c>
      <c r="L21" s="63">
        <v>9198</v>
      </c>
      <c r="M21" s="63">
        <v>9006</v>
      </c>
      <c r="N21" s="63">
        <v>8920</v>
      </c>
      <c r="O21" s="63">
        <v>9033</v>
      </c>
      <c r="Q21" s="176" t="s">
        <v>3487</v>
      </c>
    </row>
    <row r="22" spans="1:17">
      <c r="A22" s="182">
        <v>6</v>
      </c>
      <c r="B22" s="176" t="s">
        <v>6438</v>
      </c>
      <c r="C22" s="55" t="s">
        <v>10257</v>
      </c>
      <c r="D22" s="180">
        <v>0</v>
      </c>
      <c r="E22" s="180">
        <v>0</v>
      </c>
      <c r="F22" s="180">
        <v>0</v>
      </c>
      <c r="G22" s="180">
        <v>0</v>
      </c>
      <c r="H22" s="180">
        <v>0</v>
      </c>
      <c r="I22" s="63">
        <v>5424</v>
      </c>
      <c r="J22" s="63">
        <v>6023</v>
      </c>
      <c r="K22" s="63">
        <v>5925</v>
      </c>
      <c r="L22" s="63">
        <v>6128</v>
      </c>
      <c r="M22" s="63">
        <v>5340</v>
      </c>
      <c r="N22" s="63">
        <v>5634</v>
      </c>
      <c r="O22" s="63">
        <v>6098</v>
      </c>
      <c r="Q22" s="176" t="s">
        <v>3485</v>
      </c>
    </row>
    <row r="23" spans="1:17">
      <c r="A23" s="182">
        <v>7</v>
      </c>
      <c r="B23" s="176" t="s">
        <v>10252</v>
      </c>
      <c r="C23" s="55" t="s">
        <v>10258</v>
      </c>
      <c r="D23" s="180">
        <v>0</v>
      </c>
      <c r="E23" s="180">
        <v>0</v>
      </c>
      <c r="F23" s="180">
        <v>0</v>
      </c>
      <c r="G23" s="180">
        <v>0</v>
      </c>
      <c r="H23" s="180">
        <v>0</v>
      </c>
      <c r="I23" s="63">
        <v>263</v>
      </c>
      <c r="J23" s="63">
        <v>332</v>
      </c>
      <c r="K23" s="63">
        <v>326</v>
      </c>
      <c r="L23" s="63">
        <v>335</v>
      </c>
      <c r="M23" s="63">
        <v>313</v>
      </c>
      <c r="N23" s="63">
        <v>342</v>
      </c>
      <c r="O23" s="63">
        <v>378</v>
      </c>
      <c r="Q23" s="176" t="s">
        <v>3485</v>
      </c>
    </row>
    <row r="24" spans="1:17" ht="15.75" thickBot="1">
      <c r="A24" s="182"/>
      <c r="B24" s="176"/>
      <c r="C24" s="55" t="s">
        <v>10258</v>
      </c>
      <c r="D24" s="183">
        <v>0</v>
      </c>
      <c r="E24" s="183">
        <v>0</v>
      </c>
      <c r="F24" s="183">
        <v>0</v>
      </c>
      <c r="G24" s="183">
        <v>0</v>
      </c>
      <c r="H24" s="183">
        <v>0</v>
      </c>
      <c r="I24" s="63">
        <v>2448</v>
      </c>
      <c r="J24" s="63">
        <v>2509</v>
      </c>
      <c r="K24" s="63">
        <v>2526</v>
      </c>
      <c r="L24" s="63">
        <v>2596</v>
      </c>
      <c r="M24" s="63">
        <v>2406</v>
      </c>
      <c r="N24" s="63">
        <v>2418</v>
      </c>
      <c r="O24" s="63">
        <v>2522</v>
      </c>
      <c r="Q24" s="176" t="s">
        <v>3487</v>
      </c>
    </row>
    <row r="25" spans="1:17" ht="15.75" thickBot="1">
      <c r="A25" s="182"/>
      <c r="B25" s="176"/>
      <c r="C25" s="55" t="s">
        <v>10258</v>
      </c>
      <c r="D25" s="184">
        <f>D23+D24</f>
        <v>0</v>
      </c>
      <c r="E25" s="184">
        <f t="shared" ref="E25:L25" si="13">E23+E24</f>
        <v>0</v>
      </c>
      <c r="F25" s="184">
        <f t="shared" si="13"/>
        <v>0</v>
      </c>
      <c r="G25" s="184">
        <f t="shared" si="13"/>
        <v>0</v>
      </c>
      <c r="H25" s="184">
        <f t="shared" si="13"/>
        <v>0</v>
      </c>
      <c r="I25" s="184">
        <f t="shared" si="13"/>
        <v>2711</v>
      </c>
      <c r="J25" s="184">
        <f t="shared" si="13"/>
        <v>2841</v>
      </c>
      <c r="K25" s="184">
        <f t="shared" si="13"/>
        <v>2852</v>
      </c>
      <c r="L25" s="184">
        <f t="shared" si="13"/>
        <v>2931</v>
      </c>
      <c r="M25" s="184">
        <f>M23+M24</f>
        <v>2719</v>
      </c>
      <c r="N25" s="184">
        <f>N23+N24</f>
        <v>2760</v>
      </c>
      <c r="O25" s="184">
        <f>O23+O24</f>
        <v>2900</v>
      </c>
      <c r="Q25" s="176"/>
    </row>
    <row r="26" spans="1:17">
      <c r="A26" s="182">
        <v>8</v>
      </c>
      <c r="B26" s="176" t="s">
        <v>6439</v>
      </c>
      <c r="C26" s="55" t="s">
        <v>10260</v>
      </c>
      <c r="D26" s="180">
        <v>0</v>
      </c>
      <c r="E26" s="180">
        <v>0</v>
      </c>
      <c r="F26" s="180">
        <v>0</v>
      </c>
      <c r="G26" s="180">
        <v>0</v>
      </c>
      <c r="H26" s="180">
        <v>0</v>
      </c>
      <c r="I26" s="63">
        <v>8693</v>
      </c>
      <c r="J26" s="63">
        <v>8966</v>
      </c>
      <c r="K26" s="63">
        <v>9107</v>
      </c>
      <c r="L26" s="63">
        <v>9252</v>
      </c>
      <c r="M26" s="63">
        <v>8082</v>
      </c>
      <c r="N26" s="63">
        <v>8076</v>
      </c>
      <c r="O26" s="63">
        <v>9118</v>
      </c>
      <c r="Q26" s="176" t="s">
        <v>3485</v>
      </c>
    </row>
    <row r="27" spans="1:17">
      <c r="A27" s="182">
        <v>9</v>
      </c>
      <c r="B27" s="176" t="s">
        <v>10259</v>
      </c>
      <c r="C27" s="55" t="s">
        <v>10261</v>
      </c>
      <c r="D27" s="180">
        <v>0</v>
      </c>
      <c r="E27" s="180">
        <v>0</v>
      </c>
      <c r="F27" s="180">
        <v>0</v>
      </c>
      <c r="G27" s="180">
        <v>0</v>
      </c>
      <c r="H27" s="180">
        <v>0</v>
      </c>
      <c r="I27" s="63">
        <v>9854</v>
      </c>
      <c r="J27" s="63">
        <v>9718</v>
      </c>
      <c r="K27" s="63">
        <v>9710</v>
      </c>
      <c r="L27" s="63">
        <v>9760</v>
      </c>
      <c r="M27" s="63">
        <v>9534</v>
      </c>
      <c r="N27" s="63">
        <v>9536</v>
      </c>
      <c r="O27" s="63">
        <v>9593</v>
      </c>
      <c r="Q27" s="176" t="s">
        <v>3487</v>
      </c>
    </row>
    <row r="28" spans="1:17">
      <c r="A28" s="182">
        <v>10</v>
      </c>
      <c r="B28" s="176" t="s">
        <v>6351</v>
      </c>
      <c r="C28" s="55" t="s">
        <v>10262</v>
      </c>
      <c r="D28" s="180">
        <v>0</v>
      </c>
      <c r="E28" s="180">
        <v>0</v>
      </c>
      <c r="F28" s="180">
        <v>0</v>
      </c>
      <c r="G28" s="180">
        <v>0</v>
      </c>
      <c r="H28" s="180">
        <v>0</v>
      </c>
      <c r="I28" s="63">
        <v>8595</v>
      </c>
      <c r="J28" s="63">
        <v>9171</v>
      </c>
      <c r="K28" s="63">
        <v>9267</v>
      </c>
      <c r="L28" s="63">
        <v>9532</v>
      </c>
      <c r="M28" s="63">
        <v>9074</v>
      </c>
      <c r="N28" s="63">
        <v>9107</v>
      </c>
      <c r="O28" s="63">
        <v>9600</v>
      </c>
      <c r="Q28" s="176" t="s">
        <v>3485</v>
      </c>
    </row>
    <row r="29" spans="1:17">
      <c r="A29" s="182">
        <v>11</v>
      </c>
      <c r="B29" s="176" t="s">
        <v>6352</v>
      </c>
      <c r="C29" s="55" t="s">
        <v>10263</v>
      </c>
      <c r="D29" s="180">
        <v>0</v>
      </c>
      <c r="E29" s="180">
        <v>0</v>
      </c>
      <c r="F29" s="180">
        <v>0</v>
      </c>
      <c r="G29" s="180">
        <v>0</v>
      </c>
      <c r="H29" s="180">
        <v>0</v>
      </c>
      <c r="I29" s="63">
        <v>0</v>
      </c>
      <c r="J29" s="63">
        <v>280</v>
      </c>
      <c r="K29" s="63">
        <v>297</v>
      </c>
      <c r="L29" s="63">
        <v>319</v>
      </c>
      <c r="M29" s="63">
        <v>312</v>
      </c>
      <c r="N29" s="63">
        <v>311</v>
      </c>
      <c r="O29" s="63">
        <v>315</v>
      </c>
      <c r="Q29" s="176" t="s">
        <v>3485</v>
      </c>
    </row>
    <row r="30" spans="1:17" ht="15.75" thickBot="1">
      <c r="A30" s="182"/>
      <c r="B30" s="176"/>
      <c r="C30" s="55" t="s">
        <v>10263</v>
      </c>
      <c r="D30" s="183">
        <v>0</v>
      </c>
      <c r="E30" s="183">
        <v>0</v>
      </c>
      <c r="F30" s="183">
        <v>0</v>
      </c>
      <c r="G30" s="183">
        <v>0</v>
      </c>
      <c r="H30" s="183">
        <v>0</v>
      </c>
      <c r="I30" s="185">
        <v>3431</v>
      </c>
      <c r="J30" s="63">
        <v>3077</v>
      </c>
      <c r="K30" s="63">
        <v>3090</v>
      </c>
      <c r="L30" s="63">
        <v>3086</v>
      </c>
      <c r="M30" s="63">
        <v>3041</v>
      </c>
      <c r="N30" s="63">
        <v>3031</v>
      </c>
      <c r="O30" s="63">
        <v>3087</v>
      </c>
      <c r="Q30" s="176" t="s">
        <v>3487</v>
      </c>
    </row>
    <row r="31" spans="1:17" ht="15.75" thickBot="1">
      <c r="A31" s="182"/>
      <c r="B31" s="176"/>
      <c r="C31" s="55" t="s">
        <v>10263</v>
      </c>
      <c r="D31" s="184">
        <f>D29+D30</f>
        <v>0</v>
      </c>
      <c r="E31" s="184">
        <f t="shared" ref="E31:L31" si="14">E29+E30</f>
        <v>0</v>
      </c>
      <c r="F31" s="184">
        <f t="shared" si="14"/>
        <v>0</v>
      </c>
      <c r="G31" s="184">
        <f t="shared" si="14"/>
        <v>0</v>
      </c>
      <c r="H31" s="184">
        <f t="shared" si="14"/>
        <v>0</v>
      </c>
      <c r="I31" s="184">
        <f t="shared" si="14"/>
        <v>3431</v>
      </c>
      <c r="J31" s="184">
        <f t="shared" si="14"/>
        <v>3357</v>
      </c>
      <c r="K31" s="184">
        <f t="shared" si="14"/>
        <v>3387</v>
      </c>
      <c r="L31" s="184">
        <f t="shared" si="14"/>
        <v>3405</v>
      </c>
      <c r="M31" s="184">
        <f>M29+M30</f>
        <v>3353</v>
      </c>
      <c r="N31" s="184">
        <f>N29+N30</f>
        <v>3342</v>
      </c>
      <c r="O31" s="184">
        <f>O29+O30</f>
        <v>3402</v>
      </c>
      <c r="Q31" s="176"/>
    </row>
    <row r="32" spans="1:17" ht="15.75" customHeight="1">
      <c r="A32" s="182">
        <v>12</v>
      </c>
      <c r="B32" s="176" t="s">
        <v>6353</v>
      </c>
      <c r="C32" s="55" t="s">
        <v>10264</v>
      </c>
      <c r="D32" s="178">
        <v>0</v>
      </c>
      <c r="E32" s="178">
        <v>0</v>
      </c>
      <c r="F32" s="178">
        <v>0</v>
      </c>
      <c r="G32" s="178">
        <v>0</v>
      </c>
      <c r="H32" s="178">
        <v>0</v>
      </c>
      <c r="I32" s="63">
        <v>9248</v>
      </c>
      <c r="J32" s="63">
        <v>9145</v>
      </c>
      <c r="K32" s="63">
        <v>9124</v>
      </c>
      <c r="L32" s="63">
        <v>9192</v>
      </c>
      <c r="M32" s="63">
        <v>8851</v>
      </c>
      <c r="N32" s="63">
        <v>8840</v>
      </c>
      <c r="O32" s="63">
        <v>9052</v>
      </c>
      <c r="Q32" s="176" t="s">
        <v>3485</v>
      </c>
    </row>
    <row r="33" spans="1:17">
      <c r="A33" s="182">
        <v>13</v>
      </c>
      <c r="B33" s="176" t="s">
        <v>6354</v>
      </c>
      <c r="C33" s="55" t="s">
        <v>10265</v>
      </c>
      <c r="D33" s="178">
        <v>0</v>
      </c>
      <c r="E33" s="178">
        <v>0</v>
      </c>
      <c r="F33" s="178">
        <v>0</v>
      </c>
      <c r="G33" s="178">
        <v>0</v>
      </c>
      <c r="H33" s="178">
        <v>0</v>
      </c>
      <c r="I33" s="63">
        <v>5552</v>
      </c>
      <c r="J33" s="63">
        <v>6181</v>
      </c>
      <c r="K33" s="63">
        <v>6002</v>
      </c>
      <c r="L33" s="63">
        <v>6484</v>
      </c>
      <c r="M33" s="63">
        <v>5268</v>
      </c>
      <c r="N33" s="63">
        <v>5599</v>
      </c>
      <c r="O33" s="63">
        <v>6197</v>
      </c>
      <c r="Q33" s="176" t="s">
        <v>3485</v>
      </c>
    </row>
    <row r="34" spans="1:17" ht="15.75" thickBot="1">
      <c r="A34" s="182"/>
      <c r="B34" s="176"/>
      <c r="C34" s="55" t="s">
        <v>10265</v>
      </c>
      <c r="D34" s="183">
        <v>0</v>
      </c>
      <c r="E34" s="183">
        <v>0</v>
      </c>
      <c r="F34" s="183">
        <v>0</v>
      </c>
      <c r="G34" s="183">
        <v>0</v>
      </c>
      <c r="H34" s="183">
        <v>0</v>
      </c>
      <c r="I34" s="63">
        <v>3912</v>
      </c>
      <c r="J34" s="63">
        <v>5516</v>
      </c>
      <c r="K34" s="63">
        <v>2423</v>
      </c>
      <c r="L34" s="63">
        <v>3063</v>
      </c>
      <c r="M34" s="63">
        <v>1562</v>
      </c>
      <c r="N34" s="63">
        <v>2104</v>
      </c>
      <c r="O34" s="63">
        <v>2429</v>
      </c>
      <c r="Q34" s="176" t="s">
        <v>3487</v>
      </c>
    </row>
    <row r="35" spans="1:17" ht="15.75" thickBot="1">
      <c r="A35" s="182"/>
      <c r="B35" s="176"/>
      <c r="C35" s="55" t="s">
        <v>10265</v>
      </c>
      <c r="D35" s="184">
        <f t="shared" ref="D35:O35" si="15">D33+D34</f>
        <v>0</v>
      </c>
      <c r="E35" s="184">
        <f t="shared" si="15"/>
        <v>0</v>
      </c>
      <c r="F35" s="184">
        <f t="shared" si="15"/>
        <v>0</v>
      </c>
      <c r="G35" s="184">
        <f t="shared" si="15"/>
        <v>0</v>
      </c>
      <c r="H35" s="184">
        <f t="shared" si="15"/>
        <v>0</v>
      </c>
      <c r="I35" s="184">
        <f t="shared" si="15"/>
        <v>9464</v>
      </c>
      <c r="J35" s="184">
        <f t="shared" si="15"/>
        <v>11697</v>
      </c>
      <c r="K35" s="184">
        <f t="shared" si="15"/>
        <v>8425</v>
      </c>
      <c r="L35" s="184">
        <f t="shared" si="15"/>
        <v>9547</v>
      </c>
      <c r="M35" s="184">
        <f t="shared" si="15"/>
        <v>6830</v>
      </c>
      <c r="N35" s="184">
        <f t="shared" si="15"/>
        <v>7703</v>
      </c>
      <c r="O35" s="184">
        <f t="shared" si="15"/>
        <v>8626</v>
      </c>
      <c r="Q35" s="176"/>
    </row>
    <row r="36" spans="1:17">
      <c r="A36" s="182">
        <v>14</v>
      </c>
      <c r="B36" s="176" t="s">
        <v>10266</v>
      </c>
      <c r="C36" s="55" t="s">
        <v>10269</v>
      </c>
      <c r="D36" s="178">
        <v>0</v>
      </c>
      <c r="E36" s="178">
        <v>0</v>
      </c>
      <c r="F36" s="178">
        <v>0</v>
      </c>
      <c r="G36" s="178">
        <v>0</v>
      </c>
      <c r="H36" s="178">
        <v>0</v>
      </c>
      <c r="I36" s="63">
        <v>9653</v>
      </c>
      <c r="J36" s="63">
        <v>9663</v>
      </c>
      <c r="K36" s="63">
        <v>9748</v>
      </c>
      <c r="L36" s="63">
        <v>9997</v>
      </c>
      <c r="M36" s="63">
        <v>9708</v>
      </c>
      <c r="N36" s="63">
        <v>9535</v>
      </c>
      <c r="O36" s="63">
        <v>9670</v>
      </c>
      <c r="Q36" s="176" t="s">
        <v>3487</v>
      </c>
    </row>
    <row r="37" spans="1:17">
      <c r="A37" s="182">
        <v>15</v>
      </c>
      <c r="B37" s="176" t="s">
        <v>6522</v>
      </c>
      <c r="C37" s="55" t="s">
        <v>10270</v>
      </c>
      <c r="D37" s="180">
        <v>0</v>
      </c>
      <c r="E37" s="180">
        <v>0</v>
      </c>
      <c r="F37" s="180">
        <v>0</v>
      </c>
      <c r="G37" s="180">
        <v>0</v>
      </c>
      <c r="H37" s="180">
        <v>0</v>
      </c>
      <c r="I37" s="63">
        <v>8575</v>
      </c>
      <c r="J37" s="63">
        <v>8867</v>
      </c>
      <c r="K37" s="63">
        <v>8828</v>
      </c>
      <c r="L37" s="63">
        <v>9396</v>
      </c>
      <c r="M37" s="63">
        <v>8905</v>
      </c>
      <c r="N37" s="63">
        <v>8978</v>
      </c>
      <c r="O37" s="63">
        <v>9391</v>
      </c>
      <c r="Q37" s="176" t="s">
        <v>3485</v>
      </c>
    </row>
    <row r="38" spans="1:17">
      <c r="A38" s="182">
        <v>16</v>
      </c>
      <c r="B38" s="176" t="s">
        <v>10267</v>
      </c>
      <c r="C38" s="55" t="s">
        <v>10271</v>
      </c>
      <c r="D38" s="180">
        <v>0</v>
      </c>
      <c r="E38" s="180">
        <v>0</v>
      </c>
      <c r="F38" s="180">
        <v>0</v>
      </c>
      <c r="G38" s="180">
        <v>0</v>
      </c>
      <c r="H38" s="180">
        <v>0</v>
      </c>
      <c r="I38" s="63">
        <v>5668</v>
      </c>
      <c r="J38" s="63">
        <v>5742</v>
      </c>
      <c r="K38" s="63">
        <v>5916</v>
      </c>
      <c r="L38" s="63">
        <v>6226</v>
      </c>
      <c r="M38" s="63">
        <v>6135</v>
      </c>
      <c r="N38" s="63">
        <v>6234</v>
      </c>
      <c r="O38" s="63">
        <v>6391</v>
      </c>
      <c r="Q38" s="176" t="s">
        <v>3487</v>
      </c>
    </row>
    <row r="39" spans="1:17">
      <c r="A39" s="182">
        <v>17</v>
      </c>
      <c r="B39" s="176" t="s">
        <v>10268</v>
      </c>
      <c r="C39" s="55" t="s">
        <v>10272</v>
      </c>
      <c r="D39" s="178">
        <v>0</v>
      </c>
      <c r="E39" s="178">
        <v>0</v>
      </c>
      <c r="F39" s="178">
        <v>0</v>
      </c>
      <c r="G39" s="178">
        <v>0</v>
      </c>
      <c r="H39" s="178">
        <v>0</v>
      </c>
      <c r="I39" s="63">
        <v>294</v>
      </c>
      <c r="J39" s="63">
        <v>344</v>
      </c>
      <c r="K39" s="63">
        <v>335</v>
      </c>
      <c r="L39" s="63">
        <v>347</v>
      </c>
      <c r="M39" s="63">
        <v>348</v>
      </c>
      <c r="N39" s="63">
        <v>324</v>
      </c>
      <c r="O39" s="63">
        <v>327</v>
      </c>
      <c r="Q39" s="176" t="s">
        <v>3485</v>
      </c>
    </row>
    <row r="40" spans="1:17" ht="15.75" thickBot="1">
      <c r="A40" s="182"/>
      <c r="B40" s="176"/>
      <c r="C40" s="55" t="s">
        <v>10272</v>
      </c>
      <c r="D40" s="183">
        <v>0</v>
      </c>
      <c r="E40" s="183">
        <v>0</v>
      </c>
      <c r="F40" s="183">
        <v>0</v>
      </c>
      <c r="G40" s="183">
        <v>0</v>
      </c>
      <c r="H40" s="183">
        <v>0</v>
      </c>
      <c r="I40" s="63">
        <v>8760</v>
      </c>
      <c r="J40" s="63">
        <v>8582</v>
      </c>
      <c r="K40" s="63">
        <v>8640</v>
      </c>
      <c r="L40" s="63">
        <v>9010</v>
      </c>
      <c r="M40" s="63">
        <v>8915</v>
      </c>
      <c r="N40" s="63">
        <v>8982</v>
      </c>
      <c r="O40" s="63">
        <v>9186</v>
      </c>
      <c r="Q40" s="176" t="s">
        <v>3487</v>
      </c>
    </row>
    <row r="41" spans="1:17" ht="15.75" thickBot="1">
      <c r="A41" s="182"/>
      <c r="B41" s="176"/>
      <c r="C41" s="55" t="s">
        <v>10272</v>
      </c>
      <c r="D41" s="184">
        <f t="shared" ref="D41:O41" si="16">D39+D40</f>
        <v>0</v>
      </c>
      <c r="E41" s="184">
        <f t="shared" si="16"/>
        <v>0</v>
      </c>
      <c r="F41" s="184">
        <f t="shared" si="16"/>
        <v>0</v>
      </c>
      <c r="G41" s="184">
        <f t="shared" si="16"/>
        <v>0</v>
      </c>
      <c r="H41" s="184">
        <f t="shared" si="16"/>
        <v>0</v>
      </c>
      <c r="I41" s="184">
        <f t="shared" si="16"/>
        <v>9054</v>
      </c>
      <c r="J41" s="184">
        <f t="shared" si="16"/>
        <v>8926</v>
      </c>
      <c r="K41" s="184">
        <f t="shared" si="16"/>
        <v>8975</v>
      </c>
      <c r="L41" s="184">
        <f t="shared" si="16"/>
        <v>9357</v>
      </c>
      <c r="M41" s="184">
        <f t="shared" si="16"/>
        <v>9263</v>
      </c>
      <c r="N41" s="184">
        <f t="shared" si="16"/>
        <v>9306</v>
      </c>
      <c r="O41" s="184">
        <f t="shared" si="16"/>
        <v>9513</v>
      </c>
      <c r="Q41" s="176"/>
    </row>
    <row r="42" spans="1:17">
      <c r="A42" s="182">
        <v>18</v>
      </c>
      <c r="B42" s="176" t="s">
        <v>6523</v>
      </c>
      <c r="C42" s="55" t="s">
        <v>10273</v>
      </c>
      <c r="D42" s="180">
        <v>0</v>
      </c>
      <c r="E42" s="180">
        <v>0</v>
      </c>
      <c r="F42" s="180">
        <v>0</v>
      </c>
      <c r="G42" s="180">
        <v>0</v>
      </c>
      <c r="H42" s="180">
        <v>0</v>
      </c>
      <c r="I42" s="63">
        <v>6090</v>
      </c>
      <c r="J42" s="63">
        <v>6106</v>
      </c>
      <c r="K42" s="63">
        <v>6116</v>
      </c>
      <c r="L42" s="63">
        <v>6202</v>
      </c>
      <c r="M42" s="63">
        <v>5977</v>
      </c>
      <c r="N42" s="63">
        <v>5948</v>
      </c>
      <c r="O42" s="63">
        <v>6038</v>
      </c>
      <c r="Q42" s="176" t="s">
        <v>3487</v>
      </c>
    </row>
    <row r="43" spans="1:17">
      <c r="A43" s="186">
        <v>19</v>
      </c>
      <c r="B43" s="176" t="s">
        <v>5001</v>
      </c>
      <c r="C43" s="55" t="s">
        <v>10274</v>
      </c>
      <c r="D43" s="178">
        <v>0</v>
      </c>
      <c r="E43" s="178">
        <v>0</v>
      </c>
      <c r="F43" s="178">
        <v>0</v>
      </c>
      <c r="G43" s="178">
        <v>0</v>
      </c>
      <c r="H43" s="178">
        <v>0</v>
      </c>
      <c r="I43" s="63">
        <v>6190</v>
      </c>
      <c r="J43" s="63">
        <v>6198</v>
      </c>
      <c r="K43" s="63">
        <v>6230</v>
      </c>
      <c r="L43" s="63">
        <v>6296</v>
      </c>
      <c r="M43" s="63">
        <v>6206</v>
      </c>
      <c r="N43" s="63">
        <v>6167</v>
      </c>
      <c r="O43" s="63">
        <v>6217</v>
      </c>
      <c r="Q43" s="176" t="s">
        <v>3487</v>
      </c>
    </row>
    <row r="44" spans="1:17">
      <c r="A44" s="186">
        <v>20</v>
      </c>
      <c r="B44" s="176" t="s">
        <v>1149</v>
      </c>
      <c r="C44" s="55" t="s">
        <v>10275</v>
      </c>
      <c r="D44" s="180">
        <v>0</v>
      </c>
      <c r="E44" s="180">
        <v>0</v>
      </c>
      <c r="F44" s="180">
        <v>0</v>
      </c>
      <c r="G44" s="180">
        <v>0</v>
      </c>
      <c r="H44" s="180">
        <v>0</v>
      </c>
      <c r="I44" s="63">
        <v>9536</v>
      </c>
      <c r="J44" s="63">
        <v>9506</v>
      </c>
      <c r="K44" s="63">
        <v>9522</v>
      </c>
      <c r="L44" s="63">
        <v>9869</v>
      </c>
      <c r="M44" s="63">
        <v>9578</v>
      </c>
      <c r="N44" s="63">
        <v>9445</v>
      </c>
      <c r="O44" s="63">
        <v>9658</v>
      </c>
      <c r="Q44" s="176" t="s">
        <v>3485</v>
      </c>
    </row>
    <row r="45" spans="1:17">
      <c r="A45" s="182">
        <v>21</v>
      </c>
      <c r="B45" s="176" t="s">
        <v>3522</v>
      </c>
      <c r="C45" s="55" t="s">
        <v>10276</v>
      </c>
      <c r="D45" s="180">
        <v>0</v>
      </c>
      <c r="E45" s="180">
        <v>0</v>
      </c>
      <c r="F45" s="180">
        <v>0</v>
      </c>
      <c r="G45" s="180">
        <v>0</v>
      </c>
      <c r="H45" s="180">
        <v>0</v>
      </c>
      <c r="I45" s="63">
        <v>3193</v>
      </c>
      <c r="J45" s="63">
        <v>3215</v>
      </c>
      <c r="K45" s="63">
        <v>3254</v>
      </c>
      <c r="L45" s="63">
        <v>3301</v>
      </c>
      <c r="M45" s="63">
        <v>3231</v>
      </c>
      <c r="N45" s="63">
        <v>3222</v>
      </c>
      <c r="O45" s="63">
        <v>3273</v>
      </c>
      <c r="Q45" s="176" t="s">
        <v>3487</v>
      </c>
    </row>
    <row r="46" spans="1:17">
      <c r="D46" s="179"/>
      <c r="E46" s="179"/>
      <c r="F46" s="179"/>
      <c r="G46" s="179"/>
      <c r="H46" s="179"/>
      <c r="I46" s="179"/>
      <c r="J46" s="179"/>
      <c r="K46" s="179"/>
      <c r="L46" s="179"/>
    </row>
    <row r="47" spans="1:17">
      <c r="A47" s="176" t="s">
        <v>10277</v>
      </c>
    </row>
    <row r="50" spans="1:1">
      <c r="A50" s="176"/>
    </row>
    <row r="51" spans="1:1">
      <c r="A51" s="176"/>
    </row>
  </sheetData>
  <phoneticPr fontId="6" type="noConversion"/>
  <printOptions gridLinesSet="0"/>
  <pageMargins left="0.78740157480314965" right="0" top="0.51181102362204722" bottom="0.51181102362204722" header="0.51181102362204722" footer="0.51181102362204722"/>
  <pageSetup paperSize="9" scale="69" orientation="portrait" horizontalDpi="300" verticalDpi="300" r:id="rId1"/>
  <headerFooter alignWithMargins="0">
    <oddFooter>&amp;C&amp;"Times New Roman,Regular"&amp;8&amp;P of &amp;N</oddFooter>
  </headerFooter>
  <ignoredErrors>
    <ignoredError sqref="D4 E4 F4 G4 D5:D6 E5:E6 F5:F6 G5:G6 H4 H5:H6 D25:K25 D35:K35 D41:K41 D10:D15 E10:E15 F10:F15 G10:G15 H10:H15 H8 G8 F8 E8 D8 I4:I6 I8:I9 I10:I16 D9:H9 D31:K31 D7:I7 J4:J15 D3:J3 K3:K15 L3:L4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175</vt:i4>
      </vt:variant>
    </vt:vector>
  </HeadingPairs>
  <TitlesOfParts>
    <vt:vector size="268" baseType="lpstr">
      <vt:lpstr>REGIONS</vt:lpstr>
      <vt:lpstr>CONSTITUENCIES</vt:lpstr>
      <vt:lpstr>BARKING</vt:lpstr>
      <vt:lpstr>BARNET</vt:lpstr>
      <vt:lpstr>BATH &amp; NE SOMERSET</vt:lpstr>
      <vt:lpstr>BEDFORDSHIRE</vt:lpstr>
      <vt:lpstr>BERKSHIRE</vt:lpstr>
      <vt:lpstr>BEXLEY</vt:lpstr>
      <vt:lpstr>BRENT</vt:lpstr>
      <vt:lpstr>BRISTOL</vt:lpstr>
      <vt:lpstr>BROMLEY</vt:lpstr>
      <vt:lpstr>BUCKINGHAMSHIRE</vt:lpstr>
      <vt:lpstr>CAMBRIDGESHIRE</vt:lpstr>
      <vt:lpstr>CAMDEN</vt:lpstr>
      <vt:lpstr>CHESHIRE</vt:lpstr>
      <vt:lpstr>CITY OF LONDON</vt:lpstr>
      <vt:lpstr>CORNWALL</vt:lpstr>
      <vt:lpstr>CROYDON</vt:lpstr>
      <vt:lpstr>CUMBRIA</vt:lpstr>
      <vt:lpstr>DERBYSHIRE</vt:lpstr>
      <vt:lpstr>DEVON</vt:lpstr>
      <vt:lpstr>DORSET</vt:lpstr>
      <vt:lpstr>DURHAM</vt:lpstr>
      <vt:lpstr>EALING</vt:lpstr>
      <vt:lpstr>EAST SUSSEX</vt:lpstr>
      <vt:lpstr>ENFIELD</vt:lpstr>
      <vt:lpstr>ESSEX</vt:lpstr>
      <vt:lpstr>GLOUCESTERSHIRE</vt:lpstr>
      <vt:lpstr>GREATER MANCHESTER</vt:lpstr>
      <vt:lpstr>GREENWICH</vt:lpstr>
      <vt:lpstr>HACKNEY</vt:lpstr>
      <vt:lpstr>HAMMERSMITH</vt:lpstr>
      <vt:lpstr>HAMPSHIRE</vt:lpstr>
      <vt:lpstr>HARINGEY</vt:lpstr>
      <vt:lpstr>HARROW</vt:lpstr>
      <vt:lpstr>HARTLEPOOL</vt:lpstr>
      <vt:lpstr>HAVERING</vt:lpstr>
      <vt:lpstr>HEREFORDSHIRE</vt:lpstr>
      <vt:lpstr>HERTFORDSHIRE</vt:lpstr>
      <vt:lpstr>HILLINGDON</vt:lpstr>
      <vt:lpstr>HOUNSLOW</vt:lpstr>
      <vt:lpstr>"HUMBERSIDE"</vt:lpstr>
      <vt:lpstr>ISLE OF WIGHT</vt:lpstr>
      <vt:lpstr>ISLINGTON</vt:lpstr>
      <vt:lpstr>KENSINGTON</vt:lpstr>
      <vt:lpstr>KENT</vt:lpstr>
      <vt:lpstr>KINGSTON</vt:lpstr>
      <vt:lpstr>LAMBETH</vt:lpstr>
      <vt:lpstr>LANCASHIRE</vt:lpstr>
      <vt:lpstr>LEICESTER</vt:lpstr>
      <vt:lpstr>LEICESTERSHIRE</vt:lpstr>
      <vt:lpstr>LEWISHAM</vt:lpstr>
      <vt:lpstr>LINCOLNSHIRE</vt:lpstr>
      <vt:lpstr>MERSEYSIDE</vt:lpstr>
      <vt:lpstr>MERTON</vt:lpstr>
      <vt:lpstr>MIDD &amp; R &amp; C</vt:lpstr>
      <vt:lpstr>MILTON KEYNES</vt:lpstr>
      <vt:lpstr>NEWHAM</vt:lpstr>
      <vt:lpstr>NORFOLK</vt:lpstr>
      <vt:lpstr>NORTHAMPTONSHIRE</vt:lpstr>
      <vt:lpstr>NORTHUMBERLAND</vt:lpstr>
      <vt:lpstr>NORTH SOMERSET</vt:lpstr>
      <vt:lpstr>NORTH YORKSHIRE</vt:lpstr>
      <vt:lpstr>NOTTINGHAM</vt:lpstr>
      <vt:lpstr>NOTTINGHAMSHIRE</vt:lpstr>
      <vt:lpstr>OXFORDSHIRE</vt:lpstr>
      <vt:lpstr>PORTSMOUTH</vt:lpstr>
      <vt:lpstr>REDBRIDGE</vt:lpstr>
      <vt:lpstr>RICHMOND</vt:lpstr>
      <vt:lpstr>SHROPSHIRE &amp; TELFORD &amp; WREKIN </vt:lpstr>
      <vt:lpstr>SOMERSET</vt:lpstr>
      <vt:lpstr>SOUTH GLOUCESTERSHIRE</vt:lpstr>
      <vt:lpstr>SOUTH YORKSHIRE</vt:lpstr>
      <vt:lpstr>SOUTHWARK</vt:lpstr>
      <vt:lpstr>STAFFORDSHIRE</vt:lpstr>
      <vt:lpstr>STOCKTON</vt:lpstr>
      <vt:lpstr>SUFFOLK</vt:lpstr>
      <vt:lpstr>SURREY</vt:lpstr>
      <vt:lpstr>SUTTON</vt:lpstr>
      <vt:lpstr>SWINDON</vt:lpstr>
      <vt:lpstr>TOWER HAMLETS</vt:lpstr>
      <vt:lpstr>TYNE &amp; WEAR</vt:lpstr>
      <vt:lpstr>WALTHAM FOREST</vt:lpstr>
      <vt:lpstr>WANDSWORTH</vt:lpstr>
      <vt:lpstr>WARRINGTON</vt:lpstr>
      <vt:lpstr>WARWICKSHIRE</vt:lpstr>
      <vt:lpstr>WESTMINSTER</vt:lpstr>
      <vt:lpstr>WEST MIDLANDS</vt:lpstr>
      <vt:lpstr>WEST SUSSEX</vt:lpstr>
      <vt:lpstr>WEST YORKSHIRE</vt:lpstr>
      <vt:lpstr>WILTSHIRE</vt:lpstr>
      <vt:lpstr>WORCESTERSHIRE</vt:lpstr>
      <vt:lpstr>YORK</vt:lpstr>
      <vt:lpstr>'"HUMBERSIDE"'!Print_Area</vt:lpstr>
      <vt:lpstr>BARKING!Print_Area</vt:lpstr>
      <vt:lpstr>BARNET!Print_Area</vt:lpstr>
      <vt:lpstr>BEDFORDSHIRE!Print_Area</vt:lpstr>
      <vt:lpstr>BERKSHIRE!Print_Area</vt:lpstr>
      <vt:lpstr>BEXLEY!Print_Area</vt:lpstr>
      <vt:lpstr>BRENT!Print_Area</vt:lpstr>
      <vt:lpstr>BROMLEY!Print_Area</vt:lpstr>
      <vt:lpstr>BUCKINGHAMSHIRE!Print_Area</vt:lpstr>
      <vt:lpstr>CAMBRIDGESHIRE!Print_Area</vt:lpstr>
      <vt:lpstr>CAMDEN!Print_Area</vt:lpstr>
      <vt:lpstr>CHESHIRE!Print_Area</vt:lpstr>
      <vt:lpstr>'CITY OF LONDON'!Print_Area</vt:lpstr>
      <vt:lpstr>CONSTITUENCIES!Print_Area</vt:lpstr>
      <vt:lpstr>CROYDON!Print_Area</vt:lpstr>
      <vt:lpstr>DERBYSHIRE!Print_Area</vt:lpstr>
      <vt:lpstr>DEVON!Print_Area</vt:lpstr>
      <vt:lpstr>EALING!Print_Area</vt:lpstr>
      <vt:lpstr>'EAST SUSSEX'!Print_Area</vt:lpstr>
      <vt:lpstr>ENFIELD!Print_Area</vt:lpstr>
      <vt:lpstr>ESSEX!Print_Area</vt:lpstr>
      <vt:lpstr>GLOUCESTERSHIRE!Print_Area</vt:lpstr>
      <vt:lpstr>'GREATER MANCHESTER'!Print_Area</vt:lpstr>
      <vt:lpstr>GREENWICH!Print_Area</vt:lpstr>
      <vt:lpstr>HACKNEY!Print_Area</vt:lpstr>
      <vt:lpstr>HAMMERSMITH!Print_Area</vt:lpstr>
      <vt:lpstr>HAMPSHIRE!Print_Area</vt:lpstr>
      <vt:lpstr>HARINGEY!Print_Area</vt:lpstr>
      <vt:lpstr>HARROW!Print_Area</vt:lpstr>
      <vt:lpstr>HAVERING!Print_Area</vt:lpstr>
      <vt:lpstr>HEREFORDSHIRE!Print_Area</vt:lpstr>
      <vt:lpstr>HERTFORDSHIRE!Print_Area</vt:lpstr>
      <vt:lpstr>HILLINGDON!Print_Area</vt:lpstr>
      <vt:lpstr>HOUNSLOW!Print_Area</vt:lpstr>
      <vt:lpstr>'ISLE OF WIGHT'!Print_Area</vt:lpstr>
      <vt:lpstr>ISLINGTON!Print_Area</vt:lpstr>
      <vt:lpstr>KENSINGTON!Print_Area</vt:lpstr>
      <vt:lpstr>KENT!Print_Area</vt:lpstr>
      <vt:lpstr>KINGSTON!Print_Area</vt:lpstr>
      <vt:lpstr>LAMBETH!Print_Area</vt:lpstr>
      <vt:lpstr>LANCASHIRE!Print_Area</vt:lpstr>
      <vt:lpstr>LEICESTERSHIRE!Print_Area</vt:lpstr>
      <vt:lpstr>LEWISHAM!Print_Area</vt:lpstr>
      <vt:lpstr>LINCOLNSHIRE!Print_Area</vt:lpstr>
      <vt:lpstr>MERSEYSIDE!Print_Area</vt:lpstr>
      <vt:lpstr>MERTON!Print_Area</vt:lpstr>
      <vt:lpstr>NEWHAM!Print_Area</vt:lpstr>
      <vt:lpstr>NORFOLK!Print_Area</vt:lpstr>
      <vt:lpstr>'NORTH SOMERSET'!Print_Area</vt:lpstr>
      <vt:lpstr>'NORTH YORKSHIRE'!Print_Area</vt:lpstr>
      <vt:lpstr>NORTHUMBERLAND!Print_Area</vt:lpstr>
      <vt:lpstr>NOTTINGHAM!Print_Area</vt:lpstr>
      <vt:lpstr>NOTTINGHAMSHIRE!Print_Area</vt:lpstr>
      <vt:lpstr>OXFORDSHIRE!Print_Area</vt:lpstr>
      <vt:lpstr>PORTSMOUTH!Print_Area</vt:lpstr>
      <vt:lpstr>REDBRIDGE!Print_Area</vt:lpstr>
      <vt:lpstr>REGIONS!Print_Area</vt:lpstr>
      <vt:lpstr>RICHMOND!Print_Area</vt:lpstr>
      <vt:lpstr>'SHROPSHIRE &amp; TELFORD &amp; WREKIN '!Print_Area</vt:lpstr>
      <vt:lpstr>'SOUTH YORKSHIRE'!Print_Area</vt:lpstr>
      <vt:lpstr>SOUTHWARK!Print_Area</vt:lpstr>
      <vt:lpstr>STAFFORDSHIRE!Print_Area</vt:lpstr>
      <vt:lpstr>SURREY!Print_Area</vt:lpstr>
      <vt:lpstr>SUTTON!Print_Area</vt:lpstr>
      <vt:lpstr>SWINDON!Print_Area</vt:lpstr>
      <vt:lpstr>'TOWER HAMLETS'!Print_Area</vt:lpstr>
      <vt:lpstr>'TYNE &amp; WEAR'!Print_Area</vt:lpstr>
      <vt:lpstr>'WALTHAM FOREST'!Print_Area</vt:lpstr>
      <vt:lpstr>WANDSWORTH!Print_Area</vt:lpstr>
      <vt:lpstr>WARRINGTON!Print_Area</vt:lpstr>
      <vt:lpstr>WARWICKSHIRE!Print_Area</vt:lpstr>
      <vt:lpstr>'WEST MIDLANDS'!Print_Area</vt:lpstr>
      <vt:lpstr>'WEST SUSSEX'!Print_Area</vt:lpstr>
      <vt:lpstr>'WEST YORKSHIRE'!Print_Area</vt:lpstr>
      <vt:lpstr>WESTMINSTER!Print_Area</vt:lpstr>
      <vt:lpstr>WILTSHIRE!Print_Area</vt:lpstr>
      <vt:lpstr>WORCESTERSHIRE!Print_Area</vt:lpstr>
      <vt:lpstr>YORK!Print_Area</vt:lpstr>
      <vt:lpstr>'"HUMBERSIDE"'!Print_Area_MI</vt:lpstr>
      <vt:lpstr>BARKING!Print_Area_MI</vt:lpstr>
      <vt:lpstr>BARNET!Print_Area_MI</vt:lpstr>
      <vt:lpstr>'BATH &amp; NE SOMERSET'!Print_Area_MI</vt:lpstr>
      <vt:lpstr>BEDFORDSHIRE!Print_Area_MI</vt:lpstr>
      <vt:lpstr>BERKSHIRE!Print_Area_MI</vt:lpstr>
      <vt:lpstr>BEXLEY!Print_Area_MI</vt:lpstr>
      <vt:lpstr>BRENT!Print_Area_MI</vt:lpstr>
      <vt:lpstr>BRISTOL!Print_Area_MI</vt:lpstr>
      <vt:lpstr>BROMLEY!Print_Area_MI</vt:lpstr>
      <vt:lpstr>BUCKINGHAMSHIRE!Print_Area_MI</vt:lpstr>
      <vt:lpstr>CAMBRIDGESHIRE!Print_Area_MI</vt:lpstr>
      <vt:lpstr>CAMDEN!Print_Area_MI</vt:lpstr>
      <vt:lpstr>CHESHIRE!Print_Area_MI</vt:lpstr>
      <vt:lpstr>'CITY OF LONDON'!Print_Area_MI</vt:lpstr>
      <vt:lpstr>CONSTITUENCIES!Print_Area_MI</vt:lpstr>
      <vt:lpstr>CORNWALL!Print_Area_MI</vt:lpstr>
      <vt:lpstr>CROYDON!Print_Area_MI</vt:lpstr>
      <vt:lpstr>CUMBRIA!Print_Area_MI</vt:lpstr>
      <vt:lpstr>DERBYSHIRE!Print_Area_MI</vt:lpstr>
      <vt:lpstr>DEVON!Print_Area_MI</vt:lpstr>
      <vt:lpstr>DORSET!Print_Area_MI</vt:lpstr>
      <vt:lpstr>DURHAM!Print_Area_MI</vt:lpstr>
      <vt:lpstr>EALING!Print_Area_MI</vt:lpstr>
      <vt:lpstr>'EAST SUSSEX'!Print_Area_MI</vt:lpstr>
      <vt:lpstr>ENFIELD!Print_Area_MI</vt:lpstr>
      <vt:lpstr>ESSEX!Print_Area_MI</vt:lpstr>
      <vt:lpstr>GLOUCESTERSHIRE!Print_Area_MI</vt:lpstr>
      <vt:lpstr>'GREATER MANCHESTER'!Print_Area_MI</vt:lpstr>
      <vt:lpstr>GREENWICH!Print_Area_MI</vt:lpstr>
      <vt:lpstr>HACKNEY!Print_Area_MI</vt:lpstr>
      <vt:lpstr>HAMMERSMITH!Print_Area_MI</vt:lpstr>
      <vt:lpstr>HAMPSHIRE!Print_Area_MI</vt:lpstr>
      <vt:lpstr>HARINGEY!Print_Area_MI</vt:lpstr>
      <vt:lpstr>HARROW!Print_Area_MI</vt:lpstr>
      <vt:lpstr>HARTLEPOOL!Print_Area_MI</vt:lpstr>
      <vt:lpstr>HAVERING!Print_Area_MI</vt:lpstr>
      <vt:lpstr>HEREFORDSHIRE!Print_Area_MI</vt:lpstr>
      <vt:lpstr>HERTFORDSHIRE!Print_Area_MI</vt:lpstr>
      <vt:lpstr>HILLINGDON!Print_Area_MI</vt:lpstr>
      <vt:lpstr>HOUNSLOW!Print_Area_MI</vt:lpstr>
      <vt:lpstr>'ISLE OF WIGHT'!Print_Area_MI</vt:lpstr>
      <vt:lpstr>ISLINGTON!Print_Area_MI</vt:lpstr>
      <vt:lpstr>KENSINGTON!Print_Area_MI</vt:lpstr>
      <vt:lpstr>KENT!Print_Area_MI</vt:lpstr>
      <vt:lpstr>KINGSTON!Print_Area_MI</vt:lpstr>
      <vt:lpstr>LAMBETH!Print_Area_MI</vt:lpstr>
      <vt:lpstr>LANCASHIRE!Print_Area_MI</vt:lpstr>
      <vt:lpstr>LEICESTER!Print_Area_MI</vt:lpstr>
      <vt:lpstr>LEICESTERSHIRE!Print_Area_MI</vt:lpstr>
      <vt:lpstr>LEWISHAM!Print_Area_MI</vt:lpstr>
      <vt:lpstr>LINCOLNSHIRE!Print_Area_MI</vt:lpstr>
      <vt:lpstr>MERSEYSIDE!Print_Area_MI</vt:lpstr>
      <vt:lpstr>MERTON!Print_Area_MI</vt:lpstr>
      <vt:lpstr>'MIDD &amp; R &amp; C'!Print_Area_MI</vt:lpstr>
      <vt:lpstr>'MILTON KEYNES'!Print_Area_MI</vt:lpstr>
      <vt:lpstr>NEWHAM!Print_Area_MI</vt:lpstr>
      <vt:lpstr>NORFOLK!Print_Area_MI</vt:lpstr>
      <vt:lpstr>'NORTH SOMERSET'!Print_Area_MI</vt:lpstr>
      <vt:lpstr>'NORTH YORKSHIRE'!Print_Area_MI</vt:lpstr>
      <vt:lpstr>NORTHAMPTONSHIRE!Print_Area_MI</vt:lpstr>
      <vt:lpstr>NORTHUMBERLAND!Print_Area_MI</vt:lpstr>
      <vt:lpstr>NOTTINGHAM!Print_Area_MI</vt:lpstr>
      <vt:lpstr>NOTTINGHAMSHIRE!Print_Area_MI</vt:lpstr>
      <vt:lpstr>OXFORDSHIRE!Print_Area_MI</vt:lpstr>
      <vt:lpstr>PORTSMOUTH!Print_Area_MI</vt:lpstr>
      <vt:lpstr>REDBRIDGE!Print_Area_MI</vt:lpstr>
      <vt:lpstr>REGIONS!Print_Area_MI</vt:lpstr>
      <vt:lpstr>RICHMOND!Print_Area_MI</vt:lpstr>
      <vt:lpstr>'SHROPSHIRE &amp; TELFORD &amp; WREKIN '!Print_Area_MI</vt:lpstr>
      <vt:lpstr>SOMERSET!Print_Area_MI</vt:lpstr>
      <vt:lpstr>'SOUTH GLOUCESTERSHIRE'!Print_Area_MI</vt:lpstr>
      <vt:lpstr>'SOUTH YORKSHIRE'!Print_Area_MI</vt:lpstr>
      <vt:lpstr>SOUTHWARK!Print_Area_MI</vt:lpstr>
      <vt:lpstr>STAFFORDSHIRE!Print_Area_MI</vt:lpstr>
      <vt:lpstr>STOCKTON!Print_Area_MI</vt:lpstr>
      <vt:lpstr>SUFFOLK!Print_Area_MI</vt:lpstr>
      <vt:lpstr>SURREY!Print_Area_MI</vt:lpstr>
      <vt:lpstr>SUTTON!Print_Area_MI</vt:lpstr>
      <vt:lpstr>SWINDON!Print_Area_MI</vt:lpstr>
      <vt:lpstr>'TOWER HAMLETS'!Print_Area_MI</vt:lpstr>
      <vt:lpstr>'TYNE &amp; WEAR'!Print_Area_MI</vt:lpstr>
      <vt:lpstr>'WALTHAM FOREST'!Print_Area_MI</vt:lpstr>
      <vt:lpstr>WANDSWORTH!Print_Area_MI</vt:lpstr>
      <vt:lpstr>WARRINGTON!Print_Area_MI</vt:lpstr>
      <vt:lpstr>WARWICKSHIRE!Print_Area_MI</vt:lpstr>
      <vt:lpstr>'WEST MIDLANDS'!Print_Area_MI</vt:lpstr>
      <vt:lpstr>'WEST SUSSEX'!Print_Area_MI</vt:lpstr>
      <vt:lpstr>'WEST YORKSHIRE'!Print_Area_MI</vt:lpstr>
      <vt:lpstr>WESTMINSTER!Print_Area_MI</vt:lpstr>
      <vt:lpstr>WILTSHIRE!Print_Area_MI</vt:lpstr>
      <vt:lpstr>WORCESTERSHIRE!Print_Area_MI</vt:lpstr>
      <vt:lpstr>YORK!Print_Area_MI</vt:lpstr>
      <vt:lpstr>CONSTITUENCIES!Print_Titles</vt:lpstr>
      <vt:lpstr>REGIONS!Print_Titles</vt:lpstr>
      <vt:lpstr>CONSTITUENCIES!Print_Titles_MI</vt:lpstr>
      <vt:lpstr>REGIONS!Print_Titles_MI</vt:lpstr>
    </vt:vector>
  </TitlesOfParts>
  <Company>DCA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gtessier</dc:creator>
  <cp:lastModifiedBy>Roger Winter</cp:lastModifiedBy>
  <cp:lastPrinted>2018-03-22T10:08:56Z</cp:lastPrinted>
  <dcterms:created xsi:type="dcterms:W3CDTF">2009-03-26T15:03:04Z</dcterms:created>
  <dcterms:modified xsi:type="dcterms:W3CDTF">2022-11-24T10:41:03Z</dcterms:modified>
</cp:coreProperties>
</file>